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2.xml.rels" ContentType="application/vnd.openxmlformats-package.relationships+xml"/>
  <Override PartName="/xl/worksheets/_rels/sheet8.xml.rels" ContentType="application/vnd.openxmlformats-package.relationships+xml"/>
  <Override PartName="/xl/worksheets/_rels/sheet9.xml.rels" ContentType="application/vnd.openxmlformats-package.relationships+xml"/>
  <Override PartName="/xl/worksheets/_rels/sheet10.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Entrées" sheetId="2" state="visible" r:id="rId4"/>
    <sheet name="Hypothèses" sheetId="3" state="visible" r:id="rId5"/>
    <sheet name="Levier" sheetId="4" state="visible" r:id="rId6"/>
    <sheet name="Pont de dette" sheetId="5" state="visible" r:id="rId7"/>
    <sheet name="Échéancier" sheetId="6" state="visible" r:id="rId8"/>
    <sheet name="Cessions" sheetId="7" state="visible" r:id="rId9"/>
    <sheet name="Trajectoire" sheetId="8" state="visible" r:id="rId10"/>
    <sheet name="Sensibilité" sheetId="9" state="visible" r:id="rId11"/>
    <sheet name="Distribution" sheetId="10" state="visible" r:id="rId12"/>
    <sheet name="Segments" sheetId="11" state="visible" r:id="rId13"/>
    <sheet name="Pont EBITDA" sheetId="12" state="visible" r:id="rId14"/>
    <sheet name="Booster" sheetId="13" state="visible" r:id="rId15"/>
    <sheet name="ESG" sheetId="14" state="visible" r:id="rId16"/>
    <sheet name="Cibles" sheetId="15" state="visible" r:id="rId17"/>
    <sheet name="Financement" sheetId="16" state="visible" r:id="rId18"/>
    <sheet name="Vérifications" sheetId="17" state="visible" r:id="rId19"/>
    <sheet name="Simulation" sheetId="18" state="visible" r:id="rId20"/>
  </sheets>
  <definedNames>
    <definedName function="false" hidden="true" localSheetId="1" name="_xlnm._FilterDatabase" vbProcedure="false">Entrées!$A$5:$L$675</definedName>
    <definedName function="false" hidden="false" name="h_cap" vbProcedure="false">Hypothèses!$J$26</definedName>
    <definedName function="false" hidden="false" name="h_ceEb" vbProcedure="false">Hypothèses!$J$7</definedName>
    <definedName function="false" hidden="false" name="h_conv" vbProcedure="false">Hypothèses!$J$10</definedName>
    <definedName function="false" hidden="false" name="h_fcfH2" vbProcedure="false">Hypothèses!$J$9</definedName>
    <definedName function="false" hidden="false" name="h_ffo" vbProcedure="false">Hypothèses!$J$16</definedName>
    <definedName function="false" hidden="false" name="h_fx" vbProcedure="false">Hypothèses!$J$19</definedName>
    <definedName function="false" hidden="false" name="h_g26" vbProcedure="false">Hypothèses!$J$5</definedName>
    <definedName function="false" hidden="false" name="h_g27" vbProcedure="false">Hypothèses!$J$6</definedName>
    <definedName function="false" hidden="false" name="h_gDiv" vbProcedure="false">Hypothèses!$J$11</definedName>
    <definedName function="false" hidden="false" name="h_hybPct" vbProcedure="false">Hypothèses!$J$27</definedName>
    <definedName function="false" hidden="false" name="h_mDisp" vbProcedure="false">Hypothèses!$J$14</definedName>
    <definedName function="false" hidden="false" name="h_minDiv" vbProcedure="false">Hypothèses!$J$20</definedName>
    <definedName function="false" hidden="false" name="h_months" vbProcedure="false">Hypothèses!$J$24</definedName>
    <definedName function="false" hidden="false" name="h_mTuck" vbProcedure="false">Hypothèses!$J$21</definedName>
    <definedName function="false" hidden="false" name="h_other" vbProcedure="false">Hypothèses!$J$23</definedName>
    <definedName function="false" hidden="false" name="h_s26" vbProcedure="false">Hypothèses!$J$12</definedName>
    <definedName function="false" hidden="false" name="h_s27" vbProcedure="false">Hypothèses!$J$13</definedName>
    <definedName function="false" hidden="false" name="h_syn" vbProcedure="false">Hypothèses!$J$8</definedName>
    <definedName function="false" hidden="false" name="h_synC" vbProcedure="false">Hypothèses!$J$25</definedName>
    <definedName function="false" hidden="false" name="h_tuck" vbProcedure="false">Hypothèses!$J$15</definedName>
    <definedName function="false" hidden="false" name="h_tuckH2" vbProcedure="false">Hypothèses!$J$22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<sst xmlns="http://schemas.openxmlformats.org/spreadsheetml/2006/main" count="9248" uniqueCount="3495">
  <si>
    <t xml:space="preserve">Modèle GreenUp 2027 — Veolia, sujet 2 du capstone EDHEC</t>
  </si>
  <si>
    <t xml:space="preserve">Combien Veolia peut-elle encore acheter en déchets dangereux sans dépasser son plafond de levier ?</t>
  </si>
  <si>
    <t xml:space="preserve">Résultats du scénario actif (base partout, sauf choix dans Hypothèses, colonne Actif)</t>
  </si>
  <si>
    <t xml:space="preserve">Probabilité que Veolia tienne fin 2027 ses deux plafonds (3x et seuil S&amp;P), sur 1 000 futurs tirés</t>
  </si>
  <si>
    <t xml:space="preserve">Probabilité de pouvoir acheter au moins 1 Md€ fin 2027 sous la contrainte qui mord</t>
  </si>
  <si>
    <t xml:space="preserve">Cible de 3 Md€ fin 2027 : hybrides nécessaires pour tenir les deux plafonds, en M EUR (Financement §B)</t>
  </si>
  <si>
    <t xml:space="preserve">… ou cessions accélérées nécessaires, en M EUR</t>
  </si>
  <si>
    <t xml:space="preserve">Hypothèses qui font basculer au moins une conclusion à l'intérieur de leurs bornes (Financement §D)</t>
  </si>
  <si>
    <t xml:space="preserve">Probabilité que le ratio FFO / dette passe sous le seuil S&amp;P fin 2026</t>
  </si>
  <si>
    <t xml:space="preserve">Acquisition maximale fin 2027 sous la contrainte qui mord : médiane des tirages, en M EUR</t>
  </si>
  <si>
    <t xml:space="preserve">Levier fin 2026 (guidance : égal ou légèrement supérieur à 3x)</t>
  </si>
  <si>
    <t xml:space="preserve">Levier fin 2027 (engagement : ≤ 3x)</t>
  </si>
  <si>
    <t xml:space="preserve">Marge de manœuvre fin 2027, en M EUR de dette</t>
  </si>
  <si>
    <t xml:space="preserve">Acquisition maximale fin 2027 au multiple de Clean Earth, en M EUR</t>
  </si>
  <si>
    <t xml:space="preserve">EBITDA 2027 moins l'objectif ≥ 8 Md€, en M EUR</t>
  </si>
  <si>
    <t xml:space="preserve">Marge 2027 dans le scénario défavorable combiné, en M EUR</t>
  </si>
  <si>
    <t xml:space="preserve">Levier fin 2027 si 50 % des hybrides comptent en dette</t>
  </si>
  <si>
    <t xml:space="preserve">Sorties nettes d'acquisitions cumulées depuis 2024, en Md EUR (enveloppe boosters : 4)</t>
  </si>
  <si>
    <t xml:space="preserve">Marge de FFO en 2026 au seuil S&amp;P (18 % de la dette ajustée au pic), en M EUR</t>
  </si>
  <si>
    <t xml:space="preserve">Marge de dette fin 2027 sous le seuil S&amp;P (18 % FFO / dette ajustée), en M EUR</t>
  </si>
  <si>
    <t xml:space="preserve">Contrainte qui mord en premier fin 2027</t>
  </si>
  <si>
    <t xml:space="preserve">EBITDA 2027 si chaque segment garde son rythme organique de 2025, en M EUR</t>
  </si>
  <si>
    <t xml:space="preserve">Clean Earth : multiple du prix sur l'EBITDA 2025 publié par le vendeur (reconstitué)</t>
  </si>
  <si>
    <t xml:space="preserve">Acquisition maximale fin 2027 sous la contrainte qui mord, au multiple de Clean Earth, en M EUR</t>
  </si>
  <si>
    <t xml:space="preserve">Part de l'écart GreenUp 2023 → 2027 que couvre la seule efficacité promise (350 M€ par an)</t>
  </si>
  <si>
    <t xml:space="preserve">Part de la croissance organique 2025 de l'EBITDA expliquée par les gains d'efficacité</t>
  </si>
  <si>
    <t xml:space="preserve">Marge sous 3x fin 2027 si l'efficacité 2026-2027 n'est pas livrée du tout, en M EUR</t>
  </si>
  <si>
    <t xml:space="preserve">Multiples payés par Veolia, après synergies : du moins cher au plus cher (Cibles §D)</t>
  </si>
  <si>
    <t xml:space="preserve">Secteur, avant synergies : du moins cher au plus cher (Cibles §E)</t>
  </si>
  <si>
    <t xml:space="preserve">Clean Earth avant synergies, écart au plus cher du secteur (x EBITDA)</t>
  </si>
  <si>
    <t xml:space="preserve">Pairs Moody's : FFO / dette nette de Veolia moins celui de Suez (Baa2, perspective négative), en points</t>
  </si>
  <si>
    <t xml:space="preserve">Objectifs financiers annoncés et tenus depuis 2020 (Impact 2023, guidance 2025)</t>
  </si>
  <si>
    <t xml:space="preserve">Hybrides : tranche dont la réinitialisation tombe avant fin 2027 (septembre 2026), en M EUR</t>
  </si>
  <si>
    <t xml:space="preserve">Macro : marge 2027 perdue si 2027 revit l'énergie du S1 2026, en M EUR</t>
  </si>
  <si>
    <t xml:space="preserve">Macro : dette nette en plus si le dollar monte de 10 %, en M EUR</t>
  </si>
  <si>
    <t xml:space="preserve">Taxonomie 2025 : part du capex du groupe éligible et aligné (DEU p.250)</t>
  </si>
  <si>
    <t xml:space="preserve">Taxonomie 2025 : déchets dangereux, part du capex aligné du groupe</t>
  </si>
  <si>
    <t xml:space="preserve">Programme de cessions au multiple central, en part de l'EBITDA des déchets solides</t>
  </si>
  <si>
    <t xml:space="preserve">Années nécessaires pour céder 2 Md EUR au rythme des cessions 2022-2025</t>
  </si>
  <si>
    <t xml:space="preserve">Liquidités / flux contractuels de dette 2026 (DEU p.421)</t>
  </si>
  <si>
    <t xml:space="preserve">Surcoût d'intérêts annuel si les souches 2027-2028 sont refinancées au taux de juin 2025, en M EUR</t>
  </si>
  <si>
    <t xml:space="preserve">FFO 2025 reconstitué depuis le tableau de flux, en M EUR (Moody's publie 5 160)</t>
  </si>
  <si>
    <t xml:space="preserve">Contrôles bloquants</t>
  </si>
  <si>
    <t xml:space="preserve">Scénario</t>
  </si>
  <si>
    <t xml:space="preserve">Comment lire</t>
  </si>
  <si>
    <t xml:space="preserve">Bleu</t>
  </si>
  <si>
    <t xml:space="preserve">nombre saisi : soit un chiffre publié (onglet Entrées, avec fichier, page et URL), soit une borne d'hypothèse</t>
  </si>
  <si>
    <t xml:space="preserve">Noir</t>
  </si>
  <si>
    <t xml:space="preserve">formule</t>
  </si>
  <si>
    <t xml:space="preserve">Vert</t>
  </si>
  <si>
    <t xml:space="preserve">lien vers un autre onglet</t>
  </si>
  <si>
    <t xml:space="preserve">Jaune</t>
  </si>
  <si>
    <t xml:space="preserve">hypothèse du groupe : seules ces cellules se modifient (onglet Hypothèses, et cadres à remplir)</t>
  </si>
  <si>
    <t xml:space="preserve">Saumon</t>
  </si>
  <si>
    <t xml:space="preserve">dans Trajectoire : la seule hypothèse qui change dans ce scénario</t>
  </si>
  <si>
    <t xml:space="preserve">Actif</t>
  </si>
  <si>
    <t xml:space="preserve">colonne Actif de l'onglet Hypothèses : Base, Bas ou Haut par hypothèse ; tous les onglets lisent la « Valeur active »</t>
  </si>
  <si>
    <t xml:space="preserve">Les six rôles</t>
  </si>
  <si>
    <t xml:space="preserve">Rôle</t>
  </si>
  <si>
    <t xml:space="preserve">Onglets</t>
  </si>
  <si>
    <t xml:space="preserve">Ce que l'onglet tranche</t>
  </si>
  <si>
    <t xml:space="preserve">1. Périmètre et sources</t>
  </si>
  <si>
    <t xml:space="preserve">Entrées, Cessions §A-B</t>
  </si>
  <si>
    <t xml:space="preserve">L'enveloppe annoncée est nette des cessions ; Clean Earth en sort.</t>
  </si>
  <si>
    <t xml:space="preserve">2. La contrainte</t>
  </si>
  <si>
    <t xml:space="preserve">Levier, Pont de dette, Échéancier</t>
  </si>
  <si>
    <t xml:space="preserve">Définition de Veolia, ratios publiés reproduits, trois lectures du départ au 30/06/2026 ; seuils des agences, pont du FFO, mur de refinancement.</t>
  </si>
  <si>
    <t xml:space="preserve">3. Capacité et sensibilité</t>
  </si>
  <si>
    <t xml:space="preserve">Trajectoire, Sensibilité, Cessions §C, Pont EBITDA</t>
  </si>
  <si>
    <t xml:space="preserve">FCF, calendrier des cessions, ce qui bouge le plus la marge.</t>
  </si>
  <si>
    <t xml:space="preserve">4. L'écart et les comparables</t>
  </si>
  <si>
    <t xml:space="preserve">Segments, Pont EBITDA, Booster</t>
  </si>
  <si>
    <t xml:space="preserve">D'où viennent les 8 Md€ (un plan d'efficacité) ; volumes face à 9 et 10 Mt ; Clean Harbors en comparable ; Clean Earth vu du vendeur.</t>
  </si>
  <si>
    <t xml:space="preserve">5. Le coût ESG</t>
  </si>
  <si>
    <t xml:space="preserve">ESG</t>
  </si>
  <si>
    <t xml:space="preserve">Provisions de fermeture ; ce que l'affectation du prix de Clean Earth ne montre pas encore.</t>
  </si>
  <si>
    <t xml:space="preserve">6. Cibles, puis synthèse</t>
  </si>
  <si>
    <t xml:space="preserve">Cibles</t>
  </si>
  <si>
    <t xml:space="preserve">Taille maximale selon le multiple ; univers de cibles à remplir.</t>
  </si>
  <si>
    <t xml:space="preserve">Règles et limites</t>
  </si>
  <si>
    <t xml:space="preserve">•  Aucun chiffre publié n'est saisi ailleurs que dans Entrées. Les seules constantes dans les formules sont 1 000 (Md → M) et 12 (mois).</t>
  </si>
  <si>
    <t xml:space="preserve">•  Le levier est celui de Veolia : dette financière nette de clôture, IFRS 16 incluse, sur EBITDA IFRS 16 inclus. Les hybrides (4,1 Md€) sont en capitaux propres (IAS 32.11).</t>
  </si>
  <si>
    <t xml:space="preserve">•  Les cessions retirent leur EBITDA sur l'année entière où elles sont encaissées : c'est prudent.</t>
  </si>
  <si>
    <t xml:space="preserve">•  Le change sur la dette en dollars n'est pas modélisé ; aucun dividende n'est supposé versé au S2.</t>
  </si>
  <si>
    <t xml:space="preserve">•  Le levier 2026 « publié » compte 7 mois de Clean Earth ; la ligne pro forma en compte 12. Veolia ne dit pas laquelle elle retient.</t>
  </si>
  <si>
    <t xml:space="preserve">•  Le sélecteur de scénario (Hypothèses, colonne Actif) change tout le classeur ; les colonnes de Trajectoire restent des variations une à une autour du scénario actif. Les noms h_&lt;code&gt; (ex. h_s27) pointent sur la valeur active de chaque hypothèse.</t>
  </si>
  <si>
    <t xml:space="preserve">•  Registre : 670 chiffres versés dans dataroom.is42.fr, état au 10/10/2026. La relecture par un tiers se suit dans Vérifications (dernière ligne) et sur la page Relecture de la dataroom.</t>
  </si>
  <si>
    <t xml:space="preserve">Entrées — le registre de la dataroom, tel quel</t>
  </si>
  <si>
    <t xml:space="preserve">Une ligne par chiffre publié : valeur, unité, période, fichier, page, URL. Aucun nombre n'entre dans le modèle par un autre chemin.</t>
  </si>
  <si>
    <t xml:space="preserve">Valeur = le nombre imprimé, dans l'unité imprimée (les conversions se font dans les formules). « Tel qu'imprimé » garde la graphie d'origine. Source : 00_Admin/register.csv.</t>
  </si>
  <si>
    <t xml:space="preserve">ID</t>
  </si>
  <si>
    <t xml:space="preserve">Libellé</t>
  </si>
  <si>
    <t xml:space="preserve">Valeur</t>
  </si>
  <si>
    <t xml:space="preserve">Unité</t>
  </si>
  <si>
    <t xml:space="preserve">Période</t>
  </si>
  <si>
    <t xml:space="preserve">Tel qu'imprimé</t>
  </si>
  <si>
    <t xml:space="preserve">Fichier</t>
  </si>
  <si>
    <t xml:space="preserve">Page</t>
  </si>
  <si>
    <t xml:space="preserve">URL source</t>
  </si>
  <si>
    <t xml:space="preserve">Consulté le</t>
  </si>
  <si>
    <t xml:space="preserve">Relu par</t>
  </si>
  <si>
    <t xml:space="preserve">F1</t>
  </si>
  <si>
    <t xml:space="preserve">EBITDA (groupe)</t>
  </si>
  <si>
    <t xml:space="preserve">M EUR</t>
  </si>
  <si>
    <t xml:space="preserve">S1 2026</t>
  </si>
  <si>
    <t xml:space="preserve">3 552</t>
  </si>
  <si>
    <t xml:space="preserve">01_Financial/veolia-amendement-deu-2025-s1-2026.pdf</t>
  </si>
  <si>
    <t xml:space="preserve">2 Contrainte</t>
  </si>
  <si>
    <t xml:space="preserve">https://www.veolia.com/sites/g/files/dvc4206/files/document/2026/07/Veolia_Finance_amendement_DEU_2025.pdf</t>
  </si>
  <si>
    <t xml:space="preserve">2026-09-22</t>
  </si>
  <si>
    <t xml:space="preserve">à relire</t>
  </si>
  <si>
    <t xml:space="preserve">F2</t>
  </si>
  <si>
    <t xml:space="preserve">GreenUp : rotation NETTE d'actifs</t>
  </si>
  <si>
    <t xml:space="preserve">Md EUR / an</t>
  </si>
  <si>
    <t xml:space="preserve">2024-2027</t>
  </si>
  <si>
    <t xml:space="preserve">0.5</t>
  </si>
  <si>
    <t xml:space="preserve">01_Financial/en_master_greenup_strategy-day_v270324.pdf</t>
  </si>
  <si>
    <t xml:space="preserve">1 Périmètre</t>
  </si>
  <si>
    <t xml:space="preserve">https://www.veolia.com/sites/g/files/dvc4206/files/document/2024/03/EN_Master_GreenUp_Strategy%20day_V270324.pdf</t>
  </si>
  <si>
    <t xml:space="preserve">F3</t>
  </si>
  <si>
    <t xml:space="preserve">FY2025</t>
  </si>
  <si>
    <t xml:space="preserve">7,050</t>
  </si>
  <si>
    <t xml:space="preserve">05_Commercial_Strategy/annual-resultats-2025.pdf</t>
  </si>
  <si>
    <t xml:space="preserve">https://www.veolia.com/sites/g/files/dvc4206/files/document/2026/02/annual-resultats-2025.pdf</t>
  </si>
  <si>
    <t xml:space="preserve">F4</t>
  </si>
  <si>
    <t xml:space="preserve">Investissements nets (net capex)</t>
  </si>
  <si>
    <t xml:space="preserve">3,855</t>
  </si>
  <si>
    <t xml:space="preserve">3 Capacité</t>
  </si>
  <si>
    <t xml:space="preserve">F5</t>
  </si>
  <si>
    <t xml:space="preserve">GreenUp : tuck-ins, bas de fourchette</t>
  </si>
  <si>
    <t xml:space="preserve">Md EUR</t>
  </si>
  <si>
    <t xml:space="preserve">F6</t>
  </si>
  <si>
    <t xml:space="preserve">Plafond GreenUp : dette financière nette / EBITDA ≤</t>
  </si>
  <si>
    <t xml:space="preserve">x</t>
  </si>
  <si>
    <t xml:space="preserve">3</t>
  </si>
  <si>
    <t xml:space="preserve">F7</t>
  </si>
  <si>
    <t xml:space="preserve">GreenUp : investissements nets par an</t>
  </si>
  <si>
    <t xml:space="preserve">3.1</t>
  </si>
  <si>
    <t xml:space="preserve">F8</t>
  </si>
  <si>
    <t xml:space="preserve">Endettement financier net (groupe)</t>
  </si>
  <si>
    <t xml:space="preserve">31/12/2025</t>
  </si>
  <si>
    <t xml:space="preserve">19,657</t>
  </si>
  <si>
    <t xml:space="preserve">F9</t>
  </si>
  <si>
    <t xml:space="preserve">GreenUp : capex de croissance discrétionnaire, haut de fourchette</t>
  </si>
  <si>
    <t xml:space="preserve">0.7</t>
  </si>
  <si>
    <t xml:space="preserve">F10</t>
  </si>
  <si>
    <t xml:space="preserve">Dettes hybrides (titres super-subordonnés), hors coupons</t>
  </si>
  <si>
    <t xml:space="preserve">30/06/2026</t>
  </si>
  <si>
    <t xml:space="preserve">4.1</t>
  </si>
  <si>
    <t xml:space="preserve">01_Financial/veolia_finance_amendment_urd_2025.pdf</t>
  </si>
  <si>
    <t xml:space="preserve">https://www.veolia.com/sites/g/files/dvc4206/files/document/2026/07/Veolia_Finance_Amendment_URD_2025.pdf</t>
  </si>
  <si>
    <t xml:space="preserve">F11</t>
  </si>
  <si>
    <t xml:space="preserve">Endettement financier net (groupe), après Clean Earth</t>
  </si>
  <si>
    <t xml:space="preserve">24 548</t>
  </si>
  <si>
    <t xml:space="preserve">F12</t>
  </si>
  <si>
    <t xml:space="preserve">Objectif GreenUp : EBITDA ≥</t>
  </si>
  <si>
    <t xml:space="preserve">2027</t>
  </si>
  <si>
    <t xml:space="preserve">8</t>
  </si>
  <si>
    <t xml:space="preserve">F13</t>
  </si>
  <si>
    <t xml:space="preserve">Cash-flow libre net (net free cash flow)</t>
  </si>
  <si>
    <t xml:space="preserve">FY2024</t>
  </si>
  <si>
    <t xml:space="preserve">1,156</t>
  </si>
  <si>
    <t xml:space="preserve">F14</t>
  </si>
  <si>
    <t xml:space="preserve">Ratio de levier publié, hors Clean Earth</t>
  </si>
  <si>
    <t xml:space="preserve">31/03/2026</t>
  </si>
  <si>
    <t xml:space="preserve">2.92</t>
  </si>
  <si>
    <t xml:space="preserve">01_Financial/operating_and_financial_review_consolidated_financial_statements_q1_2026.pdf</t>
  </si>
  <si>
    <t xml:space="preserve">https://www.veolia.com/sites/g/files/dvc4206/files/document/2026/05/Operating_and_financial_review_consolidated_financial_statements_Q1_2026.pdf</t>
  </si>
  <si>
    <t xml:space="preserve">F15</t>
  </si>
  <si>
    <t xml:space="preserve">Dividende versé au titre de 2024</t>
  </si>
  <si>
    <t xml:space="preserve">2025</t>
  </si>
  <si>
    <t xml:space="preserve">1,023</t>
  </si>
  <si>
    <t xml:space="preserve">01_Financial/finance_veolia_urd_2025_en.pdf</t>
  </si>
  <si>
    <t xml:space="preserve">https://www.veolia.com/sites/g/files/dvc4206/files/document/2026/03/Finance_Veolia_URD_2025_en.pdf</t>
  </si>
  <si>
    <t xml:space="preserve">F16</t>
  </si>
  <si>
    <t xml:space="preserve">Ratio de levier publié</t>
  </si>
  <si>
    <t xml:space="preserve">2.79</t>
  </si>
  <si>
    <t xml:space="preserve">F17</t>
  </si>
  <si>
    <t xml:space="preserve">6,788</t>
  </si>
  <si>
    <t xml:space="preserve">F18</t>
  </si>
  <si>
    <t xml:space="preserve">GreenUp : cessions continues d'actifs non stratégiques</t>
  </si>
  <si>
    <t xml:space="preserve">F19</t>
  </si>
  <si>
    <t xml:space="preserve">S1 2025</t>
  </si>
  <si>
    <t xml:space="preserve">3 367</t>
  </si>
  <si>
    <t xml:space="preserve">F20</t>
  </si>
  <si>
    <t xml:space="preserve">2.63</t>
  </si>
  <si>
    <t xml:space="preserve">F21</t>
  </si>
  <si>
    <t xml:space="preserve">GreenUp : tuck-ins, haut de fourchette</t>
  </si>
  <si>
    <t xml:space="preserve">1.0</t>
  </si>
  <si>
    <t xml:space="preserve">F22</t>
  </si>
  <si>
    <t xml:space="preserve">Guidance levier 2026 : égal ou légèrement supérieur à, avec Clean Earth</t>
  </si>
  <si>
    <t xml:space="preserve">2026</t>
  </si>
  <si>
    <t xml:space="preserve">F23</t>
  </si>
  <si>
    <t xml:space="preserve">31/12/2024</t>
  </si>
  <si>
    <t xml:space="preserve">17,819</t>
  </si>
  <si>
    <t xml:space="preserve">F24</t>
  </si>
  <si>
    <t xml:space="preserve">GreenUp : capex de croissance discrétionnaire, bas de fourchette</t>
  </si>
  <si>
    <t xml:space="preserve">F25</t>
  </si>
  <si>
    <t xml:space="preserve">Programme de cessions, à réaliser d'ici mi-2028 : plus de</t>
  </si>
  <si>
    <t xml:space="preserve">2026-2028</t>
  </si>
  <si>
    <t xml:space="preserve">2</t>
  </si>
  <si>
    <t xml:space="preserve">F26</t>
  </si>
  <si>
    <t xml:space="preserve">Trésorerie (groupe)</t>
  </si>
  <si>
    <t xml:space="preserve">9 332</t>
  </si>
  <si>
    <t xml:space="preserve">F27</t>
  </si>
  <si>
    <t xml:space="preserve">Dividende proposé au titre de 2025</t>
  </si>
  <si>
    <t xml:space="preserve">EUR par action</t>
  </si>
  <si>
    <t xml:space="preserve">1,50</t>
  </si>
  <si>
    <t xml:space="preserve">F28</t>
  </si>
  <si>
    <t xml:space="preserve">Cash-flow libre net avant investissements financiers et dividendes</t>
  </si>
  <si>
    <t xml:space="preserve">-288</t>
  </si>
  <si>
    <t xml:space="preserve">F29</t>
  </si>
  <si>
    <t xml:space="preserve">1,178</t>
  </si>
  <si>
    <t xml:space="preserve">F30</t>
  </si>
  <si>
    <t xml:space="preserve">Cessions réalisées (Mexique, Belgique)</t>
  </si>
  <si>
    <t xml:space="preserve">0.1</t>
  </si>
  <si>
    <t xml:space="preserve">01_Financial/veolia_finance_presentation_h1_2026_results.pdf</t>
  </si>
  <si>
    <t xml:space="preserve">https://www.veolia.com/sites/g/files/dvc4206/files/document/2026/07/Veolia_Finance_presentation_H1_2026_results.pdf</t>
  </si>
  <si>
    <t xml:space="preserve">F31</t>
  </si>
  <si>
    <t xml:space="preserve">Signatures de cessions attendues</t>
  </si>
  <si>
    <t xml:space="preserve">F32</t>
  </si>
  <si>
    <t xml:space="preserve">Rotation d'actifs sur 4 ans : plus de</t>
  </si>
  <si>
    <t xml:space="preserve">F33</t>
  </si>
  <si>
    <t xml:space="preserve">Déchets dangereux traités</t>
  </si>
  <si>
    <t xml:space="preserve">kt</t>
  </si>
  <si>
    <t xml:space="preserve">2024</t>
  </si>
  <si>
    <t xml:space="preserve">9 196</t>
  </si>
  <si>
    <t xml:space="preserve">4 Écart</t>
  </si>
  <si>
    <t xml:space="preserve">F34</t>
  </si>
  <si>
    <t xml:space="preserve">9,181</t>
  </si>
  <si>
    <t xml:space="preserve">F35</t>
  </si>
  <si>
    <t xml:space="preserve">Objectif : déchets dangereux traités en 2027</t>
  </si>
  <si>
    <t xml:space="preserve">Mt</t>
  </si>
  <si>
    <t xml:space="preserve">9</t>
  </si>
  <si>
    <t xml:space="preserve">F36</t>
  </si>
  <si>
    <t xml:space="preserve">Objectif GreenUp initial : déchets dangereux et polluants traités en 2027</t>
  </si>
  <si>
    <t xml:space="preserve">10</t>
  </si>
  <si>
    <t xml:space="preserve">F37</t>
  </si>
  <si>
    <t xml:space="preserve">EBITDA France et Déchets dangereux Europe</t>
  </si>
  <si>
    <t xml:space="preserve">1,392</t>
  </si>
  <si>
    <t xml:space="preserve">F38</t>
  </si>
  <si>
    <t xml:space="preserve">1,475</t>
  </si>
  <si>
    <t xml:space="preserve">F39</t>
  </si>
  <si>
    <t xml:space="preserve">Chiffre d'affaires Déchets dangereux Europe</t>
  </si>
  <si>
    <t xml:space="preserve">1,189</t>
  </si>
  <si>
    <t xml:space="preserve">05_Commercial_Strategy/veolia-2026-first-half-results.pdf</t>
  </si>
  <si>
    <t xml:space="preserve">https://www.veolia.com/sites/g/files/dvc4206/files/document/2026/07/veolia-2026-first-half-results.pdf</t>
  </si>
  <si>
    <t xml:space="preserve">F40</t>
  </si>
  <si>
    <t xml:space="preserve">Clean Earth : prix d'acquisition</t>
  </si>
  <si>
    <t xml:space="preserve">M USD</t>
  </si>
  <si>
    <t xml:space="preserve">01/06/2026</t>
  </si>
  <si>
    <t xml:space="preserve">2 989</t>
  </si>
  <si>
    <t xml:space="preserve">F41</t>
  </si>
  <si>
    <t xml:space="preserve">2 542</t>
  </si>
  <si>
    <t xml:space="preserve">F42</t>
  </si>
  <si>
    <t xml:space="preserve">Provisions pour réhabilitation de sites</t>
  </si>
  <si>
    <t xml:space="preserve">1,106</t>
  </si>
  <si>
    <t xml:space="preserve">5 ESG</t>
  </si>
  <si>
    <t xml:space="preserve">F43</t>
  </si>
  <si>
    <t xml:space="preserve">Provisions pour risques environnementaux</t>
  </si>
  <si>
    <t xml:space="preserve">53</t>
  </si>
  <si>
    <t xml:space="preserve">F44</t>
  </si>
  <si>
    <t xml:space="preserve">Provisions de fermeture et post-fermeture (réhabilitation, démantèlement)</t>
  </si>
  <si>
    <t xml:space="preserve">1,290</t>
  </si>
  <si>
    <t xml:space="preserve">F45</t>
  </si>
  <si>
    <t xml:space="preserve">dont segment France et Déchets dangereux Europe</t>
  </si>
  <si>
    <t xml:space="preserve">461</t>
  </si>
  <si>
    <t xml:space="preserve">F46</t>
  </si>
  <si>
    <t xml:space="preserve">Clean Earth : valeur d'entreprise</t>
  </si>
  <si>
    <t xml:space="preserve">Md USD</t>
  </si>
  <si>
    <t xml:space="preserve">annonce 11/2025</t>
  </si>
  <si>
    <t xml:space="preserve">3.0</t>
  </si>
  <si>
    <t xml:space="preserve">01_Financial/veolia_clean_earth_investor_presentation.pdf</t>
  </si>
  <si>
    <t xml:space="preserve">6 Cibles</t>
  </si>
  <si>
    <t xml:space="preserve">https://www.veolia.com/sites/g/files/dvc4206/files/document/2025/11/Veolia_Clean_Earth_Investor_Presentation.pdf</t>
  </si>
  <si>
    <t xml:space="preserve">F47</t>
  </si>
  <si>
    <t xml:space="preserve">Clean Earth : valeur d'entreprise (équivalent)</t>
  </si>
  <si>
    <t xml:space="preserve">2.6</t>
  </si>
  <si>
    <t xml:space="preserve">F48</t>
  </si>
  <si>
    <t xml:space="preserve">Clean Earth : multiple VE / EBITDA 2026e après synergies en régime de croisière</t>
  </si>
  <si>
    <t xml:space="preserve">2026e</t>
  </si>
  <si>
    <t xml:space="preserve">9.8</t>
  </si>
  <si>
    <t xml:space="preserve">F49</t>
  </si>
  <si>
    <t xml:space="preserve">Clean Earth : synergies de coûts en régime de croisière, année 4</t>
  </si>
  <si>
    <t xml:space="preserve">année 4</t>
  </si>
  <si>
    <t xml:space="preserve">120</t>
  </si>
  <si>
    <t xml:space="preserve">F50</t>
  </si>
  <si>
    <t xml:space="preserve">Clean Earth : coûts de mise en œuvre attendus des synergies</t>
  </si>
  <si>
    <t xml:space="preserve">année 1-4</t>
  </si>
  <si>
    <t xml:space="preserve">90</t>
  </si>
  <si>
    <t xml:space="preserve">F51</t>
  </si>
  <si>
    <t xml:space="preserve">Clean Earth : EBITDA (ajusté, post IFRS 16)</t>
  </si>
  <si>
    <t xml:space="preserve">2026E</t>
  </si>
  <si>
    <t xml:space="preserve">200</t>
  </si>
  <si>
    <t xml:space="preserve">F52</t>
  </si>
  <si>
    <t xml:space="preserve">Clean Earth : chiffre d'affaires</t>
  </si>
  <si>
    <t xml:space="preserve">1,030</t>
  </si>
  <si>
    <t xml:space="preserve">F53</t>
  </si>
  <si>
    <t xml:space="preserve">Clean Earth : conversion FCF / EBITDA, plus de</t>
  </si>
  <si>
    <t xml:space="preserve">%</t>
  </si>
  <si>
    <t xml:space="preserve">60</t>
  </si>
  <si>
    <t xml:space="preserve">F54</t>
  </si>
  <si>
    <t xml:space="preserve">2025E</t>
  </si>
  <si>
    <t xml:space="preserve">980</t>
  </si>
  <si>
    <t xml:space="preserve">F55</t>
  </si>
  <si>
    <t xml:space="preserve">Engagement de levier du groupe : autour ou légèrement au-dessus de, selon le calendrier des cessions</t>
  </si>
  <si>
    <t xml:space="preserve">F56</t>
  </si>
  <si>
    <t xml:space="preserve">Engagement de levier du groupe : ≤</t>
  </si>
  <si>
    <t xml:space="preserve">F57</t>
  </si>
  <si>
    <t xml:space="preserve">Guidance : levier égal ou légèrement supérieur à 3x en fin d'année, Clean Earth inclus</t>
  </si>
  <si>
    <t xml:space="preserve">31/12/2026</t>
  </si>
  <si>
    <t xml:space="preserve">F58</t>
  </si>
  <si>
    <t xml:space="preserve">Déchets dangereux Veolia : chiffre d'affaires</t>
  </si>
  <si>
    <t xml:space="preserve">4.3</t>
  </si>
  <si>
    <t xml:space="preserve">F59</t>
  </si>
  <si>
    <t xml:space="preserve">Déchets dangereux Veolia + Clean Earth : chiffre d'affaires pro forma</t>
  </si>
  <si>
    <t xml:space="preserve">5.2</t>
  </si>
  <si>
    <t xml:space="preserve">F60</t>
  </si>
  <si>
    <t xml:space="preserve">Déchets dangereux Veolia + Clean Earth : EBITDA pro forma</t>
  </si>
  <si>
    <t xml:space="preserve">0.9</t>
  </si>
  <si>
    <t xml:space="preserve">F61</t>
  </si>
  <si>
    <t xml:space="preserve">Déchets dangereux Veolia + Clean Earth : marge d'EBITDA pro forma</t>
  </si>
  <si>
    <t xml:space="preserve">17</t>
  </si>
  <si>
    <t xml:space="preserve">F62</t>
  </si>
  <si>
    <t xml:space="preserve">Ambition GreenUp relevée : croissance annuelle de l'EBITDA déchets dangereux, plus de</t>
  </si>
  <si>
    <t xml:space="preserve">% / an</t>
  </si>
  <si>
    <t xml:space="preserve">F63</t>
  </si>
  <si>
    <t xml:space="preserve">Capacité ajoutée par 5 usines de traitement en construction</t>
  </si>
  <si>
    <t xml:space="preserve">en construction</t>
  </si>
  <si>
    <t xml:space="preserve">430</t>
  </si>
  <si>
    <t xml:space="preserve">F64</t>
  </si>
  <si>
    <t xml:space="preserve">Pont de dette 2025 : investissements financiers nets des cessions</t>
  </si>
  <si>
    <t xml:space="preserve">-2,301</t>
  </si>
  <si>
    <t xml:space="preserve">F65</t>
  </si>
  <si>
    <t xml:space="preserve">Pont de dette 2025 : dividendes versés</t>
  </si>
  <si>
    <t xml:space="preserve">-1,023</t>
  </si>
  <si>
    <t xml:space="preserve">F66</t>
  </si>
  <si>
    <t xml:space="preserve">Pont de dette 2025 : émission de la première obligation hybride verte (nette) — réduit la dette nette</t>
  </si>
  <si>
    <t xml:space="preserve">497</t>
  </si>
  <si>
    <t xml:space="preserve">F67</t>
  </si>
  <si>
    <t xml:space="preserve">Pont de dette 2025 : augmentation de capital Sequoia 2025 (nette)</t>
  </si>
  <si>
    <t xml:space="preserve">318</t>
  </si>
  <si>
    <t xml:space="preserve">F68</t>
  </si>
  <si>
    <t xml:space="preserve">Pont de dette 2025 : réduction de capital par annulation d'actions rachetées</t>
  </si>
  <si>
    <t xml:space="preserve">-402</t>
  </si>
  <si>
    <t xml:space="preserve">F69</t>
  </si>
  <si>
    <t xml:space="preserve">Pont de dette 2025 : effet de change et de juste valeur (favorable)</t>
  </si>
  <si>
    <t xml:space="preserve">293</t>
  </si>
  <si>
    <t xml:space="preserve">F70</t>
  </si>
  <si>
    <t xml:space="preserve">-451</t>
  </si>
  <si>
    <t xml:space="preserve">F71</t>
  </si>
  <si>
    <t xml:space="preserve">30/06/2025</t>
  </si>
  <si>
    <t xml:space="preserve">20,764</t>
  </si>
  <si>
    <t xml:space="preserve">F72</t>
  </si>
  <si>
    <t xml:space="preserve">Pont de dette S1 2026 : dividendes versés (total, minoritaires compris)</t>
  </si>
  <si>
    <t xml:space="preserve">-1,394</t>
  </si>
  <si>
    <t xml:space="preserve">F73</t>
  </si>
  <si>
    <t xml:space="preserve">Pont de dette S1 2025 : dividendes versés (total, minoritaires compris)</t>
  </si>
  <si>
    <t xml:space="preserve">-1,267</t>
  </si>
  <si>
    <t xml:space="preserve">F74</t>
  </si>
  <si>
    <t xml:space="preserve">Dividende versé aux actionnaires, approuvé par l'AG du 23 avril 2026</t>
  </si>
  <si>
    <t xml:space="preserve">1,099</t>
  </si>
  <si>
    <t xml:space="preserve">F75</t>
  </si>
  <si>
    <t xml:space="preserve">Pont de dette S1 2026 : investissements financiers nets des cessions</t>
  </si>
  <si>
    <t xml:space="preserve">-2,869</t>
  </si>
  <si>
    <t xml:space="preserve">F76</t>
  </si>
  <si>
    <t xml:space="preserve">Clean Earth : effet sur l'endettement financier net</t>
  </si>
  <si>
    <t xml:space="preserve">-2,778</t>
  </si>
  <si>
    <t xml:space="preserve">F77</t>
  </si>
  <si>
    <t xml:space="preserve">Enviropacific Services : effet sur l'endettement financier net</t>
  </si>
  <si>
    <t xml:space="preserve">-137</t>
  </si>
  <si>
    <t xml:space="preserve">F78</t>
  </si>
  <si>
    <t xml:space="preserve">Pont de dette S1 2026 : effet de change et de juste valeur (défavorable)</t>
  </si>
  <si>
    <t xml:space="preserve">-260</t>
  </si>
  <si>
    <t xml:space="preserve">F79</t>
  </si>
  <si>
    <t xml:space="preserve">Pont de dette S1 2026 : variation des créances et autres actifs financiers</t>
  </si>
  <si>
    <t xml:space="preserve">-70</t>
  </si>
  <si>
    <t xml:space="preserve">F80</t>
  </si>
  <si>
    <t xml:space="preserve">Pont de dette S1 2026 : émission d'actions</t>
  </si>
  <si>
    <t xml:space="preserve">F81</t>
  </si>
  <si>
    <t xml:space="preserve">Pont de dette S1 2026 : autres mouvements</t>
  </si>
  <si>
    <t xml:space="preserve">F82</t>
  </si>
  <si>
    <t xml:space="preserve">Pont de dette S1 2026 : retraitement des passifs financiers (PPA Suez)</t>
  </si>
  <si>
    <t xml:space="preserve">-21</t>
  </si>
  <si>
    <t xml:space="preserve">F83</t>
  </si>
  <si>
    <t xml:space="preserve">Variation du BFR opérationnel</t>
  </si>
  <si>
    <t xml:space="preserve">-1,238</t>
  </si>
  <si>
    <t xml:space="preserve">F84</t>
  </si>
  <si>
    <t xml:space="preserve">-1,171</t>
  </si>
  <si>
    <t xml:space="preserve">F85</t>
  </si>
  <si>
    <t xml:space="preserve">Investissements industriels nets</t>
  </si>
  <si>
    <t xml:space="preserve">-1,630</t>
  </si>
  <si>
    <t xml:space="preserve">F86</t>
  </si>
  <si>
    <t xml:space="preserve">Nombre moyen pondéré d'actions (de base)</t>
  </si>
  <si>
    <t xml:space="preserve">actions</t>
  </si>
  <si>
    <t xml:space="preserve">731,697,339</t>
  </si>
  <si>
    <t xml:space="preserve">F87</t>
  </si>
  <si>
    <t xml:space="preserve">Guidance 2026 : croissance organique de l'EBITDA, bas de fourchette</t>
  </si>
  <si>
    <t xml:space="preserve">5</t>
  </si>
  <si>
    <t xml:space="preserve">F88</t>
  </si>
  <si>
    <t xml:space="preserve">Guidance 2026 : croissance organique de l'EBITDA, haut de fourchette</t>
  </si>
  <si>
    <t xml:space="preserve">6</t>
  </si>
  <si>
    <t xml:space="preserve">F89</t>
  </si>
  <si>
    <t xml:space="preserve">Guidance 2026 : croissance du résultat net courant, au moins</t>
  </si>
  <si>
    <t xml:space="preserve">F90</t>
  </si>
  <si>
    <t xml:space="preserve">GreenUp : investissements de maintenance</t>
  </si>
  <si>
    <t xml:space="preserve">1.9</t>
  </si>
  <si>
    <t xml:space="preserve">F91</t>
  </si>
  <si>
    <t xml:space="preserve">GreenUp : croissance sur contrats existants</t>
  </si>
  <si>
    <t xml:space="preserve">1.5</t>
  </si>
  <si>
    <t xml:space="preserve">F92</t>
  </si>
  <si>
    <t xml:space="preserve">GreenUp : cessions industrielles, moins de</t>
  </si>
  <si>
    <t xml:space="preserve">0.3</t>
  </si>
  <si>
    <t xml:space="preserve">F93</t>
  </si>
  <si>
    <t xml:space="preserve">Déchets dangereux Europe : croissance du chiffre d'affaires à périmètre et change constants</t>
  </si>
  <si>
    <t xml:space="preserve">-0.2</t>
  </si>
  <si>
    <t xml:space="preserve">F94</t>
  </si>
  <si>
    <t xml:space="preserve">653</t>
  </si>
  <si>
    <t xml:space="preserve">F95</t>
  </si>
  <si>
    <t xml:space="preserve">676</t>
  </si>
  <si>
    <t xml:space="preserve">F96</t>
  </si>
  <si>
    <t xml:space="preserve">EBITDA Amériques, Asie-Pacifique, Afrique Moyen-Orient</t>
  </si>
  <si>
    <t xml:space="preserve">894</t>
  </si>
  <si>
    <t xml:space="preserve">F97</t>
  </si>
  <si>
    <t xml:space="preserve">991</t>
  </si>
  <si>
    <t xml:space="preserve">F98</t>
  </si>
  <si>
    <t xml:space="preserve">Clean Earth : goodwill préliminaire (affectation du prix non réalisée au 30/06/2026)</t>
  </si>
  <si>
    <t xml:space="preserve">2,066</t>
  </si>
  <si>
    <t xml:space="preserve">F99</t>
  </si>
  <si>
    <t xml:space="preserve">Provisions de fermeture et post-fermeture (total)</t>
  </si>
  <si>
    <t xml:space="preserve">1,220</t>
  </si>
  <si>
    <t xml:space="preserve">F100</t>
  </si>
  <si>
    <t xml:space="preserve">1,214</t>
  </si>
  <si>
    <t xml:space="preserve">F101</t>
  </si>
  <si>
    <t xml:space="preserve">Provisions de fermeture, dont Amériques, Asie-Pacifique, Afrique Moyen-Orient</t>
  </si>
  <si>
    <t xml:space="preserve">418</t>
  </si>
  <si>
    <t xml:space="preserve">F102</t>
  </si>
  <si>
    <t xml:space="preserve">472</t>
  </si>
  <si>
    <t xml:space="preserve">F103</t>
  </si>
  <si>
    <t xml:space="preserve">Provisions de fermeture, dont France et Déchets dangereux Europe</t>
  </si>
  <si>
    <t xml:space="preserve">454</t>
  </si>
  <si>
    <t xml:space="preserve">F104</t>
  </si>
  <si>
    <t xml:space="preserve">Provisions de fermeture, dont Europe</t>
  </si>
  <si>
    <t xml:space="preserve">315</t>
  </si>
  <si>
    <t xml:space="preserve">F105</t>
  </si>
  <si>
    <t xml:space="preserve">328</t>
  </si>
  <si>
    <t xml:space="preserve">F106</t>
  </si>
  <si>
    <t xml:space="preserve">Provisions pour démantèlement d'installations</t>
  </si>
  <si>
    <t xml:space="preserve">55</t>
  </si>
  <si>
    <t xml:space="preserve">F107</t>
  </si>
  <si>
    <t xml:space="preserve">Désactualisation des provisions de fermeture et post-fermeture</t>
  </si>
  <si>
    <t xml:space="preserve">72</t>
  </si>
  <si>
    <t xml:space="preserve">F108</t>
  </si>
  <si>
    <t xml:space="preserve">Engagements reçus liés au périmètre (garanties liées à des acquisitions)</t>
  </si>
  <si>
    <t xml:space="preserve">45</t>
  </si>
  <si>
    <t xml:space="preserve">F109</t>
  </si>
  <si>
    <t xml:space="preserve">75</t>
  </si>
  <si>
    <t xml:space="preserve">F127</t>
  </si>
  <si>
    <t xml:space="preserve">Clean Earth : sites spécialisés</t>
  </si>
  <si>
    <t xml:space="preserve">sites</t>
  </si>
  <si>
    <t xml:space="preserve">82</t>
  </si>
  <si>
    <t xml:space="preserve">F128</t>
  </si>
  <si>
    <t xml:space="preserve">Clean Earth : permis</t>
  </si>
  <si>
    <t xml:space="preserve">permis</t>
  </si>
  <si>
    <t xml:space="preserve">700</t>
  </si>
  <si>
    <t xml:space="preserve">F129</t>
  </si>
  <si>
    <t xml:space="preserve">GreenUp : investissements nets de croissance 2024-2027 dans les boosters (« 2 x Impact 2023 »)</t>
  </si>
  <si>
    <t xml:space="preserve">4</t>
  </si>
  <si>
    <t xml:space="preserve">F130</t>
  </si>
  <si>
    <t xml:space="preserve">GreenUp : à investir dans les strongholds</t>
  </si>
  <si>
    <t xml:space="preserve">F131</t>
  </si>
  <si>
    <t xml:space="preserve">Rotation d'actifs déjà réalisée depuis le début de GreenUp, environ</t>
  </si>
  <si>
    <t xml:space="preserve">2024-2025e</t>
  </si>
  <si>
    <t xml:space="preserve">F132</t>
  </si>
  <si>
    <t xml:space="preserve">Cessions nouvelles d'actifs matures dans les 2 ans après la clôture de Clean Earth, plus de</t>
  </si>
  <si>
    <t xml:space="preserve">F133</t>
  </si>
  <si>
    <t xml:space="preserve">Rotation d'actifs totale GreenUp avec Clean Earth et le plan de cessions, environ</t>
  </si>
  <si>
    <t xml:space="preserve">2024-2028</t>
  </si>
  <si>
    <t xml:space="preserve">8.5</t>
  </si>
  <si>
    <t xml:space="preserve">F134</t>
  </si>
  <si>
    <t xml:space="preserve">Part des acquisitions GreenUp dans les boosters, environ</t>
  </si>
  <si>
    <t xml:space="preserve">F135</t>
  </si>
  <si>
    <t xml:space="preserve">Part des acquisitions GreenUp hors d'Europe, environ</t>
  </si>
  <si>
    <t xml:space="preserve">80</t>
  </si>
  <si>
    <t xml:space="preserve">F136</t>
  </si>
  <si>
    <t xml:space="preserve">Investissements financiers nets 2024 (cessions SADE, RGS, Lydec, Haikou ; achat Hofmann)</t>
  </si>
  <si>
    <t xml:space="preserve">-0.4</t>
  </si>
  <si>
    <t xml:space="preserve">F137</t>
  </si>
  <si>
    <t xml:space="preserve">Investissements financiers nets 2025e (déchets dangereux US, WTS minoritaires…)</t>
  </si>
  <si>
    <t xml:space="preserve">FY2025e</t>
  </si>
  <si>
    <t xml:space="preserve">2.3</t>
  </si>
  <si>
    <t xml:space="preserve">F138</t>
  </si>
  <si>
    <t xml:space="preserve">Pont de dette 2024 : investissements financiers nets des cessions (entrée nette)</t>
  </si>
  <si>
    <t xml:space="preserve">+397</t>
  </si>
  <si>
    <t xml:space="preserve">05_Commercial_Strategy/pr-2024-annual-results-veolia.pdf</t>
  </si>
  <si>
    <t xml:space="preserve">https://www.veolia.com/sites/g/files/dvc4206/files/document/2025/02/pr-2024-annual-results-veolia.pdf</t>
  </si>
  <si>
    <t xml:space="preserve">F139</t>
  </si>
  <si>
    <t xml:space="preserve">Pont de dette 2024 : dividendes versés</t>
  </si>
  <si>
    <t xml:space="preserve">-895</t>
  </si>
  <si>
    <t xml:space="preserve">F140</t>
  </si>
  <si>
    <t xml:space="preserve">Pont de dette 2024 : remboursement de dette hybride</t>
  </si>
  <si>
    <t xml:space="preserve">-203</t>
  </si>
  <si>
    <t xml:space="preserve">F141</t>
  </si>
  <si>
    <t xml:space="preserve">Pont de dette 2024 : augmentation de capital Sequoia 2024 (nette)</t>
  </si>
  <si>
    <t xml:space="preserve">336</t>
  </si>
  <si>
    <t xml:space="preserve">F142</t>
  </si>
  <si>
    <t xml:space="preserve">Pont de dette 2024 : effet de change et de juste valeur (défavorable)</t>
  </si>
  <si>
    <t xml:space="preserve">-157</t>
  </si>
  <si>
    <t xml:space="preserve">F143</t>
  </si>
  <si>
    <t xml:space="preserve">3,836</t>
  </si>
  <si>
    <t xml:space="preserve">F144</t>
  </si>
  <si>
    <t xml:space="preserve">Maturité moyenne de la dette financière nette</t>
  </si>
  <si>
    <t xml:space="preserve">années</t>
  </si>
  <si>
    <t xml:space="preserve">6.5</t>
  </si>
  <si>
    <t xml:space="preserve">F145</t>
  </si>
  <si>
    <t xml:space="preserve">7.1</t>
  </si>
  <si>
    <t xml:space="preserve">F146</t>
  </si>
  <si>
    <t xml:space="preserve">Part de la dette financière nette à taux fixe après couverture</t>
  </si>
  <si>
    <t xml:space="preserve">85</t>
  </si>
  <si>
    <t xml:space="preserve">F147</t>
  </si>
  <si>
    <t xml:space="preserve">Moody's : FFO / dette nette ajustée</t>
  </si>
  <si>
    <t xml:space="preserve">20.3</t>
  </si>
  <si>
    <t xml:space="preserve">01_Financial/credit_opinion-veolia-environnement-sa-04may2026.pdf</t>
  </si>
  <si>
    <t xml:space="preserve">https://www.veolia.com/sites/g/files/dvc4206/files/document/2026/05/Credit_Opinion-Veolia-Environnement-SA-04May2026.pdf</t>
  </si>
  <si>
    <t xml:space="preserve">2026-10-02</t>
  </si>
  <si>
    <t xml:space="preserve">F148</t>
  </si>
  <si>
    <t xml:space="preserve">Moody's : FFO / dette nette ajustée attendu, bas de fourchette</t>
  </si>
  <si>
    <t xml:space="preserve">2026F</t>
  </si>
  <si>
    <t xml:space="preserve">18</t>
  </si>
  <si>
    <t xml:space="preserve">F149</t>
  </si>
  <si>
    <t xml:space="preserve">Moody's : FFO / dette nette ajustée attendu, haut de fourchette</t>
  </si>
  <si>
    <t xml:space="preserve">19</t>
  </si>
  <si>
    <t xml:space="preserve">F150</t>
  </si>
  <si>
    <t xml:space="preserve">Moody's : dette nette ajustée</t>
  </si>
  <si>
    <t xml:space="preserve">25.4</t>
  </si>
  <si>
    <t xml:space="preserve">F151</t>
  </si>
  <si>
    <t xml:space="preserve">Moody's : dette nette ajustée, pic attendu, environ</t>
  </si>
  <si>
    <t xml:space="preserve">29</t>
  </si>
  <si>
    <t xml:space="preserve">F152</t>
  </si>
  <si>
    <t xml:space="preserve">Moody's : seuil de dégradation, FFO / dette nette sous (libellé publié)</t>
  </si>
  <si>
    <t xml:space="preserve">high teens</t>
  </si>
  <si>
    <t xml:space="preserve">2026-2027</t>
  </si>
  <si>
    <t xml:space="preserve">F153</t>
  </si>
  <si>
    <t xml:space="preserve">Moody's : condition de relèvement, FFO / dette nette dans (libellé publié)</t>
  </si>
  <si>
    <t xml:space="preserve">low-to-mid 20s</t>
  </si>
  <si>
    <t xml:space="preserve">F154</t>
  </si>
  <si>
    <t xml:space="preserve">FY2023</t>
  </si>
  <si>
    <t xml:space="preserve">19.6</t>
  </si>
  <si>
    <t xml:space="preserve">F155</t>
  </si>
  <si>
    <t xml:space="preserve">21.3</t>
  </si>
  <si>
    <t xml:space="preserve">F156</t>
  </si>
  <si>
    <t xml:space="preserve">Moody's : RCF / dette nette ajustée</t>
  </si>
  <si>
    <t xml:space="preserve">15.0</t>
  </si>
  <si>
    <t xml:space="preserve">F157</t>
  </si>
  <si>
    <t xml:space="preserve">Moody's : dette / EBITDA ajustés (grille de notation)</t>
  </si>
  <si>
    <t xml:space="preserve">5.1</t>
  </si>
  <si>
    <t xml:space="preserve">F158</t>
  </si>
  <si>
    <t xml:space="preserve">Moody's : levier net selon la définition de Veolia</t>
  </si>
  <si>
    <t xml:space="preserve">2.8</t>
  </si>
  <si>
    <t xml:space="preserve">F159</t>
  </si>
  <si>
    <t xml:space="preserve">Moody's : cessions envisagées d'actifs non stratégiques ou matures, environ</t>
  </si>
  <si>
    <t xml:space="preserve">F160</t>
  </si>
  <si>
    <t xml:space="preserve">Moody's : chiffre d'affaires du segment Déchets dangereux</t>
  </si>
  <si>
    <t xml:space="preserve">4.2</t>
  </si>
  <si>
    <t xml:space="preserve">F161</t>
  </si>
  <si>
    <t xml:space="preserve">Moody's : part des déchets dangereux dans le chiffre d'affaires</t>
  </si>
  <si>
    <t xml:space="preserve">9.5</t>
  </si>
  <si>
    <t xml:space="preserve">F162</t>
  </si>
  <si>
    <t xml:space="preserve">Moody's : chiffre d'affaires déchets dangereux pro forma avec Clean Earth</t>
  </si>
  <si>
    <t xml:space="preserve">F163</t>
  </si>
  <si>
    <t xml:space="preserve">S&amp;P : seuil de dégradation, FFO / dette ajustés durablement sous</t>
  </si>
  <si>
    <t xml:space="preserve">01_Financial/ratingsdirect_tearsheet_veoliaenvironnements.a._3552186_apr-27-2026.pdf</t>
  </si>
  <si>
    <t xml:space="preserve">https://www.veolia.com/sites/g/files/dvc4206/files/document/2026/04/RatingsDirect_TearSheet_VeoliaEnvironnementS.A._3552186_Apr-27-2026.pdf</t>
  </si>
  <si>
    <t xml:space="preserve">F164</t>
  </si>
  <si>
    <t xml:space="preserve">S&amp;P : FFO / dette ajustés attendu, bas de fourchette</t>
  </si>
  <si>
    <t xml:space="preserve">20</t>
  </si>
  <si>
    <t xml:space="preserve">F165</t>
  </si>
  <si>
    <t xml:space="preserve">S&amp;P : FFO / dette ajustés attendu, haut de fourchette</t>
  </si>
  <si>
    <t xml:space="preserve">22</t>
  </si>
  <si>
    <t xml:space="preserve">F166</t>
  </si>
  <si>
    <t xml:space="preserve">S&amp;P : croissance annuelle attendue de l'EBITDA publié, bas de fourchette</t>
  </si>
  <si>
    <t xml:space="preserve">F167</t>
  </si>
  <si>
    <t xml:space="preserve">S&amp;P : croissance annuelle attendue de l'EBITDA publié, haut de fourchette</t>
  </si>
  <si>
    <t xml:space="preserve">F168</t>
  </si>
  <si>
    <t xml:space="preserve">Chiffre d'affaires Water Technologies</t>
  </si>
  <si>
    <t xml:space="preserve">4,954</t>
  </si>
  <si>
    <t xml:space="preserve">01_Financial/finance_veolia_2025_full_year_results_presentation_0.pdf</t>
  </si>
  <si>
    <t xml:space="preserve">https://www.veolia.com/sites/g/files/dvc4206/files/document/2026/03/Finance_Veolia_2025_full_year_results_presentation_0.pdf</t>
  </si>
  <si>
    <t xml:space="preserve">F169</t>
  </si>
  <si>
    <t xml:space="preserve">Croissance organique du chiffre d'affaires Water Technologies</t>
  </si>
  <si>
    <t xml:space="preserve">+3.6</t>
  </si>
  <si>
    <t xml:space="preserve">F170</t>
  </si>
  <si>
    <t xml:space="preserve">EBITDA Water Technologies</t>
  </si>
  <si>
    <t xml:space="preserve">669</t>
  </si>
  <si>
    <t xml:space="preserve">F171</t>
  </si>
  <si>
    <t xml:space="preserve">Croissance organique de l'EBITDA Water Technologies</t>
  </si>
  <si>
    <t xml:space="preserve">+14.1</t>
  </si>
  <si>
    <t xml:space="preserve">F172</t>
  </si>
  <si>
    <t xml:space="preserve">Chiffre d'affaires Amériques, Asie-Pacifique, Afrique Moyen-Orient</t>
  </si>
  <si>
    <t xml:space="preserve">11,316</t>
  </si>
  <si>
    <t xml:space="preserve">F173</t>
  </si>
  <si>
    <t xml:space="preserve">Croissance organique du chiffre d'affaires Amériques, Asie-Pacifique, Afrique Moyen-Orient</t>
  </si>
  <si>
    <t xml:space="preserve">+4.1</t>
  </si>
  <si>
    <t xml:space="preserve">F174</t>
  </si>
  <si>
    <t xml:space="preserve">2,009</t>
  </si>
  <si>
    <t xml:space="preserve">F175</t>
  </si>
  <si>
    <t xml:space="preserve">Croissance organique de l'EBITDA Amériques, Asie-Pacifique, Afrique Moyen-Orient</t>
  </si>
  <si>
    <t xml:space="preserve">+9.3</t>
  </si>
  <si>
    <t xml:space="preserve">F176</t>
  </si>
  <si>
    <t xml:space="preserve">Chiffre d'affaires Europe</t>
  </si>
  <si>
    <t xml:space="preserve">19,206</t>
  </si>
  <si>
    <t xml:space="preserve">F177</t>
  </si>
  <si>
    <t xml:space="preserve">EBITDA Europe</t>
  </si>
  <si>
    <t xml:space="preserve">2,758</t>
  </si>
  <si>
    <t xml:space="preserve">F178</t>
  </si>
  <si>
    <t xml:space="preserve">Croissance organique de l'EBITDA Europe</t>
  </si>
  <si>
    <t xml:space="preserve">+1.8</t>
  </si>
  <si>
    <t xml:space="preserve">F179</t>
  </si>
  <si>
    <t xml:space="preserve">Chiffre d'affaires France et Déchets dangereux Europe</t>
  </si>
  <si>
    <t xml:space="preserve">8,914</t>
  </si>
  <si>
    <t xml:space="preserve">01_Financial/finance_veolia_operating_and_financial_review_2025.pdf</t>
  </si>
  <si>
    <t xml:space="preserve">https://www.veolia.com/sites/g/files/dvc4206/files/document/2026/02/Finance_Veolia_Operating_and_financial_review_2025.pdf</t>
  </si>
  <si>
    <t xml:space="preserve">F180</t>
  </si>
  <si>
    <t xml:space="preserve">9,145</t>
  </si>
  <si>
    <t xml:space="preserve">F181</t>
  </si>
  <si>
    <t xml:space="preserve">18,619</t>
  </si>
  <si>
    <t xml:space="preserve">F182</t>
  </si>
  <si>
    <t xml:space="preserve">11,945</t>
  </si>
  <si>
    <t xml:space="preserve">F183</t>
  </si>
  <si>
    <t xml:space="preserve">2,642</t>
  </si>
  <si>
    <t xml:space="preserve">F184</t>
  </si>
  <si>
    <t xml:space="preserve">2,025</t>
  </si>
  <si>
    <t xml:space="preserve">F185</t>
  </si>
  <si>
    <t xml:space="preserve">Boosters : chiffre d'affaires</t>
  </si>
  <si>
    <t xml:space="preserve">13,191</t>
  </si>
  <si>
    <t xml:space="preserve">F186</t>
  </si>
  <si>
    <t xml:space="preserve">Boosters : croissance organique du chiffre d'affaires</t>
  </si>
  <si>
    <t xml:space="preserve">+4.3</t>
  </si>
  <si>
    <t xml:space="preserve">F187</t>
  </si>
  <si>
    <t xml:space="preserve">Boosters : croissance organique de l'EBITDA</t>
  </si>
  <si>
    <t xml:space="preserve">+12.1</t>
  </si>
  <si>
    <t xml:space="preserve">F188</t>
  </si>
  <si>
    <t xml:space="preserve">Boosters : EBITDA</t>
  </si>
  <si>
    <t xml:space="preserve">1,668</t>
  </si>
  <si>
    <t xml:space="preserve">F189</t>
  </si>
  <si>
    <t xml:space="preserve">Boosters : marge d'EBITDA</t>
  </si>
  <si>
    <t xml:space="preserve">12.6</t>
  </si>
  <si>
    <t xml:space="preserve">F190</t>
  </si>
  <si>
    <t xml:space="preserve">Bioénergie, flexibilité, efficacité énergétique : chiffre d'affaires</t>
  </si>
  <si>
    <t xml:space="preserve">4,021</t>
  </si>
  <si>
    <t xml:space="preserve">F191</t>
  </si>
  <si>
    <t xml:space="preserve">Bioénergie, flexibilité, efficacité énergétique : EBITDA</t>
  </si>
  <si>
    <t xml:space="preserve">312</t>
  </si>
  <si>
    <t xml:space="preserve">F192</t>
  </si>
  <si>
    <t xml:space="preserve">3,471</t>
  </si>
  <si>
    <t xml:space="preserve">F193</t>
  </si>
  <si>
    <t xml:space="preserve">246</t>
  </si>
  <si>
    <t xml:space="preserve">F194</t>
  </si>
  <si>
    <t xml:space="preserve">2,213</t>
  </si>
  <si>
    <t xml:space="preserve">F195</t>
  </si>
  <si>
    <t xml:space="preserve">-4.8</t>
  </si>
  <si>
    <t xml:space="preserve">F196</t>
  </si>
  <si>
    <t xml:space="preserve">294</t>
  </si>
  <si>
    <t xml:space="preserve">F197</t>
  </si>
  <si>
    <t xml:space="preserve">KPI GreenUp : émissions de GES évitées (scope 4), base 2023</t>
  </si>
  <si>
    <t xml:space="preserve">Mt CO2e</t>
  </si>
  <si>
    <t xml:space="preserve">2023</t>
  </si>
  <si>
    <t xml:space="preserve">13.45</t>
  </si>
  <si>
    <t xml:space="preserve">F198</t>
  </si>
  <si>
    <t xml:space="preserve">KPI GreenUp : émissions de GES évitées, progression vs 2023</t>
  </si>
  <si>
    <t xml:space="preserve">+13</t>
  </si>
  <si>
    <t xml:space="preserve">F199</t>
  </si>
  <si>
    <t xml:space="preserve">+23.6</t>
  </si>
  <si>
    <t xml:space="preserve">F200</t>
  </si>
  <si>
    <t xml:space="preserve">KPI GreenUp : émissions de GES évitées, objectif vs 2023</t>
  </si>
  <si>
    <t xml:space="preserve">+30</t>
  </si>
  <si>
    <t xml:space="preserve">F201</t>
  </si>
  <si>
    <t xml:space="preserve">KPI GreenUp : eau douce économisée</t>
  </si>
  <si>
    <t xml:space="preserve">Md m3</t>
  </si>
  <si>
    <t xml:space="preserve">1.45</t>
  </si>
  <si>
    <t xml:space="preserve">F202</t>
  </si>
  <si>
    <t xml:space="preserve">1.574</t>
  </si>
  <si>
    <t xml:space="preserve">F203</t>
  </si>
  <si>
    <t xml:space="preserve">KPI GreenUp : eau douce économisée, objectif au moins</t>
  </si>
  <si>
    <t xml:space="preserve">F204</t>
  </si>
  <si>
    <t xml:space="preserve">KPI GreenUp : émissions de GES évitées, objectif</t>
  </si>
  <si>
    <t xml:space="preserve">F205</t>
  </si>
  <si>
    <t xml:space="preserve">Gains d'efficacité (et non synergies)</t>
  </si>
  <si>
    <t xml:space="preserve">398</t>
  </si>
  <si>
    <t xml:space="preserve">01_Financial/finance_2024_full_year_results_presentation.pdf</t>
  </si>
  <si>
    <t xml:space="preserve">https://www.veolia.com/sites/g/files/dvc4206/files/document/2025/02/Finance_2024_full_year_results_presentation.pdf</t>
  </si>
  <si>
    <t xml:space="preserve">F206</t>
  </si>
  <si>
    <t xml:space="preserve">Synergies Suez cumulées</t>
  </si>
  <si>
    <t xml:space="preserve">435</t>
  </si>
  <si>
    <t xml:space="preserve">F207</t>
  </si>
  <si>
    <t xml:space="preserve">Synergies Suez : objectif cumulé relevé (initial 500)</t>
  </si>
  <si>
    <t xml:space="preserve">fin 2025</t>
  </si>
  <si>
    <t xml:space="preserve">530</t>
  </si>
  <si>
    <t xml:space="preserve">01_Financial/finance_operating_and_financial_review_2024.pdf</t>
  </si>
  <si>
    <t xml:space="preserve">https://www.veolia.com/sites/g/files/dvc4206/files/document/2025/02/Finance_Operating_and_financial_review_2024.pdf</t>
  </si>
  <si>
    <t xml:space="preserve">F208</t>
  </si>
  <si>
    <t xml:space="preserve">Synergies Suez cumulées réalisées</t>
  </si>
  <si>
    <t xml:space="preserve">534</t>
  </si>
  <si>
    <t xml:space="preserve">F209</t>
  </si>
  <si>
    <t xml:space="preserve">Enviri : chiffre d'affaires du segment Clean Earth</t>
  </si>
  <si>
    <t xml:space="preserve">973.9</t>
  </si>
  <si>
    <t xml:space="preserve">01_Financial/enviri-10-k-2025.pdf</t>
  </si>
  <si>
    <t xml:space="preserve">https://www.sec.gov/Archives/edgar/data/45876/000004587626000010/nvri-20251231.htm</t>
  </si>
  <si>
    <t xml:space="preserve">F210</t>
  </si>
  <si>
    <t xml:space="preserve">940.3</t>
  </si>
  <si>
    <t xml:space="preserve">F211</t>
  </si>
  <si>
    <t xml:space="preserve">Enviri : résultat opérationnel du segment Clean Earth</t>
  </si>
  <si>
    <t xml:space="preserve">91.7</t>
  </si>
  <si>
    <t xml:space="preserve">F212</t>
  </si>
  <si>
    <t xml:space="preserve">92.6</t>
  </si>
  <si>
    <t xml:space="preserve">F213</t>
  </si>
  <si>
    <t xml:space="preserve">Enviri : dépréciation du segment Clean Earth</t>
  </si>
  <si>
    <t xml:space="preserve">k USD</t>
  </si>
  <si>
    <t xml:space="preserve">39,778</t>
  </si>
  <si>
    <t xml:space="preserve">F214</t>
  </si>
  <si>
    <t xml:space="preserve">Enviri : amortissement du segment Clean Earth</t>
  </si>
  <si>
    <t xml:space="preserve">23,644</t>
  </si>
  <si>
    <t xml:space="preserve">F215</t>
  </si>
  <si>
    <t xml:space="preserve">Enviri : actifs totaux du segment Clean Earth</t>
  </si>
  <si>
    <t xml:space="preserve">1,036,916</t>
  </si>
  <si>
    <t xml:space="preserve">F216</t>
  </si>
  <si>
    <t xml:space="preserve">Enviri : prix de cession de Clean Earth à Veolia, plus de</t>
  </si>
  <si>
    <t xml:space="preserve">F217</t>
  </si>
  <si>
    <t xml:space="preserve">Enviri : covenant dette nette / EBITDA ajusté après la vente</t>
  </si>
  <si>
    <t xml:space="preserve">3.00</t>
  </si>
  <si>
    <t xml:space="preserve">F218</t>
  </si>
  <si>
    <t xml:space="preserve">Enviri : passifs environnementaux, part courante</t>
  </si>
  <si>
    <t xml:space="preserve">12,736</t>
  </si>
  <si>
    <t xml:space="preserve">F219</t>
  </si>
  <si>
    <t xml:space="preserve">Enviri : passifs environnementaux, part non courante</t>
  </si>
  <si>
    <t xml:space="preserve">38,256</t>
  </si>
  <si>
    <t xml:space="preserve">F220</t>
  </si>
  <si>
    <t xml:space="preserve">Clean Harbors : chiffre d'affaires direct Environmental Services</t>
  </si>
  <si>
    <t xml:space="preserve">5,193,290</t>
  </si>
  <si>
    <t xml:space="preserve">01_Financial/clean-harbors-10-k-2025.pdf</t>
  </si>
  <si>
    <t xml:space="preserve">https://www.sec.gov/Archives/edgar/data/822818/000082281826000009/clh-20251231.htm</t>
  </si>
  <si>
    <t xml:space="preserve">F221</t>
  </si>
  <si>
    <t xml:space="preserve">Clean Harbors : chiffre d'affaires direct Safety-Kleen Sustainability Solutions</t>
  </si>
  <si>
    <t xml:space="preserve">837,361</t>
  </si>
  <si>
    <t xml:space="preserve">F222</t>
  </si>
  <si>
    <t xml:space="preserve">Clean Harbors : EBITDA ajusté Environmental Services</t>
  </si>
  <si>
    <t xml:space="preserve">1,343,776</t>
  </si>
  <si>
    <t xml:space="preserve">F223</t>
  </si>
  <si>
    <t xml:space="preserve">Clean Harbors : EBITDA ajusté Safety-Kleen Sustainability Solutions</t>
  </si>
  <si>
    <t xml:space="preserve">137,454</t>
  </si>
  <si>
    <t xml:space="preserve">F224</t>
  </si>
  <si>
    <t xml:space="preserve">Clean Harbors : chiffre d'affaires direct total</t>
  </si>
  <si>
    <t xml:space="preserve">6,030.8</t>
  </si>
  <si>
    <t xml:space="preserve">F225</t>
  </si>
  <si>
    <t xml:space="preserve">Clean Harbors : EBITDA ajusté total</t>
  </si>
  <si>
    <t xml:space="preserve">1,169,939</t>
  </si>
  <si>
    <t xml:space="preserve">F226</t>
  </si>
  <si>
    <t xml:space="preserve">Clean Harbors : marge d'EBITDA ajusté</t>
  </si>
  <si>
    <t xml:space="preserve">19.4</t>
  </si>
  <si>
    <t xml:space="preserve">F227</t>
  </si>
  <si>
    <t xml:space="preserve">5,747</t>
  </si>
  <si>
    <t xml:space="preserve">F228</t>
  </si>
  <si>
    <t xml:space="preserve">9,905</t>
  </si>
  <si>
    <t xml:space="preserve">F229</t>
  </si>
  <si>
    <t xml:space="preserve">6,201</t>
  </si>
  <si>
    <t xml:space="preserve">F230</t>
  </si>
  <si>
    <t xml:space="preserve">F231</t>
  </si>
  <si>
    <t xml:space="preserve">797</t>
  </si>
  <si>
    <t xml:space="preserve">F232</t>
  </si>
  <si>
    <t xml:space="preserve">+6.2</t>
  </si>
  <si>
    <t xml:space="preserve">F233</t>
  </si>
  <si>
    <t xml:space="preserve">1,759</t>
  </si>
  <si>
    <t xml:space="preserve">F234</t>
  </si>
  <si>
    <t xml:space="preserve">Bioénergie, flexibilité, efficacité énergétique : croissance organique de l'EBITDA</t>
  </si>
  <si>
    <t xml:space="preserve">+11.3</t>
  </si>
  <si>
    <t xml:space="preserve">F235</t>
  </si>
  <si>
    <t xml:space="preserve">GreenUp : chiffre d'affaires bioénergie, flexibilité, efficacité énergétique (base)</t>
  </si>
  <si>
    <t xml:space="preserve">F236</t>
  </si>
  <si>
    <t xml:space="preserve">GreenUp : ambition de chiffre d'affaires bioénergie, flexibilité, efficacité énergétique</t>
  </si>
  <si>
    <t xml:space="preserve">4.9</t>
  </si>
  <si>
    <t xml:space="preserve">F237</t>
  </si>
  <si>
    <t xml:space="preserve">Clean Harbors : passifs de fermeture et post-fermeture</t>
  </si>
  <si>
    <t xml:space="preserve">135,328</t>
  </si>
  <si>
    <t xml:space="preserve">F238</t>
  </si>
  <si>
    <t xml:space="preserve">Clean Harbors : passifs de dépollution (remedial)</t>
  </si>
  <si>
    <t xml:space="preserve">95,369</t>
  </si>
  <si>
    <t xml:space="preserve">F239</t>
  </si>
  <si>
    <t xml:space="preserve">Clean Harbors : passifs environnementaux totaux</t>
  </si>
  <si>
    <t xml:space="preserve">230,697</t>
  </si>
  <si>
    <t xml:space="preserve">F240</t>
  </si>
  <si>
    <t xml:space="preserve">Clean Harbors : trésorerie</t>
  </si>
  <si>
    <t xml:space="preserve">826,315</t>
  </si>
  <si>
    <t xml:space="preserve">F241</t>
  </si>
  <si>
    <t xml:space="preserve">Clean Harbors : titres de placement court terme</t>
  </si>
  <si>
    <t xml:space="preserve">127,363</t>
  </si>
  <si>
    <t xml:space="preserve">F242</t>
  </si>
  <si>
    <t xml:space="preserve">Clean Harbors : dette long terme hors part courante</t>
  </si>
  <si>
    <t xml:space="preserve">2,763,563</t>
  </si>
  <si>
    <t xml:space="preserve">F243</t>
  </si>
  <si>
    <t xml:space="preserve">Clean Harbors : part courante de la dette long terme</t>
  </si>
  <si>
    <t xml:space="preserve">12,600</t>
  </si>
  <si>
    <t xml:space="preserve">F244</t>
  </si>
  <si>
    <t xml:space="preserve">Moody's : FFO / dette nette ajustée prévu</t>
  </si>
  <si>
    <t xml:space="preserve">18.5</t>
  </si>
  <si>
    <t xml:space="preserve">F245</t>
  </si>
  <si>
    <t xml:space="preserve">2027F</t>
  </si>
  <si>
    <t xml:space="preserve">19.5</t>
  </si>
  <si>
    <t xml:space="preserve">F246</t>
  </si>
  <si>
    <t xml:space="preserve">Moody's : RCF / dette nette ajustée prévu</t>
  </si>
  <si>
    <t xml:space="preserve">13.5</t>
  </si>
  <si>
    <t xml:space="preserve">F247</t>
  </si>
  <si>
    <t xml:space="preserve">14.5</t>
  </si>
  <si>
    <t xml:space="preserve">F248</t>
  </si>
  <si>
    <t xml:space="preserve">Moody's : (FFO + intérêts) / intérêts</t>
  </si>
  <si>
    <t xml:space="preserve">5.4</t>
  </si>
  <si>
    <t xml:space="preserve">F249</t>
  </si>
  <si>
    <t xml:space="preserve">Moody's : dette brute publiée (as reported debt)</t>
  </si>
  <si>
    <t xml:space="preserve">29,518.0</t>
  </si>
  <si>
    <t xml:space="preserve">F250</t>
  </si>
  <si>
    <t xml:space="preserve">Moody's : ajustement pensions</t>
  </si>
  <si>
    <t xml:space="preserve">647.0</t>
  </si>
  <si>
    <t xml:space="preserve">F251</t>
  </si>
  <si>
    <t xml:space="preserve">Moody's : ajustement titres hybrides (50 % en dette)</t>
  </si>
  <si>
    <t xml:space="preserve">2,050.0</t>
  </si>
  <si>
    <t xml:space="preserve">F252</t>
  </si>
  <si>
    <t xml:space="preserve">Moody's : ajustement titrisation</t>
  </si>
  <si>
    <t xml:space="preserve">1,014.0</t>
  </si>
  <si>
    <t xml:space="preserve">F253</t>
  </si>
  <si>
    <t xml:space="preserve">Moody's : ajustements non standard</t>
  </si>
  <si>
    <t xml:space="preserve">1,650.0</t>
  </si>
  <si>
    <t xml:space="preserve">F254</t>
  </si>
  <si>
    <t xml:space="preserve">Moody's : dette brute ajustée</t>
  </si>
  <si>
    <t xml:space="preserve">34,879.0</t>
  </si>
  <si>
    <t xml:space="preserve">F255</t>
  </si>
  <si>
    <t xml:space="preserve">Moody's : trésorerie retenue</t>
  </si>
  <si>
    <t xml:space="preserve">9,475.0</t>
  </si>
  <si>
    <t xml:space="preserve">F256</t>
  </si>
  <si>
    <t xml:space="preserve">Moody's : dette nette ajustée (Exhibit 13)</t>
  </si>
  <si>
    <t xml:space="preserve">25,404.0</t>
  </si>
  <si>
    <t xml:space="preserve">F257</t>
  </si>
  <si>
    <t xml:space="preserve">23,273.0</t>
  </si>
  <si>
    <t xml:space="preserve">F258</t>
  </si>
  <si>
    <t xml:space="preserve">1,800.0</t>
  </si>
  <si>
    <t xml:space="preserve">F259</t>
  </si>
  <si>
    <t xml:space="preserve">Moody's : EBITDA publié selon Moody's (as reported EBITDA)</t>
  </si>
  <si>
    <t xml:space="preserve">6,464.0</t>
  </si>
  <si>
    <t xml:space="preserve">F260</t>
  </si>
  <si>
    <t xml:space="preserve">Moody's : EBITDA ajusté</t>
  </si>
  <si>
    <t xml:space="preserve">6,777.8</t>
  </si>
  <si>
    <t xml:space="preserve">F261</t>
  </si>
  <si>
    <t xml:space="preserve">Moody's : FFO (funds from operations)</t>
  </si>
  <si>
    <t xml:space="preserve">5,160</t>
  </si>
  <si>
    <t xml:space="preserve">F262</t>
  </si>
  <si>
    <t xml:space="preserve">4,948</t>
  </si>
  <si>
    <t xml:space="preserve">F263</t>
  </si>
  <si>
    <t xml:space="preserve">4,655</t>
  </si>
  <si>
    <t xml:space="preserve">F264</t>
  </si>
  <si>
    <t xml:space="preserve">Moody's : dividendes (y compris minoritaires et hybrides)</t>
  </si>
  <si>
    <t xml:space="preserve">1,341</t>
  </si>
  <si>
    <t xml:space="preserve">F265</t>
  </si>
  <si>
    <t xml:space="preserve">Moody's : RCF (retained cash flow)</t>
  </si>
  <si>
    <t xml:space="preserve">3,819</t>
  </si>
  <si>
    <t xml:space="preserve">F266</t>
  </si>
  <si>
    <t xml:space="preserve">Moody's : cash-flow opérationnel (CFO)</t>
  </si>
  <si>
    <t xml:space="preserve">4,681</t>
  </si>
  <si>
    <t xml:space="preserve">F267</t>
  </si>
  <si>
    <t xml:space="preserve">Moody's : free cash flow (après dividendes et capex)</t>
  </si>
  <si>
    <t xml:space="preserve">-272</t>
  </si>
  <si>
    <t xml:space="preserve">F268</t>
  </si>
  <si>
    <t xml:space="preserve">Moody's : charge d'intérêts ajustée</t>
  </si>
  <si>
    <t xml:space="preserve">1,162</t>
  </si>
  <si>
    <t xml:space="preserve">F269</t>
  </si>
  <si>
    <t xml:space="preserve">Moody's : dette nette ajustée / EBITDA ajusté</t>
  </si>
  <si>
    <t xml:space="preserve">3.7</t>
  </si>
  <si>
    <t xml:space="preserve">F270</t>
  </si>
  <si>
    <t xml:space="preserve">Moody's : dette brute ajustée / EBITDA ajusté</t>
  </si>
  <si>
    <t xml:space="preserve">F271</t>
  </si>
  <si>
    <t xml:space="preserve">Sous-total des emprunts (dette brute)</t>
  </si>
  <si>
    <t xml:space="preserve">29,518</t>
  </si>
  <si>
    <t xml:space="preserve">F272</t>
  </si>
  <si>
    <t xml:space="preserve">Trésorerie et équivalents</t>
  </si>
  <si>
    <t xml:space="preserve">8,021</t>
  </si>
  <si>
    <t xml:space="preserve">F273</t>
  </si>
  <si>
    <t xml:space="preserve">Actifs liquides et actifs liés au financement</t>
  </si>
  <si>
    <t xml:space="preserve">1,952</t>
  </si>
  <si>
    <t xml:space="preserve">F274</t>
  </si>
  <si>
    <t xml:space="preserve">Juste valeur des dérivés de couverture de dette</t>
  </si>
  <si>
    <t xml:space="preserve">276</t>
  </si>
  <si>
    <t xml:space="preserve">F275</t>
  </si>
  <si>
    <t xml:space="preserve">29,283</t>
  </si>
  <si>
    <t xml:space="preserve">F276</t>
  </si>
  <si>
    <t xml:space="preserve">9,601</t>
  </si>
  <si>
    <t xml:space="preserve">F260-1175</t>
  </si>
  <si>
    <t xml:space="preserve">Passifs financiers non courants et courants : total</t>
  </si>
  <si>
    <t xml:space="preserve">29,303</t>
  </si>
  <si>
    <t xml:space="preserve">F261-adbb</t>
  </si>
  <si>
    <t xml:space="preserve">Passifs financiers non courants et courants : part courante</t>
  </si>
  <si>
    <t xml:space="preserve">8,810</t>
  </si>
  <si>
    <t xml:space="preserve">F262-be63</t>
  </si>
  <si>
    <t xml:space="preserve">Passifs financiers non courants et courants : part non courante</t>
  </si>
  <si>
    <t xml:space="preserve">20,492</t>
  </si>
  <si>
    <t xml:space="preserve">F263-9c0d</t>
  </si>
  <si>
    <t xml:space="preserve">Emprunts obligataires : total</t>
  </si>
  <si>
    <t xml:space="preserve">17,992</t>
  </si>
  <si>
    <t xml:space="preserve">F264-79b1</t>
  </si>
  <si>
    <t xml:space="preserve">Autres passifs financiers : total</t>
  </si>
  <si>
    <t xml:space="preserve">9,328</t>
  </si>
  <si>
    <t xml:space="preserve">F265-b673</t>
  </si>
  <si>
    <t xml:space="preserve">Dette de loyers IFRS 16 : total</t>
  </si>
  <si>
    <t xml:space="preserve">1,983</t>
  </si>
  <si>
    <t xml:space="preserve">F266-5358</t>
  </si>
  <si>
    <t xml:space="preserve">29,085</t>
  </si>
  <si>
    <t xml:space="preserve">F267-af42</t>
  </si>
  <si>
    <t xml:space="preserve">Emprunts obligataires à moins d'un an</t>
  </si>
  <si>
    <t xml:space="preserve">1,451</t>
  </si>
  <si>
    <t xml:space="preserve">F268-a1f9</t>
  </si>
  <si>
    <t xml:space="preserve">Emprunts obligataires à échéance de 1 à 3 ans</t>
  </si>
  <si>
    <t xml:space="preserve">4,536</t>
  </si>
  <si>
    <t xml:space="preserve">F269-d934</t>
  </si>
  <si>
    <t xml:space="preserve">Emprunts obligataires à échéance de 4 à 5 ans</t>
  </si>
  <si>
    <t xml:space="preserve">3,128</t>
  </si>
  <si>
    <t xml:space="preserve">F270-167d</t>
  </si>
  <si>
    <t xml:space="preserve">Emprunts obligataires à plus de 5 ans</t>
  </si>
  <si>
    <t xml:space="preserve">8,877</t>
  </si>
  <si>
    <t xml:space="preserve">F271-543e</t>
  </si>
  <si>
    <t xml:space="preserve">Souche obligataire euro à échéance du 09/06/2026 : nominal</t>
  </si>
  <si>
    <t xml:space="preserve">750</t>
  </si>
  <si>
    <t xml:space="preserve">F272-40a3</t>
  </si>
  <si>
    <t xml:space="preserve">Souche obligataire euro à échéance du 30/11/2026 : nominal</t>
  </si>
  <si>
    <t xml:space="preserve">650</t>
  </si>
  <si>
    <t xml:space="preserve">F273-8f68</t>
  </si>
  <si>
    <t xml:space="preserve">Émissions obligataires de l'exercice (souscriptions)</t>
  </si>
  <si>
    <t xml:space="preserve">1,879</t>
  </si>
  <si>
    <t xml:space="preserve">F274-d310</t>
  </si>
  <si>
    <t xml:space="preserve">Remboursements obligataires de l'exercice</t>
  </si>
  <si>
    <t xml:space="preserve">-1,482</t>
  </si>
  <si>
    <t xml:space="preserve">F275-5e72</t>
  </si>
  <si>
    <t xml:space="preserve">Émission obligataire du 17/06/2025, tranche 2032 : nominal</t>
  </si>
  <si>
    <t xml:space="preserve">850</t>
  </si>
  <si>
    <t xml:space="preserve">F276-facd</t>
  </si>
  <si>
    <t xml:space="preserve">Émission obligataire du 17/06/2025, tranche 2032 : taux</t>
  </si>
  <si>
    <t xml:space="preserve">3.324</t>
  </si>
  <si>
    <t xml:space="preserve">F277</t>
  </si>
  <si>
    <t xml:space="preserve">Émission obligataire du 17/06/2025, tranche 2037 : nominal</t>
  </si>
  <si>
    <t xml:space="preserve">F278</t>
  </si>
  <si>
    <t xml:space="preserve">Émission obligataire du 17/06/2025, tranche 2037 : taux</t>
  </si>
  <si>
    <t xml:space="preserve">3.795</t>
  </si>
  <si>
    <t xml:space="preserve">F279</t>
  </si>
  <si>
    <t xml:space="preserve">Souche EMTN Series 43, échéance 14/01/2027 : nominal</t>
  </si>
  <si>
    <t xml:space="preserve">F280</t>
  </si>
  <si>
    <t xml:space="preserve">Souche EMTN Series 43, échéance 14/01/2027 : taux</t>
  </si>
  <si>
    <t xml:space="preserve">0.000</t>
  </si>
  <si>
    <t xml:space="preserve">F281</t>
  </si>
  <si>
    <t xml:space="preserve">Souche EMTN Series 29 (PEO), échéance 30/03/2027 : nominal</t>
  </si>
  <si>
    <t xml:space="preserve">F282</t>
  </si>
  <si>
    <t xml:space="preserve">Souche EMTN Series 29 (PEO), échéance 30/03/2027 : taux</t>
  </si>
  <si>
    <t xml:space="preserve">4.625</t>
  </si>
  <si>
    <t xml:space="preserve">F283</t>
  </si>
  <si>
    <t xml:space="preserve">Souche EMTN Series 23, échéance 02/04/2027 : nominal</t>
  </si>
  <si>
    <t xml:space="preserve">F284</t>
  </si>
  <si>
    <t xml:space="preserve">Souche EMTN Series 23, échéance 02/04/2027 : taux</t>
  </si>
  <si>
    <t xml:space="preserve">1.250</t>
  </si>
  <si>
    <t xml:space="preserve">F285</t>
  </si>
  <si>
    <t xml:space="preserve">Souche EMTN Series 3, échéance 08/06/2027 : nominal</t>
  </si>
  <si>
    <t xml:space="preserve">250</t>
  </si>
  <si>
    <t xml:space="preserve">F286</t>
  </si>
  <si>
    <t xml:space="preserve">Souche EMTN Series 3, échéance 08/06/2027 : taux</t>
  </si>
  <si>
    <t xml:space="preserve">1.904</t>
  </si>
  <si>
    <t xml:space="preserve">F287</t>
  </si>
  <si>
    <t xml:space="preserve">Souche EMTN Series 31 (PEO), échéance 10/01/2028 : nominal</t>
  </si>
  <si>
    <t xml:space="preserve">500</t>
  </si>
  <si>
    <t xml:space="preserve">F288</t>
  </si>
  <si>
    <t xml:space="preserve">Souche EMTN Series 31 (PEO), échéance 10/01/2028 : taux</t>
  </si>
  <si>
    <t xml:space="preserve">1.590</t>
  </si>
  <si>
    <t xml:space="preserve">F289</t>
  </si>
  <si>
    <t xml:space="preserve">Souche EMTN Series 9 (GBP), échéance 02/12/2030 : nominal</t>
  </si>
  <si>
    <t xml:space="preserve">287</t>
  </si>
  <si>
    <t xml:space="preserve">F290</t>
  </si>
  <si>
    <t xml:space="preserve">Souches EMTN : nominal total</t>
  </si>
  <si>
    <t xml:space="preserve">13,831</t>
  </si>
  <si>
    <t xml:space="preserve">F291</t>
  </si>
  <si>
    <t xml:space="preserve">Emprunts obligataires non courants : valeur nette comptable totale</t>
  </si>
  <si>
    <t xml:space="preserve">16,541</t>
  </si>
  <si>
    <t xml:space="preserve">F292</t>
  </si>
  <si>
    <t xml:space="preserve">Autres passifs financiers à moins d'un an</t>
  </si>
  <si>
    <t xml:space="preserve">6,890</t>
  </si>
  <si>
    <t xml:space="preserve">F293</t>
  </si>
  <si>
    <t xml:space="preserve">Autres passifs financiers à échéance de 1 à 3 ans</t>
  </si>
  <si>
    <t xml:space="preserve">1,064</t>
  </si>
  <si>
    <t xml:space="preserve">F294</t>
  </si>
  <si>
    <t xml:space="preserve">Autres passifs financiers à échéance de 4 à 5 ans</t>
  </si>
  <si>
    <t xml:space="preserve">462</t>
  </si>
  <si>
    <t xml:space="preserve">F295</t>
  </si>
  <si>
    <t xml:space="preserve">Autres passifs financiers à plus de 5 ans</t>
  </si>
  <si>
    <t xml:space="preserve">911</t>
  </si>
  <si>
    <t xml:space="preserve">F296</t>
  </si>
  <si>
    <t xml:space="preserve">Billets de trésorerie (commercial paper) de Veolia Environnement</t>
  </si>
  <si>
    <t xml:space="preserve">4,933</t>
  </si>
  <si>
    <t xml:space="preserve">F297</t>
  </si>
  <si>
    <t xml:space="preserve">Titres super-subordonnés dont le remboursement est notifié, payés le 09/02/2026</t>
  </si>
  <si>
    <t xml:space="preserve">863</t>
  </si>
  <si>
    <t xml:space="preserve">F298</t>
  </si>
  <si>
    <t xml:space="preserve">Intérêts courus sur la dette</t>
  </si>
  <si>
    <t xml:space="preserve">186</t>
  </si>
  <si>
    <t xml:space="preserve">F299</t>
  </si>
  <si>
    <t xml:space="preserve">Remboursement de billets de trésorerie sur l'exercice</t>
  </si>
  <si>
    <t xml:space="preserve">1,108</t>
  </si>
  <si>
    <t xml:space="preserve">F300</t>
  </si>
  <si>
    <t xml:space="preserve">Dette de loyers IFRS 16 à 1 an</t>
  </si>
  <si>
    <t xml:space="preserve">469</t>
  </si>
  <si>
    <t xml:space="preserve">F301</t>
  </si>
  <si>
    <t xml:space="preserve">Dette de loyers IFRS 16 à 2 ans</t>
  </si>
  <si>
    <t xml:space="preserve">361</t>
  </si>
  <si>
    <t xml:space="preserve">F302</t>
  </si>
  <si>
    <t xml:space="preserve">Dette de loyers IFRS 16 à 3 ans</t>
  </si>
  <si>
    <t xml:space="preserve">300</t>
  </si>
  <si>
    <t xml:space="preserve">F303</t>
  </si>
  <si>
    <t xml:space="preserve">Dette de loyers IFRS 16 à 4 ans</t>
  </si>
  <si>
    <t xml:space="preserve">184</t>
  </si>
  <si>
    <t xml:space="preserve">F304</t>
  </si>
  <si>
    <t xml:space="preserve">Dette de loyers IFRS 16 à 5 ans</t>
  </si>
  <si>
    <t xml:space="preserve">136</t>
  </si>
  <si>
    <t xml:space="preserve">F305</t>
  </si>
  <si>
    <t xml:space="preserve">Dette de loyers IFRS 16 à plus de 5 ans</t>
  </si>
  <si>
    <t xml:space="preserve">532</t>
  </si>
  <si>
    <t xml:space="preserve">F306</t>
  </si>
  <si>
    <t xml:space="preserve">Remboursements de dette de loyers IFRS 16</t>
  </si>
  <si>
    <t xml:space="preserve">556</t>
  </si>
  <si>
    <t xml:space="preserve">F307</t>
  </si>
  <si>
    <t xml:space="preserve">Loyers de la période (remboursements, intérêts, loyers variables)</t>
  </si>
  <si>
    <t xml:space="preserve">637</t>
  </si>
  <si>
    <t xml:space="preserve">F308</t>
  </si>
  <si>
    <t xml:space="preserve">Tableau de flux : capacité d'autofinancement avant variation du BFR</t>
  </si>
  <si>
    <t xml:space="preserve">6,144</t>
  </si>
  <si>
    <t xml:space="preserve">F309</t>
  </si>
  <si>
    <t xml:space="preserve">5,818</t>
  </si>
  <si>
    <t xml:space="preserve">F310</t>
  </si>
  <si>
    <t xml:space="preserve">Tableau de flux : variation du BFR opérationnel</t>
  </si>
  <si>
    <t xml:space="preserve">-120</t>
  </si>
  <si>
    <t xml:space="preserve">F311</t>
  </si>
  <si>
    <t xml:space="preserve">F312</t>
  </si>
  <si>
    <t xml:space="preserve">Tableau de flux : variation du BFR des concessions</t>
  </si>
  <si>
    <t xml:space="preserve">-278</t>
  </si>
  <si>
    <t xml:space="preserve">F313</t>
  </si>
  <si>
    <t xml:space="preserve">-270</t>
  </si>
  <si>
    <t xml:space="preserve">F314</t>
  </si>
  <si>
    <t xml:space="preserve">Tableau de flux : impôts payés</t>
  </si>
  <si>
    <t xml:space="preserve">-596</t>
  </si>
  <si>
    <t xml:space="preserve">F315</t>
  </si>
  <si>
    <t xml:space="preserve">-579</t>
  </si>
  <si>
    <t xml:space="preserve">F316</t>
  </si>
  <si>
    <t xml:space="preserve">Tableau de flux : flux nets des activités opérationnelles</t>
  </si>
  <si>
    <t xml:space="preserve">5,153</t>
  </si>
  <si>
    <t xml:space="preserve">F317</t>
  </si>
  <si>
    <t xml:space="preserve">5,038</t>
  </si>
  <si>
    <t xml:space="preserve">F318</t>
  </si>
  <si>
    <t xml:space="preserve">Tableau de flux : investissements industriels nets de subventions</t>
  </si>
  <si>
    <t xml:space="preserve">-3,056</t>
  </si>
  <si>
    <t xml:space="preserve">F319</t>
  </si>
  <si>
    <t xml:space="preserve">Tableau de flux : remboursements d'actifs financiers opérationnels</t>
  </si>
  <si>
    <t xml:space="preserve">227</t>
  </si>
  <si>
    <t xml:space="preserve">F320</t>
  </si>
  <si>
    <t xml:space="preserve">Tableau de flux : dividendes reçus</t>
  </si>
  <si>
    <t xml:space="preserve">105</t>
  </si>
  <si>
    <t xml:space="preserve">F321</t>
  </si>
  <si>
    <t xml:space="preserve">123</t>
  </si>
  <si>
    <t xml:space="preserve">F322</t>
  </si>
  <si>
    <t xml:space="preserve">Tableau de flux : flux nets des activités d'investissement</t>
  </si>
  <si>
    <t xml:space="preserve">-3,296</t>
  </si>
  <si>
    <t xml:space="preserve">F323</t>
  </si>
  <si>
    <t xml:space="preserve">-2,115</t>
  </si>
  <si>
    <t xml:space="preserve">F324</t>
  </si>
  <si>
    <t xml:space="preserve">Tableau de flux : coût de l'endettement financier net</t>
  </si>
  <si>
    <t xml:space="preserve">654</t>
  </si>
  <si>
    <t xml:space="preserve">F325</t>
  </si>
  <si>
    <t xml:space="preserve">590</t>
  </si>
  <si>
    <t xml:space="preserve">F326</t>
  </si>
  <si>
    <t xml:space="preserve">Tableau de flux : charge d'impôt</t>
  </si>
  <si>
    <t xml:space="preserve">587</t>
  </si>
  <si>
    <t xml:space="preserve">F327</t>
  </si>
  <si>
    <t xml:space="preserve">566</t>
  </si>
  <si>
    <t xml:space="preserve">F328</t>
  </si>
  <si>
    <t xml:space="preserve">Tableau de flux : intérêts payés</t>
  </si>
  <si>
    <t xml:space="preserve">-619</t>
  </si>
  <si>
    <t xml:space="preserve">F329</t>
  </si>
  <si>
    <t xml:space="preserve">-585</t>
  </si>
  <si>
    <t xml:space="preserve">F330</t>
  </si>
  <si>
    <t xml:space="preserve">Tableau de flux : intérêts sur actifs IFRIC 12</t>
  </si>
  <si>
    <t xml:space="preserve">-78</t>
  </si>
  <si>
    <t xml:space="preserve">F331</t>
  </si>
  <si>
    <t xml:space="preserve">-86</t>
  </si>
  <si>
    <t xml:space="preserve">F332</t>
  </si>
  <si>
    <t xml:space="preserve">Tableau de flux : intérêts sur dette de loyers IFRS 16</t>
  </si>
  <si>
    <t xml:space="preserve">-67</t>
  </si>
  <si>
    <t xml:space="preserve">F333</t>
  </si>
  <si>
    <t xml:space="preserve">-66</t>
  </si>
  <si>
    <t xml:space="preserve">F334</t>
  </si>
  <si>
    <t xml:space="preserve">Tableau de flux : coupons des titres super-subordonnés</t>
  </si>
  <si>
    <t xml:space="preserve">-121</t>
  </si>
  <si>
    <t xml:space="preserve">F335</t>
  </si>
  <si>
    <t xml:space="preserve">-81</t>
  </si>
  <si>
    <t xml:space="preserve">F336</t>
  </si>
  <si>
    <t xml:space="preserve">Tableau de flux : dividendes versés</t>
  </si>
  <si>
    <t xml:space="preserve">-1,280</t>
  </si>
  <si>
    <t xml:space="preserve">F337</t>
  </si>
  <si>
    <t xml:space="preserve">-1,218</t>
  </si>
  <si>
    <t xml:space="preserve">F338</t>
  </si>
  <si>
    <t xml:space="preserve">Tableau de flux : remboursement de la dette de loyers IFRS 16 courante</t>
  </si>
  <si>
    <t xml:space="preserve">-506</t>
  </si>
  <si>
    <t xml:space="preserve">F339</t>
  </si>
  <si>
    <t xml:space="preserve">-541</t>
  </si>
  <si>
    <t xml:space="preserve">F340</t>
  </si>
  <si>
    <t xml:space="preserve">Tableau de flux : nouveaux emprunts non courants</t>
  </si>
  <si>
    <t xml:space="preserve">2,766</t>
  </si>
  <si>
    <t xml:space="preserve">F341</t>
  </si>
  <si>
    <t xml:space="preserve">1,462</t>
  </si>
  <si>
    <t xml:space="preserve">F342</t>
  </si>
  <si>
    <t xml:space="preserve">Tableau de flux : remboursements d'emprunts non courants</t>
  </si>
  <si>
    <t xml:space="preserve">-186</t>
  </si>
  <si>
    <t xml:space="preserve">F343</t>
  </si>
  <si>
    <t xml:space="preserve">F344</t>
  </si>
  <si>
    <t xml:space="preserve">Tableau de flux : variation des passifs financiers courants</t>
  </si>
  <si>
    <t xml:space="preserve">-2,170</t>
  </si>
  <si>
    <t xml:space="preserve">F345</t>
  </si>
  <si>
    <t xml:space="preserve">-5</t>
  </si>
  <si>
    <t xml:space="preserve">F346</t>
  </si>
  <si>
    <t xml:space="preserve">Tableau de flux : émission / remboursement de titres super-subordonnés</t>
  </si>
  <si>
    <t xml:space="preserve">492</t>
  </si>
  <si>
    <t xml:space="preserve">F347</t>
  </si>
  <si>
    <t xml:space="preserve">-221</t>
  </si>
  <si>
    <t xml:space="preserve">F348</t>
  </si>
  <si>
    <t xml:space="preserve">Tableau de flux : réduction de capital</t>
  </si>
  <si>
    <t xml:space="preserve">F349</t>
  </si>
  <si>
    <t xml:space="preserve">Flux contractuels non actualisés : emprunts obligataires, 2027</t>
  </si>
  <si>
    <t xml:space="preserve">3,043</t>
  </si>
  <si>
    <t xml:space="preserve">F350</t>
  </si>
  <si>
    <t xml:space="preserve">Flux contractuels non actualisés : emprunts obligataires, 2028</t>
  </si>
  <si>
    <t xml:space="preserve">2,447</t>
  </si>
  <si>
    <t xml:space="preserve">F351</t>
  </si>
  <si>
    <t xml:space="preserve">Flux contractuels non actualisés : emprunts obligataires, 2029</t>
  </si>
  <si>
    <t xml:space="preserve">1,781</t>
  </si>
  <si>
    <t xml:space="preserve">F352</t>
  </si>
  <si>
    <t xml:space="preserve">Flux contractuels non actualisés : emprunts obligataires, 2030</t>
  </si>
  <si>
    <t xml:space="preserve">2,006</t>
  </si>
  <si>
    <t xml:space="preserve">F353</t>
  </si>
  <si>
    <t xml:space="preserve">Flux contractuels non actualisés : emprunts obligataires, au-delà de 5 ans</t>
  </si>
  <si>
    <t xml:space="preserve">11,065</t>
  </si>
  <si>
    <t xml:space="preserve">F354</t>
  </si>
  <si>
    <t xml:space="preserve">Flux contractuels non actualisés : autres passifs et découverts bancaires, total</t>
  </si>
  <si>
    <t xml:space="preserve">9,977</t>
  </si>
  <si>
    <t xml:space="preserve">F355</t>
  </si>
  <si>
    <t xml:space="preserve">Flux contractuels non actualisés : autres passifs et découverts bancaires, 2026</t>
  </si>
  <si>
    <t xml:space="preserve">7,219</t>
  </si>
  <si>
    <t xml:space="preserve">F356</t>
  </si>
  <si>
    <t xml:space="preserve">Flux contractuels non actualisés : autres passifs et découverts bancaires, 2027</t>
  </si>
  <si>
    <t xml:space="preserve">465</t>
  </si>
  <si>
    <t xml:space="preserve">F357</t>
  </si>
  <si>
    <t xml:space="preserve">Flux contractuels non actualisés : autres passifs et découverts bancaires, 2028</t>
  </si>
  <si>
    <t xml:space="preserve">728</t>
  </si>
  <si>
    <t xml:space="preserve">F358</t>
  </si>
  <si>
    <t xml:space="preserve">Flux contractuels non actualisés : autres passifs et découverts bancaires, 2029</t>
  </si>
  <si>
    <t xml:space="preserve">302</t>
  </si>
  <si>
    <t xml:space="preserve">F359</t>
  </si>
  <si>
    <t xml:space="preserve">Flux contractuels non actualisés : autres passifs et découverts bancaires, 2030</t>
  </si>
  <si>
    <t xml:space="preserve">254</t>
  </si>
  <si>
    <t xml:space="preserve">F360</t>
  </si>
  <si>
    <t xml:space="preserve">Flux contractuels non actualisés : autres passifs et découverts bancaires, au-delà de 5 ans</t>
  </si>
  <si>
    <t xml:space="preserve">1,009</t>
  </si>
  <si>
    <t xml:space="preserve">F361</t>
  </si>
  <si>
    <t xml:space="preserve">Flux contractuels non actualisés : dette de loyers IFRS 16, total</t>
  </si>
  <si>
    <t xml:space="preserve">2,162</t>
  </si>
  <si>
    <t xml:space="preserve">F362</t>
  </si>
  <si>
    <t xml:space="preserve">Flux contractuels non actualisés : dette de loyers IFRS 16, 2026</t>
  </si>
  <si>
    <t xml:space="preserve">499</t>
  </si>
  <si>
    <t xml:space="preserve">F363</t>
  </si>
  <si>
    <t xml:space="preserve">Flux contractuels non actualisés : dette de loyers IFRS 16, 2027</t>
  </si>
  <si>
    <t xml:space="preserve">384</t>
  </si>
  <si>
    <t xml:space="preserve">F364</t>
  </si>
  <si>
    <t xml:space="preserve">Flux contractuels non actualisés : dette de loyers IFRS 16, 2028</t>
  </si>
  <si>
    <t xml:space="preserve">317</t>
  </si>
  <si>
    <t xml:space="preserve">F365</t>
  </si>
  <si>
    <t xml:space="preserve">Flux contractuels non actualisés : dette de loyers IFRS 16, 2029</t>
  </si>
  <si>
    <t xml:space="preserve">198</t>
  </si>
  <si>
    <t xml:space="preserve">F366</t>
  </si>
  <si>
    <t xml:space="preserve">Flux contractuels non actualisés : dette de loyers IFRS 16, 2030</t>
  </si>
  <si>
    <t xml:space="preserve">147</t>
  </si>
  <si>
    <t xml:space="preserve">F367</t>
  </si>
  <si>
    <t xml:space="preserve">Flux contractuels non actualisés : dette de loyers IFRS 16, au-delà de 5 ans</t>
  </si>
  <si>
    <t xml:space="preserve">618</t>
  </si>
  <si>
    <t xml:space="preserve">F368</t>
  </si>
  <si>
    <t xml:space="preserve">Flux contractuels non actualisés : passifs financiers bruts, 2027</t>
  </si>
  <si>
    <t xml:space="preserve">3,891</t>
  </si>
  <si>
    <t xml:space="preserve">F369</t>
  </si>
  <si>
    <t xml:space="preserve">Flux contractuels non actualisés : passifs financiers bruts, 2028</t>
  </si>
  <si>
    <t xml:space="preserve">3,492</t>
  </si>
  <si>
    <t xml:space="preserve">F370</t>
  </si>
  <si>
    <t xml:space="preserve">Flux contractuels non actualisés : passifs financiers bruts, 2029</t>
  </si>
  <si>
    <t xml:space="preserve">2,281</t>
  </si>
  <si>
    <t xml:space="preserve">F371</t>
  </si>
  <si>
    <t xml:space="preserve">Flux contractuels non actualisés : passifs financiers bruts, 2030</t>
  </si>
  <si>
    <t xml:space="preserve">2,407</t>
  </si>
  <si>
    <t xml:space="preserve">F372</t>
  </si>
  <si>
    <t xml:space="preserve">Flux contractuels non actualisés : passifs financiers bruts, au-delà de 5 ans</t>
  </si>
  <si>
    <t xml:space="preserve">12,692</t>
  </si>
  <si>
    <t xml:space="preserve">F373</t>
  </si>
  <si>
    <t xml:space="preserve">Ligne de crédit syndiquée non tirée (Veolia Environnement)</t>
  </si>
  <si>
    <t xml:space="preserve">4,500</t>
  </si>
  <si>
    <t xml:space="preserve">F374</t>
  </si>
  <si>
    <t xml:space="preserve">Lignes de crédit bilatérales MT non tirées (Veolia Environnement)</t>
  </si>
  <si>
    <t xml:space="preserve">765</t>
  </si>
  <si>
    <t xml:space="preserve">F375</t>
  </si>
  <si>
    <t xml:space="preserve">Trésorerie, équivalents, actifs liquides et de financement (Veolia Environnement)</t>
  </si>
  <si>
    <t xml:space="preserve">7,551</t>
  </si>
  <si>
    <t xml:space="preserve">F376</t>
  </si>
  <si>
    <t xml:space="preserve">Lignes de crédit bilatérales des filiales</t>
  </si>
  <si>
    <t xml:space="preserve">673</t>
  </si>
  <si>
    <t xml:space="preserve">F377</t>
  </si>
  <si>
    <t xml:space="preserve">Souche EMTN Series 41, échéance 15/04/2028 : nominal</t>
  </si>
  <si>
    <t xml:space="preserve">F378</t>
  </si>
  <si>
    <t xml:space="preserve">Souche EMTN Series 41, échéance 15/04/2028 : taux</t>
  </si>
  <si>
    <t xml:space="preserve">F379</t>
  </si>
  <si>
    <t xml:space="preserve">Souche EMTN Series 17, échéance 19/05/2028 : nominal</t>
  </si>
  <si>
    <t xml:space="preserve">800</t>
  </si>
  <si>
    <t xml:space="preserve">F380</t>
  </si>
  <si>
    <t xml:space="preserve">Souche EMTN Series 17, échéance 19/05/2028 : taux</t>
  </si>
  <si>
    <t xml:space="preserve">F381</t>
  </si>
  <si>
    <t xml:space="preserve">Souche EMTN Series 34, échéance 04/01/2029 : nominal</t>
  </si>
  <si>
    <t xml:space="preserve">F382</t>
  </si>
  <si>
    <t xml:space="preserve">Souche EMTN Series 19, échéance 03/04/2029 : nominal</t>
  </si>
  <si>
    <t xml:space="preserve">F383</t>
  </si>
  <si>
    <t xml:space="preserve">Souche EMTN Series 13, échéance 21/05/2029 : nominal</t>
  </si>
  <si>
    <t xml:space="preserve">F384</t>
  </si>
  <si>
    <t xml:space="preserve">Souche EMTN Series 38, échéance 07/01/2030 : nominal</t>
  </si>
  <si>
    <t xml:space="preserve">F385</t>
  </si>
  <si>
    <t xml:space="preserve">Souche EMTN Series 15, échéance 01/07/2030 : nominal</t>
  </si>
  <si>
    <t xml:space="preserve">50</t>
  </si>
  <si>
    <t xml:space="preserve">F386</t>
  </si>
  <si>
    <t xml:space="preserve">Souche EMTN Series 21, échéance 17/09/2030 : nominal</t>
  </si>
  <si>
    <t xml:space="preserve">F387</t>
  </si>
  <si>
    <t xml:space="preserve">-2,965</t>
  </si>
  <si>
    <t xml:space="preserve">F388</t>
  </si>
  <si>
    <t xml:space="preserve">Tableau de flux : cessions d'actifs industriels</t>
  </si>
  <si>
    <t xml:space="preserve">199</t>
  </si>
  <si>
    <t xml:space="preserve">F389</t>
  </si>
  <si>
    <t xml:space="preserve">212</t>
  </si>
  <si>
    <t xml:space="preserve">F390</t>
  </si>
  <si>
    <t xml:space="preserve">Tableau de flux : acquisitions de titres (purchases of investments)</t>
  </si>
  <si>
    <t xml:space="preserve">-702</t>
  </si>
  <si>
    <t xml:space="preserve">F391</t>
  </si>
  <si>
    <t xml:space="preserve">-482</t>
  </si>
  <si>
    <t xml:space="preserve">F392</t>
  </si>
  <si>
    <t xml:space="preserve">Tableau de flux : cessions d'actifs financiers</t>
  </si>
  <si>
    <t xml:space="preserve">59</t>
  </si>
  <si>
    <t xml:space="preserve">F393</t>
  </si>
  <si>
    <t xml:space="preserve">949</t>
  </si>
  <si>
    <t xml:space="preserve">F394</t>
  </si>
  <si>
    <t xml:space="preserve">Tableau de flux : nouveaux actifs financiers opérationnels</t>
  </si>
  <si>
    <t xml:space="preserve">-156</t>
  </si>
  <si>
    <t xml:space="preserve">F395</t>
  </si>
  <si>
    <t xml:space="preserve">-225</t>
  </si>
  <si>
    <t xml:space="preserve">F396</t>
  </si>
  <si>
    <t xml:space="preserve">268</t>
  </si>
  <si>
    <t xml:space="preserve">F397</t>
  </si>
  <si>
    <t xml:space="preserve">Tableau de flux : transactions avec les minoritaires : achats partiels</t>
  </si>
  <si>
    <t xml:space="preserve">-1,563</t>
  </si>
  <si>
    <t xml:space="preserve">F398</t>
  </si>
  <si>
    <t xml:space="preserve">-32</t>
  </si>
  <si>
    <t xml:space="preserve">F399</t>
  </si>
  <si>
    <t xml:space="preserve">Tableau de flux : émission d'actions</t>
  </si>
  <si>
    <t xml:space="preserve">F400</t>
  </si>
  <si>
    <t xml:space="preserve">341</t>
  </si>
  <si>
    <t xml:space="preserve">F401</t>
  </si>
  <si>
    <t xml:space="preserve">Tableau de flux : flux nets des activités de financement</t>
  </si>
  <si>
    <t xml:space="preserve">-3,358</t>
  </si>
  <si>
    <t xml:space="preserve">F402</t>
  </si>
  <si>
    <t xml:space="preserve">-1,857</t>
  </si>
  <si>
    <t xml:space="preserve">F403</t>
  </si>
  <si>
    <t xml:space="preserve">Tableau de flux : trésorerie nette de clôture</t>
  </si>
  <si>
    <t xml:space="preserve">7,806</t>
  </si>
  <si>
    <t xml:space="preserve">F404</t>
  </si>
  <si>
    <t xml:space="preserve">9,404</t>
  </si>
  <si>
    <t xml:space="preserve">F405</t>
  </si>
  <si>
    <t xml:space="preserve">Flux contractuels non actualisés : emprunts obligataires, total</t>
  </si>
  <si>
    <t xml:space="preserve">22,265</t>
  </si>
  <si>
    <t xml:space="preserve">F406</t>
  </si>
  <si>
    <t xml:space="preserve">Flux contractuels non actualisés : emprunts obligataires, 2026</t>
  </si>
  <si>
    <t xml:space="preserve">1,924</t>
  </si>
  <si>
    <t xml:space="preserve">F407</t>
  </si>
  <si>
    <t xml:space="preserve">Flux contractuels non actualisés : passifs financiers bruts, total</t>
  </si>
  <si>
    <t xml:space="preserve">34,404</t>
  </si>
  <si>
    <t xml:space="preserve">F408</t>
  </si>
  <si>
    <t xml:space="preserve">Flux contractuels non actualisés : passifs financiers bruts, 2026</t>
  </si>
  <si>
    <t xml:space="preserve">9,642</t>
  </si>
  <si>
    <t xml:space="preserve">F409</t>
  </si>
  <si>
    <t xml:space="preserve">Trésorerie, équivalents, actifs liquides et de financement (filiales)</t>
  </si>
  <si>
    <t xml:space="preserve">2,422</t>
  </si>
  <si>
    <t xml:space="preserve">F410</t>
  </si>
  <si>
    <t xml:space="preserve">Dettes courantes, découverts bancaires et autres : total</t>
  </si>
  <si>
    <t xml:space="preserve">9,026</t>
  </si>
  <si>
    <t xml:space="preserve">F411</t>
  </si>
  <si>
    <t xml:space="preserve">Liquidités nettes des dettes courantes et découverts</t>
  </si>
  <si>
    <t xml:space="preserve">6,886</t>
  </si>
  <si>
    <t xml:space="preserve">F412</t>
  </si>
  <si>
    <t xml:space="preserve">Total des liquidités</t>
  </si>
  <si>
    <t xml:space="preserve">17,792</t>
  </si>
  <si>
    <t xml:space="preserve">F413</t>
  </si>
  <si>
    <t xml:space="preserve">8,313</t>
  </si>
  <si>
    <t xml:space="preserve">F414</t>
  </si>
  <si>
    <t xml:space="preserve">Ligne de crédit syndiquée : échéance après prolongation</t>
  </si>
  <si>
    <t xml:space="preserve">année</t>
  </si>
  <si>
    <t xml:space="preserve">2030</t>
  </si>
  <si>
    <t xml:space="preserve">F415</t>
  </si>
  <si>
    <t xml:space="preserve">Lignes de crédit confirmées non tirées : total</t>
  </si>
  <si>
    <t xml:space="preserve">5,938</t>
  </si>
  <si>
    <t xml:space="preserve">F416</t>
  </si>
  <si>
    <t xml:space="preserve">Lignes de crédit confirmées non tirées : échéance 2030</t>
  </si>
  <si>
    <t xml:space="preserve">4,650</t>
  </si>
  <si>
    <t xml:space="preserve">F417</t>
  </si>
  <si>
    <t xml:space="preserve">15,911</t>
  </si>
  <si>
    <t xml:space="preserve">F418</t>
  </si>
  <si>
    <t xml:space="preserve">GreenUp : EBITDA de base</t>
  </si>
  <si>
    <t xml:space="preserve">F419</t>
  </si>
  <si>
    <t xml:space="preserve">GreenUp : croissance annuelle moyenne de l'EBITDA 2023-2027, environ</t>
  </si>
  <si>
    <t xml:space="preserve">2023-2027</t>
  </si>
  <si>
    <t xml:space="preserve">F420</t>
  </si>
  <si>
    <t xml:space="preserve">GreenUp : gains d'efficacité par an</t>
  </si>
  <si>
    <t xml:space="preserve">350</t>
  </si>
  <si>
    <t xml:space="preserve">F421</t>
  </si>
  <si>
    <t xml:space="preserve">GreenUp : synergies de coûts attendues en 2024-2025, environ</t>
  </si>
  <si>
    <t xml:space="preserve">2024-2025</t>
  </si>
  <si>
    <t xml:space="preserve">F422</t>
  </si>
  <si>
    <t xml:space="preserve">GreenUp : synergies Suez cumulées 2022-2025 confirmées</t>
  </si>
  <si>
    <t xml:space="preserve">2022-2025</t>
  </si>
  <si>
    <t xml:space="preserve">F423</t>
  </si>
  <si>
    <t xml:space="preserve">GreenUp : croissance annuelle moyenne du résultat net courant 2023-2027, environ</t>
  </si>
  <si>
    <t xml:space="preserve">F424</t>
  </si>
  <si>
    <t xml:space="preserve">Gains d'efficacité annuels</t>
  </si>
  <si>
    <t xml:space="preserve">399</t>
  </si>
  <si>
    <t xml:space="preserve">F425</t>
  </si>
  <si>
    <t xml:space="preserve">Croissance organique de l'EBITDA (groupe)</t>
  </si>
  <si>
    <t xml:space="preserve">+6.3</t>
  </si>
  <si>
    <t xml:space="preserve">F426</t>
  </si>
  <si>
    <t xml:space="preserve">Marge d'EBITDA (groupe)</t>
  </si>
  <si>
    <t xml:space="preserve">15.9</t>
  </si>
  <si>
    <t xml:space="preserve">F427</t>
  </si>
  <si>
    <t xml:space="preserve">Croissance organique du chiffre d'affaires hors prix de l'énergie (groupe)</t>
  </si>
  <si>
    <t xml:space="preserve">+2.8</t>
  </si>
  <si>
    <t xml:space="preserve">F428</t>
  </si>
  <si>
    <t xml:space="preserve">Boosters : croissance du chiffre d'affaires tuck-ins compris</t>
  </si>
  <si>
    <t xml:space="preserve">+8</t>
  </si>
  <si>
    <t xml:space="preserve">F429</t>
  </si>
  <si>
    <t xml:space="preserve">Strongholds : chiffre d'affaires</t>
  </si>
  <si>
    <t xml:space="preserve">31,205</t>
  </si>
  <si>
    <t xml:space="preserve">F430</t>
  </si>
  <si>
    <t xml:space="preserve">Strongholds : croissance organique du chiffre d'affaires hors prix de l'énergie</t>
  </si>
  <si>
    <t xml:space="preserve">+2.2</t>
  </si>
  <si>
    <t xml:space="preserve">F431</t>
  </si>
  <si>
    <t xml:space="preserve">Strongholds : EBITDA</t>
  </si>
  <si>
    <t xml:space="preserve">5,383</t>
  </si>
  <si>
    <t xml:space="preserve">F432</t>
  </si>
  <si>
    <t xml:space="preserve">Strongholds : croissance organique de l'EBITDA</t>
  </si>
  <si>
    <t xml:space="preserve">+4.8</t>
  </si>
  <si>
    <t xml:space="preserve">F433</t>
  </si>
  <si>
    <t xml:space="preserve">Strongholds : marge d'EBITDA</t>
  </si>
  <si>
    <t xml:space="preserve">17.2</t>
  </si>
  <si>
    <t xml:space="preserve">F434</t>
  </si>
  <si>
    <t xml:space="preserve">Eau municipale : chiffre d'affaires</t>
  </si>
  <si>
    <t xml:space="preserve">12,739</t>
  </si>
  <si>
    <t xml:space="preserve">F435</t>
  </si>
  <si>
    <t xml:space="preserve">Eau municipale : EBITDA</t>
  </si>
  <si>
    <t xml:space="preserve">2,729</t>
  </si>
  <si>
    <t xml:space="preserve">F436</t>
  </si>
  <si>
    <t xml:space="preserve">Eau municipale : croissance organique de l'EBITDA</t>
  </si>
  <si>
    <t xml:space="preserve">+6.1</t>
  </si>
  <si>
    <t xml:space="preserve">F437</t>
  </si>
  <si>
    <t xml:space="preserve">Réseaux de chaleur et de froid : chiffre d'affaires</t>
  </si>
  <si>
    <t xml:space="preserve">7,240</t>
  </si>
  <si>
    <t xml:space="preserve">F438</t>
  </si>
  <si>
    <t xml:space="preserve">Réseaux de chaleur et de froid : EBITDA</t>
  </si>
  <si>
    <t xml:space="preserve">1,087</t>
  </si>
  <si>
    <t xml:space="preserve">F439</t>
  </si>
  <si>
    <t xml:space="preserve">Réseaux de chaleur et de froid : croissance organique de l'EBITDA</t>
  </si>
  <si>
    <t xml:space="preserve">-1.5</t>
  </si>
  <si>
    <t xml:space="preserve">F440</t>
  </si>
  <si>
    <t xml:space="preserve">Déchets solides : chiffre d'affaires</t>
  </si>
  <si>
    <t xml:space="preserve">11,226</t>
  </si>
  <si>
    <t xml:space="preserve">F441</t>
  </si>
  <si>
    <t xml:space="preserve">Déchets solides : EBITDA</t>
  </si>
  <si>
    <t xml:space="preserve">1,566</t>
  </si>
  <si>
    <t xml:space="preserve">F442</t>
  </si>
  <si>
    <t xml:space="preserve">Déchets solides : croissance organique de l'EBITDA</t>
  </si>
  <si>
    <t xml:space="preserve">+6.8</t>
  </si>
  <si>
    <t xml:space="preserve">F443</t>
  </si>
  <si>
    <t xml:space="preserve">Espagne : nombre de tuck-ins intégrés en deux ans</t>
  </si>
  <si>
    <t xml:space="preserve">tuck-ins</t>
  </si>
  <si>
    <t xml:space="preserve">13</t>
  </si>
  <si>
    <t xml:space="preserve">F444</t>
  </si>
  <si>
    <t xml:space="preserve">Espagne : valeur d'entreprise totale des tuck-ins</t>
  </si>
  <si>
    <t xml:space="preserve">87</t>
  </si>
  <si>
    <t xml:space="preserve">F445</t>
  </si>
  <si>
    <t xml:space="preserve">Espagne : multiple moyen des tuck-ins, environ</t>
  </si>
  <si>
    <t xml:space="preserve">7.4</t>
  </si>
  <si>
    <t xml:space="preserve">F446</t>
  </si>
  <si>
    <t xml:space="preserve">Espagne : gains d'efficacité et synergies en deux ans</t>
  </si>
  <si>
    <t xml:space="preserve">109</t>
  </si>
  <si>
    <t xml:space="preserve">F447</t>
  </si>
  <si>
    <t xml:space="preserve">Guidance 2026 : croissance du résultat net courant Clean Earth inclus, au moins</t>
  </si>
  <si>
    <t xml:space="preserve">F448</t>
  </si>
  <si>
    <t xml:space="preserve">Chiffre d'affaires du groupe (IFRS 8.33)</t>
  </si>
  <si>
    <t xml:space="preserve">44,396</t>
  </si>
  <si>
    <t xml:space="preserve">F449</t>
  </si>
  <si>
    <t xml:space="preserve">44,692</t>
  </si>
  <si>
    <t xml:space="preserve">F450</t>
  </si>
  <si>
    <t xml:space="preserve">Chiffre d'affaires par pays : France</t>
  </si>
  <si>
    <t xml:space="preserve">8,547</t>
  </si>
  <si>
    <t xml:space="preserve">F451</t>
  </si>
  <si>
    <t xml:space="preserve">Chiffre d'affaires par pays : États-Unis</t>
  </si>
  <si>
    <t xml:space="preserve">4,683</t>
  </si>
  <si>
    <t xml:space="preserve">F452</t>
  </si>
  <si>
    <t xml:space="preserve">Chiffre d'affaires par pays : Allemagne</t>
  </si>
  <si>
    <t xml:space="preserve">3,097</t>
  </si>
  <si>
    <t xml:space="preserve">F453</t>
  </si>
  <si>
    <t xml:space="preserve">Chiffre d'affaires par pays : Espagne</t>
  </si>
  <si>
    <t xml:space="preserve">3,035</t>
  </si>
  <si>
    <t xml:space="preserve">F454</t>
  </si>
  <si>
    <t xml:space="preserve">Chiffre d'affaires par pays : Pologne</t>
  </si>
  <si>
    <t xml:space="preserve">3,007</t>
  </si>
  <si>
    <t xml:space="preserve">F455</t>
  </si>
  <si>
    <t xml:space="preserve">Chiffre d'affaires par pays : Royaume-Uni</t>
  </si>
  <si>
    <t xml:space="preserve">2,978</t>
  </si>
  <si>
    <t xml:space="preserve">F456</t>
  </si>
  <si>
    <t xml:space="preserve">Chiffre d'affaires par pays : République tchèque</t>
  </si>
  <si>
    <t xml:space="preserve">2,165</t>
  </si>
  <si>
    <t xml:space="preserve">F457</t>
  </si>
  <si>
    <t xml:space="preserve">Chiffre d'affaires par pays : Australie</t>
  </si>
  <si>
    <t xml:space="preserve">2,023</t>
  </si>
  <si>
    <t xml:space="preserve">F458</t>
  </si>
  <si>
    <t xml:space="preserve">Chiffre d'affaires par pays : Italie</t>
  </si>
  <si>
    <t xml:space="preserve">1,160</t>
  </si>
  <si>
    <t xml:space="preserve">F459</t>
  </si>
  <si>
    <t xml:space="preserve">Chiffre d'affaires par pays : Belgique</t>
  </si>
  <si>
    <t xml:space="preserve">1,081</t>
  </si>
  <si>
    <t xml:space="preserve">F460</t>
  </si>
  <si>
    <t xml:space="preserve">1,084</t>
  </si>
  <si>
    <t xml:space="preserve">F461</t>
  </si>
  <si>
    <t xml:space="preserve">Chiffre d'affaires par pays : Hongrie</t>
  </si>
  <si>
    <t xml:space="preserve">1,070</t>
  </si>
  <si>
    <t xml:space="preserve">F462</t>
  </si>
  <si>
    <t xml:space="preserve">816</t>
  </si>
  <si>
    <t xml:space="preserve">F463</t>
  </si>
  <si>
    <t xml:space="preserve">Chiffre d'affaires par pays : Maroc</t>
  </si>
  <si>
    <t xml:space="preserve">932</t>
  </si>
  <si>
    <t xml:space="preserve">F464</t>
  </si>
  <si>
    <t xml:space="preserve">1,266</t>
  </si>
  <si>
    <t xml:space="preserve">F465</t>
  </si>
  <si>
    <t xml:space="preserve">Chiffre d'affaires par pays : Chine</t>
  </si>
  <si>
    <t xml:space="preserve">908</t>
  </si>
  <si>
    <t xml:space="preserve">F466</t>
  </si>
  <si>
    <t xml:space="preserve">Chiffre d'affaires par pays : Chili</t>
  </si>
  <si>
    <t xml:space="preserve">807</t>
  </si>
  <si>
    <t xml:space="preserve">F467</t>
  </si>
  <si>
    <t xml:space="preserve">Chiffre d'affaires par pays : Japon</t>
  </si>
  <si>
    <t xml:space="preserve">609</t>
  </si>
  <si>
    <t xml:space="preserve">F468</t>
  </si>
  <si>
    <t xml:space="preserve">Chiffre d'affaires par pays : Hong Kong</t>
  </si>
  <si>
    <t xml:space="preserve">581</t>
  </si>
  <si>
    <t xml:space="preserve">F469</t>
  </si>
  <si>
    <t xml:space="preserve">Chiffre d'affaires par pays : Slovaquie</t>
  </si>
  <si>
    <t xml:space="preserve">504</t>
  </si>
  <si>
    <t xml:space="preserve">F470</t>
  </si>
  <si>
    <t xml:space="preserve">Chiffre d'affaires par pays : autres pays (moins de 500 M EUR chacun)</t>
  </si>
  <si>
    <t xml:space="preserve">7,207</t>
  </si>
  <si>
    <t xml:space="preserve">F471</t>
  </si>
  <si>
    <t xml:space="preserve">Tuck-ins 2025 (États-Unis, Brésil, Japon) : montant</t>
  </si>
  <si>
    <t xml:space="preserve">370</t>
  </si>
  <si>
    <t xml:space="preserve">F472</t>
  </si>
  <si>
    <t xml:space="preserve">Tuck-ins 2025 (États-Unis, Brésil, Japon) : multiple moyen VE / EBITDA, environ</t>
  </si>
  <si>
    <t xml:space="preserve">F473</t>
  </si>
  <si>
    <t xml:space="preserve">WTS, rachat des 30 % : multiple VE / EBITDA 2025e après synergies, environ</t>
  </si>
  <si>
    <t xml:space="preserve">2025e</t>
  </si>
  <si>
    <t xml:space="preserve">11</t>
  </si>
  <si>
    <t xml:space="preserve">01_Financial/finance_veolia_q1_presentation_2025.pdf</t>
  </si>
  <si>
    <t xml:space="preserve">https://www.veolia.com/sites/g/files/dvc4206/files/document/2025/05/Finance_Veolia_Q1_presentation_2025.pdf</t>
  </si>
  <si>
    <t xml:space="preserve">F474</t>
  </si>
  <si>
    <t xml:space="preserve">Stericycle (WM) : valeur d'entreprise, environ</t>
  </si>
  <si>
    <t xml:space="preserve">annonce 06/2024</t>
  </si>
  <si>
    <t xml:space="preserve">7.2</t>
  </si>
  <si>
    <t xml:space="preserve">05_Commercial_Strategy/wm-stericycle-2024-06-03.html</t>
  </si>
  <si>
    <t xml:space="preserve">https://mediaroom.wm.com/2024-06-03-WM-to-Acquire-Stericycle,-a-Leader-in-Medical-Waste-Services,-for-7-2-Billion</t>
  </si>
  <si>
    <t xml:space="preserve">2026-10-06</t>
  </si>
  <si>
    <t xml:space="preserve">F475</t>
  </si>
  <si>
    <t xml:space="preserve">Stericycle (WM) : dette nette comprise dans la valeur d'entreprise, environ</t>
  </si>
  <si>
    <t xml:space="preserve">1.4</t>
  </si>
  <si>
    <t xml:space="preserve">F476</t>
  </si>
  <si>
    <t xml:space="preserve">Stericycle (WM) : prix par action</t>
  </si>
  <si>
    <t xml:space="preserve">USD</t>
  </si>
  <si>
    <t xml:space="preserve">62.00</t>
  </si>
  <si>
    <t xml:space="preserve">F477</t>
  </si>
  <si>
    <t xml:space="preserve">Stericycle (WM) : synergies annuelles attendues, plus de</t>
  </si>
  <si>
    <t xml:space="preserve">régime de croisière</t>
  </si>
  <si>
    <t xml:space="preserve">125</t>
  </si>
  <si>
    <t xml:space="preserve">F478</t>
  </si>
  <si>
    <t xml:space="preserve">HEPACO (Clean Harbors) : prix d'acquisition</t>
  </si>
  <si>
    <t xml:space="preserve">03/2024</t>
  </si>
  <si>
    <t xml:space="preserve">400</t>
  </si>
  <si>
    <t xml:space="preserve">05_Commercial_Strategy/clean-harbors-hepaco-2024-03-25.html</t>
  </si>
  <si>
    <t xml:space="preserve">https://www.cleanharbors.com/2024/clean-harbors-completes-acquisition-of-hepaco</t>
  </si>
  <si>
    <t xml:space="preserve">F479</t>
  </si>
  <si>
    <t xml:space="preserve">HEPACO (Clean Harbors) : EBITDA ajusté 2023, environ</t>
  </si>
  <si>
    <t xml:space="preserve">36</t>
  </si>
  <si>
    <t xml:space="preserve">F480</t>
  </si>
  <si>
    <t xml:space="preserve">HEPACO (Clean Harbors) : chiffre d'affaires 2023</t>
  </si>
  <si>
    <t xml:space="preserve">270</t>
  </si>
  <si>
    <t xml:space="preserve">F481</t>
  </si>
  <si>
    <t xml:space="preserve">HEPACO (Clean Harbors) : EBITDA ajusté attendu en 2024, environ</t>
  </si>
  <si>
    <t xml:space="preserve">30</t>
  </si>
  <si>
    <t xml:space="preserve">F482</t>
  </si>
  <si>
    <t xml:space="preserve">HEPACO (Clean Harbors) : synergies de coûts attendues, environ</t>
  </si>
  <si>
    <t xml:space="preserve">année 1</t>
  </si>
  <si>
    <t xml:space="preserve">F483</t>
  </si>
  <si>
    <t xml:space="preserve">HEPACO (Clean Harbors) : multiple après synergies</t>
  </si>
  <si>
    <t xml:space="preserve">F484</t>
  </si>
  <si>
    <t xml:space="preserve">Covanta (EQT) : valeur de la transaction, dette comprise</t>
  </si>
  <si>
    <t xml:space="preserve">annonce 07/2021</t>
  </si>
  <si>
    <t xml:space="preserve">5.3</t>
  </si>
  <si>
    <t xml:space="preserve">05_Commercial_Strategy/eqt-covanta-2021-07-14.html</t>
  </si>
  <si>
    <t xml:space="preserve">https://www.prnewswire.com/news-releases/eqt-infrastructure-to-acquire-covanta-holding-corporation-a-global-leader-in-waste-to-energy-solutions-for-usd-5-3-billion-301333761.html</t>
  </si>
  <si>
    <t xml:space="preserve">F485</t>
  </si>
  <si>
    <t xml:space="preserve">Covanta (EQT) : prix par action</t>
  </si>
  <si>
    <t xml:space="preserve">20.25</t>
  </si>
  <si>
    <t xml:space="preserve">F486</t>
  </si>
  <si>
    <t xml:space="preserve">Covanta (EQT) : EBITDA ajusté 2021 attendu, bas</t>
  </si>
  <si>
    <t xml:space="preserve">2021e</t>
  </si>
  <si>
    <t xml:space="preserve">460</t>
  </si>
  <si>
    <t xml:space="preserve">F487</t>
  </si>
  <si>
    <t xml:space="preserve">Covanta (EQT) : EBITDA ajusté 2021 attendu, haut</t>
  </si>
  <si>
    <t xml:space="preserve">480</t>
  </si>
  <si>
    <t xml:space="preserve">F488</t>
  </si>
  <si>
    <t xml:space="preserve">Taxonomie 2025 : chiffre d'affaires total</t>
  </si>
  <si>
    <t xml:space="preserve">44.4</t>
  </si>
  <si>
    <t xml:space="preserve">F489</t>
  </si>
  <si>
    <t xml:space="preserve">Taxonomie 2025 : chiffre d'affaires éligible</t>
  </si>
  <si>
    <t xml:space="preserve">27.8</t>
  </si>
  <si>
    <t xml:space="preserve">F490</t>
  </si>
  <si>
    <t xml:space="preserve">Taxonomie 2025 : chiffre d'affaires éligible et aligné</t>
  </si>
  <si>
    <t xml:space="preserve">F491</t>
  </si>
  <si>
    <t xml:space="preserve">Taxonomie 2025 : capex total</t>
  </si>
  <si>
    <t xml:space="preserve">4.5</t>
  </si>
  <si>
    <t xml:space="preserve">F492</t>
  </si>
  <si>
    <t xml:space="preserve">Taxonomie 2025 : capex éligible</t>
  </si>
  <si>
    <t xml:space="preserve">F493</t>
  </si>
  <si>
    <t xml:space="preserve">Taxonomie 2025 : capex éligible et aligné</t>
  </si>
  <si>
    <t xml:space="preserve">2.1</t>
  </si>
  <si>
    <t xml:space="preserve">F494</t>
  </si>
  <si>
    <t xml:space="preserve">Taxonomie 2024 : capex total</t>
  </si>
  <si>
    <t xml:space="preserve">F495</t>
  </si>
  <si>
    <t xml:space="preserve">Taxonomie 2024 : capex éligible</t>
  </si>
  <si>
    <t xml:space="preserve">F496</t>
  </si>
  <si>
    <t xml:space="preserve">Taxonomie 2024 : capex éligible et aligné</t>
  </si>
  <si>
    <t xml:space="preserve">1.8</t>
  </si>
  <si>
    <t xml:space="preserve">F497</t>
  </si>
  <si>
    <t xml:space="preserve">Taxonomie 2024 : chiffre d'affaires éligible et aligné</t>
  </si>
  <si>
    <t xml:space="preserve">19.7</t>
  </si>
  <si>
    <t xml:space="preserve">F498</t>
  </si>
  <si>
    <t xml:space="preserve">Taxonomie 2025 : part du capex éligible</t>
  </si>
  <si>
    <t xml:space="preserve">65.7</t>
  </si>
  <si>
    <t xml:space="preserve">F499</t>
  </si>
  <si>
    <t xml:space="preserve">Taxonomie 2025 : part du capex éligible et aligné</t>
  </si>
  <si>
    <t xml:space="preserve">47.2</t>
  </si>
  <si>
    <t xml:space="preserve">F500</t>
  </si>
  <si>
    <t xml:space="preserve">Taxonomie 2025 : part du chiffre d'affaires éligible et aligné</t>
  </si>
  <si>
    <t xml:space="preserve">45.7</t>
  </si>
  <si>
    <t xml:space="preserve">F501</t>
  </si>
  <si>
    <t xml:space="preserve">Taxonomie 2025, eau et assainissement : chiffre d'affaires éligible</t>
  </si>
  <si>
    <t xml:space="preserve">11.4</t>
  </si>
  <si>
    <t xml:space="preserve">F502</t>
  </si>
  <si>
    <t xml:space="preserve">Taxonomie 2025, eau et assainissement : chiffre d'affaires éligible et aligné</t>
  </si>
  <si>
    <t xml:space="preserve">6.9</t>
  </si>
  <si>
    <t xml:space="preserve">F503</t>
  </si>
  <si>
    <t xml:space="preserve">Taxonomie 2025, eau et assainissement : capex éligible</t>
  </si>
  <si>
    <t xml:space="preserve">F504</t>
  </si>
  <si>
    <t xml:space="preserve">Taxonomie 2025, eau et assainissement : capex éligible et aligné</t>
  </si>
  <si>
    <t xml:space="preserve">0.8</t>
  </si>
  <si>
    <t xml:space="preserve">F505</t>
  </si>
  <si>
    <t xml:space="preserve">Taxonomie 2025, collecte et traitement des déchets pour l'économie circulaire (déchets dangereux compris) : chiffre d'affaires éligible</t>
  </si>
  <si>
    <t xml:space="preserve">F506</t>
  </si>
  <si>
    <t xml:space="preserve">Taxonomie 2025, collecte et traitement des déchets pour l'économie circulaire (déchets dangereux compris) : chiffre d'affaires éligible et aligné</t>
  </si>
  <si>
    <t xml:space="preserve">3.6</t>
  </si>
  <si>
    <t xml:space="preserve">F507</t>
  </si>
  <si>
    <t xml:space="preserve">Taxonomie 2025, collecte et traitement des déchets pour l'économie circulaire (déchets dangereux compris) : capex éligible</t>
  </si>
  <si>
    <t xml:space="preserve">0.4</t>
  </si>
  <si>
    <t xml:space="preserve">F508</t>
  </si>
  <si>
    <t xml:space="preserve">Taxonomie 2025, collecte et traitement des déchets pour l'économie circulaire (déchets dangereux compris) : capex éligible et aligné</t>
  </si>
  <si>
    <t xml:space="preserve">F509</t>
  </si>
  <si>
    <t xml:space="preserve">Taxonomie 2025, collecte et traitement des déchets dangereux, prévention de la pollution (PPC 2.1, 2.2) : chiffre d'affaires éligible</t>
  </si>
  <si>
    <t xml:space="preserve">F510</t>
  </si>
  <si>
    <t xml:space="preserve">Taxonomie 2025, collecte et traitement des déchets dangereux, prévention de la pollution (PPC 2.1, 2.2) : chiffre d'affaires éligible et aligné</t>
  </si>
  <si>
    <t xml:space="preserve">F511</t>
  </si>
  <si>
    <t xml:space="preserve">Taxonomie 2025, collecte et traitement des déchets dangereux, prévention de la pollution (PPC 2.1, 2.2) : capex éligible</t>
  </si>
  <si>
    <t xml:space="preserve">F512</t>
  </si>
  <si>
    <t xml:space="preserve">Taxonomie 2025, collecte et traitement des déchets dangereux, prévention de la pollution (PPC 2.1, 2.2) : capex éligible et aligné</t>
  </si>
  <si>
    <t xml:space="preserve">F513</t>
  </si>
  <si>
    <t xml:space="preserve">Taxonomie 2025, énergie produite et distribuée : chiffre d'affaires éligible</t>
  </si>
  <si>
    <t xml:space="preserve">6.1</t>
  </si>
  <si>
    <t xml:space="preserve">F514</t>
  </si>
  <si>
    <t xml:space="preserve">Taxonomie 2025, énergie produite et distribuée : chiffre d'affaires éligible et aligné</t>
  </si>
  <si>
    <t xml:space="preserve">F515</t>
  </si>
  <si>
    <t xml:space="preserve">Taxonomie 2025, énergie produite et distribuée : capex éligible</t>
  </si>
  <si>
    <t xml:space="preserve">0.6</t>
  </si>
  <si>
    <t xml:space="preserve">F516</t>
  </si>
  <si>
    <t xml:space="preserve">Taxonomie 2025, énergie produite et distribuée : capex éligible et aligné</t>
  </si>
  <si>
    <t xml:space="preserve">F517</t>
  </si>
  <si>
    <t xml:space="preserve">Taxonomie 2025, services énergétiques aux infrastructures : chiffre d'affaires éligible</t>
  </si>
  <si>
    <t xml:space="preserve">3.5</t>
  </si>
  <si>
    <t xml:space="preserve">F518</t>
  </si>
  <si>
    <t xml:space="preserve">Taxonomie 2025, services énergétiques aux infrastructures : chiffre d'affaires éligible et aligné</t>
  </si>
  <si>
    <t xml:space="preserve">F519</t>
  </si>
  <si>
    <t xml:space="preserve">Taxonomie 2025, services énergétiques aux infrastructures : capex éligible</t>
  </si>
  <si>
    <t xml:space="preserve">0.2</t>
  </si>
  <si>
    <t xml:space="preserve">F520</t>
  </si>
  <si>
    <t xml:space="preserve">Taxonomie 2025, services énergétiques aux infrastructures : capex éligible et aligné</t>
  </si>
  <si>
    <t xml:space="preserve">F521</t>
  </si>
  <si>
    <t xml:space="preserve">Taxonomie 2025, autres activités éligibles : chiffre d'affaires éligible</t>
  </si>
  <si>
    <t xml:space="preserve">F522</t>
  </si>
  <si>
    <t xml:space="preserve">Taxonomie 2025, autres activités éligibles : chiffre d'affaires éligible et aligné</t>
  </si>
  <si>
    <t xml:space="preserve">F523</t>
  </si>
  <si>
    <t xml:space="preserve">Taxonomie 2025, autres activités éligibles : capex éligible</t>
  </si>
  <si>
    <t xml:space="preserve">F524</t>
  </si>
  <si>
    <t xml:space="preserve">Taxonomie 2025, autres activités éligibles : capex éligible et aligné</t>
  </si>
  <si>
    <t xml:space="preserve">0.0</t>
  </si>
  <si>
    <t xml:space="preserve">F525</t>
  </si>
  <si>
    <t xml:space="preserve">US Ecology (Republic Services) : valeur totale, dette nette comprise, environ</t>
  </si>
  <si>
    <t xml:space="preserve">annonce 02/2022</t>
  </si>
  <si>
    <t xml:space="preserve">2.2</t>
  </si>
  <si>
    <t xml:space="preserve">05_Commercial_Strategy/bic-us-ecology-republic-2022.html</t>
  </si>
  <si>
    <t xml:space="preserve">https://www.bicmagazine.com/industry/investment-banking/us-ecology-joins-republic-services/</t>
  </si>
  <si>
    <t xml:space="preserve">F526</t>
  </si>
  <si>
    <t xml:space="preserve">US Ecology (Republic Services) : prix par action</t>
  </si>
  <si>
    <t xml:space="preserve">48</t>
  </si>
  <si>
    <t xml:space="preserve">F527</t>
  </si>
  <si>
    <t xml:space="preserve">US Ecology (Republic Services) : EBITDA ajusté 12 mois</t>
  </si>
  <si>
    <t xml:space="preserve">au 30/09/2021</t>
  </si>
  <si>
    <t xml:space="preserve">156</t>
  </si>
  <si>
    <t xml:space="preserve">F528</t>
  </si>
  <si>
    <t xml:space="preserve">US Ecology (Republic Services) : chiffre d'affaires 12 mois</t>
  </si>
  <si>
    <t xml:space="preserve">968</t>
  </si>
  <si>
    <t xml:space="preserve">F529</t>
  </si>
  <si>
    <t xml:space="preserve">US Ecology (Republic Services) : synergies attendues</t>
  </si>
  <si>
    <t xml:space="preserve">à 3 ans</t>
  </si>
  <si>
    <t xml:space="preserve">40</t>
  </si>
  <si>
    <t xml:space="preserve">F530</t>
  </si>
  <si>
    <t xml:space="preserve">Moody's, pairs : ACEA, notation et perspective</t>
  </si>
  <si>
    <t xml:space="preserve">Baa1 Stable</t>
  </si>
  <si>
    <t xml:space="preserve">05/2026</t>
  </si>
  <si>
    <t xml:space="preserve">F531</t>
  </si>
  <si>
    <t xml:space="preserve">Moody's, pairs : ACEA, EBITDA ajusté</t>
  </si>
  <si>
    <t xml:space="preserve">LTM 06/2025</t>
  </si>
  <si>
    <t xml:space="preserve">1,415</t>
  </si>
  <si>
    <t xml:space="preserve">F532</t>
  </si>
  <si>
    <t xml:space="preserve">Moody's, pairs : ACEA, FFO / dette nette</t>
  </si>
  <si>
    <t xml:space="preserve">F533</t>
  </si>
  <si>
    <t xml:space="preserve">Moody's, pairs : ACEA, RCF / dette nette</t>
  </si>
  <si>
    <t xml:space="preserve">17.5</t>
  </si>
  <si>
    <t xml:space="preserve">F534</t>
  </si>
  <si>
    <t xml:space="preserve">Moody's, pairs : ACEA, dette / EBITDA</t>
  </si>
  <si>
    <t xml:space="preserve">F535</t>
  </si>
  <si>
    <t xml:space="preserve">Moody's, pairs : Hera, notation et perspective</t>
  </si>
  <si>
    <t xml:space="preserve">F536</t>
  </si>
  <si>
    <t xml:space="preserve">Moody's, pairs : Hera, EBITDA ajusté</t>
  </si>
  <si>
    <t xml:space="preserve">1,476</t>
  </si>
  <si>
    <t xml:space="preserve">F537</t>
  </si>
  <si>
    <t xml:space="preserve">Moody's, pairs : Hera, FFO / dette nette</t>
  </si>
  <si>
    <t xml:space="preserve">23.3</t>
  </si>
  <si>
    <t xml:space="preserve">F538</t>
  </si>
  <si>
    <t xml:space="preserve">Moody's, pairs : Hera, RCF / dette nette</t>
  </si>
  <si>
    <t xml:space="preserve">16.9</t>
  </si>
  <si>
    <t xml:space="preserve">F539</t>
  </si>
  <si>
    <t xml:space="preserve">Moody's, pairs : Hera, dette / EBITDA</t>
  </si>
  <si>
    <t xml:space="preserve">3.8</t>
  </si>
  <si>
    <t xml:space="preserve">F540</t>
  </si>
  <si>
    <t xml:space="preserve">Moody's, pairs : Suez, notation et perspective</t>
  </si>
  <si>
    <t xml:space="preserve">Baa2 Negative</t>
  </si>
  <si>
    <t xml:space="preserve">F541</t>
  </si>
  <si>
    <t xml:space="preserve">Moody's, pairs : Suez, EBITDA ajusté</t>
  </si>
  <si>
    <t xml:space="preserve">1,088</t>
  </si>
  <si>
    <t xml:space="preserve">F542</t>
  </si>
  <si>
    <t xml:space="preserve">Moody's, pairs : Suez, FFO / dette nette</t>
  </si>
  <si>
    <t xml:space="preserve">F543</t>
  </si>
  <si>
    <t xml:space="preserve">Moody's, pairs : Suez, RCF / dette nette</t>
  </si>
  <si>
    <t xml:space="preserve">10.3</t>
  </si>
  <si>
    <t xml:space="preserve">F544</t>
  </si>
  <si>
    <t xml:space="preserve">Moody's, pairs : Suez, dette / EBITDA</t>
  </si>
  <si>
    <t xml:space="preserve">6.8</t>
  </si>
  <si>
    <t xml:space="preserve">F545</t>
  </si>
  <si>
    <t xml:space="preserve">Moody's, pairs : Veolia, notation et perspective</t>
  </si>
  <si>
    <t xml:space="preserve">F546</t>
  </si>
  <si>
    <t xml:space="preserve">Sensibilité au change : chiffre d'affaires si les devises s'apprécient de 10 %</t>
  </si>
  <si>
    <t xml:space="preserve">2,824</t>
  </si>
  <si>
    <t xml:space="preserve">F547</t>
  </si>
  <si>
    <t xml:space="preserve">Sensibilité au change : chiffre d'affaires si les devises se déprécient de 10 %</t>
  </si>
  <si>
    <t xml:space="preserve">-2,311</t>
  </si>
  <si>
    <t xml:space="preserve">F548</t>
  </si>
  <si>
    <t xml:space="preserve">Sensibilité au change : résultat opérationnel si les devises s'apprécient de 10 %</t>
  </si>
  <si>
    <t xml:space="preserve">273</t>
  </si>
  <si>
    <t xml:space="preserve">F549</t>
  </si>
  <si>
    <t xml:space="preserve">Sensibilité au change : résultat opérationnel si les devises se déprécient de 10 %</t>
  </si>
  <si>
    <t xml:space="preserve">-223</t>
  </si>
  <si>
    <t xml:space="preserve">F550</t>
  </si>
  <si>
    <t xml:space="preserve">Sensibilité au change : actif net si les devises s'apprécient de 10 %</t>
  </si>
  <si>
    <t xml:space="preserve">1,643</t>
  </si>
  <si>
    <t xml:space="preserve">F551</t>
  </si>
  <si>
    <t xml:space="preserve">Sensibilité au change : coût de l'endettement financier net si les devises s'apprécient de 10 %</t>
  </si>
  <si>
    <t xml:space="preserve">27</t>
  </si>
  <si>
    <t xml:space="preserve">F552</t>
  </si>
  <si>
    <t xml:space="preserve">Coût de l'endettement financier net : part libellée en euros</t>
  </si>
  <si>
    <t xml:space="preserve">57</t>
  </si>
  <si>
    <t xml:space="preserve">F553</t>
  </si>
  <si>
    <t xml:space="preserve">Coût de l'endettement financier net : part libellée en dollars</t>
  </si>
  <si>
    <t xml:space="preserve">16</t>
  </si>
  <si>
    <t xml:space="preserve">F554</t>
  </si>
  <si>
    <t xml:space="preserve">Dette brute après couverture : part à taux fixe</t>
  </si>
  <si>
    <t xml:space="preserve">56.1</t>
  </si>
  <si>
    <t xml:space="preserve">F555</t>
  </si>
  <si>
    <t xml:space="preserve">Dette brute après couverture : part à taux variable</t>
  </si>
  <si>
    <t xml:space="preserve">43.9</t>
  </si>
  <si>
    <t xml:space="preserve">F556</t>
  </si>
  <si>
    <t xml:space="preserve">Position nette à taux variable après couverture (passif)</t>
  </si>
  <si>
    <t xml:space="preserve">-2,992</t>
  </si>
  <si>
    <t xml:space="preserve">F557</t>
  </si>
  <si>
    <t xml:space="preserve">Dette libellée en dollars (avant swaps de devises)</t>
  </si>
  <si>
    <t xml:space="preserve">2,455</t>
  </si>
  <si>
    <t xml:space="preserve">F558</t>
  </si>
  <si>
    <t xml:space="preserve">Dette libellée en euros (avant swaps de devises)</t>
  </si>
  <si>
    <t xml:space="preserve">23,041</t>
  </si>
  <si>
    <t xml:space="preserve">F559</t>
  </si>
  <si>
    <t xml:space="preserve">Effet de change sur les obligations en dollars (conversion au cours de clôture)</t>
  </si>
  <si>
    <t xml:space="preserve">-190</t>
  </si>
  <si>
    <t xml:space="preserve">F560</t>
  </si>
  <si>
    <t xml:space="preserve">Effet des prix des commodités (énergie, recyclats) sur l'EBITDA</t>
  </si>
  <si>
    <t xml:space="preserve">-30</t>
  </si>
  <si>
    <t xml:space="preserve">F561</t>
  </si>
  <si>
    <t xml:space="preserve">Effet des prix des commodités sur l'EBITDA</t>
  </si>
  <si>
    <t xml:space="preserve">-60</t>
  </si>
  <si>
    <t xml:space="preserve">F562</t>
  </si>
  <si>
    <t xml:space="preserve">Hybrides : encours hors coupons</t>
  </si>
  <si>
    <t xml:space="preserve">F563</t>
  </si>
  <si>
    <t xml:space="preserve">Hybride octobre 2020, tranche résiduelle : nominal</t>
  </si>
  <si>
    <t xml:space="preserve">1,150</t>
  </si>
  <si>
    <t xml:space="preserve">F564</t>
  </si>
  <si>
    <t xml:space="preserve">Hybride octobre 2020, tranche résiduelle : coupon jusqu'à la première date de réinitialisation (04/2029)</t>
  </si>
  <si>
    <t xml:space="preserve">2.50</t>
  </si>
  <si>
    <t xml:space="preserve">F565</t>
  </si>
  <si>
    <t xml:space="preserve">Hybride septembre 2019 : nominal</t>
  </si>
  <si>
    <t xml:space="preserve">F566</t>
  </si>
  <si>
    <t xml:space="preserve">Hybride septembre 2019 : coupon jusqu'à la première date de réinitialisation (09/2026)</t>
  </si>
  <si>
    <t xml:space="preserve">1.625</t>
  </si>
  <si>
    <t xml:space="preserve">F567</t>
  </si>
  <si>
    <t xml:space="preserve">Hybride novembre 2021 : nominal</t>
  </si>
  <si>
    <t xml:space="preserve">F568</t>
  </si>
  <si>
    <t xml:space="preserve">Hybride novembre 2021 : coupon jusqu'à la première date de réinitialisation (02/2028)</t>
  </si>
  <si>
    <t xml:space="preserve">F569</t>
  </si>
  <si>
    <t xml:space="preserve">Hybride novembre 2023 : nominal</t>
  </si>
  <si>
    <t xml:space="preserve">600</t>
  </si>
  <si>
    <t xml:space="preserve">F570</t>
  </si>
  <si>
    <t xml:space="preserve">Hybride novembre 2023 : coupon jusqu'à la première date de réinitialisation (02/2029)</t>
  </si>
  <si>
    <t xml:space="preserve">F571</t>
  </si>
  <si>
    <t xml:space="preserve">Hybride mai 2025 (hybride vert) : nominal</t>
  </si>
  <si>
    <t xml:space="preserve">F572</t>
  </si>
  <si>
    <t xml:space="preserve">Hybride mai 2025 (hybride vert) : coupon jusqu'à la première date de réinitialisation (08/2030)</t>
  </si>
  <si>
    <t xml:space="preserve">4.371</t>
  </si>
  <si>
    <t xml:space="preserve">F573</t>
  </si>
  <si>
    <t xml:space="preserve">Hybride septembre 2025 : nominal</t>
  </si>
  <si>
    <t xml:space="preserve">F574</t>
  </si>
  <si>
    <t xml:space="preserve">Hybride septembre 2025 : coupon jusqu'à la première date de réinitialisation (01/2033)</t>
  </si>
  <si>
    <t xml:space="preserve">4.322</t>
  </si>
  <si>
    <t xml:space="preserve">F575</t>
  </si>
  <si>
    <t xml:space="preserve">Hybride octobre 2020, première tranche remboursée en février 2026 : nominal</t>
  </si>
  <si>
    <t xml:space="preserve">02/2026</t>
  </si>
  <si>
    <t xml:space="preserve">F576</t>
  </si>
  <si>
    <t xml:space="preserve">Impact 2023 : EBITDA 2023 visé, bas</t>
  </si>
  <si>
    <t xml:space="preserve">4.7</t>
  </si>
  <si>
    <t xml:space="preserve">01_Financial/finance_annual_results_2023_presentation.pdf</t>
  </si>
  <si>
    <t xml:space="preserve">https://www.veolia.com/sites/g/files/dvc4206/files/document/2024/02/Finance_Annual_results_2023_presentation.pdf</t>
  </si>
  <si>
    <t xml:space="preserve">F577</t>
  </si>
  <si>
    <t xml:space="preserve">Impact 2023 : EBITDA 2023 visé, haut</t>
  </si>
  <si>
    <t xml:space="preserve">F578</t>
  </si>
  <si>
    <t xml:space="preserve">Impact 2023 : EBITDA 2023 réalisé</t>
  </si>
  <si>
    <t xml:space="preserve">F579</t>
  </si>
  <si>
    <t xml:space="preserve">Impact 2023 : résultat net courant 2023 visé, environ</t>
  </si>
  <si>
    <t xml:space="preserve">1</t>
  </si>
  <si>
    <t xml:space="preserve">F580</t>
  </si>
  <si>
    <t xml:space="preserve">Impact 2023 : résultat net courant 2023 réalisé</t>
  </si>
  <si>
    <t xml:space="preserve">1 335</t>
  </si>
  <si>
    <t xml:space="preserve">F581</t>
  </si>
  <si>
    <t xml:space="preserve">Impact 2023 : levier 2023 réalisé</t>
  </si>
  <si>
    <t xml:space="preserve">2.74</t>
  </si>
  <si>
    <t xml:space="preserve">F582</t>
  </si>
  <si>
    <t xml:space="preserve">Impact 2023 : chiffre d'affaires déchets liquides et dangereux visé, plus de</t>
  </si>
  <si>
    <t xml:space="preserve">F583</t>
  </si>
  <si>
    <t xml:space="preserve">Impact 2023 : chiffre d'affaires déchets liquides et dangereux réalisé</t>
  </si>
  <si>
    <t xml:space="preserve">F584</t>
  </si>
  <si>
    <t xml:space="preserve">Impact 2023 : émissions évitées visées</t>
  </si>
  <si>
    <t xml:space="preserve">Mt CO2eq</t>
  </si>
  <si>
    <t xml:space="preserve">15</t>
  </si>
  <si>
    <t xml:space="preserve">F585</t>
  </si>
  <si>
    <t xml:space="preserve">Impact 2023 : émissions évitées réalisées</t>
  </si>
  <si>
    <t xml:space="preserve">15.5</t>
  </si>
  <si>
    <t xml:space="preserve">F586</t>
  </si>
  <si>
    <t xml:space="preserve">Impact 2023 : plastiques transformés visés</t>
  </si>
  <si>
    <t xml:space="preserve">610</t>
  </si>
  <si>
    <t xml:space="preserve">F587</t>
  </si>
  <si>
    <t xml:space="preserve">Impact 2023 : plastiques transformés réalisés</t>
  </si>
  <si>
    <t xml:space="preserve">F588</t>
  </si>
  <si>
    <t xml:space="preserve">Impact 2023 : part de femmes nommées parmi les 500 cadres dirigeants, visée</t>
  </si>
  <si>
    <t xml:space="preserve">2020-2023</t>
  </si>
  <si>
    <t xml:space="preserve">F589</t>
  </si>
  <si>
    <t xml:space="preserve">Impact 2023 : part de femmes nommées parmi les 500 cadres dirigeants, réalisée</t>
  </si>
  <si>
    <t xml:space="preserve">30.7</t>
  </si>
  <si>
    <t xml:space="preserve">F590</t>
  </si>
  <si>
    <t xml:space="preserve">Guidance 2025 : croissance organique de l'EBITDA, bas</t>
  </si>
  <si>
    <t xml:space="preserve">F591</t>
  </si>
  <si>
    <t xml:space="preserve">Guidance 2025 : croissance organique de l'EBITDA, haut</t>
  </si>
  <si>
    <t xml:space="preserve">F592</t>
  </si>
  <si>
    <t xml:space="preserve">Guidance 2025 : gains d'efficacité, plus de</t>
  </si>
  <si>
    <t xml:space="preserve">F593</t>
  </si>
  <si>
    <t xml:space="preserve">Guidance 2025 : synergies cumulées 2022-2025 visées</t>
  </si>
  <si>
    <t xml:space="preserve">F594</t>
  </si>
  <si>
    <t xml:space="preserve">Guidance 2025 : synergies attendues dans l'année</t>
  </si>
  <si>
    <t xml:space="preserve">95</t>
  </si>
  <si>
    <t xml:space="preserve">F595</t>
  </si>
  <si>
    <t xml:space="preserve">Guidance 2025 : croissance du résultat net courant, environ</t>
  </si>
  <si>
    <t xml:space="preserve">F596</t>
  </si>
  <si>
    <t xml:space="preserve">Résultat net courant 2025 : croissance réalisée</t>
  </si>
  <si>
    <t xml:space="preserve">+9.1</t>
  </si>
  <si>
    <t xml:space="preserve">F597</t>
  </si>
  <si>
    <t xml:space="preserve">Cours de clôture de l'action Veolia</t>
  </si>
  <si>
    <t xml:space="preserve">EUR</t>
  </si>
  <si>
    <t xml:space="preserve">29.38</t>
  </si>
  <si>
    <t xml:space="preserve">F598</t>
  </si>
  <si>
    <t xml:space="preserve">Nombre d'actions composant le capital</t>
  </si>
  <si>
    <t xml:space="preserve">741,723,437</t>
  </si>
  <si>
    <t xml:space="preserve">F599</t>
  </si>
  <si>
    <t xml:space="preserve">Capital social</t>
  </si>
  <si>
    <t xml:space="preserve">3,708,617,185</t>
  </si>
  <si>
    <t xml:space="preserve">F600</t>
  </si>
  <si>
    <t xml:space="preserve">Actions autodétenues</t>
  </si>
  <si>
    <t xml:space="preserve">10,438,730</t>
  </si>
  <si>
    <t xml:space="preserve">F601</t>
  </si>
  <si>
    <t xml:space="preserve">EnviroServe (Clean Harbors) : prix d'acquisition</t>
  </si>
  <si>
    <t xml:space="preserve">08/2026</t>
  </si>
  <si>
    <t xml:space="preserve">470</t>
  </si>
  <si>
    <t xml:space="preserve">05_Commercial_Strategy/clean-harbors-enviroserve-2026-08-12.html</t>
  </si>
  <si>
    <t xml:space="preserve">https://www.stocktitan.net/news/CLH/clean-harbors-to-acquire-enviro-serve-for-470-oh17y1jlmzc0.html</t>
  </si>
  <si>
    <t xml:space="preserve">F602</t>
  </si>
  <si>
    <t xml:space="preserve">EnviroServe (Clean Harbors) : EBITDA ajusté annuel attendu, environ</t>
  </si>
  <si>
    <t xml:space="preserve">F603</t>
  </si>
  <si>
    <t xml:space="preserve">EnviroServe (Clean Harbors) : chiffre d'affaires annuel attendu, environ</t>
  </si>
  <si>
    <t xml:space="preserve">F604</t>
  </si>
  <si>
    <t xml:space="preserve">EnviroServe (Clean Harbors) : synergies de coûts attendues, environ</t>
  </si>
  <si>
    <t xml:space="preserve">années 1-2</t>
  </si>
  <si>
    <t xml:space="preserve">25</t>
  </si>
  <si>
    <t xml:space="preserve">F605</t>
  </si>
  <si>
    <t xml:space="preserve">EnviroServe et ES&amp;H (Clean Harbors) : prix combiné</t>
  </si>
  <si>
    <t xml:space="preserve">10/2026</t>
  </si>
  <si>
    <t xml:space="preserve">775</t>
  </si>
  <si>
    <t xml:space="preserve">05_Commercial_Strategy/clean-harbors-enviroserve-esh-2026-10-05.html</t>
  </si>
  <si>
    <t xml:space="preserve">https://www.stocktitan.net/news/CLH/clean-harbors-completes-acquisitions-of-enviro-serve-and-es-exg89lv5k702.html</t>
  </si>
  <si>
    <t xml:space="preserve">F606</t>
  </si>
  <si>
    <t xml:space="preserve">EnviroServe et ES&amp;H (Clean Harbors) : EBITDA ajusté annuel combiné après synergies, environ</t>
  </si>
  <si>
    <t xml:space="preserve">F607</t>
  </si>
  <si>
    <t xml:space="preserve">EnviroServe et ES&amp;H (Clean Harbors) : multiple combiné après synergies</t>
  </si>
  <si>
    <t xml:space="preserve">8.9</t>
  </si>
  <si>
    <t xml:space="preserve">F608</t>
  </si>
  <si>
    <t xml:space="preserve">ES&amp;H (Clean Harbors) : prix d'acquisition</t>
  </si>
  <si>
    <t xml:space="preserve">07/2026</t>
  </si>
  <si>
    <t xml:space="preserve">305</t>
  </si>
  <si>
    <t xml:space="preserve">05_Commercial_Strategy/clean-harbors-q2-2026-2026-07-29.html</t>
  </si>
  <si>
    <t xml:space="preserve">https://www.stocktitan.net/news/CLH/clean-harbors-announces-second-quarter-2026-financial-i7hymqt5jls0.html</t>
  </si>
  <si>
    <t xml:space="preserve">F609</t>
  </si>
  <si>
    <t xml:space="preserve">Heritage-Crystal Clean (J.F. Lehman) : valorisation de la transaction, environ</t>
  </si>
  <si>
    <t xml:space="preserve">07/2023</t>
  </si>
  <si>
    <t xml:space="preserve">1.2</t>
  </si>
  <si>
    <t xml:space="preserve">05_Commercial_Strategy/crystal-clean-jfl-2023-07-19.html</t>
  </si>
  <si>
    <t xml:space="preserve">https://www.crystal-clean.com/heritage-crystal-clean-inc-to-be-acquired-by-j-f-lehman-company-for-1-2-billion/</t>
  </si>
  <si>
    <t xml:space="preserve">F610</t>
  </si>
  <si>
    <t xml:space="preserve">Heritage-Crystal Clean (J.F. Lehman) : prix par action</t>
  </si>
  <si>
    <t xml:space="preserve">45.50</t>
  </si>
  <si>
    <t xml:space="preserve">F611</t>
  </si>
  <si>
    <t xml:space="preserve">Fortum Recycling and Waste (NG Group, Summa Equity) : prix, dette et trésorerie exclues, environ</t>
  </si>
  <si>
    <t xml:space="preserve">07/2024</t>
  </si>
  <si>
    <t xml:space="preserve">05_Commercial_Strategy/fortum-summa-ng-group-2024-07-18.html</t>
  </si>
  <si>
    <t xml:space="preserve">https://news.cision.com/summa-equity/r/summa-equity-through-ng-group-acquires-fortum-recycling-and-waste,c4035069</t>
  </si>
  <si>
    <t xml:space="preserve">F612</t>
  </si>
  <si>
    <t xml:space="preserve">Triumvirate Environmental (Berkshire Partners) : valorisation après investissement</t>
  </si>
  <si>
    <t xml:space="preserve">02/2025</t>
  </si>
  <si>
    <t xml:space="preserve">05_Commercial_Strategy/triumvirate-berkshire-2025-02-04.html</t>
  </si>
  <si>
    <t xml:space="preserve">https://ca.finance.yahoo.com/news/triumvirate-environmental-valued-1-8-132050079.html</t>
  </si>
  <si>
    <t xml:space="preserve">F613</t>
  </si>
  <si>
    <t xml:space="preserve">GFL Environmental Services (Apollo, BC Partners) : valeur d'entreprise</t>
  </si>
  <si>
    <t xml:space="preserve">Md CAD</t>
  </si>
  <si>
    <t xml:space="preserve">01/2025</t>
  </si>
  <si>
    <t xml:space="preserve">8.0</t>
  </si>
  <si>
    <t xml:space="preserve">05_Commercial_Strategy/gfl-es-latham-2025-01-07.html</t>
  </si>
  <si>
    <t xml:space="preserve">https://www.lw.com/en/news/2025/01/latham-watkins-advises-gfl-environmental-inc-on-sale-of-environmental-services-business</t>
  </si>
  <si>
    <t xml:space="preserve">F614</t>
  </si>
  <si>
    <t xml:space="preserve">GFL Environmental Services : participation conservée par GFL</t>
  </si>
  <si>
    <t xml:space="preserve">1.7</t>
  </si>
  <si>
    <t xml:space="preserve">F615</t>
  </si>
  <si>
    <t xml:space="preserve">Taux de référence BCE : dollars canadiens pour un euro</t>
  </si>
  <si>
    <t xml:space="preserve">CAD pour 1 EUR</t>
  </si>
  <si>
    <t xml:space="preserve">06/10/2026</t>
  </si>
  <si>
    <t xml:space="preserve">1.6058</t>
  </si>
  <si>
    <t xml:space="preserve">01_Financial/bce-taux-eur-cad-2026-10-06.html</t>
  </si>
  <si>
    <t xml:space="preserve">https://www.ecb.europa.eu/stats/policy_and_exchange_rates/euro_reference_exchange_rates/html/eurofxref-graph-cad.en.html</t>
  </si>
  <si>
    <t xml:space="preserve">F616</t>
  </si>
  <si>
    <t xml:space="preserve">Seaside Equity Partners : EBITDA visé pour une plateforme (fonds Flagship), bas</t>
  </si>
  <si>
    <t xml:space="preserve">critères 2026</t>
  </si>
  <si>
    <t xml:space="preserve">05_Commercial_Strategy/seaside-criteres-2026-10-07.html</t>
  </si>
  <si>
    <t xml:space="preserve">https://www.seasideequity.com/investment-criteria</t>
  </si>
  <si>
    <t xml:space="preserve">2026-10-07</t>
  </si>
  <si>
    <t xml:space="preserve">F617</t>
  </si>
  <si>
    <t xml:space="preserve">Seaside Equity Partners : EBITDA visé pour une plateforme (fonds Flagship), haut</t>
  </si>
  <si>
    <t xml:space="preserve">F618</t>
  </si>
  <si>
    <t xml:space="preserve">EMI (Enviracore) : salariés</t>
  </si>
  <si>
    <t xml:space="preserve">salariés</t>
  </si>
  <si>
    <t xml:space="preserve">2019</t>
  </si>
  <si>
    <t xml:space="preserve">52</t>
  </si>
  <si>
    <t xml:space="preserve">05_Commercial_Strategy/emi-entretien-2019-01-31.html</t>
  </si>
  <si>
    <t xml:space="preserve">http://podcast.madepossibleby.us/blog/2019/1/31/environmental-management-services-from-a-garage-startup-to-guthries-business-of-the-year</t>
  </si>
  <si>
    <t xml:space="preserve">F619</t>
  </si>
  <si>
    <t xml:space="preserve">EnviroServe (Clean Harbors) : salariés, plus de</t>
  </si>
  <si>
    <t xml:space="preserve">F620</t>
  </si>
  <si>
    <t xml:space="preserve">EnviroServe (Clean Harbors) : implantations</t>
  </si>
  <si>
    <t xml:space="preserve">F621</t>
  </si>
  <si>
    <t xml:space="preserve">2027E</t>
  </si>
  <si>
    <t xml:space="preserve">01_Financial/deep_dive_veolia_in_the_us_presentation-eng.pdf</t>
  </si>
  <si>
    <t xml:space="preserve">https://www.veolia.com/sites/g/files/dvc4206/files/document/2024/04/Deep_Dive_VEOLIA_in_the_US_Presentation-ENG.pdf</t>
  </si>
  <si>
    <t xml:space="preserve">F622</t>
  </si>
  <si>
    <t xml:space="preserve">F623</t>
  </si>
  <si>
    <t xml:space="preserve">États-Unis : part de l'EBITDA du groupe</t>
  </si>
  <si>
    <t xml:space="preserve">12</t>
  </si>
  <si>
    <t xml:space="preserve">F624</t>
  </si>
  <si>
    <t xml:space="preserve">F625</t>
  </si>
  <si>
    <t xml:space="preserve">EBITDA États-Unis (Veolia), plus de</t>
  </si>
  <si>
    <t xml:space="preserve">F626</t>
  </si>
  <si>
    <t xml:space="preserve">Chiffre d'affaires États-Unis (Veolia)</t>
  </si>
  <si>
    <t xml:space="preserve">F627</t>
  </si>
  <si>
    <t xml:space="preserve">F628</t>
  </si>
  <si>
    <t xml:space="preserve">Incinération commerciale : carnet de commandes</t>
  </si>
  <si>
    <t xml:space="preserve">F629</t>
  </si>
  <si>
    <t xml:space="preserve">Marché américain accessible des déchets dangereux : croissance annuelle</t>
  </si>
  <si>
    <t xml:space="preserve">F630</t>
  </si>
  <si>
    <t xml:space="preserve">Veolia États-Unis, déchets dangereux : croissance annuelle moyenne du chiffre d'affaires 2019-2023</t>
  </si>
  <si>
    <t xml:space="preserve">2019-2023</t>
  </si>
  <si>
    <t xml:space="preserve">+9</t>
  </si>
  <si>
    <t xml:space="preserve">F631</t>
  </si>
  <si>
    <t xml:space="preserve">F632</t>
  </si>
  <si>
    <t xml:space="preserve">Marché américain accessible des déchets dangereux</t>
  </si>
  <si>
    <t xml:space="preserve">F633</t>
  </si>
  <si>
    <t xml:space="preserve">Boosters : part du chiffre d'affaires 2023</t>
  </si>
  <si>
    <t xml:space="preserve">F634</t>
  </si>
  <si>
    <t xml:space="preserve">Boosters : Water Technologies, chiffre d'affaires</t>
  </si>
  <si>
    <t xml:space="preserve">F635</t>
  </si>
  <si>
    <t xml:space="preserve">F636</t>
  </si>
  <si>
    <t xml:space="preserve">F637</t>
  </si>
  <si>
    <t xml:space="preserve">F638</t>
  </si>
  <si>
    <t xml:space="preserve">F639</t>
  </si>
  <si>
    <t xml:space="preserve">Dividende proposé au titre de 2024</t>
  </si>
  <si>
    <t xml:space="preserve">1.40</t>
  </si>
  <si>
    <t xml:space="preserve">F640</t>
  </si>
  <si>
    <t xml:space="preserve">31/12/2023</t>
  </si>
  <si>
    <t xml:space="preserve">F641</t>
  </si>
  <si>
    <t xml:space="preserve">F642</t>
  </si>
  <si>
    <t xml:space="preserve">F643</t>
  </si>
  <si>
    <t xml:space="preserve">fin 2027</t>
  </si>
  <si>
    <t xml:space="preserve">F644</t>
  </si>
  <si>
    <t xml:space="preserve">F645</t>
  </si>
  <si>
    <t xml:space="preserve">Chiffre d'affaires PFAS</t>
  </si>
  <si>
    <t xml:space="preserve">205</t>
  </si>
  <si>
    <t xml:space="preserve">F646</t>
  </si>
  <si>
    <t xml:space="preserve">+9.5</t>
  </si>
  <si>
    <t xml:space="preserve">F647</t>
  </si>
  <si>
    <t xml:space="preserve">4,276</t>
  </si>
  <si>
    <t xml:space="preserve">F648</t>
  </si>
  <si>
    <t xml:space="preserve">+6.6</t>
  </si>
  <si>
    <t xml:space="preserve">F649</t>
  </si>
  <si>
    <t xml:space="preserve">12,506</t>
  </si>
  <si>
    <t xml:space="preserve">F650</t>
  </si>
  <si>
    <t xml:space="preserve">Plafond de levier 2025 (ratio publié)</t>
  </si>
  <si>
    <t xml:space="preserve">F651</t>
  </si>
  <si>
    <t xml:space="preserve">Investissements de croissance (growth capex)</t>
  </si>
  <si>
    <t xml:space="preserve">663</t>
  </si>
  <si>
    <t xml:space="preserve">F652</t>
  </si>
  <si>
    <t xml:space="preserve">F653</t>
  </si>
  <si>
    <t xml:space="preserve">Déchets dangereux Veolia : croissance du chiffre d'affaires à périmètre et change constants</t>
  </si>
  <si>
    <t xml:space="preserve">+7.1</t>
  </si>
  <si>
    <t xml:space="preserve">F654</t>
  </si>
  <si>
    <t xml:space="preserve">Cession Lydec : effet sur le chiffre d'affaires</t>
  </si>
  <si>
    <t xml:space="preserve">-181</t>
  </si>
  <si>
    <t xml:space="preserve">F655</t>
  </si>
  <si>
    <t xml:space="preserve">Coût de l'endettement financier net (groupe)</t>
  </si>
  <si>
    <t xml:space="preserve">-652</t>
  </si>
  <si>
    <t xml:space="preserve">F656</t>
  </si>
  <si>
    <t xml:space="preserve">Coût moyen total du financement</t>
  </si>
  <si>
    <t xml:space="preserve">3.76</t>
  </si>
  <si>
    <t xml:space="preserve">F657</t>
  </si>
  <si>
    <t xml:space="preserve">Déchets dangereux Europe : croissance du chiffre d'affaires</t>
  </si>
  <si>
    <t xml:space="preserve">F658</t>
  </si>
  <si>
    <t xml:space="preserve">+75</t>
  </si>
  <si>
    <t xml:space="preserve">F659</t>
  </si>
  <si>
    <t xml:space="preserve">Acquisition en Allemagne : effet sur le chiffre d'affaires</t>
  </si>
  <si>
    <t xml:space="preserve">+178</t>
  </si>
  <si>
    <t xml:space="preserve">F660</t>
  </si>
  <si>
    <t xml:space="preserve">Capex de croissance</t>
  </si>
  <si>
    <t xml:space="preserve">F661</t>
  </si>
  <si>
    <t xml:space="preserve">Cession Sade : effet sur le chiffre d'affaires</t>
  </si>
  <si>
    <t xml:space="preserve">-912</t>
  </si>
  <si>
    <t xml:space="preserve">F662</t>
  </si>
  <si>
    <t xml:space="preserve">Cession RGS : effet sur le chiffre d'affaires</t>
  </si>
  <si>
    <t xml:space="preserve">-135</t>
  </si>
  <si>
    <t xml:space="preserve">F663</t>
  </si>
  <si>
    <t xml:space="preserve">Cessions industrielles</t>
  </si>
  <si>
    <t xml:space="preserve">204</t>
  </si>
  <si>
    <t xml:space="preserve">F664</t>
  </si>
  <si>
    <t xml:space="preserve">6,543</t>
  </si>
  <si>
    <t xml:space="preserve">F665</t>
  </si>
  <si>
    <t xml:space="preserve">Déchets dangereux : croissance du chiffre d'affaires</t>
  </si>
  <si>
    <t xml:space="preserve">F666</t>
  </si>
  <si>
    <t xml:space="preserve">Résultat net courant par action, part du groupe</t>
  </si>
  <si>
    <t xml:space="preserve">2.13</t>
  </si>
  <si>
    <t xml:space="preserve">F667</t>
  </si>
  <si>
    <t xml:space="preserve">Capex déchets dangereux</t>
  </si>
  <si>
    <t xml:space="preserve">185</t>
  </si>
  <si>
    <t xml:space="preserve">F668</t>
  </si>
  <si>
    <t xml:space="preserve">Émission obligataire de septembre 2024, tranche 10 ans : nominal</t>
  </si>
  <si>
    <t xml:space="preserve">F669</t>
  </si>
  <si>
    <t xml:space="preserve">Émission obligataire de septembre 2024, tranche 10 ans : taux</t>
  </si>
  <si>
    <t xml:space="preserve">3.571</t>
  </si>
  <si>
    <t xml:space="preserve">F670</t>
  </si>
  <si>
    <t xml:space="preserve">97</t>
  </si>
  <si>
    <t xml:space="preserve">Hypothèses — ce que le groupe suppose, et pourquoi</t>
  </si>
  <si>
    <t xml:space="preserve">Seules les cellules jaunes se modifient. Base = scénario central ; Bas / Haut = bornes de la sensibilité.</t>
  </si>
  <si>
    <t xml:space="preserve">Code</t>
  </si>
  <si>
    <t xml:space="preserve">Hypothèse</t>
  </si>
  <si>
    <t xml:space="preserve">Base</t>
  </si>
  <si>
    <t xml:space="preserve">Bas</t>
  </si>
  <si>
    <t xml:space="preserve">Haut</t>
  </si>
  <si>
    <t xml:space="preserve">Justification et ancrage</t>
  </si>
  <si>
    <t xml:space="preserve">Réf.</t>
  </si>
  <si>
    <t xml:space="preserve">Valeur active</t>
  </si>
  <si>
    <t xml:space="preserve">g26</t>
  </si>
  <si>
    <t xml:space="preserve">Croissance organique de l'EBITDA en 2026</t>
  </si>
  <si>
    <t xml:space="preserve">Milieu de la guidance « +5 % à +6 % » à périmètre et change constants. Bas et haut = les bornes publiées.</t>
  </si>
  <si>
    <t xml:space="preserve">F87, F88</t>
  </si>
  <si>
    <t xml:space="preserve">g27</t>
  </si>
  <si>
    <t xml:space="preserve">Croissance organique de l'EBITDA en 2027</t>
  </si>
  <si>
    <t xml:space="preserve">Aucune guidance 2027 publiée hors l'objectif ≥ 8 Md€ : on prolonge le rythme 2026. Bornes : hypothèse du groupe.</t>
  </si>
  <si>
    <t xml:space="preserve">—</t>
  </si>
  <si>
    <t xml:space="preserve">ceEb</t>
  </si>
  <si>
    <t xml:space="preserve">EBITDA de Clean Earth en année pleine</t>
  </si>
  <si>
    <t xml:space="preserve">EBITDA 2026E ajusté post IFRS 16 de la présentation d'acquisition ; ±10 % pour le risque d'intégration.</t>
  </si>
  <si>
    <t xml:space="preserve">syn</t>
  </si>
  <si>
    <t xml:space="preserve">Part des synergies réalisée en 2027</t>
  </si>
  <si>
    <t xml:space="preserve">Synergies attendues « à partir de 2027 » (CP S1 2026 p.3), 120 M$ en régime de croisière l'année 4 : montée linéaire supposée.</t>
  </si>
  <si>
    <t xml:space="preserve">fcfH2</t>
  </si>
  <si>
    <t xml:space="preserve">Cash-flow libre net du S2 2026</t>
  </si>
  <si>
    <t xml:space="preserve">On reproduit le S2 2025 (année 1 178 moins S1 −451). Le BFR se reconstitue au S2 : c'est la saisonnalité qui fait baisser la dette en fin d'année.</t>
  </si>
  <si>
    <t xml:space="preserve">F29, F70</t>
  </si>
  <si>
    <t xml:space="preserve">conv</t>
  </si>
  <si>
    <t xml:space="preserve">Conversion cash-flow libre net / EBITDA en 2027</t>
  </si>
  <si>
    <t xml:space="preserve">Moyenne 2024-2025 du ratio publié. Le bas couvre le surcoût d'intérêts de la dette Clean Earth.</t>
  </si>
  <si>
    <t xml:space="preserve">F13, F17, F29, F3</t>
  </si>
  <si>
    <t xml:space="preserve">gDiv</t>
  </si>
  <si>
    <t xml:space="preserve">Croissance du dividende versé en 2027</t>
  </si>
  <si>
    <t xml:space="preserve">GreenUp : dividende « aligné sur le BPA » (p.66) ; guidance 2026 du résultat net courant : au moins +8 %.</t>
  </si>
  <si>
    <t xml:space="preserve">s26</t>
  </si>
  <si>
    <t xml:space="preserve">Part des signatures 2026 encaissée avant le 31/12/2026</t>
  </si>
  <si>
    <t xml:space="preserve">Veolia attend ~0,5 Md€ de signatures en 2026 ; signer n'est pas encaisser. Le levier 2026 dépend « du calendrier des cessions » (présentation CE p.16).</t>
  </si>
  <si>
    <t xml:space="preserve">s27</t>
  </si>
  <si>
    <t xml:space="preserve">Part du reste du programme encaissée en 2027</t>
  </si>
  <si>
    <t xml:space="preserve">Programme &gt; 2 Md€ à réaliser d'ici mi-2028 : la moitié du reste supposée encaissée en 2027, le solde au S1 2028.</t>
  </si>
  <si>
    <t xml:space="preserve">mDisp</t>
  </si>
  <si>
    <t xml:space="preserve">Multiple VE / EBITDA des actifs cédés</t>
  </si>
  <si>
    <t xml:space="preserve">Aucun multiple publié pour le programme. Plus le multiple est bas, plus on perd d'EBITDA par euro encaissé.</t>
  </si>
  <si>
    <t xml:space="preserve">tuck</t>
  </si>
  <si>
    <t xml:space="preserve">Tuck-ins payés en 2027</t>
  </si>
  <si>
    <t xml:space="preserve">Bas de la fourchette GreenUp (0,5 à 1,0 Md€) : Clean Earth a déjà consommé l'enveloppe.</t>
  </si>
  <si>
    <t xml:space="preserve">F5, F21</t>
  </si>
  <si>
    <t xml:space="preserve">ffo</t>
  </si>
  <si>
    <t xml:space="preserve">FFO (mesure des agences) en % de l'EBITDA</t>
  </si>
  <si>
    <t xml:space="preserve">FFO 2025 publié par Moody's (Exhibit 15, 5 160 M€) rapporté à l'EBITDA 2025 publié par Veolia. Le bas couvre le surcoût d'intérêts de la dette Clean Earth.</t>
  </si>
  <si>
    <t xml:space="preserve">F261, F3</t>
  </si>
  <si>
    <t xml:space="preserve">Hypothèses fixes (non soumises à la sensibilité)</t>
  </si>
  <si>
    <t xml:space="preserve">fx</t>
  </si>
  <si>
    <t xml:space="preserve">Change USD par EUR</t>
  </si>
  <si>
    <t xml:space="preserve">USD/EUR</t>
  </si>
  <si>
    <t xml:space="preserve">Taux implicite du prix de Clean Earth à la clôture (2 989 M$ = 2 542 M€). Le change sur la dette en dollars n'est pas modélisé.</t>
  </si>
  <si>
    <t xml:space="preserve">F40, F41</t>
  </si>
  <si>
    <t xml:space="preserve">minDiv</t>
  </si>
  <si>
    <t xml:space="preserve">Dividendes versés aux minoritaires en 2027</t>
  </si>
  <si>
    <t xml:space="preserve">Écart du S1 2026 entre dividendes totaux (1 394) et dividende Veolia (1 099), supposé constant.</t>
  </si>
  <si>
    <t xml:space="preserve">F72, F74</t>
  </si>
  <si>
    <t xml:space="preserve">mTuck</t>
  </si>
  <si>
    <t xml:space="preserve">Multiple VE / EBITDA des tuck-ins</t>
  </si>
  <si>
    <t xml:space="preserve">Celui de Clean Earth après synergies, faute de mieux.</t>
  </si>
  <si>
    <t xml:space="preserve">tuckH2</t>
  </si>
  <si>
    <t xml:space="preserve">Tuck-ins payés au S2 2026</t>
  </si>
  <si>
    <t xml:space="preserve">Enviropacific (137 M€) est déjà au S1 ; rien d'annoncé pour le S2.</t>
  </si>
  <si>
    <t xml:space="preserve">other</t>
  </si>
  <si>
    <t xml:space="preserve">Autres flux de dette par période (change, divers)</t>
  </si>
  <si>
    <t xml:space="preserve">Change −260 M€ au S1 2026 : non prolongé, faute de base.</t>
  </si>
  <si>
    <t xml:space="preserve">months</t>
  </si>
  <si>
    <t xml:space="preserve">Mois de Clean Earth consolidés en 2026</t>
  </si>
  <si>
    <t xml:space="preserve">mois</t>
  </si>
  <si>
    <t xml:space="preserve">Clôture le 1er juin 2026 (amendement DEU p.46) : juin à décembre.</t>
  </si>
  <si>
    <t xml:space="preserve">synC</t>
  </si>
  <si>
    <t xml:space="preserve">Coûts de mise en œuvre des synergies décaissés en 2027</t>
  </si>
  <si>
    <t xml:space="preserve">90 M$ attendus sur quatre ans, étalés à parts égales.</t>
  </si>
  <si>
    <t xml:space="preserve">cap</t>
  </si>
  <si>
    <t xml:space="preserve">Plafond de levier</t>
  </si>
  <si>
    <t xml:space="preserve">Engagement ≤ 3x en 2027 (présentation CE p.16, GreenUp p.64).</t>
  </si>
  <si>
    <t xml:space="preserve">F56, F6</t>
  </si>
  <si>
    <t xml:space="preserve">hybPct</t>
  </si>
  <si>
    <t xml:space="preserve">Part des hybrides comptée en dette (définition élargie)</t>
  </si>
  <si>
    <t xml:space="preserve">Lecture d'analyste, pas celle de Veolia (qui les compte en capitaux propres, IAS 32.11). Sert uniquement dans Levier.</t>
  </si>
  <si>
    <t xml:space="preserve">Les formules de base vertes renvoient à l'onglet Entrées ; les nombres bleus sont des hypothèses saisies.</t>
  </si>
  <si>
    <t xml:space="preserve">Actif : Base, Bas ou Haut. Une hypothèse sans bornes (—) reste à sa base. Les cellules « Valeur active » (J) sont lues par Trajectoire et par tous les onglets : c'est ici qu'on joue un scénario sans toucher un nombre.</t>
  </si>
  <si>
    <t xml:space="preserve">Rôle 2 — La contrainte : la définition de Veolia, la position de départ, le plafond</t>
  </si>
  <si>
    <t xml:space="preserve">Dette financière nette (IFRS 16 incluse) de clôture / EBITDA (IFRS 16 inclus) — URD 2025 p.355.</t>
  </si>
  <si>
    <t xml:space="preserve">Réf. / calcul</t>
  </si>
  <si>
    <t xml:space="preserve">A</t>
  </si>
  <si>
    <t xml:space="preserve">La définition reproduit-elle les ratios publiés ?</t>
  </si>
  <si>
    <t xml:space="preserve">Dette financière nette au 31/12/2024</t>
  </si>
  <si>
    <t xml:space="preserve">EBITDA 2024</t>
  </si>
  <si>
    <t xml:space="preserve">Levier recalculé 2024</t>
  </si>
  <si>
    <t xml:space="preserve">DFN / EBITDA</t>
  </si>
  <si>
    <t xml:space="preserve">Levier publié 2024</t>
  </si>
  <si>
    <t xml:space="preserve">Dette financière nette au 31/12/2025</t>
  </si>
  <si>
    <t xml:space="preserve">EBITDA 2025</t>
  </si>
  <si>
    <t xml:space="preserve">Levier recalculé 2025</t>
  </si>
  <si>
    <t xml:space="preserve">Levier publié 2025</t>
  </si>
  <si>
    <t xml:space="preserve">Marge sous le plafond au 31/12/2025</t>
  </si>
  <si>
    <t xml:space="preserve">plafond × EBITDA − DFN</t>
  </si>
  <si>
    <t xml:space="preserve">B</t>
  </si>
  <si>
    <t xml:space="preserve">Position de départ au 30/06/2026 — trois lectures</t>
  </si>
  <si>
    <t xml:space="preserve">Dette financière nette au 30/06/2026 (Clean Earth inclus)</t>
  </si>
  <si>
    <t xml:space="preserve">EBITDA glissant 12 mois au 30/06/2026</t>
  </si>
  <si>
    <t xml:space="preserve">F3 − F19 + F1</t>
  </si>
  <si>
    <t xml:space="preserve">① Levier mécanique (à ne pas citer seul)</t>
  </si>
  <si>
    <t xml:space="preserve">Toute la dette de Clean Earth, un seul mois de son EBITDA</t>
  </si>
  <si>
    <t xml:space="preserve">+ 11 mois d'EBITDA de Clean Earth (pro forma)</t>
  </si>
  <si>
    <t xml:space="preserve">EBITDA année pleine × 11/12, converti</t>
  </si>
  <si>
    <t xml:space="preserve">② Levier pro forma Clean Earth</t>
  </si>
  <si>
    <t xml:space="preserve">− saisonnalité : baisse de la dette du S2 2025</t>
  </si>
  <si>
    <t xml:space="preserve">F71 − F8</t>
  </si>
  <si>
    <t xml:space="preserve">③ Levier pro forma, corrigé de la saisonnalité</t>
  </si>
  <si>
    <t xml:space="preserve">La dette de juin est structurellement plus haute qu'en décembre</t>
  </si>
  <si>
    <t xml:space="preserve">Pour mémoire : levier publié au 31/03/2026, hors Clean Earth</t>
  </si>
  <si>
    <t xml:space="preserve">B'</t>
  </si>
  <si>
    <t xml:space="preserve">Profil de la dette et plafond en euros</t>
  </si>
  <si>
    <t xml:space="preserve">Maturité moyenne de la dette nette</t>
  </si>
  <si>
    <t xml:space="preserve">Part à taux fixe après couverture</t>
  </si>
  <si>
    <t xml:space="preserve">Dette maximale fin 2027 si l'objectif ≥ 8 Md€ est atteint (plafond × 8 000)</t>
  </si>
  <si>
    <t xml:space="preserve">F12 × plafond</t>
  </si>
  <si>
    <t xml:space="preserve">Dette maximale fin 2027 à l'EBITDA du modèle (plafond × EBITDA 2027)</t>
  </si>
  <si>
    <t xml:space="preserve">plafond × EBITDA 2027 central</t>
  </si>
  <si>
    <t xml:space="preserve">Dette libérée par 0,5 Md€ d'EBITDA en plus</t>
  </si>
  <si>
    <t xml:space="preserve">plafond × 500</t>
  </si>
  <si>
    <t xml:space="preserve">B''</t>
  </si>
  <si>
    <t xml:space="preserve">La vraie limite : les seuils de dégradation des agences (notation BBB / Baa1)</t>
  </si>
  <si>
    <t xml:space="preserve">Moody's : attendu en 2026, bas de fourchette</t>
  </si>
  <si>
    <t xml:space="preserve">Moody's : attendu en 2026, haut de fourchette</t>
  </si>
  <si>
    <t xml:space="preserve">Moody's : dégradation si FFO / dette nette passe sous</t>
  </si>
  <si>
    <t xml:space="preserve">F152 — libellé publié, pas un nombre</t>
  </si>
  <si>
    <t xml:space="preserve">S&amp;P : dégradation si FFO / dette ne reste pas durablement au-dessus de</t>
  </si>
  <si>
    <t xml:space="preserve">S&amp;P : attendu 2026-2028 (bas)</t>
  </si>
  <si>
    <t xml:space="preserve">F164, F165 (haut : 22 %)</t>
  </si>
  <si>
    <t xml:space="preserve">Moody's : dette nette ajustée 2025</t>
  </si>
  <si>
    <t xml:space="preserve">Moody's : dette nette ajustée, pic 2026 (environ)</t>
  </si>
  <si>
    <t xml:space="preserve">FFO 2025 implicite (ratio × dette ajustée)</t>
  </si>
  <si>
    <t xml:space="preserve">20,3 % × 25 400</t>
  </si>
  <si>
    <t xml:space="preserve">FFO requis en 2026 au seuil S&amp;P (18 % × pic de dette ajustée)</t>
  </si>
  <si>
    <t xml:space="preserve">seuil × dette ajustée 2026</t>
  </si>
  <si>
    <t xml:space="preserve">Marge de FFO en 2026 au seuil S&amp;P (FFO 2025 implicite − requis)</t>
  </si>
  <si>
    <t xml:space="preserve">négatif = le seuil mord avant le 3x de Veolia</t>
  </si>
  <si>
    <t xml:space="preserve">Dette ajustée maximale au seuil S&amp;P avec le FFO 2025 implicite</t>
  </si>
  <si>
    <t xml:space="preserve">FFO / 18 %</t>
  </si>
  <si>
    <t xml:space="preserve">Écart entre dette ajustée Moody's 2025 et dette nette publiée (IFRS 16 incl.)</t>
  </si>
  <si>
    <t xml:space="preserve">F150 − F8 : décomposé ci-dessous</t>
  </si>
  <si>
    <t xml:space="preserve">B3</t>
  </si>
  <si>
    <t xml:space="preserve">D'où vient l'écart : la réconciliation de Moody's (Exhibit 13), poste par poste</t>
  </si>
  <si>
    <t xml:space="preserve">Dette brute publiée (as reported)</t>
  </si>
  <si>
    <t xml:space="preserve">F249 ; URD p.351 sous-total des emprunts : F271</t>
  </si>
  <si>
    <t xml:space="preserve">+ Pensions (engagements non financés)</t>
  </si>
  <si>
    <t xml:space="preserve">+ Hybrides comptés à 50 %</t>
  </si>
  <si>
    <t xml:space="preserve">F251 = 50 % × F10 (4,1 Md€)</t>
  </si>
  <si>
    <t xml:space="preserve">+ Titrisation (créances cédées)</t>
  </si>
  <si>
    <t xml:space="preserve">+ Ajustements non standard</t>
  </si>
  <si>
    <t xml:space="preserve">Dette brute ajustée recalculée (somme)</t>
  </si>
  <si>
    <t xml:space="preserve">somme</t>
  </si>
  <si>
    <t xml:space="preserve">Dette brute ajustée publiée par Moody's</t>
  </si>
  <si>
    <t xml:space="preserve">− Trésorerie retenue par Moody's</t>
  </si>
  <si>
    <t xml:space="preserve">F255 ; Veolia déduit F272 + F273 (8 021 + 1 952)</t>
  </si>
  <si>
    <t xml:space="preserve">Dette nette ajustée recalculée (brute ajustée − trésorerie)</t>
  </si>
  <si>
    <t xml:space="preserve">Dette nette ajustée publiée par Moody's</t>
  </si>
  <si>
    <t xml:space="preserve">Pour mémoire : dette nette Veolia = brute − trésorerie − actifs liquides + JV dérivés (± PPA)</t>
  </si>
  <si>
    <t xml:space="preserve">F271 − F272 − F273 + F274 ; écart résiduel = retraitement PPA Suez</t>
  </si>
  <si>
    <t xml:space="preserve">Part des hybrides dans l'écart de dette nette</t>
  </si>
  <si>
    <t xml:space="preserve">hybrides / écart total</t>
  </si>
  <si>
    <t xml:space="preserve">B4</t>
  </si>
  <si>
    <t xml:space="preserve">Le FFO tel que Moody's le publie (Exhibit 15)</t>
  </si>
  <si>
    <t xml:space="preserve">FFO 2023</t>
  </si>
  <si>
    <t xml:space="preserve">FFO 2024</t>
  </si>
  <si>
    <t xml:space="preserve">FFO 2025 publié</t>
  </si>
  <si>
    <t xml:space="preserve">FFO 2025 / EBITDA 2025 publié par Veolia (= hypothèse ffo)</t>
  </si>
  <si>
    <t xml:space="preserve">F261 / F3</t>
  </si>
  <si>
    <t xml:space="preserve">FFO 2025 / dette nette ajustée publiée (doit redonner 20,3 %)</t>
  </si>
  <si>
    <t xml:space="preserve">Dividendes (minoritaires et hybrides compris, selon Moody's)</t>
  </si>
  <si>
    <t xml:space="preserve">RCF = FFO − dividendes</t>
  </si>
  <si>
    <t xml:space="preserve">Charge d'intérêts ajustée</t>
  </si>
  <si>
    <t xml:space="preserve">Dette nette ajustée / EBITDA ajusté selon Moody's</t>
  </si>
  <si>
    <t xml:space="preserve">F269 — contre 2,79x publié par Veolia : même entreprise, deux définitions</t>
  </si>
  <si>
    <t xml:space="preserve">Prévision Moody's : FFO / dette nette 2026</t>
  </si>
  <si>
    <t xml:space="preserve">Prévision Moody's : FFO / dette nette 2027</t>
  </si>
  <si>
    <t xml:space="preserve">B5</t>
  </si>
  <si>
    <t xml:space="preserve">Le pont du FFO : reconstitué depuis le tableau de flux (DEU 2025 p.362-363) face au FFO de Moody's</t>
  </si>
  <si>
    <t xml:space="preserve">Poste (signes du tableau de flux)</t>
  </si>
  <si>
    <t xml:space="preserve">Capacité d'autofinancement avant variation du BFR</t>
  </si>
  <si>
    <t xml:space="preserve">F308, F309</t>
  </si>
  <si>
    <t xml:space="preserve">Impôts payés</t>
  </si>
  <si>
    <t xml:space="preserve">F314, F315</t>
  </si>
  <si>
    <t xml:space="preserve">Intérêts payés</t>
  </si>
  <si>
    <t xml:space="preserve">F328, F329</t>
  </si>
  <si>
    <t xml:space="preserve">Intérêts sur actifs IFRIC 12</t>
  </si>
  <si>
    <t xml:space="preserve">F330, F331</t>
  </si>
  <si>
    <t xml:space="preserve">Intérêts sur dette de loyers IFRS 16</t>
  </si>
  <si>
    <t xml:space="preserve">F332, F333</t>
  </si>
  <si>
    <t xml:space="preserve">Remboursements d'actifs financiers opérationnels (IFRIC 12)</t>
  </si>
  <si>
    <t xml:space="preserve">F396, F319</t>
  </si>
  <si>
    <t xml:space="preserve">Dividendes reçus (coentreprises et associés)</t>
  </si>
  <si>
    <t xml:space="preserve">F320, F321</t>
  </si>
  <si>
    <t xml:space="preserve">FFO reconstitué (somme, signes du tableau de flux)</t>
  </si>
  <si>
    <t xml:space="preserve">FFO publié par Moody's (Exhibit 15)</t>
  </si>
  <si>
    <t xml:space="preserve">F261, F262</t>
  </si>
  <si>
    <t xml:space="preserve">Écart reconstitué − Moody's</t>
  </si>
  <si>
    <t xml:space="preserve">Écart en % du FFO Moody's</t>
  </si>
  <si>
    <t xml:space="preserve">FFO reconstitué / EBITDA publié par Veolia (à comparer à l'hypothèse ffo)</t>
  </si>
  <si>
    <t xml:space="preserve">F3, F17</t>
  </si>
  <si>
    <t xml:space="preserve">FFO reconstitué / dette nette ajustée Moody's (publié : 20,3 % et 21,3 %)</t>
  </si>
  <si>
    <t xml:space="preserve">F256, F257</t>
  </si>
  <si>
    <t xml:space="preserve">B6</t>
  </si>
  <si>
    <t xml:space="preserve">Les pairs selon Moody's (Exhibit 12, 12 mois à juin 2025) : où se place Veolia</t>
  </si>
  <si>
    <t xml:space="preserve">Société</t>
  </si>
  <si>
    <t xml:space="preserve">Notation</t>
  </si>
  <si>
    <t xml:space="preserve">FFO / dette nette</t>
  </si>
  <si>
    <t xml:space="preserve">RCF / dette nette</t>
  </si>
  <si>
    <t xml:space="preserve">Dette / EBITDA</t>
  </si>
  <si>
    <t xml:space="preserve">EBITDA ajusté (M EUR)</t>
  </si>
  <si>
    <t xml:space="preserve">Veolia</t>
  </si>
  <si>
    <t xml:space="preserve">F545 ; FY2025 (Exhibit 15)</t>
  </si>
  <si>
    <t xml:space="preserve">ACEA</t>
  </si>
  <si>
    <t xml:space="preserve">F530, F532, F533, F534, F531</t>
  </si>
  <si>
    <t xml:space="preserve">Hera</t>
  </si>
  <si>
    <t xml:space="preserve">F535, F537, F538, F539, F536</t>
  </si>
  <si>
    <t xml:space="preserve">Suez</t>
  </si>
  <si>
    <t xml:space="preserve">F540, F542, F543, F544, F541</t>
  </si>
  <si>
    <t xml:space="preserve">Écart de FFO / dette nette entre Veolia et Suez (même notation à un cran près, perspective négative)</t>
  </si>
  <si>
    <t xml:space="preserve">pts</t>
  </si>
  <si>
    <t xml:space="preserve">Veolia − Suez</t>
  </si>
  <si>
    <t xml:space="preserve">Écart entre Veolia et le mieux noté des pairs comparables (Hera)</t>
  </si>
  <si>
    <t xml:space="preserve">négatif = Veolia en dessous</t>
  </si>
  <si>
    <t xml:space="preserve">B7</t>
  </si>
  <si>
    <t xml:space="preserve">Les hybrides : calendrier des premières dates de réinitialisation (DEU 2025 p.429) et ce qu'un rappel change</t>
  </si>
  <si>
    <t xml:space="preserve">Tranche</t>
  </si>
  <si>
    <t xml:space="preserve">Nominal (M EUR)</t>
  </si>
  <si>
    <t xml:space="preserve">Coupon jusqu'à la réinitialisation</t>
  </si>
  <si>
    <t xml:space="preserve">Première réinitialisation</t>
  </si>
  <si>
    <t xml:space="preserve">Coupon annuel (M EUR)</t>
  </si>
  <si>
    <t xml:space="preserve">Hybride septembre 2019</t>
  </si>
  <si>
    <t xml:space="preserve">09/2026</t>
  </si>
  <si>
    <t xml:space="preserve">F565, F566</t>
  </si>
  <si>
    <t xml:space="preserve">Hybride novembre 2021</t>
  </si>
  <si>
    <t xml:space="preserve">02/2028</t>
  </si>
  <si>
    <t xml:space="preserve">F567, F568</t>
  </si>
  <si>
    <t xml:space="preserve">Hybride novembre 2023</t>
  </si>
  <si>
    <t xml:space="preserve">02/2029</t>
  </si>
  <si>
    <t xml:space="preserve">F569, F570</t>
  </si>
  <si>
    <t xml:space="preserve">Hybride octobre 2020, tranche résiduelle</t>
  </si>
  <si>
    <t xml:space="preserve">04/2029</t>
  </si>
  <si>
    <t xml:space="preserve">F563, F564</t>
  </si>
  <si>
    <t xml:space="preserve">Hybride mai 2025 (hybride vert)</t>
  </si>
  <si>
    <t xml:space="preserve">08/2030</t>
  </si>
  <si>
    <t xml:space="preserve">F571, F572</t>
  </si>
  <si>
    <t xml:space="preserve">Hybride septembre 2025</t>
  </si>
  <si>
    <t xml:space="preserve">01/2033</t>
  </si>
  <si>
    <t xml:space="preserve">F573, F574</t>
  </si>
  <si>
    <t xml:space="preserve">Somme des tranches</t>
  </si>
  <si>
    <t xml:space="preserve">Encours publié hors coupons</t>
  </si>
  <si>
    <t xml:space="preserve">Coupon moyen pondéré</t>
  </si>
  <si>
    <t xml:space="preserve">coupons / nominal</t>
  </si>
  <si>
    <t xml:space="preserve">Tranches dont la première réinitialisation tombe avant fin 2027</t>
  </si>
  <si>
    <t xml:space="preserve">septembre 2026 : 500 M€ à 1,625 %</t>
  </si>
  <si>
    <t xml:space="preserve">Si cette tranche est remplacée au coupon de la dernière émission (4,322 %) : coupon annuel en plus</t>
  </si>
  <si>
    <t xml:space="preserve">nominal × écart de coupon</t>
  </si>
  <si>
    <t xml:space="preserve">Si elle est remboursée sans remplacement : levier fin 2027 (définition Veolia) après +500 M€ de dette nette</t>
  </si>
  <si>
    <t xml:space="preserve">DFN + 500 / EBITDA 2027</t>
  </si>
  <si>
    <t xml:space="preserve">… et dette ajustée Moody's fin 2027 : +500 de dette, −250 d'hybride comptée à 50 %</t>
  </si>
  <si>
    <t xml:space="preserve">ADJ27 + 500 × (1 − 50 %)</t>
  </si>
  <si>
    <t xml:space="preserve">C</t>
  </si>
  <si>
    <t xml:space="preserve">Le plafond selon la définition retenue (scénario actif, fin 2027)</t>
  </si>
  <si>
    <t xml:space="preserve">Définition</t>
  </si>
  <si>
    <t xml:space="preserve">Levier 2027</t>
  </si>
  <si>
    <t xml:space="preserve">Marge (M EUR)</t>
  </si>
  <si>
    <t xml:space="preserve">Ce qu'on ajoute à la DFN</t>
  </si>
  <si>
    <t xml:space="preserve">Veolia (hybrides en capitaux propres)</t>
  </si>
  <si>
    <t xml:space="preserve">rien</t>
  </si>
  <si>
    <t xml:space="preserve">Hybrides comptés à 50 % en dette</t>
  </si>
  <si>
    <t xml:space="preserve">50 % des 4,1 Md€ d'hybrides</t>
  </si>
  <si>
    <t xml:space="preserve">Hybrides comptés à 100 % en dette</t>
  </si>
  <si>
    <t xml:space="preserve">les 4,1 Md€</t>
  </si>
  <si>
    <t xml:space="preserve">Hybrides à 50 % + provisions de fermeture</t>
  </si>
  <si>
    <t xml:space="preserve">lecture « dette élargie » : 50 % des hybrides et 1 290 M€ de provisions</t>
  </si>
  <si>
    <t xml:space="preserve">Le plafond de 3x n'a de sens que dans la définition de Veolia. Les lignes suivantes montrent la sensibilité du ratio à la définition : ce ne sont pas des seuils d'agence.</t>
  </si>
  <si>
    <t xml:space="preserve">Rôles 2 et 3 — D'où vient la dette : ponts publiés et saisonnalité</t>
  </si>
  <si>
    <t xml:space="preserve">Signes du tableau de Veolia : un flux négatif augmente la dette.</t>
  </si>
  <si>
    <t xml:space="preserve">Pont du S1 2026 (amendement DEU, p.26)</t>
  </si>
  <si>
    <t xml:space="preserve">Flux</t>
  </si>
  <si>
    <t xml:space="preserve">   Cash-flow libre net</t>
  </si>
  <si>
    <t xml:space="preserve">   Dividendes versés (minoritaires compris)</t>
  </si>
  <si>
    <t xml:space="preserve">   Investissements financiers nets des cessions</t>
  </si>
  <si>
    <t xml:space="preserve">   Variation des créances et autres actifs financiers</t>
  </si>
  <si>
    <t xml:space="preserve">   Émission d'actions</t>
  </si>
  <si>
    <t xml:space="preserve">   Effet de change et de juste valeur</t>
  </si>
  <si>
    <t xml:space="preserve">   Autres mouvements</t>
  </si>
  <si>
    <t xml:space="preserve">Somme des flux</t>
  </si>
  <si>
    <t xml:space="preserve">Retraitement des passifs financiers (PPA Suez)</t>
  </si>
  <si>
    <t xml:space="preserve">Dette au 30/06/2026 recalculée</t>
  </si>
  <si>
    <t xml:space="preserve">ouverture − flux − retraitement</t>
  </si>
  <si>
    <t xml:space="preserve">Dette au 30/06/2026 publiée</t>
  </si>
  <si>
    <t xml:space="preserve">   dont Clean Earth dans les investissements financiers</t>
  </si>
  <si>
    <t xml:space="preserve">   dont Enviropacific</t>
  </si>
  <si>
    <t xml:space="preserve">   Clean Earth : effet sur la dette moins prix payé</t>
  </si>
  <si>
    <t xml:space="preserve">F76 − F41 : écart non expliqué dans les documents</t>
  </si>
  <si>
    <t xml:space="preserve">Pont 2025 (communiqué annuel, p.14-15)</t>
  </si>
  <si>
    <t xml:space="preserve">   Dividendes versés aux actionnaires</t>
  </si>
  <si>
    <t xml:space="preserve">   Hybride verte (nette)</t>
  </si>
  <si>
    <t xml:space="preserve">   Augmentation de capital Sequoia</t>
  </si>
  <si>
    <t xml:space="preserve">   Annulation d'actions rachetées</t>
  </si>
  <si>
    <t xml:space="preserve">   Change et juste valeur</t>
  </si>
  <si>
    <t xml:space="preserve">Somme des flux détaillés</t>
  </si>
  <si>
    <t xml:space="preserve">Dette au 31/12/2025 par les seuls flux détaillés</t>
  </si>
  <si>
    <t xml:space="preserve">Dette au 31/12/2025 publiée</t>
  </si>
  <si>
    <t xml:space="preserve">Flux non détaillés dans le communiqué</t>
  </si>
  <si>
    <t xml:space="preserve">à expliquer au rôle 3</t>
  </si>
  <si>
    <t xml:space="preserve">   dont au moins : dividendes aux minoritaires du S1 2025</t>
  </si>
  <si>
    <t xml:space="preserve">−F73 + F65</t>
  </si>
  <si>
    <t xml:space="preserve">Saisonnalité : pourquoi juin n'est pas décembre</t>
  </si>
  <si>
    <t xml:space="preserve">Cash-flow libre net S1 2025</t>
  </si>
  <si>
    <t xml:space="preserve">Cash-flow libre net S2 2025 (année − S1)</t>
  </si>
  <si>
    <t xml:space="preserve">F29 − F70</t>
  </si>
  <si>
    <t xml:space="preserve">Variation du BFR S1 2025</t>
  </si>
  <si>
    <t xml:space="preserve">Variation du BFR S1 2026</t>
  </si>
  <si>
    <t xml:space="preserve">Dette au 30/06/2025</t>
  </si>
  <si>
    <t xml:space="preserve">Dette au 31/12/2025</t>
  </si>
  <si>
    <t xml:space="preserve">Baisse de la dette au S2 2025</t>
  </si>
  <si>
    <t xml:space="preserve">Rôle 2 — Échéancier de la dette : le mur de refinancement face aux liquidités et au cash-flow</t>
  </si>
  <si>
    <t xml:space="preserve">DEU 2025, note 8.1.1 (p.405-409) et note 8.3.2 (p.421-422). Les flux contractuels non actualisés comprennent le principal et les intérêts, tels que Veolia les publie.</t>
  </si>
  <si>
    <t xml:space="preserve">Flux contractuels par année au 31/12/2025 (note 8.3.2.1, p.421)</t>
  </si>
  <si>
    <t xml:space="preserve">Instrument</t>
  </si>
  <si>
    <t xml:space="preserve">2028</t>
  </si>
  <si>
    <t xml:space="preserve">2029</t>
  </si>
  <si>
    <t xml:space="preserve">&gt; 5 ans</t>
  </si>
  <si>
    <t xml:space="preserve">Total publié</t>
  </si>
  <si>
    <t xml:space="preserve">Somme des années</t>
  </si>
  <si>
    <t xml:space="preserve">Écart</t>
  </si>
  <si>
    <t xml:space="preserve">Emprunts obligataires</t>
  </si>
  <si>
    <t xml:space="preserve">Autres passifs et découverts bancaires</t>
  </si>
  <si>
    <t xml:space="preserve">Dette de loyers IFRS 16</t>
  </si>
  <si>
    <t xml:space="preserve">Somme des trois instruments</t>
  </si>
  <si>
    <t xml:space="preserve">Passifs financiers bruts publiés</t>
  </si>
  <si>
    <t xml:space="preserve">Écart somme recalculée − publié</t>
  </si>
  <si>
    <t xml:space="preserve">Part de l'année dans le total</t>
  </si>
  <si>
    <t xml:space="preserve">   dont, en 2026 : billets de trésorerie, renouvelés en continu (p.408)</t>
  </si>
  <si>
    <t xml:space="preserve">   dont, en 2026 : hybride dont le remboursement est notifié, payé le 09/02/2026 (p.408)</t>
  </si>
  <si>
    <t xml:space="preserve">Flux 2026 hors billets de trésorerie et hybride notifié</t>
  </si>
  <si>
    <t xml:space="preserve">Pour mémoire : obligations à moins d'un an en valeur comptable (p.406) — les flux 2026 les dépassent car ils comprennent les intérêts</t>
  </si>
  <si>
    <t xml:space="preserve">Principal des souches euro par année (p.406-407) et coût de leur refinancement</t>
  </si>
  <si>
    <t xml:space="preserve">Année</t>
  </si>
  <si>
    <t xml:space="preserve">Nominal à échéance</t>
  </si>
  <si>
    <t xml:space="preserve">Taux facial moyen pondéré</t>
  </si>
  <si>
    <t xml:space="preserve">Taux de l'émission de juin 2025 (7 ans)</t>
  </si>
  <si>
    <t xml:space="preserve">Surcoût d'intérêts annuel si refinancé à ce taux</t>
  </si>
  <si>
    <t xml:space="preserve">Souches (registre)</t>
  </si>
  <si>
    <t xml:space="preserve">F271-543e, F272-40a3</t>
  </si>
  <si>
    <t xml:space="preserve">F279, F281, F283, F285</t>
  </si>
  <si>
    <t xml:space="preserve">F287, F377, F379</t>
  </si>
  <si>
    <t xml:space="preserve">F381, F382, F383</t>
  </si>
  <si>
    <t xml:space="preserve">F384, F385, F386, F289</t>
  </si>
  <si>
    <t xml:space="preserve">Souches 2027-2030 listées ci-dessus, en part du nominal EMTN total (p.407)</t>
  </si>
  <si>
    <t xml:space="preserve">Surcoût d'intérêts annuel, en régime, si les souches 2027 et 2028 sont refinancées au taux de juin 2025</t>
  </si>
  <si>
    <t xml:space="preserve">   en % du FFO 2025 publié par Moody's</t>
  </si>
  <si>
    <t xml:space="preserve">Les liquidités face au mur (note 8.3.2.2, p.421-422)</t>
  </si>
  <si>
    <t xml:space="preserve">Ligne syndiquée non tirée, prolongée jusqu'en 2030</t>
  </si>
  <si>
    <t xml:space="preserve">Lignes bilatérales MT non tirées (Veolia Environnement)</t>
  </si>
  <si>
    <t xml:space="preserve">Trésorerie, actifs liquides et de financement (Veolia Environnement)</t>
  </si>
  <si>
    <t xml:space="preserve">Lignes bilatérales des filiales</t>
  </si>
  <si>
    <t xml:space="preserve">Trésorerie, actifs liquides et de financement (filiales)</t>
  </si>
  <si>
    <t xml:space="preserve">Liquidités totales recalculées</t>
  </si>
  <si>
    <t xml:space="preserve">Liquidités totales publiées</t>
  </si>
  <si>
    <t xml:space="preserve">   dont lignes confirmées non tirées</t>
  </si>
  <si>
    <t xml:space="preserve">syndiquée + bilatérales</t>
  </si>
  <si>
    <t xml:space="preserve">   dont trésorerie et actifs liquides</t>
  </si>
  <si>
    <t xml:space="preserve">Liquidités / flux contractuels 2026</t>
  </si>
  <si>
    <t xml:space="preserve">le mur de 2026 est couvert … fois</t>
  </si>
  <si>
    <t xml:space="preserve">Liquidités / flux 2026 hors billets de trésorerie et hybride notifié</t>
  </si>
  <si>
    <t xml:space="preserve">Liquidités / flux contractuels 2026 + 2027</t>
  </si>
  <si>
    <t xml:space="preserve">(Liquidités + cash-flow libre net 2027 du modèle) / flux 2026 + 2027</t>
  </si>
  <si>
    <t xml:space="preserve">FCF 2027 : Trajectoire, scénario actif</t>
  </si>
  <si>
    <t xml:space="preserve">Covenants : la documentation des financements bancaires et obligataires de Veolia Environnement ne contient aucun covenant financier (p.422). Des covenants existent sur certains financements de filiales ; le groupe les déclare respectés au 31/12/2025.</t>
  </si>
  <si>
    <t xml:space="preserve">Rôles 1 et 3 — L'enveloppe : brute ou nette ? Le programme de cessions et son calendrier</t>
  </si>
  <si>
    <t xml:space="preserve">GreenUp, allocation du capital 2024-2027 (p.63) ; amendement DEU S1 2026 (p.29) ; présentation S1 2026 (p.4, p.14).</t>
  </si>
  <si>
    <t xml:space="preserve">Veolia annonce des enveloppes nettes</t>
  </si>
  <si>
    <t xml:space="preserve">Composante</t>
  </si>
  <si>
    <t xml:space="preserve">Maintenance</t>
  </si>
  <si>
    <t xml:space="preserve">+ Croissance sur contrats existants</t>
  </si>
  <si>
    <t xml:space="preserve">− Cessions industrielles (au plus)</t>
  </si>
  <si>
    <t xml:space="preserve">Investissements nets recalculés (somme)</t>
  </si>
  <si>
    <t xml:space="preserve">Investissements nets annoncés</t>
  </si>
  <si>
    <t xml:space="preserve">Tuck-ins, bas de fourchette</t>
  </si>
  <si>
    <t xml:space="preserve">Tuck-ins, haut de fourchette</t>
  </si>
  <si>
    <t xml:space="preserve">Cessions d'actifs non stratégiques (~)</t>
  </si>
  <si>
    <t xml:space="preserve">Rotation nette implicite, bas (tuck-ins bas − cessions)</t>
  </si>
  <si>
    <t xml:space="preserve">Rotation nette implicite, haut (tuck-ins haut − cessions)</t>
  </si>
  <si>
    <t xml:space="preserve">Rotation nette annoncée (~)</t>
  </si>
  <si>
    <t xml:space="preserve">Clean Earth face à l'enveloppe</t>
  </si>
  <si>
    <t xml:space="preserve">Clean Earth : effet sur la dette</t>
  </si>
  <si>
    <t xml:space="preserve">Enveloppe nette sur 4 ans (2024-2027)</t>
  </si>
  <si>
    <t xml:space="preserve">rotation nette annoncée × 4</t>
  </si>
  <si>
    <t xml:space="preserve">Clean Earth en années d'enveloppe nette</t>
  </si>
  <si>
    <t xml:space="preserve">ans</t>
  </si>
  <si>
    <t xml:space="preserve">Programme de cessions à réaliser d'ici mi-2028 (au moins)</t>
  </si>
  <si>
    <t xml:space="preserve">Clean Earth net du programme</t>
  </si>
  <si>
    <t xml:space="preserve">… soit, en années d'enveloppe nette</t>
  </si>
  <si>
    <t xml:space="preserve">Pour mémoire : « plus de 8 Md€ de rotation d'actifs en 4 ans » (brut)</t>
  </si>
  <si>
    <t xml:space="preserve">Calendrier du programme (scénario central)</t>
  </si>
  <si>
    <t xml:space="preserve">Encaissé (Md EUR)</t>
  </si>
  <si>
    <t xml:space="preserve">Cumul</t>
  </si>
  <si>
    <t xml:space="preserve">Réf. / hypothèse</t>
  </si>
  <si>
    <t xml:space="preserve">S1 2026 — réalisé (Mexique, Belgique)</t>
  </si>
  <si>
    <t xml:space="preserve">S2 2026 — part des signatures 2026</t>
  </si>
  <si>
    <t xml:space="preserve">F31 × hypothèse s26</t>
  </si>
  <si>
    <t xml:space="preserve">2027 — solde des signatures 2026 + part du reste</t>
  </si>
  <si>
    <t xml:space="preserve">hypothèses s26, s27</t>
  </si>
  <si>
    <t xml:space="preserve">S1 2028 — solde du programme</t>
  </si>
  <si>
    <t xml:space="preserve">pour atteindre le minimum annoncé</t>
  </si>
  <si>
    <t xml:space="preserve">EBITDA perdu par les cessions 2026-2027 (au multiple central)</t>
  </si>
  <si>
    <t xml:space="preserve">encaissements / multiple</t>
  </si>
  <si>
    <t xml:space="preserve">D</t>
  </si>
  <si>
    <t xml:space="preserve">Ce qui a été dépensé face aux enveloppes annoncées</t>
  </si>
  <si>
    <t xml:space="preserve">Enveloppe GreenUp : investissements NETS de croissance dans les boosters</t>
  </si>
  <si>
    <t xml:space="preserve">Enveloppe GreenUp : strongholds</t>
  </si>
  <si>
    <t xml:space="preserve">Sorties nettes 2024 (achats − cessions, pont de dette)</t>
  </si>
  <si>
    <t xml:space="preserve">−F138 ; deck Clean Earth : F136</t>
  </si>
  <si>
    <t xml:space="preserve">Sorties nettes 2025</t>
  </si>
  <si>
    <t xml:space="preserve">−F64 ; deck : F137</t>
  </si>
  <si>
    <t xml:space="preserve">Sorties nettes S1 2026 (Clean Earth, Enviropacific)</t>
  </si>
  <si>
    <t xml:space="preserve">−F75</t>
  </si>
  <si>
    <t xml:space="preserve">Sorties nettes cumulées depuis le début de GreenUp</t>
  </si>
  <si>
    <t xml:space="preserve">achats nets des cessions, 2024 → 30/06/2026</t>
  </si>
  <si>
    <t xml:space="preserve">… face à l'enveloppe boosters de 4 Md€</t>
  </si>
  <si>
    <t xml:space="preserve">positif = enveloppe nette déjà dépassée</t>
  </si>
  <si>
    <t xml:space="preserve">Rotation déjà réalisée selon Veolia (brut, achats + ventes)</t>
  </si>
  <si>
    <t xml:space="preserve">Rotation totale prévue avec Clean Earth et le plan de cessions (brut)</t>
  </si>
  <si>
    <t xml:space="preserve">Part des acquisitions dans les boosters</t>
  </si>
  <si>
    <t xml:space="preserve">Part des acquisitions hors d'Europe</t>
  </si>
  <si>
    <t xml:space="preserve">E</t>
  </si>
  <si>
    <t xml:space="preserve">L'univers des cessions : ce que Veolia peut vendre, et à quel rythme elle a vendu</t>
  </si>
  <si>
    <t xml:space="preserve">GreenUp (p.64) : « réduire les activités matures ou banalisées » — construction, facility management sans efficacité énergétique, sélectivité sur la collecte de déchets. Le DEU 2025 (p.375) donne le chiffre d'affaires par pays ; la présentation 2025 (p.24) les activités « strongholds » ; deals.csv les cessions passées.</t>
  </si>
  <si>
    <t xml:space="preserve">E1. Chiffre d'affaires par pays (DEU 2025, p.375)</t>
  </si>
  <si>
    <t xml:space="preserve">CA 2025</t>
  </si>
  <si>
    <t xml:space="preserve">Part du groupe</t>
  </si>
  <si>
    <t xml:space="preserve">France</t>
  </si>
  <si>
    <t xml:space="preserve">États-Unis</t>
  </si>
  <si>
    <t xml:space="preserve">Allemagne</t>
  </si>
  <si>
    <t xml:space="preserve">Espagne</t>
  </si>
  <si>
    <t xml:space="preserve">Pologne</t>
  </si>
  <si>
    <t xml:space="preserve">Royaume-Uni</t>
  </si>
  <si>
    <t xml:space="preserve">République tchèque</t>
  </si>
  <si>
    <t xml:space="preserve">Australie</t>
  </si>
  <si>
    <t xml:space="preserve">Italie</t>
  </si>
  <si>
    <t xml:space="preserve">Belgique</t>
  </si>
  <si>
    <t xml:space="preserve">Hongrie</t>
  </si>
  <si>
    <t xml:space="preserve">Maroc</t>
  </si>
  <si>
    <t xml:space="preserve">Chine</t>
  </si>
  <si>
    <t xml:space="preserve">Chili</t>
  </si>
  <si>
    <t xml:space="preserve">Japon</t>
  </si>
  <si>
    <t xml:space="preserve">Hong Kong</t>
  </si>
  <si>
    <t xml:space="preserve">Slovaquie</t>
  </si>
  <si>
    <t xml:space="preserve">autres pays (moins de 500 M EUR chacun)</t>
  </si>
  <si>
    <t xml:space="preserve">Somme des pays</t>
  </si>
  <si>
    <t xml:space="preserve">Chiffre d'affaires du groupe publié (IFRS 8.33)</t>
  </si>
  <si>
    <t xml:space="preserve">Pour mémoire : Maroc 2024, avant la cession de Lydec (2025 : 932)</t>
  </si>
  <si>
    <t xml:space="preserve">E2. Le programme face au périmètre mature</t>
  </si>
  <si>
    <t xml:space="preserve">Programme de cessions, minimum annoncé</t>
  </si>
  <si>
    <t xml:space="preserve">EBITDA cédé au multiple central (hypothèse mDisp)</t>
  </si>
  <si>
    <t xml:space="preserve">programme / multiple</t>
  </si>
  <si>
    <t xml:space="preserve">Chiffre d'affaires cédé si la marge est celle du groupe</t>
  </si>
  <si>
    <t xml:space="preserve">EBITDA cédé / F426</t>
  </si>
  <si>
    <t xml:space="preserve">… en part du chiffre d'affaires du groupe</t>
  </si>
  <si>
    <t xml:space="preserve">EBITDA des strongholds 2025</t>
  </si>
  <si>
    <t xml:space="preserve">   dont déchets solides</t>
  </si>
  <si>
    <t xml:space="preserve">   dont eau municipale</t>
  </si>
  <si>
    <t xml:space="preserve">   dont réseaux de chaleur et de froid</t>
  </si>
  <si>
    <t xml:space="preserve">EBITDA cédé en part des strongholds</t>
  </si>
  <si>
    <t xml:space="preserve">EBITDA cédé en part des seuls déchets solides</t>
  </si>
  <si>
    <t xml:space="preserve">E3. Cessions réalisées par Veolia depuis 2022 (deals.csv, produit de cession publié)</t>
  </si>
  <si>
    <t xml:space="preserve">Produit (M EUR)</t>
  </si>
  <si>
    <t xml:space="preserve">Opération, source</t>
  </si>
  <si>
    <t xml:space="preserve">Actifs Osis Grand Paris (SARP), 8 sites</t>
  </si>
  <si>
    <t xml:space="preserve">n/d</t>
  </si>
  <si>
    <t xml:space="preserve">D24 — ve_urd_2022_en.pdf, p.330</t>
  </si>
  <si>
    <t xml:space="preserve">Actifs d'Integrated Waste Services (IWS)</t>
  </si>
  <si>
    <t xml:space="preserve">D23 — ve_urd_2022_en.pdf, p.330</t>
  </si>
  <si>
    <t xml:space="preserve">Lanzhou Water</t>
  </si>
  <si>
    <t xml:space="preserve">D25 — ve_urd_2022_en.pdf, p.373</t>
  </si>
  <si>
    <t xml:space="preserve">Huancheng Puxi</t>
  </si>
  <si>
    <t xml:space="preserve">D26 — ve_urd_2022_en.pdf, p.373</t>
  </si>
  <si>
    <t xml:space="preserve">Dernières activités déchets dangereux cédées à Suez (SARPI)</t>
  </si>
  <si>
    <t xml:space="preserve">D10 — finance_consolidated_financial_statement, p.16</t>
  </si>
  <si>
    <t xml:space="preserve">Activités O&amp;M eau industrielle de WTS</t>
  </si>
  <si>
    <t xml:space="preserve">D15 — finance_consolidated_financial_statement, p.16</t>
  </si>
  <si>
    <t xml:space="preserve">Advanced Solutions (filiales opérationnelles)</t>
  </si>
  <si>
    <t xml:space="preserve">D18 — finance_consolidated_financial_statement, p.16</t>
  </si>
  <si>
    <t xml:space="preserve">Concessions d'eau italiennes (Latium, Sicile)</t>
  </si>
  <si>
    <t xml:space="preserve">D7 — finance_consolidated_financial_statement, p.16</t>
  </si>
  <si>
    <t xml:space="preserve">Lydec</t>
  </si>
  <si>
    <t xml:space="preserve">D16 — finance_consolidated_financial_statement, p.16</t>
  </si>
  <si>
    <t xml:space="preserve">Veolia North America Regeneration Services</t>
  </si>
  <si>
    <t xml:space="preserve">D17 — finance_consolidated_financial_statement, p.16</t>
  </si>
  <si>
    <t xml:space="preserve">SADE</t>
  </si>
  <si>
    <t xml:space="preserve">D8 — finance_consolidated_financial_statement, p.16</t>
  </si>
  <si>
    <t xml:space="preserve">Concession d'eau de Haikou</t>
  </si>
  <si>
    <t xml:space="preserve">D9 — finance_consolidated_financial_statement, p.16</t>
  </si>
  <si>
    <t xml:space="preserve">Participations du Groupe en France</t>
  </si>
  <si>
    <t xml:space="preserve">D3 — veolia-amendement-deu-2025-s1-2026.pdf, p.27</t>
  </si>
  <si>
    <t xml:space="preserve">Participations du Groupe au Belux</t>
  </si>
  <si>
    <t xml:space="preserve">D5 — veolia-amendement-deu-2025-s1-2026.pdf, p.27</t>
  </si>
  <si>
    <t xml:space="preserve">Produits de cession cumulés 2022 → S1 2026</t>
  </si>
  <si>
    <t xml:space="preserve">14 opérations à produit publié</t>
  </si>
  <si>
    <t xml:space="preserve">Nombre d'opérations</t>
  </si>
  <si>
    <t xml:space="preserve">Taille moyenne</t>
  </si>
  <si>
    <t xml:space="preserve">La plus grande (régénération d'acide, États-Unis, 2024)</t>
  </si>
  <si>
    <t xml:space="preserve">Rythme passé : produits par an (cumul / 4 ans, 2022-2025)</t>
  </si>
  <si>
    <t xml:space="preserve">hors 2026</t>
  </si>
  <si>
    <t xml:space="preserve">Opérations de taille moyenne nécessaires pour le programme</t>
  </si>
  <si>
    <t xml:space="preserve">programme / taille moyenne</t>
  </si>
  <si>
    <t xml:space="preserve">… de la taille de la plus grande</t>
  </si>
  <si>
    <t xml:space="preserve">Années nécessaires au rythme passé</t>
  </si>
  <si>
    <t xml:space="preserve">programme / rythme ; Veolia se donne deux ans</t>
  </si>
  <si>
    <t xml:space="preserve">E4. Ce que rapporte 1 Md EUR vendu, selon le multiple</t>
  </si>
  <si>
    <t xml:space="preserve">EBITDA cédé</t>
  </si>
  <si>
    <t xml:space="preserve">Capacité de dette perdue</t>
  </si>
  <si>
    <t xml:space="preserve">Marge nette gagnée</t>
  </si>
  <si>
    <t xml:space="preserve">Cession de 1 000 M EUR à 8x l'EBITDA</t>
  </si>
  <si>
    <t xml:space="preserve">Cession de 1 000 M EUR à 10x l'EBITDA</t>
  </si>
  <si>
    <t xml:space="preserve">Cession de 1 000 M EUR à 12x l'EBITDA</t>
  </si>
  <si>
    <t xml:space="preserve">Rôles 3 et 6 — Trajectoire 2026-2027 et marge de manœuvre sous 3x</t>
  </si>
  <si>
    <t xml:space="preserve">Colonne D = scénario actif (Hypothèses, colonne Actif ; base partout par défaut). Chaque colonne suivante change UNE hypothèse (cellule saumon). Les deux dernières combinent tous les bas défavorables, puis tous les hauts favorables.</t>
  </si>
  <si>
    <t xml:space="preserve">Scénario actif</t>
  </si>
  <si>
    <t xml:space="preserve">g26 bas</t>
  </si>
  <si>
    <t xml:space="preserve">g26 haut</t>
  </si>
  <si>
    <t xml:space="preserve">g27 bas</t>
  </si>
  <si>
    <t xml:space="preserve">g27 haut</t>
  </si>
  <si>
    <t xml:space="preserve">ceEb bas</t>
  </si>
  <si>
    <t xml:space="preserve">ceEb haut</t>
  </si>
  <si>
    <t xml:space="preserve">syn bas</t>
  </si>
  <si>
    <t xml:space="preserve">syn haut</t>
  </si>
  <si>
    <t xml:space="preserve">fcfH2 bas</t>
  </si>
  <si>
    <t xml:space="preserve">fcfH2 haut</t>
  </si>
  <si>
    <t xml:space="preserve">conv bas</t>
  </si>
  <si>
    <t xml:space="preserve">conv haut</t>
  </si>
  <si>
    <t xml:space="preserve">gDiv bas</t>
  </si>
  <si>
    <t xml:space="preserve">gDiv haut</t>
  </si>
  <si>
    <t xml:space="preserve">s26 bas</t>
  </si>
  <si>
    <t xml:space="preserve">s26 haut</t>
  </si>
  <si>
    <t xml:space="preserve">s27 bas</t>
  </si>
  <si>
    <t xml:space="preserve">s27 haut</t>
  </si>
  <si>
    <t xml:space="preserve">mDisp bas</t>
  </si>
  <si>
    <t xml:space="preserve">mDisp haut</t>
  </si>
  <si>
    <t xml:space="preserve">tuck bas</t>
  </si>
  <si>
    <t xml:space="preserve">tuck haut</t>
  </si>
  <si>
    <t xml:space="preserve">ffo bas</t>
  </si>
  <si>
    <t xml:space="preserve">ffo haut</t>
  </si>
  <si>
    <t xml:space="preserve">mTuck bas</t>
  </si>
  <si>
    <t xml:space="preserve">mTuck haut</t>
  </si>
  <si>
    <t xml:space="preserve">Défavorable combiné</t>
  </si>
  <si>
    <t xml:space="preserve">Favorable combiné</t>
  </si>
  <si>
    <t xml:space="preserve">Hypothèses</t>
  </si>
  <si>
    <t xml:space="preserve">Calcul</t>
  </si>
  <si>
    <t xml:space="preserve">A26</t>
  </si>
  <si>
    <t xml:space="preserve">EBITDA organique 2026 (hors Clean Earth, hors cessions)</t>
  </si>
  <si>
    <t xml:space="preserve">CE26</t>
  </si>
  <si>
    <t xml:space="preserve">Clean Earth en 2026 (mois consolidés)</t>
  </si>
  <si>
    <t xml:space="preserve">D26</t>
  </si>
  <si>
    <t xml:space="preserve">Cessions encaissées au S2 2026</t>
  </si>
  <si>
    <t xml:space="preserve">DE26</t>
  </si>
  <si>
    <t xml:space="preserve">EBITDA cédé en 2026 (année pleine, prudent)</t>
  </si>
  <si>
    <t xml:space="preserve">EB26</t>
  </si>
  <si>
    <t xml:space="preserve">EBITDA 2026</t>
  </si>
  <si>
    <t xml:space="preserve">NFD26</t>
  </si>
  <si>
    <t xml:space="preserve">Dette financière nette au 31/12/2026</t>
  </si>
  <si>
    <t xml:space="preserve">LEV26</t>
  </si>
  <si>
    <t xml:space="preserve">Levier fin 2026</t>
  </si>
  <si>
    <t xml:space="preserve">LEV26PF</t>
  </si>
  <si>
    <t xml:space="preserve">Levier fin 2026, Clean Earth pro forma 12 mois</t>
  </si>
  <si>
    <t xml:space="preserve">B27</t>
  </si>
  <si>
    <t xml:space="preserve">EBITDA 2027 avant synergies, tuck-ins et cessions 2027</t>
  </si>
  <si>
    <t xml:space="preserve">SYN27</t>
  </si>
  <si>
    <t xml:space="preserve">Synergies Clean Earth réalisées</t>
  </si>
  <si>
    <t xml:space="preserve">TE27</t>
  </si>
  <si>
    <t xml:space="preserve">EBITDA apporté par les tuck-ins 2027</t>
  </si>
  <si>
    <t xml:space="preserve">D27</t>
  </si>
  <si>
    <t xml:space="preserve">Cessions encaissées en 2027</t>
  </si>
  <si>
    <t xml:space="preserve">DE27</t>
  </si>
  <si>
    <t xml:space="preserve">EBITDA cédé en 2027 (année pleine, prudent)</t>
  </si>
  <si>
    <t xml:space="preserve">EB27</t>
  </si>
  <si>
    <t xml:space="preserve">EBITDA 2027</t>
  </si>
  <si>
    <t xml:space="preserve">FCF27</t>
  </si>
  <si>
    <t xml:space="preserve">Cash-flow libre net 2027</t>
  </si>
  <si>
    <t xml:space="preserve">DIV27</t>
  </si>
  <si>
    <t xml:space="preserve">Dividendes versés en 2027</t>
  </si>
  <si>
    <t xml:space="preserve">NFD27</t>
  </si>
  <si>
    <t xml:space="preserve">Dette financière nette au 31/12/2027</t>
  </si>
  <si>
    <t xml:space="preserve">LEV27</t>
  </si>
  <si>
    <t xml:space="preserve">Levier fin 2027</t>
  </si>
  <si>
    <t xml:space="preserve">HEAD27</t>
  </si>
  <si>
    <t xml:space="preserve">Marge de manœuvre fin 2027 (plafond × EBITDA − DFN)</t>
  </si>
  <si>
    <t xml:space="preserve">MAXACQ</t>
  </si>
  <si>
    <t xml:space="preserve">Acquisition maximale au multiple des tuck-ins</t>
  </si>
  <si>
    <t xml:space="preserve">GAP8</t>
  </si>
  <si>
    <t xml:space="preserve">EBITDA 2027 moins l'objectif ≥ 8 Md€</t>
  </si>
  <si>
    <t xml:space="preserve">ADJ26</t>
  </si>
  <si>
    <t xml:space="preserve">Dette nette ajustée par les agences fin 2026 (DFN + écart Moody's 2025)</t>
  </si>
  <si>
    <t xml:space="preserve">FFO26</t>
  </si>
  <si>
    <t xml:space="preserve">FFO 2026 (hypothèse ffo × EBITDA 2026)</t>
  </si>
  <si>
    <t xml:space="preserve">RATIO26</t>
  </si>
  <si>
    <t xml:space="preserve">FFO / dette ajustée fin 2026</t>
  </si>
  <si>
    <t xml:space="preserve">HEADSP26</t>
  </si>
  <si>
    <t xml:space="preserve">Marge de dette fin 2026 sous le seuil S&amp;P (FFO / 18 % − dette ajustée)</t>
  </si>
  <si>
    <t xml:space="preserve">ADJ27</t>
  </si>
  <si>
    <t xml:space="preserve">Dette nette ajustée fin 2027</t>
  </si>
  <si>
    <t xml:space="preserve">FFO27</t>
  </si>
  <si>
    <t xml:space="preserve">FFO 2027</t>
  </si>
  <si>
    <t xml:space="preserve">RATIO27</t>
  </si>
  <si>
    <t xml:space="preserve">FFO / dette ajustée fin 2027</t>
  </si>
  <si>
    <t xml:space="preserve">HEADSP27</t>
  </si>
  <si>
    <t xml:space="preserve">Marge de dette fin 2027 sous le seuil S&amp;P 18 %</t>
  </si>
  <si>
    <t xml:space="preserve">BIND27</t>
  </si>
  <si>
    <t xml:space="preserve">Marge contraignante fin 2027 (la plus petite des deux)</t>
  </si>
  <si>
    <t xml:space="preserve">WHICH27</t>
  </si>
  <si>
    <t xml:space="preserve">Contrainte qui mord en premier</t>
  </si>
  <si>
    <t xml:space="preserve">MAXACQB</t>
  </si>
  <si>
    <t xml:space="preserve">Acquisition maximale fin 2027 sous la contrainte qui mord, au multiple des tuck-ins</t>
  </si>
  <si>
    <t xml:space="preserve">Levier par scénario (source du graphique)</t>
  </si>
  <si>
    <t xml:space="preserve">Rôle 3 — Ce qui bouge le plus la réponse</t>
  </si>
  <si>
    <t xml:space="preserve">Marge de manœuvre fin 2027 sous le plafond, une hypothèse à la fois entre ses bornes. Trié par amplitude.</t>
  </si>
  <si>
    <t xml:space="preserve">Valeur basse</t>
  </si>
  <si>
    <t xml:space="preserve">Valeur haute</t>
  </si>
  <si>
    <t xml:space="preserve">Marge 3x si bas</t>
  </si>
  <si>
    <t xml:space="preserve">Marge 3x si haut</t>
  </si>
  <si>
    <t xml:space="preserve">Δ bas</t>
  </si>
  <si>
    <t xml:space="preserve">Δ haut</t>
  </si>
  <si>
    <t xml:space="preserve">Amplitude</t>
  </si>
  <si>
    <t xml:space="preserve">Levier 2026 bas</t>
  </si>
  <si>
    <t xml:space="preserve">Levier 2026 haut</t>
  </si>
  <si>
    <t xml:space="preserve">clé de tri</t>
  </si>
  <si>
    <t xml:space="preserve">Marge S&amp;P si bas</t>
  </si>
  <si>
    <t xml:space="preserve">Marge S&amp;P si haut</t>
  </si>
  <si>
    <t xml:space="preserve">Amplitude S&amp;P</t>
  </si>
  <si>
    <t xml:space="preserve">Base : marge de manœuvre fin 2027 sous 3x · sous le seuil S&amp;P</t>
  </si>
  <si>
    <t xml:space="preserve">Classement</t>
  </si>
  <si>
    <t xml:space="preserve">Rang</t>
  </si>
  <si>
    <t xml:space="preserve">Élasticités — ce que vaut 100 M€ de chaque levier sur la marge 2027</t>
  </si>
  <si>
    <t xml:space="preserve">Levier (+100 M€)</t>
  </si>
  <si>
    <t xml:space="preserve">Δ marge</t>
  </si>
  <si>
    <t xml:space="preserve">Pourquoi</t>
  </si>
  <si>
    <t xml:space="preserve">× plafond, plus le cash qu'il génère (conversion)</t>
  </si>
  <si>
    <t xml:space="preserve">Cash-flow libre</t>
  </si>
  <si>
    <t xml:space="preserve">un pour un</t>
  </si>
  <si>
    <t xml:space="preserve">Cessions (au multiple central)</t>
  </si>
  <si>
    <t xml:space="preserve">on encaisse, mais on perd de l'EBITDA × plafond</t>
  </si>
  <si>
    <t xml:space="preserve">Tuck-ins (au multiple des tuck-ins)</t>
  </si>
  <si>
    <t xml:space="preserve">symétrique : on paie plus que 3x ce qu'on achète</t>
  </si>
  <si>
    <t xml:space="preserve">Dividendes</t>
  </si>
  <si>
    <t xml:space="preserve">Dette requalifiée (hybrides, provisions)</t>
  </si>
  <si>
    <t xml:space="preserve">un pour un, sans contrepartie d'EBITDA</t>
  </si>
  <si>
    <t xml:space="preserve">Macro — ce que valent l'énergie, le dollar et les taux sur la marge 2027 (DEU 2025 p.406, 409, 416, 418 ; résultats 2025 ; amendement)</t>
  </si>
  <si>
    <t xml:space="preserve">Entrée externe</t>
  </si>
  <si>
    <t xml:space="preserve">Effet publié</t>
  </si>
  <si>
    <t xml:space="preserve">Effet sur la marge 2027 (M EUR)</t>
  </si>
  <si>
    <t xml:space="preserve">Comment</t>
  </si>
  <si>
    <t xml:space="preserve">energy25</t>
  </si>
  <si>
    <t xml:space="preserve">Énergie et recyclats : effet sur l'EBITDA 2025</t>
  </si>
  <si>
    <t xml:space="preserve">effet × plafond : si 2027 revit 2025 — F560</t>
  </si>
  <si>
    <t xml:space="preserve">energyH1</t>
  </si>
  <si>
    <t xml:space="preserve">Énergie et recyclats : effet au S1 2026 (à annualiser : × 2)</t>
  </si>
  <si>
    <t xml:space="preserve">effet × 2 × plafond : si 2027 revit le S1 2026 — F561</t>
  </si>
  <si>
    <t xml:space="preserve">usd10</t>
  </si>
  <si>
    <t xml:space="preserve">Dollar : dette en USD, effet d'une hausse de 10 % du dollar sur la dette nette</t>
  </si>
  <si>
    <t xml:space="preserve">M EUR de dette</t>
  </si>
  <si>
    <t xml:space="preserve">10 % de la dette en dollars, convertie — F557</t>
  </si>
  <si>
    <t xml:space="preserve">fxbond</t>
  </si>
  <si>
    <t xml:space="preserve">Dollar : effet de change réel sur les obligations en USD en 2025 (dollar plus bas)</t>
  </si>
  <si>
    <t xml:space="preserve">signe : une baisse du dollar a réduit la dette — F559</t>
  </si>
  <si>
    <t xml:space="preserve">fxoi</t>
  </si>
  <si>
    <t xml:space="preserve">Toutes devises : résultat opérationnel si les devises baissent de 10 % (sensibilité DEU)</t>
  </si>
  <si>
    <t xml:space="preserve">résultat opérationnel ≈ EBITDA à amortissements constants — F549</t>
  </si>
  <si>
    <t xml:space="preserve">rate1</t>
  </si>
  <si>
    <t xml:space="preserve">Taux : position nette à taux variable ; +1 point de taux = coût en plus</t>
  </si>
  <si>
    <t xml:space="preserve">position × 1 % (la position est un passif net : négatif = coût) — F556</t>
  </si>
  <si>
    <t xml:space="preserve">fixpct</t>
  </si>
  <si>
    <t xml:space="preserve">Taux : part de la dette brute à taux fixe après couverture</t>
  </si>
  <si>
    <t xml:space="preserve">pour mémoire — F554</t>
  </si>
  <si>
    <t xml:space="preserve">Pari 1 — La capacité en probabilités</t>
  </si>
  <si>
    <t xml:space="preserve">1000 futurs tirés (onglet Simulation). Une fourchette dit « entre » ; ces lignes disent « avec quelle chance ». Les lois sont triangulaires entre les bornes de l'onglet Hypothèses, la base au sommet.</t>
  </si>
  <si>
    <t xml:space="preserve">Ce que valent les résultats sur l'ensemble des tirages</t>
  </si>
  <si>
    <t xml:space="preserve">Résultat</t>
  </si>
  <si>
    <t xml:space="preserve">Moyenne</t>
  </si>
  <si>
    <t xml:space="preserve">p5</t>
  </si>
  <si>
    <t xml:space="preserve">p10</t>
  </si>
  <si>
    <t xml:space="preserve">Médiane</t>
  </si>
  <si>
    <t xml:space="preserve">p90</t>
  </si>
  <si>
    <t xml:space="preserve">p95</t>
  </si>
  <si>
    <t xml:space="preserve">Ligne base</t>
  </si>
  <si>
    <t xml:space="preserve">Trajectoire (actif)</t>
  </si>
  <si>
    <t xml:space="preserve">Marge sous 3x fin 2027</t>
  </si>
  <si>
    <t xml:space="preserve">Marge sous le seuil S&amp;P fin 2026</t>
  </si>
  <si>
    <t xml:space="preserve">Marge sous le seuil S&amp;P fin 2027</t>
  </si>
  <si>
    <t xml:space="preserve">Marge contraignante fin 2027</t>
  </si>
  <si>
    <t xml:space="preserve">Acquisition maximale fin 2027 sous la contrainte qui mord</t>
  </si>
  <si>
    <t xml:space="preserve">Dette financière nette fin 2027</t>
  </si>
  <si>
    <t xml:space="preserve">Les probabilités qui répondent à la question</t>
  </si>
  <si>
    <t xml:space="preserve">Événement</t>
  </si>
  <si>
    <t xml:space="preserve">Probabilité</t>
  </si>
  <si>
    <t xml:space="preserve">Comment c'est compté</t>
  </si>
  <si>
    <t xml:space="preserve">La marge contraignante fin 2027 est positive (3x ET seuil S&amp;P tenus)</t>
  </si>
  <si>
    <t xml:space="preserve">tirages où la plus petite des deux marges &gt; 0</t>
  </si>
  <si>
    <t xml:space="preserve">Le levier fin 2027 reste sous le plafond (marge 3x &gt; 0)</t>
  </si>
  <si>
    <t xml:space="preserve">Le ratio FFO / dette reste au-dessus du seuil S&amp;P fin 2027</t>
  </si>
  <si>
    <t xml:space="preserve">Le ratio FFO / dette passe sous le seuil S&amp;P fin 2026 (risque de dégradation)</t>
  </si>
  <si>
    <t xml:space="preserve">seuil S&amp;P du registre</t>
  </si>
  <si>
    <t xml:space="preserve">C'est le seuil des agences qui mord en premier fin 2027 (et non le 3x)</t>
  </si>
  <si>
    <t xml:space="preserve">Le levier fin 2026 dépasse 3,1x</t>
  </si>
  <si>
    <t xml:space="preserve">« égal ou légèrement supérieur à 3x » : 3,1x comme borne de lecture</t>
  </si>
  <si>
    <t xml:space="preserve">Veolia peut acheter au moins 1 Md€ fin 2027 sans franchir la contrainte qui mord</t>
  </si>
  <si>
    <t xml:space="preserve">au multiple des tuck-ins tiré</t>
  </si>
  <si>
    <t xml:space="preserve">… au moins 2 Md€</t>
  </si>
  <si>
    <t xml:space="preserve">… au moins 3 Md€</t>
  </si>
  <si>
    <t xml:space="preserve">L'EBITDA 2027 atteint l'objectif de 8 Md€</t>
  </si>
  <si>
    <t xml:space="preserve">Futurs (sur l'ensemble des tirages) où la marge contraignante devient négative</t>
  </si>
  <si>
    <t xml:space="preserve">un nombre de tirages, pas une probabilité</t>
  </si>
  <si>
    <t xml:space="preserve">Histogramme de la marge contraignante fin 2027 (M EUR)</t>
  </si>
  <si>
    <t xml:space="preserve">Classe (de … à …)</t>
  </si>
  <si>
    <t xml:space="preserve">De</t>
  </si>
  <si>
    <t xml:space="preserve">À</t>
  </si>
  <si>
    <t xml:space="preserve">Tirages</t>
  </si>
  <si>
    <t xml:space="preserve">L'éventail du levier 2024 → 2027</t>
  </si>
  <si>
    <t xml:space="preserve">Lecture : la fourchette défavorable / favorable de Trajectoire combine tous les extrêmes à la fois, ce qui n'arrive presque jamais ; ici, chaque futur tire chaque hypothèse dans sa loi, et un facteur « conjoncture » commun (poids en C11 de Simulation) fait bouger ensemble les hypothèses qui y sont exposées. Les probabilités dépendent des bornes choisies dans Hypothèses : elles mesurent notre incertitude, pas celle du marché.</t>
  </si>
  <si>
    <t xml:space="preserve">Rôle 4 (question 1 du cours) — D'où viennent les 8 Md€ : segments, boosters, KPI ESG</t>
  </si>
  <si>
    <t xml:space="preserve">Présentation des résultats 2025 (p.7, p.23, p.25, p.41), rapport de gestion 2025 (p.12-13), présentation S1 2026 (p.10, p.19, p.22), DEU 2025 (p.12, p.191).</t>
  </si>
  <si>
    <t xml:space="preserve">Les segments : qui livre la croissance</t>
  </si>
  <si>
    <t xml:space="preserve">Segment</t>
  </si>
  <si>
    <t xml:space="preserve">CA 2024</t>
  </si>
  <si>
    <t xml:space="preserve">Marge 2025</t>
  </si>
  <si>
    <t xml:space="preserve">Croiss. EBITDA publiée</t>
  </si>
  <si>
    <t xml:space="preserve">Croiss. organique EBITDA 2025</t>
  </si>
  <si>
    <t xml:space="preserve">CA S1 2026</t>
  </si>
  <si>
    <t xml:space="preserve">EBITDA S1 2026</t>
  </si>
  <si>
    <t xml:space="preserve">Water Technologies</t>
  </si>
  <si>
    <t xml:space="preserve">F168, F170, F171, F194, F196</t>
  </si>
  <si>
    <t xml:space="preserve">Amériques, Asie-Pacifique, Afrique Moyen-Orient</t>
  </si>
  <si>
    <t xml:space="preserve">F182, F172, F184, F174, F175, F227, F97</t>
  </si>
  <si>
    <t xml:space="preserve">Europe</t>
  </si>
  <si>
    <t xml:space="preserve">F181, F176, F183, F177, F178, F228</t>
  </si>
  <si>
    <t xml:space="preserve">France et Déchets dangereux Europe</t>
  </si>
  <si>
    <t xml:space="preserve">F180, F179, F37, F38, F95</t>
  </si>
  <si>
    <t xml:space="preserve">Somme des quatre segments</t>
  </si>
  <si>
    <t xml:space="preserve">EBITDA du groupe publié</t>
  </si>
  <si>
    <t xml:space="preserve">F17, F3</t>
  </si>
  <si>
    <t xml:space="preserve">Autres (holding, éliminations) = groupe − segments</t>
  </si>
  <si>
    <t xml:space="preserve">2024 : l'EBITDA Water Technologies 2024 n'est pas au registre</t>
  </si>
  <si>
    <t xml:space="preserve">Les boosters (croissance et marge)</t>
  </si>
  <si>
    <t xml:space="preserve">Booster</t>
  </si>
  <si>
    <t xml:space="preserve">Croiss. organique CA 2025</t>
  </si>
  <si>
    <t xml:space="preserve">Tous les boosters</t>
  </si>
  <si>
    <t xml:space="preserve">F185, F188, F186, F187, F229, F231</t>
  </si>
  <si>
    <t xml:space="preserve">Bioénergie, flexibilité, efficacité énergétique</t>
  </si>
  <si>
    <t xml:space="preserve">F192, F190, F193, F191, F234, F233</t>
  </si>
  <si>
    <t xml:space="preserve">Déchets dangereux (pro forma avec Clean Earth, présentation Clean Earth p.9)</t>
  </si>
  <si>
    <t xml:space="preserve">F59, F60 (2025E)</t>
  </si>
  <si>
    <t xml:space="preserve">Marge publiée des boosters 2025 (pour contrôle)</t>
  </si>
  <si>
    <t xml:space="preserve">Ambition GreenUp bioénergie : CA 2023 → 2027 (Md EUR), et rythme annuel requis</t>
  </si>
  <si>
    <t xml:space="preserve">F235, F236 — rythme requis sur 4 ans</t>
  </si>
  <si>
    <t xml:space="preserve">Rythme constaté 2023 → 2025 (périmètre courant)</t>
  </si>
  <si>
    <t xml:space="preserve">CA 2025 / base 2023, sur deux ans — effets de périmètre compris</t>
  </si>
  <si>
    <t xml:space="preserve">D'où viennent les 8 Md€ : si chaque segment gardait son rythme organique de 2025</t>
  </si>
  <si>
    <t xml:space="preserve">Rythme organique 2025</t>
  </si>
  <si>
    <t xml:space="preserve">EBITDA 2027 au même rythme</t>
  </si>
  <si>
    <t xml:space="preserve">Note</t>
  </si>
  <si>
    <t xml:space="preserve">croissance publiée à défaut d'organique</t>
  </si>
  <si>
    <t xml:space="preserve">Autres (holding), supposés stables</t>
  </si>
  <si>
    <t xml:space="preserve">Clean Earth en année pleine (hypothèse ceEb, convertie)</t>
  </si>
  <si>
    <t xml:space="preserve">EBITDA 2027 « au rythme de 2025 »</t>
  </si>
  <si>
    <t xml:space="preserve">Objectif GreenUp ≥</t>
  </si>
  <si>
    <t xml:space="preserve">EBITDA 2027 du modèle (Trajectoire, central)</t>
  </si>
  <si>
    <t xml:space="preserve">Les KPI environnementaux de GreenUp face à 2027</t>
  </si>
  <si>
    <t xml:space="preserve">KPI</t>
  </si>
  <si>
    <t xml:space="preserve">Base 2023</t>
  </si>
  <si>
    <t xml:space="preserve">Objectif 2027</t>
  </si>
  <si>
    <t xml:space="preserve">Écart 2025 → objectif</t>
  </si>
  <si>
    <t xml:space="preserve">CO2e évité (scope 4), Mt — reconstitué : base × (1 + progression)</t>
  </si>
  <si>
    <t xml:space="preserve">F197, F198, F199, F200</t>
  </si>
  <si>
    <t xml:space="preserve">CO2e évité : objectif tel qu'énoncé (18 Mt)</t>
  </si>
  <si>
    <t xml:space="preserve">F204 — 13,45 × 1,30 = 17,5, pas 18 : deux formulations</t>
  </si>
  <si>
    <t xml:space="preserve">Eau douce économisée, Md m³</t>
  </si>
  <si>
    <t xml:space="preserve">F201, F202, F203 — déjà dépassé</t>
  </si>
  <si>
    <t xml:space="preserve">Déchets dangereux traités, kt</t>
  </si>
  <si>
    <t xml:space="preserve">F33, F34, F35 — déjà atteint</t>
  </si>
  <si>
    <t xml:space="preserve">Rôles 3 et 4 (question 1 du cours) — Le pont de l'EBITDA : ce que GreenUp promet, ce que 2025 a livré, ce que le modèle projette</t>
  </si>
  <si>
    <t xml:space="preserve">GreenUp (p.58, p.69), présentation des résultats 2025 (p.21, p.24), Trajectoire. Une marche = une ligne ; chaque marche renvoie à une entrée ou à une hypothèse.</t>
  </si>
  <si>
    <t xml:space="preserve">Ce que le plan promet (GreenUp 2024-2027)</t>
  </si>
  <si>
    <t xml:space="preserve">EBITDA de base 2023 (GreenUp)</t>
  </si>
  <si>
    <t xml:space="preserve">Objectif 2027 : au moins</t>
  </si>
  <si>
    <t xml:space="preserve">Écart à combler en quatre ans</t>
  </si>
  <si>
    <t xml:space="preserve">objectif − base</t>
  </si>
  <si>
    <t xml:space="preserve">Croissance annuelle implicite 2023 → 2027</t>
  </si>
  <si>
    <t xml:space="preserve">(objectif / base)^(1/4) − 1</t>
  </si>
  <si>
    <t xml:space="preserve">Croissance annuelle annoncée, environ</t>
  </si>
  <si>
    <t xml:space="preserve">Gains d'efficacité promis, par an</t>
  </si>
  <si>
    <t xml:space="preserve">… sur quatre ans (2024-2027)</t>
  </si>
  <si>
    <t xml:space="preserve">4 × 350</t>
  </si>
  <si>
    <t xml:space="preserve">Part de l'écart couverte par la seule efficacité</t>
  </si>
  <si>
    <t xml:space="preserve">efficacité × 4 / écart</t>
  </si>
  <si>
    <t xml:space="preserve">Synergies de coûts Suez attendues en 2024-2025, environ</t>
  </si>
  <si>
    <t xml:space="preserve">Synergies Suez cumulées 2022-2025 confirmées par le plan</t>
  </si>
  <si>
    <t xml:space="preserve">F422 ; réalisé 2025 : voir §B</t>
  </si>
  <si>
    <t xml:space="preserve">Efficacité × 4 + synergies 2024-2025, en part de l'écart</t>
  </si>
  <si>
    <t xml:space="preserve">Ce que 2024 et 2025 ont livré (présentations des résultats)</t>
  </si>
  <si>
    <t xml:space="preserve">EBITDA publié</t>
  </si>
  <si>
    <t xml:space="preserve">EBITDA de l'année précédente, tel que publié</t>
  </si>
  <si>
    <t xml:space="preserve">F17 ; 2023 : base GreenUp (6,5 Md€, arrondi)</t>
  </si>
  <si>
    <t xml:space="preserve">Croissance organique de l'EBITDA publiée</t>
  </si>
  <si>
    <t xml:space="preserve">… en M EUR, sur la base publiée de l'année précédente (approximation : la base organique n'est pas publiée)</t>
  </si>
  <si>
    <t xml:space="preserve">croissance × EBITDA N−1 publié</t>
  </si>
  <si>
    <t xml:space="preserve">Gains d'efficacité de l'année</t>
  </si>
  <si>
    <t xml:space="preserve">F424, F205</t>
  </si>
  <si>
    <t xml:space="preserve">Synergies Suez supplémentaires dans l'année (cumul N − cumul N−1)</t>
  </si>
  <si>
    <t xml:space="preserve">F208 − F206</t>
  </si>
  <si>
    <t xml:space="preserve">Efficacité + synergies de l'année</t>
  </si>
  <si>
    <t xml:space="preserve">Part de la croissance organique expliquée par l'efficacité seule</t>
  </si>
  <si>
    <t xml:space="preserve">efficacité / croissance organique en M EUR</t>
  </si>
  <si>
    <t xml:space="preserve">Reste : volumes, prix, énergie, inflation des coûts (croissance organique − efficacité − synergies)</t>
  </si>
  <si>
    <t xml:space="preserve">négatif = hors efficacité et synergies, l'EBITDA organique recule</t>
  </si>
  <si>
    <t xml:space="preserve">Marge d'EBITDA publiée</t>
  </si>
  <si>
    <t xml:space="preserve">Contre-épreuve par les familles d'activités (présentation 2025, p.24 et p.7)</t>
  </si>
  <si>
    <t xml:space="preserve">Strongholds : EBITDA × croissance organique</t>
  </si>
  <si>
    <t xml:space="preserve">F431 × F432</t>
  </si>
  <si>
    <t xml:space="preserve">Boosters : EBITDA × croissance organique</t>
  </si>
  <si>
    <t xml:space="preserve">F188 × F187</t>
  </si>
  <si>
    <t xml:space="preserve">Somme des deux familles (sur les EBITDA 2025, approximation)</t>
  </si>
  <si>
    <t xml:space="preserve">à comparer à la croissance organique du groupe en M EUR</t>
  </si>
  <si>
    <t xml:space="preserve">Le pont du modèle 2025 → 2027, marche par marche (Trajectoire)</t>
  </si>
  <si>
    <t xml:space="preserve">Marche</t>
  </si>
  <si>
    <t xml:space="preserve">Ce qui la porte</t>
  </si>
  <si>
    <t xml:space="preserve">EBITDA 2025 publié</t>
  </si>
  <si>
    <t xml:space="preserve">+ croissance organique 2026 (hypothèse g26)</t>
  </si>
  <si>
    <t xml:space="preserve">A26 − EBITDA 2025</t>
  </si>
  <si>
    <t xml:space="preserve">+ Clean Earth 2026 (mois consolidés, converti)</t>
  </si>
  <si>
    <t xml:space="preserve">− EBITDA cédé en 2026</t>
  </si>
  <si>
    <t xml:space="preserve">EBITDA 2026 (sous-total)</t>
  </si>
  <si>
    <t xml:space="preserve">+ croissance organique 2027 (hypothèse g27, sur la base 2026 Clean Earth en année pleine)</t>
  </si>
  <si>
    <t xml:space="preserve">B27 − base</t>
  </si>
  <si>
    <t xml:space="preserve">+ complément Clean Earth (12 mois − mois 2026)</t>
  </si>
  <si>
    <t xml:space="preserve">ceEb / fx − CE26</t>
  </si>
  <si>
    <t xml:space="preserve">+ synergies Clean Earth réalisées en 2027</t>
  </si>
  <si>
    <t xml:space="preserve">+ EBITDA apporté par les tuck-ins 2027</t>
  </si>
  <si>
    <t xml:space="preserve">− EBITDA cédé en 2027</t>
  </si>
  <si>
    <t xml:space="preserve">EBITDA 2027 (somme des marches)</t>
  </si>
  <si>
    <t xml:space="preserve">EBITDA 2027 de Trajectoire (contrôle)</t>
  </si>
  <si>
    <t xml:space="preserve">Objectif GreenUp : au moins</t>
  </si>
  <si>
    <t xml:space="preserve">Écart à l'objectif</t>
  </si>
  <si>
    <t xml:space="preserve">Lecture : la colonne « Scénario actif » suit le sélecteur de Hypothèses. Les marches positives sont la croissance organique (dont l'efficacité, §D), Clean Earth et ses synergies, les tuck-ins ; les cessions retirent leur EBITDA sur l'année entière (prudent).</t>
  </si>
  <si>
    <t xml:space="preserve">L'efficacité porte tout : que vaut la marge 2027 si le programme de coûts n'est pas livré ?</t>
  </si>
  <si>
    <t xml:space="preserve">Efficacité promise par an (GreenUp)</t>
  </si>
  <si>
    <t xml:space="preserve">Croissance organique 2026 du modèle (scénario actif)</t>
  </si>
  <si>
    <t xml:space="preserve">§C</t>
  </si>
  <si>
    <t xml:space="preserve">Part de l'organique 2026 que représente l'efficacité promise</t>
  </si>
  <si>
    <t xml:space="preserve">350 / organique 2026</t>
  </si>
  <si>
    <t xml:space="preserve">Croissance organique 2027 du modèle (scénario actif)</t>
  </si>
  <si>
    <t xml:space="preserve">Part de l'organique 2027 que représente l'efficacité promise</t>
  </si>
  <si>
    <t xml:space="preserve">350 / organique 2027</t>
  </si>
  <si>
    <t xml:space="preserve">Taux de réalisation de l'efficacité en 2026 et 2027 (1 = livrée comme promise)</t>
  </si>
  <si>
    <t xml:space="preserve">cellule jaune : à faire varier (0 = rien, 0,5 = la moitié)</t>
  </si>
  <si>
    <t xml:space="preserve">EBITDA 2027 perdu si l'efficacité n'est livrée qu'à ce taux (deux années)</t>
  </si>
  <si>
    <t xml:space="preserve">−(1 − taux) × 2 × 350</t>
  </si>
  <si>
    <t xml:space="preserve">EBITDA 2027 au taux choisi</t>
  </si>
  <si>
    <t xml:space="preserve">EB27 + perte</t>
  </si>
  <si>
    <t xml:space="preserve">Levier fin 2027 au taux choisi (dette inchangée)</t>
  </si>
  <si>
    <t xml:space="preserve">DFN 2027 / EBITDA 2027 corrigé</t>
  </si>
  <si>
    <t xml:space="preserve">Marge sous 3x fin 2027 au taux choisi</t>
  </si>
  <si>
    <t xml:space="preserve">plafond × EBITDA corrigé − DFN</t>
  </si>
  <si>
    <t xml:space="preserve">Pour mémoire : marge sous 3x fin 2027, scénario actif</t>
  </si>
  <si>
    <t xml:space="preserve">Trajectoire</t>
  </si>
  <si>
    <t xml:space="preserve">Grille : marge sous 3x fin 2027 selon le taux de réalisation de l'efficacité</t>
  </si>
  <si>
    <t xml:space="preserve">Taux de réalisation</t>
  </si>
  <si>
    <t xml:space="preserve">Marge sous 3x (M EUR)</t>
  </si>
  <si>
    <t xml:space="preserve">Veolia tient-elle ses plans ? Objectifs annoncés et réalisés (Impact 2023, guidance 2025)</t>
  </si>
  <si>
    <t xml:space="preserve">Objectif</t>
  </si>
  <si>
    <t xml:space="preserve">Visé</t>
  </si>
  <si>
    <t xml:space="preserve">Réalisé</t>
  </si>
  <si>
    <t xml:space="preserve">Tenu ?</t>
  </si>
  <si>
    <t xml:space="preserve">Impact 2023 : EBITDA 2023 (Md EUR, bas de fourchette)</t>
  </si>
  <si>
    <t xml:space="preserve">F576, F578</t>
  </si>
  <si>
    <t xml:space="preserve">Impact 2023 : résultat net courant 2023 (M EUR)</t>
  </si>
  <si>
    <t xml:space="preserve">F579, F580</t>
  </si>
  <si>
    <t xml:space="preserve">Impact 2023 : CA déchets liquides et dangereux (Md EUR)</t>
  </si>
  <si>
    <t xml:space="preserve">F582, F583</t>
  </si>
  <si>
    <t xml:space="preserve">Impact 2023 : émissions évitées (Mt CO2eq)</t>
  </si>
  <si>
    <t xml:space="preserve">F584, F585</t>
  </si>
  <si>
    <t xml:space="preserve">Impact 2023 : plastiques transformés (kt)</t>
  </si>
  <si>
    <t xml:space="preserve">F586, F587</t>
  </si>
  <si>
    <t xml:space="preserve">Impact 2023 : femmes parmi les 500 cadres dirigeants nommés (%)</t>
  </si>
  <si>
    <t xml:space="preserve">F588, F589</t>
  </si>
  <si>
    <t xml:space="preserve">Guidance 2025 : croissance organique de l'EBITDA (%, bas de fourchette)</t>
  </si>
  <si>
    <t xml:space="preserve">F590, F425</t>
  </si>
  <si>
    <t xml:space="preserve">Guidance 2025 : gains d'efficacité (M EUR, plus de)</t>
  </si>
  <si>
    <t xml:space="preserve">F592, F424</t>
  </si>
  <si>
    <t xml:space="preserve">Guidance 2025 : synergies cumulées 2022-2025 (M EUR)</t>
  </si>
  <si>
    <t xml:space="preserve">F593, F208</t>
  </si>
  <si>
    <t xml:space="preserve">Guidance 2025 : croissance du résultat net courant (%, environ)</t>
  </si>
  <si>
    <t xml:space="preserve">F595, F596</t>
  </si>
  <si>
    <t xml:space="preserve">Guidance 2025 : levier &lt; 3x</t>
  </si>
  <si>
    <t xml:space="preserve">F56, F16</t>
  </si>
  <si>
    <t xml:space="preserve">Objectifs tenus (sur ceux du tableau)</t>
  </si>
  <si>
    <t xml:space="preserve">Objectifs financiers tenus</t>
  </si>
  <si>
    <t xml:space="preserve">EBITDA, résultat net, CA déchets dangereux, guidance 2025</t>
  </si>
  <si>
    <t xml:space="preserve">Rôle 4 — Où en est le booster Déchets dangereux face à 2027</t>
  </si>
  <si>
    <t xml:space="preserve">Volumes (URD 2025 p.226, GreenUp p.9), profil financier (présentation Clean Earth), moteur organique (CP S1 2026 p.7).</t>
  </si>
  <si>
    <t xml:space="preserve">Volumes traités</t>
  </si>
  <si>
    <t xml:space="preserve">Traités en 2024</t>
  </si>
  <si>
    <t xml:space="preserve">Traités en 2025</t>
  </si>
  <si>
    <t xml:space="preserve">Variation 2024 → 2025</t>
  </si>
  <si>
    <t xml:space="preserve">Objectif 2027 (URD 2025)</t>
  </si>
  <si>
    <t xml:space="preserve">Objectif 2027 initial (GreenUp 2024, « déchets dangereux et polluants »)</t>
  </si>
  <si>
    <t xml:space="preserve">Écart à l'objectif actuel</t>
  </si>
  <si>
    <t xml:space="preserve">atteint dès 2024</t>
  </si>
  <si>
    <t xml:space="preserve">Écart à l'objectif initial</t>
  </si>
  <si>
    <t xml:space="preserve">Capacité en construction (5 usines)</t>
  </si>
  <si>
    <t xml:space="preserve">Écart à l'objectif initial, capacité nouvelle comprise</t>
  </si>
  <si>
    <t xml:space="preserve">Profil financier et ambition</t>
  </si>
  <si>
    <t xml:space="preserve">Chiffre d'affaires DD de Veolia 2024</t>
  </si>
  <si>
    <t xml:space="preserve">Chiffre d'affaires DD pro forma 2025E (avec Clean Earth)</t>
  </si>
  <si>
    <t xml:space="preserve">EBITDA DD pro forma 2025E</t>
  </si>
  <si>
    <t xml:space="preserve">Marge pro forma recalculée</t>
  </si>
  <si>
    <t xml:space="preserve">publiée : F61</t>
  </si>
  <si>
    <t xml:space="preserve">Ambition : croissance annuelle de l'EBITDA DD 2024-2027, plus de</t>
  </si>
  <si>
    <t xml:space="preserve">Illustration : EBITDA DD 2027 si +10 %/an depuis le pro forma 2025E</t>
  </si>
  <si>
    <t xml:space="preserve">base pro forma × 1,1² — illustratif</t>
  </si>
  <si>
    <t xml:space="preserve">Clean Earth : croissance du CA 2025E → 2026E</t>
  </si>
  <si>
    <t xml:space="preserve">F54, F52</t>
  </si>
  <si>
    <t xml:space="preserve">Clean Earth : marge d'EBITDA 2026E</t>
  </si>
  <si>
    <t xml:space="preserve">F51, F52</t>
  </si>
  <si>
    <t xml:space="preserve">Le moteur organique (S1 2026)</t>
  </si>
  <si>
    <t xml:space="preserve">CA Déchets dangereux Europe S1 2026</t>
  </si>
  <si>
    <t xml:space="preserve">… croissance à périmètre et change constants</t>
  </si>
  <si>
    <t xml:space="preserve">EBITDA France et DD Europe, S1 2026 / S1 2025 (publié)</t>
  </si>
  <si>
    <t xml:space="preserve">F94, F95</t>
  </si>
  <si>
    <t xml:space="preserve">EBITDA Amériques-Asie-Afrique, S1 2026 / S1 2025 (publié)</t>
  </si>
  <si>
    <t xml:space="preserve">F96, F97</t>
  </si>
  <si>
    <t xml:space="preserve">Comparables — cadre à remplir (phase D, sources à verser dans la dataroom)</t>
  </si>
  <si>
    <t xml:space="preserve">Pays</t>
  </si>
  <si>
    <t xml:space="preserve">Part DD du CA</t>
  </si>
  <si>
    <t xml:space="preserve">CA (M)</t>
  </si>
  <si>
    <t xml:space="preserve">EBITDA (M)</t>
  </si>
  <si>
    <t xml:space="preserve">Marge</t>
  </si>
  <si>
    <t xml:space="preserve">VE / EBITDA</t>
  </si>
  <si>
    <t xml:space="preserve">Pourquoi comparable (ou pas)</t>
  </si>
  <si>
    <t xml:space="preserve">Clean Harbors</t>
  </si>
  <si>
    <t xml:space="preserve">100 % (déchets dangereux et services associés)</t>
  </si>
  <si>
    <t xml:space="preserve">F224 p.33, F225 p.38</t>
  </si>
  <si>
    <t xml:space="preserve">TSDF, incinération ; leader US, concurrent direct de Clean Earth — 2025, M USD ; EBITDA ajusté selon la définition de Clean Harbors</t>
  </si>
  <si>
    <t xml:space="preserve">Enviri (ex-Harsco)</t>
  </si>
  <si>
    <t xml:space="preserve">segment Clean Earth seul</t>
  </si>
  <si>
    <t xml:space="preserve">F209 p.69, F211 p.70, F213/F214 p.284</t>
  </si>
  <si>
    <t xml:space="preserve">vendeur de Clean Earth : ses comptes donnent l'historique de la cible — 2025, M USD ; EBITDA = résultat opérationnel + D&amp;A du segment, recalculé ici (Enviri ne publie pas d'EBITDA de segment)</t>
  </si>
  <si>
    <t xml:space="preserve">Republic Services (US Ecology)</t>
  </si>
  <si>
    <t xml:space="preserve">généraliste ; DD via US Ecology — mix différent</t>
  </si>
  <si>
    <t xml:space="preserve">Remondis / SARP</t>
  </si>
  <si>
    <t xml:space="preserve">non coté : comparable métier, pas de multiple de marché</t>
  </si>
  <si>
    <t xml:space="preserve">Pour mémoire : marge d'EBITDA ajusté de Clean Harbors publiée</t>
  </si>
  <si>
    <t xml:space="preserve">Clean Earth vu du vendeur (10-K 2025 d'Enviri) : quel EBITDA paie-t-on ?</t>
  </si>
  <si>
    <t xml:space="preserve">Chiffre d'affaires du segment</t>
  </si>
  <si>
    <t xml:space="preserve">F210 (2024)</t>
  </si>
  <si>
    <t xml:space="preserve">F209 (2025)</t>
  </si>
  <si>
    <t xml:space="preserve">Croissance du chiffre d'affaires 2025</t>
  </si>
  <si>
    <t xml:space="preserve">Résultat opérationnel du segment</t>
  </si>
  <si>
    <t xml:space="preserve">F212 (2024)</t>
  </si>
  <si>
    <t xml:space="preserve">F211 (2025)</t>
  </si>
  <si>
    <t xml:space="preserve">Dépréciation + amortissement du segment</t>
  </si>
  <si>
    <t xml:space="preserve">F213, F214 (2025)</t>
  </si>
  <si>
    <t xml:space="preserve">EBITDA 2025 recalculé (résultat opérationnel + D&amp;A)</t>
  </si>
  <si>
    <t xml:space="preserve">non publié par Enviri : reconstitué</t>
  </si>
  <si>
    <t xml:space="preserve">Marge d'EBITDA 2025 recalculée</t>
  </si>
  <si>
    <t xml:space="preserve">EBITDA 2026E retenu par Veolia (ajusté, post IFRS 16)</t>
  </si>
  <si>
    <t xml:space="preserve">Écart entre l'EBITDA de Veolia et l'EBITDA 2025 reconstitué</t>
  </si>
  <si>
    <t xml:space="preserve">croissance, IFRS 16, ajustements : à faire expliquer</t>
  </si>
  <si>
    <t xml:space="preserve">Multiple sur l'EBITDA 2025 reconstitué (VE / EBITDA)</t>
  </si>
  <si>
    <t xml:space="preserve">F46 / recalcul</t>
  </si>
  <si>
    <t xml:space="preserve">Pour mémoire : multiple publié par Veolia après synergies</t>
  </si>
  <si>
    <t xml:space="preserve">Actifs totaux du segment</t>
  </si>
  <si>
    <t xml:space="preserve">Cellules jaunes à remplir uniquement depuis un document versé dans la dataroom (fichier + page).</t>
  </si>
  <si>
    <t xml:space="preserve">Rôle 5 — Le coût ESG : ce qu'une acquisition ajoute en passif et en exposition</t>
  </si>
  <si>
    <t xml:space="preserve">Provisions de fermeture et post-fermeture (URD 2025 p.432, amendement p.65) ; Clean Earth (amendement p.25, p.53).</t>
  </si>
  <si>
    <t xml:space="preserve">Les passifs environnementaux de Veolia</t>
  </si>
  <si>
    <t xml:space="preserve">Provisions de fermeture et post-fermeture</t>
  </si>
  <si>
    <t xml:space="preserve">Δ S1 2026</t>
  </si>
  <si>
    <t xml:space="preserve">Total</t>
  </si>
  <si>
    <t xml:space="preserve">F99, F100, F44</t>
  </si>
  <si>
    <t xml:space="preserve">   dont Amériques, Asie-Pacifique, Afrique Moyen-Orient</t>
  </si>
  <si>
    <t xml:space="preserve">F101, F102</t>
  </si>
  <si>
    <t xml:space="preserve">   dont France et Déchets dangereux Europe</t>
  </si>
  <si>
    <t xml:space="preserve">F103, F45</t>
  </si>
  <si>
    <t xml:space="preserve">   dont Europe</t>
  </si>
  <si>
    <t xml:space="preserve">F104, F105</t>
  </si>
  <si>
    <t xml:space="preserve">Par nature au 31/12/2025 : réhabilitation de sites</t>
  </si>
  <si>
    <t xml:space="preserve">   + risques environnementaux</t>
  </si>
  <si>
    <t xml:space="preserve">   + démantèlement</t>
  </si>
  <si>
    <t xml:space="preserve">   = total par nature</t>
  </si>
  <si>
    <t xml:space="preserve">doit égaler le total au 31/12/2025</t>
  </si>
  <si>
    <t xml:space="preserve">Désactualisation 2025 (charge financière annuelle)</t>
  </si>
  <si>
    <t xml:space="preserve">Provisions de fermeture en tours d'EBITDA 2025</t>
  </si>
  <si>
    <t xml:space="preserve">Ce que Clean Earth apporte — et ce qu'on ne voit pas encore</t>
  </si>
  <si>
    <t xml:space="preserve">Prix payé</t>
  </si>
  <si>
    <t xml:space="preserve">Goodwill préliminaire</t>
  </si>
  <si>
    <t xml:space="preserve">Goodwill en % du prix</t>
  </si>
  <si>
    <t xml:space="preserve">affectation du prix non réalisée au 30/06/2026</t>
  </si>
  <si>
    <t xml:space="preserve">Hausse des provisions de fermeture, segment Amériques, au S1 2026</t>
  </si>
  <si>
    <t xml:space="preserve">compatible avec l'entrée de Clean Earth, non attribuée par Veolia</t>
  </si>
  <si>
    <t xml:space="preserve">Hausse des garanties reçues liées aux acquisitions</t>
  </si>
  <si>
    <t xml:space="preserve">F108, F109</t>
  </si>
  <si>
    <t xml:space="preserve">Clean Harbors : passifs environnementaux en % du chiffre d'affaires</t>
  </si>
  <si>
    <t xml:space="preserve">F239 / F224 (2025)</t>
  </si>
  <si>
    <t xml:space="preserve">Enviri (groupe entier) : passifs environnementaux</t>
  </si>
  <si>
    <t xml:space="preserve">F218 + F219</t>
  </si>
  <si>
    <t xml:space="preserve">… en % du chiffre d'affaires de Clean Earth (borne haute : le groupe entier)</t>
  </si>
  <si>
    <t xml:space="preserve">Ordre de grandeur par analogie Clean Harbors : % × CA Clean Earth (pas une mesure)</t>
  </si>
  <si>
    <t xml:space="preserve">analogie, à remplacer par la juste valeur à l'affectation du prix</t>
  </si>
  <si>
    <t xml:space="preserve">Passifs environnementaux propres à Clean Earth (à sourcer : 10-Q T1 2026 d'Enviri, Clean Earth en activité abandonnée)</t>
  </si>
  <si>
    <t xml:space="preserve">cellule à remplir : laisser vide tant qu'aucun document ne le dit</t>
  </si>
  <si>
    <t xml:space="preserve">Effet sur le levier 2027 s'ils étaient traités comme de la dette</t>
  </si>
  <si>
    <t xml:space="preserve">passifs / EBITDA 2027 central</t>
  </si>
  <si>
    <t xml:space="preserve">T</t>
  </si>
  <si>
    <t xml:space="preserve">La taxonomie européenne 2025 : où vont les euros « verts » (DEU 2025, p.250)</t>
  </si>
  <si>
    <t xml:space="preserve">Secteur d'activités éligibles</t>
  </si>
  <si>
    <t xml:space="preserve">CA éligible</t>
  </si>
  <si>
    <t xml:space="preserve">CA éligible et aligné</t>
  </si>
  <si>
    <t xml:space="preserve">Capex éligible</t>
  </si>
  <si>
    <t xml:space="preserve">Capex éligible et aligné</t>
  </si>
  <si>
    <t xml:space="preserve">Capex aligné / éligible</t>
  </si>
  <si>
    <t xml:space="preserve">Part du capex aligné du groupe</t>
  </si>
  <si>
    <t xml:space="preserve">Eau et assainissement</t>
  </si>
  <si>
    <t xml:space="preserve">F501, F502, F503, F504</t>
  </si>
  <si>
    <t xml:space="preserve">Déchets pour l'économie circulaire (déchets dangereux compris)</t>
  </si>
  <si>
    <t xml:space="preserve">F505, F506, F507, F508</t>
  </si>
  <si>
    <t xml:space="preserve">Déchets dangereux, prévention de la pollution (PPC 2.1, 2.2)</t>
  </si>
  <si>
    <t xml:space="preserve">F509, F510, F511, F512</t>
  </si>
  <si>
    <t xml:space="preserve">Énergie produite et distribuée</t>
  </si>
  <si>
    <t xml:space="preserve">F513, F514, F515, F516</t>
  </si>
  <si>
    <t xml:space="preserve">Services énergétiques aux infrastructures</t>
  </si>
  <si>
    <t xml:space="preserve">F517, F518, F519, F520</t>
  </si>
  <si>
    <t xml:space="preserve">Autres activités éligibles</t>
  </si>
  <si>
    <t xml:space="preserve">F521, F522, F523, F524</t>
  </si>
  <si>
    <t xml:space="preserve">Somme des secteurs</t>
  </si>
  <si>
    <t xml:space="preserve">Total publié par Veolia (éligible ; éligible et aligné)</t>
  </si>
  <si>
    <t xml:space="preserve">Capex total du groupe (base taxonomie)</t>
  </si>
  <si>
    <t xml:space="preserve">Part du capex éligible et aligné, recalculée</t>
  </si>
  <si>
    <t xml:space="preserve">aligné / total</t>
  </si>
  <si>
    <t xml:space="preserve">… publiée</t>
  </si>
  <si>
    <t xml:space="preserve">Capex aligné 2024, pour mémoire (total 2024 : 4,1 Md€)</t>
  </si>
  <si>
    <t xml:space="preserve">F496, F494</t>
  </si>
  <si>
    <t xml:space="preserve">Déchets dangereux (PPC) : part du capex aligné du groupe</t>
  </si>
  <si>
    <t xml:space="preserve">Déchets dangereux (PPC) : capex aligné / éligible</t>
  </si>
  <si>
    <t xml:space="preserve">Capex non éligible (hors taxonomie)</t>
  </si>
  <si>
    <t xml:space="preserve">total − éligible</t>
  </si>
  <si>
    <t xml:space="preserve">Rôle 6 — Calibrer la recommandation sur l'enveloppe</t>
  </si>
  <si>
    <t xml:space="preserve">Taille maximale d'une acquisition payée fin 2027 sans dépasser le plafond : marge / (1 − plafond / multiple).</t>
  </si>
  <si>
    <t xml:space="preserve">Capacité selon le multiple payé et le scénario</t>
  </si>
  <si>
    <t xml:space="preserve">Multiple VE / EBITDA payé</t>
  </si>
  <si>
    <t xml:space="preserve">Défavorable</t>
  </si>
  <si>
    <t xml:space="preserve">Central</t>
  </si>
  <si>
    <t xml:space="preserve">Favorable</t>
  </si>
  <si>
    <t xml:space="preserve">Marge de manœuvre fin 2027 sous le levier ≤ 3x (M EUR)</t>
  </si>
  <si>
    <t xml:space="preserve">Marge fin 2027 sous le seuil S&amp;P (FFO / dette ≥ 18 %)</t>
  </si>
  <si>
    <t xml:space="preserve">la grille ci-dessous part de cette ligne</t>
  </si>
  <si>
    <t xml:space="preserve">bas de marché supposé</t>
  </si>
  <si>
    <t xml:space="preserve">Clean Earth après synergies</t>
  </si>
  <si>
    <t xml:space="preserve">hypothèse</t>
  </si>
  <si>
    <t xml:space="preserve">Clean Earth avant synergies (VE / EBITDA 2026E)</t>
  </si>
  <si>
    <t xml:space="preserve">Une marge négative donne 0 : il n'y a alors aucune place sans cession supplémentaire ou levée de fonds propres.</t>
  </si>
  <si>
    <t xml:space="preserve">Le multiple de Clean Earth se recalcule-t-il ?</t>
  </si>
  <si>
    <t xml:space="preserve">Valeur d'entreprise</t>
  </si>
  <si>
    <t xml:space="preserve">EBITDA 2026E</t>
  </si>
  <si>
    <t xml:space="preserve">Synergies en régime de croisière</t>
  </si>
  <si>
    <t xml:space="preserve">Multiple avant synergies recalculé</t>
  </si>
  <si>
    <t xml:space="preserve">Multiple après synergies recalculé</t>
  </si>
  <si>
    <t xml:space="preserve">Multiple publié après synergies</t>
  </si>
  <si>
    <t xml:space="preserve">Écart à expliquer : le 9,8x publié ne se retrouve pas avec 3,0 Md$ / (200 + 120). Base d'EBITDA différente (pré IFRS 16 ?) ou synergies nettes des coûts ? Question pour le rôle 6.</t>
  </si>
  <si>
    <t xml:space="preserve">Les multiples que Veolia dit avoir payés (2024-2026)</t>
  </si>
  <si>
    <t xml:space="preserve">Opération</t>
  </si>
  <si>
    <t xml:space="preserve">Multiple VE / EBITDA</t>
  </si>
  <si>
    <t xml:space="preserve">Source</t>
  </si>
  <si>
    <t xml:space="preserve">Tuck-ins en Espagne, 13 opérations, 87 M€ de VE (2024-2025)</t>
  </si>
  <si>
    <t xml:space="preserve">moyenne publiée</t>
  </si>
  <si>
    <t xml:space="preserve">Résultats 2025, p.19</t>
  </si>
  <si>
    <t xml:space="preserve">Tuck-ins 2025 : États-Unis, Brésil, Japon (370 M€)</t>
  </si>
  <si>
    <t xml:space="preserve">moyenne publiée, environ</t>
  </si>
  <si>
    <t xml:space="preserve">Résultats 2025, p.11</t>
  </si>
  <si>
    <t xml:space="preserve">Clean Earth, après synergies en régime de croisière</t>
  </si>
  <si>
    <t xml:space="preserve">VE / EBITDA 2026e + synergies</t>
  </si>
  <si>
    <t xml:space="preserve">Présentation Clean Earth</t>
  </si>
  <si>
    <t xml:space="preserve">WTS, rachat des 30 % (1,75 Md$)</t>
  </si>
  <si>
    <t xml:space="preserve">VE / EBITDA 2025e après synergies, environ</t>
  </si>
  <si>
    <t xml:space="preserve">Résultats T1 2025, p.11</t>
  </si>
  <si>
    <t xml:space="preserve">Clean Earth, avant synergies (recalculé)</t>
  </si>
  <si>
    <t xml:space="preserve">VE / EBITDA 2026E de Veolia</t>
  </si>
  <si>
    <t xml:space="preserve">§B</t>
  </si>
  <si>
    <t xml:space="preserve">classeur</t>
  </si>
  <si>
    <t xml:space="preserve">Clean Earth, sur l'EBITDA 2025 du vendeur (recalculé)</t>
  </si>
  <si>
    <t xml:space="preserve">VE / EBITDA 2025 reconstitué d'Enviri</t>
  </si>
  <si>
    <t xml:space="preserve">Booster §E</t>
  </si>
  <si>
    <t xml:space="preserve">Le moins cher payé (après synergies, tel que publié)</t>
  </si>
  <si>
    <t xml:space="preserve">min des quatre multiples publiés</t>
  </si>
  <si>
    <t xml:space="preserve">Médiane des quatre multiples publiés</t>
  </si>
  <si>
    <t xml:space="preserve">Le plus cher payé (après synergies, tel que publié)</t>
  </si>
  <si>
    <t xml:space="preserve">max des quatre</t>
  </si>
  <si>
    <t xml:space="preserve">Écart avant / après synergies sur Clean Earth (recalculé)</t>
  </si>
  <si>
    <t xml:space="preserve">ce que les synergies « achètent » de multiple</t>
  </si>
  <si>
    <t xml:space="preserve">Les multiples du secteur (communiqués des acquéreurs, versés dans la dataroom)</t>
  </si>
  <si>
    <t xml:space="preserve">Opération (acquéreur → cible)</t>
  </si>
  <si>
    <t xml:space="preserve">VE (M USD)</t>
  </si>
  <si>
    <t xml:space="preserve">EBITDA de référence (M USD)</t>
  </si>
  <si>
    <t xml:space="preserve">VE / EBITDA avant synergies</t>
  </si>
  <si>
    <t xml:space="preserve">Base de l'EBITDA</t>
  </si>
  <si>
    <t xml:space="preserve">Clean Harbors → EnviroServe (2026)</t>
  </si>
  <si>
    <t xml:space="preserve">EBITDA ajusté annuel attendu ; 8,9x après synergies publié pour EnviroServe et ES&amp;H ensemble</t>
  </si>
  <si>
    <t xml:space="preserve">F601, F602, F607</t>
  </si>
  <si>
    <t xml:space="preserve">Clean Harbors → HEPACO (2024)</t>
  </si>
  <si>
    <t xml:space="preserve">EBITDA ajusté 2023 ; synergies ~20 M$</t>
  </si>
  <si>
    <t xml:space="preserve">F478, F479, F483</t>
  </si>
  <si>
    <t xml:space="preserve">EQT → Covanta (2021)</t>
  </si>
  <si>
    <t xml:space="preserve">bas de la fourchette d'EBITDA 2021 attendu (460-480)</t>
  </si>
  <si>
    <t xml:space="preserve">F484, F486</t>
  </si>
  <si>
    <t xml:space="preserve">WM → Stericycle (2024)</t>
  </si>
  <si>
    <t xml:space="preserve">EBITDA non publié dans le communiqué (synergies &gt; 125 M$/an)</t>
  </si>
  <si>
    <t xml:space="preserve">Republic Services → US Ecology (2022)</t>
  </si>
  <si>
    <t xml:space="preserve">EBITDA ajusté des 12 mois au 30/09/2021</t>
  </si>
  <si>
    <t xml:space="preserve">F525, F527</t>
  </si>
  <si>
    <t xml:space="preserve">Secteur : multiple avant synergies le plus bas (opérations à EBITDA publié)</t>
  </si>
  <si>
    <t xml:space="preserve">Secteur : multiple avant synergies le plus haut</t>
  </si>
  <si>
    <t xml:space="preserve">Secteur : médiane des multiples avant synergies</t>
  </si>
  <si>
    <t xml:space="preserve">4 opérations à EBITDA publié</t>
  </si>
  <si>
    <t xml:space="preserve">Secteur : multiple publié après synergies, le plus bas</t>
  </si>
  <si>
    <t xml:space="preserve">Secteur : multiple publié après synergies, le plus haut</t>
  </si>
  <si>
    <t xml:space="preserve">Clean Earth avant synergies (recalculé) face au haut du secteur</t>
  </si>
  <si>
    <t xml:space="preserve">positif = Veolia a payé plus que le plus cher du secteur, avant synergies</t>
  </si>
  <si>
    <t xml:space="preserve">L'univers de cibles, noté (00_Admin/targets.csv : une ligne par cible, sourcée)</t>
  </si>
  <si>
    <t xml:space="preserve">Chaque cible est confrontée aux 1 000 futurs de l'onglet Simulation : elle « tient » dans un tirage si son prix n'excède pas marge contraignante / (1 − 3 / multiple) dans ce tirage. Valeurs = dernière valeur publiée (année dans Propriétaire).</t>
  </si>
  <si>
    <t xml:space="preserve">Multiple payé retenu pour une cible (avant synergies) — jugement du groupe</t>
  </si>
  <si>
    <t xml:space="preserve">par défaut : médiane du secteur (§E) ; une cible peut avoir le sien (colonne J)</t>
  </si>
  <si>
    <t xml:space="preserve">Dollars canadiens pour un euro (BCE)</t>
  </si>
  <si>
    <t xml:space="preserve">CAD / EUR</t>
  </si>
  <si>
    <t xml:space="preserve">Le dollar américain est converti au taux de l'hypothèse fx (Hypothèses), celui de Clean Earth à la clôture.</t>
  </si>
  <si>
    <t xml:space="preserve">Poids</t>
  </si>
  <si>
    <t xml:space="preserve">Cible</t>
  </si>
  <si>
    <t xml:space="preserve">Activité</t>
  </si>
  <si>
    <t xml:space="preserve">Propriétaire (depuis)</t>
  </si>
  <si>
    <t xml:space="preserve">Valeur publiée</t>
  </si>
  <si>
    <t xml:space="preserve">VE (M EUR)</t>
  </si>
  <si>
    <t xml:space="preserve">Multiple retenu</t>
  </si>
  <si>
    <t xml:space="preserve">Tient au central ?</t>
  </si>
  <si>
    <t xml:space="preserve">Tient dans X % des tirages</t>
  </si>
  <si>
    <t xml:space="preserve">Années de détention fin 2027</t>
  </si>
  <si>
    <t xml:space="preserve">Traitement (0-2)</t>
  </si>
  <si>
    <t xml:space="preserve">Géographie (0-2)</t>
  </si>
  <si>
    <t xml:space="preserve">PFAS (0-2)</t>
  </si>
  <si>
    <t xml:space="preserve">Concurrence (0-2)</t>
  </si>
  <si>
    <t xml:space="preserve">Passifs (0-2)</t>
  </si>
  <si>
    <t xml:space="preserve">Score (0-2)</t>
  </si>
  <si>
    <t xml:space="preserve">Clean Earth (étalon, déjà acquis)</t>
  </si>
  <si>
    <t xml:space="preserve">TSDF, 82 sites</t>
  </si>
  <si>
    <t xml:space="preserve">Veolia (depuis le 01/06/2026)</t>
  </si>
  <si>
    <t xml:space="preserve">effet sur la dette</t>
  </si>
  <si>
    <t xml:space="preserve">F76, F48</t>
  </si>
  <si>
    <t xml:space="preserve">Heritage-Crystal Clean</t>
  </si>
  <si>
    <t xml:space="preserve">huiles usagées (re-raffinage), déchets dangereux et non dangereux, nettoyage de pièces, interventions d'urgence</t>
  </si>
  <si>
    <t xml:space="preserve">J.F. Lehman &amp; Company (fonds, depuis le 17/10/2023)</t>
  </si>
  <si>
    <t xml:space="preserve">valorisation</t>
  </si>
  <si>
    <t xml:space="preserve">T2 — crystal-clean-jfl-2023-07-19.html</t>
  </si>
  <si>
    <t xml:space="preserve">Arcwood Environmental</t>
  </si>
  <si>
    <t xml:space="preserve">déchets dangereux : incinérateur d'Orange (Texas), déminage (Joplin, Missouri), offre PFAS</t>
  </si>
  <si>
    <t xml:space="preserve">EQT Infrastructure (fonds, depuis janvier 2024)</t>
  </si>
  <si>
    <t xml:space="preserve">non publié</t>
  </si>
  <si>
    <t xml:space="preserve">T3 — arcwood-rebrand-2025-03-18.html</t>
  </si>
  <si>
    <t xml:space="preserve">Triumvirate Environmental</t>
  </si>
  <si>
    <t xml:space="preserve">déchets dangereux et réglementés (sciences de la vie, santé, enseignement, industrie)</t>
  </si>
  <si>
    <t xml:space="preserve">Berkshire Partners et le fondateur (depuis février 2025)</t>
  </si>
  <si>
    <t xml:space="preserve">T4 — triumvirate-berkshire-2025-02-04.html</t>
  </si>
  <si>
    <t xml:space="preserve">GFL Environmental Services</t>
  </si>
  <si>
    <t xml:space="preserve">Canada, États-Unis</t>
  </si>
  <si>
    <t xml:space="preserve">services environnementaux cédés par GFL (activité de déchets industriels et dangereux)</t>
  </si>
  <si>
    <t xml:space="preserve">Apollo et BC Partners (depuis le 03/03/2025), GFL garde 44 %</t>
  </si>
  <si>
    <t xml:space="preserve">VE</t>
  </si>
  <si>
    <t xml:space="preserve">T5 — gfl-es-latham-2025-01-07.html</t>
  </si>
  <si>
    <t xml:space="preserve">NG Group</t>
  </si>
  <si>
    <t xml:space="preserve">Finlande, Suède, Danemark, Norvège</t>
  </si>
  <si>
    <t xml:space="preserve">déchets municipaux et industriels ; traitement des déchets dangereux, plastiques, métaux, cendres (ex-Fortum Recycling and Waste)</t>
  </si>
  <si>
    <t xml:space="preserve">Summa Equity (fonds, depuis le 29/11/2024)</t>
  </si>
  <si>
    <t xml:space="preserve">T6 — fortum-summa-ng-group-2024-07-18.html</t>
  </si>
  <si>
    <t xml:space="preserve">Enviracore Services</t>
  </si>
  <si>
    <t xml:space="preserve">services environnementaux : intervention d'urgence, nettoyage industriel, transport et traitement d'eaux usées (station à Oklahoma City, deux sites autorisés), déchets dangereux via une station de transit de 10 jours (EMI, Guthrie) ; pas d'incinérateur ni de site de traitement des déchets dangereux connu</t>
  </si>
  <si>
    <t xml:space="preserve">Seaside Equity Partners (fonds, depuis 2024)</t>
  </si>
  <si>
    <t xml:space="preserve">T7 — enviracore-lancement-2025-09-30.html</t>
  </si>
  <si>
    <t xml:space="preserve">États-Unis (Oklahoma, Arkansas, nord du Texas ; siège à Dallas)</t>
  </si>
  <si>
    <t xml:space="preserve">services environnementaux : intervention d'urgence 24/7, nettoyage industriel, transport et traitement des eaux usées, gestion de déchets dangereux via EMI (Guthrie, OK) ; plateforme de buy-and-build (Boomer Environmental, Environmental Cleanup Inc., EMI)</t>
  </si>
  <si>
    <t xml:space="preserve">Seaside Equity Partners (fonds lower middle market, depuis le 30/09/2025)</t>
  </si>
  <si>
    <t xml:space="preserve">T8 — bizwire-2025-9-30-seaside-equity-partners-la</t>
  </si>
  <si>
    <t xml:space="preserve">Envisol</t>
  </si>
  <si>
    <t xml:space="preserve">France (siège à La Tour-du-Pin, Isère ; agences dont Orvault, Éguilles, Créteil, Metz, Labège, Rouen)</t>
  </si>
  <si>
    <t xml:space="preserve">ingénierie et conseil en sites et sols pollués : diagnostic des sols et des nappes, plans de gestion, assistance travaux, géostatistique (EnviRisk, SCAN 360), géophysique, renaturation</t>
  </si>
  <si>
    <t xml:space="preserve">Groupe Géotec (depuis le 20/02/2025), lui-même sous LBO avec Naxicap Partners, BDR Invest et Jadel</t>
  </si>
  <si>
    <t xml:space="preserve">T9 — geotec-2</t>
  </si>
  <si>
    <t xml:space="preserve">Onterris (ex-Montrose Environmental Group)</t>
  </si>
  <si>
    <t xml:space="preserve">United States, Canada, Australia</t>
  </si>
  <si>
    <t xml:space="preserve">Environmental consulting, testing and treatment; remediation including PFAS; emergency response</t>
  </si>
  <si>
    <t xml:space="preserve">Listed (NYSE: ONT)</t>
  </si>
  <si>
    <t xml:space="preserve">T10 — 0001193125-26-335022.pdf</t>
  </si>
  <si>
    <t xml:space="preserve">Perma-Fix Environmental Services</t>
  </si>
  <si>
    <t xml:space="preserve">United States</t>
  </si>
  <si>
    <t xml:space="preserve">Treatment of low-level radioactive and mixed waste (RCRA Part B, TSCA) at four facilities; nuclear services</t>
  </si>
  <si>
    <t xml:space="preserve">Listed (Nasdaq: PESI)</t>
  </si>
  <si>
    <t xml:space="preserve">T11 — formars.pdf</t>
  </si>
  <si>
    <t xml:space="preserve">Chemtron Corporation</t>
  </si>
  <si>
    <t xml:space="preserve">United States (Ohio, Western New York)</t>
  </si>
  <si>
    <t xml:space="preserve">Hazardous and non-hazardous waste management; two RCRA Part B TSDFs, two 10-day facilities</t>
  </si>
  <si>
    <t xml:space="preserve">Kinderhook Industries (private equity, since 2019)</t>
  </si>
  <si>
    <t xml:space="preserve">T12 — </t>
  </si>
  <si>
    <t xml:space="preserve">Cleanaway — Oils &amp; Technical Services and Health Services</t>
  </si>
  <si>
    <t xml:space="preserve">Australia</t>
  </si>
  <si>
    <t xml:space="preserve">Liquid and hazardous waste, technical services, health (medical) waste</t>
  </si>
  <si>
    <t xml:space="preserve">Cleanaway Waste Management Limited (ASX: CWY), under non-binding EQT Infrastructure proposal</t>
  </si>
  <si>
    <t xml:space="preserve">T13 — 072pv5zdfnn9vx.pdf</t>
  </si>
  <si>
    <t xml:space="preserve">Daiseki Co., Ltd.</t>
  </si>
  <si>
    <t xml:space="preserve">Japan</t>
  </si>
  <si>
    <t xml:space="preserve">Industrial waste treatment and recycling (waste oil, sludge), soil remediation, lead recycling</t>
  </si>
  <si>
    <t xml:space="preserve">Listed (TSE Prime: 9793)</t>
  </si>
  <si>
    <t xml:space="preserve">T14 — print.pdf</t>
  </si>
  <si>
    <t xml:space="preserve">Quest Resource Holding Corporation</t>
  </si>
  <si>
    <t xml:space="preserve">Environmental waste and recycling services (managed services across multiple waste streams)</t>
  </si>
  <si>
    <t xml:space="preserve">Listed (Nasdaq: QRHC)</t>
  </si>
  <si>
    <t xml:space="preserve">T15 — FINAL-QRHC-1Q26-Earnings-Release-5-7-26.pdf</t>
  </si>
  <si>
    <t xml:space="preserve">Indaver</t>
  </si>
  <si>
    <t xml:space="preserve">Belgique, Pays-Bas, Allemagne, Irlande, Royaume-Uni, France, Italie, Espagne, Portugal</t>
  </si>
  <si>
    <t xml:space="preserve">Déchets industriels et dangereux : incinération de déchets dangereux (Hambourg, Biebesheim, Anvers), recyclage de solvants, décharges, valorisation énergétique, PFAS ; CA 2025 1 043 M€, EBITDA 2025 188 M€</t>
  </si>
  <si>
    <t xml:space="preserve">Katoen Natie (filiale)</t>
  </si>
  <si>
    <t xml:space="preserve">T16 — indaver_dzr_2025_en.pdf</t>
  </si>
  <si>
    <t xml:space="preserve">Tradebe Environmental Services</t>
  </si>
  <si>
    <t xml:space="preserve">Espagne, Royaume-Uni, Irlande, France, Italie, États-Unis</t>
  </si>
  <si>
    <t xml:space="preserve">Gestion de déchets industriels et dangereux, recyclage de solvants ; une des quatre activités d'un groupe au CA opérationnel agrégé 2025 supérieur à 830 M€ (plus de 100 installations, plus de 3 000 salariés)</t>
  </si>
  <si>
    <t xml:space="preserve">Groupe Tradebe, privé non coté (fondé et présidé par Josep Creixell)</t>
  </si>
  <si>
    <t xml:space="preserve">T17 — tradebe-refuerza-su-presencia-en-reino-unido</t>
  </si>
  <si>
    <t xml:space="preserve">Augean</t>
  </si>
  <si>
    <t xml:space="preserve">Traitement et élimination de déchets dangereux (marchés valorisation énergétique, construction, industrie, nucléaire)</t>
  </si>
  <si>
    <t xml:space="preserve">Eleia (fonds Ancala Partners et Fiera Infrastructure), depuis 2021</t>
  </si>
  <si>
    <t xml:space="preserve">T18 — winning-bid-made-in-battle-to-acquire-waste-</t>
  </si>
  <si>
    <t xml:space="preserve">Enva</t>
  </si>
  <si>
    <t xml:space="preserve">Royaume-Uni, Irlande</t>
  </si>
  <si>
    <t xml:space="preserve">Recyclage et valorisation, axé sur les déchets dangereux et spéciaux ; 34 sites, plus de 1 600 salariés, CA FY22 de 294 M£</t>
  </si>
  <si>
    <t xml:space="preserve">I Squared Capital (ISQ Global Infrastructure Fund III), depuis 2023</t>
  </si>
  <si>
    <t xml:space="preserve">T19 — enva-announces-agreement-to-be-acquired-by-i</t>
  </si>
  <si>
    <t xml:space="preserve">AVR</t>
  </si>
  <si>
    <t xml:space="preserve">Pays-Bas</t>
  </si>
  <si>
    <t xml:space="preserve">Valorisation énergétique de déchets résiduels (Rozenburg, Duiven), biomasse, eaux usées ; déchets dangereux marginaux (0,24 kt traités en 2024)</t>
  </si>
  <si>
    <t xml:space="preserve">Consortium mené par CK Infrastructure Holdings (CKI), depuis 2013</t>
  </si>
  <si>
    <t xml:space="preserve">T20 — avr-annual-report-2024-resolve-web-1.pdf</t>
  </si>
  <si>
    <t xml:space="preserve">Groupe Flamme (A.R.F., Flamme Environnement, Flamme Assainissement)</t>
  </si>
  <si>
    <t xml:space="preserve">France (Hauts-de-France), Belgique</t>
  </si>
  <si>
    <t xml:space="preserve">Collecte et incinération de déchets dangereux (4 sites A.R.F.), services à l'environnement, assainissement ; CA ~100 M€ et EBE ~20 M€ (exercice clos au 30/09/2024)</t>
  </si>
  <si>
    <t xml:space="preserve">Actionnaires familiaux, sous promesse unilatérale d'achat de Séché Environnement (juin 2025)</t>
  </si>
  <si>
    <t xml:space="preserve">T21 — 25-06-cp-flamme.pdf</t>
  </si>
  <si>
    <t xml:space="preserve">Activités déchets dangereux France de SUEZ (ex-SARPI cédées par Veolia)</t>
  </si>
  <si>
    <t xml:space="preserve">Regroupement, incinération, traitement physico-chimique et stockage de déchets dangereux ; une vingtaine de sites, ~700 salariés (dont stockage d'Occitanis)</t>
  </si>
  <si>
    <t xml:space="preserve">SUEZ (depuis le 30/11/2022)</t>
  </si>
  <si>
    <t xml:space="preserve">T22 — cp-suez-reprend-essentiel-activites-secteur-</t>
  </si>
  <si>
    <t xml:space="preserve">Greenthesis</t>
  </si>
  <si>
    <t xml:space="preserve">Italie (Nord et Centre)</t>
  </si>
  <si>
    <t xml:space="preserve">Gestion et valorisation de déchets, valorisation énergétique, dépollution de sites, gestion de décharges (~20 sites) ; CA 173 M€ et EBITDA 42 M€ « l'an dernier »</t>
  </si>
  <si>
    <t xml:space="preserve">Famille Grossi (60 %) et Patrizia (40 %), retirée de la cote</t>
  </si>
  <si>
    <t xml:space="preserve">T23 — alla-tedesca-patrizia-il-40-di-greenthesis-2</t>
  </si>
  <si>
    <t xml:space="preserve">Currenta — services de gestion et de traitement des déchets</t>
  </si>
  <si>
    <t xml:space="preserve">Allemagne (parcs chimiques de Leverkusen, Dormagen, Krefeld)</t>
  </si>
  <si>
    <t xml:space="preserve">Infrastructures, énergie et services de gestion et de traitement des déchets des parcs chimiques du Bas-Rhin</t>
  </si>
  <si>
    <t xml:space="preserve">Macquarie Infrastructure and Real Assets (Macquarie), depuis 2020</t>
  </si>
  <si>
    <t xml:space="preserve">T24 — lanxess-completes-sale-of-its-currenta-stake</t>
  </si>
  <si>
    <t xml:space="preserve">GSB Sonderabfall-Entsorgung Bayern</t>
  </si>
  <si>
    <t xml:space="preserve">Allemagne (Baar-Ebenhausen, Bavière)</t>
  </si>
  <si>
    <t xml:space="preserve">Incinération de déchets industriels dangereux (capacité 200 000 t/an), traitement physico-chimique (~120 000 t/an), décharge de classe III</t>
  </si>
  <si>
    <t xml:space="preserve">T25 — sicherheit-ist-oberstes-ziel</t>
  </si>
  <si>
    <t xml:space="preserve">Séché Environnement</t>
  </si>
  <si>
    <t xml:space="preserve">France, Italie, Espagne, Chili, Pérou, Afrique du Sud, Singapour</t>
  </si>
  <si>
    <t xml:space="preserve">Déchets industriels dangereux et non dangereux, incinération, stockage, dépollution ; CA contributif 2025 1 152,0 M€, EBE 225,4 M€ ; levier 2,9x au 30/06/2026</t>
  </si>
  <si>
    <t xml:space="preserve">Coté (Euronext Paris), groupe industriel familial</t>
  </si>
  <si>
    <t xml:space="preserve">T26 — seche_environnement_deu_2025_fr.pdf</t>
  </si>
  <si>
    <t xml:space="preserve">Urbaser — Industrial Waste Treatment</t>
  </si>
  <si>
    <t xml:space="preserve">Espagne, international</t>
  </si>
  <si>
    <t xml:space="preserve">Traitement de déchets industriels, un des trois segments d'Urbaser (avec services urbains et traitement des déchets municipaux)</t>
  </si>
  <si>
    <t xml:space="preserve">Blackstone et EQT (accord du 12/02/2026 avec Platinum Equity)</t>
  </si>
  <si>
    <t xml:space="preserve">T27 — platinum-equity-to-sell-global-environmental</t>
  </si>
  <si>
    <t xml:space="preserve">Cibles sourcées (hors étalon)</t>
  </si>
  <si>
    <t xml:space="preserve">targets.csv</t>
  </si>
  <si>
    <t xml:space="preserve">… dont avec une valeur publiée convertie en euros</t>
  </si>
  <si>
    <t xml:space="preserve">… dont qui tiennent dans la marge centrale</t>
  </si>
  <si>
    <t xml:space="preserve">Meilleure probabilité de tenir parmi les cibles</t>
  </si>
  <si>
    <t xml:space="preserve">La plus grande cible qui tient au central (VE, M EUR)</t>
  </si>
  <si>
    <t xml:space="preserve">Cellules jaunes : le multiple payé (par défaut la médiane du secteur) et la notation qualitative, à remplir et défendre par le groupe ; le score est la moyenne pondérée des critères renseignés. Ajouter une cible : register_target, la ligne apparaît au prochain passage de la chaîne.</t>
  </si>
  <si>
    <t xml:space="preserve">Traitement : actifs de traitement (incinération, TSDF), pas de collecte seule</t>
  </si>
  <si>
    <t xml:space="preserve">Géographie : États-Unis ou zone où Veolia veut croître en déchets dangereux</t>
  </si>
  <si>
    <t xml:space="preserve">PFAS : offre PFAS ou polluants émergents</t>
  </si>
  <si>
    <t xml:space="preserve">Concurrence : pas de doublon avec Veolia (2 = aucun chevauchement)</t>
  </si>
  <si>
    <t xml:space="preserve">Passifs : passifs environnementaux connus et limités</t>
  </si>
  <si>
    <t xml:space="preserve">Pari 4 — Comment acheter plus que la capacité : le menu de financement, et les seuils de bascule</t>
  </si>
  <si>
    <t xml:space="preserve">Pour une cible de taille donnée : ce qui manque sous chaque plafond fin 2027, ce que chaque levier rapporte par euro levé, ce qu'il coûte. Puis, pour chaque conclusion du rapport, la valeur de chaque hypothèse qui la ferait basculer.</t>
  </si>
  <si>
    <t xml:space="preserve">La cible étudiée et ce qu'elle coûte en marge fin 2027</t>
  </si>
  <si>
    <t xml:space="preserve">Taille de la cible (valeur d'entreprise payée)</t>
  </si>
  <si>
    <t xml:space="preserve">cellule jaune : une cible « taille Clean Earth » par défaut</t>
  </si>
  <si>
    <t xml:space="preserve">par défaut, l'hypothèse mTuck active ; remplaçable</t>
  </si>
  <si>
    <t xml:space="preserve">EBITDA apporté par la cible</t>
  </si>
  <si>
    <t xml:space="preserve">taille / multiple</t>
  </si>
  <si>
    <t xml:space="preserve">Marge sous 3x fin 2027, avant la cible (scénario actif)</t>
  </si>
  <si>
    <t xml:space="preserve">Marge sous le seuil S&amp;P fin 2027, avant la cible</t>
  </si>
  <si>
    <t xml:space="preserve">Marge sous 3x après la cible</t>
  </si>
  <si>
    <t xml:space="preserve">− dette payée + plafond × EBITDA acquis</t>
  </si>
  <si>
    <t xml:space="preserve">Marge sous le seuil S&amp;P après la cible</t>
  </si>
  <si>
    <t xml:space="preserve">− dette ajustée + FFO acquis / seuil</t>
  </si>
  <si>
    <t xml:space="preserve">Ce qui manque sous 3x</t>
  </si>
  <si>
    <t xml:space="preserve">Ce qui manque sous le seuil S&amp;P</t>
  </si>
  <si>
    <t xml:space="preserve">Le menu : ce que chaque levier rapporte, ce qu'il faut lever, ce que cela coûte</t>
  </si>
  <si>
    <t xml:space="preserve">Levier</t>
  </si>
  <si>
    <t xml:space="preserve">Marge 3x par € levé</t>
  </si>
  <si>
    <t xml:space="preserve">Marge S&amp;P par € levé</t>
  </si>
  <si>
    <t xml:space="preserve">Montant nécessaire (M EUR)</t>
  </si>
  <si>
    <t xml:space="preserve">Coût</t>
  </si>
  <si>
    <t xml:space="preserve">Unité du coût</t>
  </si>
  <si>
    <t xml:space="preserve">Ce que dit la dataroom</t>
  </si>
  <si>
    <t xml:space="preserve">hyb</t>
  </si>
  <si>
    <t xml:space="preserve">Émission d'hybrides (capitaux propres pour Veolia, 50 % en dette pour les agences)</t>
  </si>
  <si>
    <t xml:space="preserve">M EUR de coupon par an</t>
  </si>
  <si>
    <t xml:space="preserve">coupon de la dernière émission (F574) ; plafond d'equity credit des agences non publié dans la dataroom</t>
  </si>
  <si>
    <t xml:space="preserve">disp</t>
  </si>
  <si>
    <t xml:space="preserve">Cessions accélérées (au multiple mDisp)</t>
  </si>
  <si>
    <t xml:space="preserve">M EUR d'EBITDA perdu par an</t>
  </si>
  <si>
    <t xml:space="preserve">chaque euro encaissé retire 1/multiple d'EBITDA : il faut céder plus que l'écart</t>
  </si>
  <si>
    <t xml:space="preserve">equity</t>
  </si>
  <si>
    <t xml:space="preserve">Augmentation de capital (au cours du 31/12/2025)</t>
  </si>
  <si>
    <t xml:space="preserve">% du capital (dilution)</t>
  </si>
  <si>
    <t xml:space="preserve">cours F597, actions F598 moins autodétenues F600</t>
  </si>
  <si>
    <t xml:space="preserve">scrip</t>
  </si>
  <si>
    <t xml:space="preserve">Dividende 2027 payé en actions (au plus le dividende)</t>
  </si>
  <si>
    <t xml:space="preserve">plafonné au dividende 2027 du modèle : un levier d'appoint</t>
  </si>
  <si>
    <t xml:space="preserve">minor</t>
  </si>
  <si>
    <t xml:space="preserve">Partenaire minoritaire dans la cible (part cédée au prix payé)</t>
  </si>
  <si>
    <t xml:space="preserve">M EUR d'EBITDA revenant au partenaire</t>
  </si>
  <si>
    <t xml:space="preserve">le précédent : WTS, détenue à 70 % puis rachetée (D14) ; au plus 49 % pour garder le contrôle</t>
  </si>
  <si>
    <t xml:space="preserve">La combinaison du groupe (cellules jaunes) : les deux plafonds tiennent-ils ?</t>
  </si>
  <si>
    <t xml:space="preserve">Montant retenu (M EUR)</t>
  </si>
  <si>
    <t xml:space="preserve">Apport marge 3x</t>
  </si>
  <si>
    <t xml:space="preserve">Apport marge S&amp;P</t>
  </si>
  <si>
    <t xml:space="preserve">Marge sous 3x après la cible et la combinaison</t>
  </si>
  <si>
    <t xml:space="preserve">Marge sous le seuil S&amp;P après la cible et la combinaison</t>
  </si>
  <si>
    <t xml:space="preserve">Les deux plafonds tiennent ?</t>
  </si>
  <si>
    <t xml:space="preserve">Seuils de bascule : la valeur de chaque hypothèse (seule à bouger) qui renverse chaque conclusion</t>
  </si>
  <si>
    <t xml:space="preserve">Calcul exact : chaque marge est affine dans l'hypothèse (ou dans son inverse, pour les deux multiples) ; le seuil se lit entre ses valeurs aux bornes basse et haute de Trajectoire. « dans la fourchette » = la conclusion peut basculer sans sortir des bornes.</t>
  </si>
  <si>
    <t xml:space="preserve">Levier fin 2026 lu « légèrement supérieur à 3x » au plus à</t>
  </si>
  <si>
    <t xml:space="preserve">C1 : Levier 2026 ≤ seuil de lecture</t>
  </si>
  <si>
    <t xml:space="preserve">C2 : Plafond de 3x tenu fin 2027</t>
  </si>
  <si>
    <t xml:space="preserve">C3 : Le 3x mord avant les agences</t>
  </si>
  <si>
    <t xml:space="preserve">C4 : Cible de la taille étudiée possible sous 3x (au multiple des tuck-ins)</t>
  </si>
  <si>
    <t xml:space="preserve">C1 (valeur)</t>
  </si>
  <si>
    <t xml:space="preserve">C2 (valeur)</t>
  </si>
  <si>
    <t xml:space="preserve">C3 (valeur)</t>
  </si>
  <si>
    <t xml:space="preserve">C4 (valeur)</t>
  </si>
  <si>
    <t xml:space="preserve">inverse du multiple</t>
  </si>
  <si>
    <t xml:space="preserve">Lecture : « bascule à x » = la conclusion change de signe entre les bornes basse et haute de l'hypothèse, au point x ; « hors fourchette » = elle tient sur toute la plage, et le seuil (affiché pour mémoire) est en dehors. C'est la liste des hypothèses qu'il faut défendre à l'oral, et de nulle autre.</t>
  </si>
  <si>
    <t xml:space="preserve">Hypothèses qui font basculer au moins une conclusion dans leurs bornes</t>
  </si>
  <si>
    <t xml:space="preserve">Vérifications — le modèle se contrôle lui-même</t>
  </si>
  <si>
    <t xml:space="preserve">Bloquant : doit être OK avant toute citation. Info : écart documenté, à expliquer, pas une erreur du modèle.</t>
  </si>
  <si>
    <t xml:space="preserve">#</t>
  </si>
  <si>
    <t xml:space="preserve">Contrôle</t>
  </si>
  <si>
    <t xml:space="preserve">Calculé</t>
  </si>
  <si>
    <t xml:space="preserve">Attendu</t>
  </si>
  <si>
    <t xml:space="preserve">Tolérance</t>
  </si>
  <si>
    <t xml:space="preserve">Statut</t>
  </si>
  <si>
    <t xml:space="preserve">Type</t>
  </si>
  <si>
    <t xml:space="preserve">Levier 2024 recalculé = publié</t>
  </si>
  <si>
    <t xml:space="preserve">Bloquant</t>
  </si>
  <si>
    <t xml:space="preserve">Levier 2025 recalculé = publié</t>
  </si>
  <si>
    <t xml:space="preserve">Pont S1 2026 : dette recalculée = publiée</t>
  </si>
  <si>
    <t xml:space="preserve">Investissements nets GreenUp : 1,9 + 1,5 − 0,3 = 3,1</t>
  </si>
  <si>
    <t xml:space="preserve">Provisions par nature = total au 31/12/2025</t>
  </si>
  <si>
    <t xml:space="preserve">Dividende 2026 : 1,50 € × nombre d'actions ≈ 1 099 M€</t>
  </si>
  <si>
    <t xml:space="preserve">Levier fin 2026 central dans la guidance « égal ou légèrement supérieur à 3x »</t>
  </si>
  <si>
    <t xml:space="preserve">Change implicite de Clean Earth plausible (1,05 à 1,30)</t>
  </si>
  <si>
    <t xml:space="preserve">Enveloppe nette annoncée = haut de la fourchette implicite</t>
  </si>
  <si>
    <t xml:space="preserve">Investissements financiers nets 2024 : deck Clean Earth (−0,4 Md€) = communiqué (+397 M€)</t>
  </si>
  <si>
    <t xml:space="preserve">Dette maximale 2027 à l'objectif 8 Md€ ≈ 24 Md€ (cadrage du cours)</t>
  </si>
  <si>
    <t xml:space="preserve">FFO / dette ajustée 2026 du modèle face à la prévision Moody's (18,5 %, ± 2 pts)</t>
  </si>
  <si>
    <t xml:space="preserve">FFO / dette ajustée 2027 du modèle face à la prévision Moody's (19,5 %, ± 2,5 pts)</t>
  </si>
  <si>
    <t xml:space="preserve">Dette brute publiée selon Moody's = sous-total des emprunts du DEU (p.351)</t>
  </si>
  <si>
    <t xml:space="preserve">Réconciliation Moody's : brute + ajustements = dette brute ajustée publiée</t>
  </si>
  <si>
    <t xml:space="preserve">Réconciliation Moody's : brute ajustée − trésorerie = dette nette ajustée publiée</t>
  </si>
  <si>
    <t xml:space="preserve">FFO implicite (20,3 % × dette nette) = FFO publié par Moody's (5 160)</t>
  </si>
  <si>
    <t xml:space="preserve">Dette nette Veolia recalculée (brute − trésorerie − actifs liquides + JV) face à la publiée : l'écart est le retraitement PPA Suez</t>
  </si>
  <si>
    <t xml:space="preserve">INFO</t>
  </si>
  <si>
    <t xml:space="preserve">Info</t>
  </si>
  <si>
    <t xml:space="preserve">Marge des boosters 2025 recalculée = publiée (12,6 %)</t>
  </si>
  <si>
    <t xml:space="preserve">Clean Harbors : marge d'EBITDA ajusté recalculée = publiée (19,4 %)</t>
  </si>
  <si>
    <t xml:space="preserve">Segments 2025 + autres = EBITDA du groupe (autres ≈ 139 M€, note IFRS 8)</t>
  </si>
  <si>
    <t xml:space="preserve">CO2 évité : objectif +30 % vs 2023 (17,5 Mt) face aux 18 Mt énoncés</t>
  </si>
  <si>
    <t xml:space="preserve">EBITDA 2027 « au rythme de 2025 » face à l'objectif ≥ 8 Md€</t>
  </si>
  <si>
    <t xml:space="preserve">Dette ajustée 2026 du modèle face au pic attendu par Moody's (~29 Md€, ± 1,5 Md€)</t>
  </si>
  <si>
    <t xml:space="preserve">EBITDA 2027 central face à l'objectif ≥ 8 Md€</t>
  </si>
  <si>
    <t xml:space="preserve">Marge de FFO 2026 au seuil S&amp;P de 18 % (négatif : le seuil d'agence mord avant le 3x)</t>
  </si>
  <si>
    <t xml:space="preserve">Pont 2025 : flux non détaillés dans le communiqué</t>
  </si>
  <si>
    <t xml:space="preserve">Clean Earth : effet sur la dette − prix payé</t>
  </si>
  <si>
    <t xml:space="preserve">Multiple Clean Earth recalculé après synergies vs publié</t>
  </si>
  <si>
    <t xml:space="preserve">Multiples publiés par Veolia : le minimum (Espagne) est bien la borne basse de mTuck</t>
  </si>
  <si>
    <t xml:space="preserve">Multiples publiés par Veolia : le maximum (WTS) est bien la borne haute de mTuck</t>
  </si>
  <si>
    <t xml:space="preserve">Monte-Carlo : la ligne « base » redonne la marge contraignante de Trajectoire (quand toutes les hypothèses sont à la base)</t>
  </si>
  <si>
    <t xml:space="preserve">Monte-Carlo : moyenne des uniformes tirées (≈ 0,5 si les tirages sont sains)</t>
  </si>
  <si>
    <t xml:space="preserve">Pont EBITDA : somme des marches 2025 → 2027 = EBITDA 2027 de Trajectoire</t>
  </si>
  <si>
    <t xml:space="preserve">Pont EBITDA : croissance annuelle implicite de GreenUp (6,5 → 8) face au « ~5 % » annoncé</t>
  </si>
  <si>
    <t xml:space="preserve">Pont EBITDA : strongholds + boosters (EBITDA × organique) face à la croissance organique du groupe en M EUR (± 60)</t>
  </si>
  <si>
    <t xml:space="preserve">Pont EBITDA : part de l'écart 2023 → 2027 couverte par l'efficacité annoncée (info)</t>
  </si>
  <si>
    <t xml:space="preserve">Pont EBITDA : hors efficacité et synergies, croissance organique 2025 de l'EBITDA (négatif = recul)</t>
  </si>
  <si>
    <t xml:space="preserve">Univers des cessions : somme des pays = chiffre d'affaires du groupe (DEU p.375, arrondis de la page : ± 5)</t>
  </si>
  <si>
    <t xml:space="preserve">Hybrides : somme des tranches = encours publié hors coupons (4,1 Md€)</t>
  </si>
  <si>
    <t xml:space="preserve">Taxonomie 2025 : somme des secteurs = total publié, capex éligible et aligné (arrondis de la page : ± 150)</t>
  </si>
  <si>
    <t xml:space="preserve">Taxonomie 2025 : part du capex aligné recalculée = publiée (47,2 %, ± 1 pt)</t>
  </si>
  <si>
    <t xml:space="preserve">Univers des cessions : programme (au multiple central) en part de l'EBITDA des déchets solides (info)</t>
  </si>
  <si>
    <t xml:space="preserve">FFO 2025 reconstitué depuis le tableau de flux = FFO Moody's (± 5 %)</t>
  </si>
  <si>
    <t xml:space="preserve">FFO 2024 reconstitué depuis le tableau de flux = FFO Moody's (± 5 %)</t>
  </si>
  <si>
    <t xml:space="preserve">Échéancier : somme des trois instruments = passifs financiers bruts publiés, flux 2026</t>
  </si>
  <si>
    <t xml:space="preserve">Échéancier : somme des années = total publié (obligations)</t>
  </si>
  <si>
    <t xml:space="preserve">Échéancier : somme des années = total publié (passifs financiers bruts)</t>
  </si>
  <si>
    <t xml:space="preserve">Liquidités totales recalculées = publiées (p.421)</t>
  </si>
  <si>
    <t xml:space="preserve">Flux contractuels 2026 des obligations − obligations à moins d'un an (positif : les flux comprennent les intérêts)</t>
  </si>
  <si>
    <t xml:space="preserve">Chiffres de l'onglet Entrées non relus par un tiers</t>
  </si>
  <si>
    <t xml:space="preserve">Statut global des contrôles bloquants</t>
  </si>
  <si>
    <t xml:space="preserve">Pari 1 — Monte-Carlo : la trajectoire rejouée sur 1 000 tirages, en formules</t>
  </si>
  <si>
    <t xml:space="preserve">Chaque hypothèse variée est tirée dans une loi triangulaire (bas, base, haut de l'onglet Hypothèses). Uniformes fixées par la graine 20261016 : le classeur redonne les mêmes nombres à chaque recalcul. La ligne « base » met chaque hypothèse à sa base.</t>
  </si>
  <si>
    <t xml:space="preserve">Lois triangulaires</t>
  </si>
  <si>
    <t xml:space="preserve">bas</t>
  </si>
  <si>
    <t xml:space="preserve">mode = base</t>
  </si>
  <si>
    <t xml:space="preserve">haut</t>
  </si>
  <si>
    <t xml:space="preserve">F(mode)</t>
  </si>
  <si>
    <t xml:space="preserve">exposition</t>
  </si>
  <si>
    <t xml:space="preserve">Facteur « conjoncture » commun (copule gaussienne à un facteur) — hypothèse du groupe</t>
  </si>
  <si>
    <t xml:space="preserve">poids du facteur</t>
  </si>
  <si>
    <t xml:space="preserve">Lecture : une ligne = un futur possible. Les colonnes « u » sont des tirages uniformes (nombres fixés) ; les colonnes suivantes les transforment en hypothèses, puis la trajectoire est recalculée ligne par ligne avec les formules de Trajectoire (même définition, model_def.py).</t>
  </si>
  <si>
    <t xml:space="preserve">Le poids est la corrélation entre deux hypothèses exposées (ligne 9 : 1 = exposée, 0 = indépendante) ; 0 = tirages indépendants.</t>
  </si>
  <si>
    <t xml:space="preserve">Tirage</t>
  </si>
  <si>
    <t xml:space="preserve">u conjoncture</t>
  </si>
  <si>
    <t xml:space="preserve">u g26</t>
  </si>
  <si>
    <t xml:space="preserve">u g27</t>
  </si>
  <si>
    <t xml:space="preserve">u ceEb</t>
  </si>
  <si>
    <t xml:space="preserve">u syn</t>
  </si>
  <si>
    <t xml:space="preserve">u fcfH2</t>
  </si>
  <si>
    <t xml:space="preserve">u conv</t>
  </si>
  <si>
    <t xml:space="preserve">u gDiv</t>
  </si>
  <si>
    <t xml:space="preserve">u s26</t>
  </si>
  <si>
    <t xml:space="preserve">u s27</t>
  </si>
  <si>
    <t xml:space="preserve">u mDisp</t>
  </si>
  <si>
    <t xml:space="preserve">u tuck</t>
  </si>
  <si>
    <t xml:space="preserve">u ffo</t>
  </si>
  <si>
    <t xml:space="preserve">u mTuck</t>
  </si>
  <si>
    <t xml:space="preserve">base</t>
  </si>
</sst>
</file>

<file path=xl/styles.xml><?xml version="1.0" encoding="utf-8"?>
<styleSheet xmlns="http://schemas.openxmlformats.org/spreadsheetml/2006/main">
  <numFmts count="19">
    <numFmt numFmtId="164" formatCode="General"/>
    <numFmt numFmtId="165" formatCode="0%"/>
    <numFmt numFmtId="166" formatCode="#,##0;\(#,##0\);\-"/>
    <numFmt numFmtId="167" formatCode="#,##0"/>
    <numFmt numFmtId="168" formatCode="0.00\x;\(0.00&quot;x)&quot;;\-"/>
    <numFmt numFmtId="169" formatCode="#,##0.00;\(#,##0.00\);\-"/>
    <numFmt numFmtId="170" formatCode="0.0\x"/>
    <numFmt numFmtId="171" formatCode="0.0%;\(0.0%\);\-"/>
    <numFmt numFmtId="172" formatCode="#,##0.00;\-#,##0.00"/>
    <numFmt numFmtId="173" formatCode="0.0000"/>
    <numFmt numFmtId="174" formatCode="#,##0.0;\(#,##0.0\);\-"/>
    <numFmt numFmtId="175" formatCode="0.0"/>
    <numFmt numFmtId="176" formatCode="0.000%"/>
    <numFmt numFmtId="177" formatCode="0.00%"/>
    <numFmt numFmtId="178" formatCode="0.000000"/>
    <numFmt numFmtId="179" formatCode="0.000"/>
    <numFmt numFmtId="180" formatCode="0"/>
    <numFmt numFmtId="181" formatCode="#,##0.0"/>
    <numFmt numFmtId="182" formatCode="0.00"/>
  </numFmts>
  <fonts count="25">
    <font>
      <sz val="11"/>
      <color theme="1"/>
      <name val="Calibri"/>
      <family val="2"/>
      <charset val="1"/>
    </font>
    <font>
      <sz val="10"/>
      <name val="Arial"/>
      <family val="0"/>
    </font>
    <font>
      <sz val="10"/>
      <name val="Arial"/>
      <family val="0"/>
    </font>
    <font>
      <sz val="10"/>
      <name val="Arial"/>
      <family val="0"/>
    </font>
    <font>
      <b val="true"/>
      <sz val="14"/>
      <color rgb="FF000000"/>
      <name val="Arial"/>
      <family val="0"/>
      <charset val="1"/>
    </font>
    <font>
      <sz val="11"/>
      <color theme="1"/>
      <name val="Arial"/>
      <family val="0"/>
      <charset val="1"/>
    </font>
    <font>
      <i val="true"/>
      <sz val="10"/>
      <color rgb="FF808080"/>
      <name val="Arial"/>
      <family val="0"/>
      <charset val="1"/>
    </font>
    <font>
      <b val="true"/>
      <sz val="12"/>
      <color rgb="FF000000"/>
      <name val="Arial"/>
      <family val="0"/>
      <charset val="1"/>
    </font>
    <font>
      <sz val="10"/>
      <color rgb="FF000000"/>
      <name val="Arial"/>
      <family val="0"/>
      <charset val="1"/>
    </font>
    <font>
      <b val="true"/>
      <sz val="10"/>
      <color rgb="FF008000"/>
      <name val="Arial"/>
      <family val="0"/>
      <charset val="1"/>
    </font>
    <font>
      <sz val="11"/>
      <color rgb="FF0000FF"/>
      <name val="Arial"/>
      <family val="0"/>
      <charset val="1"/>
    </font>
    <font>
      <sz val="11"/>
      <color rgb="FF000000"/>
      <name val="Arial"/>
      <family val="0"/>
      <charset val="1"/>
    </font>
    <font>
      <sz val="11"/>
      <color rgb="FF008000"/>
      <name val="Arial"/>
      <family val="0"/>
      <charset val="1"/>
    </font>
    <font>
      <sz val="11"/>
      <name val="Arial"/>
      <family val="0"/>
      <charset val="1"/>
    </font>
    <font>
      <b val="true"/>
      <sz val="10"/>
      <color rgb="FF000000"/>
      <name val="Arial"/>
      <family val="0"/>
      <charset val="1"/>
    </font>
    <font>
      <sz val="10"/>
      <color rgb="FF0000FF"/>
      <name val="Arial"/>
      <family val="0"/>
      <charset val="1"/>
    </font>
    <font>
      <sz val="10"/>
      <color rgb="FF808080"/>
      <name val="Arial"/>
      <family val="0"/>
      <charset val="1"/>
    </font>
    <font>
      <sz val="10"/>
      <color rgb="FFC00000"/>
      <name val="Arial"/>
      <family val="0"/>
      <charset val="1"/>
    </font>
    <font>
      <b val="true"/>
      <sz val="10"/>
      <color rgb="FFC00000"/>
      <name val="Arial"/>
      <family val="0"/>
      <charset val="1"/>
    </font>
    <font>
      <sz val="10"/>
      <color rgb="FF008000"/>
      <name val="Arial"/>
      <family val="0"/>
      <charset val="1"/>
    </font>
    <font>
      <b val="true"/>
      <sz val="18"/>
      <color rgb="FF000000"/>
      <name val="Calibri"/>
      <family val="2"/>
    </font>
    <font>
      <sz val="10"/>
      <color rgb="FF000000"/>
      <name val="Calibri"/>
      <family val="2"/>
    </font>
    <font>
      <b val="true"/>
      <sz val="10"/>
      <color rgb="FF000000"/>
      <name val="Calibri"/>
      <family val="2"/>
    </font>
    <font>
      <i val="true"/>
      <sz val="10"/>
      <color rgb="FF000000"/>
      <name val="Arial"/>
      <family val="0"/>
      <charset val="1"/>
    </font>
    <font>
      <b val="true"/>
      <sz val="10"/>
      <color rgb="FF808080"/>
      <name val="Arial"/>
      <family val="0"/>
      <charset val="1"/>
    </font>
  </fonts>
  <fills count="6">
    <fill>
      <patternFill patternType="none"/>
    </fill>
    <fill>
      <patternFill patternType="gray125"/>
    </fill>
    <fill>
      <patternFill patternType="solid">
        <fgColor rgb="FFFFFF00"/>
        <bgColor rgb="FFFFFF00"/>
      </patternFill>
    </fill>
    <fill>
      <patternFill patternType="solid">
        <fgColor rgb="FFFCE4D6"/>
        <bgColor rgb="FFF2F2F2"/>
      </patternFill>
    </fill>
    <fill>
      <patternFill patternType="solid">
        <fgColor rgb="FFD9D9D9"/>
        <bgColor rgb="FFE2EFDA"/>
      </patternFill>
    </fill>
    <fill>
      <patternFill patternType="solid">
        <fgColor rgb="FFF2F2F2"/>
        <bgColor rgb="FFE2EFDA"/>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true" applyProtection="false">
      <alignment horizontal="right" vertical="top" textRotation="0" wrapText="false" indent="0" shrinkToFit="false"/>
      <protection locked="true" hidden="false"/>
    </xf>
    <xf numFmtId="166" fontId="9" fillId="0" borderId="0" xfId="0" applyFont="true" applyBorder="false" applyAlignment="true" applyProtection="false">
      <alignment horizontal="right" vertical="top" textRotation="0" wrapText="false" indent="0" shrinkToFit="false"/>
      <protection locked="true" hidden="false"/>
    </xf>
    <xf numFmtId="167" fontId="9" fillId="0" borderId="0" xfId="0" applyFont="true" applyBorder="false" applyAlignment="true" applyProtection="false">
      <alignment horizontal="right" vertical="top" textRotation="0" wrapText="false" indent="0" shrinkToFit="false"/>
      <protection locked="true" hidden="false"/>
    </xf>
    <xf numFmtId="168" fontId="9" fillId="0" borderId="0" xfId="0" applyFont="true" applyBorder="false" applyAlignment="true" applyProtection="false">
      <alignment horizontal="right" vertical="top" textRotation="0" wrapText="false" indent="0" shrinkToFit="false"/>
      <protection locked="true" hidden="false"/>
    </xf>
    <xf numFmtId="169" fontId="9" fillId="0" borderId="0" xfId="0" applyFont="true" applyBorder="false" applyAlignment="true" applyProtection="false">
      <alignment horizontal="right" vertical="top" textRotation="0" wrapText="false" indent="0" shrinkToFit="false"/>
      <protection locked="true" hidden="false"/>
    </xf>
    <xf numFmtId="164" fontId="9" fillId="0" borderId="0" xfId="0" applyFont="true" applyBorder="false" applyAlignment="true" applyProtection="false">
      <alignment horizontal="right" vertical="top" textRotation="0" wrapText="false" indent="0" shrinkToFit="false"/>
      <protection locked="true" hidden="false"/>
    </xf>
    <xf numFmtId="170" fontId="9" fillId="0" borderId="0" xfId="0" applyFont="true" applyBorder="false" applyAlignment="true" applyProtection="false">
      <alignment horizontal="right" vertical="top" textRotation="0" wrapText="false" indent="0" shrinkToFit="false"/>
      <protection locked="true" hidden="false"/>
    </xf>
    <xf numFmtId="171" fontId="9" fillId="0" borderId="0" xfId="0" applyFont="true" applyBorder="false" applyAlignment="true" applyProtection="false">
      <alignment horizontal="right" vertical="top"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2"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fals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center" vertical="top"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4" fillId="5" borderId="0" xfId="0" applyFont="true" applyBorder="false" applyAlignment="false" applyProtection="false">
      <alignment horizontal="general" vertical="bottom" textRotation="0" wrapText="false" indent="0" shrinkToFit="false"/>
      <protection locked="true" hidden="false"/>
    </xf>
    <xf numFmtId="164" fontId="8" fillId="5" borderId="0" xfId="0" applyFont="true" applyBorder="false" applyAlignment="false" applyProtection="false">
      <alignment horizontal="general" vertical="bottom" textRotation="0" wrapText="false" indent="0" shrinkToFit="false"/>
      <protection locked="true" hidden="false"/>
    </xf>
    <xf numFmtId="172" fontId="15" fillId="5" borderId="0" xfId="0" applyFont="true" applyBorder="false" applyAlignment="false" applyProtection="false">
      <alignment horizontal="general" vertical="bottom" textRotation="0" wrapText="false" indent="0" shrinkToFit="false"/>
      <protection locked="true" hidden="false"/>
    </xf>
    <xf numFmtId="164" fontId="16" fillId="5" borderId="0" xfId="0" applyFont="true" applyBorder="false" applyAlignment="false" applyProtection="false">
      <alignment horizontal="general" vertical="bottom" textRotation="0" wrapText="false" indent="0" shrinkToFit="false"/>
      <protection locked="true" hidden="false"/>
    </xf>
    <xf numFmtId="164" fontId="8" fillId="5" borderId="0" xfId="0" applyFont="true" applyBorder="false" applyAlignment="true" applyProtection="false">
      <alignment horizontal="center" vertical="top" textRotation="0" wrapText="false" indent="0" shrinkToFit="false"/>
      <protection locked="true" hidden="false"/>
    </xf>
    <xf numFmtId="164" fontId="17" fillId="5" borderId="0" xfId="0" applyFont="true" applyBorder="false" applyAlignment="false" applyProtection="false">
      <alignment horizontal="general" vertical="bottom" textRotation="0" wrapText="false" indent="0" shrinkToFit="false"/>
      <protection locked="true" hidden="false"/>
    </xf>
    <xf numFmtId="167" fontId="15" fillId="5" borderId="0" xfId="0" applyFont="true" applyBorder="false" applyAlignment="false" applyProtection="false">
      <alignment horizontal="general" vertical="bottom" textRotation="0" wrapText="false" indent="0" shrinkToFit="false"/>
      <protection locked="true" hidden="false"/>
    </xf>
    <xf numFmtId="172" fontId="15"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right" vertical="top" textRotation="0" wrapText="false" indent="0" shrinkToFit="false"/>
      <protection locked="true" hidden="false"/>
    </xf>
    <xf numFmtId="164" fontId="15" fillId="5" borderId="0" xfId="0" applyFont="true" applyBorder="false" applyAlignment="true" applyProtection="false">
      <alignment horizontal="right" vertical="top"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71" fontId="19" fillId="2" borderId="0" xfId="0" applyFont="true" applyBorder="false" applyAlignment="false" applyProtection="false">
      <alignment horizontal="general" vertical="bottom" textRotation="0" wrapText="false" indent="0" shrinkToFit="false"/>
      <protection locked="true" hidden="false"/>
    </xf>
    <xf numFmtId="164" fontId="15" fillId="2" borderId="0" xfId="0" applyFont="true" applyBorder="false" applyAlignment="true" applyProtection="false">
      <alignment horizontal="center" vertical="top" textRotation="0" wrapText="false" indent="0" shrinkToFit="false"/>
      <protection locked="true" hidden="false"/>
    </xf>
    <xf numFmtId="171" fontId="14" fillId="0" borderId="0" xfId="0" applyFont="true" applyBorder="false" applyAlignment="false" applyProtection="false">
      <alignment horizontal="general" vertical="bottom" textRotation="0" wrapText="false" indent="0" shrinkToFit="false"/>
      <protection locked="true" hidden="false"/>
    </xf>
    <xf numFmtId="171" fontId="8" fillId="2" borderId="0" xfId="0" applyFont="true" applyBorder="false" applyAlignment="false" applyProtection="false">
      <alignment horizontal="general" vertical="bottom" textRotation="0" wrapText="false" indent="0" shrinkToFit="false"/>
      <protection locked="true" hidden="false"/>
    </xf>
    <xf numFmtId="171" fontId="15" fillId="2" borderId="0" xfId="0" applyFont="true" applyBorder="false" applyAlignment="false" applyProtection="false">
      <alignment horizontal="general" vertical="bottom" textRotation="0" wrapText="false" indent="0" shrinkToFit="false"/>
      <protection locked="true" hidden="false"/>
    </xf>
    <xf numFmtId="166" fontId="19" fillId="2" borderId="0" xfId="0" applyFont="true" applyBorder="false" applyAlignment="false" applyProtection="false">
      <alignment horizontal="general" vertical="bottom" textRotation="0" wrapText="false" indent="0" shrinkToFit="false"/>
      <protection locked="true" hidden="false"/>
    </xf>
    <xf numFmtId="166" fontId="14" fillId="0"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70" fontId="15" fillId="2" borderId="0" xfId="0" applyFont="true" applyBorder="false" applyAlignment="false" applyProtection="false">
      <alignment horizontal="general" vertical="bottom" textRotation="0" wrapText="false" indent="0" shrinkToFit="false"/>
      <protection locked="true" hidden="false"/>
    </xf>
    <xf numFmtId="170" fontId="14" fillId="0" borderId="0" xfId="0" applyFont="true" applyBorder="false" applyAlignment="false" applyProtection="false">
      <alignment horizontal="general" vertical="bottom" textRotation="0" wrapText="false" indent="0" shrinkToFit="false"/>
      <protection locked="true" hidden="false"/>
    </xf>
    <xf numFmtId="169" fontId="19" fillId="2" borderId="0" xfId="0" applyFont="true" applyBorder="false" applyAlignment="false" applyProtection="false">
      <alignment horizontal="general" vertical="bottom" textRotation="0" wrapText="false" indent="0" shrinkToFit="false"/>
      <protection locked="true" hidden="false"/>
    </xf>
    <xf numFmtId="169" fontId="15" fillId="2" borderId="0" xfId="0" applyFont="true" applyBorder="false" applyAlignment="false" applyProtection="false">
      <alignment horizontal="general" vertical="bottom" textRotation="0" wrapText="false" indent="0" shrinkToFit="false"/>
      <protection locked="true" hidden="false"/>
    </xf>
    <xf numFmtId="169" fontId="14" fillId="0" borderId="0" xfId="0" applyFont="true" applyBorder="false" applyAlignment="false" applyProtection="false">
      <alignment horizontal="general" vertical="bottom" textRotation="0" wrapText="false" indent="0" shrinkToFit="false"/>
      <protection locked="true" hidden="false"/>
    </xf>
    <xf numFmtId="173" fontId="19" fillId="2"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center" vertical="top" textRotation="0" wrapText="false" indent="0" shrinkToFit="false"/>
      <protection locked="true" hidden="false"/>
    </xf>
    <xf numFmtId="173" fontId="14" fillId="0" borderId="0" xfId="0" applyFont="true" applyBorder="false" applyAlignment="false" applyProtection="false">
      <alignment horizontal="general" vertical="bottom" textRotation="0" wrapText="false" indent="0" shrinkToFit="false"/>
      <protection locked="true" hidden="false"/>
    </xf>
    <xf numFmtId="170" fontId="19" fillId="2" borderId="0" xfId="0" applyFont="true" applyBorder="false" applyAlignment="false" applyProtection="false">
      <alignment horizontal="general" vertical="bottom" textRotation="0" wrapText="false" indent="0" shrinkToFit="false"/>
      <protection locked="true" hidden="false"/>
    </xf>
    <xf numFmtId="166" fontId="15" fillId="2" borderId="0" xfId="0" applyFont="true" applyBorder="false" applyAlignment="false" applyProtection="false">
      <alignment horizontal="general" vertical="bottom" textRotation="0" wrapText="false" indent="0" shrinkToFit="false"/>
      <protection locked="true" hidden="false"/>
    </xf>
    <xf numFmtId="167" fontId="15" fillId="2" borderId="0" xfId="0" applyFont="true" applyBorder="false" applyAlignment="false" applyProtection="false">
      <alignment horizontal="general" vertical="bottom" textRotation="0" wrapText="false" indent="0" shrinkToFit="false"/>
      <protection locked="true" hidden="false"/>
    </xf>
    <xf numFmtId="167" fontId="14" fillId="0" borderId="0" xfId="0" applyFont="true" applyBorder="false" applyAlignment="false" applyProtection="false">
      <alignment horizontal="general" vertical="bottom" textRotation="0" wrapText="false" indent="0" shrinkToFit="false"/>
      <protection locked="true" hidden="false"/>
    </xf>
    <xf numFmtId="174" fontId="19" fillId="2" borderId="0" xfId="0" applyFont="true" applyBorder="false" applyAlignment="false" applyProtection="false">
      <alignment horizontal="general" vertical="bottom" textRotation="0" wrapText="false" indent="0" shrinkToFit="false"/>
      <protection locked="true" hidden="false"/>
    </xf>
    <xf numFmtId="174" fontId="14" fillId="0" borderId="0" xfId="0" applyFont="true" applyBorder="false" applyAlignment="false" applyProtection="false">
      <alignment horizontal="general" vertical="bottom" textRotation="0" wrapText="false" indent="0" shrinkToFit="false"/>
      <protection locked="true" hidden="false"/>
    </xf>
    <xf numFmtId="166" fontId="19" fillId="0" borderId="0" xfId="0" applyFont="true" applyBorder="false" applyAlignment="false" applyProtection="false">
      <alignment horizontal="general" vertical="bottom" textRotation="0" wrapText="false" indent="0" shrinkToFit="false"/>
      <protection locked="true" hidden="false"/>
    </xf>
    <xf numFmtId="168" fontId="14" fillId="0" borderId="0" xfId="0" applyFont="true" applyBorder="false" applyAlignment="false" applyProtection="false">
      <alignment horizontal="general" vertical="bottom" textRotation="0" wrapText="false" indent="0" shrinkToFit="false"/>
      <protection locked="true" hidden="false"/>
    </xf>
    <xf numFmtId="168" fontId="19"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75" fontId="19" fillId="0" borderId="0" xfId="0" applyFont="true" applyBorder="false" applyAlignment="false" applyProtection="false">
      <alignment horizontal="general" vertical="bottom" textRotation="0" wrapText="false" indent="0" shrinkToFit="false"/>
      <protection locked="true" hidden="false"/>
    </xf>
    <xf numFmtId="171" fontId="8" fillId="0" borderId="0" xfId="0" applyFont="true" applyBorder="false" applyAlignment="false" applyProtection="false">
      <alignment horizontal="general" vertical="bottom" textRotation="0" wrapText="false" indent="0" shrinkToFit="false"/>
      <protection locked="true" hidden="false"/>
    </xf>
    <xf numFmtId="166" fontId="19" fillId="0" borderId="0" xfId="0" applyFont="true" applyBorder="false" applyAlignment="true" applyProtection="false">
      <alignment horizontal="right"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6" fontId="14" fillId="0" borderId="2" xfId="0" applyFont="true" applyBorder="tru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center" vertical="top" textRotation="0" wrapText="false" indent="0" shrinkToFit="false"/>
      <protection locked="true" hidden="false"/>
    </xf>
    <xf numFmtId="171" fontId="19" fillId="0" borderId="0" xfId="0" applyFont="true" applyBorder="false" applyAlignment="false" applyProtection="false">
      <alignment horizontal="general" vertical="bottom" textRotation="0" wrapText="false" indent="0" shrinkToFit="false"/>
      <protection locked="true" hidden="false"/>
    </xf>
    <xf numFmtId="176" fontId="19" fillId="0" borderId="0" xfId="0" applyFont="true" applyBorder="false" applyAlignment="false" applyProtection="false">
      <alignment horizontal="general" vertical="bottom" textRotation="0" wrapText="false" indent="0" shrinkToFit="false"/>
      <protection locked="true" hidden="false"/>
    </xf>
    <xf numFmtId="177" fontId="8"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6" fontId="16" fillId="0" borderId="0" xfId="0" applyFont="true" applyBorder="false" applyAlignment="false" applyProtection="false">
      <alignment horizontal="general" vertical="bottom" textRotation="0" wrapText="false" indent="0" shrinkToFit="false"/>
      <protection locked="true" hidden="false"/>
    </xf>
    <xf numFmtId="171" fontId="16" fillId="0" borderId="0" xfId="0" applyFont="true" applyBorder="false" applyAlignment="false" applyProtection="false">
      <alignment horizontal="general" vertical="bottom" textRotation="0" wrapText="false" indent="0" shrinkToFit="false"/>
      <protection locked="true" hidden="false"/>
    </xf>
    <xf numFmtId="169" fontId="19"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75" fontId="14" fillId="0" borderId="0" xfId="0" applyFont="true" applyBorder="false" applyAlignment="false" applyProtection="false">
      <alignment horizontal="general" vertical="bottom" textRotation="0" wrapText="false" indent="0" shrinkToFit="false"/>
      <protection locked="true" hidden="false"/>
    </xf>
    <xf numFmtId="175" fontId="8"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center" vertical="top" textRotation="0" wrapText="true" indent="0" shrinkToFit="false"/>
      <protection locked="true" hidden="false"/>
    </xf>
    <xf numFmtId="171" fontId="19" fillId="3" borderId="0" xfId="0" applyFont="true" applyBorder="false" applyAlignment="false" applyProtection="false">
      <alignment horizontal="general" vertical="bottom" textRotation="0" wrapText="false" indent="0" shrinkToFit="false"/>
      <protection locked="true" hidden="false"/>
    </xf>
    <xf numFmtId="171" fontId="8" fillId="3" borderId="0" xfId="0" applyFont="true" applyBorder="false" applyAlignment="false" applyProtection="false">
      <alignment horizontal="general" vertical="bottom" textRotation="0" wrapText="false" indent="0" shrinkToFit="false"/>
      <protection locked="true" hidden="false"/>
    </xf>
    <xf numFmtId="166" fontId="19" fillId="3" borderId="0" xfId="0" applyFont="true" applyBorder="false" applyAlignment="false" applyProtection="false">
      <alignment horizontal="general" vertical="bottom" textRotation="0" wrapText="false" indent="0" shrinkToFit="false"/>
      <protection locked="true" hidden="false"/>
    </xf>
    <xf numFmtId="166" fontId="8" fillId="3" borderId="0" xfId="0" applyFont="true" applyBorder="false" applyAlignment="false" applyProtection="false">
      <alignment horizontal="general" vertical="bottom" textRotation="0" wrapText="false" indent="0" shrinkToFit="false"/>
      <protection locked="true" hidden="false"/>
    </xf>
    <xf numFmtId="170" fontId="19" fillId="0" borderId="0" xfId="0" applyFont="true" applyBorder="fals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70" fontId="19" fillId="3" borderId="0" xfId="0" applyFont="true" applyBorder="false" applyAlignment="false" applyProtection="false">
      <alignment horizontal="general" vertical="bottom" textRotation="0" wrapText="false" indent="0" shrinkToFit="false"/>
      <protection locked="true" hidden="false"/>
    </xf>
    <xf numFmtId="170" fontId="8" fillId="3" borderId="0" xfId="0" applyFont="true" applyBorder="false" applyAlignment="false" applyProtection="false">
      <alignment horizontal="general" vertical="bottom" textRotation="0" wrapText="false" indent="0" shrinkToFit="false"/>
      <protection locked="true" hidden="false"/>
    </xf>
    <xf numFmtId="169" fontId="19" fillId="3" borderId="0" xfId="0" applyFont="true" applyBorder="false" applyAlignment="false" applyProtection="false">
      <alignment horizontal="general" vertical="bottom" textRotation="0" wrapText="false" indent="0" shrinkToFit="false"/>
      <protection locked="true" hidden="false"/>
    </xf>
    <xf numFmtId="169" fontId="8" fillId="3" borderId="0" xfId="0" applyFont="true" applyBorder="false" applyAlignment="false" applyProtection="false">
      <alignment horizontal="general" vertical="bottom" textRotation="0" wrapText="false" indent="0" shrinkToFit="false"/>
      <protection locked="true" hidden="false"/>
    </xf>
    <xf numFmtId="173" fontId="19" fillId="0" borderId="0" xfId="0" applyFont="true" applyBorder="false" applyAlignment="false" applyProtection="false">
      <alignment horizontal="general" vertical="bottom" textRotation="0" wrapText="false" indent="0" shrinkToFit="false"/>
      <protection locked="true" hidden="false"/>
    </xf>
    <xf numFmtId="173" fontId="8" fillId="0" borderId="0" xfId="0" applyFont="true" applyBorder="false" applyAlignment="false" applyProtection="false">
      <alignment horizontal="general" vertical="bottom" textRotation="0" wrapText="false" indent="0" shrinkToFit="false"/>
      <protection locked="true" hidden="false"/>
    </xf>
    <xf numFmtId="167" fontId="19" fillId="0" borderId="0" xfId="0" applyFont="true" applyBorder="false" applyAlignment="false" applyProtection="false">
      <alignment horizontal="general" vertical="bottom" textRotation="0" wrapText="false" indent="0" shrinkToFit="false"/>
      <protection locked="true" hidden="false"/>
    </xf>
    <xf numFmtId="174" fontId="19" fillId="0" borderId="0" xfId="0" applyFont="true" applyBorder="false" applyAlignment="false" applyProtection="false">
      <alignment horizontal="general" vertical="bottom" textRotation="0" wrapText="false" indent="0" shrinkToFit="false"/>
      <protection locked="true" hidden="false"/>
    </xf>
    <xf numFmtId="174" fontId="8" fillId="0" borderId="0" xfId="0" applyFont="true" applyBorder="false" applyAlignment="false" applyProtection="false">
      <alignment horizontal="general" vertical="bottom" textRotation="0" wrapText="false" indent="0" shrinkToFit="false"/>
      <protection locked="true" hidden="false"/>
    </xf>
    <xf numFmtId="166" fontId="14" fillId="0" borderId="0" xfId="0" applyFont="true" applyBorder="true" applyAlignment="false" applyProtection="false">
      <alignment horizontal="general" vertical="bottom" textRotation="0" wrapText="false" indent="0" shrinkToFit="false"/>
      <protection locked="true" hidden="false"/>
    </xf>
    <xf numFmtId="168" fontId="14" fillId="0" borderId="0" xfId="0" applyFont="true" applyBorder="true" applyAlignment="false" applyProtection="false">
      <alignment horizontal="general" vertical="bottom" textRotation="0" wrapText="false" indent="0" shrinkToFit="false"/>
      <protection locked="true" hidden="false"/>
    </xf>
    <xf numFmtId="171" fontId="14" fillId="0" borderId="0"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right"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78" fontId="16" fillId="0" borderId="0" xfId="0" applyFont="true" applyBorder="false" applyAlignment="false" applyProtection="false">
      <alignment horizontal="general" vertical="bottom" textRotation="0" wrapText="false" indent="0" shrinkToFit="false"/>
      <protection locked="true" hidden="false"/>
    </xf>
    <xf numFmtId="165" fontId="14"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right" vertical="top" textRotation="0" wrapText="false" indent="0" shrinkToFit="false"/>
      <protection locked="true" hidden="false"/>
    </xf>
    <xf numFmtId="179" fontId="19" fillId="0" borderId="0" xfId="0" applyFont="true" applyBorder="false" applyAlignment="false" applyProtection="false">
      <alignment horizontal="general" vertical="bottom" textRotation="0" wrapText="false" indent="0" shrinkToFit="false"/>
      <protection locked="true" hidden="false"/>
    </xf>
    <xf numFmtId="179" fontId="8" fillId="0" borderId="0" xfId="0" applyFont="true" applyBorder="false" applyAlignment="false" applyProtection="false">
      <alignment horizontal="general" vertical="bottom" textRotation="0" wrapText="false" indent="0" shrinkToFit="false"/>
      <protection locked="true" hidden="false"/>
    </xf>
    <xf numFmtId="171" fontId="15" fillId="0" borderId="0" xfId="0" applyFont="true" applyBorder="false" applyAlignment="true" applyProtection="false">
      <alignment horizontal="center" vertical="top" textRotation="0" wrapText="false" indent="0" shrinkToFit="false"/>
      <protection locked="true" hidden="false"/>
    </xf>
    <xf numFmtId="164" fontId="14" fillId="0" borderId="0" xfId="0" applyFont="true" applyBorder="false" applyAlignment="true" applyProtection="false">
      <alignment horizontal="center" vertical="top" textRotation="0" wrapText="false" indent="0" shrinkToFit="false"/>
      <protection locked="true" hidden="false"/>
    </xf>
    <xf numFmtId="164" fontId="14" fillId="0" borderId="0" xfId="0" applyFont="true" applyBorder="false" applyAlignment="true" applyProtection="false">
      <alignment horizontal="right" vertical="bottom" textRotation="0" wrapText="false" indent="0" shrinkToFit="false"/>
      <protection locked="true" hidden="false"/>
    </xf>
    <xf numFmtId="164" fontId="16" fillId="2"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74" fontId="8" fillId="2"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70" fontId="14" fillId="2"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right" vertical="top" textRotation="0" wrapText="false" indent="0" shrinkToFit="false"/>
      <protection locked="true" hidden="false"/>
    </xf>
    <xf numFmtId="180" fontId="15" fillId="2" borderId="0" xfId="0" applyFont="true" applyBorder="false" applyAlignment="true" applyProtection="false">
      <alignment horizontal="center" vertical="top"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81" fontId="15" fillId="0" borderId="0" xfId="0" applyFont="true" applyBorder="false" applyAlignment="false" applyProtection="false">
      <alignment horizontal="general" vertical="bottom" textRotation="0" wrapText="false" indent="0" shrinkToFit="false"/>
      <protection locked="true" hidden="false"/>
    </xf>
    <xf numFmtId="170" fontId="8" fillId="2" borderId="0" xfId="0" applyFont="true" applyBorder="false" applyAlignment="false" applyProtection="false">
      <alignment horizontal="general" vertical="bottom" textRotation="0" wrapText="false" indent="0" shrinkToFit="false"/>
      <protection locked="true" hidden="false"/>
    </xf>
    <xf numFmtId="180" fontId="8" fillId="0" borderId="0" xfId="0" applyFont="true" applyBorder="false" applyAlignment="true" applyProtection="false">
      <alignment horizontal="center" vertical="top" textRotation="0" wrapText="false" indent="0" shrinkToFit="false"/>
      <protection locked="true" hidden="false"/>
    </xf>
    <xf numFmtId="180" fontId="8" fillId="2" borderId="0" xfId="0" applyFont="true" applyBorder="false" applyAlignment="true" applyProtection="false">
      <alignment horizontal="center" vertical="top"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82" fontId="8"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8" fontId="15" fillId="2" borderId="0" xfId="0" applyFont="true" applyBorder="false" applyAlignment="false" applyProtection="false">
      <alignment horizontal="general" vertical="bottom" textRotation="0" wrapText="false" indent="0" shrinkToFit="false"/>
      <protection locked="true" hidden="false"/>
    </xf>
    <xf numFmtId="164" fontId="24" fillId="4" borderId="0" xfId="0" applyFont="true" applyBorder="false" applyAlignment="false" applyProtection="false">
      <alignment horizontal="general" vertical="bottom" textRotation="0" wrapText="false" indent="0" shrinkToFit="false"/>
      <protection locked="tru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73" fontId="16" fillId="0" borderId="0" xfId="0" applyFont="true" applyBorder="false" applyAlignment="false" applyProtection="false">
      <alignment horizontal="general" vertical="bottom" textRotation="0" wrapText="false" indent="0" shrinkToFit="false"/>
      <protection locked="true" hidden="false"/>
    </xf>
    <xf numFmtId="168" fontId="15" fillId="0" borderId="0" xfId="0" applyFont="true" applyBorder="false" applyAlignment="false" applyProtection="false">
      <alignment horizontal="general" vertical="bottom" textRotation="0" wrapText="false" indent="0" shrinkToFit="false"/>
      <protection locked="true" hidden="false"/>
    </xf>
    <xf numFmtId="169" fontId="15" fillId="0" borderId="0" xfId="0" applyFont="true" applyBorder="false" applyAlignment="false" applyProtection="false">
      <alignment horizontal="general" vertical="bottom" textRotation="0" wrapText="false" indent="0" shrinkToFit="false"/>
      <protection locked="true" hidden="false"/>
    </xf>
    <xf numFmtId="173" fontId="15" fillId="0" borderId="0" xfId="0" applyFont="true" applyBorder="false" applyAlignment="false" applyProtection="false">
      <alignment horizontal="general" vertical="bottom" textRotation="0" wrapText="false" indent="0" shrinkToFit="false"/>
      <protection locked="true" hidden="false"/>
    </xf>
    <xf numFmtId="171" fontId="15" fillId="0" borderId="0" xfId="0" applyFont="true" applyBorder="false" applyAlignment="false" applyProtection="false">
      <alignment horizontal="general" vertical="bottom" textRotation="0" wrapText="false" indent="0" shrinkToFit="false"/>
      <protection locked="true" hidden="false"/>
    </xf>
    <xf numFmtId="170" fontId="15" fillId="0" borderId="0" xfId="0" applyFont="true" applyBorder="false" applyAlignment="false" applyProtection="false">
      <alignment horizontal="general" vertical="bottom" textRotation="0" wrapText="false" indent="0" shrinkToFit="false"/>
      <protection locked="true" hidden="false"/>
    </xf>
    <xf numFmtId="179" fontId="15" fillId="0" borderId="0" xfId="0" applyFont="true" applyBorder="false" applyAlignment="false" applyProtection="false">
      <alignment horizontal="general" vertical="bottom" textRotation="0" wrapText="false" indent="0" shrinkToFit="false"/>
      <protection locked="true" hidden="false"/>
    </xf>
    <xf numFmtId="180" fontId="15" fillId="0" borderId="0" xfId="0" applyFont="true" applyBorder="false" applyAlignment="false" applyProtection="false">
      <alignment horizontal="general" vertical="bottom" textRotation="0" wrapText="false" indent="0" shrinkToFit="false"/>
      <protection locked="true" hidden="false"/>
    </xf>
    <xf numFmtId="182" fontId="15" fillId="2"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center" vertical="top" textRotation="0" wrapText="false" indent="0" shrinkToFit="false"/>
      <protection locked="true" hidden="false"/>
    </xf>
    <xf numFmtId="173"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D9D9D9"/>
          <bgColor rgb="FF000000"/>
        </patternFill>
      </fill>
    </dxf>
    <dxf>
      <fill>
        <patternFill patternType="solid">
          <fgColor rgb="FFF2F2F2"/>
          <bgColor rgb="FF000000"/>
        </patternFill>
      </fill>
    </dxf>
    <dxf>
      <fill>
        <patternFill patternType="solid">
          <bgColor rgb="FF000000"/>
        </patternFill>
      </fill>
    </dxf>
    <dxf>
      <fill>
        <patternFill patternType="solid">
          <fgColor rgb="FF000000"/>
          <bgColor rgb="FF000000"/>
        </patternFill>
      </fill>
    </dxf>
    <dxf>
      <fill>
        <patternFill patternType="solid">
          <fgColor rgb="FF0000FF"/>
          <bgColor rgb="FF000000"/>
        </patternFill>
      </fill>
    </dxf>
    <dxf>
      <fill>
        <patternFill patternType="solid">
          <fgColor rgb="FF808080"/>
          <bgColor rgb="FF000000"/>
        </patternFill>
      </fill>
    </dxf>
    <dxf>
      <fill>
        <patternFill patternType="solid">
          <fgColor rgb="FFC00000"/>
          <bgColor rgb="FF000000"/>
        </patternFill>
      </fill>
    </dxf>
    <dxf>
      <fill>
        <patternFill>
          <bgColor rgb="FFE2EFDA"/>
        </patternFill>
      </fill>
    </dxf>
    <dxf>
      <fill>
        <patternFill>
          <bgColor rgb="FFF8CBAD"/>
        </patternFill>
      </fill>
    </dxf>
  </dxfs>
  <colors>
    <indexedColors>
      <rgbColor rgb="FF000000"/>
      <rgbColor rgb="FFF2F2F2"/>
      <rgbColor rgb="FFC00000"/>
      <rgbColor rgb="FF00FF00"/>
      <rgbColor rgb="FF0000FF"/>
      <rgbColor rgb="FFFFFF00"/>
      <rgbColor rgb="FFFF00FF"/>
      <rgbColor rgb="FF00FFFF"/>
      <rgbColor rgb="FF800000"/>
      <rgbColor rgb="FF008000"/>
      <rgbColor rgb="FF000080"/>
      <rgbColor rgb="FF9BBB59"/>
      <rgbColor rgb="FF800080"/>
      <rgbColor rgb="FF008080"/>
      <rgbColor rgb="FFBFBFBF"/>
      <rgbColor rgb="FF808080"/>
      <rgbColor rgb="FF9999FF"/>
      <rgbColor rgb="FFBE4B48"/>
      <rgbColor rgb="FFFCE4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8CBAD"/>
      <rgbColor rgb="FF4F81BD"/>
      <rgbColor rgb="FF33CCCC"/>
      <rgbColor rgb="FF98B855"/>
      <rgbColor rgb="FFFFCC00"/>
      <rgbColor rgb="FFFF9900"/>
      <rgbColor rgb="FFFF6600"/>
      <rgbColor rgb="FF4A7EBB"/>
      <rgbColor rgb="FF878787"/>
      <rgbColor rgb="FF003366"/>
      <rgbColor rgb="FF339966"/>
      <rgbColor rgb="FF003300"/>
      <rgbColor rgb="FF333300"/>
      <rgbColor rgb="FF993300"/>
      <rgbColor rgb="FFC0504D"/>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trike="noStrike" u="none">
                <a:uFillTx/>
                <a:latin typeface="Arial"/>
              </a:defRPr>
            </a:pPr>
            <a:r>
              <a:rPr b="1" sz="1800" strike="noStrike" u="none">
                <a:solidFill>
                  <a:srgbClr val="000000"/>
                </a:solidFill>
                <a:uFillTx/>
                <a:latin typeface="Calibri"/>
              </a:rPr>
              <a:t>Levier 2024 → 2027 (plafond : 3x fin 2027)</a:t>
            </a:r>
          </a:p>
        </c:rich>
      </c:tx>
      <c:overlay val="0"/>
      <c:spPr>
        <a:noFill/>
        <a:ln w="0">
          <a:noFill/>
        </a:ln>
      </c:spPr>
    </c:title>
    <c:autoTitleDeleted val="0"/>
    <c:plotArea>
      <c:barChart>
        <c:barDir val="col"/>
        <c:grouping val="clustered"/>
        <c:varyColors val="0"/>
        <c:ser>
          <c:idx val="0"/>
          <c:order val="0"/>
          <c:tx>
            <c:strRef>
              <c:f>Trajectoire!C63</c:f>
              <c:strCache>
                <c:ptCount val="1"/>
                <c:pt idx="0">
                  <c:v>Scénario actif</c:v>
                </c:pt>
              </c:strCache>
            </c:strRef>
          </c:tx>
          <c:spPr>
            <a:solidFill>
              <a:srgbClr val="4f81bd"/>
            </a:solidFill>
            <a:ln w="0">
              <a:noFill/>
            </a:ln>
          </c:spPr>
          <c:invertIfNegative val="0"/>
          <c:dLbls>
            <c:txPr>
              <a:bodyPr wrap="none"/>
              <a:lstStyle/>
              <a:p>
                <a:pPr>
                  <a:defRPr b="0" sz="1000" strike="noStrike" u="non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Trajectoire!$B$64:$B$67</c:f>
              <c:strCache>
                <c:ptCount val="4"/>
                <c:pt idx="0">
                  <c:v>2024</c:v>
                </c:pt>
                <c:pt idx="1">
                  <c:v>2025</c:v>
                </c:pt>
                <c:pt idx="2">
                  <c:v>2026</c:v>
                </c:pt>
                <c:pt idx="3">
                  <c:v>2027</c:v>
                </c:pt>
              </c:strCache>
            </c:strRef>
          </c:cat>
          <c:val>
            <c:numRef>
              <c:f>Trajectoire!$C$64:$C$67</c:f>
              <c:numCache>
                <c:formatCode>0.00\x;\(0.00"x)";\-</c:formatCode>
                <c:ptCount val="4"/>
                <c:pt idx="0">
                  <c:v>2.63</c:v>
                </c:pt>
                <c:pt idx="1">
                  <c:v>2.79</c:v>
                </c:pt>
                <c:pt idx="2">
                  <c:v>3.01771731406222</c:v>
                </c:pt>
                <c:pt idx="3">
                  <c:v>2.80320887741352</c:v>
                </c:pt>
              </c:numCache>
            </c:numRef>
          </c:val>
        </c:ser>
        <c:ser>
          <c:idx val="1"/>
          <c:order val="1"/>
          <c:tx>
            <c:strRef>
              <c:f>Trajectoire!D63</c:f>
              <c:strCache>
                <c:ptCount val="1"/>
                <c:pt idx="0">
                  <c:v>Défavorable combiné</c:v>
                </c:pt>
              </c:strCache>
            </c:strRef>
          </c:tx>
          <c:spPr>
            <a:solidFill>
              <a:srgbClr val="c0504d"/>
            </a:solidFill>
            <a:ln w="0">
              <a:noFill/>
            </a:ln>
          </c:spPr>
          <c:invertIfNegative val="0"/>
          <c:dLbls>
            <c:txPr>
              <a:bodyPr wrap="none"/>
              <a:lstStyle/>
              <a:p>
                <a:pPr>
                  <a:defRPr b="0" sz="1000" strike="noStrike" u="non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Trajectoire!$B$64:$B$67</c:f>
              <c:strCache>
                <c:ptCount val="4"/>
                <c:pt idx="0">
                  <c:v>2024</c:v>
                </c:pt>
                <c:pt idx="1">
                  <c:v>2025</c:v>
                </c:pt>
                <c:pt idx="2">
                  <c:v>2026</c:v>
                </c:pt>
                <c:pt idx="3">
                  <c:v>2027</c:v>
                </c:pt>
              </c:strCache>
            </c:strRef>
          </c:cat>
          <c:val>
            <c:numRef>
              <c:f>Trajectoire!$D$64:$D$67</c:f>
              <c:numCache>
                <c:formatCode>0.00\x;\(0.00"x)";\-</c:formatCode>
                <c:ptCount val="4"/>
                <c:pt idx="0">
                  <c:v>2.63</c:v>
                </c:pt>
                <c:pt idx="1">
                  <c:v>2.79</c:v>
                </c:pt>
                <c:pt idx="2">
                  <c:v>3.06150079910223</c:v>
                </c:pt>
                <c:pt idx="3">
                  <c:v>3.06785562669064</c:v>
                </c:pt>
              </c:numCache>
            </c:numRef>
          </c:val>
        </c:ser>
        <c:ser>
          <c:idx val="2"/>
          <c:order val="2"/>
          <c:tx>
            <c:strRef>
              <c:f>Trajectoire!E63</c:f>
              <c:strCache>
                <c:ptCount val="1"/>
                <c:pt idx="0">
                  <c:v>Favorable combiné</c:v>
                </c:pt>
              </c:strCache>
            </c:strRef>
          </c:tx>
          <c:spPr>
            <a:solidFill>
              <a:srgbClr val="9bbb59"/>
            </a:solidFill>
            <a:ln w="0">
              <a:noFill/>
            </a:ln>
          </c:spPr>
          <c:invertIfNegative val="0"/>
          <c:dLbls>
            <c:txPr>
              <a:bodyPr wrap="none"/>
              <a:lstStyle/>
              <a:p>
                <a:pPr>
                  <a:defRPr b="0" sz="1000" strike="noStrike" u="non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Trajectoire!$B$64:$B$67</c:f>
              <c:strCache>
                <c:ptCount val="4"/>
                <c:pt idx="0">
                  <c:v>2024</c:v>
                </c:pt>
                <c:pt idx="1">
                  <c:v>2025</c:v>
                </c:pt>
                <c:pt idx="2">
                  <c:v>2026</c:v>
                </c:pt>
                <c:pt idx="3">
                  <c:v>2027</c:v>
                </c:pt>
              </c:strCache>
            </c:strRef>
          </c:cat>
          <c:val>
            <c:numRef>
              <c:f>Trajectoire!$E$64:$E$67</c:f>
              <c:numCache>
                <c:formatCode>0.00\x;\(0.00"x)";\-</c:formatCode>
                <c:ptCount val="4"/>
                <c:pt idx="0">
                  <c:v>2.63</c:v>
                </c:pt>
                <c:pt idx="1">
                  <c:v>2.79</c:v>
                </c:pt>
                <c:pt idx="2">
                  <c:v>3.00127617147117</c:v>
                </c:pt>
                <c:pt idx="3">
                  <c:v>2.56846148169012</c:v>
                </c:pt>
              </c:numCache>
            </c:numRef>
          </c:val>
        </c:ser>
        <c:gapWidth val="150"/>
        <c:overlap val="0"/>
        <c:axId val="86796739"/>
        <c:axId val="78939885"/>
      </c:barChart>
      <c:catAx>
        <c:axId val="8679673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trike="noStrike" u="none">
                <a:solidFill>
                  <a:srgbClr val="000000"/>
                </a:solidFill>
                <a:uFillTx/>
                <a:latin typeface="Calibri"/>
              </a:defRPr>
            </a:pPr>
          </a:p>
        </c:txPr>
        <c:crossAx val="78939885"/>
        <c:crosses val="autoZero"/>
        <c:auto val="1"/>
        <c:lblAlgn val="ctr"/>
        <c:lblOffset val="100"/>
        <c:noMultiLvlLbl val="0"/>
      </c:catAx>
      <c:valAx>
        <c:axId val="78939885"/>
        <c:scaling>
          <c:orientation val="minMax"/>
        </c:scaling>
        <c:delete val="0"/>
        <c:axPos val="l"/>
        <c:majorGridlines>
          <c:spPr>
            <a:ln w="9360">
              <a:solidFill>
                <a:srgbClr val="878787"/>
              </a:solidFill>
              <a:round/>
            </a:ln>
          </c:spPr>
        </c:majorGridlines>
        <c:title>
          <c:tx>
            <c:rich>
              <a:bodyPr rot="-5400000"/>
              <a:lstStyle/>
              <a:p>
                <a:pPr>
                  <a:defRPr b="0" sz="1300" strike="noStrike" u="none">
                    <a:uFillTx/>
                    <a:latin typeface="Arial"/>
                  </a:defRPr>
                </a:pPr>
                <a:r>
                  <a:rPr b="1" sz="1000" strike="noStrike" u="none">
                    <a:solidFill>
                      <a:srgbClr val="000000"/>
                    </a:solidFill>
                    <a:uFillTx/>
                    <a:latin typeface="Calibri"/>
                  </a:rPr>
                  <a:t>× EBITDA</a:t>
                </a:r>
              </a:p>
            </c:rich>
          </c:tx>
          <c:overlay val="0"/>
          <c:spPr>
            <a:noFill/>
            <a:ln w="0">
              <a:noFill/>
            </a:ln>
          </c:spPr>
        </c:title>
        <c:numFmt formatCode="0.00\x;\(0.00&quot;x)&quot;;\-" sourceLinked="1"/>
        <c:majorTickMark val="none"/>
        <c:minorTickMark val="none"/>
        <c:tickLblPos val="nextTo"/>
        <c:spPr>
          <a:ln w="9360">
            <a:solidFill>
              <a:srgbClr val="878787"/>
            </a:solidFill>
            <a:round/>
          </a:ln>
        </c:spPr>
        <c:txPr>
          <a:bodyPr/>
          <a:lstStyle/>
          <a:p>
            <a:pPr>
              <a:defRPr b="0" sz="1000" strike="noStrike" u="none">
                <a:solidFill>
                  <a:srgbClr val="000000"/>
                </a:solidFill>
                <a:uFillTx/>
                <a:latin typeface="Calibri"/>
              </a:defRPr>
            </a:pPr>
          </a:p>
        </c:txPr>
        <c:crossAx val="86796739"/>
        <c:crosses val="autoZero"/>
        <c:crossBetween val="between"/>
      </c:valAx>
      <c:spPr>
        <a:solidFill>
          <a:srgbClr val="ffffff"/>
        </a:solidFill>
        <a:ln w="0">
          <a:noFill/>
        </a:ln>
      </c:spPr>
    </c:plotArea>
    <c:legend>
      <c:legendPos val="r"/>
      <c:overlay val="0"/>
      <c:spPr>
        <a:noFill/>
        <a:ln w="0">
          <a:noFill/>
        </a:ln>
      </c:spPr>
      <c:txPr>
        <a:bodyPr/>
        <a:lstStyle/>
        <a:p>
          <a:pPr>
            <a:defRPr b="0" sz="1000" strike="noStrike" u="none">
              <a:solidFill>
                <a:srgbClr val="000000"/>
              </a:solidFill>
              <a:uFillTx/>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trike="noStrike" u="none">
                <a:uFillTx/>
                <a:latin typeface="Arial"/>
              </a:defRPr>
            </a:pPr>
            <a:r>
              <a:rPr b="1" sz="1800" strike="noStrike" u="none">
                <a:solidFill>
                  <a:srgbClr val="000000"/>
                </a:solidFill>
                <a:uFillTx/>
                <a:latin typeface="Calibri"/>
              </a:rPr>
              <a:t>Écart à la marge centrale fin 2027, M EUR</a:t>
            </a:r>
          </a:p>
        </c:rich>
      </c:tx>
      <c:overlay val="0"/>
      <c:spPr>
        <a:noFill/>
        <a:ln w="0">
          <a:noFill/>
        </a:ln>
      </c:spPr>
    </c:title>
    <c:autoTitleDeleted val="0"/>
    <c:plotArea>
      <c:barChart>
        <c:barDir val="bar"/>
        <c:grouping val="clustered"/>
        <c:varyColors val="0"/>
        <c:ser>
          <c:idx val="0"/>
          <c:order val="0"/>
          <c:tx>
            <c:strRef>
              <c:f>Sensibilité!C22</c:f>
              <c:strCache>
                <c:ptCount val="1"/>
                <c:pt idx="0">
                  <c:v>Δ bas</c:v>
                </c:pt>
              </c:strCache>
            </c:strRef>
          </c:tx>
          <c:spPr>
            <a:solidFill>
              <a:srgbClr val="4f81bd"/>
            </a:solidFill>
            <a:ln w="0">
              <a:noFill/>
            </a:ln>
          </c:spPr>
          <c:invertIfNegative val="0"/>
          <c:dLbls>
            <c:txPr>
              <a:bodyPr wrap="none"/>
              <a:lstStyle/>
              <a:p>
                <a:pPr>
                  <a:defRPr b="0" sz="1000" strike="noStrike" u="non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Sensibilité!$B$23:$B$35</c:f>
              <c:strCache>
                <c:ptCount val="13"/>
                <c:pt idx="0">
                  <c:v>Part du reste du programme encaissée en 2027</c:v>
                </c:pt>
                <c:pt idx="1">
                  <c:v>Croissance organique de l'EBITDA en 2027</c:v>
                </c:pt>
                <c:pt idx="2">
                  <c:v>Tuck-ins payés en 2027</c:v>
                </c:pt>
                <c:pt idx="3">
                  <c:v>Cash-flow libre net du S2 2026</c:v>
                </c:pt>
                <c:pt idx="4">
                  <c:v>Conversion cash-flow libre net / EBITDA en 2027</c:v>
                </c:pt>
                <c:pt idx="5">
                  <c:v>Croissance organique de l'EBITDA en 2026</c:v>
                </c:pt>
                <c:pt idx="6">
                  <c:v>Part des synergies réalisée en 2027</c:v>
                </c:pt>
                <c:pt idx="7">
                  <c:v>Multiple VE / EBITDA des actifs cédés</c:v>
                </c:pt>
                <c:pt idx="8">
                  <c:v>EBITDA de Clean Earth en année pleine</c:v>
                </c:pt>
                <c:pt idx="9">
                  <c:v>Croissance du dividende versé en 2027</c:v>
                </c:pt>
                <c:pt idx="10">
                  <c:v>Multiple VE / EBITDA des tuck-ins</c:v>
                </c:pt>
                <c:pt idx="11">
                  <c:v>Part des signatures 2026 encaissée avant le 31/12/2026</c:v>
                </c:pt>
                <c:pt idx="12">
                  <c:v>FFO (mesure des agences) en % de l'EBITDA</c:v>
                </c:pt>
              </c:strCache>
            </c:strRef>
          </c:cat>
          <c:val>
            <c:numRef>
              <c:f>Sensibilité!$C$23:$C$35</c:f>
              <c:numCache>
                <c:formatCode>#,##0;\(#,##0\);\-</c:formatCode>
                <c:ptCount val="13"/>
                <c:pt idx="0">
                  <c:v>-478.191254487472</c:v>
                </c:pt>
                <c:pt idx="1">
                  <c:v>-360.415778847513</c:v>
                </c:pt>
                <c:pt idx="2">
                  <c:v>338.331818139563</c:v>
                </c:pt>
                <c:pt idx="3">
                  <c:v>-325.799999999996</c:v>
                </c:pt>
                <c:pt idx="4">
                  <c:v>-229.038038785817</c:v>
                </c:pt>
                <c:pt idx="5">
                  <c:v>-117.83985692398</c:v>
                </c:pt>
                <c:pt idx="6">
                  <c:v>-80.8446921224677</c:v>
                </c:pt>
                <c:pt idx="7">
                  <c:v>-96.1501303092227</c:v>
                </c:pt>
                <c:pt idx="8">
                  <c:v>-56.8607667928009</c:v>
                </c:pt>
                <c:pt idx="9">
                  <c:v>43.9600000000028</c:v>
                </c:pt>
                <c:pt idx="10">
                  <c:v>52.4329238466307</c:v>
                </c:pt>
                <c:pt idx="11">
                  <c:v>4.35695750114246</c:v>
                </c:pt>
                <c:pt idx="12">
                  <c:v>0</c:v>
                </c:pt>
              </c:numCache>
            </c:numRef>
          </c:val>
        </c:ser>
        <c:ser>
          <c:idx val="1"/>
          <c:order val="1"/>
          <c:tx>
            <c:strRef>
              <c:f>Sensibilité!D22</c:f>
              <c:strCache>
                <c:ptCount val="1"/>
                <c:pt idx="0">
                  <c:v>Δ haut</c:v>
                </c:pt>
              </c:strCache>
            </c:strRef>
          </c:tx>
          <c:spPr>
            <a:solidFill>
              <a:srgbClr val="c0504d"/>
            </a:solidFill>
            <a:ln w="0">
              <a:noFill/>
            </a:ln>
          </c:spPr>
          <c:invertIfNegative val="0"/>
          <c:dLbls>
            <c:txPr>
              <a:bodyPr wrap="none"/>
              <a:lstStyle/>
              <a:p>
                <a:pPr>
                  <a:defRPr b="0" sz="1000" strike="noStrike" u="non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Sensibilité!$B$23:$B$35</c:f>
              <c:strCache>
                <c:ptCount val="13"/>
                <c:pt idx="0">
                  <c:v>Part du reste du programme encaissée en 2027</c:v>
                </c:pt>
                <c:pt idx="1">
                  <c:v>Croissance organique de l'EBITDA en 2027</c:v>
                </c:pt>
                <c:pt idx="2">
                  <c:v>Tuck-ins payés en 2027</c:v>
                </c:pt>
                <c:pt idx="3">
                  <c:v>Cash-flow libre net du S2 2026</c:v>
                </c:pt>
                <c:pt idx="4">
                  <c:v>Conversion cash-flow libre net / EBITDA en 2027</c:v>
                </c:pt>
                <c:pt idx="5">
                  <c:v>Croissance organique de l'EBITDA en 2026</c:v>
                </c:pt>
                <c:pt idx="6">
                  <c:v>Part des synergies réalisée en 2027</c:v>
                </c:pt>
                <c:pt idx="7">
                  <c:v>Multiple VE / EBITDA des actifs cédés</c:v>
                </c:pt>
                <c:pt idx="8">
                  <c:v>EBITDA de Clean Earth en année pleine</c:v>
                </c:pt>
                <c:pt idx="9">
                  <c:v>Croissance du dividende versé en 2027</c:v>
                </c:pt>
                <c:pt idx="10">
                  <c:v>Multiple VE / EBITDA des tuck-ins</c:v>
                </c:pt>
                <c:pt idx="11">
                  <c:v>Part des signatures 2026 encaissée avant le 31/12/2026</c:v>
                </c:pt>
                <c:pt idx="12">
                  <c:v>FFO (mesure des agences) en % de l'EBITDA</c:v>
                </c:pt>
              </c:strCache>
            </c:strRef>
          </c:cat>
          <c:val>
            <c:numRef>
              <c:f>Sensibilité!$D$23:$D$35</c:f>
              <c:numCache>
                <c:formatCode>#,##0;\(#,##0\);\-</c:formatCode>
                <c:ptCount val="13"/>
                <c:pt idx="0">
                  <c:v>478.191254487479</c:v>
                </c:pt>
                <c:pt idx="1">
                  <c:v>360.415778847528</c:v>
                </c:pt>
                <c:pt idx="2">
                  <c:v>-338.331818139555</c:v>
                </c:pt>
                <c:pt idx="3">
                  <c:v>162.900000000001</c:v>
                </c:pt>
                <c:pt idx="4">
                  <c:v>170.033486578017</c:v>
                </c:pt>
                <c:pt idx="5">
                  <c:v>117.839856923983</c:v>
                </c:pt>
                <c:pt idx="6">
                  <c:v>80.8446921224786</c:v>
                </c:pt>
                <c:pt idx="7">
                  <c:v>64.1000868728224</c:v>
                </c:pt>
                <c:pt idx="8">
                  <c:v>56.8607667928081</c:v>
                </c:pt>
                <c:pt idx="9">
                  <c:v>-43.9599999999991</c:v>
                </c:pt>
                <c:pt idx="10">
                  <c:v>-17.6365289302266</c:v>
                </c:pt>
                <c:pt idx="11">
                  <c:v>-4.35695750113518</c:v>
                </c:pt>
                <c:pt idx="12">
                  <c:v>0</c:v>
                </c:pt>
              </c:numCache>
            </c:numRef>
          </c:val>
        </c:ser>
        <c:gapWidth val="150"/>
        <c:overlap val="100"/>
        <c:axId val="95664785"/>
        <c:axId val="75502005"/>
      </c:barChart>
      <c:catAx>
        <c:axId val="95664785"/>
        <c:scaling>
          <c:orientation val="maxMin"/>
        </c:scaling>
        <c:delete val="0"/>
        <c:axPos val="b"/>
        <c:numFmt formatCode="General" sourceLinked="1"/>
        <c:majorTickMark val="none"/>
        <c:minorTickMark val="none"/>
        <c:tickLblPos val="low"/>
        <c:spPr>
          <a:ln w="9360">
            <a:solidFill>
              <a:srgbClr val="878787"/>
            </a:solidFill>
            <a:round/>
          </a:ln>
        </c:spPr>
        <c:txPr>
          <a:bodyPr/>
          <a:lstStyle/>
          <a:p>
            <a:pPr>
              <a:defRPr b="0" sz="1000" strike="noStrike" u="none">
                <a:solidFill>
                  <a:srgbClr val="000000"/>
                </a:solidFill>
                <a:uFillTx/>
                <a:latin typeface="Calibri"/>
              </a:defRPr>
            </a:pPr>
          </a:p>
        </c:txPr>
        <c:crossAx val="75502005"/>
        <c:crosses val="autoZero"/>
        <c:auto val="1"/>
        <c:lblAlgn val="ctr"/>
        <c:lblOffset val="100"/>
        <c:noMultiLvlLbl val="0"/>
      </c:catAx>
      <c:valAx>
        <c:axId val="75502005"/>
        <c:scaling>
          <c:orientation val="minMax"/>
        </c:scaling>
        <c:delete val="0"/>
        <c:axPos val="l"/>
        <c:majorGridlines>
          <c:spPr>
            <a:ln w="9360">
              <a:solidFill>
                <a:srgbClr val="878787"/>
              </a:solidFill>
              <a:round/>
            </a:ln>
          </c:spPr>
        </c:majorGridlines>
        <c:title>
          <c:tx>
            <c:rich>
              <a:bodyPr rot="0"/>
              <a:lstStyle/>
              <a:p>
                <a:pPr>
                  <a:defRPr b="0" sz="1300" strike="noStrike" u="none">
                    <a:uFillTx/>
                    <a:latin typeface="Arial"/>
                  </a:defRPr>
                </a:pPr>
                <a:r>
                  <a:rPr b="1" sz="1000" strike="noStrike" u="none">
                    <a:solidFill>
                      <a:srgbClr val="000000"/>
                    </a:solidFill>
                    <a:uFillTx/>
                    <a:latin typeface="Calibri"/>
                  </a:rPr>
                  <a:t>M 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trike="noStrike" u="none">
                <a:solidFill>
                  <a:srgbClr val="000000"/>
                </a:solidFill>
                <a:uFillTx/>
                <a:latin typeface="Calibri"/>
              </a:defRPr>
            </a:pPr>
          </a:p>
        </c:txPr>
        <c:crossAx val="95664785"/>
        <c:crosses val="autoZero"/>
        <c:crossBetween val="between"/>
      </c:valAx>
      <c:spPr>
        <a:solidFill>
          <a:srgbClr val="ffffff"/>
        </a:solidFill>
        <a:ln w="0">
          <a:noFill/>
        </a:ln>
      </c:spPr>
    </c:plotArea>
    <c:legend>
      <c:legendPos val="r"/>
      <c:overlay val="0"/>
      <c:spPr>
        <a:noFill/>
        <a:ln w="0">
          <a:noFill/>
        </a:ln>
      </c:spPr>
      <c:txPr>
        <a:bodyPr/>
        <a:lstStyle/>
        <a:p>
          <a:pPr>
            <a:defRPr b="0" sz="1000" strike="noStrike" u="none">
              <a:solidFill>
                <a:srgbClr val="000000"/>
              </a:solidFill>
              <a:uFillTx/>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trike="noStrike" u="none">
                <a:uFillTx/>
                <a:latin typeface="Arial"/>
              </a:defRPr>
            </a:pPr>
            <a:r>
              <a:rPr b="1" sz="1800" strike="noStrike" u="none">
                <a:solidFill>
                  <a:srgbClr val="000000"/>
                </a:solidFill>
                <a:uFillTx/>
                <a:latin typeface="Calibri"/>
              </a:rPr>
              <a:t>Marge contraignante fin 2027 sur les tirages (M EUR)</a:t>
            </a:r>
          </a:p>
        </c:rich>
      </c:tx>
      <c:overlay val="0"/>
      <c:spPr>
        <a:noFill/>
        <a:ln w="0">
          <a:noFill/>
        </a:ln>
      </c:spPr>
    </c:title>
    <c:autoTitleDeleted val="0"/>
    <c:plotArea>
      <c:barChart>
        <c:barDir val="col"/>
        <c:grouping val="clustered"/>
        <c:varyColors val="0"/>
        <c:ser>
          <c:idx val="0"/>
          <c:order val="0"/>
          <c:spPr>
            <a:solidFill>
              <a:srgbClr val="4f81bd"/>
            </a:solidFill>
            <a:ln w="0">
              <a:noFill/>
            </a:ln>
          </c:spPr>
          <c:invertIfNegative val="0"/>
          <c:dLbls>
            <c:txPr>
              <a:bodyPr wrap="none"/>
              <a:lstStyle/>
              <a:p>
                <a:pPr>
                  <a:defRPr b="0" sz="1000" strike="noStrike" u="non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Distribution!$B$33:$B$46</c:f>
              <c:strCache>
                <c:ptCount val="14"/>
                <c:pt idx="0">
                  <c:v> 198 à  381</c:v>
                </c:pt>
                <c:pt idx="1">
                  <c:v> 381 à  564</c:v>
                </c:pt>
                <c:pt idx="2">
                  <c:v> 564 à  747</c:v>
                </c:pt>
                <c:pt idx="3">
                  <c:v> 747 à  930</c:v>
                </c:pt>
                <c:pt idx="4">
                  <c:v> 930 à 1 113</c:v>
                </c:pt>
                <c:pt idx="5">
                  <c:v>1 113 à 1 296</c:v>
                </c:pt>
                <c:pt idx="6">
                  <c:v>1 296 à 1 479</c:v>
                </c:pt>
                <c:pt idx="7">
                  <c:v>1 479 à 1 662</c:v>
                </c:pt>
                <c:pt idx="8">
                  <c:v>1 662 à 1 845</c:v>
                </c:pt>
                <c:pt idx="9">
                  <c:v>1 845 à 2 028</c:v>
                </c:pt>
                <c:pt idx="10">
                  <c:v>2 028 à 2 211</c:v>
                </c:pt>
                <c:pt idx="11">
                  <c:v>2 211 à 2 394</c:v>
                </c:pt>
                <c:pt idx="12">
                  <c:v>2 394 à 2 577</c:v>
                </c:pt>
                <c:pt idx="13">
                  <c:v>2 577 à 2 760</c:v>
                </c:pt>
              </c:strCache>
            </c:strRef>
          </c:cat>
          <c:val>
            <c:numRef>
              <c:f>Distribution!$E$33:$E$46</c:f>
              <c:numCache>
                <c:formatCode>#,##0</c:formatCode>
                <c:ptCount val="14"/>
                <c:pt idx="0">
                  <c:v>4</c:v>
                </c:pt>
                <c:pt idx="1">
                  <c:v>14</c:v>
                </c:pt>
                <c:pt idx="2">
                  <c:v>36</c:v>
                </c:pt>
                <c:pt idx="3">
                  <c:v>60</c:v>
                </c:pt>
                <c:pt idx="4">
                  <c:v>100</c:v>
                </c:pt>
                <c:pt idx="5">
                  <c:v>146</c:v>
                </c:pt>
                <c:pt idx="6">
                  <c:v>156</c:v>
                </c:pt>
                <c:pt idx="7">
                  <c:v>142</c:v>
                </c:pt>
                <c:pt idx="8">
                  <c:v>114</c:v>
                </c:pt>
                <c:pt idx="9">
                  <c:v>87</c:v>
                </c:pt>
                <c:pt idx="10">
                  <c:v>64</c:v>
                </c:pt>
                <c:pt idx="11">
                  <c:v>42</c:v>
                </c:pt>
                <c:pt idx="12">
                  <c:v>25</c:v>
                </c:pt>
                <c:pt idx="13">
                  <c:v>10</c:v>
                </c:pt>
              </c:numCache>
            </c:numRef>
          </c:val>
        </c:ser>
        <c:gapWidth val="10"/>
        <c:overlap val="0"/>
        <c:axId val="39931340"/>
        <c:axId val="68360529"/>
      </c:barChart>
      <c:catAx>
        <c:axId val="3993134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trike="noStrike" u="none">
                <a:solidFill>
                  <a:srgbClr val="000000"/>
                </a:solidFill>
                <a:uFillTx/>
                <a:latin typeface="Calibri"/>
              </a:defRPr>
            </a:pPr>
          </a:p>
        </c:txPr>
        <c:crossAx val="68360529"/>
        <c:crosses val="autoZero"/>
        <c:auto val="1"/>
        <c:lblAlgn val="ctr"/>
        <c:lblOffset val="100"/>
        <c:noMultiLvlLbl val="0"/>
      </c:catAx>
      <c:valAx>
        <c:axId val="68360529"/>
        <c:scaling>
          <c:orientation val="minMax"/>
        </c:scaling>
        <c:delete val="0"/>
        <c:axPos val="l"/>
        <c:majorGridlines>
          <c:spPr>
            <a:ln w="9360">
              <a:solidFill>
                <a:srgbClr val="878787"/>
              </a:solidFill>
              <a:round/>
            </a:ln>
          </c:spPr>
        </c:majorGridlines>
        <c:title>
          <c:tx>
            <c:rich>
              <a:bodyPr rot="-5400000"/>
              <a:lstStyle/>
              <a:p>
                <a:pPr>
                  <a:defRPr b="0" sz="1300" strike="noStrike" u="none">
                    <a:uFillTx/>
                    <a:latin typeface="Arial"/>
                  </a:defRPr>
                </a:pPr>
                <a:r>
                  <a:rPr b="1" sz="1000" strike="noStrike" u="none">
                    <a:solidFill>
                      <a:srgbClr val="000000"/>
                    </a:solidFill>
                    <a:uFillTx/>
                    <a:latin typeface="Calibri"/>
                  </a:rPr>
                  <a:t>tirages</a:t>
                </a:r>
              </a:p>
            </c:rich>
          </c:tx>
          <c:overlay val="0"/>
          <c:spPr>
            <a:noFill/>
            <a:ln w="0">
              <a:noFill/>
            </a:ln>
          </c:spPr>
        </c:title>
        <c:numFmt formatCode="#,##0" sourceLinked="1"/>
        <c:majorTickMark val="none"/>
        <c:minorTickMark val="none"/>
        <c:tickLblPos val="nextTo"/>
        <c:spPr>
          <a:ln w="9360">
            <a:solidFill>
              <a:srgbClr val="878787"/>
            </a:solidFill>
            <a:round/>
          </a:ln>
        </c:spPr>
        <c:txPr>
          <a:bodyPr/>
          <a:lstStyle/>
          <a:p>
            <a:pPr>
              <a:defRPr b="0" sz="1000" strike="noStrike" u="none">
                <a:solidFill>
                  <a:srgbClr val="000000"/>
                </a:solidFill>
                <a:uFillTx/>
                <a:latin typeface="Calibri"/>
              </a:defRPr>
            </a:pPr>
          </a:p>
        </c:txPr>
        <c:crossAx val="39931340"/>
        <c:crosses val="autoZero"/>
        <c:crossBetween val="between"/>
      </c:valAx>
      <c:spPr>
        <a:solidFill>
          <a:srgbClr val="ffffff"/>
        </a:solidFill>
        <a:ln w="0">
          <a:noFill/>
        </a:ln>
      </c:spPr>
    </c:plotArea>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trike="noStrike" u="none">
                <a:uFillTx/>
                <a:latin typeface="Arial"/>
              </a:defRPr>
            </a:pPr>
            <a:r>
              <a:rPr b="1" sz="1800" strike="noStrike" u="none">
                <a:solidFill>
                  <a:srgbClr val="000000"/>
                </a:solidFill>
                <a:uFillTx/>
                <a:latin typeface="Calibri"/>
              </a:rPr>
              <a:t>Levier : p10, médiane, p90 des tirages (plafond 3x en 2027)</a:t>
            </a:r>
          </a:p>
        </c:rich>
      </c:tx>
      <c:overlay val="0"/>
      <c:spPr>
        <a:noFill/>
        <a:ln w="0">
          <a:noFill/>
        </a:ln>
      </c:spPr>
    </c:title>
    <c:autoTitleDeleted val="0"/>
    <c:plotArea>
      <c:lineChart>
        <c:grouping val="standard"/>
        <c:varyColors val="0"/>
        <c:ser>
          <c:idx val="0"/>
          <c:order val="0"/>
          <c:tx>
            <c:strRef>
              <c:f>Distribution!C49</c:f>
              <c:strCache>
                <c:ptCount val="1"/>
                <c:pt idx="0">
                  <c:v>p10</c:v>
                </c:pt>
              </c:strCache>
            </c:strRef>
          </c:tx>
          <c:spPr>
            <a:solidFill>
              <a:srgbClr val="4a7ebb"/>
            </a:solidFill>
            <a:ln w="28440">
              <a:solidFill>
                <a:srgbClr val="4a7ebb"/>
              </a:solidFill>
              <a:round/>
            </a:ln>
          </c:spPr>
          <c:marker>
            <c:symbol val="none"/>
          </c:marker>
          <c:dLbls>
            <c:txPr>
              <a:bodyPr wrap="none"/>
              <a:lstStyle/>
              <a:p>
                <a:pPr>
                  <a:defRPr b="0" sz="1000" strike="noStrike" u="none">
                    <a:uFillTx/>
                    <a:latin typeface="Arial"/>
                  </a:defRPr>
                </a:pPr>
              </a:p>
            </c:txPr>
            <c:showLegendKey val="0"/>
            <c:showVal val="0"/>
            <c:showCatName val="0"/>
            <c:showSerName val="0"/>
            <c:showPercent val="0"/>
            <c:separator> </c:separator>
            <c:showLeaderLines val="1"/>
            <c:leaderLines>
              <c:spPr>
                <a:ln w="28440">
                  <a:solidFill>
                    <a:srgbClr val="000000"/>
                  </a:solidFill>
                </a:ln>
              </c:spPr>
            </c:leaderLines>
            <c:extLst>
              <c:ext xmlns:c15="http://schemas.microsoft.com/office/drawing/2012/chart" uri="{CE6537A1-D6FC-4f65-9D91-7224C49458BB}">
                <c15:showLeaderLines val="1"/>
              </c:ext>
            </c:extLst>
          </c:dLbls>
          <c:cat>
            <c:strRef>
              <c:f>Distribution!$B$50:$B$53</c:f>
              <c:strCache>
                <c:ptCount val="4"/>
                <c:pt idx="0">
                  <c:v>2024</c:v>
                </c:pt>
                <c:pt idx="1">
                  <c:v>2025</c:v>
                </c:pt>
                <c:pt idx="2">
                  <c:v>2026</c:v>
                </c:pt>
                <c:pt idx="3">
                  <c:v>2027</c:v>
                </c:pt>
              </c:strCache>
            </c:strRef>
          </c:cat>
          <c:val>
            <c:numRef>
              <c:f>Distribution!$C$50:$C$53</c:f>
              <c:numCache>
                <c:formatCode>0.00\x;\(0.00"x)";\-</c:formatCode>
                <c:ptCount val="4"/>
                <c:pt idx="0">
                  <c:v>2.63</c:v>
                </c:pt>
                <c:pt idx="1">
                  <c:v>2.79</c:v>
                </c:pt>
                <c:pt idx="2">
                  <c:v>2.99350186301195</c:v>
                </c:pt>
                <c:pt idx="3">
                  <c:v>2.73249996306606</c:v>
                </c:pt>
              </c:numCache>
            </c:numRef>
          </c:val>
          <c:smooth val="1"/>
        </c:ser>
        <c:ser>
          <c:idx val="1"/>
          <c:order val="1"/>
          <c:tx>
            <c:strRef>
              <c:f>Distribution!D49</c:f>
              <c:strCache>
                <c:ptCount val="1"/>
                <c:pt idx="0">
                  <c:v>Médiane</c:v>
                </c:pt>
              </c:strCache>
            </c:strRef>
          </c:tx>
          <c:spPr>
            <a:solidFill>
              <a:srgbClr val="be4b48"/>
            </a:solidFill>
            <a:ln w="28440">
              <a:solidFill>
                <a:srgbClr val="be4b48"/>
              </a:solidFill>
              <a:round/>
            </a:ln>
          </c:spPr>
          <c:marker>
            <c:symbol val="none"/>
          </c:marker>
          <c:dLbls>
            <c:txPr>
              <a:bodyPr wrap="none"/>
              <a:lstStyle/>
              <a:p>
                <a:pPr>
                  <a:defRPr b="0" sz="1000" strike="noStrike" u="none">
                    <a:uFillTx/>
                    <a:latin typeface="Arial"/>
                  </a:defRPr>
                </a:pPr>
              </a:p>
            </c:txPr>
            <c:showLegendKey val="0"/>
            <c:showVal val="0"/>
            <c:showCatName val="0"/>
            <c:showSerName val="0"/>
            <c:showPercent val="0"/>
            <c:separator> </c:separator>
            <c:showLeaderLines val="1"/>
            <c:leaderLines>
              <c:spPr>
                <a:ln w="28440">
                  <a:solidFill>
                    <a:srgbClr val="000000"/>
                  </a:solidFill>
                </a:ln>
              </c:spPr>
            </c:leaderLines>
            <c:extLst>
              <c:ext xmlns:c15="http://schemas.microsoft.com/office/drawing/2012/chart" uri="{CE6537A1-D6FC-4f65-9D91-7224C49458BB}">
                <c15:showLeaderLines val="1"/>
              </c:ext>
            </c:extLst>
          </c:dLbls>
          <c:cat>
            <c:strRef>
              <c:f>Distribution!$B$50:$B$53</c:f>
              <c:strCache>
                <c:ptCount val="4"/>
                <c:pt idx="0">
                  <c:v>2024</c:v>
                </c:pt>
                <c:pt idx="1">
                  <c:v>2025</c:v>
                </c:pt>
                <c:pt idx="2">
                  <c:v>2026</c:v>
                </c:pt>
                <c:pt idx="3">
                  <c:v>2027</c:v>
                </c:pt>
              </c:strCache>
            </c:strRef>
          </c:cat>
          <c:val>
            <c:numRef>
              <c:f>Distribution!$D$50:$D$53</c:f>
              <c:numCache>
                <c:formatCode>0.00\x;\(0.00"x)";\-</c:formatCode>
                <c:ptCount val="4"/>
                <c:pt idx="0">
                  <c:v>2.63</c:v>
                </c:pt>
                <c:pt idx="1">
                  <c:v>2.79</c:v>
                </c:pt>
                <c:pt idx="2">
                  <c:v>3.02389474701088</c:v>
                </c:pt>
                <c:pt idx="3">
                  <c:v>2.81664604153481</c:v>
                </c:pt>
              </c:numCache>
            </c:numRef>
          </c:val>
          <c:smooth val="1"/>
        </c:ser>
        <c:ser>
          <c:idx val="2"/>
          <c:order val="2"/>
          <c:tx>
            <c:strRef>
              <c:f>Distribution!E49</c:f>
              <c:strCache>
                <c:ptCount val="1"/>
                <c:pt idx="0">
                  <c:v>p90</c:v>
                </c:pt>
              </c:strCache>
            </c:strRef>
          </c:tx>
          <c:spPr>
            <a:solidFill>
              <a:srgbClr val="98b855"/>
            </a:solidFill>
            <a:ln w="28440">
              <a:solidFill>
                <a:srgbClr val="98b855"/>
              </a:solidFill>
              <a:round/>
            </a:ln>
          </c:spPr>
          <c:marker>
            <c:symbol val="none"/>
          </c:marker>
          <c:dLbls>
            <c:txPr>
              <a:bodyPr wrap="none"/>
              <a:lstStyle/>
              <a:p>
                <a:pPr>
                  <a:defRPr b="0" sz="1000" strike="noStrike" u="none">
                    <a:uFillTx/>
                    <a:latin typeface="Arial"/>
                  </a:defRPr>
                </a:pPr>
              </a:p>
            </c:txPr>
            <c:showLegendKey val="0"/>
            <c:showVal val="0"/>
            <c:showCatName val="0"/>
            <c:showSerName val="0"/>
            <c:showPercent val="0"/>
            <c:separator> </c:separator>
            <c:showLeaderLines val="1"/>
            <c:leaderLines>
              <c:spPr>
                <a:ln w="28440">
                  <a:solidFill>
                    <a:srgbClr val="000000"/>
                  </a:solidFill>
                </a:ln>
              </c:spPr>
            </c:leaderLines>
            <c:extLst>
              <c:ext xmlns:c15="http://schemas.microsoft.com/office/drawing/2012/chart" uri="{CE6537A1-D6FC-4f65-9D91-7224C49458BB}">
                <c15:showLeaderLines val="1"/>
              </c:ext>
            </c:extLst>
          </c:dLbls>
          <c:cat>
            <c:strRef>
              <c:f>Distribution!$B$50:$B$53</c:f>
              <c:strCache>
                <c:ptCount val="4"/>
                <c:pt idx="0">
                  <c:v>2024</c:v>
                </c:pt>
                <c:pt idx="1">
                  <c:v>2025</c:v>
                </c:pt>
                <c:pt idx="2">
                  <c:v>2026</c:v>
                </c:pt>
                <c:pt idx="3">
                  <c:v>2027</c:v>
                </c:pt>
              </c:strCache>
            </c:strRef>
          </c:cat>
          <c:val>
            <c:numRef>
              <c:f>Distribution!$E$50:$E$53</c:f>
              <c:numCache>
                <c:formatCode>0.00\x;\(0.00"x)";\-</c:formatCode>
                <c:ptCount val="4"/>
                <c:pt idx="0">
                  <c:v>2.63</c:v>
                </c:pt>
                <c:pt idx="1">
                  <c:v>2.79</c:v>
                </c:pt>
                <c:pt idx="2">
                  <c:v>3.05847171369862</c:v>
                </c:pt>
                <c:pt idx="3">
                  <c:v>2.88806102363927</c:v>
                </c:pt>
              </c:numCache>
            </c:numRef>
          </c:val>
          <c:smooth val="1"/>
        </c:ser>
        <c:hiLowLines>
          <c:spPr>
            <a:ln w="0">
              <a:noFill/>
            </a:ln>
          </c:spPr>
        </c:hiLowLines>
        <c:marker val="0"/>
        <c:axId val="22900987"/>
        <c:axId val="6991826"/>
      </c:lineChart>
      <c:catAx>
        <c:axId val="2290098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trike="noStrike" u="none">
                <a:solidFill>
                  <a:srgbClr val="000000"/>
                </a:solidFill>
                <a:uFillTx/>
                <a:latin typeface="Calibri"/>
              </a:defRPr>
            </a:pPr>
          </a:p>
        </c:txPr>
        <c:crossAx val="6991826"/>
        <c:crosses val="autoZero"/>
        <c:auto val="1"/>
        <c:lblAlgn val="ctr"/>
        <c:lblOffset val="100"/>
        <c:noMultiLvlLbl val="0"/>
      </c:catAx>
      <c:valAx>
        <c:axId val="6991826"/>
        <c:scaling>
          <c:orientation val="minMax"/>
        </c:scaling>
        <c:delete val="0"/>
        <c:axPos val="l"/>
        <c:majorGridlines>
          <c:spPr>
            <a:ln w="9360">
              <a:solidFill>
                <a:srgbClr val="878787"/>
              </a:solidFill>
              <a:round/>
            </a:ln>
          </c:spPr>
        </c:majorGridlines>
        <c:title>
          <c:tx>
            <c:rich>
              <a:bodyPr rot="-5400000"/>
              <a:lstStyle/>
              <a:p>
                <a:pPr>
                  <a:defRPr b="0" sz="1300" strike="noStrike" u="none">
                    <a:uFillTx/>
                    <a:latin typeface="Arial"/>
                  </a:defRPr>
                </a:pPr>
                <a:r>
                  <a:rPr b="1" sz="1000" strike="noStrike" u="none">
                    <a:solidFill>
                      <a:srgbClr val="000000"/>
                    </a:solidFill>
                    <a:uFillTx/>
                    <a:latin typeface="Calibri"/>
                  </a:rPr>
                  <a:t>× EBITDA</a:t>
                </a:r>
              </a:p>
            </c:rich>
          </c:tx>
          <c:overlay val="0"/>
          <c:spPr>
            <a:noFill/>
            <a:ln w="0">
              <a:noFill/>
            </a:ln>
          </c:spPr>
        </c:title>
        <c:numFmt formatCode="0.00\x;\(0.00&quot;x)&quot;;\-" sourceLinked="1"/>
        <c:majorTickMark val="none"/>
        <c:minorTickMark val="none"/>
        <c:tickLblPos val="nextTo"/>
        <c:spPr>
          <a:ln w="9360">
            <a:solidFill>
              <a:srgbClr val="878787"/>
            </a:solidFill>
            <a:round/>
          </a:ln>
        </c:spPr>
        <c:txPr>
          <a:bodyPr/>
          <a:lstStyle/>
          <a:p>
            <a:pPr>
              <a:defRPr b="0" sz="1000" strike="noStrike" u="none">
                <a:solidFill>
                  <a:srgbClr val="000000"/>
                </a:solidFill>
                <a:uFillTx/>
                <a:latin typeface="Calibri"/>
              </a:defRPr>
            </a:pPr>
          </a:p>
        </c:txPr>
        <c:crossAx val="22900987"/>
        <c:crosses val="autoZero"/>
        <c:crossBetween val="between"/>
      </c:valAx>
      <c:spPr>
        <a:solidFill>
          <a:srgbClr val="ffffff"/>
        </a:solidFill>
        <a:ln w="0">
          <a:noFill/>
        </a:ln>
      </c:spPr>
    </c:plotArea>
    <c:legend>
      <c:legendPos val="r"/>
      <c:overlay val="0"/>
      <c:spPr>
        <a:noFill/>
        <a:ln w="0">
          <a:noFill/>
        </a:ln>
      </c:spPr>
      <c:txPr>
        <a:bodyPr/>
        <a:lstStyle/>
        <a:p>
          <a:pPr>
            <a:defRPr b="0" sz="1000" strike="noStrike" u="none">
              <a:solidFill>
                <a:srgbClr val="000000"/>
              </a:solidFill>
              <a:uFillTx/>
              <a:latin typeface="Calibri"/>
            </a:defRPr>
          </a:pPr>
        </a:p>
      </c:txPr>
    </c:legend>
    <c:plotVisOnly val="1"/>
    <c:dispBlanksAs val="gap"/>
  </c:chart>
  <c:spPr>
    <a:solidFill>
      <a:srgbClr val="ffffff"/>
    </a:solidFill>
    <a:ln w="9360">
      <a:solidFill>
        <a:srgbClr val="d9d9d9"/>
      </a:solidFill>
      <a:round/>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trike="noStrike" u="none">
                <a:uFillTx/>
                <a:latin typeface="Arial"/>
              </a:defRPr>
            </a:pPr>
            <a:r>
              <a:rPr b="1" sz="1800" strike="noStrike" u="none">
                <a:solidFill>
                  <a:srgbClr val="000000"/>
                </a:solidFill>
                <a:uFillTx/>
                <a:latin typeface="Calibri"/>
              </a:rPr>
              <a:t>Les marches du pont 2025 → 2027, scénario actif (M EUR)</a:t>
            </a:r>
          </a:p>
        </c:rich>
      </c:tx>
      <c:overlay val="0"/>
      <c:spPr>
        <a:noFill/>
        <a:ln w="0">
          <a:noFill/>
        </a:ln>
      </c:spPr>
    </c:title>
    <c:autoTitleDeleted val="0"/>
    <c:plotArea>
      <c:barChart>
        <c:barDir val="col"/>
        <c:grouping val="clustered"/>
        <c:varyColors val="0"/>
        <c:ser>
          <c:idx val="0"/>
          <c:order val="0"/>
          <c:spPr>
            <a:solidFill>
              <a:srgbClr val="4f81bd"/>
            </a:solidFill>
            <a:ln w="0">
              <a:noFill/>
            </a:ln>
          </c:spPr>
          <c:invertIfNegative val="0"/>
          <c:dLbls>
            <c:txPr>
              <a:bodyPr wrap="none"/>
              <a:lstStyle/>
              <a:p>
                <a:pPr>
                  <a:defRPr b="0" sz="1000" strike="noStrike" u="none">
                    <a:uFillTx/>
                    <a:latin typeface="Arial"/>
                  </a:defRPr>
                </a:pPr>
              </a:p>
            </c:txP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'Pont EBITDA'!$B$40:$B$48</c:f>
              <c:strCache>
                <c:ptCount val="9"/>
                <c:pt idx="0">
                  <c:v>+ croissance organique 2026 (hypothèse g26)</c:v>
                </c:pt>
                <c:pt idx="1">
                  <c:v>+ Clean Earth 2026 (mois consolidés, converti)</c:v>
                </c:pt>
                <c:pt idx="2">
                  <c:v>− EBITDA cédé en 2026</c:v>
                </c:pt>
                <c:pt idx="3">
                  <c:v>EBITDA 2026 (sous-total)</c:v>
                </c:pt>
                <c:pt idx="4">
                  <c:v>+ croissance organique 2027 (hypothèse g27, sur la base 2026 Clean Earth en année pleine)</c:v>
                </c:pt>
                <c:pt idx="5">
                  <c:v>+ complément Clean Earth (12 mois − mois 2026)</c:v>
                </c:pt>
                <c:pt idx="6">
                  <c:v>+ synergies Clean Earth réalisées en 2027</c:v>
                </c:pt>
                <c:pt idx="7">
                  <c:v>+ EBITDA apporté par les tuck-ins 2027</c:v>
                </c:pt>
                <c:pt idx="8">
                  <c:v>− EBITDA cédé en 2027</c:v>
                </c:pt>
              </c:strCache>
            </c:strRef>
          </c:cat>
          <c:val>
            <c:numRef>
              <c:f>'Pont EBITDA'!$C$40:$C$48</c:f>
              <c:numCache>
                <c:formatCode>#,##0;\(#,##0\);\-</c:formatCode>
                <c:ptCount val="9"/>
                <c:pt idx="0">
                  <c:v>387.75</c:v>
                </c:pt>
                <c:pt idx="1">
                  <c:v>99.2193598750976</c:v>
                </c:pt>
                <c:pt idx="2">
                  <c:v>-25</c:v>
                </c:pt>
                <c:pt idx="3">
                  <c:v>7511.9693598751</c:v>
                </c:pt>
                <c:pt idx="4">
                  <c:v>417.056218216794</c:v>
                </c:pt>
                <c:pt idx="5">
                  <c:v>70.8709713393554</c:v>
                </c:pt>
                <c:pt idx="6">
                  <c:v>25.513549682168</c:v>
                </c:pt>
                <c:pt idx="7">
                  <c:v>51.0204081632653</c:v>
                </c:pt>
                <c:pt idx="8">
                  <c:v>-95</c:v>
                </c:pt>
              </c:numCache>
            </c:numRef>
          </c:val>
        </c:ser>
        <c:gapWidth val="150"/>
        <c:overlap val="0"/>
        <c:axId val="82013188"/>
        <c:axId val="46334657"/>
      </c:barChart>
      <c:catAx>
        <c:axId val="8201318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trike="noStrike" u="none">
                <a:solidFill>
                  <a:srgbClr val="000000"/>
                </a:solidFill>
                <a:uFillTx/>
                <a:latin typeface="Calibri"/>
              </a:defRPr>
            </a:pPr>
          </a:p>
        </c:txPr>
        <c:crossAx val="46334657"/>
        <c:crosses val="autoZero"/>
        <c:auto val="1"/>
        <c:lblAlgn val="ctr"/>
        <c:lblOffset val="100"/>
        <c:noMultiLvlLbl val="0"/>
      </c:catAx>
      <c:valAx>
        <c:axId val="46334657"/>
        <c:scaling>
          <c:orientation val="minMax"/>
        </c:scaling>
        <c:delete val="0"/>
        <c:axPos val="l"/>
        <c:majorGridlines>
          <c:spPr>
            <a:ln w="9360">
              <a:solidFill>
                <a:srgbClr val="878787"/>
              </a:solidFill>
              <a:round/>
            </a:ln>
          </c:spPr>
        </c:majorGridlines>
        <c:title>
          <c:tx>
            <c:rich>
              <a:bodyPr rot="-5400000"/>
              <a:lstStyle/>
              <a:p>
                <a:pPr>
                  <a:defRPr b="0" sz="1300" strike="noStrike" u="none">
                    <a:uFillTx/>
                    <a:latin typeface="Arial"/>
                  </a:defRPr>
                </a:pPr>
                <a:r>
                  <a:rPr b="1" sz="1000" strike="noStrike" u="none">
                    <a:solidFill>
                      <a:srgbClr val="000000"/>
                    </a:solidFill>
                    <a:uFillTx/>
                    <a:latin typeface="Calibri"/>
                  </a:rPr>
                  <a:t>M 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trike="noStrike" u="none">
                <a:solidFill>
                  <a:srgbClr val="000000"/>
                </a:solidFill>
                <a:uFillTx/>
                <a:latin typeface="Calibri"/>
              </a:defRPr>
            </a:pPr>
          </a:p>
        </c:txPr>
        <c:crossAx val="82013188"/>
        <c:crosses val="autoZero"/>
        <c:crossBetween val="between"/>
      </c:valAx>
      <c:spPr>
        <a:solidFill>
          <a:srgbClr val="ffffff"/>
        </a:solidFill>
        <a:ln w="0">
          <a:noFill/>
        </a:ln>
      </c:spPr>
    </c:plotArea>
    <c:plotVisOnly val="1"/>
    <c:dispBlanksAs val="gap"/>
  </c:chart>
  <c:spPr>
    <a:solidFill>
      <a:srgbClr val="ffffff"/>
    </a:solidFill>
    <a:ln w="9360">
      <a:solidFill>
        <a:srgbClr val="d9d9d9"/>
      </a:solidFill>
      <a:round/>
    </a:ln>
  </c:spPr>
</c:chartSpace>
</file>

<file path=xl/drawings/_rels/drawing2.xml.rels><?xml version="1.0" encoding="UTF-8"?>
<Relationships xmlns="http://schemas.openxmlformats.org/package/2006/relationships"><Relationship Id="rId1" Type="http://schemas.openxmlformats.org/officeDocument/2006/relationships/chart" Target="../charts/chart1.xml"/>
</Relationships>
</file>

<file path=xl/drawings/_rels/drawing3.xml.rels><?xml version="1.0" encoding="UTF-8"?>
<Relationships xmlns="http://schemas.openxmlformats.org/package/2006/relationships"><Relationship Id="rId1" Type="http://schemas.openxmlformats.org/officeDocument/2006/relationships/chart" Target="../charts/chart2.xml"/>
</Relationships>
</file>

<file path=xl/drawings/_rels/drawing4.xml.rels><?xml version="1.0" encoding="UTF-8"?>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
</Relationships>
</file>

<file path=xl/drawings/_rels/drawing5.xml.rels><?xml version="1.0" encoding="UTF-8"?>
<Relationships xmlns="http://schemas.openxmlformats.org/package/2006/relationships"><Relationship Id="rId1" Type="http://schemas.openxmlformats.org/officeDocument/2006/relationships/chart" Target="../charts/chart5.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60</xdr:row>
      <xdr:rowOff>160560</xdr:rowOff>
    </xdr:from>
    <xdr:to>
      <xdr:col>12</xdr:col>
      <xdr:colOff>612000</xdr:colOff>
      <xdr:row>77</xdr:row>
      <xdr:rowOff>49320</xdr:rowOff>
    </xdr:to>
    <xdr:graphicFrame>
      <xdr:nvGraphicFramePr>
        <xdr:cNvPr id="0" name="Chart 1"/>
        <xdr:cNvGraphicFramePr/>
      </xdr:nvGraphicFramePr>
      <xdr:xfrm>
        <a:off x="9245520" y="11810880"/>
        <a:ext cx="647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20</xdr:row>
      <xdr:rowOff>48600</xdr:rowOff>
    </xdr:from>
    <xdr:to>
      <xdr:col>15</xdr:col>
      <xdr:colOff>549720</xdr:colOff>
      <xdr:row>39</xdr:row>
      <xdr:rowOff>28440</xdr:rowOff>
    </xdr:to>
    <xdr:graphicFrame>
      <xdr:nvGraphicFramePr>
        <xdr:cNvPr id="1" name="Chart 1"/>
        <xdr:cNvGraphicFramePr/>
      </xdr:nvGraphicFramePr>
      <xdr:xfrm>
        <a:off x="9334440" y="4000680"/>
        <a:ext cx="8639640" cy="35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30</xdr:row>
      <xdr:rowOff>48240</xdr:rowOff>
    </xdr:from>
    <xdr:to>
      <xdr:col>13</xdr:col>
      <xdr:colOff>478080</xdr:colOff>
      <xdr:row>45</xdr:row>
      <xdr:rowOff>70200</xdr:rowOff>
    </xdr:to>
    <xdr:graphicFrame>
      <xdr:nvGraphicFramePr>
        <xdr:cNvPr id="2" name="Chart 1"/>
        <xdr:cNvGraphicFramePr/>
      </xdr:nvGraphicFramePr>
      <xdr:xfrm>
        <a:off x="10490040" y="590544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0</xdr:colOff>
      <xdr:row>47</xdr:row>
      <xdr:rowOff>48240</xdr:rowOff>
    </xdr:from>
    <xdr:to>
      <xdr:col>11</xdr:col>
      <xdr:colOff>555480</xdr:colOff>
      <xdr:row>60</xdr:row>
      <xdr:rowOff>89280</xdr:rowOff>
    </xdr:to>
    <xdr:graphicFrame>
      <xdr:nvGraphicFramePr>
        <xdr:cNvPr id="3" name="Chart 2"/>
        <xdr:cNvGraphicFramePr/>
      </xdr:nvGraphicFramePr>
      <xdr:xfrm>
        <a:off x="10490040" y="9144000"/>
        <a:ext cx="5759640" cy="287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37</xdr:row>
      <xdr:rowOff>160560</xdr:rowOff>
    </xdr:from>
    <xdr:to>
      <xdr:col>17</xdr:col>
      <xdr:colOff>331200</xdr:colOff>
      <xdr:row>53</xdr:row>
      <xdr:rowOff>162000</xdr:rowOff>
    </xdr:to>
    <xdr:graphicFrame>
      <xdr:nvGraphicFramePr>
        <xdr:cNvPr id="4" name="Chart 1"/>
        <xdr:cNvGraphicFramePr/>
      </xdr:nvGraphicFramePr>
      <xdr:xfrm>
        <a:off x="14538240" y="814392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8.xml.rels><?xml version="1.0" encoding="UTF-8"?>
<Relationships xmlns="http://schemas.openxmlformats.org/package/2006/relationships"><Relationship Id="rId1" Type="http://schemas.openxmlformats.org/officeDocument/2006/relationships/drawing" Target="../drawings/drawing2.xml"/>
</Relationships>
</file>

<file path=xl/worksheets/_rels/sheet9.xml.rels><?xml version="1.0" encoding="UTF-8"?>
<Relationships xmlns="http://schemas.openxmlformats.org/package/2006/relationships"><Relationship Id="rId1" Type="http://schemas.openxmlformats.org/officeDocument/2006/relationships/drawing" Target="../drawings/drawing3.xml"/>
</Relationships>
</file>

<file path=xl/worksheets/_rels/sheet10.xml.rels><?xml version="1.0" encoding="UTF-8"?>
<Relationships xmlns="http://schemas.openxmlformats.org/package/2006/relationships"><Relationship Id="rId1" Type="http://schemas.openxmlformats.org/officeDocument/2006/relationships/drawing" Target="../drawings/drawing4.xml"/>
</Relationships>
</file>

<file path=xl/worksheets/_rels/sheet12.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7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customHeight="true" zeroHeight="false" outlineLevelRow="0" outlineLevelCol="0"/>
  <cols>
    <col collapsed="false" customWidth="true" hidden="false" outlineLevel="0" max="1" min="1" style="0" width="3"/>
    <col collapsed="false" customWidth="true" hidden="false" outlineLevel="0" max="2" min="2" style="0" width="60"/>
    <col collapsed="false" customWidth="true" hidden="false" outlineLevel="0" max="3" min="3" style="0" width="24"/>
    <col collapsed="false" customWidth="true" hidden="false" outlineLevel="0" max="6" min="4" style="0" width="30"/>
  </cols>
  <sheetData>
    <row r="1" customFormat="false" ht="17.35" hidden="false" customHeight="false" outlineLevel="0" collapsed="false">
      <c r="A1" s="1" t="s">
        <v>0</v>
      </c>
      <c r="B1" s="2"/>
      <c r="C1" s="2"/>
      <c r="D1" s="2"/>
      <c r="E1" s="2"/>
      <c r="F1" s="2"/>
    </row>
    <row r="2" customFormat="false" ht="15" hidden="false" customHeight="false" outlineLevel="0" collapsed="false">
      <c r="A2" s="3" t="s">
        <v>1</v>
      </c>
      <c r="B2" s="2"/>
      <c r="C2" s="2"/>
      <c r="D2" s="2"/>
      <c r="E2" s="2"/>
      <c r="F2" s="2"/>
    </row>
    <row r="3" customFormat="false" ht="15" hidden="false" customHeight="false" outlineLevel="0" collapsed="false">
      <c r="A3" s="2"/>
      <c r="B3" s="2"/>
      <c r="C3" s="2"/>
      <c r="D3" s="2"/>
      <c r="E3" s="2"/>
      <c r="F3" s="2"/>
    </row>
    <row r="4" customFormat="false" ht="15" hidden="false" customHeight="false" outlineLevel="0" collapsed="false">
      <c r="A4" s="2"/>
      <c r="B4" s="4" t="s">
        <v>2</v>
      </c>
      <c r="C4" s="2"/>
      <c r="D4" s="2"/>
      <c r="E4" s="2"/>
      <c r="F4" s="2"/>
    </row>
    <row r="5" customFormat="false" ht="15" hidden="false" customHeight="false" outlineLevel="0" collapsed="false">
      <c r="A5" s="2"/>
      <c r="B5" s="5" t="s">
        <v>3</v>
      </c>
      <c r="C5" s="6" t="n">
        <f aca="false">Distribution!$C$19</f>
        <v>1</v>
      </c>
      <c r="D5" s="2"/>
      <c r="E5" s="2"/>
      <c r="F5" s="2"/>
    </row>
    <row r="6" customFormat="false" ht="15" hidden="false" customHeight="false" outlineLevel="0" collapsed="false">
      <c r="A6" s="2"/>
      <c r="B6" s="5" t="s">
        <v>4</v>
      </c>
      <c r="C6" s="6" t="n">
        <f aca="false">Distribution!$C$25</f>
        <v>0.968</v>
      </c>
      <c r="D6" s="2"/>
      <c r="E6" s="2"/>
      <c r="F6" s="2"/>
    </row>
    <row r="7" customFormat="false" ht="15" hidden="false" customHeight="false" outlineLevel="0" collapsed="false">
      <c r="A7" s="2"/>
      <c r="B7" s="5" t="s">
        <v>5</v>
      </c>
      <c r="C7" s="7" t="n">
        <f aca="false">Financement!$E$18</f>
        <v>510.957983688259</v>
      </c>
      <c r="D7" s="2"/>
      <c r="E7" s="2"/>
      <c r="F7" s="2"/>
    </row>
    <row r="8" customFormat="false" ht="15" hidden="false" customHeight="false" outlineLevel="0" collapsed="false">
      <c r="A8" s="2"/>
      <c r="B8" s="5" t="s">
        <v>6</v>
      </c>
      <c r="C8" s="7" t="n">
        <f aca="false">Financement!$E$19</f>
        <v>729.939976697513</v>
      </c>
      <c r="D8" s="2"/>
      <c r="E8" s="2"/>
      <c r="F8" s="2"/>
    </row>
    <row r="9" customFormat="false" ht="15" hidden="false" customHeight="false" outlineLevel="0" collapsed="false">
      <c r="A9" s="2"/>
      <c r="B9" s="5" t="s">
        <v>7</v>
      </c>
      <c r="C9" s="8" t="n">
        <f aca="false">Financement!$C$55</f>
        <v>0</v>
      </c>
      <c r="D9" s="2"/>
      <c r="E9" s="2"/>
      <c r="F9" s="2"/>
    </row>
    <row r="10" customFormat="false" ht="15" hidden="false" customHeight="false" outlineLevel="0" collapsed="false">
      <c r="A10" s="2"/>
      <c r="B10" s="5" t="s">
        <v>8</v>
      </c>
      <c r="C10" s="6" t="n">
        <f aca="false">Distribution!$C$22</f>
        <v>0</v>
      </c>
      <c r="D10" s="2"/>
      <c r="E10" s="2"/>
      <c r="F10" s="2"/>
    </row>
    <row r="11" customFormat="false" ht="15" hidden="false" customHeight="false" outlineLevel="0" collapsed="false">
      <c r="A11" s="2"/>
      <c r="B11" s="5" t="s">
        <v>9</v>
      </c>
      <c r="C11" s="7" t="n">
        <f aca="false">Distribution!$F$13</f>
        <v>2145.19975866013</v>
      </c>
      <c r="D11" s="2"/>
      <c r="E11" s="2"/>
      <c r="F11" s="2"/>
    </row>
    <row r="12" customFormat="false" ht="15" hidden="false" customHeight="false" outlineLevel="0" collapsed="false">
      <c r="A12" s="2"/>
      <c r="B12" s="5" t="s">
        <v>10</v>
      </c>
      <c r="C12" s="9" t="n">
        <f aca="false">Trajectoire!$D$33</f>
        <v>3.01771731406222</v>
      </c>
      <c r="D12" s="2"/>
      <c r="E12" s="2"/>
      <c r="F12" s="2"/>
    </row>
    <row r="13" customFormat="false" ht="15" hidden="false" customHeight="false" outlineLevel="0" collapsed="false">
      <c r="A13" s="2"/>
      <c r="B13" s="5" t="s">
        <v>11</v>
      </c>
      <c r="C13" s="9" t="n">
        <f aca="false">Trajectoire!$D$45</f>
        <v>2.80320887741352</v>
      </c>
      <c r="D13" s="2"/>
      <c r="E13" s="2"/>
      <c r="F13" s="2"/>
    </row>
    <row r="14" customFormat="false" ht="15" hidden="false" customHeight="false" outlineLevel="0" collapsed="false">
      <c r="A14" s="2"/>
      <c r="B14" s="5" t="s">
        <v>12</v>
      </c>
      <c r="C14" s="7" t="n">
        <f aca="false">Trajectoire!$D$46</f>
        <v>1570.67466937297</v>
      </c>
      <c r="D14" s="2"/>
      <c r="E14" s="2"/>
      <c r="F14" s="2"/>
    </row>
    <row r="15" customFormat="false" ht="15" hidden="false" customHeight="false" outlineLevel="0" collapsed="false">
      <c r="A15" s="2"/>
      <c r="B15" s="5" t="s">
        <v>13</v>
      </c>
      <c r="C15" s="7" t="n">
        <f aca="false">Trajectoire!$D$47</f>
        <v>2263.61937644927</v>
      </c>
      <c r="D15" s="2"/>
      <c r="E15" s="2"/>
      <c r="F15" s="2"/>
    </row>
    <row r="16" customFormat="false" ht="15" hidden="false" customHeight="false" outlineLevel="0" collapsed="false">
      <c r="A16" s="2"/>
      <c r="B16" s="5" t="s">
        <v>14</v>
      </c>
      <c r="C16" s="7" t="n">
        <f aca="false">Trajectoire!$D$48</f>
        <v>-18.5694927233199</v>
      </c>
      <c r="D16" s="2"/>
      <c r="E16" s="2"/>
      <c r="F16" s="2"/>
    </row>
    <row r="17" customFormat="false" ht="15" hidden="false" customHeight="false" outlineLevel="0" collapsed="false">
      <c r="A17" s="2"/>
      <c r="B17" s="5" t="s">
        <v>15</v>
      </c>
      <c r="C17" s="7" t="n">
        <f aca="false">Trajectoire!$AE$46</f>
        <v>-534.954329754553</v>
      </c>
      <c r="D17" s="2"/>
      <c r="E17" s="2"/>
      <c r="F17" s="2"/>
    </row>
    <row r="18" customFormat="false" ht="15" hidden="false" customHeight="false" outlineLevel="0" collapsed="false">
      <c r="A18" s="2"/>
      <c r="B18" s="5" t="s">
        <v>16</v>
      </c>
      <c r="C18" s="9" t="n">
        <f aca="false">Levier!$C$126</f>
        <v>3.06005506534074</v>
      </c>
      <c r="D18" s="2"/>
      <c r="E18" s="2"/>
      <c r="F18" s="2"/>
    </row>
    <row r="19" customFormat="false" ht="15" hidden="false" customHeight="false" outlineLevel="0" collapsed="false">
      <c r="A19" s="2"/>
      <c r="B19" s="5" t="s">
        <v>17</v>
      </c>
      <c r="C19" s="10" t="n">
        <f aca="false">Cessions!$C$45</f>
        <v>4.773</v>
      </c>
      <c r="D19" s="2"/>
      <c r="E19" s="2"/>
      <c r="F19" s="2"/>
    </row>
    <row r="20" customFormat="false" ht="15" hidden="false" customHeight="false" outlineLevel="0" collapsed="false">
      <c r="A20" s="2"/>
      <c r="B20" s="5" t="s">
        <v>18</v>
      </c>
      <c r="C20" s="7" t="n">
        <f aca="false">Levier!$C$46</f>
        <v>-63.7999999999993</v>
      </c>
      <c r="D20" s="2"/>
      <c r="E20" s="2"/>
      <c r="F20" s="2"/>
    </row>
    <row r="21" customFormat="false" ht="15" hidden="false" customHeight="false" outlineLevel="0" collapsed="false">
      <c r="A21" s="2"/>
      <c r="B21" s="5" t="s">
        <v>19</v>
      </c>
      <c r="C21" s="7" t="n">
        <f aca="false">Trajectoire!$D$57</f>
        <v>4333.42681779325</v>
      </c>
      <c r="D21" s="2"/>
      <c r="E21" s="2"/>
      <c r="F21" s="2"/>
    </row>
    <row r="22" customFormat="false" ht="15" hidden="false" customHeight="false" outlineLevel="0" collapsed="false">
      <c r="A22" s="2"/>
      <c r="B22" s="5" t="s">
        <v>20</v>
      </c>
      <c r="C22" s="11" t="str">
        <f aca="false">Trajectoire!$D$59</f>
        <v>Veolia : levier ≤ 3x</v>
      </c>
      <c r="D22" s="2"/>
      <c r="E22" s="2"/>
      <c r="F22" s="2"/>
    </row>
    <row r="23" customFormat="false" ht="15" hidden="false" customHeight="false" outlineLevel="0" collapsed="false">
      <c r="A23" s="2"/>
      <c r="B23" s="5" t="s">
        <v>21</v>
      </c>
      <c r="C23" s="7" t="n">
        <f aca="false">Segments!$E$31</f>
        <v>8094.42222686603</v>
      </c>
      <c r="D23" s="2"/>
      <c r="E23" s="2"/>
      <c r="F23" s="2"/>
    </row>
    <row r="24" customFormat="false" ht="15" hidden="false" customHeight="false" outlineLevel="0" collapsed="false">
      <c r="A24" s="2"/>
      <c r="B24" s="5" t="s">
        <v>22</v>
      </c>
      <c r="C24" s="12" t="n">
        <f aca="false">Booster!$C$52</f>
        <v>19.339616559869</v>
      </c>
      <c r="D24" s="2"/>
      <c r="E24" s="2"/>
      <c r="F24" s="2"/>
    </row>
    <row r="25" customFormat="false" ht="15" hidden="false" customHeight="false" outlineLevel="0" collapsed="false">
      <c r="A25" s="2"/>
      <c r="B25" s="5" t="s">
        <v>23</v>
      </c>
      <c r="C25" s="7" t="n">
        <f aca="false">Trajectoire!$D$60</f>
        <v>2263.61937644927</v>
      </c>
      <c r="D25" s="2"/>
      <c r="E25" s="2"/>
      <c r="F25" s="2"/>
    </row>
    <row r="26" customFormat="false" ht="15" hidden="false" customHeight="false" outlineLevel="0" collapsed="false">
      <c r="A26" s="2"/>
      <c r="B26" s="5" t="s">
        <v>24</v>
      </c>
      <c r="C26" s="13" t="n">
        <f aca="false">'Pont EBITDA'!$C$13</f>
        <v>0.933333333333333</v>
      </c>
      <c r="D26" s="2"/>
      <c r="E26" s="2"/>
      <c r="F26" s="2"/>
    </row>
    <row r="27" customFormat="false" ht="15" hidden="false" customHeight="false" outlineLevel="0" collapsed="false">
      <c r="A27" s="2"/>
      <c r="B27" s="5" t="s">
        <v>25</v>
      </c>
      <c r="C27" s="13" t="n">
        <f aca="false">'Pont EBITDA'!$C$28</f>
        <v>0.933019053231192</v>
      </c>
      <c r="D27" s="2"/>
      <c r="E27" s="2"/>
      <c r="F27" s="2"/>
    </row>
    <row r="28" customFormat="false" ht="15" hidden="false" customHeight="false" outlineLevel="0" collapsed="false">
      <c r="A28" s="2"/>
      <c r="B28" s="5" t="s">
        <v>26</v>
      </c>
      <c r="C28" s="7" t="n">
        <f aca="false">'Pont EBITDA'!$E$70</f>
        <v>-529.325330627034</v>
      </c>
      <c r="D28" s="2"/>
      <c r="E28" s="2"/>
      <c r="F28" s="2"/>
    </row>
    <row r="29" customFormat="false" ht="15" hidden="false" customHeight="false" outlineLevel="0" collapsed="false">
      <c r="A29" s="2"/>
      <c r="B29" s="5" t="s">
        <v>27</v>
      </c>
      <c r="C29" s="11" t="str">
        <f aca="false">TEXT(Cibles!$C$32,"0.0")&amp;"x à "&amp;TEXT(Cibles!$C$34,"0.0")&amp;"x"</f>
        <v>7.4x à 11.0x</v>
      </c>
      <c r="D29" s="2"/>
      <c r="E29" s="2"/>
      <c r="F29" s="2"/>
    </row>
    <row r="30" customFormat="false" ht="15" hidden="false" customHeight="false" outlineLevel="0" collapsed="false">
      <c r="A30" s="2"/>
      <c r="B30" s="5" t="s">
        <v>28</v>
      </c>
      <c r="C30" s="11" t="str">
        <f aca="false">TEXT(Cibles!$C$45,"0.0")&amp;"x à "&amp;TEXT(Cibles!$C$46,"0.0")&amp;"x"</f>
        <v>11.1x à 17.4x</v>
      </c>
      <c r="D30" s="2"/>
      <c r="E30" s="2"/>
      <c r="F30" s="2"/>
    </row>
    <row r="31" customFormat="false" ht="15" hidden="false" customHeight="false" outlineLevel="0" collapsed="false">
      <c r="A31" s="2"/>
      <c r="B31" s="5" t="s">
        <v>29</v>
      </c>
      <c r="C31" s="12" t="n">
        <f aca="false">Cibles!$C$50</f>
        <v>-2.40740740740741</v>
      </c>
      <c r="D31" s="2"/>
      <c r="E31" s="2"/>
      <c r="F31" s="2"/>
    </row>
    <row r="32" customFormat="false" ht="15" hidden="false" customHeight="false" outlineLevel="0" collapsed="false">
      <c r="A32" s="2"/>
      <c r="B32" s="5" t="s">
        <v>30</v>
      </c>
      <c r="C32" s="13" t="n">
        <f aca="false">Levier!$C$102</f>
        <v>0.089</v>
      </c>
      <c r="D32" s="2"/>
      <c r="E32" s="2"/>
      <c r="F32" s="2"/>
    </row>
    <row r="33" customFormat="false" ht="15" hidden="false" customHeight="false" outlineLevel="0" collapsed="false">
      <c r="A33" s="2"/>
      <c r="B33" s="5" t="s">
        <v>31</v>
      </c>
      <c r="C33" s="11" t="str">
        <f aca="false">'Pont EBITDA'!$C$91</f>
        <v>8 / 8</v>
      </c>
      <c r="D33" s="2"/>
      <c r="E33" s="2"/>
      <c r="F33" s="2"/>
    </row>
    <row r="34" customFormat="false" ht="15" hidden="false" customHeight="false" outlineLevel="0" collapsed="false">
      <c r="A34" s="2"/>
      <c r="B34" s="5" t="s">
        <v>32</v>
      </c>
      <c r="C34" s="7" t="n">
        <f aca="false">Levier!$C$117</f>
        <v>500</v>
      </c>
      <c r="D34" s="2"/>
      <c r="E34" s="2"/>
      <c r="F34" s="2"/>
    </row>
    <row r="35" customFormat="false" ht="15" hidden="false" customHeight="false" outlineLevel="0" collapsed="false">
      <c r="A35" s="2"/>
      <c r="B35" s="5" t="s">
        <v>33</v>
      </c>
      <c r="C35" s="7" t="n">
        <f aca="false">Sensibilité!$E$49</f>
        <v>-360</v>
      </c>
      <c r="D35" s="2"/>
      <c r="E35" s="2"/>
      <c r="F35" s="2"/>
    </row>
    <row r="36" customFormat="false" ht="15" hidden="false" customHeight="false" outlineLevel="0" collapsed="false">
      <c r="A36" s="2"/>
      <c r="B36" s="5" t="s">
        <v>34</v>
      </c>
      <c r="C36" s="7" t="n">
        <f aca="false">Sensibilité!$E$50</f>
        <v>-245.5</v>
      </c>
      <c r="D36" s="2"/>
      <c r="E36" s="2"/>
      <c r="F36" s="2"/>
    </row>
    <row r="37" customFormat="false" ht="15" hidden="false" customHeight="false" outlineLevel="0" collapsed="false">
      <c r="A37" s="2"/>
      <c r="B37" s="5" t="s">
        <v>35</v>
      </c>
      <c r="C37" s="13" t="n">
        <f aca="false">ESG!$C$43</f>
        <v>0.466666666666667</v>
      </c>
      <c r="D37" s="2"/>
      <c r="E37" s="2"/>
      <c r="F37" s="2"/>
    </row>
    <row r="38" customFormat="false" ht="15" hidden="false" customHeight="false" outlineLevel="0" collapsed="false">
      <c r="A38" s="2"/>
      <c r="B38" s="5" t="s">
        <v>36</v>
      </c>
      <c r="C38" s="13" t="n">
        <f aca="false">ESG!$C$46</f>
        <v>0.142857142857143</v>
      </c>
      <c r="D38" s="2"/>
      <c r="E38" s="2"/>
      <c r="F38" s="2"/>
    </row>
    <row r="39" customFormat="false" ht="15" hidden="false" customHeight="false" outlineLevel="0" collapsed="false">
      <c r="A39" s="2"/>
      <c r="B39" s="5" t="s">
        <v>37</v>
      </c>
      <c r="C39" s="13" t="n">
        <f aca="false">Cessions!$C$88</f>
        <v>0.127713920817369</v>
      </c>
      <c r="D39" s="2"/>
      <c r="E39" s="2"/>
      <c r="F39" s="2"/>
    </row>
    <row r="40" customFormat="false" ht="15" hidden="false" customHeight="false" outlineLevel="0" collapsed="false">
      <c r="A40" s="2"/>
      <c r="B40" s="5" t="s">
        <v>38</v>
      </c>
      <c r="C40" s="10" t="n">
        <f aca="false">Cessions!$C$112</f>
        <v>5.34045393858478</v>
      </c>
      <c r="D40" s="2"/>
      <c r="E40" s="2"/>
      <c r="F40" s="2"/>
    </row>
    <row r="41" customFormat="false" ht="15" hidden="false" customHeight="false" outlineLevel="0" collapsed="false">
      <c r="A41" s="2"/>
      <c r="B41" s="5" t="s">
        <v>39</v>
      </c>
      <c r="C41" s="9" t="n">
        <f aca="false">Échéancier!$C$41</f>
        <v>1.65017631196847</v>
      </c>
      <c r="D41" s="2"/>
      <c r="E41" s="2"/>
      <c r="F41" s="2"/>
    </row>
    <row r="42" customFormat="false" ht="15" hidden="false" customHeight="false" outlineLevel="0" collapsed="false">
      <c r="A42" s="2"/>
      <c r="B42" s="5" t="s">
        <v>40</v>
      </c>
      <c r="C42" s="7" t="n">
        <f aca="false">Échéancier!$C$26</f>
        <v>74.4695</v>
      </c>
      <c r="D42" s="2"/>
      <c r="E42" s="2"/>
      <c r="F42" s="2"/>
    </row>
    <row r="43" customFormat="false" ht="15" hidden="false" customHeight="false" outlineLevel="0" collapsed="false">
      <c r="A43" s="2"/>
      <c r="B43" s="5" t="s">
        <v>41</v>
      </c>
      <c r="C43" s="7" t="n">
        <f aca="false">Levier!$C$88</f>
        <v>5157</v>
      </c>
      <c r="D43" s="2"/>
      <c r="E43" s="2"/>
      <c r="F43" s="2"/>
    </row>
    <row r="44" customFormat="false" ht="15" hidden="false" customHeight="false" outlineLevel="0" collapsed="false">
      <c r="A44" s="2"/>
      <c r="B44" s="5" t="s">
        <v>42</v>
      </c>
      <c r="C44" s="11" t="str">
        <f aca="false">Vérifications!$F$57</f>
        <v>OK</v>
      </c>
      <c r="D44" s="2"/>
      <c r="E44" s="2"/>
      <c r="F44" s="2"/>
    </row>
    <row r="45" customFormat="false" ht="15" hidden="false" customHeight="false" outlineLevel="0" collapsed="false">
      <c r="A45" s="2"/>
      <c r="B45" s="5" t="s">
        <v>43</v>
      </c>
      <c r="C45" s="11" t="str">
        <f aca="false">Hypothèses!$A$3</f>
        <v>Scénario actif : base partout</v>
      </c>
      <c r="D45" s="2"/>
      <c r="E45" s="2"/>
      <c r="F45" s="2"/>
    </row>
    <row r="46" customFormat="false" ht="15" hidden="false" customHeight="false" outlineLevel="0" collapsed="false">
      <c r="A46" s="2"/>
      <c r="B46" s="2"/>
      <c r="C46" s="2"/>
      <c r="D46" s="2"/>
      <c r="E46" s="2"/>
      <c r="F46" s="2"/>
    </row>
    <row r="47" customFormat="false" ht="15" hidden="false" customHeight="false" outlineLevel="0" collapsed="false">
      <c r="A47" s="2"/>
      <c r="B47" s="4" t="s">
        <v>44</v>
      </c>
      <c r="C47" s="2"/>
      <c r="D47" s="2"/>
      <c r="E47" s="2"/>
      <c r="F47" s="2"/>
    </row>
    <row r="48" customFormat="false" ht="15" hidden="false" customHeight="true" outlineLevel="0" collapsed="false">
      <c r="A48" s="2"/>
      <c r="B48" s="14" t="s">
        <v>45</v>
      </c>
      <c r="C48" s="15" t="s">
        <v>46</v>
      </c>
      <c r="D48" s="15"/>
      <c r="E48" s="15"/>
      <c r="F48" s="15"/>
    </row>
    <row r="49" customFormat="false" ht="15" hidden="false" customHeight="true" outlineLevel="0" collapsed="false">
      <c r="A49" s="2"/>
      <c r="B49" s="16" t="s">
        <v>47</v>
      </c>
      <c r="C49" s="15" t="s">
        <v>48</v>
      </c>
      <c r="D49" s="15"/>
      <c r="E49" s="15"/>
      <c r="F49" s="15"/>
    </row>
    <row r="50" customFormat="false" ht="15" hidden="false" customHeight="true" outlineLevel="0" collapsed="false">
      <c r="A50" s="2"/>
      <c r="B50" s="17" t="s">
        <v>49</v>
      </c>
      <c r="C50" s="15" t="s">
        <v>50</v>
      </c>
      <c r="D50" s="15"/>
      <c r="E50" s="15"/>
      <c r="F50" s="15"/>
    </row>
    <row r="51" customFormat="false" ht="15" hidden="false" customHeight="true" outlineLevel="0" collapsed="false">
      <c r="A51" s="2"/>
      <c r="B51" s="18" t="s">
        <v>51</v>
      </c>
      <c r="C51" s="15" t="s">
        <v>52</v>
      </c>
      <c r="D51" s="15"/>
      <c r="E51" s="15"/>
      <c r="F51" s="15"/>
    </row>
    <row r="52" customFormat="false" ht="15" hidden="false" customHeight="true" outlineLevel="0" collapsed="false">
      <c r="A52" s="2"/>
      <c r="B52" s="19" t="s">
        <v>53</v>
      </c>
      <c r="C52" s="15" t="s">
        <v>54</v>
      </c>
      <c r="D52" s="15"/>
      <c r="E52" s="15"/>
      <c r="F52" s="15"/>
    </row>
    <row r="53" customFormat="false" ht="15" hidden="false" customHeight="true" outlineLevel="0" collapsed="false">
      <c r="A53" s="2"/>
      <c r="B53" s="20" t="s">
        <v>55</v>
      </c>
      <c r="C53" s="15" t="s">
        <v>56</v>
      </c>
      <c r="D53" s="15"/>
      <c r="E53" s="15"/>
      <c r="F53" s="15"/>
    </row>
    <row r="54" customFormat="false" ht="15" hidden="false" customHeight="false" outlineLevel="0" collapsed="false">
      <c r="A54" s="2"/>
      <c r="B54" s="2"/>
      <c r="C54" s="2"/>
      <c r="D54" s="2"/>
      <c r="E54" s="2"/>
      <c r="F54" s="2"/>
    </row>
    <row r="55" customFormat="false" ht="15" hidden="false" customHeight="false" outlineLevel="0" collapsed="false">
      <c r="A55" s="2"/>
      <c r="B55" s="4" t="s">
        <v>57</v>
      </c>
      <c r="C55" s="2"/>
      <c r="D55" s="2"/>
      <c r="E55" s="2"/>
      <c r="F55" s="2"/>
    </row>
    <row r="56" customFormat="false" ht="15" hidden="false" customHeight="false" outlineLevel="0" collapsed="false">
      <c r="A56" s="21"/>
      <c r="B56" s="21" t="s">
        <v>58</v>
      </c>
      <c r="C56" s="21" t="s">
        <v>59</v>
      </c>
      <c r="D56" s="21" t="s">
        <v>60</v>
      </c>
      <c r="E56" s="2"/>
      <c r="F56" s="2"/>
    </row>
    <row r="57" customFormat="false" ht="27.75" hidden="false" customHeight="true" outlineLevel="0" collapsed="false">
      <c r="A57" s="2"/>
      <c r="B57" s="22" t="s">
        <v>61</v>
      </c>
      <c r="C57" s="5" t="s">
        <v>62</v>
      </c>
      <c r="D57" s="15" t="s">
        <v>63</v>
      </c>
      <c r="E57" s="15"/>
      <c r="F57" s="15"/>
    </row>
    <row r="58" customFormat="false" ht="27.75" hidden="false" customHeight="true" outlineLevel="0" collapsed="false">
      <c r="A58" s="2"/>
      <c r="B58" s="22" t="s">
        <v>64</v>
      </c>
      <c r="C58" s="5" t="s">
        <v>65</v>
      </c>
      <c r="D58" s="15" t="s">
        <v>66</v>
      </c>
      <c r="E58" s="15"/>
      <c r="F58" s="15"/>
    </row>
    <row r="59" customFormat="false" ht="27.75" hidden="false" customHeight="true" outlineLevel="0" collapsed="false">
      <c r="A59" s="2"/>
      <c r="B59" s="22" t="s">
        <v>67</v>
      </c>
      <c r="C59" s="5" t="s">
        <v>68</v>
      </c>
      <c r="D59" s="15" t="s">
        <v>69</v>
      </c>
      <c r="E59" s="15"/>
      <c r="F59" s="15"/>
    </row>
    <row r="60" customFormat="false" ht="27.75" hidden="false" customHeight="true" outlineLevel="0" collapsed="false">
      <c r="A60" s="2"/>
      <c r="B60" s="22" t="s">
        <v>70</v>
      </c>
      <c r="C60" s="5" t="s">
        <v>71</v>
      </c>
      <c r="D60" s="15" t="s">
        <v>72</v>
      </c>
      <c r="E60" s="15"/>
      <c r="F60" s="15"/>
    </row>
    <row r="61" customFormat="false" ht="27.75" hidden="false" customHeight="true" outlineLevel="0" collapsed="false">
      <c r="A61" s="2"/>
      <c r="B61" s="22" t="s">
        <v>73</v>
      </c>
      <c r="C61" s="5" t="s">
        <v>74</v>
      </c>
      <c r="D61" s="15" t="s">
        <v>75</v>
      </c>
      <c r="E61" s="15"/>
      <c r="F61" s="15"/>
    </row>
    <row r="62" customFormat="false" ht="27.75" hidden="false" customHeight="true" outlineLevel="0" collapsed="false">
      <c r="A62" s="2"/>
      <c r="B62" s="22" t="s">
        <v>76</v>
      </c>
      <c r="C62" s="5" t="s">
        <v>77</v>
      </c>
      <c r="D62" s="15" t="s">
        <v>78</v>
      </c>
      <c r="E62" s="15"/>
      <c r="F62" s="15"/>
    </row>
    <row r="63" customFormat="false" ht="15" hidden="false" customHeight="false" outlineLevel="0" collapsed="false">
      <c r="A63" s="2"/>
      <c r="B63" s="2"/>
      <c r="C63" s="2"/>
      <c r="D63" s="2"/>
      <c r="E63" s="2"/>
      <c r="F63" s="2"/>
    </row>
    <row r="64" customFormat="false" ht="15" hidden="false" customHeight="false" outlineLevel="0" collapsed="false">
      <c r="A64" s="2"/>
      <c r="B64" s="4" t="s">
        <v>79</v>
      </c>
      <c r="C64" s="2"/>
      <c r="D64" s="2"/>
      <c r="E64" s="2"/>
      <c r="F64" s="2"/>
    </row>
    <row r="65" customFormat="false" ht="27.75" hidden="false" customHeight="true" outlineLevel="0" collapsed="false">
      <c r="A65" s="2"/>
      <c r="B65" s="15" t="s">
        <v>80</v>
      </c>
      <c r="C65" s="15"/>
      <c r="D65" s="15"/>
      <c r="E65" s="15"/>
      <c r="F65" s="15"/>
    </row>
    <row r="66" customFormat="false" ht="27.75" hidden="false" customHeight="true" outlineLevel="0" collapsed="false">
      <c r="A66" s="2"/>
      <c r="B66" s="15" t="s">
        <v>81</v>
      </c>
      <c r="C66" s="15"/>
      <c r="D66" s="15"/>
      <c r="E66" s="15"/>
      <c r="F66" s="15"/>
    </row>
    <row r="67" customFormat="false" ht="27.75" hidden="false" customHeight="true" outlineLevel="0" collapsed="false">
      <c r="A67" s="2"/>
      <c r="B67" s="15" t="s">
        <v>82</v>
      </c>
      <c r="C67" s="15"/>
      <c r="D67" s="15"/>
      <c r="E67" s="15"/>
      <c r="F67" s="15"/>
    </row>
    <row r="68" customFormat="false" ht="27.75" hidden="false" customHeight="true" outlineLevel="0" collapsed="false">
      <c r="A68" s="2"/>
      <c r="B68" s="15" t="s">
        <v>83</v>
      </c>
      <c r="C68" s="15"/>
      <c r="D68" s="15"/>
      <c r="E68" s="15"/>
      <c r="F68" s="15"/>
    </row>
    <row r="69" customFormat="false" ht="27.75" hidden="false" customHeight="true" outlineLevel="0" collapsed="false">
      <c r="A69" s="2"/>
      <c r="B69" s="15" t="s">
        <v>84</v>
      </c>
      <c r="C69" s="15"/>
      <c r="D69" s="15"/>
      <c r="E69" s="15"/>
      <c r="F69" s="15"/>
    </row>
    <row r="70" customFormat="false" ht="27.75" hidden="false" customHeight="true" outlineLevel="0" collapsed="false">
      <c r="A70" s="2"/>
      <c r="B70" s="15" t="s">
        <v>85</v>
      </c>
      <c r="C70" s="15"/>
      <c r="D70" s="15"/>
      <c r="E70" s="15"/>
      <c r="F70" s="15"/>
    </row>
    <row r="71" customFormat="false" ht="27.75" hidden="false" customHeight="true" outlineLevel="0" collapsed="false">
      <c r="A71" s="2"/>
      <c r="B71" s="15" t="s">
        <v>86</v>
      </c>
      <c r="C71" s="15"/>
      <c r="D71" s="15"/>
      <c r="E71" s="15"/>
      <c r="F71" s="15"/>
    </row>
  </sheetData>
  <mergeCells count="19">
    <mergeCell ref="C48:F48"/>
    <mergeCell ref="C49:F49"/>
    <mergeCell ref="C50:F50"/>
    <mergeCell ref="C51:F51"/>
    <mergeCell ref="C52:F52"/>
    <mergeCell ref="C53:F53"/>
    <mergeCell ref="D57:F57"/>
    <mergeCell ref="D58:F58"/>
    <mergeCell ref="D59:F59"/>
    <mergeCell ref="D60:F60"/>
    <mergeCell ref="D61:F61"/>
    <mergeCell ref="D62:F62"/>
    <mergeCell ref="B65:F65"/>
    <mergeCell ref="B66:F66"/>
    <mergeCell ref="B67:F67"/>
    <mergeCell ref="B68:F68"/>
    <mergeCell ref="B69:F69"/>
    <mergeCell ref="B70:F70"/>
    <mergeCell ref="B71:F71"/>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6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5390625" defaultRowHeight="15" customHeight="true" zeroHeight="false" outlineLevelRow="0" outlineLevelCol="0"/>
  <cols>
    <col collapsed="false" customWidth="true" hidden="false" outlineLevel="0" max="1" min="1" style="0" width="6"/>
    <col collapsed="false" customWidth="true" hidden="false" outlineLevel="0" max="2" min="2" style="0" width="62"/>
    <col collapsed="false" customWidth="true" hidden="false" outlineLevel="0" max="6" min="3" style="0" width="13"/>
    <col collapsed="false" customWidth="true" hidden="false" outlineLevel="0" max="7" min="7" style="0" width="52"/>
    <col collapsed="false" customWidth="true" hidden="false" outlineLevel="0" max="8" min="8" style="0" width="6"/>
    <col collapsed="false" customWidth="true" hidden="false" outlineLevel="0" max="9" min="9" style="0" width="12"/>
    <col collapsed="false" customWidth="true" hidden="false" outlineLevel="0" max="10" min="10" style="0" width="40"/>
    <col collapsed="false" customWidth="true" hidden="false" outlineLevel="0" max="11" min="11" style="0" width="12"/>
    <col collapsed="false" customWidth="true" hidden="false" outlineLevel="0" max="12" min="12" style="0" width="11"/>
  </cols>
  <sheetData>
    <row r="1" customFormat="false" ht="17.35" hidden="false" customHeight="false" outlineLevel="0" collapsed="false">
      <c r="A1" s="1" t="s">
        <v>87</v>
      </c>
      <c r="B1" s="2"/>
      <c r="C1" s="2"/>
      <c r="D1" s="2"/>
      <c r="E1" s="2"/>
      <c r="F1" s="2"/>
      <c r="G1" s="2"/>
      <c r="H1" s="2"/>
      <c r="I1" s="2"/>
      <c r="J1" s="2"/>
      <c r="K1" s="2"/>
      <c r="L1" s="2"/>
    </row>
    <row r="2" customFormat="false" ht="15" hidden="false" customHeight="false" outlineLevel="0" collapsed="false">
      <c r="A2" s="3" t="s">
        <v>88</v>
      </c>
      <c r="B2" s="2"/>
      <c r="C2" s="2"/>
      <c r="D2" s="2"/>
      <c r="E2" s="2"/>
      <c r="F2" s="2"/>
      <c r="G2" s="2"/>
      <c r="H2" s="2"/>
      <c r="I2" s="2"/>
      <c r="J2" s="2"/>
      <c r="K2" s="2"/>
      <c r="L2" s="2"/>
    </row>
    <row r="3" customFormat="false" ht="15" hidden="false" customHeight="false" outlineLevel="0" collapsed="false">
      <c r="A3" s="3" t="s">
        <v>89</v>
      </c>
      <c r="B3" s="2"/>
      <c r="C3" s="2"/>
      <c r="D3" s="2"/>
      <c r="E3" s="2"/>
      <c r="F3" s="2"/>
      <c r="G3" s="2"/>
      <c r="H3" s="2"/>
      <c r="I3" s="2"/>
      <c r="J3" s="2"/>
      <c r="K3" s="2"/>
      <c r="L3" s="2"/>
    </row>
    <row r="4" customFormat="false" ht="15" hidden="false" customHeight="false" outlineLevel="0" collapsed="false">
      <c r="A4" s="2"/>
      <c r="B4" s="2"/>
      <c r="C4" s="2"/>
      <c r="D4" s="2"/>
      <c r="E4" s="2"/>
      <c r="F4" s="2"/>
      <c r="G4" s="2"/>
      <c r="H4" s="2"/>
      <c r="I4" s="2"/>
      <c r="J4" s="2"/>
      <c r="K4" s="2"/>
      <c r="L4" s="2"/>
    </row>
    <row r="5" customFormat="false" ht="15" hidden="false" customHeight="false" outlineLevel="0" collapsed="false">
      <c r="A5" s="21" t="s">
        <v>90</v>
      </c>
      <c r="B5" s="21" t="s">
        <v>91</v>
      </c>
      <c r="C5" s="21" t="s">
        <v>92</v>
      </c>
      <c r="D5" s="21" t="s">
        <v>93</v>
      </c>
      <c r="E5" s="21" t="s">
        <v>94</v>
      </c>
      <c r="F5" s="21" t="s">
        <v>95</v>
      </c>
      <c r="G5" s="21" t="s">
        <v>96</v>
      </c>
      <c r="H5" s="21" t="s">
        <v>97</v>
      </c>
      <c r="I5" s="21" t="s">
        <v>58</v>
      </c>
      <c r="J5" s="21" t="s">
        <v>98</v>
      </c>
      <c r="K5" s="21" t="s">
        <v>99</v>
      </c>
      <c r="L5" s="21" t="s">
        <v>100</v>
      </c>
    </row>
    <row r="6" customFormat="false" ht="15" hidden="false" customHeight="false" outlineLevel="0" collapsed="false">
      <c r="A6" s="22" t="s">
        <v>101</v>
      </c>
      <c r="B6" s="5" t="s">
        <v>102</v>
      </c>
      <c r="C6" s="23" t="n">
        <v>3552</v>
      </c>
      <c r="D6" s="5" t="s">
        <v>103</v>
      </c>
      <c r="E6" s="5" t="s">
        <v>104</v>
      </c>
      <c r="F6" s="24" t="s">
        <v>105</v>
      </c>
      <c r="G6" s="5" t="s">
        <v>106</v>
      </c>
      <c r="H6" s="25" t="n">
        <v>47</v>
      </c>
      <c r="I6" s="5" t="s">
        <v>107</v>
      </c>
      <c r="J6" s="24" t="s">
        <v>108</v>
      </c>
      <c r="K6" s="24" t="s">
        <v>109</v>
      </c>
      <c r="L6" s="26" t="s">
        <v>110</v>
      </c>
    </row>
    <row r="7" customFormat="false" ht="15" hidden="false" customHeight="false" outlineLevel="0" collapsed="false">
      <c r="A7" s="27" t="s">
        <v>111</v>
      </c>
      <c r="B7" s="28" t="s">
        <v>112</v>
      </c>
      <c r="C7" s="29" t="n">
        <v>0.5</v>
      </c>
      <c r="D7" s="28" t="s">
        <v>113</v>
      </c>
      <c r="E7" s="28" t="s">
        <v>114</v>
      </c>
      <c r="F7" s="30" t="s">
        <v>115</v>
      </c>
      <c r="G7" s="28" t="s">
        <v>116</v>
      </c>
      <c r="H7" s="31" t="n">
        <v>63</v>
      </c>
      <c r="I7" s="28" t="s">
        <v>117</v>
      </c>
      <c r="J7" s="30" t="s">
        <v>118</v>
      </c>
      <c r="K7" s="30" t="s">
        <v>109</v>
      </c>
      <c r="L7" s="32" t="s">
        <v>110</v>
      </c>
    </row>
    <row r="8" customFormat="false" ht="15" hidden="false" customHeight="false" outlineLevel="0" collapsed="false">
      <c r="A8" s="22" t="s">
        <v>119</v>
      </c>
      <c r="B8" s="5" t="s">
        <v>102</v>
      </c>
      <c r="C8" s="23" t="n">
        <v>7050</v>
      </c>
      <c r="D8" s="5" t="s">
        <v>103</v>
      </c>
      <c r="E8" s="5" t="s">
        <v>120</v>
      </c>
      <c r="F8" s="24" t="s">
        <v>121</v>
      </c>
      <c r="G8" s="5" t="s">
        <v>122</v>
      </c>
      <c r="H8" s="25" t="n">
        <v>1</v>
      </c>
      <c r="I8" s="5" t="s">
        <v>107</v>
      </c>
      <c r="J8" s="24" t="s">
        <v>123</v>
      </c>
      <c r="K8" s="24" t="s">
        <v>109</v>
      </c>
      <c r="L8" s="26" t="s">
        <v>110</v>
      </c>
    </row>
    <row r="9" customFormat="false" ht="15" hidden="false" customHeight="false" outlineLevel="0" collapsed="false">
      <c r="A9" s="27" t="s">
        <v>124</v>
      </c>
      <c r="B9" s="28" t="s">
        <v>125</v>
      </c>
      <c r="C9" s="33" t="n">
        <v>3855</v>
      </c>
      <c r="D9" s="28" t="s">
        <v>103</v>
      </c>
      <c r="E9" s="28" t="s">
        <v>120</v>
      </c>
      <c r="F9" s="30" t="s">
        <v>126</v>
      </c>
      <c r="G9" s="28" t="s">
        <v>122</v>
      </c>
      <c r="H9" s="31" t="n">
        <v>1</v>
      </c>
      <c r="I9" s="28" t="s">
        <v>127</v>
      </c>
      <c r="J9" s="30" t="s">
        <v>123</v>
      </c>
      <c r="K9" s="30" t="s">
        <v>109</v>
      </c>
      <c r="L9" s="32" t="s">
        <v>110</v>
      </c>
    </row>
    <row r="10" customFormat="false" ht="15" hidden="false" customHeight="false" outlineLevel="0" collapsed="false">
      <c r="A10" s="22" t="s">
        <v>128</v>
      </c>
      <c r="B10" s="5" t="s">
        <v>129</v>
      </c>
      <c r="C10" s="34" t="n">
        <v>0.5</v>
      </c>
      <c r="D10" s="5" t="s">
        <v>130</v>
      </c>
      <c r="E10" s="5" t="s">
        <v>114</v>
      </c>
      <c r="F10" s="24" t="s">
        <v>115</v>
      </c>
      <c r="G10" s="5" t="s">
        <v>116</v>
      </c>
      <c r="H10" s="25" t="n">
        <v>63</v>
      </c>
      <c r="I10" s="5" t="s">
        <v>127</v>
      </c>
      <c r="J10" s="24" t="s">
        <v>118</v>
      </c>
      <c r="K10" s="24" t="s">
        <v>109</v>
      </c>
      <c r="L10" s="26" t="s">
        <v>110</v>
      </c>
    </row>
    <row r="11" customFormat="false" ht="15" hidden="false" customHeight="false" outlineLevel="0" collapsed="false">
      <c r="A11" s="27" t="s">
        <v>131</v>
      </c>
      <c r="B11" s="28" t="s">
        <v>132</v>
      </c>
      <c r="C11" s="33" t="n">
        <v>3</v>
      </c>
      <c r="D11" s="28" t="s">
        <v>133</v>
      </c>
      <c r="E11" s="28" t="s">
        <v>114</v>
      </c>
      <c r="F11" s="30" t="s">
        <v>134</v>
      </c>
      <c r="G11" s="28" t="s">
        <v>116</v>
      </c>
      <c r="H11" s="31" t="n">
        <v>64</v>
      </c>
      <c r="I11" s="28" t="s">
        <v>107</v>
      </c>
      <c r="J11" s="30" t="s">
        <v>118</v>
      </c>
      <c r="K11" s="30" t="s">
        <v>109</v>
      </c>
      <c r="L11" s="32" t="s">
        <v>110</v>
      </c>
    </row>
    <row r="12" customFormat="false" ht="15" hidden="false" customHeight="false" outlineLevel="0" collapsed="false">
      <c r="A12" s="22" t="s">
        <v>135</v>
      </c>
      <c r="B12" s="5" t="s">
        <v>136</v>
      </c>
      <c r="C12" s="34" t="n">
        <v>3.1</v>
      </c>
      <c r="D12" s="5" t="s">
        <v>113</v>
      </c>
      <c r="E12" s="5" t="s">
        <v>114</v>
      </c>
      <c r="F12" s="24" t="s">
        <v>137</v>
      </c>
      <c r="G12" s="5" t="s">
        <v>116</v>
      </c>
      <c r="H12" s="25" t="n">
        <v>63</v>
      </c>
      <c r="I12" s="5" t="s">
        <v>127</v>
      </c>
      <c r="J12" s="24" t="s">
        <v>118</v>
      </c>
      <c r="K12" s="24" t="s">
        <v>109</v>
      </c>
      <c r="L12" s="26" t="s">
        <v>110</v>
      </c>
    </row>
    <row r="13" customFormat="false" ht="15" hidden="false" customHeight="false" outlineLevel="0" collapsed="false">
      <c r="A13" s="27" t="s">
        <v>138</v>
      </c>
      <c r="B13" s="28" t="s">
        <v>139</v>
      </c>
      <c r="C13" s="33" t="n">
        <v>19657</v>
      </c>
      <c r="D13" s="28" t="s">
        <v>103</v>
      </c>
      <c r="E13" s="28" t="s">
        <v>140</v>
      </c>
      <c r="F13" s="30" t="s">
        <v>141</v>
      </c>
      <c r="G13" s="28" t="s">
        <v>122</v>
      </c>
      <c r="H13" s="31" t="n">
        <v>1</v>
      </c>
      <c r="I13" s="28" t="s">
        <v>107</v>
      </c>
      <c r="J13" s="30" t="s">
        <v>123</v>
      </c>
      <c r="K13" s="30" t="s">
        <v>109</v>
      </c>
      <c r="L13" s="32" t="s">
        <v>110</v>
      </c>
    </row>
    <row r="14" customFormat="false" ht="15" hidden="false" customHeight="false" outlineLevel="0" collapsed="false">
      <c r="A14" s="22" t="s">
        <v>142</v>
      </c>
      <c r="B14" s="5" t="s">
        <v>143</v>
      </c>
      <c r="C14" s="34" t="n">
        <v>0.7</v>
      </c>
      <c r="D14" s="5" t="s">
        <v>113</v>
      </c>
      <c r="E14" s="5" t="s">
        <v>114</v>
      </c>
      <c r="F14" s="24" t="s">
        <v>144</v>
      </c>
      <c r="G14" s="5" t="s">
        <v>116</v>
      </c>
      <c r="H14" s="25" t="n">
        <v>63</v>
      </c>
      <c r="I14" s="5" t="s">
        <v>127</v>
      </c>
      <c r="J14" s="24" t="s">
        <v>118</v>
      </c>
      <c r="K14" s="24" t="s">
        <v>109</v>
      </c>
      <c r="L14" s="26" t="s">
        <v>110</v>
      </c>
    </row>
    <row r="15" customFormat="false" ht="15" hidden="false" customHeight="false" outlineLevel="0" collapsed="false">
      <c r="A15" s="27" t="s">
        <v>145</v>
      </c>
      <c r="B15" s="28" t="s">
        <v>146</v>
      </c>
      <c r="C15" s="29" t="n">
        <v>4.1</v>
      </c>
      <c r="D15" s="28" t="s">
        <v>130</v>
      </c>
      <c r="E15" s="28" t="s">
        <v>147</v>
      </c>
      <c r="F15" s="30" t="s">
        <v>148</v>
      </c>
      <c r="G15" s="28" t="s">
        <v>149</v>
      </c>
      <c r="H15" s="31" t="n">
        <v>64</v>
      </c>
      <c r="I15" s="28" t="s">
        <v>107</v>
      </c>
      <c r="J15" s="30" t="s">
        <v>150</v>
      </c>
      <c r="K15" s="30" t="s">
        <v>109</v>
      </c>
      <c r="L15" s="32" t="s">
        <v>110</v>
      </c>
    </row>
    <row r="16" customFormat="false" ht="15" hidden="false" customHeight="false" outlineLevel="0" collapsed="false">
      <c r="A16" s="22" t="s">
        <v>151</v>
      </c>
      <c r="B16" s="5" t="s">
        <v>152</v>
      </c>
      <c r="C16" s="23" t="n">
        <v>24548</v>
      </c>
      <c r="D16" s="5" t="s">
        <v>103</v>
      </c>
      <c r="E16" s="5" t="s">
        <v>147</v>
      </c>
      <c r="F16" s="24" t="s">
        <v>153</v>
      </c>
      <c r="G16" s="5" t="s">
        <v>106</v>
      </c>
      <c r="H16" s="25" t="n">
        <v>14</v>
      </c>
      <c r="I16" s="5" t="s">
        <v>107</v>
      </c>
      <c r="J16" s="24" t="s">
        <v>108</v>
      </c>
      <c r="K16" s="24" t="s">
        <v>109</v>
      </c>
      <c r="L16" s="26" t="s">
        <v>110</v>
      </c>
    </row>
    <row r="17" customFormat="false" ht="15" hidden="false" customHeight="false" outlineLevel="0" collapsed="false">
      <c r="A17" s="27" t="s">
        <v>154</v>
      </c>
      <c r="B17" s="28" t="s">
        <v>155</v>
      </c>
      <c r="C17" s="33" t="n">
        <v>8</v>
      </c>
      <c r="D17" s="28" t="s">
        <v>130</v>
      </c>
      <c r="E17" s="28" t="s">
        <v>156</v>
      </c>
      <c r="F17" s="30" t="s">
        <v>157</v>
      </c>
      <c r="G17" s="28" t="s">
        <v>116</v>
      </c>
      <c r="H17" s="31" t="n">
        <v>9</v>
      </c>
      <c r="I17" s="28" t="s">
        <v>107</v>
      </c>
      <c r="J17" s="30" t="s">
        <v>118</v>
      </c>
      <c r="K17" s="30" t="s">
        <v>109</v>
      </c>
      <c r="L17" s="32" t="s">
        <v>110</v>
      </c>
    </row>
    <row r="18" customFormat="false" ht="15" hidden="false" customHeight="false" outlineLevel="0" collapsed="false">
      <c r="A18" s="22" t="s">
        <v>158</v>
      </c>
      <c r="B18" s="5" t="s">
        <v>159</v>
      </c>
      <c r="C18" s="23" t="n">
        <v>1156</v>
      </c>
      <c r="D18" s="5" t="s">
        <v>103</v>
      </c>
      <c r="E18" s="5" t="s">
        <v>160</v>
      </c>
      <c r="F18" s="24" t="s">
        <v>161</v>
      </c>
      <c r="G18" s="5" t="s">
        <v>122</v>
      </c>
      <c r="H18" s="25" t="n">
        <v>1</v>
      </c>
      <c r="I18" s="5" t="s">
        <v>127</v>
      </c>
      <c r="J18" s="24" t="s">
        <v>123</v>
      </c>
      <c r="K18" s="24" t="s">
        <v>109</v>
      </c>
      <c r="L18" s="26" t="s">
        <v>110</v>
      </c>
    </row>
    <row r="19" customFormat="false" ht="15" hidden="false" customHeight="false" outlineLevel="0" collapsed="false">
      <c r="A19" s="27" t="s">
        <v>162</v>
      </c>
      <c r="B19" s="28" t="s">
        <v>163</v>
      </c>
      <c r="C19" s="29" t="n">
        <v>2.92</v>
      </c>
      <c r="D19" s="28" t="s">
        <v>133</v>
      </c>
      <c r="E19" s="28" t="s">
        <v>164</v>
      </c>
      <c r="F19" s="30" t="s">
        <v>165</v>
      </c>
      <c r="G19" s="28" t="s">
        <v>166</v>
      </c>
      <c r="H19" s="31" t="n">
        <v>5</v>
      </c>
      <c r="I19" s="28" t="s">
        <v>107</v>
      </c>
      <c r="J19" s="30" t="s">
        <v>167</v>
      </c>
      <c r="K19" s="30" t="s">
        <v>109</v>
      </c>
      <c r="L19" s="32" t="s">
        <v>110</v>
      </c>
    </row>
    <row r="20" customFormat="false" ht="15" hidden="false" customHeight="false" outlineLevel="0" collapsed="false">
      <c r="A20" s="22" t="s">
        <v>168</v>
      </c>
      <c r="B20" s="5" t="s">
        <v>169</v>
      </c>
      <c r="C20" s="23" t="n">
        <v>1023</v>
      </c>
      <c r="D20" s="5" t="s">
        <v>103</v>
      </c>
      <c r="E20" s="5" t="s">
        <v>170</v>
      </c>
      <c r="F20" s="24" t="s">
        <v>171</v>
      </c>
      <c r="G20" s="5" t="s">
        <v>172</v>
      </c>
      <c r="H20" s="25" t="n">
        <v>337</v>
      </c>
      <c r="I20" s="5" t="s">
        <v>127</v>
      </c>
      <c r="J20" s="24" t="s">
        <v>173</v>
      </c>
      <c r="K20" s="24" t="s">
        <v>109</v>
      </c>
      <c r="L20" s="26" t="s">
        <v>110</v>
      </c>
    </row>
    <row r="21" customFormat="false" ht="15" hidden="false" customHeight="false" outlineLevel="0" collapsed="false">
      <c r="A21" s="27" t="s">
        <v>174</v>
      </c>
      <c r="B21" s="28" t="s">
        <v>175</v>
      </c>
      <c r="C21" s="29" t="n">
        <v>2.79</v>
      </c>
      <c r="D21" s="28" t="s">
        <v>133</v>
      </c>
      <c r="E21" s="28" t="s">
        <v>120</v>
      </c>
      <c r="F21" s="30" t="s">
        <v>176</v>
      </c>
      <c r="G21" s="28" t="s">
        <v>122</v>
      </c>
      <c r="H21" s="31" t="n">
        <v>1</v>
      </c>
      <c r="I21" s="28" t="s">
        <v>107</v>
      </c>
      <c r="J21" s="30" t="s">
        <v>123</v>
      </c>
      <c r="K21" s="30" t="s">
        <v>109</v>
      </c>
      <c r="L21" s="32" t="s">
        <v>110</v>
      </c>
    </row>
    <row r="22" customFormat="false" ht="15" hidden="false" customHeight="false" outlineLevel="0" collapsed="false">
      <c r="A22" s="22" t="s">
        <v>177</v>
      </c>
      <c r="B22" s="5" t="s">
        <v>102</v>
      </c>
      <c r="C22" s="23" t="n">
        <v>6788</v>
      </c>
      <c r="D22" s="5" t="s">
        <v>103</v>
      </c>
      <c r="E22" s="5" t="s">
        <v>160</v>
      </c>
      <c r="F22" s="24" t="s">
        <v>178</v>
      </c>
      <c r="G22" s="5" t="s">
        <v>122</v>
      </c>
      <c r="H22" s="25" t="n">
        <v>1</v>
      </c>
      <c r="I22" s="5" t="s">
        <v>107</v>
      </c>
      <c r="J22" s="24" t="s">
        <v>123</v>
      </c>
      <c r="K22" s="24" t="s">
        <v>109</v>
      </c>
      <c r="L22" s="26" t="s">
        <v>110</v>
      </c>
    </row>
    <row r="23" customFormat="false" ht="15" hidden="false" customHeight="false" outlineLevel="0" collapsed="false">
      <c r="A23" s="27" t="s">
        <v>179</v>
      </c>
      <c r="B23" s="28" t="s">
        <v>180</v>
      </c>
      <c r="C23" s="29" t="n">
        <v>0.5</v>
      </c>
      <c r="D23" s="28" t="s">
        <v>130</v>
      </c>
      <c r="E23" s="28" t="s">
        <v>114</v>
      </c>
      <c r="F23" s="30" t="s">
        <v>115</v>
      </c>
      <c r="G23" s="28" t="s">
        <v>116</v>
      </c>
      <c r="H23" s="31" t="n">
        <v>63</v>
      </c>
      <c r="I23" s="28" t="s">
        <v>117</v>
      </c>
      <c r="J23" s="30" t="s">
        <v>118</v>
      </c>
      <c r="K23" s="30" t="s">
        <v>109</v>
      </c>
      <c r="L23" s="32" t="s">
        <v>110</v>
      </c>
    </row>
    <row r="24" customFormat="false" ht="15" hidden="false" customHeight="false" outlineLevel="0" collapsed="false">
      <c r="A24" s="22" t="s">
        <v>181</v>
      </c>
      <c r="B24" s="5" t="s">
        <v>102</v>
      </c>
      <c r="C24" s="23" t="n">
        <v>3367</v>
      </c>
      <c r="D24" s="5" t="s">
        <v>103</v>
      </c>
      <c r="E24" s="5" t="s">
        <v>182</v>
      </c>
      <c r="F24" s="24" t="s">
        <v>183</v>
      </c>
      <c r="G24" s="5" t="s">
        <v>106</v>
      </c>
      <c r="H24" s="25" t="n">
        <v>47</v>
      </c>
      <c r="I24" s="5" t="s">
        <v>107</v>
      </c>
      <c r="J24" s="24" t="s">
        <v>108</v>
      </c>
      <c r="K24" s="24" t="s">
        <v>109</v>
      </c>
      <c r="L24" s="26" t="s">
        <v>110</v>
      </c>
    </row>
    <row r="25" customFormat="false" ht="15" hidden="false" customHeight="false" outlineLevel="0" collapsed="false">
      <c r="A25" s="27" t="s">
        <v>184</v>
      </c>
      <c r="B25" s="28" t="s">
        <v>175</v>
      </c>
      <c r="C25" s="29" t="n">
        <v>2.63</v>
      </c>
      <c r="D25" s="28" t="s">
        <v>133</v>
      </c>
      <c r="E25" s="28" t="s">
        <v>160</v>
      </c>
      <c r="F25" s="30" t="s">
        <v>185</v>
      </c>
      <c r="G25" s="28" t="s">
        <v>122</v>
      </c>
      <c r="H25" s="31" t="n">
        <v>1</v>
      </c>
      <c r="I25" s="28" t="s">
        <v>107</v>
      </c>
      <c r="J25" s="30" t="s">
        <v>123</v>
      </c>
      <c r="K25" s="30" t="s">
        <v>109</v>
      </c>
      <c r="L25" s="32" t="s">
        <v>110</v>
      </c>
    </row>
    <row r="26" customFormat="false" ht="15" hidden="false" customHeight="false" outlineLevel="0" collapsed="false">
      <c r="A26" s="22" t="s">
        <v>186</v>
      </c>
      <c r="B26" s="5" t="s">
        <v>187</v>
      </c>
      <c r="C26" s="23" t="n">
        <v>1</v>
      </c>
      <c r="D26" s="5" t="s">
        <v>130</v>
      </c>
      <c r="E26" s="5" t="s">
        <v>114</v>
      </c>
      <c r="F26" s="24" t="s">
        <v>188</v>
      </c>
      <c r="G26" s="5" t="s">
        <v>116</v>
      </c>
      <c r="H26" s="25" t="n">
        <v>63</v>
      </c>
      <c r="I26" s="5" t="s">
        <v>127</v>
      </c>
      <c r="J26" s="24" t="s">
        <v>118</v>
      </c>
      <c r="K26" s="24" t="s">
        <v>109</v>
      </c>
      <c r="L26" s="26" t="s">
        <v>110</v>
      </c>
    </row>
    <row r="27" customFormat="false" ht="15" hidden="false" customHeight="false" outlineLevel="0" collapsed="false">
      <c r="A27" s="27" t="s">
        <v>189</v>
      </c>
      <c r="B27" s="28" t="s">
        <v>190</v>
      </c>
      <c r="C27" s="33" t="n">
        <v>3</v>
      </c>
      <c r="D27" s="28" t="s">
        <v>133</v>
      </c>
      <c r="E27" s="28" t="s">
        <v>191</v>
      </c>
      <c r="F27" s="30" t="s">
        <v>134</v>
      </c>
      <c r="G27" s="28" t="s">
        <v>106</v>
      </c>
      <c r="H27" s="31" t="n">
        <v>29</v>
      </c>
      <c r="I27" s="28" t="s">
        <v>107</v>
      </c>
      <c r="J27" s="30" t="s">
        <v>108</v>
      </c>
      <c r="K27" s="30" t="s">
        <v>109</v>
      </c>
      <c r="L27" s="32" t="s">
        <v>110</v>
      </c>
    </row>
    <row r="28" customFormat="false" ht="15" hidden="false" customHeight="false" outlineLevel="0" collapsed="false">
      <c r="A28" s="22" t="s">
        <v>192</v>
      </c>
      <c r="B28" s="5" t="s">
        <v>139</v>
      </c>
      <c r="C28" s="23" t="n">
        <v>17819</v>
      </c>
      <c r="D28" s="5" t="s">
        <v>103</v>
      </c>
      <c r="E28" s="5" t="s">
        <v>193</v>
      </c>
      <c r="F28" s="24" t="s">
        <v>194</v>
      </c>
      <c r="G28" s="5" t="s">
        <v>122</v>
      </c>
      <c r="H28" s="25" t="n">
        <v>1</v>
      </c>
      <c r="I28" s="5" t="s">
        <v>107</v>
      </c>
      <c r="J28" s="24" t="s">
        <v>123</v>
      </c>
      <c r="K28" s="24" t="s">
        <v>109</v>
      </c>
      <c r="L28" s="26" t="s">
        <v>110</v>
      </c>
    </row>
    <row r="29" customFormat="false" ht="15" hidden="false" customHeight="false" outlineLevel="0" collapsed="false">
      <c r="A29" s="27" t="s">
        <v>195</v>
      </c>
      <c r="B29" s="28" t="s">
        <v>196</v>
      </c>
      <c r="C29" s="29" t="n">
        <v>0.5</v>
      </c>
      <c r="D29" s="28" t="s">
        <v>113</v>
      </c>
      <c r="E29" s="28" t="s">
        <v>114</v>
      </c>
      <c r="F29" s="30" t="s">
        <v>115</v>
      </c>
      <c r="G29" s="28" t="s">
        <v>116</v>
      </c>
      <c r="H29" s="31" t="n">
        <v>63</v>
      </c>
      <c r="I29" s="28" t="s">
        <v>127</v>
      </c>
      <c r="J29" s="30" t="s">
        <v>118</v>
      </c>
      <c r="K29" s="30" t="s">
        <v>109</v>
      </c>
      <c r="L29" s="32" t="s">
        <v>110</v>
      </c>
    </row>
    <row r="30" customFormat="false" ht="15" hidden="false" customHeight="false" outlineLevel="0" collapsed="false">
      <c r="A30" s="22" t="s">
        <v>197</v>
      </c>
      <c r="B30" s="5" t="s">
        <v>198</v>
      </c>
      <c r="C30" s="23" t="n">
        <v>2</v>
      </c>
      <c r="D30" s="5" t="s">
        <v>130</v>
      </c>
      <c r="E30" s="5" t="s">
        <v>199</v>
      </c>
      <c r="F30" s="24" t="s">
        <v>200</v>
      </c>
      <c r="G30" s="5" t="s">
        <v>106</v>
      </c>
      <c r="H30" s="25" t="n">
        <v>29</v>
      </c>
      <c r="I30" s="5" t="s">
        <v>127</v>
      </c>
      <c r="J30" s="24" t="s">
        <v>108</v>
      </c>
      <c r="K30" s="24" t="s">
        <v>109</v>
      </c>
      <c r="L30" s="26" t="s">
        <v>110</v>
      </c>
    </row>
    <row r="31" customFormat="false" ht="15" hidden="false" customHeight="false" outlineLevel="0" collapsed="false">
      <c r="A31" s="27" t="s">
        <v>201</v>
      </c>
      <c r="B31" s="28" t="s">
        <v>202</v>
      </c>
      <c r="C31" s="33" t="n">
        <v>9332</v>
      </c>
      <c r="D31" s="28" t="s">
        <v>103</v>
      </c>
      <c r="E31" s="28" t="s">
        <v>147</v>
      </c>
      <c r="F31" s="30" t="s">
        <v>203</v>
      </c>
      <c r="G31" s="28" t="s">
        <v>106</v>
      </c>
      <c r="H31" s="31" t="n">
        <v>14</v>
      </c>
      <c r="I31" s="28" t="s">
        <v>107</v>
      </c>
      <c r="J31" s="30" t="s">
        <v>108</v>
      </c>
      <c r="K31" s="30" t="s">
        <v>109</v>
      </c>
      <c r="L31" s="32" t="s">
        <v>110</v>
      </c>
    </row>
    <row r="32" customFormat="false" ht="15" hidden="false" customHeight="false" outlineLevel="0" collapsed="false">
      <c r="A32" s="22" t="s">
        <v>204</v>
      </c>
      <c r="B32" s="5" t="s">
        <v>205</v>
      </c>
      <c r="C32" s="34" t="n">
        <v>1.5</v>
      </c>
      <c r="D32" s="5" t="s">
        <v>206</v>
      </c>
      <c r="E32" s="5" t="s">
        <v>170</v>
      </c>
      <c r="F32" s="24" t="s">
        <v>207</v>
      </c>
      <c r="G32" s="5" t="s">
        <v>172</v>
      </c>
      <c r="H32" s="25" t="n">
        <v>337</v>
      </c>
      <c r="I32" s="5" t="s">
        <v>127</v>
      </c>
      <c r="J32" s="24" t="s">
        <v>173</v>
      </c>
      <c r="K32" s="24" t="s">
        <v>109</v>
      </c>
      <c r="L32" s="26" t="s">
        <v>110</v>
      </c>
    </row>
    <row r="33" customFormat="false" ht="15" hidden="false" customHeight="false" outlineLevel="0" collapsed="false">
      <c r="A33" s="27" t="s">
        <v>208</v>
      </c>
      <c r="B33" s="28" t="s">
        <v>209</v>
      </c>
      <c r="C33" s="33" t="n">
        <v>-288</v>
      </c>
      <c r="D33" s="28" t="s">
        <v>103</v>
      </c>
      <c r="E33" s="28" t="s">
        <v>104</v>
      </c>
      <c r="F33" s="30" t="s">
        <v>210</v>
      </c>
      <c r="G33" s="28" t="s">
        <v>149</v>
      </c>
      <c r="H33" s="31" t="n">
        <v>25</v>
      </c>
      <c r="I33" s="28" t="s">
        <v>127</v>
      </c>
      <c r="J33" s="30" t="s">
        <v>150</v>
      </c>
      <c r="K33" s="30" t="s">
        <v>109</v>
      </c>
      <c r="L33" s="32" t="s">
        <v>110</v>
      </c>
    </row>
    <row r="34" customFormat="false" ht="15" hidden="false" customHeight="false" outlineLevel="0" collapsed="false">
      <c r="A34" s="22" t="s">
        <v>211</v>
      </c>
      <c r="B34" s="5" t="s">
        <v>159</v>
      </c>
      <c r="C34" s="23" t="n">
        <v>1178</v>
      </c>
      <c r="D34" s="5" t="s">
        <v>103</v>
      </c>
      <c r="E34" s="5" t="s">
        <v>120</v>
      </c>
      <c r="F34" s="24" t="s">
        <v>212</v>
      </c>
      <c r="G34" s="5" t="s">
        <v>122</v>
      </c>
      <c r="H34" s="25" t="n">
        <v>1</v>
      </c>
      <c r="I34" s="5" t="s">
        <v>127</v>
      </c>
      <c r="J34" s="24" t="s">
        <v>123</v>
      </c>
      <c r="K34" s="24" t="s">
        <v>109</v>
      </c>
      <c r="L34" s="26" t="s">
        <v>110</v>
      </c>
    </row>
    <row r="35" customFormat="false" ht="15" hidden="false" customHeight="false" outlineLevel="0" collapsed="false">
      <c r="A35" s="27" t="s">
        <v>213</v>
      </c>
      <c r="B35" s="28" t="s">
        <v>214</v>
      </c>
      <c r="C35" s="29" t="n">
        <v>0.1</v>
      </c>
      <c r="D35" s="28" t="s">
        <v>130</v>
      </c>
      <c r="E35" s="28" t="s">
        <v>104</v>
      </c>
      <c r="F35" s="30" t="s">
        <v>215</v>
      </c>
      <c r="G35" s="28" t="s">
        <v>216</v>
      </c>
      <c r="H35" s="31" t="n">
        <v>14</v>
      </c>
      <c r="I35" s="28" t="s">
        <v>127</v>
      </c>
      <c r="J35" s="30" t="s">
        <v>217</v>
      </c>
      <c r="K35" s="30" t="s">
        <v>109</v>
      </c>
      <c r="L35" s="32" t="s">
        <v>110</v>
      </c>
    </row>
    <row r="36" customFormat="false" ht="15" hidden="false" customHeight="false" outlineLevel="0" collapsed="false">
      <c r="A36" s="22" t="s">
        <v>218</v>
      </c>
      <c r="B36" s="5" t="s">
        <v>219</v>
      </c>
      <c r="C36" s="34" t="n">
        <v>0.5</v>
      </c>
      <c r="D36" s="5" t="s">
        <v>130</v>
      </c>
      <c r="E36" s="5" t="s">
        <v>191</v>
      </c>
      <c r="F36" s="24" t="s">
        <v>115</v>
      </c>
      <c r="G36" s="5" t="s">
        <v>216</v>
      </c>
      <c r="H36" s="25" t="n">
        <v>14</v>
      </c>
      <c r="I36" s="5" t="s">
        <v>127</v>
      </c>
      <c r="J36" s="24" t="s">
        <v>217</v>
      </c>
      <c r="K36" s="24" t="s">
        <v>109</v>
      </c>
      <c r="L36" s="26" t="s">
        <v>110</v>
      </c>
    </row>
    <row r="37" customFormat="false" ht="15" hidden="false" customHeight="false" outlineLevel="0" collapsed="false">
      <c r="A37" s="27" t="s">
        <v>220</v>
      </c>
      <c r="B37" s="28" t="s">
        <v>221</v>
      </c>
      <c r="C37" s="33" t="n">
        <v>8</v>
      </c>
      <c r="D37" s="28" t="s">
        <v>130</v>
      </c>
      <c r="E37" s="28" t="s">
        <v>114</v>
      </c>
      <c r="F37" s="30" t="s">
        <v>157</v>
      </c>
      <c r="G37" s="28" t="s">
        <v>216</v>
      </c>
      <c r="H37" s="31" t="n">
        <v>4</v>
      </c>
      <c r="I37" s="28" t="s">
        <v>117</v>
      </c>
      <c r="J37" s="30" t="s">
        <v>217</v>
      </c>
      <c r="K37" s="30" t="s">
        <v>109</v>
      </c>
      <c r="L37" s="32" t="s">
        <v>110</v>
      </c>
    </row>
    <row r="38" customFormat="false" ht="15" hidden="false" customHeight="false" outlineLevel="0" collapsed="false">
      <c r="A38" s="22" t="s">
        <v>222</v>
      </c>
      <c r="B38" s="5" t="s">
        <v>223</v>
      </c>
      <c r="C38" s="23" t="n">
        <v>9196</v>
      </c>
      <c r="D38" s="5" t="s">
        <v>224</v>
      </c>
      <c r="E38" s="5" t="s">
        <v>225</v>
      </c>
      <c r="F38" s="24" t="s">
        <v>226</v>
      </c>
      <c r="G38" s="5" t="s">
        <v>172</v>
      </c>
      <c r="H38" s="25" t="n">
        <v>226</v>
      </c>
      <c r="I38" s="5" t="s">
        <v>227</v>
      </c>
      <c r="J38" s="24" t="s">
        <v>173</v>
      </c>
      <c r="K38" s="24" t="s">
        <v>109</v>
      </c>
      <c r="L38" s="26" t="s">
        <v>110</v>
      </c>
    </row>
    <row r="39" customFormat="false" ht="15" hidden="false" customHeight="false" outlineLevel="0" collapsed="false">
      <c r="A39" s="27" t="s">
        <v>228</v>
      </c>
      <c r="B39" s="28" t="s">
        <v>223</v>
      </c>
      <c r="C39" s="33" t="n">
        <v>9181</v>
      </c>
      <c r="D39" s="28" t="s">
        <v>224</v>
      </c>
      <c r="E39" s="28" t="s">
        <v>170</v>
      </c>
      <c r="F39" s="30" t="s">
        <v>229</v>
      </c>
      <c r="G39" s="28" t="s">
        <v>172</v>
      </c>
      <c r="H39" s="31" t="n">
        <v>226</v>
      </c>
      <c r="I39" s="28" t="s">
        <v>227</v>
      </c>
      <c r="J39" s="30" t="s">
        <v>173</v>
      </c>
      <c r="K39" s="30" t="s">
        <v>109</v>
      </c>
      <c r="L39" s="32" t="s">
        <v>110</v>
      </c>
    </row>
    <row r="40" customFormat="false" ht="15" hidden="false" customHeight="false" outlineLevel="0" collapsed="false">
      <c r="A40" s="22" t="s">
        <v>230</v>
      </c>
      <c r="B40" s="5" t="s">
        <v>231</v>
      </c>
      <c r="C40" s="23" t="n">
        <v>9</v>
      </c>
      <c r="D40" s="5" t="s">
        <v>232</v>
      </c>
      <c r="E40" s="5" t="s">
        <v>156</v>
      </c>
      <c r="F40" s="24" t="s">
        <v>233</v>
      </c>
      <c r="G40" s="5" t="s">
        <v>172</v>
      </c>
      <c r="H40" s="25" t="n">
        <v>226</v>
      </c>
      <c r="I40" s="5" t="s">
        <v>227</v>
      </c>
      <c r="J40" s="24" t="s">
        <v>173</v>
      </c>
      <c r="K40" s="24" t="s">
        <v>109</v>
      </c>
      <c r="L40" s="26" t="s">
        <v>110</v>
      </c>
    </row>
    <row r="41" customFormat="false" ht="15" hidden="false" customHeight="false" outlineLevel="0" collapsed="false">
      <c r="A41" s="27" t="s">
        <v>234</v>
      </c>
      <c r="B41" s="28" t="s">
        <v>235</v>
      </c>
      <c r="C41" s="33" t="n">
        <v>10</v>
      </c>
      <c r="D41" s="28" t="s">
        <v>232</v>
      </c>
      <c r="E41" s="28" t="s">
        <v>156</v>
      </c>
      <c r="F41" s="30" t="s">
        <v>236</v>
      </c>
      <c r="G41" s="28" t="s">
        <v>116</v>
      </c>
      <c r="H41" s="31" t="n">
        <v>9</v>
      </c>
      <c r="I41" s="28" t="s">
        <v>227</v>
      </c>
      <c r="J41" s="30" t="s">
        <v>118</v>
      </c>
      <c r="K41" s="30" t="s">
        <v>109</v>
      </c>
      <c r="L41" s="32" t="s">
        <v>110</v>
      </c>
    </row>
    <row r="42" customFormat="false" ht="15" hidden="false" customHeight="false" outlineLevel="0" collapsed="false">
      <c r="A42" s="22" t="s">
        <v>237</v>
      </c>
      <c r="B42" s="5" t="s">
        <v>238</v>
      </c>
      <c r="C42" s="23" t="n">
        <v>1392</v>
      </c>
      <c r="D42" s="5" t="s">
        <v>103</v>
      </c>
      <c r="E42" s="5" t="s">
        <v>160</v>
      </c>
      <c r="F42" s="24" t="s">
        <v>239</v>
      </c>
      <c r="G42" s="5" t="s">
        <v>122</v>
      </c>
      <c r="H42" s="25" t="n">
        <v>9</v>
      </c>
      <c r="I42" s="5" t="s">
        <v>227</v>
      </c>
      <c r="J42" s="24" t="s">
        <v>123</v>
      </c>
      <c r="K42" s="24" t="s">
        <v>109</v>
      </c>
      <c r="L42" s="26" t="s">
        <v>110</v>
      </c>
    </row>
    <row r="43" customFormat="false" ht="15" hidden="false" customHeight="false" outlineLevel="0" collapsed="false">
      <c r="A43" s="27" t="s">
        <v>240</v>
      </c>
      <c r="B43" s="28" t="s">
        <v>238</v>
      </c>
      <c r="C43" s="33" t="n">
        <v>1475</v>
      </c>
      <c r="D43" s="28" t="s">
        <v>103</v>
      </c>
      <c r="E43" s="28" t="s">
        <v>120</v>
      </c>
      <c r="F43" s="30" t="s">
        <v>241</v>
      </c>
      <c r="G43" s="28" t="s">
        <v>122</v>
      </c>
      <c r="H43" s="31" t="n">
        <v>9</v>
      </c>
      <c r="I43" s="28" t="s">
        <v>227</v>
      </c>
      <c r="J43" s="30" t="s">
        <v>123</v>
      </c>
      <c r="K43" s="30" t="s">
        <v>109</v>
      </c>
      <c r="L43" s="32" t="s">
        <v>110</v>
      </c>
    </row>
    <row r="44" customFormat="false" ht="15" hidden="false" customHeight="false" outlineLevel="0" collapsed="false">
      <c r="A44" s="22" t="s">
        <v>242</v>
      </c>
      <c r="B44" s="5" t="s">
        <v>243</v>
      </c>
      <c r="C44" s="23" t="n">
        <v>1189</v>
      </c>
      <c r="D44" s="5" t="s">
        <v>103</v>
      </c>
      <c r="E44" s="5" t="s">
        <v>104</v>
      </c>
      <c r="F44" s="24" t="s">
        <v>244</v>
      </c>
      <c r="G44" s="5" t="s">
        <v>245</v>
      </c>
      <c r="H44" s="25" t="n">
        <v>7</v>
      </c>
      <c r="I44" s="5" t="s">
        <v>227</v>
      </c>
      <c r="J44" s="24" t="s">
        <v>246</v>
      </c>
      <c r="K44" s="24" t="s">
        <v>109</v>
      </c>
      <c r="L44" s="26" t="s">
        <v>110</v>
      </c>
    </row>
    <row r="45" customFormat="false" ht="15" hidden="false" customHeight="false" outlineLevel="0" collapsed="false">
      <c r="A45" s="27" t="s">
        <v>247</v>
      </c>
      <c r="B45" s="28" t="s">
        <v>248</v>
      </c>
      <c r="C45" s="33" t="n">
        <v>2989</v>
      </c>
      <c r="D45" s="28" t="s">
        <v>249</v>
      </c>
      <c r="E45" s="28" t="s">
        <v>250</v>
      </c>
      <c r="F45" s="30" t="s">
        <v>251</v>
      </c>
      <c r="G45" s="28" t="s">
        <v>106</v>
      </c>
      <c r="H45" s="31" t="n">
        <v>46</v>
      </c>
      <c r="I45" s="28" t="s">
        <v>227</v>
      </c>
      <c r="J45" s="30" t="s">
        <v>108</v>
      </c>
      <c r="K45" s="30" t="s">
        <v>109</v>
      </c>
      <c r="L45" s="32" t="s">
        <v>110</v>
      </c>
    </row>
    <row r="46" customFormat="false" ht="15" hidden="false" customHeight="false" outlineLevel="0" collapsed="false">
      <c r="A46" s="22" t="s">
        <v>252</v>
      </c>
      <c r="B46" s="5" t="s">
        <v>248</v>
      </c>
      <c r="C46" s="23" t="n">
        <v>2542</v>
      </c>
      <c r="D46" s="5" t="s">
        <v>103</v>
      </c>
      <c r="E46" s="5" t="s">
        <v>250</v>
      </c>
      <c r="F46" s="24" t="s">
        <v>253</v>
      </c>
      <c r="G46" s="5" t="s">
        <v>106</v>
      </c>
      <c r="H46" s="25" t="n">
        <v>46</v>
      </c>
      <c r="I46" s="5" t="s">
        <v>227</v>
      </c>
      <c r="J46" s="24" t="s">
        <v>108</v>
      </c>
      <c r="K46" s="24" t="s">
        <v>109</v>
      </c>
      <c r="L46" s="26" t="s">
        <v>110</v>
      </c>
    </row>
    <row r="47" customFormat="false" ht="15" hidden="false" customHeight="false" outlineLevel="0" collapsed="false">
      <c r="A47" s="27" t="s">
        <v>254</v>
      </c>
      <c r="B47" s="28" t="s">
        <v>255</v>
      </c>
      <c r="C47" s="33" t="n">
        <v>1106</v>
      </c>
      <c r="D47" s="28" t="s">
        <v>103</v>
      </c>
      <c r="E47" s="28" t="s">
        <v>140</v>
      </c>
      <c r="F47" s="30" t="s">
        <v>256</v>
      </c>
      <c r="G47" s="28" t="s">
        <v>172</v>
      </c>
      <c r="H47" s="31" t="n">
        <v>432</v>
      </c>
      <c r="I47" s="28" t="s">
        <v>257</v>
      </c>
      <c r="J47" s="30" t="s">
        <v>173</v>
      </c>
      <c r="K47" s="30" t="s">
        <v>109</v>
      </c>
      <c r="L47" s="32" t="s">
        <v>110</v>
      </c>
    </row>
    <row r="48" customFormat="false" ht="15" hidden="false" customHeight="false" outlineLevel="0" collapsed="false">
      <c r="A48" s="22" t="s">
        <v>258</v>
      </c>
      <c r="B48" s="5" t="s">
        <v>259</v>
      </c>
      <c r="C48" s="23" t="n">
        <v>53</v>
      </c>
      <c r="D48" s="5" t="s">
        <v>103</v>
      </c>
      <c r="E48" s="5" t="s">
        <v>140</v>
      </c>
      <c r="F48" s="24" t="s">
        <v>260</v>
      </c>
      <c r="G48" s="5" t="s">
        <v>172</v>
      </c>
      <c r="H48" s="25" t="n">
        <v>432</v>
      </c>
      <c r="I48" s="5" t="s">
        <v>257</v>
      </c>
      <c r="J48" s="24" t="s">
        <v>173</v>
      </c>
      <c r="K48" s="24" t="s">
        <v>109</v>
      </c>
      <c r="L48" s="26" t="s">
        <v>110</v>
      </c>
    </row>
    <row r="49" customFormat="false" ht="15" hidden="false" customHeight="false" outlineLevel="0" collapsed="false">
      <c r="A49" s="27" t="s">
        <v>261</v>
      </c>
      <c r="B49" s="28" t="s">
        <v>262</v>
      </c>
      <c r="C49" s="33" t="n">
        <v>1290</v>
      </c>
      <c r="D49" s="28" t="s">
        <v>103</v>
      </c>
      <c r="E49" s="28" t="s">
        <v>147</v>
      </c>
      <c r="F49" s="30" t="s">
        <v>263</v>
      </c>
      <c r="G49" s="28" t="s">
        <v>149</v>
      </c>
      <c r="H49" s="31" t="n">
        <v>65</v>
      </c>
      <c r="I49" s="28" t="s">
        <v>257</v>
      </c>
      <c r="J49" s="30" t="s">
        <v>150</v>
      </c>
      <c r="K49" s="30" t="s">
        <v>109</v>
      </c>
      <c r="L49" s="32" t="s">
        <v>110</v>
      </c>
    </row>
    <row r="50" customFormat="false" ht="15" hidden="false" customHeight="false" outlineLevel="0" collapsed="false">
      <c r="A50" s="22" t="s">
        <v>264</v>
      </c>
      <c r="B50" s="5" t="s">
        <v>265</v>
      </c>
      <c r="C50" s="23" t="n">
        <v>461</v>
      </c>
      <c r="D50" s="5" t="s">
        <v>103</v>
      </c>
      <c r="E50" s="5" t="s">
        <v>147</v>
      </c>
      <c r="F50" s="24" t="s">
        <v>266</v>
      </c>
      <c r="G50" s="5" t="s">
        <v>149</v>
      </c>
      <c r="H50" s="25" t="n">
        <v>65</v>
      </c>
      <c r="I50" s="5" t="s">
        <v>257</v>
      </c>
      <c r="J50" s="24" t="s">
        <v>150</v>
      </c>
      <c r="K50" s="24" t="s">
        <v>109</v>
      </c>
      <c r="L50" s="26" t="s">
        <v>110</v>
      </c>
    </row>
    <row r="51" customFormat="false" ht="15" hidden="false" customHeight="false" outlineLevel="0" collapsed="false">
      <c r="A51" s="27" t="s">
        <v>267</v>
      </c>
      <c r="B51" s="28" t="s">
        <v>268</v>
      </c>
      <c r="C51" s="33" t="n">
        <v>3</v>
      </c>
      <c r="D51" s="28" t="s">
        <v>269</v>
      </c>
      <c r="E51" s="28" t="s">
        <v>270</v>
      </c>
      <c r="F51" s="30" t="s">
        <v>271</v>
      </c>
      <c r="G51" s="28" t="s">
        <v>272</v>
      </c>
      <c r="H51" s="31" t="n">
        <v>3</v>
      </c>
      <c r="I51" s="28" t="s">
        <v>273</v>
      </c>
      <c r="J51" s="30" t="s">
        <v>274</v>
      </c>
      <c r="K51" s="30" t="s">
        <v>109</v>
      </c>
      <c r="L51" s="32" t="s">
        <v>110</v>
      </c>
    </row>
    <row r="52" customFormat="false" ht="15" hidden="false" customHeight="false" outlineLevel="0" collapsed="false">
      <c r="A52" s="22" t="s">
        <v>275</v>
      </c>
      <c r="B52" s="5" t="s">
        <v>276</v>
      </c>
      <c r="C52" s="34" t="n">
        <v>2.6</v>
      </c>
      <c r="D52" s="5" t="s">
        <v>130</v>
      </c>
      <c r="E52" s="5" t="s">
        <v>270</v>
      </c>
      <c r="F52" s="24" t="s">
        <v>277</v>
      </c>
      <c r="G52" s="5" t="s">
        <v>272</v>
      </c>
      <c r="H52" s="25" t="n">
        <v>3</v>
      </c>
      <c r="I52" s="5" t="s">
        <v>273</v>
      </c>
      <c r="J52" s="24" t="s">
        <v>274</v>
      </c>
      <c r="K52" s="24" t="s">
        <v>109</v>
      </c>
      <c r="L52" s="26" t="s">
        <v>110</v>
      </c>
    </row>
    <row r="53" customFormat="false" ht="15" hidden="false" customHeight="false" outlineLevel="0" collapsed="false">
      <c r="A53" s="27" t="s">
        <v>278</v>
      </c>
      <c r="B53" s="28" t="s">
        <v>279</v>
      </c>
      <c r="C53" s="29" t="n">
        <v>9.8</v>
      </c>
      <c r="D53" s="28" t="s">
        <v>133</v>
      </c>
      <c r="E53" s="28" t="s">
        <v>280</v>
      </c>
      <c r="F53" s="30" t="s">
        <v>281</v>
      </c>
      <c r="G53" s="28" t="s">
        <v>272</v>
      </c>
      <c r="H53" s="31" t="n">
        <v>3</v>
      </c>
      <c r="I53" s="28" t="s">
        <v>273</v>
      </c>
      <c r="J53" s="30" t="s">
        <v>274</v>
      </c>
      <c r="K53" s="30" t="s">
        <v>109</v>
      </c>
      <c r="L53" s="32" t="s">
        <v>110</v>
      </c>
    </row>
    <row r="54" customFormat="false" ht="15" hidden="false" customHeight="false" outlineLevel="0" collapsed="false">
      <c r="A54" s="22" t="s">
        <v>282</v>
      </c>
      <c r="B54" s="5" t="s">
        <v>283</v>
      </c>
      <c r="C54" s="23" t="n">
        <v>120</v>
      </c>
      <c r="D54" s="5" t="s">
        <v>249</v>
      </c>
      <c r="E54" s="5" t="s">
        <v>284</v>
      </c>
      <c r="F54" s="24" t="s">
        <v>285</v>
      </c>
      <c r="G54" s="5" t="s">
        <v>272</v>
      </c>
      <c r="H54" s="25" t="n">
        <v>13</v>
      </c>
      <c r="I54" s="5" t="s">
        <v>273</v>
      </c>
      <c r="J54" s="24" t="s">
        <v>274</v>
      </c>
      <c r="K54" s="24" t="s">
        <v>109</v>
      </c>
      <c r="L54" s="26" t="s">
        <v>110</v>
      </c>
    </row>
    <row r="55" customFormat="false" ht="15" hidden="false" customHeight="false" outlineLevel="0" collapsed="false">
      <c r="A55" s="27" t="s">
        <v>286</v>
      </c>
      <c r="B55" s="28" t="s">
        <v>287</v>
      </c>
      <c r="C55" s="33" t="n">
        <v>90</v>
      </c>
      <c r="D55" s="28" t="s">
        <v>249</v>
      </c>
      <c r="E55" s="28" t="s">
        <v>288</v>
      </c>
      <c r="F55" s="30" t="s">
        <v>289</v>
      </c>
      <c r="G55" s="28" t="s">
        <v>272</v>
      </c>
      <c r="H55" s="31" t="n">
        <v>13</v>
      </c>
      <c r="I55" s="28" t="s">
        <v>273</v>
      </c>
      <c r="J55" s="30" t="s">
        <v>274</v>
      </c>
      <c r="K55" s="30" t="s">
        <v>109</v>
      </c>
      <c r="L55" s="32" t="s">
        <v>110</v>
      </c>
    </row>
    <row r="56" customFormat="false" ht="15" hidden="false" customHeight="false" outlineLevel="0" collapsed="false">
      <c r="A56" s="22" t="s">
        <v>290</v>
      </c>
      <c r="B56" s="5" t="s">
        <v>291</v>
      </c>
      <c r="C56" s="23" t="n">
        <v>200</v>
      </c>
      <c r="D56" s="5" t="s">
        <v>249</v>
      </c>
      <c r="E56" s="5" t="s">
        <v>292</v>
      </c>
      <c r="F56" s="24" t="s">
        <v>293</v>
      </c>
      <c r="G56" s="5" t="s">
        <v>272</v>
      </c>
      <c r="H56" s="25" t="n">
        <v>6</v>
      </c>
      <c r="I56" s="5" t="s">
        <v>107</v>
      </c>
      <c r="J56" s="24" t="s">
        <v>274</v>
      </c>
      <c r="K56" s="24" t="s">
        <v>109</v>
      </c>
      <c r="L56" s="26" t="s">
        <v>110</v>
      </c>
    </row>
    <row r="57" customFormat="false" ht="15" hidden="false" customHeight="false" outlineLevel="0" collapsed="false">
      <c r="A57" s="27" t="s">
        <v>294</v>
      </c>
      <c r="B57" s="28" t="s">
        <v>295</v>
      </c>
      <c r="C57" s="33" t="n">
        <v>1030</v>
      </c>
      <c r="D57" s="28" t="s">
        <v>249</v>
      </c>
      <c r="E57" s="28" t="s">
        <v>292</v>
      </c>
      <c r="F57" s="30" t="s">
        <v>296</v>
      </c>
      <c r="G57" s="28" t="s">
        <v>272</v>
      </c>
      <c r="H57" s="31" t="n">
        <v>6</v>
      </c>
      <c r="I57" s="28" t="s">
        <v>227</v>
      </c>
      <c r="J57" s="30" t="s">
        <v>274</v>
      </c>
      <c r="K57" s="30" t="s">
        <v>109</v>
      </c>
      <c r="L57" s="32" t="s">
        <v>110</v>
      </c>
    </row>
    <row r="58" customFormat="false" ht="15" hidden="false" customHeight="false" outlineLevel="0" collapsed="false">
      <c r="A58" s="22" t="s">
        <v>297</v>
      </c>
      <c r="B58" s="5" t="s">
        <v>298</v>
      </c>
      <c r="C58" s="23" t="n">
        <v>60</v>
      </c>
      <c r="D58" s="5" t="s">
        <v>299</v>
      </c>
      <c r="E58" s="5" t="s">
        <v>292</v>
      </c>
      <c r="F58" s="24" t="s">
        <v>300</v>
      </c>
      <c r="G58" s="5" t="s">
        <v>272</v>
      </c>
      <c r="H58" s="25" t="n">
        <v>6</v>
      </c>
      <c r="I58" s="5" t="s">
        <v>127</v>
      </c>
      <c r="J58" s="24" t="s">
        <v>274</v>
      </c>
      <c r="K58" s="24" t="s">
        <v>109</v>
      </c>
      <c r="L58" s="26" t="s">
        <v>110</v>
      </c>
    </row>
    <row r="59" customFormat="false" ht="15" hidden="false" customHeight="false" outlineLevel="0" collapsed="false">
      <c r="A59" s="27" t="s">
        <v>301</v>
      </c>
      <c r="B59" s="28" t="s">
        <v>295</v>
      </c>
      <c r="C59" s="33" t="n">
        <v>980</v>
      </c>
      <c r="D59" s="28" t="s">
        <v>249</v>
      </c>
      <c r="E59" s="28" t="s">
        <v>302</v>
      </c>
      <c r="F59" s="30" t="s">
        <v>303</v>
      </c>
      <c r="G59" s="28" t="s">
        <v>272</v>
      </c>
      <c r="H59" s="31" t="n">
        <v>7</v>
      </c>
      <c r="I59" s="28" t="s">
        <v>227</v>
      </c>
      <c r="J59" s="30" t="s">
        <v>274</v>
      </c>
      <c r="K59" s="30" t="s">
        <v>109</v>
      </c>
      <c r="L59" s="32" t="s">
        <v>110</v>
      </c>
    </row>
    <row r="60" customFormat="false" ht="15" hidden="false" customHeight="false" outlineLevel="0" collapsed="false">
      <c r="A60" s="22" t="s">
        <v>304</v>
      </c>
      <c r="B60" s="5" t="s">
        <v>305</v>
      </c>
      <c r="C60" s="23" t="n">
        <v>3</v>
      </c>
      <c r="D60" s="5" t="s">
        <v>133</v>
      </c>
      <c r="E60" s="5" t="s">
        <v>191</v>
      </c>
      <c r="F60" s="24" t="s">
        <v>134</v>
      </c>
      <c r="G60" s="5" t="s">
        <v>272</v>
      </c>
      <c r="H60" s="25" t="n">
        <v>16</v>
      </c>
      <c r="I60" s="5" t="s">
        <v>107</v>
      </c>
      <c r="J60" s="24" t="s">
        <v>274</v>
      </c>
      <c r="K60" s="24" t="s">
        <v>109</v>
      </c>
      <c r="L60" s="26" t="s">
        <v>110</v>
      </c>
    </row>
    <row r="61" customFormat="false" ht="15" hidden="false" customHeight="false" outlineLevel="0" collapsed="false">
      <c r="A61" s="27" t="s">
        <v>306</v>
      </c>
      <c r="B61" s="28" t="s">
        <v>307</v>
      </c>
      <c r="C61" s="33" t="n">
        <v>3</v>
      </c>
      <c r="D61" s="28" t="s">
        <v>133</v>
      </c>
      <c r="E61" s="28" t="s">
        <v>156</v>
      </c>
      <c r="F61" s="30" t="s">
        <v>134</v>
      </c>
      <c r="G61" s="28" t="s">
        <v>272</v>
      </c>
      <c r="H61" s="31" t="n">
        <v>16</v>
      </c>
      <c r="I61" s="28" t="s">
        <v>107</v>
      </c>
      <c r="J61" s="30" t="s">
        <v>274</v>
      </c>
      <c r="K61" s="30" t="s">
        <v>109</v>
      </c>
      <c r="L61" s="32" t="s">
        <v>110</v>
      </c>
    </row>
    <row r="62" customFormat="false" ht="15" hidden="false" customHeight="false" outlineLevel="0" collapsed="false">
      <c r="A62" s="22" t="s">
        <v>308</v>
      </c>
      <c r="B62" s="5" t="s">
        <v>309</v>
      </c>
      <c r="C62" s="23" t="n">
        <v>3</v>
      </c>
      <c r="D62" s="5" t="s">
        <v>133</v>
      </c>
      <c r="E62" s="5" t="s">
        <v>310</v>
      </c>
      <c r="F62" s="24" t="s">
        <v>134</v>
      </c>
      <c r="G62" s="5" t="s">
        <v>245</v>
      </c>
      <c r="H62" s="25" t="n">
        <v>3</v>
      </c>
      <c r="I62" s="5" t="s">
        <v>107</v>
      </c>
      <c r="J62" s="24" t="s">
        <v>246</v>
      </c>
      <c r="K62" s="24" t="s">
        <v>109</v>
      </c>
      <c r="L62" s="26" t="s">
        <v>110</v>
      </c>
    </row>
    <row r="63" customFormat="false" ht="15" hidden="false" customHeight="false" outlineLevel="0" collapsed="false">
      <c r="A63" s="27" t="s">
        <v>311</v>
      </c>
      <c r="B63" s="28" t="s">
        <v>312</v>
      </c>
      <c r="C63" s="29" t="n">
        <v>4.3</v>
      </c>
      <c r="D63" s="28" t="s">
        <v>130</v>
      </c>
      <c r="E63" s="28" t="s">
        <v>225</v>
      </c>
      <c r="F63" s="30" t="s">
        <v>313</v>
      </c>
      <c r="G63" s="28" t="s">
        <v>272</v>
      </c>
      <c r="H63" s="31" t="n">
        <v>4</v>
      </c>
      <c r="I63" s="28" t="s">
        <v>227</v>
      </c>
      <c r="J63" s="30" t="s">
        <v>274</v>
      </c>
      <c r="K63" s="30" t="s">
        <v>109</v>
      </c>
      <c r="L63" s="32" t="s">
        <v>110</v>
      </c>
    </row>
    <row r="64" customFormat="false" ht="15" hidden="false" customHeight="false" outlineLevel="0" collapsed="false">
      <c r="A64" s="22" t="s">
        <v>314</v>
      </c>
      <c r="B64" s="5" t="s">
        <v>315</v>
      </c>
      <c r="C64" s="34" t="n">
        <v>5.2</v>
      </c>
      <c r="D64" s="5" t="s">
        <v>130</v>
      </c>
      <c r="E64" s="5" t="s">
        <v>302</v>
      </c>
      <c r="F64" s="24" t="s">
        <v>316</v>
      </c>
      <c r="G64" s="5" t="s">
        <v>272</v>
      </c>
      <c r="H64" s="25" t="n">
        <v>9</v>
      </c>
      <c r="I64" s="5" t="s">
        <v>227</v>
      </c>
      <c r="J64" s="24" t="s">
        <v>274</v>
      </c>
      <c r="K64" s="24" t="s">
        <v>109</v>
      </c>
      <c r="L64" s="26" t="s">
        <v>110</v>
      </c>
    </row>
    <row r="65" customFormat="false" ht="15" hidden="false" customHeight="false" outlineLevel="0" collapsed="false">
      <c r="A65" s="27" t="s">
        <v>317</v>
      </c>
      <c r="B65" s="28" t="s">
        <v>318</v>
      </c>
      <c r="C65" s="29" t="n">
        <v>0.9</v>
      </c>
      <c r="D65" s="28" t="s">
        <v>130</v>
      </c>
      <c r="E65" s="28" t="s">
        <v>302</v>
      </c>
      <c r="F65" s="30" t="s">
        <v>319</v>
      </c>
      <c r="G65" s="28" t="s">
        <v>272</v>
      </c>
      <c r="H65" s="31" t="n">
        <v>9</v>
      </c>
      <c r="I65" s="28" t="s">
        <v>227</v>
      </c>
      <c r="J65" s="30" t="s">
        <v>274</v>
      </c>
      <c r="K65" s="30" t="s">
        <v>109</v>
      </c>
      <c r="L65" s="32" t="s">
        <v>110</v>
      </c>
    </row>
    <row r="66" customFormat="false" ht="15" hidden="false" customHeight="false" outlineLevel="0" collapsed="false">
      <c r="A66" s="22" t="s">
        <v>320</v>
      </c>
      <c r="B66" s="5" t="s">
        <v>321</v>
      </c>
      <c r="C66" s="23" t="n">
        <v>17</v>
      </c>
      <c r="D66" s="5" t="s">
        <v>299</v>
      </c>
      <c r="E66" s="5" t="s">
        <v>302</v>
      </c>
      <c r="F66" s="24" t="s">
        <v>322</v>
      </c>
      <c r="G66" s="5" t="s">
        <v>272</v>
      </c>
      <c r="H66" s="25" t="n">
        <v>9</v>
      </c>
      <c r="I66" s="5" t="s">
        <v>227</v>
      </c>
      <c r="J66" s="24" t="s">
        <v>274</v>
      </c>
      <c r="K66" s="24" t="s">
        <v>109</v>
      </c>
      <c r="L66" s="26" t="s">
        <v>110</v>
      </c>
    </row>
    <row r="67" customFormat="false" ht="15" hidden="false" customHeight="false" outlineLevel="0" collapsed="false">
      <c r="A67" s="27" t="s">
        <v>323</v>
      </c>
      <c r="B67" s="28" t="s">
        <v>324</v>
      </c>
      <c r="C67" s="33" t="n">
        <v>10</v>
      </c>
      <c r="D67" s="28" t="s">
        <v>325</v>
      </c>
      <c r="E67" s="28" t="s">
        <v>114</v>
      </c>
      <c r="F67" s="30" t="s">
        <v>236</v>
      </c>
      <c r="G67" s="28" t="s">
        <v>272</v>
      </c>
      <c r="H67" s="31" t="n">
        <v>9</v>
      </c>
      <c r="I67" s="28" t="s">
        <v>227</v>
      </c>
      <c r="J67" s="30" t="s">
        <v>274</v>
      </c>
      <c r="K67" s="30" t="s">
        <v>109</v>
      </c>
      <c r="L67" s="32" t="s">
        <v>110</v>
      </c>
    </row>
    <row r="68" customFormat="false" ht="15" hidden="false" customHeight="false" outlineLevel="0" collapsed="false">
      <c r="A68" s="22" t="s">
        <v>326</v>
      </c>
      <c r="B68" s="5" t="s">
        <v>327</v>
      </c>
      <c r="C68" s="23" t="n">
        <v>430</v>
      </c>
      <c r="D68" s="5" t="s">
        <v>224</v>
      </c>
      <c r="E68" s="5" t="s">
        <v>328</v>
      </c>
      <c r="F68" s="24" t="s">
        <v>329</v>
      </c>
      <c r="G68" s="5" t="s">
        <v>272</v>
      </c>
      <c r="H68" s="25" t="n">
        <v>9</v>
      </c>
      <c r="I68" s="5" t="s">
        <v>227</v>
      </c>
      <c r="J68" s="24" t="s">
        <v>274</v>
      </c>
      <c r="K68" s="24" t="s">
        <v>109</v>
      </c>
      <c r="L68" s="26" t="s">
        <v>110</v>
      </c>
    </row>
    <row r="69" customFormat="false" ht="15" hidden="false" customHeight="false" outlineLevel="0" collapsed="false">
      <c r="A69" s="27" t="s">
        <v>330</v>
      </c>
      <c r="B69" s="28" t="s">
        <v>331</v>
      </c>
      <c r="C69" s="33" t="n">
        <v>-2301</v>
      </c>
      <c r="D69" s="28" t="s">
        <v>103</v>
      </c>
      <c r="E69" s="28" t="s">
        <v>120</v>
      </c>
      <c r="F69" s="30" t="s">
        <v>332</v>
      </c>
      <c r="G69" s="28" t="s">
        <v>122</v>
      </c>
      <c r="H69" s="31" t="n">
        <v>14</v>
      </c>
      <c r="I69" s="28" t="s">
        <v>127</v>
      </c>
      <c r="J69" s="30" t="s">
        <v>123</v>
      </c>
      <c r="K69" s="30" t="s">
        <v>109</v>
      </c>
      <c r="L69" s="32" t="s">
        <v>110</v>
      </c>
    </row>
    <row r="70" customFormat="false" ht="15" hidden="false" customHeight="false" outlineLevel="0" collapsed="false">
      <c r="A70" s="22" t="s">
        <v>333</v>
      </c>
      <c r="B70" s="5" t="s">
        <v>334</v>
      </c>
      <c r="C70" s="23" t="n">
        <v>-1023</v>
      </c>
      <c r="D70" s="5" t="s">
        <v>103</v>
      </c>
      <c r="E70" s="5" t="s">
        <v>120</v>
      </c>
      <c r="F70" s="24" t="s">
        <v>335</v>
      </c>
      <c r="G70" s="5" t="s">
        <v>122</v>
      </c>
      <c r="H70" s="25" t="n">
        <v>15</v>
      </c>
      <c r="I70" s="5" t="s">
        <v>127</v>
      </c>
      <c r="J70" s="24" t="s">
        <v>123</v>
      </c>
      <c r="K70" s="24" t="s">
        <v>109</v>
      </c>
      <c r="L70" s="26" t="s">
        <v>110</v>
      </c>
    </row>
    <row r="71" customFormat="false" ht="15" hidden="false" customHeight="false" outlineLevel="0" collapsed="false">
      <c r="A71" s="27" t="s">
        <v>336</v>
      </c>
      <c r="B71" s="28" t="s">
        <v>337</v>
      </c>
      <c r="C71" s="33" t="n">
        <v>497</v>
      </c>
      <c r="D71" s="28" t="s">
        <v>103</v>
      </c>
      <c r="E71" s="28" t="s">
        <v>120</v>
      </c>
      <c r="F71" s="30" t="s">
        <v>338</v>
      </c>
      <c r="G71" s="28" t="s">
        <v>122</v>
      </c>
      <c r="H71" s="31" t="n">
        <v>15</v>
      </c>
      <c r="I71" s="28" t="s">
        <v>107</v>
      </c>
      <c r="J71" s="30" t="s">
        <v>123</v>
      </c>
      <c r="K71" s="30" t="s">
        <v>109</v>
      </c>
      <c r="L71" s="32" t="s">
        <v>110</v>
      </c>
    </row>
    <row r="72" customFormat="false" ht="15" hidden="false" customHeight="false" outlineLevel="0" collapsed="false">
      <c r="A72" s="22" t="s">
        <v>339</v>
      </c>
      <c r="B72" s="5" t="s">
        <v>340</v>
      </c>
      <c r="C72" s="23" t="n">
        <v>318</v>
      </c>
      <c r="D72" s="5" t="s">
        <v>103</v>
      </c>
      <c r="E72" s="5" t="s">
        <v>120</v>
      </c>
      <c r="F72" s="24" t="s">
        <v>341</v>
      </c>
      <c r="G72" s="5" t="s">
        <v>122</v>
      </c>
      <c r="H72" s="25" t="n">
        <v>15</v>
      </c>
      <c r="I72" s="5" t="s">
        <v>127</v>
      </c>
      <c r="J72" s="24" t="s">
        <v>123</v>
      </c>
      <c r="K72" s="24" t="s">
        <v>109</v>
      </c>
      <c r="L72" s="26" t="s">
        <v>110</v>
      </c>
    </row>
    <row r="73" customFormat="false" ht="15" hidden="false" customHeight="false" outlineLevel="0" collapsed="false">
      <c r="A73" s="27" t="s">
        <v>342</v>
      </c>
      <c r="B73" s="28" t="s">
        <v>343</v>
      </c>
      <c r="C73" s="33" t="n">
        <v>-402</v>
      </c>
      <c r="D73" s="28" t="s">
        <v>103</v>
      </c>
      <c r="E73" s="28" t="s">
        <v>120</v>
      </c>
      <c r="F73" s="30" t="s">
        <v>344</v>
      </c>
      <c r="G73" s="28" t="s">
        <v>122</v>
      </c>
      <c r="H73" s="31" t="n">
        <v>15</v>
      </c>
      <c r="I73" s="28" t="s">
        <v>127</v>
      </c>
      <c r="J73" s="30" t="s">
        <v>123</v>
      </c>
      <c r="K73" s="30" t="s">
        <v>109</v>
      </c>
      <c r="L73" s="32" t="s">
        <v>110</v>
      </c>
    </row>
    <row r="74" customFormat="false" ht="15" hidden="false" customHeight="false" outlineLevel="0" collapsed="false">
      <c r="A74" s="22" t="s">
        <v>345</v>
      </c>
      <c r="B74" s="5" t="s">
        <v>346</v>
      </c>
      <c r="C74" s="23" t="n">
        <v>293</v>
      </c>
      <c r="D74" s="5" t="s">
        <v>103</v>
      </c>
      <c r="E74" s="5" t="s">
        <v>120</v>
      </c>
      <c r="F74" s="24" t="s">
        <v>347</v>
      </c>
      <c r="G74" s="5" t="s">
        <v>122</v>
      </c>
      <c r="H74" s="25" t="n">
        <v>15</v>
      </c>
      <c r="I74" s="5" t="s">
        <v>127</v>
      </c>
      <c r="J74" s="24" t="s">
        <v>123</v>
      </c>
      <c r="K74" s="24" t="s">
        <v>109</v>
      </c>
      <c r="L74" s="26" t="s">
        <v>110</v>
      </c>
    </row>
    <row r="75" customFormat="false" ht="15" hidden="false" customHeight="false" outlineLevel="0" collapsed="false">
      <c r="A75" s="27" t="s">
        <v>348</v>
      </c>
      <c r="B75" s="28" t="s">
        <v>209</v>
      </c>
      <c r="C75" s="33" t="n">
        <v>-451</v>
      </c>
      <c r="D75" s="28" t="s">
        <v>103</v>
      </c>
      <c r="E75" s="28" t="s">
        <v>182</v>
      </c>
      <c r="F75" s="30" t="s">
        <v>349</v>
      </c>
      <c r="G75" s="28" t="s">
        <v>149</v>
      </c>
      <c r="H75" s="31" t="n">
        <v>25</v>
      </c>
      <c r="I75" s="28" t="s">
        <v>127</v>
      </c>
      <c r="J75" s="30" t="s">
        <v>150</v>
      </c>
      <c r="K75" s="30" t="s">
        <v>109</v>
      </c>
      <c r="L75" s="32" t="s">
        <v>110</v>
      </c>
    </row>
    <row r="76" customFormat="false" ht="15" hidden="false" customHeight="false" outlineLevel="0" collapsed="false">
      <c r="A76" s="22" t="s">
        <v>350</v>
      </c>
      <c r="B76" s="5" t="s">
        <v>139</v>
      </c>
      <c r="C76" s="23" t="n">
        <v>20764</v>
      </c>
      <c r="D76" s="5" t="s">
        <v>103</v>
      </c>
      <c r="E76" s="5" t="s">
        <v>351</v>
      </c>
      <c r="F76" s="24" t="s">
        <v>352</v>
      </c>
      <c r="G76" s="5" t="s">
        <v>149</v>
      </c>
      <c r="H76" s="25" t="n">
        <v>26</v>
      </c>
      <c r="I76" s="5" t="s">
        <v>107</v>
      </c>
      <c r="J76" s="24" t="s">
        <v>150</v>
      </c>
      <c r="K76" s="24" t="s">
        <v>109</v>
      </c>
      <c r="L76" s="26" t="s">
        <v>110</v>
      </c>
    </row>
    <row r="77" customFormat="false" ht="15" hidden="false" customHeight="false" outlineLevel="0" collapsed="false">
      <c r="A77" s="27" t="s">
        <v>353</v>
      </c>
      <c r="B77" s="28" t="s">
        <v>354</v>
      </c>
      <c r="C77" s="33" t="n">
        <v>-1394</v>
      </c>
      <c r="D77" s="28" t="s">
        <v>103</v>
      </c>
      <c r="E77" s="28" t="s">
        <v>104</v>
      </c>
      <c r="F77" s="30" t="s">
        <v>355</v>
      </c>
      <c r="G77" s="28" t="s">
        <v>149</v>
      </c>
      <c r="H77" s="31" t="n">
        <v>26</v>
      </c>
      <c r="I77" s="28" t="s">
        <v>127</v>
      </c>
      <c r="J77" s="30" t="s">
        <v>150</v>
      </c>
      <c r="K77" s="30" t="s">
        <v>109</v>
      </c>
      <c r="L77" s="32" t="s">
        <v>110</v>
      </c>
    </row>
    <row r="78" customFormat="false" ht="15" hidden="false" customHeight="false" outlineLevel="0" collapsed="false">
      <c r="A78" s="22" t="s">
        <v>356</v>
      </c>
      <c r="B78" s="5" t="s">
        <v>357</v>
      </c>
      <c r="C78" s="23" t="n">
        <v>-1267</v>
      </c>
      <c r="D78" s="5" t="s">
        <v>103</v>
      </c>
      <c r="E78" s="5" t="s">
        <v>182</v>
      </c>
      <c r="F78" s="24" t="s">
        <v>358</v>
      </c>
      <c r="G78" s="5" t="s">
        <v>149</v>
      </c>
      <c r="H78" s="25" t="n">
        <v>26</v>
      </c>
      <c r="I78" s="5" t="s">
        <v>127</v>
      </c>
      <c r="J78" s="24" t="s">
        <v>150</v>
      </c>
      <c r="K78" s="24" t="s">
        <v>109</v>
      </c>
      <c r="L78" s="26" t="s">
        <v>110</v>
      </c>
    </row>
    <row r="79" customFormat="false" ht="15" hidden="false" customHeight="false" outlineLevel="0" collapsed="false">
      <c r="A79" s="27" t="s">
        <v>359</v>
      </c>
      <c r="B79" s="28" t="s">
        <v>360</v>
      </c>
      <c r="C79" s="33" t="n">
        <v>1099</v>
      </c>
      <c r="D79" s="28" t="s">
        <v>103</v>
      </c>
      <c r="E79" s="28" t="s">
        <v>191</v>
      </c>
      <c r="F79" s="30" t="s">
        <v>361</v>
      </c>
      <c r="G79" s="28" t="s">
        <v>149</v>
      </c>
      <c r="H79" s="31" t="n">
        <v>25</v>
      </c>
      <c r="I79" s="28" t="s">
        <v>127</v>
      </c>
      <c r="J79" s="30" t="s">
        <v>150</v>
      </c>
      <c r="K79" s="30" t="s">
        <v>109</v>
      </c>
      <c r="L79" s="32" t="s">
        <v>110</v>
      </c>
    </row>
    <row r="80" customFormat="false" ht="15" hidden="false" customHeight="false" outlineLevel="0" collapsed="false">
      <c r="A80" s="22" t="s">
        <v>362</v>
      </c>
      <c r="B80" s="5" t="s">
        <v>363</v>
      </c>
      <c r="C80" s="23" t="n">
        <v>-2869</v>
      </c>
      <c r="D80" s="5" t="s">
        <v>103</v>
      </c>
      <c r="E80" s="5" t="s">
        <v>104</v>
      </c>
      <c r="F80" s="24" t="s">
        <v>364</v>
      </c>
      <c r="G80" s="5" t="s">
        <v>149</v>
      </c>
      <c r="H80" s="25" t="n">
        <v>25</v>
      </c>
      <c r="I80" s="5" t="s">
        <v>127</v>
      </c>
      <c r="J80" s="24" t="s">
        <v>150</v>
      </c>
      <c r="K80" s="24" t="s">
        <v>109</v>
      </c>
      <c r="L80" s="26" t="s">
        <v>110</v>
      </c>
    </row>
    <row r="81" customFormat="false" ht="15" hidden="false" customHeight="false" outlineLevel="0" collapsed="false">
      <c r="A81" s="27" t="s">
        <v>365</v>
      </c>
      <c r="B81" s="28" t="s">
        <v>366</v>
      </c>
      <c r="C81" s="33" t="n">
        <v>-2778</v>
      </c>
      <c r="D81" s="28" t="s">
        <v>103</v>
      </c>
      <c r="E81" s="28" t="s">
        <v>104</v>
      </c>
      <c r="F81" s="30" t="s">
        <v>367</v>
      </c>
      <c r="G81" s="28" t="s">
        <v>149</v>
      </c>
      <c r="H81" s="31" t="n">
        <v>25</v>
      </c>
      <c r="I81" s="28" t="s">
        <v>273</v>
      </c>
      <c r="J81" s="30" t="s">
        <v>150</v>
      </c>
      <c r="K81" s="30" t="s">
        <v>109</v>
      </c>
      <c r="L81" s="32" t="s">
        <v>110</v>
      </c>
    </row>
    <row r="82" customFormat="false" ht="15" hidden="false" customHeight="false" outlineLevel="0" collapsed="false">
      <c r="A82" s="22" t="s">
        <v>368</v>
      </c>
      <c r="B82" s="5" t="s">
        <v>369</v>
      </c>
      <c r="C82" s="23" t="n">
        <v>-137</v>
      </c>
      <c r="D82" s="5" t="s">
        <v>103</v>
      </c>
      <c r="E82" s="5" t="s">
        <v>104</v>
      </c>
      <c r="F82" s="24" t="s">
        <v>370</v>
      </c>
      <c r="G82" s="5" t="s">
        <v>149</v>
      </c>
      <c r="H82" s="25" t="n">
        <v>25</v>
      </c>
      <c r="I82" s="5" t="s">
        <v>273</v>
      </c>
      <c r="J82" s="24" t="s">
        <v>150</v>
      </c>
      <c r="K82" s="24" t="s">
        <v>109</v>
      </c>
      <c r="L82" s="26" t="s">
        <v>110</v>
      </c>
    </row>
    <row r="83" customFormat="false" ht="15" hidden="false" customHeight="false" outlineLevel="0" collapsed="false">
      <c r="A83" s="27" t="s">
        <v>371</v>
      </c>
      <c r="B83" s="28" t="s">
        <v>372</v>
      </c>
      <c r="C83" s="33" t="n">
        <v>-260</v>
      </c>
      <c r="D83" s="28" t="s">
        <v>103</v>
      </c>
      <c r="E83" s="28" t="s">
        <v>104</v>
      </c>
      <c r="F83" s="30" t="s">
        <v>373</v>
      </c>
      <c r="G83" s="28" t="s">
        <v>149</v>
      </c>
      <c r="H83" s="31" t="n">
        <v>25</v>
      </c>
      <c r="I83" s="28" t="s">
        <v>107</v>
      </c>
      <c r="J83" s="30" t="s">
        <v>150</v>
      </c>
      <c r="K83" s="30" t="s">
        <v>109</v>
      </c>
      <c r="L83" s="32" t="s">
        <v>110</v>
      </c>
    </row>
    <row r="84" customFormat="false" ht="15" hidden="false" customHeight="false" outlineLevel="0" collapsed="false">
      <c r="A84" s="22" t="s">
        <v>374</v>
      </c>
      <c r="B84" s="5" t="s">
        <v>375</v>
      </c>
      <c r="C84" s="23" t="n">
        <v>-70</v>
      </c>
      <c r="D84" s="5" t="s">
        <v>103</v>
      </c>
      <c r="E84" s="5" t="s">
        <v>104</v>
      </c>
      <c r="F84" s="24" t="s">
        <v>376</v>
      </c>
      <c r="G84" s="5" t="s">
        <v>149</v>
      </c>
      <c r="H84" s="25" t="n">
        <v>26</v>
      </c>
      <c r="I84" s="5" t="s">
        <v>127</v>
      </c>
      <c r="J84" s="24" t="s">
        <v>150</v>
      </c>
      <c r="K84" s="24" t="s">
        <v>109</v>
      </c>
      <c r="L84" s="26" t="s">
        <v>110</v>
      </c>
    </row>
    <row r="85" customFormat="false" ht="15" hidden="false" customHeight="false" outlineLevel="0" collapsed="false">
      <c r="A85" s="27" t="s">
        <v>377</v>
      </c>
      <c r="B85" s="28" t="s">
        <v>378</v>
      </c>
      <c r="C85" s="33" t="n">
        <v>10</v>
      </c>
      <c r="D85" s="28" t="s">
        <v>103</v>
      </c>
      <c r="E85" s="28" t="s">
        <v>104</v>
      </c>
      <c r="F85" s="30" t="s">
        <v>236</v>
      </c>
      <c r="G85" s="28" t="s">
        <v>149</v>
      </c>
      <c r="H85" s="31" t="n">
        <v>26</v>
      </c>
      <c r="I85" s="28" t="s">
        <v>127</v>
      </c>
      <c r="J85" s="30" t="s">
        <v>150</v>
      </c>
      <c r="K85" s="30" t="s">
        <v>109</v>
      </c>
      <c r="L85" s="32" t="s">
        <v>110</v>
      </c>
    </row>
    <row r="86" customFormat="false" ht="15" hidden="false" customHeight="false" outlineLevel="0" collapsed="false">
      <c r="A86" s="22" t="s">
        <v>379</v>
      </c>
      <c r="B86" s="5" t="s">
        <v>380</v>
      </c>
      <c r="C86" s="23" t="n">
        <v>2</v>
      </c>
      <c r="D86" s="5" t="s">
        <v>103</v>
      </c>
      <c r="E86" s="5" t="s">
        <v>104</v>
      </c>
      <c r="F86" s="24" t="s">
        <v>200</v>
      </c>
      <c r="G86" s="5" t="s">
        <v>149</v>
      </c>
      <c r="H86" s="25" t="n">
        <v>26</v>
      </c>
      <c r="I86" s="5" t="s">
        <v>127</v>
      </c>
      <c r="J86" s="24" t="s">
        <v>150</v>
      </c>
      <c r="K86" s="24" t="s">
        <v>109</v>
      </c>
      <c r="L86" s="26" t="s">
        <v>110</v>
      </c>
    </row>
    <row r="87" customFormat="false" ht="15" hidden="false" customHeight="false" outlineLevel="0" collapsed="false">
      <c r="A87" s="27" t="s">
        <v>381</v>
      </c>
      <c r="B87" s="28" t="s">
        <v>382</v>
      </c>
      <c r="C87" s="33" t="n">
        <v>-21</v>
      </c>
      <c r="D87" s="28" t="s">
        <v>103</v>
      </c>
      <c r="E87" s="28" t="s">
        <v>104</v>
      </c>
      <c r="F87" s="30" t="s">
        <v>383</v>
      </c>
      <c r="G87" s="28" t="s">
        <v>149</v>
      </c>
      <c r="H87" s="31" t="n">
        <v>26</v>
      </c>
      <c r="I87" s="28" t="s">
        <v>107</v>
      </c>
      <c r="J87" s="30" t="s">
        <v>150</v>
      </c>
      <c r="K87" s="30" t="s">
        <v>109</v>
      </c>
      <c r="L87" s="32" t="s">
        <v>110</v>
      </c>
    </row>
    <row r="88" customFormat="false" ht="15" hidden="false" customHeight="false" outlineLevel="0" collapsed="false">
      <c r="A88" s="22" t="s">
        <v>384</v>
      </c>
      <c r="B88" s="5" t="s">
        <v>385</v>
      </c>
      <c r="C88" s="23" t="n">
        <v>-1238</v>
      </c>
      <c r="D88" s="5" t="s">
        <v>103</v>
      </c>
      <c r="E88" s="5" t="s">
        <v>104</v>
      </c>
      <c r="F88" s="24" t="s">
        <v>386</v>
      </c>
      <c r="G88" s="5" t="s">
        <v>149</v>
      </c>
      <c r="H88" s="25" t="n">
        <v>26</v>
      </c>
      <c r="I88" s="5" t="s">
        <v>127</v>
      </c>
      <c r="J88" s="24" t="s">
        <v>150</v>
      </c>
      <c r="K88" s="24" t="s">
        <v>109</v>
      </c>
      <c r="L88" s="26" t="s">
        <v>110</v>
      </c>
    </row>
    <row r="89" customFormat="false" ht="15" hidden="false" customHeight="false" outlineLevel="0" collapsed="false">
      <c r="A89" s="27" t="s">
        <v>387</v>
      </c>
      <c r="B89" s="28" t="s">
        <v>385</v>
      </c>
      <c r="C89" s="33" t="n">
        <v>-1171</v>
      </c>
      <c r="D89" s="28" t="s">
        <v>103</v>
      </c>
      <c r="E89" s="28" t="s">
        <v>182</v>
      </c>
      <c r="F89" s="30" t="s">
        <v>388</v>
      </c>
      <c r="G89" s="28" t="s">
        <v>149</v>
      </c>
      <c r="H89" s="31" t="n">
        <v>26</v>
      </c>
      <c r="I89" s="28" t="s">
        <v>127</v>
      </c>
      <c r="J89" s="30" t="s">
        <v>150</v>
      </c>
      <c r="K89" s="30" t="s">
        <v>109</v>
      </c>
      <c r="L89" s="32" t="s">
        <v>110</v>
      </c>
    </row>
    <row r="90" customFormat="false" ht="15" hidden="false" customHeight="false" outlineLevel="0" collapsed="false">
      <c r="A90" s="22" t="s">
        <v>389</v>
      </c>
      <c r="B90" s="5" t="s">
        <v>390</v>
      </c>
      <c r="C90" s="23" t="n">
        <v>-1630</v>
      </c>
      <c r="D90" s="5" t="s">
        <v>103</v>
      </c>
      <c r="E90" s="5" t="s">
        <v>104</v>
      </c>
      <c r="F90" s="24" t="s">
        <v>391</v>
      </c>
      <c r="G90" s="5" t="s">
        <v>149</v>
      </c>
      <c r="H90" s="25" t="n">
        <v>26</v>
      </c>
      <c r="I90" s="5" t="s">
        <v>127</v>
      </c>
      <c r="J90" s="24" t="s">
        <v>150</v>
      </c>
      <c r="K90" s="24" t="s">
        <v>109</v>
      </c>
      <c r="L90" s="26" t="s">
        <v>110</v>
      </c>
    </row>
    <row r="91" customFormat="false" ht="15" hidden="false" customHeight="false" outlineLevel="0" collapsed="false">
      <c r="A91" s="27" t="s">
        <v>392</v>
      </c>
      <c r="B91" s="28" t="s">
        <v>393</v>
      </c>
      <c r="C91" s="33" t="n">
        <v>731697339</v>
      </c>
      <c r="D91" s="28" t="s">
        <v>394</v>
      </c>
      <c r="E91" s="28" t="s">
        <v>104</v>
      </c>
      <c r="F91" s="30" t="s">
        <v>395</v>
      </c>
      <c r="G91" s="28" t="s">
        <v>149</v>
      </c>
      <c r="H91" s="31" t="n">
        <v>64</v>
      </c>
      <c r="I91" s="28" t="s">
        <v>127</v>
      </c>
      <c r="J91" s="30" t="s">
        <v>150</v>
      </c>
      <c r="K91" s="30" t="s">
        <v>109</v>
      </c>
      <c r="L91" s="32" t="s">
        <v>110</v>
      </c>
    </row>
    <row r="92" customFormat="false" ht="15" hidden="false" customHeight="false" outlineLevel="0" collapsed="false">
      <c r="A92" s="22" t="s">
        <v>396</v>
      </c>
      <c r="B92" s="5" t="s">
        <v>397</v>
      </c>
      <c r="C92" s="23" t="n">
        <v>5</v>
      </c>
      <c r="D92" s="5" t="s">
        <v>299</v>
      </c>
      <c r="E92" s="5" t="s">
        <v>191</v>
      </c>
      <c r="F92" s="24" t="s">
        <v>398</v>
      </c>
      <c r="G92" s="5" t="s">
        <v>245</v>
      </c>
      <c r="H92" s="25" t="n">
        <v>3</v>
      </c>
      <c r="I92" s="5" t="s">
        <v>127</v>
      </c>
      <c r="J92" s="24" t="s">
        <v>246</v>
      </c>
      <c r="K92" s="24" t="s">
        <v>109</v>
      </c>
      <c r="L92" s="26" t="s">
        <v>110</v>
      </c>
    </row>
    <row r="93" customFormat="false" ht="15" hidden="false" customHeight="false" outlineLevel="0" collapsed="false">
      <c r="A93" s="27" t="s">
        <v>399</v>
      </c>
      <c r="B93" s="28" t="s">
        <v>400</v>
      </c>
      <c r="C93" s="33" t="n">
        <v>6</v>
      </c>
      <c r="D93" s="28" t="s">
        <v>299</v>
      </c>
      <c r="E93" s="28" t="s">
        <v>191</v>
      </c>
      <c r="F93" s="30" t="s">
        <v>401</v>
      </c>
      <c r="G93" s="28" t="s">
        <v>245</v>
      </c>
      <c r="H93" s="31" t="n">
        <v>3</v>
      </c>
      <c r="I93" s="28" t="s">
        <v>127</v>
      </c>
      <c r="J93" s="30" t="s">
        <v>246</v>
      </c>
      <c r="K93" s="30" t="s">
        <v>109</v>
      </c>
      <c r="L93" s="32" t="s">
        <v>110</v>
      </c>
    </row>
    <row r="94" customFormat="false" ht="15" hidden="false" customHeight="false" outlineLevel="0" collapsed="false">
      <c r="A94" s="22" t="s">
        <v>402</v>
      </c>
      <c r="B94" s="5" t="s">
        <v>403</v>
      </c>
      <c r="C94" s="23" t="n">
        <v>8</v>
      </c>
      <c r="D94" s="5" t="s">
        <v>299</v>
      </c>
      <c r="E94" s="5" t="s">
        <v>191</v>
      </c>
      <c r="F94" s="24" t="s">
        <v>157</v>
      </c>
      <c r="G94" s="5" t="s">
        <v>245</v>
      </c>
      <c r="H94" s="25" t="n">
        <v>3</v>
      </c>
      <c r="I94" s="5" t="s">
        <v>127</v>
      </c>
      <c r="J94" s="24" t="s">
        <v>246</v>
      </c>
      <c r="K94" s="24" t="s">
        <v>109</v>
      </c>
      <c r="L94" s="26" t="s">
        <v>110</v>
      </c>
    </row>
    <row r="95" customFormat="false" ht="15" hidden="false" customHeight="false" outlineLevel="0" collapsed="false">
      <c r="A95" s="27" t="s">
        <v>404</v>
      </c>
      <c r="B95" s="28" t="s">
        <v>405</v>
      </c>
      <c r="C95" s="29" t="n">
        <v>1.9</v>
      </c>
      <c r="D95" s="28" t="s">
        <v>113</v>
      </c>
      <c r="E95" s="28" t="s">
        <v>114</v>
      </c>
      <c r="F95" s="30" t="s">
        <v>406</v>
      </c>
      <c r="G95" s="28" t="s">
        <v>116</v>
      </c>
      <c r="H95" s="31" t="n">
        <v>63</v>
      </c>
      <c r="I95" s="28" t="s">
        <v>117</v>
      </c>
      <c r="J95" s="30" t="s">
        <v>118</v>
      </c>
      <c r="K95" s="30" t="s">
        <v>109</v>
      </c>
      <c r="L95" s="32" t="s">
        <v>110</v>
      </c>
    </row>
    <row r="96" customFormat="false" ht="15" hidden="false" customHeight="false" outlineLevel="0" collapsed="false">
      <c r="A96" s="22" t="s">
        <v>407</v>
      </c>
      <c r="B96" s="5" t="s">
        <v>408</v>
      </c>
      <c r="C96" s="34" t="n">
        <v>1.5</v>
      </c>
      <c r="D96" s="5" t="s">
        <v>113</v>
      </c>
      <c r="E96" s="5" t="s">
        <v>114</v>
      </c>
      <c r="F96" s="24" t="s">
        <v>409</v>
      </c>
      <c r="G96" s="5" t="s">
        <v>116</v>
      </c>
      <c r="H96" s="25" t="n">
        <v>63</v>
      </c>
      <c r="I96" s="5" t="s">
        <v>117</v>
      </c>
      <c r="J96" s="24" t="s">
        <v>118</v>
      </c>
      <c r="K96" s="24" t="s">
        <v>109</v>
      </c>
      <c r="L96" s="26" t="s">
        <v>110</v>
      </c>
    </row>
    <row r="97" customFormat="false" ht="15" hidden="false" customHeight="false" outlineLevel="0" collapsed="false">
      <c r="A97" s="27" t="s">
        <v>410</v>
      </c>
      <c r="B97" s="28" t="s">
        <v>411</v>
      </c>
      <c r="C97" s="29" t="n">
        <v>0.3</v>
      </c>
      <c r="D97" s="28" t="s">
        <v>113</v>
      </c>
      <c r="E97" s="28" t="s">
        <v>114</v>
      </c>
      <c r="F97" s="30" t="s">
        <v>412</v>
      </c>
      <c r="G97" s="28" t="s">
        <v>116</v>
      </c>
      <c r="H97" s="31" t="n">
        <v>63</v>
      </c>
      <c r="I97" s="28" t="s">
        <v>117</v>
      </c>
      <c r="J97" s="30" t="s">
        <v>118</v>
      </c>
      <c r="K97" s="30" t="s">
        <v>109</v>
      </c>
      <c r="L97" s="32" t="s">
        <v>110</v>
      </c>
    </row>
    <row r="98" customFormat="false" ht="15" hidden="false" customHeight="false" outlineLevel="0" collapsed="false">
      <c r="A98" s="22" t="s">
        <v>413</v>
      </c>
      <c r="B98" s="5" t="s">
        <v>414</v>
      </c>
      <c r="C98" s="34" t="n">
        <v>-0.2</v>
      </c>
      <c r="D98" s="5" t="s">
        <v>299</v>
      </c>
      <c r="E98" s="5" t="s">
        <v>104</v>
      </c>
      <c r="F98" s="24" t="s">
        <v>415</v>
      </c>
      <c r="G98" s="5" t="s">
        <v>245</v>
      </c>
      <c r="H98" s="25" t="n">
        <v>7</v>
      </c>
      <c r="I98" s="5" t="s">
        <v>227</v>
      </c>
      <c r="J98" s="24" t="s">
        <v>246</v>
      </c>
      <c r="K98" s="24" t="s">
        <v>109</v>
      </c>
      <c r="L98" s="26" t="s">
        <v>110</v>
      </c>
    </row>
    <row r="99" customFormat="false" ht="15" hidden="false" customHeight="false" outlineLevel="0" collapsed="false">
      <c r="A99" s="27" t="s">
        <v>416</v>
      </c>
      <c r="B99" s="28" t="s">
        <v>238</v>
      </c>
      <c r="C99" s="33" t="n">
        <v>653</v>
      </c>
      <c r="D99" s="28" t="s">
        <v>103</v>
      </c>
      <c r="E99" s="28" t="s">
        <v>182</v>
      </c>
      <c r="F99" s="30" t="s">
        <v>417</v>
      </c>
      <c r="G99" s="28" t="s">
        <v>245</v>
      </c>
      <c r="H99" s="31" t="n">
        <v>7</v>
      </c>
      <c r="I99" s="28" t="s">
        <v>227</v>
      </c>
      <c r="J99" s="30" t="s">
        <v>246</v>
      </c>
      <c r="K99" s="30" t="s">
        <v>109</v>
      </c>
      <c r="L99" s="32" t="s">
        <v>110</v>
      </c>
    </row>
    <row r="100" customFormat="false" ht="15" hidden="false" customHeight="false" outlineLevel="0" collapsed="false">
      <c r="A100" s="22" t="s">
        <v>418</v>
      </c>
      <c r="B100" s="5" t="s">
        <v>238</v>
      </c>
      <c r="C100" s="23" t="n">
        <v>676</v>
      </c>
      <c r="D100" s="5" t="s">
        <v>103</v>
      </c>
      <c r="E100" s="5" t="s">
        <v>104</v>
      </c>
      <c r="F100" s="24" t="s">
        <v>419</v>
      </c>
      <c r="G100" s="5" t="s">
        <v>245</v>
      </c>
      <c r="H100" s="25" t="n">
        <v>7</v>
      </c>
      <c r="I100" s="5" t="s">
        <v>227</v>
      </c>
      <c r="J100" s="24" t="s">
        <v>246</v>
      </c>
      <c r="K100" s="24" t="s">
        <v>109</v>
      </c>
      <c r="L100" s="26" t="s">
        <v>110</v>
      </c>
    </row>
    <row r="101" customFormat="false" ht="15" hidden="false" customHeight="false" outlineLevel="0" collapsed="false">
      <c r="A101" s="27" t="s">
        <v>420</v>
      </c>
      <c r="B101" s="28" t="s">
        <v>421</v>
      </c>
      <c r="C101" s="33" t="n">
        <v>894</v>
      </c>
      <c r="D101" s="28" t="s">
        <v>103</v>
      </c>
      <c r="E101" s="28" t="s">
        <v>182</v>
      </c>
      <c r="F101" s="30" t="s">
        <v>422</v>
      </c>
      <c r="G101" s="28" t="s">
        <v>245</v>
      </c>
      <c r="H101" s="31" t="n">
        <v>7</v>
      </c>
      <c r="I101" s="28" t="s">
        <v>227</v>
      </c>
      <c r="J101" s="30" t="s">
        <v>246</v>
      </c>
      <c r="K101" s="30" t="s">
        <v>109</v>
      </c>
      <c r="L101" s="32" t="s">
        <v>110</v>
      </c>
    </row>
    <row r="102" customFormat="false" ht="15" hidden="false" customHeight="false" outlineLevel="0" collapsed="false">
      <c r="A102" s="22" t="s">
        <v>423</v>
      </c>
      <c r="B102" s="5" t="s">
        <v>421</v>
      </c>
      <c r="C102" s="23" t="n">
        <v>991</v>
      </c>
      <c r="D102" s="5" t="s">
        <v>103</v>
      </c>
      <c r="E102" s="5" t="s">
        <v>104</v>
      </c>
      <c r="F102" s="24" t="s">
        <v>424</v>
      </c>
      <c r="G102" s="5" t="s">
        <v>245</v>
      </c>
      <c r="H102" s="25" t="n">
        <v>7</v>
      </c>
      <c r="I102" s="5" t="s">
        <v>227</v>
      </c>
      <c r="J102" s="24" t="s">
        <v>246</v>
      </c>
      <c r="K102" s="24" t="s">
        <v>109</v>
      </c>
      <c r="L102" s="26" t="s">
        <v>110</v>
      </c>
    </row>
    <row r="103" customFormat="false" ht="15" hidden="false" customHeight="false" outlineLevel="0" collapsed="false">
      <c r="A103" s="27" t="s">
        <v>425</v>
      </c>
      <c r="B103" s="28" t="s">
        <v>426</v>
      </c>
      <c r="C103" s="33" t="n">
        <v>2066</v>
      </c>
      <c r="D103" s="28" t="s">
        <v>103</v>
      </c>
      <c r="E103" s="28" t="s">
        <v>147</v>
      </c>
      <c r="F103" s="30" t="s">
        <v>427</v>
      </c>
      <c r="G103" s="28" t="s">
        <v>149</v>
      </c>
      <c r="H103" s="31" t="n">
        <v>53</v>
      </c>
      <c r="I103" s="28" t="s">
        <v>257</v>
      </c>
      <c r="J103" s="30" t="s">
        <v>150</v>
      </c>
      <c r="K103" s="30" t="s">
        <v>109</v>
      </c>
      <c r="L103" s="32" t="s">
        <v>110</v>
      </c>
    </row>
    <row r="104" customFormat="false" ht="15" hidden="false" customHeight="false" outlineLevel="0" collapsed="false">
      <c r="A104" s="22" t="s">
        <v>428</v>
      </c>
      <c r="B104" s="5" t="s">
        <v>429</v>
      </c>
      <c r="C104" s="23" t="n">
        <v>1220</v>
      </c>
      <c r="D104" s="5" t="s">
        <v>103</v>
      </c>
      <c r="E104" s="5" t="s">
        <v>193</v>
      </c>
      <c r="F104" s="24" t="s">
        <v>430</v>
      </c>
      <c r="G104" s="5" t="s">
        <v>172</v>
      </c>
      <c r="H104" s="25" t="n">
        <v>432</v>
      </c>
      <c r="I104" s="5" t="s">
        <v>257</v>
      </c>
      <c r="J104" s="24" t="s">
        <v>173</v>
      </c>
      <c r="K104" s="24" t="s">
        <v>109</v>
      </c>
      <c r="L104" s="26" t="s">
        <v>110</v>
      </c>
    </row>
    <row r="105" customFormat="false" ht="15" hidden="false" customHeight="false" outlineLevel="0" collapsed="false">
      <c r="A105" s="27" t="s">
        <v>431</v>
      </c>
      <c r="B105" s="28" t="s">
        <v>429</v>
      </c>
      <c r="C105" s="33" t="n">
        <v>1214</v>
      </c>
      <c r="D105" s="28" t="s">
        <v>103</v>
      </c>
      <c r="E105" s="28" t="s">
        <v>140</v>
      </c>
      <c r="F105" s="30" t="s">
        <v>432</v>
      </c>
      <c r="G105" s="28" t="s">
        <v>172</v>
      </c>
      <c r="H105" s="31" t="n">
        <v>432</v>
      </c>
      <c r="I105" s="28" t="s">
        <v>257</v>
      </c>
      <c r="J105" s="30" t="s">
        <v>173</v>
      </c>
      <c r="K105" s="30" t="s">
        <v>109</v>
      </c>
      <c r="L105" s="32" t="s">
        <v>110</v>
      </c>
    </row>
    <row r="106" customFormat="false" ht="15" hidden="false" customHeight="false" outlineLevel="0" collapsed="false">
      <c r="A106" s="22" t="s">
        <v>433</v>
      </c>
      <c r="B106" s="5" t="s">
        <v>434</v>
      </c>
      <c r="C106" s="23" t="n">
        <v>418</v>
      </c>
      <c r="D106" s="5" t="s">
        <v>103</v>
      </c>
      <c r="E106" s="5" t="s">
        <v>140</v>
      </c>
      <c r="F106" s="24" t="s">
        <v>435</v>
      </c>
      <c r="G106" s="5" t="s">
        <v>172</v>
      </c>
      <c r="H106" s="25" t="n">
        <v>432</v>
      </c>
      <c r="I106" s="5" t="s">
        <v>257</v>
      </c>
      <c r="J106" s="24" t="s">
        <v>173</v>
      </c>
      <c r="K106" s="24" t="s">
        <v>109</v>
      </c>
      <c r="L106" s="26" t="s">
        <v>110</v>
      </c>
    </row>
    <row r="107" customFormat="false" ht="15" hidden="false" customHeight="false" outlineLevel="0" collapsed="false">
      <c r="A107" s="27" t="s">
        <v>436</v>
      </c>
      <c r="B107" s="28" t="s">
        <v>434</v>
      </c>
      <c r="C107" s="33" t="n">
        <v>472</v>
      </c>
      <c r="D107" s="28" t="s">
        <v>103</v>
      </c>
      <c r="E107" s="28" t="s">
        <v>147</v>
      </c>
      <c r="F107" s="30" t="s">
        <v>437</v>
      </c>
      <c r="G107" s="28" t="s">
        <v>149</v>
      </c>
      <c r="H107" s="31" t="n">
        <v>65</v>
      </c>
      <c r="I107" s="28" t="s">
        <v>257</v>
      </c>
      <c r="J107" s="30" t="s">
        <v>150</v>
      </c>
      <c r="K107" s="30" t="s">
        <v>109</v>
      </c>
      <c r="L107" s="32" t="s">
        <v>110</v>
      </c>
    </row>
    <row r="108" customFormat="false" ht="15" hidden="false" customHeight="false" outlineLevel="0" collapsed="false">
      <c r="A108" s="22" t="s">
        <v>438</v>
      </c>
      <c r="B108" s="5" t="s">
        <v>439</v>
      </c>
      <c r="C108" s="23" t="n">
        <v>454</v>
      </c>
      <c r="D108" s="5" t="s">
        <v>103</v>
      </c>
      <c r="E108" s="5" t="s">
        <v>140</v>
      </c>
      <c r="F108" s="24" t="s">
        <v>440</v>
      </c>
      <c r="G108" s="5" t="s">
        <v>172</v>
      </c>
      <c r="H108" s="25" t="n">
        <v>432</v>
      </c>
      <c r="I108" s="5" t="s">
        <v>257</v>
      </c>
      <c r="J108" s="24" t="s">
        <v>173</v>
      </c>
      <c r="K108" s="24" t="s">
        <v>109</v>
      </c>
      <c r="L108" s="26" t="s">
        <v>110</v>
      </c>
    </row>
    <row r="109" customFormat="false" ht="15" hidden="false" customHeight="false" outlineLevel="0" collapsed="false">
      <c r="A109" s="27" t="s">
        <v>441</v>
      </c>
      <c r="B109" s="28" t="s">
        <v>442</v>
      </c>
      <c r="C109" s="33" t="n">
        <v>315</v>
      </c>
      <c r="D109" s="28" t="s">
        <v>103</v>
      </c>
      <c r="E109" s="28" t="s">
        <v>140</v>
      </c>
      <c r="F109" s="30" t="s">
        <v>443</v>
      </c>
      <c r="G109" s="28" t="s">
        <v>172</v>
      </c>
      <c r="H109" s="31" t="n">
        <v>432</v>
      </c>
      <c r="I109" s="28" t="s">
        <v>257</v>
      </c>
      <c r="J109" s="30" t="s">
        <v>173</v>
      </c>
      <c r="K109" s="30" t="s">
        <v>109</v>
      </c>
      <c r="L109" s="32" t="s">
        <v>110</v>
      </c>
    </row>
    <row r="110" customFormat="false" ht="15" hidden="false" customHeight="false" outlineLevel="0" collapsed="false">
      <c r="A110" s="22" t="s">
        <v>444</v>
      </c>
      <c r="B110" s="5" t="s">
        <v>442</v>
      </c>
      <c r="C110" s="23" t="n">
        <v>328</v>
      </c>
      <c r="D110" s="5" t="s">
        <v>103</v>
      </c>
      <c r="E110" s="5" t="s">
        <v>147</v>
      </c>
      <c r="F110" s="24" t="s">
        <v>445</v>
      </c>
      <c r="G110" s="5" t="s">
        <v>149</v>
      </c>
      <c r="H110" s="25" t="n">
        <v>65</v>
      </c>
      <c r="I110" s="5" t="s">
        <v>257</v>
      </c>
      <c r="J110" s="24" t="s">
        <v>150</v>
      </c>
      <c r="K110" s="24" t="s">
        <v>109</v>
      </c>
      <c r="L110" s="26" t="s">
        <v>110</v>
      </c>
    </row>
    <row r="111" customFormat="false" ht="15" hidden="false" customHeight="false" outlineLevel="0" collapsed="false">
      <c r="A111" s="27" t="s">
        <v>446</v>
      </c>
      <c r="B111" s="28" t="s">
        <v>447</v>
      </c>
      <c r="C111" s="33" t="n">
        <v>55</v>
      </c>
      <c r="D111" s="28" t="s">
        <v>103</v>
      </c>
      <c r="E111" s="28" t="s">
        <v>140</v>
      </c>
      <c r="F111" s="30" t="s">
        <v>448</v>
      </c>
      <c r="G111" s="28" t="s">
        <v>172</v>
      </c>
      <c r="H111" s="31" t="n">
        <v>432</v>
      </c>
      <c r="I111" s="28" t="s">
        <v>257</v>
      </c>
      <c r="J111" s="30" t="s">
        <v>173</v>
      </c>
      <c r="K111" s="30" t="s">
        <v>109</v>
      </c>
      <c r="L111" s="32" t="s">
        <v>110</v>
      </c>
    </row>
    <row r="112" customFormat="false" ht="15" hidden="false" customHeight="false" outlineLevel="0" collapsed="false">
      <c r="A112" s="22" t="s">
        <v>449</v>
      </c>
      <c r="B112" s="5" t="s">
        <v>450</v>
      </c>
      <c r="C112" s="23" t="n">
        <v>72</v>
      </c>
      <c r="D112" s="5" t="s">
        <v>103</v>
      </c>
      <c r="E112" s="5" t="s">
        <v>120</v>
      </c>
      <c r="F112" s="24" t="s">
        <v>451</v>
      </c>
      <c r="G112" s="5" t="s">
        <v>172</v>
      </c>
      <c r="H112" s="25" t="n">
        <v>432</v>
      </c>
      <c r="I112" s="5" t="s">
        <v>257</v>
      </c>
      <c r="J112" s="24" t="s">
        <v>173</v>
      </c>
      <c r="K112" s="24" t="s">
        <v>109</v>
      </c>
      <c r="L112" s="26" t="s">
        <v>110</v>
      </c>
    </row>
    <row r="113" customFormat="false" ht="15" hidden="false" customHeight="false" outlineLevel="0" collapsed="false">
      <c r="A113" s="27" t="s">
        <v>452</v>
      </c>
      <c r="B113" s="28" t="s">
        <v>453</v>
      </c>
      <c r="C113" s="33" t="n">
        <v>45</v>
      </c>
      <c r="D113" s="28" t="s">
        <v>103</v>
      </c>
      <c r="E113" s="28" t="s">
        <v>140</v>
      </c>
      <c r="F113" s="30" t="s">
        <v>454</v>
      </c>
      <c r="G113" s="28" t="s">
        <v>106</v>
      </c>
      <c r="H113" s="31" t="n">
        <v>46</v>
      </c>
      <c r="I113" s="28" t="s">
        <v>257</v>
      </c>
      <c r="J113" s="30" t="s">
        <v>108</v>
      </c>
      <c r="K113" s="30" t="s">
        <v>109</v>
      </c>
      <c r="L113" s="32" t="s">
        <v>110</v>
      </c>
    </row>
    <row r="114" customFormat="false" ht="15" hidden="false" customHeight="false" outlineLevel="0" collapsed="false">
      <c r="A114" s="22" t="s">
        <v>455</v>
      </c>
      <c r="B114" s="5" t="s">
        <v>453</v>
      </c>
      <c r="C114" s="23" t="n">
        <v>75</v>
      </c>
      <c r="D114" s="5" t="s">
        <v>103</v>
      </c>
      <c r="E114" s="5" t="s">
        <v>147</v>
      </c>
      <c r="F114" s="24" t="s">
        <v>456</v>
      </c>
      <c r="G114" s="5" t="s">
        <v>106</v>
      </c>
      <c r="H114" s="25" t="n">
        <v>46</v>
      </c>
      <c r="I114" s="5" t="s">
        <v>257</v>
      </c>
      <c r="J114" s="24" t="s">
        <v>108</v>
      </c>
      <c r="K114" s="24" t="s">
        <v>109</v>
      </c>
      <c r="L114" s="26" t="s">
        <v>110</v>
      </c>
    </row>
    <row r="115" customFormat="false" ht="15" hidden="false" customHeight="false" outlineLevel="0" collapsed="false">
      <c r="A115" s="27" t="s">
        <v>457</v>
      </c>
      <c r="B115" s="28" t="s">
        <v>458</v>
      </c>
      <c r="C115" s="33" t="n">
        <v>82</v>
      </c>
      <c r="D115" s="28" t="s">
        <v>459</v>
      </c>
      <c r="E115" s="28" t="s">
        <v>270</v>
      </c>
      <c r="F115" s="30" t="s">
        <v>460</v>
      </c>
      <c r="G115" s="28" t="s">
        <v>272</v>
      </c>
      <c r="H115" s="31" t="n">
        <v>4</v>
      </c>
      <c r="I115" s="28" t="s">
        <v>257</v>
      </c>
      <c r="J115" s="30" t="s">
        <v>274</v>
      </c>
      <c r="K115" s="30" t="s">
        <v>109</v>
      </c>
      <c r="L115" s="32" t="s">
        <v>110</v>
      </c>
    </row>
    <row r="116" customFormat="false" ht="15" hidden="false" customHeight="false" outlineLevel="0" collapsed="false">
      <c r="A116" s="22" t="s">
        <v>461</v>
      </c>
      <c r="B116" s="5" t="s">
        <v>462</v>
      </c>
      <c r="C116" s="23" t="n">
        <v>700</v>
      </c>
      <c r="D116" s="5" t="s">
        <v>463</v>
      </c>
      <c r="E116" s="5" t="s">
        <v>270</v>
      </c>
      <c r="F116" s="24" t="s">
        <v>464</v>
      </c>
      <c r="G116" s="5" t="s">
        <v>272</v>
      </c>
      <c r="H116" s="25" t="n">
        <v>4</v>
      </c>
      <c r="I116" s="5" t="s">
        <v>257</v>
      </c>
      <c r="J116" s="24" t="s">
        <v>274</v>
      </c>
      <c r="K116" s="24" t="s">
        <v>109</v>
      </c>
      <c r="L116" s="26" t="s">
        <v>110</v>
      </c>
    </row>
    <row r="117" customFormat="false" ht="15" hidden="false" customHeight="false" outlineLevel="0" collapsed="false">
      <c r="A117" s="27" t="s">
        <v>465</v>
      </c>
      <c r="B117" s="28" t="s">
        <v>466</v>
      </c>
      <c r="C117" s="33" t="n">
        <v>4</v>
      </c>
      <c r="D117" s="28" t="s">
        <v>130</v>
      </c>
      <c r="E117" s="28" t="s">
        <v>114</v>
      </c>
      <c r="F117" s="30" t="s">
        <v>467</v>
      </c>
      <c r="G117" s="28" t="s">
        <v>116</v>
      </c>
      <c r="H117" s="31" t="n">
        <v>44</v>
      </c>
      <c r="I117" s="28" t="s">
        <v>117</v>
      </c>
      <c r="J117" s="30" t="s">
        <v>118</v>
      </c>
      <c r="K117" s="30" t="s">
        <v>109</v>
      </c>
      <c r="L117" s="32" t="s">
        <v>110</v>
      </c>
    </row>
    <row r="118" customFormat="false" ht="15" hidden="false" customHeight="false" outlineLevel="0" collapsed="false">
      <c r="A118" s="22" t="s">
        <v>468</v>
      </c>
      <c r="B118" s="5" t="s">
        <v>469</v>
      </c>
      <c r="C118" s="23" t="n">
        <v>2</v>
      </c>
      <c r="D118" s="5" t="s">
        <v>130</v>
      </c>
      <c r="E118" s="5" t="s">
        <v>114</v>
      </c>
      <c r="F118" s="24" t="s">
        <v>200</v>
      </c>
      <c r="G118" s="5" t="s">
        <v>116</v>
      </c>
      <c r="H118" s="25" t="n">
        <v>44</v>
      </c>
      <c r="I118" s="5" t="s">
        <v>117</v>
      </c>
      <c r="J118" s="24" t="s">
        <v>118</v>
      </c>
      <c r="K118" s="24" t="s">
        <v>109</v>
      </c>
      <c r="L118" s="26" t="s">
        <v>110</v>
      </c>
    </row>
    <row r="119" customFormat="false" ht="15" hidden="false" customHeight="false" outlineLevel="0" collapsed="false">
      <c r="A119" s="27" t="s">
        <v>470</v>
      </c>
      <c r="B119" s="28" t="s">
        <v>471</v>
      </c>
      <c r="C119" s="33" t="n">
        <v>4</v>
      </c>
      <c r="D119" s="28" t="s">
        <v>130</v>
      </c>
      <c r="E119" s="28" t="s">
        <v>472</v>
      </c>
      <c r="F119" s="30" t="s">
        <v>467</v>
      </c>
      <c r="G119" s="28" t="s">
        <v>272</v>
      </c>
      <c r="H119" s="31" t="n">
        <v>17</v>
      </c>
      <c r="I119" s="28" t="s">
        <v>117</v>
      </c>
      <c r="J119" s="30" t="s">
        <v>274</v>
      </c>
      <c r="K119" s="30" t="s">
        <v>109</v>
      </c>
      <c r="L119" s="32" t="s">
        <v>110</v>
      </c>
    </row>
    <row r="120" customFormat="false" ht="15" hidden="false" customHeight="false" outlineLevel="0" collapsed="false">
      <c r="A120" s="22" t="s">
        <v>473</v>
      </c>
      <c r="B120" s="5" t="s">
        <v>474</v>
      </c>
      <c r="C120" s="23" t="n">
        <v>2</v>
      </c>
      <c r="D120" s="5" t="s">
        <v>130</v>
      </c>
      <c r="E120" s="5" t="s">
        <v>199</v>
      </c>
      <c r="F120" s="24" t="s">
        <v>200</v>
      </c>
      <c r="G120" s="5" t="s">
        <v>272</v>
      </c>
      <c r="H120" s="25" t="n">
        <v>17</v>
      </c>
      <c r="I120" s="5" t="s">
        <v>117</v>
      </c>
      <c r="J120" s="24" t="s">
        <v>274</v>
      </c>
      <c r="K120" s="24" t="s">
        <v>109</v>
      </c>
      <c r="L120" s="26" t="s">
        <v>110</v>
      </c>
    </row>
    <row r="121" customFormat="false" ht="15" hidden="false" customHeight="false" outlineLevel="0" collapsed="false">
      <c r="A121" s="27" t="s">
        <v>475</v>
      </c>
      <c r="B121" s="28" t="s">
        <v>476</v>
      </c>
      <c r="C121" s="29" t="n">
        <v>8.5</v>
      </c>
      <c r="D121" s="28" t="s">
        <v>130</v>
      </c>
      <c r="E121" s="28" t="s">
        <v>477</v>
      </c>
      <c r="F121" s="30" t="s">
        <v>478</v>
      </c>
      <c r="G121" s="28" t="s">
        <v>272</v>
      </c>
      <c r="H121" s="31" t="n">
        <v>17</v>
      </c>
      <c r="I121" s="28" t="s">
        <v>117</v>
      </c>
      <c r="J121" s="30" t="s">
        <v>274</v>
      </c>
      <c r="K121" s="30" t="s">
        <v>109</v>
      </c>
      <c r="L121" s="32" t="s">
        <v>110</v>
      </c>
    </row>
    <row r="122" customFormat="false" ht="15" hidden="false" customHeight="false" outlineLevel="0" collapsed="false">
      <c r="A122" s="22" t="s">
        <v>479</v>
      </c>
      <c r="B122" s="5" t="s">
        <v>480</v>
      </c>
      <c r="C122" s="23" t="n">
        <v>90</v>
      </c>
      <c r="D122" s="5" t="s">
        <v>299</v>
      </c>
      <c r="E122" s="5" t="s">
        <v>472</v>
      </c>
      <c r="F122" s="24" t="s">
        <v>289</v>
      </c>
      <c r="G122" s="5" t="s">
        <v>272</v>
      </c>
      <c r="H122" s="25" t="n">
        <v>17</v>
      </c>
      <c r="I122" s="5" t="s">
        <v>117</v>
      </c>
      <c r="J122" s="24" t="s">
        <v>274</v>
      </c>
      <c r="K122" s="24" t="s">
        <v>109</v>
      </c>
      <c r="L122" s="26" t="s">
        <v>110</v>
      </c>
    </row>
    <row r="123" customFormat="false" ht="15" hidden="false" customHeight="false" outlineLevel="0" collapsed="false">
      <c r="A123" s="27" t="s">
        <v>481</v>
      </c>
      <c r="B123" s="28" t="s">
        <v>482</v>
      </c>
      <c r="C123" s="33" t="n">
        <v>80</v>
      </c>
      <c r="D123" s="28" t="s">
        <v>299</v>
      </c>
      <c r="E123" s="28" t="s">
        <v>472</v>
      </c>
      <c r="F123" s="30" t="s">
        <v>483</v>
      </c>
      <c r="G123" s="28" t="s">
        <v>272</v>
      </c>
      <c r="H123" s="31" t="n">
        <v>17</v>
      </c>
      <c r="I123" s="28" t="s">
        <v>117</v>
      </c>
      <c r="J123" s="30" t="s">
        <v>274</v>
      </c>
      <c r="K123" s="30" t="s">
        <v>109</v>
      </c>
      <c r="L123" s="32" t="s">
        <v>110</v>
      </c>
    </row>
    <row r="124" customFormat="false" ht="15" hidden="false" customHeight="false" outlineLevel="0" collapsed="false">
      <c r="A124" s="22" t="s">
        <v>484</v>
      </c>
      <c r="B124" s="5" t="s">
        <v>485</v>
      </c>
      <c r="C124" s="34" t="n">
        <v>-0.4</v>
      </c>
      <c r="D124" s="5" t="s">
        <v>130</v>
      </c>
      <c r="E124" s="5" t="s">
        <v>160</v>
      </c>
      <c r="F124" s="24" t="s">
        <v>486</v>
      </c>
      <c r="G124" s="5" t="s">
        <v>272</v>
      </c>
      <c r="H124" s="25" t="n">
        <v>17</v>
      </c>
      <c r="I124" s="5" t="s">
        <v>117</v>
      </c>
      <c r="J124" s="24" t="s">
        <v>274</v>
      </c>
      <c r="K124" s="24" t="s">
        <v>109</v>
      </c>
      <c r="L124" s="26" t="s">
        <v>110</v>
      </c>
    </row>
    <row r="125" customFormat="false" ht="15" hidden="false" customHeight="false" outlineLevel="0" collapsed="false">
      <c r="A125" s="27" t="s">
        <v>487</v>
      </c>
      <c r="B125" s="28" t="s">
        <v>488</v>
      </c>
      <c r="C125" s="29" t="n">
        <v>2.3</v>
      </c>
      <c r="D125" s="28" t="s">
        <v>130</v>
      </c>
      <c r="E125" s="28" t="s">
        <v>489</v>
      </c>
      <c r="F125" s="30" t="s">
        <v>490</v>
      </c>
      <c r="G125" s="28" t="s">
        <v>272</v>
      </c>
      <c r="H125" s="31" t="n">
        <v>17</v>
      </c>
      <c r="I125" s="28" t="s">
        <v>117</v>
      </c>
      <c r="J125" s="30" t="s">
        <v>274</v>
      </c>
      <c r="K125" s="30" t="s">
        <v>109</v>
      </c>
      <c r="L125" s="32" t="s">
        <v>110</v>
      </c>
    </row>
    <row r="126" customFormat="false" ht="15" hidden="false" customHeight="false" outlineLevel="0" collapsed="false">
      <c r="A126" s="22" t="s">
        <v>491</v>
      </c>
      <c r="B126" s="5" t="s">
        <v>492</v>
      </c>
      <c r="C126" s="23" t="n">
        <v>397</v>
      </c>
      <c r="D126" s="5" t="s">
        <v>103</v>
      </c>
      <c r="E126" s="5" t="s">
        <v>160</v>
      </c>
      <c r="F126" s="24" t="s">
        <v>493</v>
      </c>
      <c r="G126" s="5" t="s">
        <v>494</v>
      </c>
      <c r="H126" s="25" t="n">
        <v>9</v>
      </c>
      <c r="I126" s="5" t="s">
        <v>117</v>
      </c>
      <c r="J126" s="24" t="s">
        <v>495</v>
      </c>
      <c r="K126" s="24" t="s">
        <v>109</v>
      </c>
      <c r="L126" s="26" t="s">
        <v>110</v>
      </c>
    </row>
    <row r="127" customFormat="false" ht="15" hidden="false" customHeight="false" outlineLevel="0" collapsed="false">
      <c r="A127" s="27" t="s">
        <v>496</v>
      </c>
      <c r="B127" s="28" t="s">
        <v>497</v>
      </c>
      <c r="C127" s="33" t="n">
        <v>-895</v>
      </c>
      <c r="D127" s="28" t="s">
        <v>103</v>
      </c>
      <c r="E127" s="28" t="s">
        <v>160</v>
      </c>
      <c r="F127" s="30" t="s">
        <v>498</v>
      </c>
      <c r="G127" s="28" t="s">
        <v>494</v>
      </c>
      <c r="H127" s="31" t="n">
        <v>9</v>
      </c>
      <c r="I127" s="28" t="s">
        <v>127</v>
      </c>
      <c r="J127" s="30" t="s">
        <v>495</v>
      </c>
      <c r="K127" s="30" t="s">
        <v>109</v>
      </c>
      <c r="L127" s="32" t="s">
        <v>110</v>
      </c>
    </row>
    <row r="128" customFormat="false" ht="15" hidden="false" customHeight="false" outlineLevel="0" collapsed="false">
      <c r="A128" s="22" t="s">
        <v>499</v>
      </c>
      <c r="B128" s="5" t="s">
        <v>500</v>
      </c>
      <c r="C128" s="23" t="n">
        <v>-203</v>
      </c>
      <c r="D128" s="5" t="s">
        <v>103</v>
      </c>
      <c r="E128" s="5" t="s">
        <v>160</v>
      </c>
      <c r="F128" s="24" t="s">
        <v>501</v>
      </c>
      <c r="G128" s="5" t="s">
        <v>494</v>
      </c>
      <c r="H128" s="25" t="n">
        <v>9</v>
      </c>
      <c r="I128" s="5" t="s">
        <v>107</v>
      </c>
      <c r="J128" s="24" t="s">
        <v>495</v>
      </c>
      <c r="K128" s="24" t="s">
        <v>109</v>
      </c>
      <c r="L128" s="26" t="s">
        <v>110</v>
      </c>
    </row>
    <row r="129" customFormat="false" ht="15" hidden="false" customHeight="false" outlineLevel="0" collapsed="false">
      <c r="A129" s="27" t="s">
        <v>502</v>
      </c>
      <c r="B129" s="28" t="s">
        <v>503</v>
      </c>
      <c r="C129" s="33" t="n">
        <v>336</v>
      </c>
      <c r="D129" s="28" t="s">
        <v>103</v>
      </c>
      <c r="E129" s="28" t="s">
        <v>160</v>
      </c>
      <c r="F129" s="30" t="s">
        <v>504</v>
      </c>
      <c r="G129" s="28" t="s">
        <v>494</v>
      </c>
      <c r="H129" s="31" t="n">
        <v>9</v>
      </c>
      <c r="I129" s="28" t="s">
        <v>127</v>
      </c>
      <c r="J129" s="30" t="s">
        <v>495</v>
      </c>
      <c r="K129" s="30" t="s">
        <v>109</v>
      </c>
      <c r="L129" s="32" t="s">
        <v>110</v>
      </c>
    </row>
    <row r="130" customFormat="false" ht="15" hidden="false" customHeight="false" outlineLevel="0" collapsed="false">
      <c r="A130" s="22" t="s">
        <v>505</v>
      </c>
      <c r="B130" s="5" t="s">
        <v>506</v>
      </c>
      <c r="C130" s="23" t="n">
        <v>-157</v>
      </c>
      <c r="D130" s="5" t="s">
        <v>103</v>
      </c>
      <c r="E130" s="5" t="s">
        <v>160</v>
      </c>
      <c r="F130" s="24" t="s">
        <v>507</v>
      </c>
      <c r="G130" s="5" t="s">
        <v>494</v>
      </c>
      <c r="H130" s="25" t="n">
        <v>9</v>
      </c>
      <c r="I130" s="5" t="s">
        <v>107</v>
      </c>
      <c r="J130" s="24" t="s">
        <v>495</v>
      </c>
      <c r="K130" s="24" t="s">
        <v>109</v>
      </c>
      <c r="L130" s="26" t="s">
        <v>110</v>
      </c>
    </row>
    <row r="131" customFormat="false" ht="15" hidden="false" customHeight="false" outlineLevel="0" collapsed="false">
      <c r="A131" s="27" t="s">
        <v>508</v>
      </c>
      <c r="B131" s="28" t="s">
        <v>125</v>
      </c>
      <c r="C131" s="33" t="n">
        <v>3836</v>
      </c>
      <c r="D131" s="28" t="s">
        <v>103</v>
      </c>
      <c r="E131" s="28" t="s">
        <v>160</v>
      </c>
      <c r="F131" s="30" t="s">
        <v>509</v>
      </c>
      <c r="G131" s="28" t="s">
        <v>494</v>
      </c>
      <c r="H131" s="31" t="n">
        <v>9</v>
      </c>
      <c r="I131" s="28" t="s">
        <v>127</v>
      </c>
      <c r="J131" s="30" t="s">
        <v>495</v>
      </c>
      <c r="K131" s="30" t="s">
        <v>109</v>
      </c>
      <c r="L131" s="32" t="s">
        <v>110</v>
      </c>
    </row>
    <row r="132" customFormat="false" ht="15" hidden="false" customHeight="false" outlineLevel="0" collapsed="false">
      <c r="A132" s="22" t="s">
        <v>510</v>
      </c>
      <c r="B132" s="5" t="s">
        <v>511</v>
      </c>
      <c r="C132" s="34" t="n">
        <v>6.5</v>
      </c>
      <c r="D132" s="5" t="s">
        <v>512</v>
      </c>
      <c r="E132" s="5" t="s">
        <v>140</v>
      </c>
      <c r="F132" s="24" t="s">
        <v>513</v>
      </c>
      <c r="G132" s="5" t="s">
        <v>172</v>
      </c>
      <c r="H132" s="25" t="n">
        <v>351</v>
      </c>
      <c r="I132" s="5" t="s">
        <v>107</v>
      </c>
      <c r="J132" s="24" t="s">
        <v>173</v>
      </c>
      <c r="K132" s="24" t="s">
        <v>109</v>
      </c>
      <c r="L132" s="26" t="s">
        <v>110</v>
      </c>
    </row>
    <row r="133" customFormat="false" ht="15" hidden="false" customHeight="false" outlineLevel="0" collapsed="false">
      <c r="A133" s="27" t="s">
        <v>514</v>
      </c>
      <c r="B133" s="28" t="s">
        <v>511</v>
      </c>
      <c r="C133" s="29" t="n">
        <v>7.1</v>
      </c>
      <c r="D133" s="28" t="s">
        <v>512</v>
      </c>
      <c r="E133" s="28" t="s">
        <v>193</v>
      </c>
      <c r="F133" s="30" t="s">
        <v>515</v>
      </c>
      <c r="G133" s="28" t="s">
        <v>172</v>
      </c>
      <c r="H133" s="31" t="n">
        <v>351</v>
      </c>
      <c r="I133" s="28" t="s">
        <v>107</v>
      </c>
      <c r="J133" s="30" t="s">
        <v>173</v>
      </c>
      <c r="K133" s="30" t="s">
        <v>109</v>
      </c>
      <c r="L133" s="32" t="s">
        <v>110</v>
      </c>
    </row>
    <row r="134" customFormat="false" ht="15" hidden="false" customHeight="false" outlineLevel="0" collapsed="false">
      <c r="A134" s="22" t="s">
        <v>516</v>
      </c>
      <c r="B134" s="5" t="s">
        <v>517</v>
      </c>
      <c r="C134" s="23" t="n">
        <v>85</v>
      </c>
      <c r="D134" s="5" t="s">
        <v>299</v>
      </c>
      <c r="E134" s="5" t="s">
        <v>140</v>
      </c>
      <c r="F134" s="24" t="s">
        <v>518</v>
      </c>
      <c r="G134" s="5" t="s">
        <v>172</v>
      </c>
      <c r="H134" s="25" t="n">
        <v>351</v>
      </c>
      <c r="I134" s="5" t="s">
        <v>107</v>
      </c>
      <c r="J134" s="24" t="s">
        <v>173</v>
      </c>
      <c r="K134" s="24" t="s">
        <v>109</v>
      </c>
      <c r="L134" s="26" t="s">
        <v>110</v>
      </c>
    </row>
    <row r="135" customFormat="false" ht="15" hidden="false" customHeight="false" outlineLevel="0" collapsed="false">
      <c r="A135" s="27" t="s">
        <v>519</v>
      </c>
      <c r="B135" s="28" t="s">
        <v>520</v>
      </c>
      <c r="C135" s="29" t="n">
        <v>20.3</v>
      </c>
      <c r="D135" s="28" t="s">
        <v>299</v>
      </c>
      <c r="E135" s="28" t="s">
        <v>120</v>
      </c>
      <c r="F135" s="30" t="s">
        <v>521</v>
      </c>
      <c r="G135" s="28" t="s">
        <v>522</v>
      </c>
      <c r="H135" s="31" t="n">
        <v>7</v>
      </c>
      <c r="I135" s="28" t="s">
        <v>107</v>
      </c>
      <c r="J135" s="30" t="s">
        <v>523</v>
      </c>
      <c r="K135" s="30" t="s">
        <v>524</v>
      </c>
      <c r="L135" s="32" t="s">
        <v>110</v>
      </c>
    </row>
    <row r="136" customFormat="false" ht="15" hidden="false" customHeight="false" outlineLevel="0" collapsed="false">
      <c r="A136" s="22" t="s">
        <v>525</v>
      </c>
      <c r="B136" s="5" t="s">
        <v>526</v>
      </c>
      <c r="C136" s="23" t="n">
        <v>18</v>
      </c>
      <c r="D136" s="5" t="s">
        <v>299</v>
      </c>
      <c r="E136" s="5" t="s">
        <v>527</v>
      </c>
      <c r="F136" s="24" t="s">
        <v>528</v>
      </c>
      <c r="G136" s="5" t="s">
        <v>522</v>
      </c>
      <c r="H136" s="25" t="n">
        <v>7</v>
      </c>
      <c r="I136" s="5" t="s">
        <v>107</v>
      </c>
      <c r="J136" s="24" t="s">
        <v>523</v>
      </c>
      <c r="K136" s="24" t="s">
        <v>524</v>
      </c>
      <c r="L136" s="26" t="s">
        <v>110</v>
      </c>
    </row>
    <row r="137" customFormat="false" ht="15" hidden="false" customHeight="false" outlineLevel="0" collapsed="false">
      <c r="A137" s="27" t="s">
        <v>529</v>
      </c>
      <c r="B137" s="28" t="s">
        <v>530</v>
      </c>
      <c r="C137" s="33" t="n">
        <v>19</v>
      </c>
      <c r="D137" s="28" t="s">
        <v>299</v>
      </c>
      <c r="E137" s="28" t="s">
        <v>527</v>
      </c>
      <c r="F137" s="30" t="s">
        <v>531</v>
      </c>
      <c r="G137" s="28" t="s">
        <v>522</v>
      </c>
      <c r="H137" s="31" t="n">
        <v>7</v>
      </c>
      <c r="I137" s="28" t="s">
        <v>107</v>
      </c>
      <c r="J137" s="30" t="s">
        <v>523</v>
      </c>
      <c r="K137" s="30" t="s">
        <v>524</v>
      </c>
      <c r="L137" s="32" t="s">
        <v>110</v>
      </c>
    </row>
    <row r="138" customFormat="false" ht="15" hidden="false" customHeight="false" outlineLevel="0" collapsed="false">
      <c r="A138" s="22" t="s">
        <v>532</v>
      </c>
      <c r="B138" s="5" t="s">
        <v>533</v>
      </c>
      <c r="C138" s="34" t="n">
        <v>25.4</v>
      </c>
      <c r="D138" s="5" t="s">
        <v>130</v>
      </c>
      <c r="E138" s="5" t="s">
        <v>120</v>
      </c>
      <c r="F138" s="24" t="s">
        <v>534</v>
      </c>
      <c r="G138" s="5" t="s">
        <v>522</v>
      </c>
      <c r="H138" s="25" t="n">
        <v>7</v>
      </c>
      <c r="I138" s="5" t="s">
        <v>107</v>
      </c>
      <c r="J138" s="24" t="s">
        <v>523</v>
      </c>
      <c r="K138" s="24" t="s">
        <v>524</v>
      </c>
      <c r="L138" s="26" t="s">
        <v>110</v>
      </c>
    </row>
    <row r="139" customFormat="false" ht="15" hidden="false" customHeight="false" outlineLevel="0" collapsed="false">
      <c r="A139" s="27" t="s">
        <v>535</v>
      </c>
      <c r="B139" s="28" t="s">
        <v>536</v>
      </c>
      <c r="C139" s="33" t="n">
        <v>29</v>
      </c>
      <c r="D139" s="28" t="s">
        <v>130</v>
      </c>
      <c r="E139" s="28" t="s">
        <v>527</v>
      </c>
      <c r="F139" s="30" t="s">
        <v>537</v>
      </c>
      <c r="G139" s="28" t="s">
        <v>522</v>
      </c>
      <c r="H139" s="31" t="n">
        <v>7</v>
      </c>
      <c r="I139" s="28" t="s">
        <v>107</v>
      </c>
      <c r="J139" s="30" t="s">
        <v>523</v>
      </c>
      <c r="K139" s="30" t="s">
        <v>524</v>
      </c>
      <c r="L139" s="32" t="s">
        <v>110</v>
      </c>
    </row>
    <row r="140" customFormat="false" ht="15" hidden="false" customHeight="false" outlineLevel="0" collapsed="false">
      <c r="A140" s="22" t="s">
        <v>538</v>
      </c>
      <c r="B140" s="5" t="s">
        <v>539</v>
      </c>
      <c r="C140" s="35" t="s">
        <v>540</v>
      </c>
      <c r="D140" s="5" t="s">
        <v>299</v>
      </c>
      <c r="E140" s="5" t="s">
        <v>541</v>
      </c>
      <c r="F140" s="24" t="s">
        <v>540</v>
      </c>
      <c r="G140" s="5" t="s">
        <v>522</v>
      </c>
      <c r="H140" s="25" t="n">
        <v>2</v>
      </c>
      <c r="I140" s="5" t="s">
        <v>107</v>
      </c>
      <c r="J140" s="24" t="s">
        <v>523</v>
      </c>
      <c r="K140" s="24" t="s">
        <v>524</v>
      </c>
      <c r="L140" s="26" t="s">
        <v>110</v>
      </c>
    </row>
    <row r="141" customFormat="false" ht="15" hidden="false" customHeight="false" outlineLevel="0" collapsed="false">
      <c r="A141" s="27" t="s">
        <v>542</v>
      </c>
      <c r="B141" s="28" t="s">
        <v>543</v>
      </c>
      <c r="C141" s="36" t="s">
        <v>544</v>
      </c>
      <c r="D141" s="28" t="s">
        <v>299</v>
      </c>
      <c r="E141" s="28" t="s">
        <v>541</v>
      </c>
      <c r="F141" s="30" t="s">
        <v>544</v>
      </c>
      <c r="G141" s="28" t="s">
        <v>522</v>
      </c>
      <c r="H141" s="31" t="n">
        <v>2</v>
      </c>
      <c r="I141" s="28" t="s">
        <v>107</v>
      </c>
      <c r="J141" s="30" t="s">
        <v>523</v>
      </c>
      <c r="K141" s="30" t="s">
        <v>524</v>
      </c>
      <c r="L141" s="32" t="s">
        <v>110</v>
      </c>
    </row>
    <row r="142" customFormat="false" ht="15" hidden="false" customHeight="false" outlineLevel="0" collapsed="false">
      <c r="A142" s="22" t="s">
        <v>545</v>
      </c>
      <c r="B142" s="5" t="s">
        <v>520</v>
      </c>
      <c r="C142" s="34" t="n">
        <v>19.6</v>
      </c>
      <c r="D142" s="5" t="s">
        <v>299</v>
      </c>
      <c r="E142" s="5" t="s">
        <v>546</v>
      </c>
      <c r="F142" s="24" t="s">
        <v>547</v>
      </c>
      <c r="G142" s="5" t="s">
        <v>522</v>
      </c>
      <c r="H142" s="25" t="n">
        <v>11</v>
      </c>
      <c r="I142" s="5" t="s">
        <v>107</v>
      </c>
      <c r="J142" s="24" t="s">
        <v>523</v>
      </c>
      <c r="K142" s="24" t="s">
        <v>524</v>
      </c>
      <c r="L142" s="26" t="s">
        <v>110</v>
      </c>
    </row>
    <row r="143" customFormat="false" ht="15" hidden="false" customHeight="false" outlineLevel="0" collapsed="false">
      <c r="A143" s="27" t="s">
        <v>548</v>
      </c>
      <c r="B143" s="28" t="s">
        <v>520</v>
      </c>
      <c r="C143" s="29" t="n">
        <v>21.3</v>
      </c>
      <c r="D143" s="28" t="s">
        <v>299</v>
      </c>
      <c r="E143" s="28" t="s">
        <v>160</v>
      </c>
      <c r="F143" s="30" t="s">
        <v>549</v>
      </c>
      <c r="G143" s="28" t="s">
        <v>522</v>
      </c>
      <c r="H143" s="31" t="n">
        <v>11</v>
      </c>
      <c r="I143" s="28" t="s">
        <v>107</v>
      </c>
      <c r="J143" s="30" t="s">
        <v>523</v>
      </c>
      <c r="K143" s="30" t="s">
        <v>524</v>
      </c>
      <c r="L143" s="32" t="s">
        <v>110</v>
      </c>
    </row>
    <row r="144" customFormat="false" ht="15" hidden="false" customHeight="false" outlineLevel="0" collapsed="false">
      <c r="A144" s="22" t="s">
        <v>550</v>
      </c>
      <c r="B144" s="5" t="s">
        <v>551</v>
      </c>
      <c r="C144" s="23" t="n">
        <v>15</v>
      </c>
      <c r="D144" s="5" t="s">
        <v>299</v>
      </c>
      <c r="E144" s="5" t="s">
        <v>120</v>
      </c>
      <c r="F144" s="24" t="s">
        <v>552</v>
      </c>
      <c r="G144" s="5" t="s">
        <v>522</v>
      </c>
      <c r="H144" s="25" t="n">
        <v>10</v>
      </c>
      <c r="I144" s="5" t="s">
        <v>107</v>
      </c>
      <c r="J144" s="24" t="s">
        <v>523</v>
      </c>
      <c r="K144" s="24" t="s">
        <v>524</v>
      </c>
      <c r="L144" s="26" t="s">
        <v>110</v>
      </c>
    </row>
    <row r="145" customFormat="false" ht="15" hidden="false" customHeight="false" outlineLevel="0" collapsed="false">
      <c r="A145" s="27" t="s">
        <v>553</v>
      </c>
      <c r="B145" s="28" t="s">
        <v>554</v>
      </c>
      <c r="C145" s="29" t="n">
        <v>5.1</v>
      </c>
      <c r="D145" s="28" t="s">
        <v>133</v>
      </c>
      <c r="E145" s="28" t="s">
        <v>120</v>
      </c>
      <c r="F145" s="30" t="s">
        <v>555</v>
      </c>
      <c r="G145" s="28" t="s">
        <v>522</v>
      </c>
      <c r="H145" s="31" t="n">
        <v>10</v>
      </c>
      <c r="I145" s="28" t="s">
        <v>107</v>
      </c>
      <c r="J145" s="30" t="s">
        <v>523</v>
      </c>
      <c r="K145" s="30" t="s">
        <v>524</v>
      </c>
      <c r="L145" s="32" t="s">
        <v>110</v>
      </c>
    </row>
    <row r="146" customFormat="false" ht="15" hidden="false" customHeight="false" outlineLevel="0" collapsed="false">
      <c r="A146" s="22" t="s">
        <v>556</v>
      </c>
      <c r="B146" s="5" t="s">
        <v>557</v>
      </c>
      <c r="C146" s="34" t="n">
        <v>2.8</v>
      </c>
      <c r="D146" s="5" t="s">
        <v>133</v>
      </c>
      <c r="E146" s="5" t="s">
        <v>120</v>
      </c>
      <c r="F146" s="24" t="s">
        <v>558</v>
      </c>
      <c r="G146" s="5" t="s">
        <v>522</v>
      </c>
      <c r="H146" s="25" t="n">
        <v>6</v>
      </c>
      <c r="I146" s="5" t="s">
        <v>107</v>
      </c>
      <c r="J146" s="24" t="s">
        <v>523</v>
      </c>
      <c r="K146" s="24" t="s">
        <v>524</v>
      </c>
      <c r="L146" s="26" t="s">
        <v>110</v>
      </c>
    </row>
    <row r="147" customFormat="false" ht="15" hidden="false" customHeight="false" outlineLevel="0" collapsed="false">
      <c r="A147" s="27" t="s">
        <v>559</v>
      </c>
      <c r="B147" s="28" t="s">
        <v>560</v>
      </c>
      <c r="C147" s="33" t="n">
        <v>2</v>
      </c>
      <c r="D147" s="28" t="s">
        <v>130</v>
      </c>
      <c r="E147" s="28" t="s">
        <v>199</v>
      </c>
      <c r="F147" s="30" t="s">
        <v>200</v>
      </c>
      <c r="G147" s="28" t="s">
        <v>522</v>
      </c>
      <c r="H147" s="31" t="n">
        <v>6</v>
      </c>
      <c r="I147" s="28" t="s">
        <v>127</v>
      </c>
      <c r="J147" s="30" t="s">
        <v>523</v>
      </c>
      <c r="K147" s="30" t="s">
        <v>524</v>
      </c>
      <c r="L147" s="32" t="s">
        <v>110</v>
      </c>
    </row>
    <row r="148" customFormat="false" ht="15" hidden="false" customHeight="false" outlineLevel="0" collapsed="false">
      <c r="A148" s="22" t="s">
        <v>561</v>
      </c>
      <c r="B148" s="5" t="s">
        <v>562</v>
      </c>
      <c r="C148" s="34" t="n">
        <v>4.2</v>
      </c>
      <c r="D148" s="5" t="s">
        <v>130</v>
      </c>
      <c r="E148" s="5" t="s">
        <v>120</v>
      </c>
      <c r="F148" s="24" t="s">
        <v>563</v>
      </c>
      <c r="G148" s="5" t="s">
        <v>522</v>
      </c>
      <c r="H148" s="25" t="n">
        <v>5</v>
      </c>
      <c r="I148" s="5" t="s">
        <v>227</v>
      </c>
      <c r="J148" s="24" t="s">
        <v>523</v>
      </c>
      <c r="K148" s="24" t="s">
        <v>524</v>
      </c>
      <c r="L148" s="26" t="s">
        <v>110</v>
      </c>
    </row>
    <row r="149" customFormat="false" ht="15" hidden="false" customHeight="false" outlineLevel="0" collapsed="false">
      <c r="A149" s="27" t="s">
        <v>564</v>
      </c>
      <c r="B149" s="28" t="s">
        <v>565</v>
      </c>
      <c r="C149" s="29" t="n">
        <v>9.5</v>
      </c>
      <c r="D149" s="28" t="s">
        <v>299</v>
      </c>
      <c r="E149" s="28" t="s">
        <v>120</v>
      </c>
      <c r="F149" s="30" t="s">
        <v>566</v>
      </c>
      <c r="G149" s="28" t="s">
        <v>522</v>
      </c>
      <c r="H149" s="31" t="n">
        <v>5</v>
      </c>
      <c r="I149" s="28" t="s">
        <v>227</v>
      </c>
      <c r="J149" s="30" t="s">
        <v>523</v>
      </c>
      <c r="K149" s="30" t="s">
        <v>524</v>
      </c>
      <c r="L149" s="32" t="s">
        <v>110</v>
      </c>
    </row>
    <row r="150" customFormat="false" ht="15" hidden="false" customHeight="false" outlineLevel="0" collapsed="false">
      <c r="A150" s="22" t="s">
        <v>567</v>
      </c>
      <c r="B150" s="5" t="s">
        <v>568</v>
      </c>
      <c r="C150" s="34" t="n">
        <v>5.1</v>
      </c>
      <c r="D150" s="5" t="s">
        <v>130</v>
      </c>
      <c r="E150" s="5" t="s">
        <v>170</v>
      </c>
      <c r="F150" s="24" t="s">
        <v>555</v>
      </c>
      <c r="G150" s="5" t="s">
        <v>522</v>
      </c>
      <c r="H150" s="25" t="n">
        <v>5</v>
      </c>
      <c r="I150" s="5" t="s">
        <v>227</v>
      </c>
      <c r="J150" s="24" t="s">
        <v>523</v>
      </c>
      <c r="K150" s="24" t="s">
        <v>524</v>
      </c>
      <c r="L150" s="26" t="s">
        <v>110</v>
      </c>
    </row>
    <row r="151" customFormat="false" ht="15" hidden="false" customHeight="false" outlineLevel="0" collapsed="false">
      <c r="A151" s="27" t="s">
        <v>569</v>
      </c>
      <c r="B151" s="28" t="s">
        <v>570</v>
      </c>
      <c r="C151" s="33" t="n">
        <v>18</v>
      </c>
      <c r="D151" s="28" t="s">
        <v>299</v>
      </c>
      <c r="E151" s="28" t="s">
        <v>199</v>
      </c>
      <c r="F151" s="30" t="s">
        <v>528</v>
      </c>
      <c r="G151" s="28" t="s">
        <v>571</v>
      </c>
      <c r="H151" s="31" t="n">
        <v>3</v>
      </c>
      <c r="I151" s="28" t="s">
        <v>107</v>
      </c>
      <c r="J151" s="30" t="s">
        <v>572</v>
      </c>
      <c r="K151" s="30" t="s">
        <v>524</v>
      </c>
      <c r="L151" s="32" t="s">
        <v>110</v>
      </c>
    </row>
    <row r="152" customFormat="false" ht="15" hidden="false" customHeight="false" outlineLevel="0" collapsed="false">
      <c r="A152" s="22" t="s">
        <v>573</v>
      </c>
      <c r="B152" s="5" t="s">
        <v>574</v>
      </c>
      <c r="C152" s="23" t="n">
        <v>20</v>
      </c>
      <c r="D152" s="5" t="s">
        <v>299</v>
      </c>
      <c r="E152" s="5" t="s">
        <v>199</v>
      </c>
      <c r="F152" s="24" t="s">
        <v>575</v>
      </c>
      <c r="G152" s="5" t="s">
        <v>571</v>
      </c>
      <c r="H152" s="25" t="n">
        <v>3</v>
      </c>
      <c r="I152" s="5" t="s">
        <v>107</v>
      </c>
      <c r="J152" s="24" t="s">
        <v>572</v>
      </c>
      <c r="K152" s="24" t="s">
        <v>524</v>
      </c>
      <c r="L152" s="26" t="s">
        <v>110</v>
      </c>
    </row>
    <row r="153" customFormat="false" ht="15" hidden="false" customHeight="false" outlineLevel="0" collapsed="false">
      <c r="A153" s="27" t="s">
        <v>576</v>
      </c>
      <c r="B153" s="28" t="s">
        <v>577</v>
      </c>
      <c r="C153" s="33" t="n">
        <v>22</v>
      </c>
      <c r="D153" s="28" t="s">
        <v>299</v>
      </c>
      <c r="E153" s="28" t="s">
        <v>199</v>
      </c>
      <c r="F153" s="30" t="s">
        <v>578</v>
      </c>
      <c r="G153" s="28" t="s">
        <v>571</v>
      </c>
      <c r="H153" s="31" t="n">
        <v>3</v>
      </c>
      <c r="I153" s="28" t="s">
        <v>107</v>
      </c>
      <c r="J153" s="30" t="s">
        <v>572</v>
      </c>
      <c r="K153" s="30" t="s">
        <v>524</v>
      </c>
      <c r="L153" s="32" t="s">
        <v>110</v>
      </c>
    </row>
    <row r="154" customFormat="false" ht="15" hidden="false" customHeight="false" outlineLevel="0" collapsed="false">
      <c r="A154" s="22" t="s">
        <v>579</v>
      </c>
      <c r="B154" s="5" t="s">
        <v>580</v>
      </c>
      <c r="C154" s="23" t="n">
        <v>4</v>
      </c>
      <c r="D154" s="5" t="s">
        <v>299</v>
      </c>
      <c r="E154" s="5" t="s">
        <v>199</v>
      </c>
      <c r="F154" s="24" t="s">
        <v>467</v>
      </c>
      <c r="G154" s="5" t="s">
        <v>571</v>
      </c>
      <c r="H154" s="25" t="n">
        <v>3</v>
      </c>
      <c r="I154" s="5" t="s">
        <v>127</v>
      </c>
      <c r="J154" s="24" t="s">
        <v>572</v>
      </c>
      <c r="K154" s="24" t="s">
        <v>524</v>
      </c>
      <c r="L154" s="26" t="s">
        <v>110</v>
      </c>
    </row>
    <row r="155" customFormat="false" ht="15" hidden="false" customHeight="false" outlineLevel="0" collapsed="false">
      <c r="A155" s="27" t="s">
        <v>581</v>
      </c>
      <c r="B155" s="28" t="s">
        <v>582</v>
      </c>
      <c r="C155" s="33" t="n">
        <v>5</v>
      </c>
      <c r="D155" s="28" t="s">
        <v>299</v>
      </c>
      <c r="E155" s="28" t="s">
        <v>199</v>
      </c>
      <c r="F155" s="30" t="s">
        <v>398</v>
      </c>
      <c r="G155" s="28" t="s">
        <v>571</v>
      </c>
      <c r="H155" s="31" t="n">
        <v>3</v>
      </c>
      <c r="I155" s="28" t="s">
        <v>127</v>
      </c>
      <c r="J155" s="30" t="s">
        <v>572</v>
      </c>
      <c r="K155" s="30" t="s">
        <v>524</v>
      </c>
      <c r="L155" s="32" t="s">
        <v>110</v>
      </c>
    </row>
    <row r="156" customFormat="false" ht="15" hidden="false" customHeight="false" outlineLevel="0" collapsed="false">
      <c r="A156" s="22" t="s">
        <v>583</v>
      </c>
      <c r="B156" s="5" t="s">
        <v>584</v>
      </c>
      <c r="C156" s="23" t="n">
        <v>4954</v>
      </c>
      <c r="D156" s="5" t="s">
        <v>103</v>
      </c>
      <c r="E156" s="5" t="s">
        <v>120</v>
      </c>
      <c r="F156" s="24" t="s">
        <v>585</v>
      </c>
      <c r="G156" s="5" t="s">
        <v>586</v>
      </c>
      <c r="H156" s="25" t="n">
        <v>23</v>
      </c>
      <c r="I156" s="5" t="s">
        <v>227</v>
      </c>
      <c r="J156" s="24" t="s">
        <v>587</v>
      </c>
      <c r="K156" s="24" t="s">
        <v>109</v>
      </c>
      <c r="L156" s="26" t="s">
        <v>110</v>
      </c>
    </row>
    <row r="157" customFormat="false" ht="15" hidden="false" customHeight="false" outlineLevel="0" collapsed="false">
      <c r="A157" s="27" t="s">
        <v>588</v>
      </c>
      <c r="B157" s="28" t="s">
        <v>589</v>
      </c>
      <c r="C157" s="29" t="n">
        <v>3.6</v>
      </c>
      <c r="D157" s="28" t="s">
        <v>299</v>
      </c>
      <c r="E157" s="28" t="s">
        <v>120</v>
      </c>
      <c r="F157" s="30" t="s">
        <v>590</v>
      </c>
      <c r="G157" s="28" t="s">
        <v>586</v>
      </c>
      <c r="H157" s="31" t="n">
        <v>23</v>
      </c>
      <c r="I157" s="28" t="s">
        <v>227</v>
      </c>
      <c r="J157" s="30" t="s">
        <v>587</v>
      </c>
      <c r="K157" s="30" t="s">
        <v>109</v>
      </c>
      <c r="L157" s="32" t="s">
        <v>110</v>
      </c>
    </row>
    <row r="158" customFormat="false" ht="15" hidden="false" customHeight="false" outlineLevel="0" collapsed="false">
      <c r="A158" s="22" t="s">
        <v>591</v>
      </c>
      <c r="B158" s="5" t="s">
        <v>592</v>
      </c>
      <c r="C158" s="23" t="n">
        <v>669</v>
      </c>
      <c r="D158" s="5" t="s">
        <v>103</v>
      </c>
      <c r="E158" s="5" t="s">
        <v>120</v>
      </c>
      <c r="F158" s="24" t="s">
        <v>593</v>
      </c>
      <c r="G158" s="5" t="s">
        <v>586</v>
      </c>
      <c r="H158" s="25" t="n">
        <v>23</v>
      </c>
      <c r="I158" s="5" t="s">
        <v>227</v>
      </c>
      <c r="J158" s="24" t="s">
        <v>587</v>
      </c>
      <c r="K158" s="24" t="s">
        <v>109</v>
      </c>
      <c r="L158" s="26" t="s">
        <v>110</v>
      </c>
    </row>
    <row r="159" customFormat="false" ht="15" hidden="false" customHeight="false" outlineLevel="0" collapsed="false">
      <c r="A159" s="27" t="s">
        <v>594</v>
      </c>
      <c r="B159" s="28" t="s">
        <v>595</v>
      </c>
      <c r="C159" s="29" t="n">
        <v>14.1</v>
      </c>
      <c r="D159" s="28" t="s">
        <v>299</v>
      </c>
      <c r="E159" s="28" t="s">
        <v>120</v>
      </c>
      <c r="F159" s="30" t="s">
        <v>596</v>
      </c>
      <c r="G159" s="28" t="s">
        <v>586</v>
      </c>
      <c r="H159" s="31" t="n">
        <v>23</v>
      </c>
      <c r="I159" s="28" t="s">
        <v>227</v>
      </c>
      <c r="J159" s="30" t="s">
        <v>587</v>
      </c>
      <c r="K159" s="30" t="s">
        <v>109</v>
      </c>
      <c r="L159" s="32" t="s">
        <v>110</v>
      </c>
    </row>
    <row r="160" customFormat="false" ht="15" hidden="false" customHeight="false" outlineLevel="0" collapsed="false">
      <c r="A160" s="22" t="s">
        <v>597</v>
      </c>
      <c r="B160" s="5" t="s">
        <v>598</v>
      </c>
      <c r="C160" s="23" t="n">
        <v>11316</v>
      </c>
      <c r="D160" s="5" t="s">
        <v>103</v>
      </c>
      <c r="E160" s="5" t="s">
        <v>120</v>
      </c>
      <c r="F160" s="24" t="s">
        <v>599</v>
      </c>
      <c r="G160" s="5" t="s">
        <v>586</v>
      </c>
      <c r="H160" s="25" t="n">
        <v>23</v>
      </c>
      <c r="I160" s="5" t="s">
        <v>227</v>
      </c>
      <c r="J160" s="24" t="s">
        <v>587</v>
      </c>
      <c r="K160" s="24" t="s">
        <v>109</v>
      </c>
      <c r="L160" s="26" t="s">
        <v>110</v>
      </c>
    </row>
    <row r="161" customFormat="false" ht="15" hidden="false" customHeight="false" outlineLevel="0" collapsed="false">
      <c r="A161" s="27" t="s">
        <v>600</v>
      </c>
      <c r="B161" s="28" t="s">
        <v>601</v>
      </c>
      <c r="C161" s="29" t="n">
        <v>4.1</v>
      </c>
      <c r="D161" s="28" t="s">
        <v>299</v>
      </c>
      <c r="E161" s="28" t="s">
        <v>120</v>
      </c>
      <c r="F161" s="30" t="s">
        <v>602</v>
      </c>
      <c r="G161" s="28" t="s">
        <v>586</v>
      </c>
      <c r="H161" s="31" t="n">
        <v>23</v>
      </c>
      <c r="I161" s="28" t="s">
        <v>227</v>
      </c>
      <c r="J161" s="30" t="s">
        <v>587</v>
      </c>
      <c r="K161" s="30" t="s">
        <v>109</v>
      </c>
      <c r="L161" s="32" t="s">
        <v>110</v>
      </c>
    </row>
    <row r="162" customFormat="false" ht="15" hidden="false" customHeight="false" outlineLevel="0" collapsed="false">
      <c r="A162" s="22" t="s">
        <v>603</v>
      </c>
      <c r="B162" s="5" t="s">
        <v>421</v>
      </c>
      <c r="C162" s="23" t="n">
        <v>2009</v>
      </c>
      <c r="D162" s="5" t="s">
        <v>103</v>
      </c>
      <c r="E162" s="5" t="s">
        <v>120</v>
      </c>
      <c r="F162" s="24" t="s">
        <v>604</v>
      </c>
      <c r="G162" s="5" t="s">
        <v>586</v>
      </c>
      <c r="H162" s="25" t="n">
        <v>23</v>
      </c>
      <c r="I162" s="5" t="s">
        <v>227</v>
      </c>
      <c r="J162" s="24" t="s">
        <v>587</v>
      </c>
      <c r="K162" s="24" t="s">
        <v>109</v>
      </c>
      <c r="L162" s="26" t="s">
        <v>110</v>
      </c>
    </row>
    <row r="163" customFormat="false" ht="15" hidden="false" customHeight="false" outlineLevel="0" collapsed="false">
      <c r="A163" s="27" t="s">
        <v>605</v>
      </c>
      <c r="B163" s="28" t="s">
        <v>606</v>
      </c>
      <c r="C163" s="29" t="n">
        <v>9.3</v>
      </c>
      <c r="D163" s="28" t="s">
        <v>299</v>
      </c>
      <c r="E163" s="28" t="s">
        <v>120</v>
      </c>
      <c r="F163" s="30" t="s">
        <v>607</v>
      </c>
      <c r="G163" s="28" t="s">
        <v>586</v>
      </c>
      <c r="H163" s="31" t="n">
        <v>23</v>
      </c>
      <c r="I163" s="28" t="s">
        <v>227</v>
      </c>
      <c r="J163" s="30" t="s">
        <v>587</v>
      </c>
      <c r="K163" s="30" t="s">
        <v>109</v>
      </c>
      <c r="L163" s="32" t="s">
        <v>110</v>
      </c>
    </row>
    <row r="164" customFormat="false" ht="15" hidden="false" customHeight="false" outlineLevel="0" collapsed="false">
      <c r="A164" s="22" t="s">
        <v>608</v>
      </c>
      <c r="B164" s="5" t="s">
        <v>609</v>
      </c>
      <c r="C164" s="23" t="n">
        <v>19206</v>
      </c>
      <c r="D164" s="5" t="s">
        <v>103</v>
      </c>
      <c r="E164" s="5" t="s">
        <v>120</v>
      </c>
      <c r="F164" s="24" t="s">
        <v>610</v>
      </c>
      <c r="G164" s="5" t="s">
        <v>586</v>
      </c>
      <c r="H164" s="25" t="n">
        <v>23</v>
      </c>
      <c r="I164" s="5" t="s">
        <v>227</v>
      </c>
      <c r="J164" s="24" t="s">
        <v>587</v>
      </c>
      <c r="K164" s="24" t="s">
        <v>109</v>
      </c>
      <c r="L164" s="26" t="s">
        <v>110</v>
      </c>
    </row>
    <row r="165" customFormat="false" ht="15" hidden="false" customHeight="false" outlineLevel="0" collapsed="false">
      <c r="A165" s="27" t="s">
        <v>611</v>
      </c>
      <c r="B165" s="28" t="s">
        <v>612</v>
      </c>
      <c r="C165" s="33" t="n">
        <v>2758</v>
      </c>
      <c r="D165" s="28" t="s">
        <v>103</v>
      </c>
      <c r="E165" s="28" t="s">
        <v>120</v>
      </c>
      <c r="F165" s="30" t="s">
        <v>613</v>
      </c>
      <c r="G165" s="28" t="s">
        <v>586</v>
      </c>
      <c r="H165" s="31" t="n">
        <v>23</v>
      </c>
      <c r="I165" s="28" t="s">
        <v>227</v>
      </c>
      <c r="J165" s="30" t="s">
        <v>587</v>
      </c>
      <c r="K165" s="30" t="s">
        <v>109</v>
      </c>
      <c r="L165" s="32" t="s">
        <v>110</v>
      </c>
    </row>
    <row r="166" customFormat="false" ht="15" hidden="false" customHeight="false" outlineLevel="0" collapsed="false">
      <c r="A166" s="22" t="s">
        <v>614</v>
      </c>
      <c r="B166" s="5" t="s">
        <v>615</v>
      </c>
      <c r="C166" s="34" t="n">
        <v>1.8</v>
      </c>
      <c r="D166" s="5" t="s">
        <v>299</v>
      </c>
      <c r="E166" s="5" t="s">
        <v>120</v>
      </c>
      <c r="F166" s="24" t="s">
        <v>616</v>
      </c>
      <c r="G166" s="5" t="s">
        <v>586</v>
      </c>
      <c r="H166" s="25" t="n">
        <v>23</v>
      </c>
      <c r="I166" s="5" t="s">
        <v>227</v>
      </c>
      <c r="J166" s="24" t="s">
        <v>587</v>
      </c>
      <c r="K166" s="24" t="s">
        <v>109</v>
      </c>
      <c r="L166" s="26" t="s">
        <v>110</v>
      </c>
    </row>
    <row r="167" customFormat="false" ht="15" hidden="false" customHeight="false" outlineLevel="0" collapsed="false">
      <c r="A167" s="27" t="s">
        <v>617</v>
      </c>
      <c r="B167" s="28" t="s">
        <v>618</v>
      </c>
      <c r="C167" s="33" t="n">
        <v>8914</v>
      </c>
      <c r="D167" s="28" t="s">
        <v>103</v>
      </c>
      <c r="E167" s="28" t="s">
        <v>120</v>
      </c>
      <c r="F167" s="30" t="s">
        <v>619</v>
      </c>
      <c r="G167" s="28" t="s">
        <v>620</v>
      </c>
      <c r="H167" s="31" t="n">
        <v>12</v>
      </c>
      <c r="I167" s="28" t="s">
        <v>227</v>
      </c>
      <c r="J167" s="30" t="s">
        <v>621</v>
      </c>
      <c r="K167" s="30" t="s">
        <v>109</v>
      </c>
      <c r="L167" s="32" t="s">
        <v>110</v>
      </c>
    </row>
    <row r="168" customFormat="false" ht="15" hidden="false" customHeight="false" outlineLevel="0" collapsed="false">
      <c r="A168" s="22" t="s">
        <v>622</v>
      </c>
      <c r="B168" s="5" t="s">
        <v>618</v>
      </c>
      <c r="C168" s="23" t="n">
        <v>9145</v>
      </c>
      <c r="D168" s="5" t="s">
        <v>103</v>
      </c>
      <c r="E168" s="5" t="s">
        <v>160</v>
      </c>
      <c r="F168" s="24" t="s">
        <v>623</v>
      </c>
      <c r="G168" s="5" t="s">
        <v>620</v>
      </c>
      <c r="H168" s="25" t="n">
        <v>12</v>
      </c>
      <c r="I168" s="5" t="s">
        <v>227</v>
      </c>
      <c r="J168" s="24" t="s">
        <v>621</v>
      </c>
      <c r="K168" s="24" t="s">
        <v>109</v>
      </c>
      <c r="L168" s="26" t="s">
        <v>110</v>
      </c>
    </row>
    <row r="169" customFormat="false" ht="15" hidden="false" customHeight="false" outlineLevel="0" collapsed="false">
      <c r="A169" s="27" t="s">
        <v>624</v>
      </c>
      <c r="B169" s="28" t="s">
        <v>609</v>
      </c>
      <c r="C169" s="33" t="n">
        <v>18619</v>
      </c>
      <c r="D169" s="28" t="s">
        <v>103</v>
      </c>
      <c r="E169" s="28" t="s">
        <v>160</v>
      </c>
      <c r="F169" s="30" t="s">
        <v>625</v>
      </c>
      <c r="G169" s="28" t="s">
        <v>620</v>
      </c>
      <c r="H169" s="31" t="n">
        <v>12</v>
      </c>
      <c r="I169" s="28" t="s">
        <v>227</v>
      </c>
      <c r="J169" s="30" t="s">
        <v>621</v>
      </c>
      <c r="K169" s="30" t="s">
        <v>109</v>
      </c>
      <c r="L169" s="32" t="s">
        <v>110</v>
      </c>
    </row>
    <row r="170" customFormat="false" ht="15" hidden="false" customHeight="false" outlineLevel="0" collapsed="false">
      <c r="A170" s="22" t="s">
        <v>626</v>
      </c>
      <c r="B170" s="5" t="s">
        <v>598</v>
      </c>
      <c r="C170" s="23" t="n">
        <v>11945</v>
      </c>
      <c r="D170" s="5" t="s">
        <v>103</v>
      </c>
      <c r="E170" s="5" t="s">
        <v>160</v>
      </c>
      <c r="F170" s="24" t="s">
        <v>627</v>
      </c>
      <c r="G170" s="5" t="s">
        <v>620</v>
      </c>
      <c r="H170" s="25" t="n">
        <v>12</v>
      </c>
      <c r="I170" s="5" t="s">
        <v>227</v>
      </c>
      <c r="J170" s="24" t="s">
        <v>621</v>
      </c>
      <c r="K170" s="24" t="s">
        <v>109</v>
      </c>
      <c r="L170" s="26" t="s">
        <v>110</v>
      </c>
    </row>
    <row r="171" customFormat="false" ht="15" hidden="false" customHeight="false" outlineLevel="0" collapsed="false">
      <c r="A171" s="27" t="s">
        <v>628</v>
      </c>
      <c r="B171" s="28" t="s">
        <v>612</v>
      </c>
      <c r="C171" s="33" t="n">
        <v>2642</v>
      </c>
      <c r="D171" s="28" t="s">
        <v>103</v>
      </c>
      <c r="E171" s="28" t="s">
        <v>160</v>
      </c>
      <c r="F171" s="30" t="s">
        <v>629</v>
      </c>
      <c r="G171" s="28" t="s">
        <v>620</v>
      </c>
      <c r="H171" s="31" t="n">
        <v>13</v>
      </c>
      <c r="I171" s="28" t="s">
        <v>227</v>
      </c>
      <c r="J171" s="30" t="s">
        <v>621</v>
      </c>
      <c r="K171" s="30" t="s">
        <v>109</v>
      </c>
      <c r="L171" s="32" t="s">
        <v>110</v>
      </c>
    </row>
    <row r="172" customFormat="false" ht="15" hidden="false" customHeight="false" outlineLevel="0" collapsed="false">
      <c r="A172" s="22" t="s">
        <v>630</v>
      </c>
      <c r="B172" s="5" t="s">
        <v>421</v>
      </c>
      <c r="C172" s="23" t="n">
        <v>2025</v>
      </c>
      <c r="D172" s="5" t="s">
        <v>103</v>
      </c>
      <c r="E172" s="5" t="s">
        <v>160</v>
      </c>
      <c r="F172" s="24" t="s">
        <v>631</v>
      </c>
      <c r="G172" s="5" t="s">
        <v>620</v>
      </c>
      <c r="H172" s="25" t="n">
        <v>13</v>
      </c>
      <c r="I172" s="5" t="s">
        <v>227</v>
      </c>
      <c r="J172" s="24" t="s">
        <v>621</v>
      </c>
      <c r="K172" s="24" t="s">
        <v>109</v>
      </c>
      <c r="L172" s="26" t="s">
        <v>110</v>
      </c>
    </row>
    <row r="173" customFormat="false" ht="15" hidden="false" customHeight="false" outlineLevel="0" collapsed="false">
      <c r="A173" s="27" t="s">
        <v>632</v>
      </c>
      <c r="B173" s="28" t="s">
        <v>633</v>
      </c>
      <c r="C173" s="33" t="n">
        <v>13191</v>
      </c>
      <c r="D173" s="28" t="s">
        <v>103</v>
      </c>
      <c r="E173" s="28" t="s">
        <v>120</v>
      </c>
      <c r="F173" s="30" t="s">
        <v>634</v>
      </c>
      <c r="G173" s="28" t="s">
        <v>586</v>
      </c>
      <c r="H173" s="31" t="n">
        <v>7</v>
      </c>
      <c r="I173" s="28" t="s">
        <v>227</v>
      </c>
      <c r="J173" s="30" t="s">
        <v>587</v>
      </c>
      <c r="K173" s="30" t="s">
        <v>109</v>
      </c>
      <c r="L173" s="32" t="s">
        <v>110</v>
      </c>
    </row>
    <row r="174" customFormat="false" ht="15" hidden="false" customHeight="false" outlineLevel="0" collapsed="false">
      <c r="A174" s="22" t="s">
        <v>635</v>
      </c>
      <c r="B174" s="5" t="s">
        <v>636</v>
      </c>
      <c r="C174" s="34" t="n">
        <v>4.3</v>
      </c>
      <c r="D174" s="5" t="s">
        <v>299</v>
      </c>
      <c r="E174" s="5" t="s">
        <v>120</v>
      </c>
      <c r="F174" s="24" t="s">
        <v>637</v>
      </c>
      <c r="G174" s="5" t="s">
        <v>586</v>
      </c>
      <c r="H174" s="25" t="n">
        <v>7</v>
      </c>
      <c r="I174" s="5" t="s">
        <v>227</v>
      </c>
      <c r="J174" s="24" t="s">
        <v>587</v>
      </c>
      <c r="K174" s="24" t="s">
        <v>109</v>
      </c>
      <c r="L174" s="26" t="s">
        <v>110</v>
      </c>
    </row>
    <row r="175" customFormat="false" ht="15" hidden="false" customHeight="false" outlineLevel="0" collapsed="false">
      <c r="A175" s="27" t="s">
        <v>638</v>
      </c>
      <c r="B175" s="28" t="s">
        <v>639</v>
      </c>
      <c r="C175" s="29" t="n">
        <v>12.1</v>
      </c>
      <c r="D175" s="28" t="s">
        <v>299</v>
      </c>
      <c r="E175" s="28" t="s">
        <v>120</v>
      </c>
      <c r="F175" s="30" t="s">
        <v>640</v>
      </c>
      <c r="G175" s="28" t="s">
        <v>586</v>
      </c>
      <c r="H175" s="31" t="n">
        <v>7</v>
      </c>
      <c r="I175" s="28" t="s">
        <v>227</v>
      </c>
      <c r="J175" s="30" t="s">
        <v>587</v>
      </c>
      <c r="K175" s="30" t="s">
        <v>109</v>
      </c>
      <c r="L175" s="32" t="s">
        <v>110</v>
      </c>
    </row>
    <row r="176" customFormat="false" ht="15" hidden="false" customHeight="false" outlineLevel="0" collapsed="false">
      <c r="A176" s="22" t="s">
        <v>641</v>
      </c>
      <c r="B176" s="5" t="s">
        <v>642</v>
      </c>
      <c r="C176" s="23" t="n">
        <v>1668</v>
      </c>
      <c r="D176" s="5" t="s">
        <v>103</v>
      </c>
      <c r="E176" s="5" t="s">
        <v>120</v>
      </c>
      <c r="F176" s="24" t="s">
        <v>643</v>
      </c>
      <c r="G176" s="5" t="s">
        <v>586</v>
      </c>
      <c r="H176" s="25" t="n">
        <v>25</v>
      </c>
      <c r="I176" s="5" t="s">
        <v>227</v>
      </c>
      <c r="J176" s="24" t="s">
        <v>587</v>
      </c>
      <c r="K176" s="24" t="s">
        <v>109</v>
      </c>
      <c r="L176" s="26" t="s">
        <v>110</v>
      </c>
    </row>
    <row r="177" customFormat="false" ht="15" hidden="false" customHeight="false" outlineLevel="0" collapsed="false">
      <c r="A177" s="27" t="s">
        <v>644</v>
      </c>
      <c r="B177" s="28" t="s">
        <v>645</v>
      </c>
      <c r="C177" s="29" t="n">
        <v>12.6</v>
      </c>
      <c r="D177" s="28" t="s">
        <v>299</v>
      </c>
      <c r="E177" s="28" t="s">
        <v>120</v>
      </c>
      <c r="F177" s="30" t="s">
        <v>646</v>
      </c>
      <c r="G177" s="28" t="s">
        <v>586</v>
      </c>
      <c r="H177" s="31" t="n">
        <v>25</v>
      </c>
      <c r="I177" s="28" t="s">
        <v>227</v>
      </c>
      <c r="J177" s="30" t="s">
        <v>587</v>
      </c>
      <c r="K177" s="30" t="s">
        <v>109</v>
      </c>
      <c r="L177" s="32" t="s">
        <v>110</v>
      </c>
    </row>
    <row r="178" customFormat="false" ht="15" hidden="false" customHeight="false" outlineLevel="0" collapsed="false">
      <c r="A178" s="22" t="s">
        <v>647</v>
      </c>
      <c r="B178" s="5" t="s">
        <v>648</v>
      </c>
      <c r="C178" s="23" t="n">
        <v>4021</v>
      </c>
      <c r="D178" s="5" t="s">
        <v>103</v>
      </c>
      <c r="E178" s="5" t="s">
        <v>120</v>
      </c>
      <c r="F178" s="24" t="s">
        <v>649</v>
      </c>
      <c r="G178" s="5" t="s">
        <v>586</v>
      </c>
      <c r="H178" s="25" t="n">
        <v>25</v>
      </c>
      <c r="I178" s="5" t="s">
        <v>227</v>
      </c>
      <c r="J178" s="24" t="s">
        <v>587</v>
      </c>
      <c r="K178" s="24" t="s">
        <v>109</v>
      </c>
      <c r="L178" s="26" t="s">
        <v>110</v>
      </c>
    </row>
    <row r="179" customFormat="false" ht="15" hidden="false" customHeight="false" outlineLevel="0" collapsed="false">
      <c r="A179" s="27" t="s">
        <v>650</v>
      </c>
      <c r="B179" s="28" t="s">
        <v>651</v>
      </c>
      <c r="C179" s="33" t="n">
        <v>312</v>
      </c>
      <c r="D179" s="28" t="s">
        <v>103</v>
      </c>
      <c r="E179" s="28" t="s">
        <v>120</v>
      </c>
      <c r="F179" s="30" t="s">
        <v>652</v>
      </c>
      <c r="G179" s="28" t="s">
        <v>586</v>
      </c>
      <c r="H179" s="31" t="n">
        <v>25</v>
      </c>
      <c r="I179" s="28" t="s">
        <v>227</v>
      </c>
      <c r="J179" s="30" t="s">
        <v>587</v>
      </c>
      <c r="K179" s="30" t="s">
        <v>109</v>
      </c>
      <c r="L179" s="32" t="s">
        <v>110</v>
      </c>
    </row>
    <row r="180" customFormat="false" ht="15" hidden="false" customHeight="false" outlineLevel="0" collapsed="false">
      <c r="A180" s="22" t="s">
        <v>653</v>
      </c>
      <c r="B180" s="5" t="s">
        <v>648</v>
      </c>
      <c r="C180" s="23" t="n">
        <v>3471</v>
      </c>
      <c r="D180" s="5" t="s">
        <v>103</v>
      </c>
      <c r="E180" s="5" t="s">
        <v>160</v>
      </c>
      <c r="F180" s="24" t="s">
        <v>654</v>
      </c>
      <c r="G180" s="5" t="s">
        <v>586</v>
      </c>
      <c r="H180" s="25" t="n">
        <v>41</v>
      </c>
      <c r="I180" s="5" t="s">
        <v>227</v>
      </c>
      <c r="J180" s="24" t="s">
        <v>587</v>
      </c>
      <c r="K180" s="24" t="s">
        <v>109</v>
      </c>
      <c r="L180" s="26" t="s">
        <v>110</v>
      </c>
    </row>
    <row r="181" customFormat="false" ht="15" hidden="false" customHeight="false" outlineLevel="0" collapsed="false">
      <c r="A181" s="27" t="s">
        <v>655</v>
      </c>
      <c r="B181" s="28" t="s">
        <v>651</v>
      </c>
      <c r="C181" s="33" t="n">
        <v>246</v>
      </c>
      <c r="D181" s="28" t="s">
        <v>103</v>
      </c>
      <c r="E181" s="28" t="s">
        <v>160</v>
      </c>
      <c r="F181" s="30" t="s">
        <v>656</v>
      </c>
      <c r="G181" s="28" t="s">
        <v>586</v>
      </c>
      <c r="H181" s="31" t="n">
        <v>41</v>
      </c>
      <c r="I181" s="28" t="s">
        <v>227</v>
      </c>
      <c r="J181" s="30" t="s">
        <v>587</v>
      </c>
      <c r="K181" s="30" t="s">
        <v>109</v>
      </c>
      <c r="L181" s="32" t="s">
        <v>110</v>
      </c>
    </row>
    <row r="182" customFormat="false" ht="15" hidden="false" customHeight="false" outlineLevel="0" collapsed="false">
      <c r="A182" s="22" t="s">
        <v>657</v>
      </c>
      <c r="B182" s="5" t="s">
        <v>584</v>
      </c>
      <c r="C182" s="23" t="n">
        <v>2213</v>
      </c>
      <c r="D182" s="5" t="s">
        <v>103</v>
      </c>
      <c r="E182" s="5" t="s">
        <v>104</v>
      </c>
      <c r="F182" s="24" t="s">
        <v>658</v>
      </c>
      <c r="G182" s="5" t="s">
        <v>216</v>
      </c>
      <c r="H182" s="25" t="n">
        <v>19</v>
      </c>
      <c r="I182" s="5" t="s">
        <v>227</v>
      </c>
      <c r="J182" s="24" t="s">
        <v>217</v>
      </c>
      <c r="K182" s="24" t="s">
        <v>109</v>
      </c>
      <c r="L182" s="26" t="s">
        <v>110</v>
      </c>
    </row>
    <row r="183" customFormat="false" ht="15" hidden="false" customHeight="false" outlineLevel="0" collapsed="false">
      <c r="A183" s="27" t="s">
        <v>659</v>
      </c>
      <c r="B183" s="28" t="s">
        <v>589</v>
      </c>
      <c r="C183" s="29" t="n">
        <v>-4.8</v>
      </c>
      <c r="D183" s="28" t="s">
        <v>299</v>
      </c>
      <c r="E183" s="28" t="s">
        <v>104</v>
      </c>
      <c r="F183" s="30" t="s">
        <v>660</v>
      </c>
      <c r="G183" s="28" t="s">
        <v>216</v>
      </c>
      <c r="H183" s="31" t="n">
        <v>19</v>
      </c>
      <c r="I183" s="28" t="s">
        <v>227</v>
      </c>
      <c r="J183" s="30" t="s">
        <v>217</v>
      </c>
      <c r="K183" s="30" t="s">
        <v>109</v>
      </c>
      <c r="L183" s="32" t="s">
        <v>110</v>
      </c>
    </row>
    <row r="184" customFormat="false" ht="15" hidden="false" customHeight="false" outlineLevel="0" collapsed="false">
      <c r="A184" s="22" t="s">
        <v>661</v>
      </c>
      <c r="B184" s="5" t="s">
        <v>592</v>
      </c>
      <c r="C184" s="23" t="n">
        <v>294</v>
      </c>
      <c r="D184" s="5" t="s">
        <v>103</v>
      </c>
      <c r="E184" s="5" t="s">
        <v>104</v>
      </c>
      <c r="F184" s="24" t="s">
        <v>662</v>
      </c>
      <c r="G184" s="5" t="s">
        <v>216</v>
      </c>
      <c r="H184" s="25" t="n">
        <v>19</v>
      </c>
      <c r="I184" s="5" t="s">
        <v>227</v>
      </c>
      <c r="J184" s="24" t="s">
        <v>217</v>
      </c>
      <c r="K184" s="24" t="s">
        <v>109</v>
      </c>
      <c r="L184" s="26" t="s">
        <v>110</v>
      </c>
    </row>
    <row r="185" customFormat="false" ht="15" hidden="false" customHeight="false" outlineLevel="0" collapsed="false">
      <c r="A185" s="27" t="s">
        <v>663</v>
      </c>
      <c r="B185" s="28" t="s">
        <v>664</v>
      </c>
      <c r="C185" s="29" t="n">
        <v>13.45</v>
      </c>
      <c r="D185" s="28" t="s">
        <v>665</v>
      </c>
      <c r="E185" s="28" t="s">
        <v>666</v>
      </c>
      <c r="F185" s="30" t="s">
        <v>667</v>
      </c>
      <c r="G185" s="28" t="s">
        <v>172</v>
      </c>
      <c r="H185" s="31" t="n">
        <v>12</v>
      </c>
      <c r="I185" s="28" t="s">
        <v>227</v>
      </c>
      <c r="J185" s="30" t="s">
        <v>173</v>
      </c>
      <c r="K185" s="30" t="s">
        <v>109</v>
      </c>
      <c r="L185" s="32" t="s">
        <v>110</v>
      </c>
    </row>
    <row r="186" customFormat="false" ht="15" hidden="false" customHeight="false" outlineLevel="0" collapsed="false">
      <c r="A186" s="22" t="s">
        <v>668</v>
      </c>
      <c r="B186" s="5" t="s">
        <v>669</v>
      </c>
      <c r="C186" s="23" t="n">
        <v>13</v>
      </c>
      <c r="D186" s="5" t="s">
        <v>299</v>
      </c>
      <c r="E186" s="5" t="s">
        <v>225</v>
      </c>
      <c r="F186" s="24" t="s">
        <v>670</v>
      </c>
      <c r="G186" s="5" t="s">
        <v>172</v>
      </c>
      <c r="H186" s="25" t="n">
        <v>12</v>
      </c>
      <c r="I186" s="5" t="s">
        <v>227</v>
      </c>
      <c r="J186" s="24" t="s">
        <v>173</v>
      </c>
      <c r="K186" s="24" t="s">
        <v>109</v>
      </c>
      <c r="L186" s="26" t="s">
        <v>110</v>
      </c>
    </row>
    <row r="187" customFormat="false" ht="15" hidden="false" customHeight="false" outlineLevel="0" collapsed="false">
      <c r="A187" s="27" t="s">
        <v>671</v>
      </c>
      <c r="B187" s="28" t="s">
        <v>669</v>
      </c>
      <c r="C187" s="29" t="n">
        <v>23.6</v>
      </c>
      <c r="D187" s="28" t="s">
        <v>299</v>
      </c>
      <c r="E187" s="28" t="s">
        <v>170</v>
      </c>
      <c r="F187" s="30" t="s">
        <v>672</v>
      </c>
      <c r="G187" s="28" t="s">
        <v>172</v>
      </c>
      <c r="H187" s="31" t="n">
        <v>12</v>
      </c>
      <c r="I187" s="28" t="s">
        <v>227</v>
      </c>
      <c r="J187" s="30" t="s">
        <v>173</v>
      </c>
      <c r="K187" s="30" t="s">
        <v>109</v>
      </c>
      <c r="L187" s="32" t="s">
        <v>110</v>
      </c>
    </row>
    <row r="188" customFormat="false" ht="15" hidden="false" customHeight="false" outlineLevel="0" collapsed="false">
      <c r="A188" s="22" t="s">
        <v>673</v>
      </c>
      <c r="B188" s="5" t="s">
        <v>674</v>
      </c>
      <c r="C188" s="23" t="n">
        <v>30</v>
      </c>
      <c r="D188" s="5" t="s">
        <v>299</v>
      </c>
      <c r="E188" s="5" t="s">
        <v>156</v>
      </c>
      <c r="F188" s="24" t="s">
        <v>675</v>
      </c>
      <c r="G188" s="5" t="s">
        <v>172</v>
      </c>
      <c r="H188" s="25" t="n">
        <v>12</v>
      </c>
      <c r="I188" s="5" t="s">
        <v>227</v>
      </c>
      <c r="J188" s="24" t="s">
        <v>173</v>
      </c>
      <c r="K188" s="24" t="s">
        <v>109</v>
      </c>
      <c r="L188" s="26" t="s">
        <v>110</v>
      </c>
    </row>
    <row r="189" customFormat="false" ht="15" hidden="false" customHeight="false" outlineLevel="0" collapsed="false">
      <c r="A189" s="27" t="s">
        <v>676</v>
      </c>
      <c r="B189" s="28" t="s">
        <v>677</v>
      </c>
      <c r="C189" s="29" t="n">
        <v>1.45</v>
      </c>
      <c r="D189" s="28" t="s">
        <v>678</v>
      </c>
      <c r="E189" s="28" t="s">
        <v>225</v>
      </c>
      <c r="F189" s="30" t="s">
        <v>679</v>
      </c>
      <c r="G189" s="28" t="s">
        <v>172</v>
      </c>
      <c r="H189" s="31" t="n">
        <v>12</v>
      </c>
      <c r="I189" s="28" t="s">
        <v>227</v>
      </c>
      <c r="J189" s="30" t="s">
        <v>173</v>
      </c>
      <c r="K189" s="30" t="s">
        <v>109</v>
      </c>
      <c r="L189" s="32" t="s">
        <v>110</v>
      </c>
    </row>
    <row r="190" customFormat="false" ht="15" hidden="false" customHeight="false" outlineLevel="0" collapsed="false">
      <c r="A190" s="22" t="s">
        <v>680</v>
      </c>
      <c r="B190" s="5" t="s">
        <v>677</v>
      </c>
      <c r="C190" s="34" t="n">
        <v>1.574</v>
      </c>
      <c r="D190" s="5" t="s">
        <v>678</v>
      </c>
      <c r="E190" s="5" t="s">
        <v>170</v>
      </c>
      <c r="F190" s="24" t="s">
        <v>681</v>
      </c>
      <c r="G190" s="5" t="s">
        <v>172</v>
      </c>
      <c r="H190" s="25" t="n">
        <v>12</v>
      </c>
      <c r="I190" s="5" t="s">
        <v>227</v>
      </c>
      <c r="J190" s="24" t="s">
        <v>173</v>
      </c>
      <c r="K190" s="24" t="s">
        <v>109</v>
      </c>
      <c r="L190" s="26" t="s">
        <v>110</v>
      </c>
    </row>
    <row r="191" customFormat="false" ht="15" hidden="false" customHeight="false" outlineLevel="0" collapsed="false">
      <c r="A191" s="27" t="s">
        <v>682</v>
      </c>
      <c r="B191" s="28" t="s">
        <v>683</v>
      </c>
      <c r="C191" s="29" t="n">
        <v>1.5</v>
      </c>
      <c r="D191" s="28" t="s">
        <v>678</v>
      </c>
      <c r="E191" s="28" t="s">
        <v>156</v>
      </c>
      <c r="F191" s="30" t="s">
        <v>409</v>
      </c>
      <c r="G191" s="28" t="s">
        <v>172</v>
      </c>
      <c r="H191" s="31" t="n">
        <v>12</v>
      </c>
      <c r="I191" s="28" t="s">
        <v>227</v>
      </c>
      <c r="J191" s="30" t="s">
        <v>173</v>
      </c>
      <c r="K191" s="30" t="s">
        <v>109</v>
      </c>
      <c r="L191" s="32" t="s">
        <v>110</v>
      </c>
    </row>
    <row r="192" customFormat="false" ht="15" hidden="false" customHeight="false" outlineLevel="0" collapsed="false">
      <c r="A192" s="22" t="s">
        <v>684</v>
      </c>
      <c r="B192" s="5" t="s">
        <v>685</v>
      </c>
      <c r="C192" s="23" t="n">
        <v>18</v>
      </c>
      <c r="D192" s="5" t="s">
        <v>665</v>
      </c>
      <c r="E192" s="5" t="s">
        <v>156</v>
      </c>
      <c r="F192" s="24" t="s">
        <v>528</v>
      </c>
      <c r="G192" s="5" t="s">
        <v>172</v>
      </c>
      <c r="H192" s="25" t="n">
        <v>191</v>
      </c>
      <c r="I192" s="5" t="s">
        <v>227</v>
      </c>
      <c r="J192" s="24" t="s">
        <v>173</v>
      </c>
      <c r="K192" s="24" t="s">
        <v>109</v>
      </c>
      <c r="L192" s="26" t="s">
        <v>110</v>
      </c>
    </row>
    <row r="193" customFormat="false" ht="15" hidden="false" customHeight="false" outlineLevel="0" collapsed="false">
      <c r="A193" s="27" t="s">
        <v>686</v>
      </c>
      <c r="B193" s="28" t="s">
        <v>687</v>
      </c>
      <c r="C193" s="33" t="n">
        <v>398</v>
      </c>
      <c r="D193" s="28" t="s">
        <v>103</v>
      </c>
      <c r="E193" s="28" t="s">
        <v>160</v>
      </c>
      <c r="F193" s="30" t="s">
        <v>688</v>
      </c>
      <c r="G193" s="28" t="s">
        <v>689</v>
      </c>
      <c r="H193" s="31" t="n">
        <v>5</v>
      </c>
      <c r="I193" s="28" t="s">
        <v>127</v>
      </c>
      <c r="J193" s="30" t="s">
        <v>690</v>
      </c>
      <c r="K193" s="30" t="s">
        <v>109</v>
      </c>
      <c r="L193" s="32" t="s">
        <v>110</v>
      </c>
    </row>
    <row r="194" customFormat="false" ht="15" hidden="false" customHeight="false" outlineLevel="0" collapsed="false">
      <c r="A194" s="22" t="s">
        <v>691</v>
      </c>
      <c r="B194" s="5" t="s">
        <v>692</v>
      </c>
      <c r="C194" s="23" t="n">
        <v>435</v>
      </c>
      <c r="D194" s="5" t="s">
        <v>103</v>
      </c>
      <c r="E194" s="5" t="s">
        <v>160</v>
      </c>
      <c r="F194" s="24" t="s">
        <v>693</v>
      </c>
      <c r="G194" s="5" t="s">
        <v>689</v>
      </c>
      <c r="H194" s="25" t="n">
        <v>5</v>
      </c>
      <c r="I194" s="5" t="s">
        <v>127</v>
      </c>
      <c r="J194" s="24" t="s">
        <v>690</v>
      </c>
      <c r="K194" s="24" t="s">
        <v>109</v>
      </c>
      <c r="L194" s="26" t="s">
        <v>110</v>
      </c>
    </row>
    <row r="195" customFormat="false" ht="15" hidden="false" customHeight="false" outlineLevel="0" collapsed="false">
      <c r="A195" s="27" t="s">
        <v>694</v>
      </c>
      <c r="B195" s="28" t="s">
        <v>695</v>
      </c>
      <c r="C195" s="33" t="n">
        <v>530</v>
      </c>
      <c r="D195" s="28" t="s">
        <v>103</v>
      </c>
      <c r="E195" s="28" t="s">
        <v>696</v>
      </c>
      <c r="F195" s="30" t="s">
        <v>697</v>
      </c>
      <c r="G195" s="28" t="s">
        <v>698</v>
      </c>
      <c r="H195" s="31" t="n">
        <v>18</v>
      </c>
      <c r="I195" s="28" t="s">
        <v>127</v>
      </c>
      <c r="J195" s="30" t="s">
        <v>699</v>
      </c>
      <c r="K195" s="30" t="s">
        <v>109</v>
      </c>
      <c r="L195" s="32" t="s">
        <v>110</v>
      </c>
    </row>
    <row r="196" customFormat="false" ht="15" hidden="false" customHeight="false" outlineLevel="0" collapsed="false">
      <c r="A196" s="22" t="s">
        <v>700</v>
      </c>
      <c r="B196" s="5" t="s">
        <v>701</v>
      </c>
      <c r="C196" s="23" t="n">
        <v>534</v>
      </c>
      <c r="D196" s="5" t="s">
        <v>103</v>
      </c>
      <c r="E196" s="5" t="s">
        <v>120</v>
      </c>
      <c r="F196" s="24" t="s">
        <v>702</v>
      </c>
      <c r="G196" s="5" t="s">
        <v>620</v>
      </c>
      <c r="H196" s="25" t="n">
        <v>17</v>
      </c>
      <c r="I196" s="5" t="s">
        <v>127</v>
      </c>
      <c r="J196" s="24" t="s">
        <v>621</v>
      </c>
      <c r="K196" s="24" t="s">
        <v>109</v>
      </c>
      <c r="L196" s="26" t="s">
        <v>110</v>
      </c>
    </row>
    <row r="197" customFormat="false" ht="15" hidden="false" customHeight="false" outlineLevel="0" collapsed="false">
      <c r="A197" s="27" t="s">
        <v>703</v>
      </c>
      <c r="B197" s="28" t="s">
        <v>704</v>
      </c>
      <c r="C197" s="29" t="n">
        <v>973.9</v>
      </c>
      <c r="D197" s="28" t="s">
        <v>249</v>
      </c>
      <c r="E197" s="28" t="s">
        <v>120</v>
      </c>
      <c r="F197" s="30" t="s">
        <v>705</v>
      </c>
      <c r="G197" s="28" t="s">
        <v>706</v>
      </c>
      <c r="H197" s="31" t="n">
        <v>69</v>
      </c>
      <c r="I197" s="28" t="s">
        <v>273</v>
      </c>
      <c r="J197" s="30" t="s">
        <v>707</v>
      </c>
      <c r="K197" s="30" t="s">
        <v>524</v>
      </c>
      <c r="L197" s="32" t="s">
        <v>110</v>
      </c>
    </row>
    <row r="198" customFormat="false" ht="15" hidden="false" customHeight="false" outlineLevel="0" collapsed="false">
      <c r="A198" s="22" t="s">
        <v>708</v>
      </c>
      <c r="B198" s="5" t="s">
        <v>704</v>
      </c>
      <c r="C198" s="34" t="n">
        <v>940.3</v>
      </c>
      <c r="D198" s="5" t="s">
        <v>249</v>
      </c>
      <c r="E198" s="5" t="s">
        <v>160</v>
      </c>
      <c r="F198" s="24" t="s">
        <v>709</v>
      </c>
      <c r="G198" s="5" t="s">
        <v>706</v>
      </c>
      <c r="H198" s="25" t="n">
        <v>69</v>
      </c>
      <c r="I198" s="5" t="s">
        <v>273</v>
      </c>
      <c r="J198" s="24" t="s">
        <v>707</v>
      </c>
      <c r="K198" s="24" t="s">
        <v>524</v>
      </c>
      <c r="L198" s="26" t="s">
        <v>110</v>
      </c>
    </row>
    <row r="199" customFormat="false" ht="15" hidden="false" customHeight="false" outlineLevel="0" collapsed="false">
      <c r="A199" s="27" t="s">
        <v>710</v>
      </c>
      <c r="B199" s="28" t="s">
        <v>711</v>
      </c>
      <c r="C199" s="29" t="n">
        <v>91.7</v>
      </c>
      <c r="D199" s="28" t="s">
        <v>249</v>
      </c>
      <c r="E199" s="28" t="s">
        <v>120</v>
      </c>
      <c r="F199" s="30" t="s">
        <v>712</v>
      </c>
      <c r="G199" s="28" t="s">
        <v>706</v>
      </c>
      <c r="H199" s="31" t="n">
        <v>70</v>
      </c>
      <c r="I199" s="28" t="s">
        <v>273</v>
      </c>
      <c r="J199" s="30" t="s">
        <v>707</v>
      </c>
      <c r="K199" s="30" t="s">
        <v>524</v>
      </c>
      <c r="L199" s="32" t="s">
        <v>110</v>
      </c>
    </row>
    <row r="200" customFormat="false" ht="15" hidden="false" customHeight="false" outlineLevel="0" collapsed="false">
      <c r="A200" s="22" t="s">
        <v>713</v>
      </c>
      <c r="B200" s="5" t="s">
        <v>711</v>
      </c>
      <c r="C200" s="34" t="n">
        <v>92.6</v>
      </c>
      <c r="D200" s="5" t="s">
        <v>249</v>
      </c>
      <c r="E200" s="5" t="s">
        <v>160</v>
      </c>
      <c r="F200" s="24" t="s">
        <v>714</v>
      </c>
      <c r="G200" s="5" t="s">
        <v>706</v>
      </c>
      <c r="H200" s="25" t="n">
        <v>70</v>
      </c>
      <c r="I200" s="5" t="s">
        <v>273</v>
      </c>
      <c r="J200" s="24" t="s">
        <v>707</v>
      </c>
      <c r="K200" s="24" t="s">
        <v>524</v>
      </c>
      <c r="L200" s="26" t="s">
        <v>110</v>
      </c>
    </row>
    <row r="201" customFormat="false" ht="15" hidden="false" customHeight="false" outlineLevel="0" collapsed="false">
      <c r="A201" s="27" t="s">
        <v>715</v>
      </c>
      <c r="B201" s="28" t="s">
        <v>716</v>
      </c>
      <c r="C201" s="33" t="n">
        <v>39778</v>
      </c>
      <c r="D201" s="28" t="s">
        <v>717</v>
      </c>
      <c r="E201" s="28" t="s">
        <v>120</v>
      </c>
      <c r="F201" s="30" t="s">
        <v>718</v>
      </c>
      <c r="G201" s="28" t="s">
        <v>706</v>
      </c>
      <c r="H201" s="31" t="n">
        <v>284</v>
      </c>
      <c r="I201" s="28" t="s">
        <v>273</v>
      </c>
      <c r="J201" s="30" t="s">
        <v>707</v>
      </c>
      <c r="K201" s="30" t="s">
        <v>524</v>
      </c>
      <c r="L201" s="32" t="s">
        <v>110</v>
      </c>
    </row>
    <row r="202" customFormat="false" ht="15" hidden="false" customHeight="false" outlineLevel="0" collapsed="false">
      <c r="A202" s="22" t="s">
        <v>719</v>
      </c>
      <c r="B202" s="5" t="s">
        <v>720</v>
      </c>
      <c r="C202" s="23" t="n">
        <v>23644</v>
      </c>
      <c r="D202" s="5" t="s">
        <v>717</v>
      </c>
      <c r="E202" s="5" t="s">
        <v>120</v>
      </c>
      <c r="F202" s="24" t="s">
        <v>721</v>
      </c>
      <c r="G202" s="5" t="s">
        <v>706</v>
      </c>
      <c r="H202" s="25" t="n">
        <v>284</v>
      </c>
      <c r="I202" s="5" t="s">
        <v>273</v>
      </c>
      <c r="J202" s="24" t="s">
        <v>707</v>
      </c>
      <c r="K202" s="24" t="s">
        <v>524</v>
      </c>
      <c r="L202" s="26" t="s">
        <v>110</v>
      </c>
    </row>
    <row r="203" customFormat="false" ht="15" hidden="false" customHeight="false" outlineLevel="0" collapsed="false">
      <c r="A203" s="27" t="s">
        <v>722</v>
      </c>
      <c r="B203" s="28" t="s">
        <v>723</v>
      </c>
      <c r="C203" s="33" t="n">
        <v>1036916</v>
      </c>
      <c r="D203" s="28" t="s">
        <v>717</v>
      </c>
      <c r="E203" s="28" t="s">
        <v>140</v>
      </c>
      <c r="F203" s="30" t="s">
        <v>724</v>
      </c>
      <c r="G203" s="28" t="s">
        <v>706</v>
      </c>
      <c r="H203" s="31" t="n">
        <v>284</v>
      </c>
      <c r="I203" s="28" t="s">
        <v>273</v>
      </c>
      <c r="J203" s="30" t="s">
        <v>707</v>
      </c>
      <c r="K203" s="30" t="s">
        <v>524</v>
      </c>
      <c r="L203" s="32" t="s">
        <v>110</v>
      </c>
    </row>
    <row r="204" customFormat="false" ht="15" hidden="false" customHeight="false" outlineLevel="0" collapsed="false">
      <c r="A204" s="22" t="s">
        <v>725</v>
      </c>
      <c r="B204" s="5" t="s">
        <v>726</v>
      </c>
      <c r="C204" s="23" t="n">
        <v>3</v>
      </c>
      <c r="D204" s="5" t="s">
        <v>269</v>
      </c>
      <c r="E204" s="5" t="s">
        <v>270</v>
      </c>
      <c r="F204" s="24" t="s">
        <v>271</v>
      </c>
      <c r="G204" s="5" t="s">
        <v>706</v>
      </c>
      <c r="H204" s="25" t="n">
        <v>68</v>
      </c>
      <c r="I204" s="5" t="s">
        <v>273</v>
      </c>
      <c r="J204" s="24" t="s">
        <v>707</v>
      </c>
      <c r="K204" s="24" t="s">
        <v>524</v>
      </c>
      <c r="L204" s="26" t="s">
        <v>110</v>
      </c>
    </row>
    <row r="205" customFormat="false" ht="15" hidden="false" customHeight="false" outlineLevel="0" collapsed="false">
      <c r="A205" s="27" t="s">
        <v>727</v>
      </c>
      <c r="B205" s="28" t="s">
        <v>728</v>
      </c>
      <c r="C205" s="33" t="n">
        <v>3</v>
      </c>
      <c r="D205" s="28" t="s">
        <v>133</v>
      </c>
      <c r="E205" s="28" t="s">
        <v>191</v>
      </c>
      <c r="F205" s="30" t="s">
        <v>729</v>
      </c>
      <c r="G205" s="28" t="s">
        <v>706</v>
      </c>
      <c r="H205" s="31" t="n">
        <v>68</v>
      </c>
      <c r="I205" s="28" t="s">
        <v>107</v>
      </c>
      <c r="J205" s="30" t="s">
        <v>707</v>
      </c>
      <c r="K205" s="30" t="s">
        <v>524</v>
      </c>
      <c r="L205" s="32" t="s">
        <v>110</v>
      </c>
    </row>
    <row r="206" customFormat="false" ht="15" hidden="false" customHeight="false" outlineLevel="0" collapsed="false">
      <c r="A206" s="22" t="s">
        <v>730</v>
      </c>
      <c r="B206" s="5" t="s">
        <v>731</v>
      </c>
      <c r="C206" s="23" t="n">
        <v>12736</v>
      </c>
      <c r="D206" s="5" t="s">
        <v>717</v>
      </c>
      <c r="E206" s="5" t="s">
        <v>140</v>
      </c>
      <c r="F206" s="24" t="s">
        <v>732</v>
      </c>
      <c r="G206" s="5" t="s">
        <v>706</v>
      </c>
      <c r="H206" s="25" t="n">
        <v>251</v>
      </c>
      <c r="I206" s="5" t="s">
        <v>257</v>
      </c>
      <c r="J206" s="24" t="s">
        <v>707</v>
      </c>
      <c r="K206" s="24" t="s">
        <v>524</v>
      </c>
      <c r="L206" s="26" t="s">
        <v>110</v>
      </c>
    </row>
    <row r="207" customFormat="false" ht="15" hidden="false" customHeight="false" outlineLevel="0" collapsed="false">
      <c r="A207" s="27" t="s">
        <v>733</v>
      </c>
      <c r="B207" s="28" t="s">
        <v>734</v>
      </c>
      <c r="C207" s="33" t="n">
        <v>38256</v>
      </c>
      <c r="D207" s="28" t="s">
        <v>717</v>
      </c>
      <c r="E207" s="28" t="s">
        <v>140</v>
      </c>
      <c r="F207" s="30" t="s">
        <v>735</v>
      </c>
      <c r="G207" s="28" t="s">
        <v>706</v>
      </c>
      <c r="H207" s="31" t="n">
        <v>251</v>
      </c>
      <c r="I207" s="28" t="s">
        <v>257</v>
      </c>
      <c r="J207" s="30" t="s">
        <v>707</v>
      </c>
      <c r="K207" s="30" t="s">
        <v>524</v>
      </c>
      <c r="L207" s="32" t="s">
        <v>110</v>
      </c>
    </row>
    <row r="208" customFormat="false" ht="15" hidden="false" customHeight="false" outlineLevel="0" collapsed="false">
      <c r="A208" s="22" t="s">
        <v>736</v>
      </c>
      <c r="B208" s="5" t="s">
        <v>737</v>
      </c>
      <c r="C208" s="23" t="n">
        <v>5193290</v>
      </c>
      <c r="D208" s="5" t="s">
        <v>717</v>
      </c>
      <c r="E208" s="5" t="s">
        <v>120</v>
      </c>
      <c r="F208" s="24" t="s">
        <v>738</v>
      </c>
      <c r="G208" s="5" t="s">
        <v>739</v>
      </c>
      <c r="H208" s="25" t="n">
        <v>34</v>
      </c>
      <c r="I208" s="5" t="s">
        <v>227</v>
      </c>
      <c r="J208" s="24" t="s">
        <v>740</v>
      </c>
      <c r="K208" s="24" t="s">
        <v>524</v>
      </c>
      <c r="L208" s="26" t="s">
        <v>110</v>
      </c>
    </row>
    <row r="209" customFormat="false" ht="15" hidden="false" customHeight="false" outlineLevel="0" collapsed="false">
      <c r="A209" s="27" t="s">
        <v>741</v>
      </c>
      <c r="B209" s="28" t="s">
        <v>742</v>
      </c>
      <c r="C209" s="33" t="n">
        <v>837361</v>
      </c>
      <c r="D209" s="28" t="s">
        <v>717</v>
      </c>
      <c r="E209" s="28" t="s">
        <v>120</v>
      </c>
      <c r="F209" s="30" t="s">
        <v>743</v>
      </c>
      <c r="G209" s="28" t="s">
        <v>739</v>
      </c>
      <c r="H209" s="31" t="n">
        <v>34</v>
      </c>
      <c r="I209" s="28" t="s">
        <v>227</v>
      </c>
      <c r="J209" s="30" t="s">
        <v>740</v>
      </c>
      <c r="K209" s="30" t="s">
        <v>524</v>
      </c>
      <c r="L209" s="32" t="s">
        <v>110</v>
      </c>
    </row>
    <row r="210" customFormat="false" ht="15" hidden="false" customHeight="false" outlineLevel="0" collapsed="false">
      <c r="A210" s="22" t="s">
        <v>744</v>
      </c>
      <c r="B210" s="5" t="s">
        <v>745</v>
      </c>
      <c r="C210" s="23" t="n">
        <v>1343776</v>
      </c>
      <c r="D210" s="5" t="s">
        <v>717</v>
      </c>
      <c r="E210" s="5" t="s">
        <v>120</v>
      </c>
      <c r="F210" s="24" t="s">
        <v>746</v>
      </c>
      <c r="G210" s="5" t="s">
        <v>739</v>
      </c>
      <c r="H210" s="25" t="n">
        <v>34</v>
      </c>
      <c r="I210" s="5" t="s">
        <v>227</v>
      </c>
      <c r="J210" s="24" t="s">
        <v>740</v>
      </c>
      <c r="K210" s="24" t="s">
        <v>524</v>
      </c>
      <c r="L210" s="26" t="s">
        <v>110</v>
      </c>
    </row>
    <row r="211" customFormat="false" ht="15" hidden="false" customHeight="false" outlineLevel="0" collapsed="false">
      <c r="A211" s="27" t="s">
        <v>747</v>
      </c>
      <c r="B211" s="28" t="s">
        <v>748</v>
      </c>
      <c r="C211" s="33" t="n">
        <v>137454</v>
      </c>
      <c r="D211" s="28" t="s">
        <v>717</v>
      </c>
      <c r="E211" s="28" t="s">
        <v>120</v>
      </c>
      <c r="F211" s="30" t="s">
        <v>749</v>
      </c>
      <c r="G211" s="28" t="s">
        <v>739</v>
      </c>
      <c r="H211" s="31" t="n">
        <v>34</v>
      </c>
      <c r="I211" s="28" t="s">
        <v>227</v>
      </c>
      <c r="J211" s="30" t="s">
        <v>740</v>
      </c>
      <c r="K211" s="30" t="s">
        <v>524</v>
      </c>
      <c r="L211" s="32" t="s">
        <v>110</v>
      </c>
    </row>
    <row r="212" customFormat="false" ht="15" hidden="false" customHeight="false" outlineLevel="0" collapsed="false">
      <c r="A212" s="22" t="s">
        <v>750</v>
      </c>
      <c r="B212" s="5" t="s">
        <v>751</v>
      </c>
      <c r="C212" s="34" t="n">
        <v>6030.8</v>
      </c>
      <c r="D212" s="5" t="s">
        <v>249</v>
      </c>
      <c r="E212" s="5" t="s">
        <v>120</v>
      </c>
      <c r="F212" s="24" t="s">
        <v>752</v>
      </c>
      <c r="G212" s="5" t="s">
        <v>739</v>
      </c>
      <c r="H212" s="25" t="n">
        <v>33</v>
      </c>
      <c r="I212" s="5" t="s">
        <v>227</v>
      </c>
      <c r="J212" s="24" t="s">
        <v>740</v>
      </c>
      <c r="K212" s="24" t="s">
        <v>524</v>
      </c>
      <c r="L212" s="26" t="s">
        <v>110</v>
      </c>
    </row>
    <row r="213" customFormat="false" ht="15" hidden="false" customHeight="false" outlineLevel="0" collapsed="false">
      <c r="A213" s="27" t="s">
        <v>753</v>
      </c>
      <c r="B213" s="28" t="s">
        <v>754</v>
      </c>
      <c r="C213" s="33" t="n">
        <v>1169939</v>
      </c>
      <c r="D213" s="28" t="s">
        <v>717</v>
      </c>
      <c r="E213" s="28" t="s">
        <v>120</v>
      </c>
      <c r="F213" s="30" t="s">
        <v>755</v>
      </c>
      <c r="G213" s="28" t="s">
        <v>739</v>
      </c>
      <c r="H213" s="31" t="n">
        <v>38</v>
      </c>
      <c r="I213" s="28" t="s">
        <v>227</v>
      </c>
      <c r="J213" s="30" t="s">
        <v>740</v>
      </c>
      <c r="K213" s="30" t="s">
        <v>524</v>
      </c>
      <c r="L213" s="32" t="s">
        <v>110</v>
      </c>
    </row>
    <row r="214" customFormat="false" ht="15" hidden="false" customHeight="false" outlineLevel="0" collapsed="false">
      <c r="A214" s="22" t="s">
        <v>756</v>
      </c>
      <c r="B214" s="5" t="s">
        <v>757</v>
      </c>
      <c r="C214" s="34" t="n">
        <v>19.4</v>
      </c>
      <c r="D214" s="5" t="s">
        <v>299</v>
      </c>
      <c r="E214" s="5" t="s">
        <v>120</v>
      </c>
      <c r="F214" s="24" t="s">
        <v>758</v>
      </c>
      <c r="G214" s="5" t="s">
        <v>739</v>
      </c>
      <c r="H214" s="25" t="n">
        <v>38</v>
      </c>
      <c r="I214" s="5" t="s">
        <v>227</v>
      </c>
      <c r="J214" s="24" t="s">
        <v>740</v>
      </c>
      <c r="K214" s="24" t="s">
        <v>524</v>
      </c>
      <c r="L214" s="26" t="s">
        <v>110</v>
      </c>
    </row>
    <row r="215" customFormat="false" ht="15" hidden="false" customHeight="false" outlineLevel="0" collapsed="false">
      <c r="A215" s="27" t="s">
        <v>759</v>
      </c>
      <c r="B215" s="28" t="s">
        <v>598</v>
      </c>
      <c r="C215" s="33" t="n">
        <v>5747</v>
      </c>
      <c r="D215" s="28" t="s">
        <v>103</v>
      </c>
      <c r="E215" s="28" t="s">
        <v>104</v>
      </c>
      <c r="F215" s="30" t="s">
        <v>760</v>
      </c>
      <c r="G215" s="28" t="s">
        <v>216</v>
      </c>
      <c r="H215" s="31" t="n">
        <v>19</v>
      </c>
      <c r="I215" s="28" t="s">
        <v>227</v>
      </c>
      <c r="J215" s="30" t="s">
        <v>217</v>
      </c>
      <c r="K215" s="30" t="s">
        <v>109</v>
      </c>
      <c r="L215" s="32" t="s">
        <v>110</v>
      </c>
    </row>
    <row r="216" customFormat="false" ht="15" hidden="false" customHeight="false" outlineLevel="0" collapsed="false">
      <c r="A216" s="22" t="s">
        <v>761</v>
      </c>
      <c r="B216" s="5" t="s">
        <v>609</v>
      </c>
      <c r="C216" s="23" t="n">
        <v>9905</v>
      </c>
      <c r="D216" s="5" t="s">
        <v>103</v>
      </c>
      <c r="E216" s="5" t="s">
        <v>104</v>
      </c>
      <c r="F216" s="24" t="s">
        <v>762</v>
      </c>
      <c r="G216" s="5" t="s">
        <v>216</v>
      </c>
      <c r="H216" s="25" t="n">
        <v>19</v>
      </c>
      <c r="I216" s="5" t="s">
        <v>227</v>
      </c>
      <c r="J216" s="24" t="s">
        <v>217</v>
      </c>
      <c r="K216" s="24" t="s">
        <v>109</v>
      </c>
      <c r="L216" s="26" t="s">
        <v>110</v>
      </c>
    </row>
    <row r="217" customFormat="false" ht="15" hidden="false" customHeight="false" outlineLevel="0" collapsed="false">
      <c r="A217" s="27" t="s">
        <v>763</v>
      </c>
      <c r="B217" s="28" t="s">
        <v>633</v>
      </c>
      <c r="C217" s="33" t="n">
        <v>6201</v>
      </c>
      <c r="D217" s="28" t="s">
        <v>103</v>
      </c>
      <c r="E217" s="28" t="s">
        <v>104</v>
      </c>
      <c r="F217" s="30" t="s">
        <v>764</v>
      </c>
      <c r="G217" s="28" t="s">
        <v>216</v>
      </c>
      <c r="H217" s="31" t="n">
        <v>10</v>
      </c>
      <c r="I217" s="28" t="s">
        <v>227</v>
      </c>
      <c r="J217" s="30" t="s">
        <v>217</v>
      </c>
      <c r="K217" s="30" t="s">
        <v>109</v>
      </c>
      <c r="L217" s="32" t="s">
        <v>110</v>
      </c>
    </row>
    <row r="218" customFormat="false" ht="15" hidden="false" customHeight="false" outlineLevel="0" collapsed="false">
      <c r="A218" s="22" t="s">
        <v>765</v>
      </c>
      <c r="B218" s="5" t="s">
        <v>636</v>
      </c>
      <c r="C218" s="34" t="n">
        <v>4.1</v>
      </c>
      <c r="D218" s="5" t="s">
        <v>299</v>
      </c>
      <c r="E218" s="5" t="s">
        <v>104</v>
      </c>
      <c r="F218" s="24" t="s">
        <v>602</v>
      </c>
      <c r="G218" s="5" t="s">
        <v>216</v>
      </c>
      <c r="H218" s="25" t="n">
        <v>10</v>
      </c>
      <c r="I218" s="5" t="s">
        <v>227</v>
      </c>
      <c r="J218" s="24" t="s">
        <v>217</v>
      </c>
      <c r="K218" s="24" t="s">
        <v>109</v>
      </c>
      <c r="L218" s="26" t="s">
        <v>110</v>
      </c>
    </row>
    <row r="219" customFormat="false" ht="15" hidden="false" customHeight="false" outlineLevel="0" collapsed="false">
      <c r="A219" s="27" t="s">
        <v>766</v>
      </c>
      <c r="B219" s="28" t="s">
        <v>642</v>
      </c>
      <c r="C219" s="33" t="n">
        <v>797</v>
      </c>
      <c r="D219" s="28" t="s">
        <v>103</v>
      </c>
      <c r="E219" s="28" t="s">
        <v>104</v>
      </c>
      <c r="F219" s="30" t="s">
        <v>767</v>
      </c>
      <c r="G219" s="28" t="s">
        <v>216</v>
      </c>
      <c r="H219" s="31" t="n">
        <v>10</v>
      </c>
      <c r="I219" s="28" t="s">
        <v>227</v>
      </c>
      <c r="J219" s="30" t="s">
        <v>217</v>
      </c>
      <c r="K219" s="30" t="s">
        <v>109</v>
      </c>
      <c r="L219" s="32" t="s">
        <v>110</v>
      </c>
    </row>
    <row r="220" customFormat="false" ht="15" hidden="false" customHeight="false" outlineLevel="0" collapsed="false">
      <c r="A220" s="22" t="s">
        <v>768</v>
      </c>
      <c r="B220" s="5" t="s">
        <v>639</v>
      </c>
      <c r="C220" s="34" t="n">
        <v>6.2</v>
      </c>
      <c r="D220" s="5" t="s">
        <v>299</v>
      </c>
      <c r="E220" s="5" t="s">
        <v>104</v>
      </c>
      <c r="F220" s="24" t="s">
        <v>769</v>
      </c>
      <c r="G220" s="5" t="s">
        <v>216</v>
      </c>
      <c r="H220" s="25" t="n">
        <v>10</v>
      </c>
      <c r="I220" s="5" t="s">
        <v>227</v>
      </c>
      <c r="J220" s="24" t="s">
        <v>217</v>
      </c>
      <c r="K220" s="24" t="s">
        <v>109</v>
      </c>
      <c r="L220" s="26" t="s">
        <v>110</v>
      </c>
    </row>
    <row r="221" customFormat="false" ht="15" hidden="false" customHeight="false" outlineLevel="0" collapsed="false">
      <c r="A221" s="27" t="s">
        <v>770</v>
      </c>
      <c r="B221" s="28" t="s">
        <v>648</v>
      </c>
      <c r="C221" s="33" t="n">
        <v>1759</v>
      </c>
      <c r="D221" s="28" t="s">
        <v>103</v>
      </c>
      <c r="E221" s="28" t="s">
        <v>104</v>
      </c>
      <c r="F221" s="30" t="s">
        <v>771</v>
      </c>
      <c r="G221" s="28" t="s">
        <v>216</v>
      </c>
      <c r="H221" s="31" t="n">
        <v>22</v>
      </c>
      <c r="I221" s="28" t="s">
        <v>227</v>
      </c>
      <c r="J221" s="30" t="s">
        <v>217</v>
      </c>
      <c r="K221" s="30" t="s">
        <v>109</v>
      </c>
      <c r="L221" s="32" t="s">
        <v>110</v>
      </c>
    </row>
    <row r="222" customFormat="false" ht="15" hidden="false" customHeight="false" outlineLevel="0" collapsed="false">
      <c r="A222" s="22" t="s">
        <v>772</v>
      </c>
      <c r="B222" s="5" t="s">
        <v>773</v>
      </c>
      <c r="C222" s="34" t="n">
        <v>11.3</v>
      </c>
      <c r="D222" s="5" t="s">
        <v>299</v>
      </c>
      <c r="E222" s="5" t="s">
        <v>104</v>
      </c>
      <c r="F222" s="24" t="s">
        <v>774</v>
      </c>
      <c r="G222" s="5" t="s">
        <v>216</v>
      </c>
      <c r="H222" s="25" t="n">
        <v>22</v>
      </c>
      <c r="I222" s="5" t="s">
        <v>227</v>
      </c>
      <c r="J222" s="24" t="s">
        <v>217</v>
      </c>
      <c r="K222" s="24" t="s">
        <v>109</v>
      </c>
      <c r="L222" s="26" t="s">
        <v>110</v>
      </c>
    </row>
    <row r="223" customFormat="false" ht="15" hidden="false" customHeight="false" outlineLevel="0" collapsed="false">
      <c r="A223" s="27" t="s">
        <v>775</v>
      </c>
      <c r="B223" s="28" t="s">
        <v>776</v>
      </c>
      <c r="C223" s="33" t="n">
        <v>3</v>
      </c>
      <c r="D223" s="28" t="s">
        <v>130</v>
      </c>
      <c r="E223" s="28" t="s">
        <v>666</v>
      </c>
      <c r="F223" s="30" t="s">
        <v>134</v>
      </c>
      <c r="G223" s="28" t="s">
        <v>116</v>
      </c>
      <c r="H223" s="31" t="n">
        <v>17</v>
      </c>
      <c r="I223" s="28" t="s">
        <v>227</v>
      </c>
      <c r="J223" s="30" t="s">
        <v>118</v>
      </c>
      <c r="K223" s="30" t="s">
        <v>109</v>
      </c>
      <c r="L223" s="32" t="s">
        <v>110</v>
      </c>
    </row>
    <row r="224" customFormat="false" ht="15" hidden="false" customHeight="false" outlineLevel="0" collapsed="false">
      <c r="A224" s="22" t="s">
        <v>777</v>
      </c>
      <c r="B224" s="5" t="s">
        <v>778</v>
      </c>
      <c r="C224" s="34" t="n">
        <v>4.9</v>
      </c>
      <c r="D224" s="5" t="s">
        <v>130</v>
      </c>
      <c r="E224" s="5" t="s">
        <v>156</v>
      </c>
      <c r="F224" s="24" t="s">
        <v>779</v>
      </c>
      <c r="G224" s="5" t="s">
        <v>116</v>
      </c>
      <c r="H224" s="25" t="n">
        <v>17</v>
      </c>
      <c r="I224" s="5" t="s">
        <v>227</v>
      </c>
      <c r="J224" s="24" t="s">
        <v>118</v>
      </c>
      <c r="K224" s="24" t="s">
        <v>109</v>
      </c>
      <c r="L224" s="26" t="s">
        <v>110</v>
      </c>
    </row>
    <row r="225" customFormat="false" ht="15" hidden="false" customHeight="false" outlineLevel="0" collapsed="false">
      <c r="A225" s="27" t="s">
        <v>780</v>
      </c>
      <c r="B225" s="28" t="s">
        <v>781</v>
      </c>
      <c r="C225" s="33" t="n">
        <v>135328</v>
      </c>
      <c r="D225" s="28" t="s">
        <v>717</v>
      </c>
      <c r="E225" s="28" t="s">
        <v>140</v>
      </c>
      <c r="F225" s="30" t="s">
        <v>782</v>
      </c>
      <c r="G225" s="28" t="s">
        <v>739</v>
      </c>
      <c r="H225" s="31" t="n">
        <v>43</v>
      </c>
      <c r="I225" s="28" t="s">
        <v>257</v>
      </c>
      <c r="J225" s="30" t="s">
        <v>740</v>
      </c>
      <c r="K225" s="30" t="s">
        <v>524</v>
      </c>
      <c r="L225" s="32" t="s">
        <v>110</v>
      </c>
    </row>
    <row r="226" customFormat="false" ht="15" hidden="false" customHeight="false" outlineLevel="0" collapsed="false">
      <c r="A226" s="22" t="s">
        <v>783</v>
      </c>
      <c r="B226" s="5" t="s">
        <v>784</v>
      </c>
      <c r="C226" s="23" t="n">
        <v>95369</v>
      </c>
      <c r="D226" s="5" t="s">
        <v>717</v>
      </c>
      <c r="E226" s="5" t="s">
        <v>140</v>
      </c>
      <c r="F226" s="24" t="s">
        <v>785</v>
      </c>
      <c r="G226" s="5" t="s">
        <v>739</v>
      </c>
      <c r="H226" s="25" t="n">
        <v>43</v>
      </c>
      <c r="I226" s="5" t="s">
        <v>257</v>
      </c>
      <c r="J226" s="24" t="s">
        <v>740</v>
      </c>
      <c r="K226" s="24" t="s">
        <v>524</v>
      </c>
      <c r="L226" s="26" t="s">
        <v>110</v>
      </c>
    </row>
    <row r="227" customFormat="false" ht="15" hidden="false" customHeight="false" outlineLevel="0" collapsed="false">
      <c r="A227" s="27" t="s">
        <v>786</v>
      </c>
      <c r="B227" s="28" t="s">
        <v>787</v>
      </c>
      <c r="C227" s="33" t="n">
        <v>230697</v>
      </c>
      <c r="D227" s="28" t="s">
        <v>717</v>
      </c>
      <c r="E227" s="28" t="s">
        <v>140</v>
      </c>
      <c r="F227" s="30" t="s">
        <v>788</v>
      </c>
      <c r="G227" s="28" t="s">
        <v>739</v>
      </c>
      <c r="H227" s="31" t="n">
        <v>43</v>
      </c>
      <c r="I227" s="28" t="s">
        <v>257</v>
      </c>
      <c r="J227" s="30" t="s">
        <v>740</v>
      </c>
      <c r="K227" s="30" t="s">
        <v>524</v>
      </c>
      <c r="L227" s="32" t="s">
        <v>110</v>
      </c>
    </row>
    <row r="228" customFormat="false" ht="15" hidden="false" customHeight="false" outlineLevel="0" collapsed="false">
      <c r="A228" s="22" t="s">
        <v>789</v>
      </c>
      <c r="B228" s="5" t="s">
        <v>790</v>
      </c>
      <c r="C228" s="23" t="n">
        <v>826315</v>
      </c>
      <c r="D228" s="5" t="s">
        <v>717</v>
      </c>
      <c r="E228" s="5" t="s">
        <v>140</v>
      </c>
      <c r="F228" s="24" t="s">
        <v>791</v>
      </c>
      <c r="G228" s="5" t="s">
        <v>739</v>
      </c>
      <c r="H228" s="25" t="n">
        <v>53</v>
      </c>
      <c r="I228" s="5" t="s">
        <v>227</v>
      </c>
      <c r="J228" s="24" t="s">
        <v>740</v>
      </c>
      <c r="K228" s="24" t="s">
        <v>524</v>
      </c>
      <c r="L228" s="26" t="s">
        <v>110</v>
      </c>
    </row>
    <row r="229" customFormat="false" ht="15" hidden="false" customHeight="false" outlineLevel="0" collapsed="false">
      <c r="A229" s="27" t="s">
        <v>792</v>
      </c>
      <c r="B229" s="28" t="s">
        <v>793</v>
      </c>
      <c r="C229" s="33" t="n">
        <v>127363</v>
      </c>
      <c r="D229" s="28" t="s">
        <v>717</v>
      </c>
      <c r="E229" s="28" t="s">
        <v>140</v>
      </c>
      <c r="F229" s="30" t="s">
        <v>794</v>
      </c>
      <c r="G229" s="28" t="s">
        <v>739</v>
      </c>
      <c r="H229" s="31" t="n">
        <v>53</v>
      </c>
      <c r="I229" s="28" t="s">
        <v>227</v>
      </c>
      <c r="J229" s="30" t="s">
        <v>740</v>
      </c>
      <c r="K229" s="30" t="s">
        <v>524</v>
      </c>
      <c r="L229" s="32" t="s">
        <v>110</v>
      </c>
    </row>
    <row r="230" customFormat="false" ht="15" hidden="false" customHeight="false" outlineLevel="0" collapsed="false">
      <c r="A230" s="22" t="s">
        <v>795</v>
      </c>
      <c r="B230" s="5" t="s">
        <v>796</v>
      </c>
      <c r="C230" s="23" t="n">
        <v>2763563</v>
      </c>
      <c r="D230" s="5" t="s">
        <v>717</v>
      </c>
      <c r="E230" s="5" t="s">
        <v>140</v>
      </c>
      <c r="F230" s="24" t="s">
        <v>797</v>
      </c>
      <c r="G230" s="5" t="s">
        <v>739</v>
      </c>
      <c r="H230" s="25" t="n">
        <v>53</v>
      </c>
      <c r="I230" s="5" t="s">
        <v>227</v>
      </c>
      <c r="J230" s="24" t="s">
        <v>740</v>
      </c>
      <c r="K230" s="24" t="s">
        <v>524</v>
      </c>
      <c r="L230" s="26" t="s">
        <v>110</v>
      </c>
    </row>
    <row r="231" customFormat="false" ht="15" hidden="false" customHeight="false" outlineLevel="0" collapsed="false">
      <c r="A231" s="27" t="s">
        <v>798</v>
      </c>
      <c r="B231" s="28" t="s">
        <v>799</v>
      </c>
      <c r="C231" s="33" t="n">
        <v>12600</v>
      </c>
      <c r="D231" s="28" t="s">
        <v>717</v>
      </c>
      <c r="E231" s="28" t="s">
        <v>140</v>
      </c>
      <c r="F231" s="30" t="s">
        <v>800</v>
      </c>
      <c r="G231" s="28" t="s">
        <v>739</v>
      </c>
      <c r="H231" s="31" t="n">
        <v>53</v>
      </c>
      <c r="I231" s="28" t="s">
        <v>227</v>
      </c>
      <c r="J231" s="30" t="s">
        <v>740</v>
      </c>
      <c r="K231" s="30" t="s">
        <v>524</v>
      </c>
      <c r="L231" s="32" t="s">
        <v>110</v>
      </c>
    </row>
    <row r="232" customFormat="false" ht="15" hidden="false" customHeight="false" outlineLevel="0" collapsed="false">
      <c r="A232" s="22" t="s">
        <v>801</v>
      </c>
      <c r="B232" s="5" t="s">
        <v>802</v>
      </c>
      <c r="C232" s="34" t="n">
        <v>18.5</v>
      </c>
      <c r="D232" s="5" t="s">
        <v>299</v>
      </c>
      <c r="E232" s="5" t="s">
        <v>527</v>
      </c>
      <c r="F232" s="24" t="s">
        <v>803</v>
      </c>
      <c r="G232" s="5" t="s">
        <v>522</v>
      </c>
      <c r="H232" s="25" t="n">
        <v>2</v>
      </c>
      <c r="I232" s="5" t="s">
        <v>107</v>
      </c>
      <c r="J232" s="24" t="s">
        <v>523</v>
      </c>
      <c r="K232" s="24" t="s">
        <v>524</v>
      </c>
      <c r="L232" s="26" t="s">
        <v>110</v>
      </c>
    </row>
    <row r="233" customFormat="false" ht="15" hidden="false" customHeight="false" outlineLevel="0" collapsed="false">
      <c r="A233" s="27" t="s">
        <v>804</v>
      </c>
      <c r="B233" s="28" t="s">
        <v>802</v>
      </c>
      <c r="C233" s="29" t="n">
        <v>19.5</v>
      </c>
      <c r="D233" s="28" t="s">
        <v>299</v>
      </c>
      <c r="E233" s="28" t="s">
        <v>805</v>
      </c>
      <c r="F233" s="30" t="s">
        <v>806</v>
      </c>
      <c r="G233" s="28" t="s">
        <v>522</v>
      </c>
      <c r="H233" s="31" t="n">
        <v>2</v>
      </c>
      <c r="I233" s="28" t="s">
        <v>107</v>
      </c>
      <c r="J233" s="30" t="s">
        <v>523</v>
      </c>
      <c r="K233" s="30" t="s">
        <v>524</v>
      </c>
      <c r="L233" s="32" t="s">
        <v>110</v>
      </c>
    </row>
    <row r="234" customFormat="false" ht="15" hidden="false" customHeight="false" outlineLevel="0" collapsed="false">
      <c r="A234" s="22" t="s">
        <v>807</v>
      </c>
      <c r="B234" s="5" t="s">
        <v>808</v>
      </c>
      <c r="C234" s="34" t="n">
        <v>13.5</v>
      </c>
      <c r="D234" s="5" t="s">
        <v>299</v>
      </c>
      <c r="E234" s="5" t="s">
        <v>527</v>
      </c>
      <c r="F234" s="24" t="s">
        <v>809</v>
      </c>
      <c r="G234" s="5" t="s">
        <v>522</v>
      </c>
      <c r="H234" s="25" t="n">
        <v>2</v>
      </c>
      <c r="I234" s="5" t="s">
        <v>107</v>
      </c>
      <c r="J234" s="24" t="s">
        <v>523</v>
      </c>
      <c r="K234" s="24" t="s">
        <v>524</v>
      </c>
      <c r="L234" s="26" t="s">
        <v>110</v>
      </c>
    </row>
    <row r="235" customFormat="false" ht="15" hidden="false" customHeight="false" outlineLevel="0" collapsed="false">
      <c r="A235" s="27" t="s">
        <v>810</v>
      </c>
      <c r="B235" s="28" t="s">
        <v>808</v>
      </c>
      <c r="C235" s="29" t="n">
        <v>14.5</v>
      </c>
      <c r="D235" s="28" t="s">
        <v>299</v>
      </c>
      <c r="E235" s="28" t="s">
        <v>805</v>
      </c>
      <c r="F235" s="30" t="s">
        <v>811</v>
      </c>
      <c r="G235" s="28" t="s">
        <v>522</v>
      </c>
      <c r="H235" s="31" t="n">
        <v>2</v>
      </c>
      <c r="I235" s="28" t="s">
        <v>107</v>
      </c>
      <c r="J235" s="30" t="s">
        <v>523</v>
      </c>
      <c r="K235" s="30" t="s">
        <v>524</v>
      </c>
      <c r="L235" s="32" t="s">
        <v>110</v>
      </c>
    </row>
    <row r="236" customFormat="false" ht="15" hidden="false" customHeight="false" outlineLevel="0" collapsed="false">
      <c r="A236" s="22" t="s">
        <v>812</v>
      </c>
      <c r="B236" s="5" t="s">
        <v>813</v>
      </c>
      <c r="C236" s="34" t="n">
        <v>5.4</v>
      </c>
      <c r="D236" s="5" t="s">
        <v>133</v>
      </c>
      <c r="E236" s="5" t="s">
        <v>120</v>
      </c>
      <c r="F236" s="24" t="s">
        <v>814</v>
      </c>
      <c r="G236" s="5" t="s">
        <v>522</v>
      </c>
      <c r="H236" s="25" t="n">
        <v>2</v>
      </c>
      <c r="I236" s="5" t="s">
        <v>107</v>
      </c>
      <c r="J236" s="24" t="s">
        <v>523</v>
      </c>
      <c r="K236" s="24" t="s">
        <v>524</v>
      </c>
      <c r="L236" s="26" t="s">
        <v>110</v>
      </c>
    </row>
    <row r="237" customFormat="false" ht="15" hidden="false" customHeight="false" outlineLevel="0" collapsed="false">
      <c r="A237" s="27" t="s">
        <v>815</v>
      </c>
      <c r="B237" s="28" t="s">
        <v>816</v>
      </c>
      <c r="C237" s="33" t="n">
        <v>29518</v>
      </c>
      <c r="D237" s="28" t="s">
        <v>103</v>
      </c>
      <c r="E237" s="28" t="s">
        <v>120</v>
      </c>
      <c r="F237" s="30" t="s">
        <v>817</v>
      </c>
      <c r="G237" s="28" t="s">
        <v>522</v>
      </c>
      <c r="H237" s="31" t="n">
        <v>11</v>
      </c>
      <c r="I237" s="28" t="s">
        <v>107</v>
      </c>
      <c r="J237" s="30" t="s">
        <v>523</v>
      </c>
      <c r="K237" s="30" t="s">
        <v>524</v>
      </c>
      <c r="L237" s="32" t="s">
        <v>110</v>
      </c>
    </row>
    <row r="238" customFormat="false" ht="15" hidden="false" customHeight="false" outlineLevel="0" collapsed="false">
      <c r="A238" s="22" t="s">
        <v>818</v>
      </c>
      <c r="B238" s="5" t="s">
        <v>819</v>
      </c>
      <c r="C238" s="23" t="n">
        <v>647</v>
      </c>
      <c r="D238" s="5" t="s">
        <v>103</v>
      </c>
      <c r="E238" s="5" t="s">
        <v>120</v>
      </c>
      <c r="F238" s="24" t="s">
        <v>820</v>
      </c>
      <c r="G238" s="5" t="s">
        <v>522</v>
      </c>
      <c r="H238" s="25" t="n">
        <v>11</v>
      </c>
      <c r="I238" s="5" t="s">
        <v>107</v>
      </c>
      <c r="J238" s="24" t="s">
        <v>523</v>
      </c>
      <c r="K238" s="24" t="s">
        <v>524</v>
      </c>
      <c r="L238" s="26" t="s">
        <v>110</v>
      </c>
    </row>
    <row r="239" customFormat="false" ht="15" hidden="false" customHeight="false" outlineLevel="0" collapsed="false">
      <c r="A239" s="27" t="s">
        <v>821</v>
      </c>
      <c r="B239" s="28" t="s">
        <v>822</v>
      </c>
      <c r="C239" s="33" t="n">
        <v>2050</v>
      </c>
      <c r="D239" s="28" t="s">
        <v>103</v>
      </c>
      <c r="E239" s="28" t="s">
        <v>120</v>
      </c>
      <c r="F239" s="30" t="s">
        <v>823</v>
      </c>
      <c r="G239" s="28" t="s">
        <v>522</v>
      </c>
      <c r="H239" s="31" t="n">
        <v>11</v>
      </c>
      <c r="I239" s="28" t="s">
        <v>107</v>
      </c>
      <c r="J239" s="30" t="s">
        <v>523</v>
      </c>
      <c r="K239" s="30" t="s">
        <v>524</v>
      </c>
      <c r="L239" s="32" t="s">
        <v>110</v>
      </c>
    </row>
    <row r="240" customFormat="false" ht="15" hidden="false" customHeight="false" outlineLevel="0" collapsed="false">
      <c r="A240" s="22" t="s">
        <v>824</v>
      </c>
      <c r="B240" s="5" t="s">
        <v>825</v>
      </c>
      <c r="C240" s="23" t="n">
        <v>1014</v>
      </c>
      <c r="D240" s="5" t="s">
        <v>103</v>
      </c>
      <c r="E240" s="5" t="s">
        <v>120</v>
      </c>
      <c r="F240" s="24" t="s">
        <v>826</v>
      </c>
      <c r="G240" s="5" t="s">
        <v>522</v>
      </c>
      <c r="H240" s="25" t="n">
        <v>11</v>
      </c>
      <c r="I240" s="5" t="s">
        <v>107</v>
      </c>
      <c r="J240" s="24" t="s">
        <v>523</v>
      </c>
      <c r="K240" s="24" t="s">
        <v>524</v>
      </c>
      <c r="L240" s="26" t="s">
        <v>110</v>
      </c>
    </row>
    <row r="241" customFormat="false" ht="15" hidden="false" customHeight="false" outlineLevel="0" collapsed="false">
      <c r="A241" s="27" t="s">
        <v>827</v>
      </c>
      <c r="B241" s="28" t="s">
        <v>828</v>
      </c>
      <c r="C241" s="33" t="n">
        <v>1650</v>
      </c>
      <c r="D241" s="28" t="s">
        <v>103</v>
      </c>
      <c r="E241" s="28" t="s">
        <v>120</v>
      </c>
      <c r="F241" s="30" t="s">
        <v>829</v>
      </c>
      <c r="G241" s="28" t="s">
        <v>522</v>
      </c>
      <c r="H241" s="31" t="n">
        <v>11</v>
      </c>
      <c r="I241" s="28" t="s">
        <v>107</v>
      </c>
      <c r="J241" s="30" t="s">
        <v>523</v>
      </c>
      <c r="K241" s="30" t="s">
        <v>524</v>
      </c>
      <c r="L241" s="32" t="s">
        <v>110</v>
      </c>
    </row>
    <row r="242" customFormat="false" ht="15" hidden="false" customHeight="false" outlineLevel="0" collapsed="false">
      <c r="A242" s="22" t="s">
        <v>830</v>
      </c>
      <c r="B242" s="5" t="s">
        <v>831</v>
      </c>
      <c r="C242" s="23" t="n">
        <v>34879</v>
      </c>
      <c r="D242" s="5" t="s">
        <v>103</v>
      </c>
      <c r="E242" s="5" t="s">
        <v>120</v>
      </c>
      <c r="F242" s="24" t="s">
        <v>832</v>
      </c>
      <c r="G242" s="5" t="s">
        <v>522</v>
      </c>
      <c r="H242" s="25" t="n">
        <v>11</v>
      </c>
      <c r="I242" s="5" t="s">
        <v>107</v>
      </c>
      <c r="J242" s="24" t="s">
        <v>523</v>
      </c>
      <c r="K242" s="24" t="s">
        <v>524</v>
      </c>
      <c r="L242" s="26" t="s">
        <v>110</v>
      </c>
    </row>
    <row r="243" customFormat="false" ht="15" hidden="false" customHeight="false" outlineLevel="0" collapsed="false">
      <c r="A243" s="27" t="s">
        <v>833</v>
      </c>
      <c r="B243" s="28" t="s">
        <v>834</v>
      </c>
      <c r="C243" s="33" t="n">
        <v>9475</v>
      </c>
      <c r="D243" s="28" t="s">
        <v>103</v>
      </c>
      <c r="E243" s="28" t="s">
        <v>120</v>
      </c>
      <c r="F243" s="30" t="s">
        <v>835</v>
      </c>
      <c r="G243" s="28" t="s">
        <v>522</v>
      </c>
      <c r="H243" s="31" t="n">
        <v>11</v>
      </c>
      <c r="I243" s="28" t="s">
        <v>107</v>
      </c>
      <c r="J243" s="30" t="s">
        <v>523</v>
      </c>
      <c r="K243" s="30" t="s">
        <v>524</v>
      </c>
      <c r="L243" s="32" t="s">
        <v>110</v>
      </c>
    </row>
    <row r="244" customFormat="false" ht="15" hidden="false" customHeight="false" outlineLevel="0" collapsed="false">
      <c r="A244" s="22" t="s">
        <v>836</v>
      </c>
      <c r="B244" s="5" t="s">
        <v>837</v>
      </c>
      <c r="C244" s="23" t="n">
        <v>25404</v>
      </c>
      <c r="D244" s="5" t="s">
        <v>103</v>
      </c>
      <c r="E244" s="5" t="s">
        <v>120</v>
      </c>
      <c r="F244" s="24" t="s">
        <v>838</v>
      </c>
      <c r="G244" s="5" t="s">
        <v>522</v>
      </c>
      <c r="H244" s="25" t="n">
        <v>11</v>
      </c>
      <c r="I244" s="5" t="s">
        <v>107</v>
      </c>
      <c r="J244" s="24" t="s">
        <v>523</v>
      </c>
      <c r="K244" s="24" t="s">
        <v>524</v>
      </c>
      <c r="L244" s="26" t="s">
        <v>110</v>
      </c>
    </row>
    <row r="245" customFormat="false" ht="15" hidden="false" customHeight="false" outlineLevel="0" collapsed="false">
      <c r="A245" s="27" t="s">
        <v>839</v>
      </c>
      <c r="B245" s="28" t="s">
        <v>837</v>
      </c>
      <c r="C245" s="33" t="n">
        <v>23273</v>
      </c>
      <c r="D245" s="28" t="s">
        <v>103</v>
      </c>
      <c r="E245" s="28" t="s">
        <v>160</v>
      </c>
      <c r="F245" s="30" t="s">
        <v>840</v>
      </c>
      <c r="G245" s="28" t="s">
        <v>522</v>
      </c>
      <c r="H245" s="31" t="n">
        <v>11</v>
      </c>
      <c r="I245" s="28" t="s">
        <v>107</v>
      </c>
      <c r="J245" s="30" t="s">
        <v>523</v>
      </c>
      <c r="K245" s="30" t="s">
        <v>524</v>
      </c>
      <c r="L245" s="32" t="s">
        <v>110</v>
      </c>
    </row>
    <row r="246" customFormat="false" ht="15" hidden="false" customHeight="false" outlineLevel="0" collapsed="false">
      <c r="A246" s="22" t="s">
        <v>841</v>
      </c>
      <c r="B246" s="5" t="s">
        <v>822</v>
      </c>
      <c r="C246" s="23" t="n">
        <v>1800</v>
      </c>
      <c r="D246" s="5" t="s">
        <v>103</v>
      </c>
      <c r="E246" s="5" t="s">
        <v>160</v>
      </c>
      <c r="F246" s="24" t="s">
        <v>842</v>
      </c>
      <c r="G246" s="5" t="s">
        <v>522</v>
      </c>
      <c r="H246" s="25" t="n">
        <v>11</v>
      </c>
      <c r="I246" s="5" t="s">
        <v>107</v>
      </c>
      <c r="J246" s="24" t="s">
        <v>523</v>
      </c>
      <c r="K246" s="24" t="s">
        <v>524</v>
      </c>
      <c r="L246" s="26" t="s">
        <v>110</v>
      </c>
    </row>
    <row r="247" customFormat="false" ht="15" hidden="false" customHeight="false" outlineLevel="0" collapsed="false">
      <c r="A247" s="27" t="s">
        <v>843</v>
      </c>
      <c r="B247" s="28" t="s">
        <v>844</v>
      </c>
      <c r="C247" s="33" t="n">
        <v>6464</v>
      </c>
      <c r="D247" s="28" t="s">
        <v>103</v>
      </c>
      <c r="E247" s="28" t="s">
        <v>120</v>
      </c>
      <c r="F247" s="30" t="s">
        <v>845</v>
      </c>
      <c r="G247" s="28" t="s">
        <v>522</v>
      </c>
      <c r="H247" s="31" t="n">
        <v>11</v>
      </c>
      <c r="I247" s="28" t="s">
        <v>107</v>
      </c>
      <c r="J247" s="30" t="s">
        <v>523</v>
      </c>
      <c r="K247" s="30" t="s">
        <v>524</v>
      </c>
      <c r="L247" s="32" t="s">
        <v>110</v>
      </c>
    </row>
    <row r="248" customFormat="false" ht="15" hidden="false" customHeight="false" outlineLevel="0" collapsed="false">
      <c r="A248" s="22" t="s">
        <v>846</v>
      </c>
      <c r="B248" s="5" t="s">
        <v>847</v>
      </c>
      <c r="C248" s="34" t="n">
        <v>6777.8</v>
      </c>
      <c r="D248" s="5" t="s">
        <v>103</v>
      </c>
      <c r="E248" s="5" t="s">
        <v>120</v>
      </c>
      <c r="F248" s="24" t="s">
        <v>848</v>
      </c>
      <c r="G248" s="5" t="s">
        <v>522</v>
      </c>
      <c r="H248" s="25" t="n">
        <v>11</v>
      </c>
      <c r="I248" s="5" t="s">
        <v>107</v>
      </c>
      <c r="J248" s="24" t="s">
        <v>523</v>
      </c>
      <c r="K248" s="24" t="s">
        <v>524</v>
      </c>
      <c r="L248" s="26" t="s">
        <v>110</v>
      </c>
    </row>
    <row r="249" customFormat="false" ht="15" hidden="false" customHeight="false" outlineLevel="0" collapsed="false">
      <c r="A249" s="27" t="s">
        <v>849</v>
      </c>
      <c r="B249" s="28" t="s">
        <v>850</v>
      </c>
      <c r="C249" s="33" t="n">
        <v>5160</v>
      </c>
      <c r="D249" s="28" t="s">
        <v>103</v>
      </c>
      <c r="E249" s="28" t="s">
        <v>120</v>
      </c>
      <c r="F249" s="30" t="s">
        <v>851</v>
      </c>
      <c r="G249" s="28" t="s">
        <v>522</v>
      </c>
      <c r="H249" s="31" t="n">
        <v>12</v>
      </c>
      <c r="I249" s="28" t="s">
        <v>107</v>
      </c>
      <c r="J249" s="30" t="s">
        <v>523</v>
      </c>
      <c r="K249" s="30" t="s">
        <v>524</v>
      </c>
      <c r="L249" s="32" t="s">
        <v>110</v>
      </c>
    </row>
    <row r="250" customFormat="false" ht="15" hidden="false" customHeight="false" outlineLevel="0" collapsed="false">
      <c r="A250" s="22" t="s">
        <v>852</v>
      </c>
      <c r="B250" s="5" t="s">
        <v>850</v>
      </c>
      <c r="C250" s="23" t="n">
        <v>4948</v>
      </c>
      <c r="D250" s="5" t="s">
        <v>103</v>
      </c>
      <c r="E250" s="5" t="s">
        <v>160</v>
      </c>
      <c r="F250" s="24" t="s">
        <v>853</v>
      </c>
      <c r="G250" s="5" t="s">
        <v>522</v>
      </c>
      <c r="H250" s="25" t="n">
        <v>12</v>
      </c>
      <c r="I250" s="5" t="s">
        <v>107</v>
      </c>
      <c r="J250" s="24" t="s">
        <v>523</v>
      </c>
      <c r="K250" s="24" t="s">
        <v>524</v>
      </c>
      <c r="L250" s="26" t="s">
        <v>110</v>
      </c>
    </row>
    <row r="251" customFormat="false" ht="15" hidden="false" customHeight="false" outlineLevel="0" collapsed="false">
      <c r="A251" s="27" t="s">
        <v>854</v>
      </c>
      <c r="B251" s="28" t="s">
        <v>850</v>
      </c>
      <c r="C251" s="33" t="n">
        <v>4655</v>
      </c>
      <c r="D251" s="28" t="s">
        <v>103</v>
      </c>
      <c r="E251" s="28" t="s">
        <v>546</v>
      </c>
      <c r="F251" s="30" t="s">
        <v>855</v>
      </c>
      <c r="G251" s="28" t="s">
        <v>522</v>
      </c>
      <c r="H251" s="31" t="n">
        <v>12</v>
      </c>
      <c r="I251" s="28" t="s">
        <v>107</v>
      </c>
      <c r="J251" s="30" t="s">
        <v>523</v>
      </c>
      <c r="K251" s="30" t="s">
        <v>524</v>
      </c>
      <c r="L251" s="32" t="s">
        <v>110</v>
      </c>
    </row>
    <row r="252" customFormat="false" ht="15" hidden="false" customHeight="false" outlineLevel="0" collapsed="false">
      <c r="A252" s="22" t="s">
        <v>856</v>
      </c>
      <c r="B252" s="5" t="s">
        <v>857</v>
      </c>
      <c r="C252" s="23" t="n">
        <v>1341</v>
      </c>
      <c r="D252" s="5" t="s">
        <v>103</v>
      </c>
      <c r="E252" s="5" t="s">
        <v>120</v>
      </c>
      <c r="F252" s="24" t="s">
        <v>858</v>
      </c>
      <c r="G252" s="5" t="s">
        <v>522</v>
      </c>
      <c r="H252" s="25" t="n">
        <v>12</v>
      </c>
      <c r="I252" s="5" t="s">
        <v>107</v>
      </c>
      <c r="J252" s="24" t="s">
        <v>523</v>
      </c>
      <c r="K252" s="24" t="s">
        <v>524</v>
      </c>
      <c r="L252" s="26" t="s">
        <v>110</v>
      </c>
    </row>
    <row r="253" customFormat="false" ht="15" hidden="false" customHeight="false" outlineLevel="0" collapsed="false">
      <c r="A253" s="27" t="s">
        <v>859</v>
      </c>
      <c r="B253" s="28" t="s">
        <v>860</v>
      </c>
      <c r="C253" s="33" t="n">
        <v>3819</v>
      </c>
      <c r="D253" s="28" t="s">
        <v>103</v>
      </c>
      <c r="E253" s="28" t="s">
        <v>120</v>
      </c>
      <c r="F253" s="30" t="s">
        <v>861</v>
      </c>
      <c r="G253" s="28" t="s">
        <v>522</v>
      </c>
      <c r="H253" s="31" t="n">
        <v>12</v>
      </c>
      <c r="I253" s="28" t="s">
        <v>127</v>
      </c>
      <c r="J253" s="30" t="s">
        <v>523</v>
      </c>
      <c r="K253" s="30" t="s">
        <v>524</v>
      </c>
      <c r="L253" s="32" t="s">
        <v>110</v>
      </c>
    </row>
    <row r="254" customFormat="false" ht="15" hidden="false" customHeight="false" outlineLevel="0" collapsed="false">
      <c r="A254" s="22" t="s">
        <v>862</v>
      </c>
      <c r="B254" s="5" t="s">
        <v>863</v>
      </c>
      <c r="C254" s="23" t="n">
        <v>4681</v>
      </c>
      <c r="D254" s="5" t="s">
        <v>103</v>
      </c>
      <c r="E254" s="5" t="s">
        <v>120</v>
      </c>
      <c r="F254" s="24" t="s">
        <v>864</v>
      </c>
      <c r="G254" s="5" t="s">
        <v>522</v>
      </c>
      <c r="H254" s="25" t="n">
        <v>12</v>
      </c>
      <c r="I254" s="5" t="s">
        <v>127</v>
      </c>
      <c r="J254" s="24" t="s">
        <v>523</v>
      </c>
      <c r="K254" s="24" t="s">
        <v>524</v>
      </c>
      <c r="L254" s="26" t="s">
        <v>110</v>
      </c>
    </row>
    <row r="255" customFormat="false" ht="15" hidden="false" customHeight="false" outlineLevel="0" collapsed="false">
      <c r="A255" s="27" t="s">
        <v>865</v>
      </c>
      <c r="B255" s="28" t="s">
        <v>866</v>
      </c>
      <c r="C255" s="33" t="n">
        <v>-272</v>
      </c>
      <c r="D255" s="28" t="s">
        <v>103</v>
      </c>
      <c r="E255" s="28" t="s">
        <v>120</v>
      </c>
      <c r="F255" s="30" t="s">
        <v>867</v>
      </c>
      <c r="G255" s="28" t="s">
        <v>522</v>
      </c>
      <c r="H255" s="31" t="n">
        <v>12</v>
      </c>
      <c r="I255" s="28" t="s">
        <v>127</v>
      </c>
      <c r="J255" s="30" t="s">
        <v>523</v>
      </c>
      <c r="K255" s="30" t="s">
        <v>524</v>
      </c>
      <c r="L255" s="32" t="s">
        <v>110</v>
      </c>
    </row>
    <row r="256" customFormat="false" ht="15" hidden="false" customHeight="false" outlineLevel="0" collapsed="false">
      <c r="A256" s="22" t="s">
        <v>868</v>
      </c>
      <c r="B256" s="5" t="s">
        <v>869</v>
      </c>
      <c r="C256" s="23" t="n">
        <v>1162</v>
      </c>
      <c r="D256" s="5" t="s">
        <v>103</v>
      </c>
      <c r="E256" s="5" t="s">
        <v>120</v>
      </c>
      <c r="F256" s="24" t="s">
        <v>870</v>
      </c>
      <c r="G256" s="5" t="s">
        <v>522</v>
      </c>
      <c r="H256" s="25" t="n">
        <v>12</v>
      </c>
      <c r="I256" s="5" t="s">
        <v>107</v>
      </c>
      <c r="J256" s="24" t="s">
        <v>523</v>
      </c>
      <c r="K256" s="24" t="s">
        <v>524</v>
      </c>
      <c r="L256" s="26" t="s">
        <v>110</v>
      </c>
    </row>
    <row r="257" customFormat="false" ht="15" hidden="false" customHeight="false" outlineLevel="0" collapsed="false">
      <c r="A257" s="27" t="s">
        <v>871</v>
      </c>
      <c r="B257" s="28" t="s">
        <v>872</v>
      </c>
      <c r="C257" s="29" t="n">
        <v>3.7</v>
      </c>
      <c r="D257" s="28" t="s">
        <v>133</v>
      </c>
      <c r="E257" s="28" t="s">
        <v>120</v>
      </c>
      <c r="F257" s="30" t="s">
        <v>873</v>
      </c>
      <c r="G257" s="28" t="s">
        <v>522</v>
      </c>
      <c r="H257" s="31" t="n">
        <v>12</v>
      </c>
      <c r="I257" s="28" t="s">
        <v>107</v>
      </c>
      <c r="J257" s="30" t="s">
        <v>523</v>
      </c>
      <c r="K257" s="30" t="s">
        <v>524</v>
      </c>
      <c r="L257" s="32" t="s">
        <v>110</v>
      </c>
    </row>
    <row r="258" customFormat="false" ht="15" hidden="false" customHeight="false" outlineLevel="0" collapsed="false">
      <c r="A258" s="22" t="s">
        <v>874</v>
      </c>
      <c r="B258" s="5" t="s">
        <v>875</v>
      </c>
      <c r="C258" s="34" t="n">
        <v>5.1</v>
      </c>
      <c r="D258" s="5" t="s">
        <v>133</v>
      </c>
      <c r="E258" s="5" t="s">
        <v>120</v>
      </c>
      <c r="F258" s="24" t="s">
        <v>555</v>
      </c>
      <c r="G258" s="5" t="s">
        <v>522</v>
      </c>
      <c r="H258" s="25" t="n">
        <v>12</v>
      </c>
      <c r="I258" s="5" t="s">
        <v>107</v>
      </c>
      <c r="J258" s="24" t="s">
        <v>523</v>
      </c>
      <c r="K258" s="24" t="s">
        <v>524</v>
      </c>
      <c r="L258" s="26" t="s">
        <v>110</v>
      </c>
    </row>
    <row r="259" customFormat="false" ht="15" hidden="false" customHeight="false" outlineLevel="0" collapsed="false">
      <c r="A259" s="27" t="s">
        <v>876</v>
      </c>
      <c r="B259" s="28" t="s">
        <v>877</v>
      </c>
      <c r="C259" s="33" t="n">
        <v>29518</v>
      </c>
      <c r="D259" s="28" t="s">
        <v>103</v>
      </c>
      <c r="E259" s="28" t="s">
        <v>140</v>
      </c>
      <c r="F259" s="30" t="s">
        <v>878</v>
      </c>
      <c r="G259" s="28" t="s">
        <v>172</v>
      </c>
      <c r="H259" s="31" t="n">
        <v>351</v>
      </c>
      <c r="I259" s="28" t="s">
        <v>107</v>
      </c>
      <c r="J259" s="30" t="s">
        <v>173</v>
      </c>
      <c r="K259" s="30" t="s">
        <v>109</v>
      </c>
      <c r="L259" s="32" t="s">
        <v>110</v>
      </c>
    </row>
    <row r="260" customFormat="false" ht="15" hidden="false" customHeight="false" outlineLevel="0" collapsed="false">
      <c r="A260" s="22" t="s">
        <v>879</v>
      </c>
      <c r="B260" s="5" t="s">
        <v>880</v>
      </c>
      <c r="C260" s="23" t="n">
        <v>8021</v>
      </c>
      <c r="D260" s="5" t="s">
        <v>103</v>
      </c>
      <c r="E260" s="5" t="s">
        <v>140</v>
      </c>
      <c r="F260" s="24" t="s">
        <v>881</v>
      </c>
      <c r="G260" s="5" t="s">
        <v>172</v>
      </c>
      <c r="H260" s="25" t="n">
        <v>351</v>
      </c>
      <c r="I260" s="5" t="s">
        <v>107</v>
      </c>
      <c r="J260" s="24" t="s">
        <v>173</v>
      </c>
      <c r="K260" s="24" t="s">
        <v>109</v>
      </c>
      <c r="L260" s="26" t="s">
        <v>110</v>
      </c>
    </row>
    <row r="261" customFormat="false" ht="15" hidden="false" customHeight="false" outlineLevel="0" collapsed="false">
      <c r="A261" s="27" t="s">
        <v>882</v>
      </c>
      <c r="B261" s="28" t="s">
        <v>883</v>
      </c>
      <c r="C261" s="33" t="n">
        <v>1952</v>
      </c>
      <c r="D261" s="28" t="s">
        <v>103</v>
      </c>
      <c r="E261" s="28" t="s">
        <v>140</v>
      </c>
      <c r="F261" s="30" t="s">
        <v>884</v>
      </c>
      <c r="G261" s="28" t="s">
        <v>172</v>
      </c>
      <c r="H261" s="31" t="n">
        <v>351</v>
      </c>
      <c r="I261" s="28" t="s">
        <v>107</v>
      </c>
      <c r="J261" s="30" t="s">
        <v>173</v>
      </c>
      <c r="K261" s="30" t="s">
        <v>109</v>
      </c>
      <c r="L261" s="32" t="s">
        <v>110</v>
      </c>
    </row>
    <row r="262" customFormat="false" ht="15" hidden="false" customHeight="false" outlineLevel="0" collapsed="false">
      <c r="A262" s="22" t="s">
        <v>885</v>
      </c>
      <c r="B262" s="5" t="s">
        <v>886</v>
      </c>
      <c r="C262" s="23" t="n">
        <v>276</v>
      </c>
      <c r="D262" s="5" t="s">
        <v>103</v>
      </c>
      <c r="E262" s="5" t="s">
        <v>140</v>
      </c>
      <c r="F262" s="24" t="s">
        <v>887</v>
      </c>
      <c r="G262" s="5" t="s">
        <v>172</v>
      </c>
      <c r="H262" s="25" t="n">
        <v>351</v>
      </c>
      <c r="I262" s="5" t="s">
        <v>107</v>
      </c>
      <c r="J262" s="24" t="s">
        <v>173</v>
      </c>
      <c r="K262" s="24" t="s">
        <v>109</v>
      </c>
      <c r="L262" s="26" t="s">
        <v>110</v>
      </c>
    </row>
    <row r="263" customFormat="false" ht="15" hidden="false" customHeight="false" outlineLevel="0" collapsed="false">
      <c r="A263" s="27" t="s">
        <v>888</v>
      </c>
      <c r="B263" s="28" t="s">
        <v>877</v>
      </c>
      <c r="C263" s="33" t="n">
        <v>29283</v>
      </c>
      <c r="D263" s="28" t="s">
        <v>103</v>
      </c>
      <c r="E263" s="28" t="s">
        <v>193</v>
      </c>
      <c r="F263" s="30" t="s">
        <v>889</v>
      </c>
      <c r="G263" s="28" t="s">
        <v>172</v>
      </c>
      <c r="H263" s="31" t="n">
        <v>351</v>
      </c>
      <c r="I263" s="28" t="s">
        <v>107</v>
      </c>
      <c r="J263" s="30" t="s">
        <v>173</v>
      </c>
      <c r="K263" s="30" t="s">
        <v>109</v>
      </c>
      <c r="L263" s="32" t="s">
        <v>110</v>
      </c>
    </row>
    <row r="264" customFormat="false" ht="15" hidden="false" customHeight="false" outlineLevel="0" collapsed="false">
      <c r="A264" s="22" t="s">
        <v>890</v>
      </c>
      <c r="B264" s="5" t="s">
        <v>880</v>
      </c>
      <c r="C264" s="23" t="n">
        <v>9601</v>
      </c>
      <c r="D264" s="5" t="s">
        <v>103</v>
      </c>
      <c r="E264" s="5" t="s">
        <v>193</v>
      </c>
      <c r="F264" s="24" t="s">
        <v>891</v>
      </c>
      <c r="G264" s="5" t="s">
        <v>172</v>
      </c>
      <c r="H264" s="25" t="n">
        <v>351</v>
      </c>
      <c r="I264" s="5" t="s">
        <v>107</v>
      </c>
      <c r="J264" s="24" t="s">
        <v>173</v>
      </c>
      <c r="K264" s="24" t="s">
        <v>109</v>
      </c>
      <c r="L264" s="26" t="s">
        <v>110</v>
      </c>
    </row>
    <row r="265" customFormat="false" ht="15" hidden="false" customHeight="false" outlineLevel="0" collapsed="false">
      <c r="A265" s="27" t="s">
        <v>892</v>
      </c>
      <c r="B265" s="28" t="s">
        <v>893</v>
      </c>
      <c r="C265" s="33" t="n">
        <v>29303</v>
      </c>
      <c r="D265" s="28" t="s">
        <v>103</v>
      </c>
      <c r="E265" s="28" t="s">
        <v>140</v>
      </c>
      <c r="F265" s="30" t="s">
        <v>894</v>
      </c>
      <c r="G265" s="28" t="s">
        <v>172</v>
      </c>
      <c r="H265" s="31" t="n">
        <v>405</v>
      </c>
      <c r="I265" s="28" t="s">
        <v>107</v>
      </c>
      <c r="J265" s="30" t="s">
        <v>173</v>
      </c>
      <c r="K265" s="30" t="s">
        <v>109</v>
      </c>
      <c r="L265" s="32" t="s">
        <v>110</v>
      </c>
    </row>
    <row r="266" customFormat="false" ht="15" hidden="false" customHeight="false" outlineLevel="0" collapsed="false">
      <c r="A266" s="22" t="s">
        <v>895</v>
      </c>
      <c r="B266" s="5" t="s">
        <v>896</v>
      </c>
      <c r="C266" s="23" t="n">
        <v>8810</v>
      </c>
      <c r="D266" s="5" t="s">
        <v>103</v>
      </c>
      <c r="E266" s="5" t="s">
        <v>140</v>
      </c>
      <c r="F266" s="24" t="s">
        <v>897</v>
      </c>
      <c r="G266" s="5" t="s">
        <v>172</v>
      </c>
      <c r="H266" s="25" t="n">
        <v>405</v>
      </c>
      <c r="I266" s="5" t="s">
        <v>107</v>
      </c>
      <c r="J266" s="24" t="s">
        <v>173</v>
      </c>
      <c r="K266" s="24" t="s">
        <v>109</v>
      </c>
      <c r="L266" s="26" t="s">
        <v>110</v>
      </c>
    </row>
    <row r="267" customFormat="false" ht="15" hidden="false" customHeight="false" outlineLevel="0" collapsed="false">
      <c r="A267" s="27" t="s">
        <v>898</v>
      </c>
      <c r="B267" s="28" t="s">
        <v>899</v>
      </c>
      <c r="C267" s="33" t="n">
        <v>20492</v>
      </c>
      <c r="D267" s="28" t="s">
        <v>103</v>
      </c>
      <c r="E267" s="28" t="s">
        <v>140</v>
      </c>
      <c r="F267" s="30" t="s">
        <v>900</v>
      </c>
      <c r="G267" s="28" t="s">
        <v>172</v>
      </c>
      <c r="H267" s="31" t="n">
        <v>405</v>
      </c>
      <c r="I267" s="28" t="s">
        <v>107</v>
      </c>
      <c r="J267" s="30" t="s">
        <v>173</v>
      </c>
      <c r="K267" s="30" t="s">
        <v>109</v>
      </c>
      <c r="L267" s="32" t="s">
        <v>110</v>
      </c>
    </row>
    <row r="268" customFormat="false" ht="15" hidden="false" customHeight="false" outlineLevel="0" collapsed="false">
      <c r="A268" s="22" t="s">
        <v>901</v>
      </c>
      <c r="B268" s="5" t="s">
        <v>902</v>
      </c>
      <c r="C268" s="23" t="n">
        <v>17992</v>
      </c>
      <c r="D268" s="5" t="s">
        <v>103</v>
      </c>
      <c r="E268" s="5" t="s">
        <v>140</v>
      </c>
      <c r="F268" s="24" t="s">
        <v>903</v>
      </c>
      <c r="G268" s="5" t="s">
        <v>172</v>
      </c>
      <c r="H268" s="25" t="n">
        <v>405</v>
      </c>
      <c r="I268" s="5" t="s">
        <v>107</v>
      </c>
      <c r="J268" s="24" t="s">
        <v>173</v>
      </c>
      <c r="K268" s="24" t="s">
        <v>109</v>
      </c>
      <c r="L268" s="26" t="s">
        <v>110</v>
      </c>
    </row>
    <row r="269" customFormat="false" ht="15" hidden="false" customHeight="false" outlineLevel="0" collapsed="false">
      <c r="A269" s="27" t="s">
        <v>904</v>
      </c>
      <c r="B269" s="28" t="s">
        <v>905</v>
      </c>
      <c r="C269" s="33" t="n">
        <v>9328</v>
      </c>
      <c r="D269" s="28" t="s">
        <v>103</v>
      </c>
      <c r="E269" s="28" t="s">
        <v>140</v>
      </c>
      <c r="F269" s="30" t="s">
        <v>906</v>
      </c>
      <c r="G269" s="28" t="s">
        <v>172</v>
      </c>
      <c r="H269" s="31" t="n">
        <v>405</v>
      </c>
      <c r="I269" s="28" t="s">
        <v>107</v>
      </c>
      <c r="J269" s="30" t="s">
        <v>173</v>
      </c>
      <c r="K269" s="30" t="s">
        <v>109</v>
      </c>
      <c r="L269" s="32" t="s">
        <v>110</v>
      </c>
    </row>
    <row r="270" customFormat="false" ht="15" hidden="false" customHeight="false" outlineLevel="0" collapsed="false">
      <c r="A270" s="22" t="s">
        <v>907</v>
      </c>
      <c r="B270" s="5" t="s">
        <v>908</v>
      </c>
      <c r="C270" s="23" t="n">
        <v>1983</v>
      </c>
      <c r="D270" s="5" t="s">
        <v>103</v>
      </c>
      <c r="E270" s="5" t="s">
        <v>140</v>
      </c>
      <c r="F270" s="24" t="s">
        <v>909</v>
      </c>
      <c r="G270" s="5" t="s">
        <v>172</v>
      </c>
      <c r="H270" s="25" t="n">
        <v>405</v>
      </c>
      <c r="I270" s="5" t="s">
        <v>107</v>
      </c>
      <c r="J270" s="24" t="s">
        <v>173</v>
      </c>
      <c r="K270" s="24" t="s">
        <v>109</v>
      </c>
      <c r="L270" s="26" t="s">
        <v>110</v>
      </c>
    </row>
    <row r="271" customFormat="false" ht="15" hidden="false" customHeight="false" outlineLevel="0" collapsed="false">
      <c r="A271" s="27" t="s">
        <v>910</v>
      </c>
      <c r="B271" s="28" t="s">
        <v>893</v>
      </c>
      <c r="C271" s="33" t="n">
        <v>29085</v>
      </c>
      <c r="D271" s="28" t="s">
        <v>103</v>
      </c>
      <c r="E271" s="28" t="s">
        <v>193</v>
      </c>
      <c r="F271" s="30" t="s">
        <v>911</v>
      </c>
      <c r="G271" s="28" t="s">
        <v>172</v>
      </c>
      <c r="H271" s="31" t="n">
        <v>405</v>
      </c>
      <c r="I271" s="28" t="s">
        <v>107</v>
      </c>
      <c r="J271" s="30" t="s">
        <v>173</v>
      </c>
      <c r="K271" s="30" t="s">
        <v>109</v>
      </c>
      <c r="L271" s="32" t="s">
        <v>110</v>
      </c>
    </row>
    <row r="272" customFormat="false" ht="15" hidden="false" customHeight="false" outlineLevel="0" collapsed="false">
      <c r="A272" s="22" t="s">
        <v>912</v>
      </c>
      <c r="B272" s="5" t="s">
        <v>913</v>
      </c>
      <c r="C272" s="23" t="n">
        <v>1451</v>
      </c>
      <c r="D272" s="5" t="s">
        <v>103</v>
      </c>
      <c r="E272" s="5" t="s">
        <v>140</v>
      </c>
      <c r="F272" s="24" t="s">
        <v>914</v>
      </c>
      <c r="G272" s="5" t="s">
        <v>172</v>
      </c>
      <c r="H272" s="25" t="n">
        <v>406</v>
      </c>
      <c r="I272" s="5" t="s">
        <v>107</v>
      </c>
      <c r="J272" s="24" t="s">
        <v>173</v>
      </c>
      <c r="K272" s="24" t="s">
        <v>109</v>
      </c>
      <c r="L272" s="26" t="s">
        <v>110</v>
      </c>
    </row>
    <row r="273" customFormat="false" ht="15" hidden="false" customHeight="false" outlineLevel="0" collapsed="false">
      <c r="A273" s="27" t="s">
        <v>915</v>
      </c>
      <c r="B273" s="28" t="s">
        <v>916</v>
      </c>
      <c r="C273" s="33" t="n">
        <v>4536</v>
      </c>
      <c r="D273" s="28" t="s">
        <v>103</v>
      </c>
      <c r="E273" s="28" t="s">
        <v>140</v>
      </c>
      <c r="F273" s="30" t="s">
        <v>917</v>
      </c>
      <c r="G273" s="28" t="s">
        <v>172</v>
      </c>
      <c r="H273" s="31" t="n">
        <v>406</v>
      </c>
      <c r="I273" s="28" t="s">
        <v>107</v>
      </c>
      <c r="J273" s="30" t="s">
        <v>173</v>
      </c>
      <c r="K273" s="30" t="s">
        <v>109</v>
      </c>
      <c r="L273" s="32" t="s">
        <v>110</v>
      </c>
    </row>
    <row r="274" customFormat="false" ht="15" hidden="false" customHeight="false" outlineLevel="0" collapsed="false">
      <c r="A274" s="22" t="s">
        <v>918</v>
      </c>
      <c r="B274" s="5" t="s">
        <v>919</v>
      </c>
      <c r="C274" s="23" t="n">
        <v>3128</v>
      </c>
      <c r="D274" s="5" t="s">
        <v>103</v>
      </c>
      <c r="E274" s="5" t="s">
        <v>140</v>
      </c>
      <c r="F274" s="24" t="s">
        <v>920</v>
      </c>
      <c r="G274" s="5" t="s">
        <v>172</v>
      </c>
      <c r="H274" s="25" t="n">
        <v>406</v>
      </c>
      <c r="I274" s="5" t="s">
        <v>107</v>
      </c>
      <c r="J274" s="24" t="s">
        <v>173</v>
      </c>
      <c r="K274" s="24" t="s">
        <v>109</v>
      </c>
      <c r="L274" s="26" t="s">
        <v>110</v>
      </c>
    </row>
    <row r="275" customFormat="false" ht="15" hidden="false" customHeight="false" outlineLevel="0" collapsed="false">
      <c r="A275" s="27" t="s">
        <v>921</v>
      </c>
      <c r="B275" s="28" t="s">
        <v>922</v>
      </c>
      <c r="C275" s="33" t="n">
        <v>8877</v>
      </c>
      <c r="D275" s="28" t="s">
        <v>103</v>
      </c>
      <c r="E275" s="28" t="s">
        <v>140</v>
      </c>
      <c r="F275" s="30" t="s">
        <v>923</v>
      </c>
      <c r="G275" s="28" t="s">
        <v>172</v>
      </c>
      <c r="H275" s="31" t="n">
        <v>406</v>
      </c>
      <c r="I275" s="28" t="s">
        <v>107</v>
      </c>
      <c r="J275" s="30" t="s">
        <v>173</v>
      </c>
      <c r="K275" s="30" t="s">
        <v>109</v>
      </c>
      <c r="L275" s="32" t="s">
        <v>110</v>
      </c>
    </row>
    <row r="276" customFormat="false" ht="15" hidden="false" customHeight="false" outlineLevel="0" collapsed="false">
      <c r="A276" s="22" t="s">
        <v>924</v>
      </c>
      <c r="B276" s="5" t="s">
        <v>925</v>
      </c>
      <c r="C276" s="23" t="n">
        <v>750</v>
      </c>
      <c r="D276" s="5" t="s">
        <v>103</v>
      </c>
      <c r="E276" s="5" t="s">
        <v>140</v>
      </c>
      <c r="F276" s="24" t="s">
        <v>926</v>
      </c>
      <c r="G276" s="5" t="s">
        <v>172</v>
      </c>
      <c r="H276" s="25" t="n">
        <v>406</v>
      </c>
      <c r="I276" s="5" t="s">
        <v>107</v>
      </c>
      <c r="J276" s="24" t="s">
        <v>173</v>
      </c>
      <c r="K276" s="24" t="s">
        <v>109</v>
      </c>
      <c r="L276" s="26" t="s">
        <v>110</v>
      </c>
    </row>
    <row r="277" customFormat="false" ht="15" hidden="false" customHeight="false" outlineLevel="0" collapsed="false">
      <c r="A277" s="27" t="s">
        <v>927</v>
      </c>
      <c r="B277" s="28" t="s">
        <v>928</v>
      </c>
      <c r="C277" s="33" t="n">
        <v>650</v>
      </c>
      <c r="D277" s="28" t="s">
        <v>103</v>
      </c>
      <c r="E277" s="28" t="s">
        <v>140</v>
      </c>
      <c r="F277" s="30" t="s">
        <v>929</v>
      </c>
      <c r="G277" s="28" t="s">
        <v>172</v>
      </c>
      <c r="H277" s="31" t="n">
        <v>406</v>
      </c>
      <c r="I277" s="28" t="s">
        <v>107</v>
      </c>
      <c r="J277" s="30" t="s">
        <v>173</v>
      </c>
      <c r="K277" s="30" t="s">
        <v>109</v>
      </c>
      <c r="L277" s="32" t="s">
        <v>110</v>
      </c>
    </row>
    <row r="278" customFormat="false" ht="15" hidden="false" customHeight="false" outlineLevel="0" collapsed="false">
      <c r="A278" s="22" t="s">
        <v>930</v>
      </c>
      <c r="B278" s="5" t="s">
        <v>931</v>
      </c>
      <c r="C278" s="23" t="n">
        <v>1879</v>
      </c>
      <c r="D278" s="5" t="s">
        <v>103</v>
      </c>
      <c r="E278" s="5" t="s">
        <v>120</v>
      </c>
      <c r="F278" s="24" t="s">
        <v>932</v>
      </c>
      <c r="G278" s="5" t="s">
        <v>172</v>
      </c>
      <c r="H278" s="25" t="n">
        <v>406</v>
      </c>
      <c r="I278" s="5" t="s">
        <v>107</v>
      </c>
      <c r="J278" s="24" t="s">
        <v>173</v>
      </c>
      <c r="K278" s="24" t="s">
        <v>109</v>
      </c>
      <c r="L278" s="26" t="s">
        <v>110</v>
      </c>
    </row>
    <row r="279" customFormat="false" ht="15" hidden="false" customHeight="false" outlineLevel="0" collapsed="false">
      <c r="A279" s="27" t="s">
        <v>933</v>
      </c>
      <c r="B279" s="28" t="s">
        <v>934</v>
      </c>
      <c r="C279" s="33" t="n">
        <v>-1482</v>
      </c>
      <c r="D279" s="28" t="s">
        <v>103</v>
      </c>
      <c r="E279" s="28" t="s">
        <v>120</v>
      </c>
      <c r="F279" s="30" t="s">
        <v>935</v>
      </c>
      <c r="G279" s="28" t="s">
        <v>172</v>
      </c>
      <c r="H279" s="31" t="n">
        <v>406</v>
      </c>
      <c r="I279" s="28" t="s">
        <v>107</v>
      </c>
      <c r="J279" s="30" t="s">
        <v>173</v>
      </c>
      <c r="K279" s="30" t="s">
        <v>109</v>
      </c>
      <c r="L279" s="32" t="s">
        <v>110</v>
      </c>
    </row>
    <row r="280" customFormat="false" ht="15" hidden="false" customHeight="false" outlineLevel="0" collapsed="false">
      <c r="A280" s="22" t="s">
        <v>936</v>
      </c>
      <c r="B280" s="5" t="s">
        <v>937</v>
      </c>
      <c r="C280" s="23" t="n">
        <v>850</v>
      </c>
      <c r="D280" s="5" t="s">
        <v>103</v>
      </c>
      <c r="E280" s="5" t="s">
        <v>120</v>
      </c>
      <c r="F280" s="24" t="s">
        <v>938</v>
      </c>
      <c r="G280" s="5" t="s">
        <v>172</v>
      </c>
      <c r="H280" s="25" t="n">
        <v>406</v>
      </c>
      <c r="I280" s="5" t="s">
        <v>107</v>
      </c>
      <c r="J280" s="24" t="s">
        <v>173</v>
      </c>
      <c r="K280" s="24" t="s">
        <v>109</v>
      </c>
      <c r="L280" s="26" t="s">
        <v>110</v>
      </c>
    </row>
    <row r="281" customFormat="false" ht="15" hidden="false" customHeight="false" outlineLevel="0" collapsed="false">
      <c r="A281" s="27" t="s">
        <v>939</v>
      </c>
      <c r="B281" s="28" t="s">
        <v>940</v>
      </c>
      <c r="C281" s="29" t="n">
        <v>3.324</v>
      </c>
      <c r="D281" s="28" t="s">
        <v>299</v>
      </c>
      <c r="E281" s="28" t="s">
        <v>120</v>
      </c>
      <c r="F281" s="30" t="s">
        <v>941</v>
      </c>
      <c r="G281" s="28" t="s">
        <v>172</v>
      </c>
      <c r="H281" s="31" t="n">
        <v>406</v>
      </c>
      <c r="I281" s="28" t="s">
        <v>107</v>
      </c>
      <c r="J281" s="30" t="s">
        <v>173</v>
      </c>
      <c r="K281" s="30" t="s">
        <v>109</v>
      </c>
      <c r="L281" s="32" t="s">
        <v>110</v>
      </c>
    </row>
    <row r="282" customFormat="false" ht="15" hidden="false" customHeight="false" outlineLevel="0" collapsed="false">
      <c r="A282" s="22" t="s">
        <v>942</v>
      </c>
      <c r="B282" s="5" t="s">
        <v>943</v>
      </c>
      <c r="C282" s="23" t="n">
        <v>650</v>
      </c>
      <c r="D282" s="5" t="s">
        <v>103</v>
      </c>
      <c r="E282" s="5" t="s">
        <v>120</v>
      </c>
      <c r="F282" s="24" t="s">
        <v>929</v>
      </c>
      <c r="G282" s="5" t="s">
        <v>172</v>
      </c>
      <c r="H282" s="25" t="n">
        <v>406</v>
      </c>
      <c r="I282" s="5" t="s">
        <v>107</v>
      </c>
      <c r="J282" s="24" t="s">
        <v>173</v>
      </c>
      <c r="K282" s="24" t="s">
        <v>109</v>
      </c>
      <c r="L282" s="26" t="s">
        <v>110</v>
      </c>
    </row>
    <row r="283" customFormat="false" ht="15" hidden="false" customHeight="false" outlineLevel="0" collapsed="false">
      <c r="A283" s="27" t="s">
        <v>944</v>
      </c>
      <c r="B283" s="28" t="s">
        <v>945</v>
      </c>
      <c r="C283" s="29" t="n">
        <v>3.795</v>
      </c>
      <c r="D283" s="28" t="s">
        <v>299</v>
      </c>
      <c r="E283" s="28" t="s">
        <v>120</v>
      </c>
      <c r="F283" s="30" t="s">
        <v>946</v>
      </c>
      <c r="G283" s="28" t="s">
        <v>172</v>
      </c>
      <c r="H283" s="31" t="n">
        <v>406</v>
      </c>
      <c r="I283" s="28" t="s">
        <v>107</v>
      </c>
      <c r="J283" s="30" t="s">
        <v>173</v>
      </c>
      <c r="K283" s="30" t="s">
        <v>109</v>
      </c>
      <c r="L283" s="32" t="s">
        <v>110</v>
      </c>
    </row>
    <row r="284" customFormat="false" ht="15" hidden="false" customHeight="false" outlineLevel="0" collapsed="false">
      <c r="A284" s="22" t="s">
        <v>947</v>
      </c>
      <c r="B284" s="5" t="s">
        <v>948</v>
      </c>
      <c r="C284" s="23" t="n">
        <v>700</v>
      </c>
      <c r="D284" s="5" t="s">
        <v>103</v>
      </c>
      <c r="E284" s="5" t="s">
        <v>140</v>
      </c>
      <c r="F284" s="24" t="s">
        <v>464</v>
      </c>
      <c r="G284" s="5" t="s">
        <v>172</v>
      </c>
      <c r="H284" s="25" t="n">
        <v>407</v>
      </c>
      <c r="I284" s="5" t="s">
        <v>107</v>
      </c>
      <c r="J284" s="24" t="s">
        <v>173</v>
      </c>
      <c r="K284" s="24" t="s">
        <v>109</v>
      </c>
      <c r="L284" s="26" t="s">
        <v>110</v>
      </c>
    </row>
    <row r="285" customFormat="false" ht="15" hidden="false" customHeight="false" outlineLevel="0" collapsed="false">
      <c r="A285" s="27" t="s">
        <v>949</v>
      </c>
      <c r="B285" s="28" t="s">
        <v>950</v>
      </c>
      <c r="C285" s="33" t="n">
        <v>0</v>
      </c>
      <c r="D285" s="28" t="s">
        <v>299</v>
      </c>
      <c r="E285" s="28" t="s">
        <v>140</v>
      </c>
      <c r="F285" s="30" t="s">
        <v>951</v>
      </c>
      <c r="G285" s="28" t="s">
        <v>172</v>
      </c>
      <c r="H285" s="31" t="n">
        <v>407</v>
      </c>
      <c r="I285" s="28" t="s">
        <v>107</v>
      </c>
      <c r="J285" s="30" t="s">
        <v>173</v>
      </c>
      <c r="K285" s="30" t="s">
        <v>109</v>
      </c>
      <c r="L285" s="32" t="s">
        <v>110</v>
      </c>
    </row>
    <row r="286" customFormat="false" ht="15" hidden="false" customHeight="false" outlineLevel="0" collapsed="false">
      <c r="A286" s="22" t="s">
        <v>952</v>
      </c>
      <c r="B286" s="5" t="s">
        <v>953</v>
      </c>
      <c r="C286" s="23" t="n">
        <v>750</v>
      </c>
      <c r="D286" s="5" t="s">
        <v>103</v>
      </c>
      <c r="E286" s="5" t="s">
        <v>140</v>
      </c>
      <c r="F286" s="24" t="s">
        <v>926</v>
      </c>
      <c r="G286" s="5" t="s">
        <v>172</v>
      </c>
      <c r="H286" s="25" t="n">
        <v>407</v>
      </c>
      <c r="I286" s="5" t="s">
        <v>107</v>
      </c>
      <c r="J286" s="24" t="s">
        <v>173</v>
      </c>
      <c r="K286" s="24" t="s">
        <v>109</v>
      </c>
      <c r="L286" s="26" t="s">
        <v>110</v>
      </c>
    </row>
    <row r="287" customFormat="false" ht="15" hidden="false" customHeight="false" outlineLevel="0" collapsed="false">
      <c r="A287" s="27" t="s">
        <v>954</v>
      </c>
      <c r="B287" s="28" t="s">
        <v>955</v>
      </c>
      <c r="C287" s="29" t="n">
        <v>4.625</v>
      </c>
      <c r="D287" s="28" t="s">
        <v>299</v>
      </c>
      <c r="E287" s="28" t="s">
        <v>140</v>
      </c>
      <c r="F287" s="30" t="s">
        <v>956</v>
      </c>
      <c r="G287" s="28" t="s">
        <v>172</v>
      </c>
      <c r="H287" s="31" t="n">
        <v>407</v>
      </c>
      <c r="I287" s="28" t="s">
        <v>107</v>
      </c>
      <c r="J287" s="30" t="s">
        <v>173</v>
      </c>
      <c r="K287" s="30" t="s">
        <v>109</v>
      </c>
      <c r="L287" s="32" t="s">
        <v>110</v>
      </c>
    </row>
    <row r="288" customFormat="false" ht="15" hidden="false" customHeight="false" outlineLevel="0" collapsed="false">
      <c r="A288" s="22" t="s">
        <v>957</v>
      </c>
      <c r="B288" s="5" t="s">
        <v>958</v>
      </c>
      <c r="C288" s="23" t="n">
        <v>850</v>
      </c>
      <c r="D288" s="5" t="s">
        <v>103</v>
      </c>
      <c r="E288" s="5" t="s">
        <v>140</v>
      </c>
      <c r="F288" s="24" t="s">
        <v>938</v>
      </c>
      <c r="G288" s="5" t="s">
        <v>172</v>
      </c>
      <c r="H288" s="25" t="n">
        <v>407</v>
      </c>
      <c r="I288" s="5" t="s">
        <v>107</v>
      </c>
      <c r="J288" s="24" t="s">
        <v>173</v>
      </c>
      <c r="K288" s="24" t="s">
        <v>109</v>
      </c>
      <c r="L288" s="26" t="s">
        <v>110</v>
      </c>
    </row>
    <row r="289" customFormat="false" ht="15" hidden="false" customHeight="false" outlineLevel="0" collapsed="false">
      <c r="A289" s="27" t="s">
        <v>959</v>
      </c>
      <c r="B289" s="28" t="s">
        <v>960</v>
      </c>
      <c r="C289" s="29" t="n">
        <v>1.25</v>
      </c>
      <c r="D289" s="28" t="s">
        <v>299</v>
      </c>
      <c r="E289" s="28" t="s">
        <v>140</v>
      </c>
      <c r="F289" s="30" t="s">
        <v>961</v>
      </c>
      <c r="G289" s="28" t="s">
        <v>172</v>
      </c>
      <c r="H289" s="31" t="n">
        <v>407</v>
      </c>
      <c r="I289" s="28" t="s">
        <v>107</v>
      </c>
      <c r="J289" s="30" t="s">
        <v>173</v>
      </c>
      <c r="K289" s="30" t="s">
        <v>109</v>
      </c>
      <c r="L289" s="32" t="s">
        <v>110</v>
      </c>
    </row>
    <row r="290" customFormat="false" ht="15" hidden="false" customHeight="false" outlineLevel="0" collapsed="false">
      <c r="A290" s="22" t="s">
        <v>962</v>
      </c>
      <c r="B290" s="5" t="s">
        <v>963</v>
      </c>
      <c r="C290" s="23" t="n">
        <v>250</v>
      </c>
      <c r="D290" s="5" t="s">
        <v>103</v>
      </c>
      <c r="E290" s="5" t="s">
        <v>140</v>
      </c>
      <c r="F290" s="24" t="s">
        <v>964</v>
      </c>
      <c r="G290" s="5" t="s">
        <v>172</v>
      </c>
      <c r="H290" s="25" t="n">
        <v>407</v>
      </c>
      <c r="I290" s="5" t="s">
        <v>107</v>
      </c>
      <c r="J290" s="24" t="s">
        <v>173</v>
      </c>
      <c r="K290" s="24" t="s">
        <v>109</v>
      </c>
      <c r="L290" s="26" t="s">
        <v>110</v>
      </c>
    </row>
    <row r="291" customFormat="false" ht="15" hidden="false" customHeight="false" outlineLevel="0" collapsed="false">
      <c r="A291" s="27" t="s">
        <v>965</v>
      </c>
      <c r="B291" s="28" t="s">
        <v>966</v>
      </c>
      <c r="C291" s="29" t="n">
        <v>1.904</v>
      </c>
      <c r="D291" s="28" t="s">
        <v>299</v>
      </c>
      <c r="E291" s="28" t="s">
        <v>140</v>
      </c>
      <c r="F291" s="30" t="s">
        <v>967</v>
      </c>
      <c r="G291" s="28" t="s">
        <v>172</v>
      </c>
      <c r="H291" s="31" t="n">
        <v>407</v>
      </c>
      <c r="I291" s="28" t="s">
        <v>107</v>
      </c>
      <c r="J291" s="30" t="s">
        <v>173</v>
      </c>
      <c r="K291" s="30" t="s">
        <v>109</v>
      </c>
      <c r="L291" s="32" t="s">
        <v>110</v>
      </c>
    </row>
    <row r="292" customFormat="false" ht="15" hidden="false" customHeight="false" outlineLevel="0" collapsed="false">
      <c r="A292" s="22" t="s">
        <v>968</v>
      </c>
      <c r="B292" s="5" t="s">
        <v>969</v>
      </c>
      <c r="C292" s="23" t="n">
        <v>500</v>
      </c>
      <c r="D292" s="5" t="s">
        <v>103</v>
      </c>
      <c r="E292" s="5" t="s">
        <v>140</v>
      </c>
      <c r="F292" s="24" t="s">
        <v>970</v>
      </c>
      <c r="G292" s="5" t="s">
        <v>172</v>
      </c>
      <c r="H292" s="25" t="n">
        <v>407</v>
      </c>
      <c r="I292" s="5" t="s">
        <v>107</v>
      </c>
      <c r="J292" s="24" t="s">
        <v>173</v>
      </c>
      <c r="K292" s="24" t="s">
        <v>109</v>
      </c>
      <c r="L292" s="26" t="s">
        <v>110</v>
      </c>
    </row>
    <row r="293" customFormat="false" ht="15" hidden="false" customHeight="false" outlineLevel="0" collapsed="false">
      <c r="A293" s="27" t="s">
        <v>971</v>
      </c>
      <c r="B293" s="28" t="s">
        <v>972</v>
      </c>
      <c r="C293" s="29" t="n">
        <v>1.59</v>
      </c>
      <c r="D293" s="28" t="s">
        <v>299</v>
      </c>
      <c r="E293" s="28" t="s">
        <v>140</v>
      </c>
      <c r="F293" s="30" t="s">
        <v>973</v>
      </c>
      <c r="G293" s="28" t="s">
        <v>172</v>
      </c>
      <c r="H293" s="31" t="n">
        <v>407</v>
      </c>
      <c r="I293" s="28" t="s">
        <v>107</v>
      </c>
      <c r="J293" s="30" t="s">
        <v>173</v>
      </c>
      <c r="K293" s="30" t="s">
        <v>109</v>
      </c>
      <c r="L293" s="32" t="s">
        <v>110</v>
      </c>
    </row>
    <row r="294" customFormat="false" ht="15" hidden="false" customHeight="false" outlineLevel="0" collapsed="false">
      <c r="A294" s="22" t="s">
        <v>974</v>
      </c>
      <c r="B294" s="5" t="s">
        <v>975</v>
      </c>
      <c r="C294" s="23" t="n">
        <v>287</v>
      </c>
      <c r="D294" s="5" t="s">
        <v>103</v>
      </c>
      <c r="E294" s="5" t="s">
        <v>140</v>
      </c>
      <c r="F294" s="24" t="s">
        <v>976</v>
      </c>
      <c r="G294" s="5" t="s">
        <v>172</v>
      </c>
      <c r="H294" s="25" t="n">
        <v>407</v>
      </c>
      <c r="I294" s="5" t="s">
        <v>107</v>
      </c>
      <c r="J294" s="24" t="s">
        <v>173</v>
      </c>
      <c r="K294" s="24" t="s">
        <v>109</v>
      </c>
      <c r="L294" s="26" t="s">
        <v>110</v>
      </c>
    </row>
    <row r="295" customFormat="false" ht="15" hidden="false" customHeight="false" outlineLevel="0" collapsed="false">
      <c r="A295" s="27" t="s">
        <v>977</v>
      </c>
      <c r="B295" s="28" t="s">
        <v>978</v>
      </c>
      <c r="C295" s="33" t="n">
        <v>13831</v>
      </c>
      <c r="D295" s="28" t="s">
        <v>103</v>
      </c>
      <c r="E295" s="28" t="s">
        <v>140</v>
      </c>
      <c r="F295" s="30" t="s">
        <v>979</v>
      </c>
      <c r="G295" s="28" t="s">
        <v>172</v>
      </c>
      <c r="H295" s="31" t="n">
        <v>407</v>
      </c>
      <c r="I295" s="28" t="s">
        <v>107</v>
      </c>
      <c r="J295" s="30" t="s">
        <v>173</v>
      </c>
      <c r="K295" s="30" t="s">
        <v>109</v>
      </c>
      <c r="L295" s="32" t="s">
        <v>110</v>
      </c>
    </row>
    <row r="296" customFormat="false" ht="15" hidden="false" customHeight="false" outlineLevel="0" collapsed="false">
      <c r="A296" s="22" t="s">
        <v>980</v>
      </c>
      <c r="B296" s="5" t="s">
        <v>981</v>
      </c>
      <c r="C296" s="23" t="n">
        <v>16541</v>
      </c>
      <c r="D296" s="5" t="s">
        <v>103</v>
      </c>
      <c r="E296" s="5" t="s">
        <v>140</v>
      </c>
      <c r="F296" s="24" t="s">
        <v>982</v>
      </c>
      <c r="G296" s="5" t="s">
        <v>172</v>
      </c>
      <c r="H296" s="25" t="n">
        <v>407</v>
      </c>
      <c r="I296" s="5" t="s">
        <v>107</v>
      </c>
      <c r="J296" s="24" t="s">
        <v>173</v>
      </c>
      <c r="K296" s="24" t="s">
        <v>109</v>
      </c>
      <c r="L296" s="26" t="s">
        <v>110</v>
      </c>
    </row>
    <row r="297" customFormat="false" ht="15" hidden="false" customHeight="false" outlineLevel="0" collapsed="false">
      <c r="A297" s="27" t="s">
        <v>983</v>
      </c>
      <c r="B297" s="28" t="s">
        <v>984</v>
      </c>
      <c r="C297" s="33" t="n">
        <v>6890</v>
      </c>
      <c r="D297" s="28" t="s">
        <v>103</v>
      </c>
      <c r="E297" s="28" t="s">
        <v>140</v>
      </c>
      <c r="F297" s="30" t="s">
        <v>985</v>
      </c>
      <c r="G297" s="28" t="s">
        <v>172</v>
      </c>
      <c r="H297" s="31" t="n">
        <v>408</v>
      </c>
      <c r="I297" s="28" t="s">
        <v>107</v>
      </c>
      <c r="J297" s="30" t="s">
        <v>173</v>
      </c>
      <c r="K297" s="30" t="s">
        <v>109</v>
      </c>
      <c r="L297" s="32" t="s">
        <v>110</v>
      </c>
    </row>
    <row r="298" customFormat="false" ht="15" hidden="false" customHeight="false" outlineLevel="0" collapsed="false">
      <c r="A298" s="22" t="s">
        <v>986</v>
      </c>
      <c r="B298" s="5" t="s">
        <v>987</v>
      </c>
      <c r="C298" s="23" t="n">
        <v>1064</v>
      </c>
      <c r="D298" s="5" t="s">
        <v>103</v>
      </c>
      <c r="E298" s="5" t="s">
        <v>140</v>
      </c>
      <c r="F298" s="24" t="s">
        <v>988</v>
      </c>
      <c r="G298" s="5" t="s">
        <v>172</v>
      </c>
      <c r="H298" s="25" t="n">
        <v>408</v>
      </c>
      <c r="I298" s="5" t="s">
        <v>107</v>
      </c>
      <c r="J298" s="24" t="s">
        <v>173</v>
      </c>
      <c r="K298" s="24" t="s">
        <v>109</v>
      </c>
      <c r="L298" s="26" t="s">
        <v>110</v>
      </c>
    </row>
    <row r="299" customFormat="false" ht="15" hidden="false" customHeight="false" outlineLevel="0" collapsed="false">
      <c r="A299" s="27" t="s">
        <v>989</v>
      </c>
      <c r="B299" s="28" t="s">
        <v>990</v>
      </c>
      <c r="C299" s="33" t="n">
        <v>462</v>
      </c>
      <c r="D299" s="28" t="s">
        <v>103</v>
      </c>
      <c r="E299" s="28" t="s">
        <v>140</v>
      </c>
      <c r="F299" s="30" t="s">
        <v>991</v>
      </c>
      <c r="G299" s="28" t="s">
        <v>172</v>
      </c>
      <c r="H299" s="31" t="n">
        <v>408</v>
      </c>
      <c r="I299" s="28" t="s">
        <v>107</v>
      </c>
      <c r="J299" s="30" t="s">
        <v>173</v>
      </c>
      <c r="K299" s="30" t="s">
        <v>109</v>
      </c>
      <c r="L299" s="32" t="s">
        <v>110</v>
      </c>
    </row>
    <row r="300" customFormat="false" ht="15" hidden="false" customHeight="false" outlineLevel="0" collapsed="false">
      <c r="A300" s="22" t="s">
        <v>992</v>
      </c>
      <c r="B300" s="5" t="s">
        <v>993</v>
      </c>
      <c r="C300" s="23" t="n">
        <v>911</v>
      </c>
      <c r="D300" s="5" t="s">
        <v>103</v>
      </c>
      <c r="E300" s="5" t="s">
        <v>140</v>
      </c>
      <c r="F300" s="24" t="s">
        <v>994</v>
      </c>
      <c r="G300" s="5" t="s">
        <v>172</v>
      </c>
      <c r="H300" s="25" t="n">
        <v>408</v>
      </c>
      <c r="I300" s="5" t="s">
        <v>107</v>
      </c>
      <c r="J300" s="24" t="s">
        <v>173</v>
      </c>
      <c r="K300" s="24" t="s">
        <v>109</v>
      </c>
      <c r="L300" s="26" t="s">
        <v>110</v>
      </c>
    </row>
    <row r="301" customFormat="false" ht="15" hidden="false" customHeight="false" outlineLevel="0" collapsed="false">
      <c r="A301" s="27" t="s">
        <v>995</v>
      </c>
      <c r="B301" s="28" t="s">
        <v>996</v>
      </c>
      <c r="C301" s="33" t="n">
        <v>4933</v>
      </c>
      <c r="D301" s="28" t="s">
        <v>103</v>
      </c>
      <c r="E301" s="28" t="s">
        <v>140</v>
      </c>
      <c r="F301" s="30" t="s">
        <v>997</v>
      </c>
      <c r="G301" s="28" t="s">
        <v>172</v>
      </c>
      <c r="H301" s="31" t="n">
        <v>408</v>
      </c>
      <c r="I301" s="28" t="s">
        <v>107</v>
      </c>
      <c r="J301" s="30" t="s">
        <v>173</v>
      </c>
      <c r="K301" s="30" t="s">
        <v>109</v>
      </c>
      <c r="L301" s="32" t="s">
        <v>110</v>
      </c>
    </row>
    <row r="302" customFormat="false" ht="15" hidden="false" customHeight="false" outlineLevel="0" collapsed="false">
      <c r="A302" s="22" t="s">
        <v>998</v>
      </c>
      <c r="B302" s="5" t="s">
        <v>999</v>
      </c>
      <c r="C302" s="23" t="n">
        <v>863</v>
      </c>
      <c r="D302" s="5" t="s">
        <v>103</v>
      </c>
      <c r="E302" s="5" t="s">
        <v>140</v>
      </c>
      <c r="F302" s="24" t="s">
        <v>1000</v>
      </c>
      <c r="G302" s="5" t="s">
        <v>172</v>
      </c>
      <c r="H302" s="25" t="n">
        <v>408</v>
      </c>
      <c r="I302" s="5" t="s">
        <v>107</v>
      </c>
      <c r="J302" s="24" t="s">
        <v>173</v>
      </c>
      <c r="K302" s="24" t="s">
        <v>109</v>
      </c>
      <c r="L302" s="26" t="s">
        <v>110</v>
      </c>
    </row>
    <row r="303" customFormat="false" ht="15" hidden="false" customHeight="false" outlineLevel="0" collapsed="false">
      <c r="A303" s="27" t="s">
        <v>1001</v>
      </c>
      <c r="B303" s="28" t="s">
        <v>1002</v>
      </c>
      <c r="C303" s="33" t="n">
        <v>186</v>
      </c>
      <c r="D303" s="28" t="s">
        <v>103</v>
      </c>
      <c r="E303" s="28" t="s">
        <v>140</v>
      </c>
      <c r="F303" s="30" t="s">
        <v>1003</v>
      </c>
      <c r="G303" s="28" t="s">
        <v>172</v>
      </c>
      <c r="H303" s="31" t="n">
        <v>408</v>
      </c>
      <c r="I303" s="28" t="s">
        <v>107</v>
      </c>
      <c r="J303" s="30" t="s">
        <v>173</v>
      </c>
      <c r="K303" s="30" t="s">
        <v>109</v>
      </c>
      <c r="L303" s="32" t="s">
        <v>110</v>
      </c>
    </row>
    <row r="304" customFormat="false" ht="15" hidden="false" customHeight="false" outlineLevel="0" collapsed="false">
      <c r="A304" s="22" t="s">
        <v>1004</v>
      </c>
      <c r="B304" s="5" t="s">
        <v>1005</v>
      </c>
      <c r="C304" s="23" t="n">
        <v>1108</v>
      </c>
      <c r="D304" s="5" t="s">
        <v>103</v>
      </c>
      <c r="E304" s="5" t="s">
        <v>120</v>
      </c>
      <c r="F304" s="24" t="s">
        <v>1006</v>
      </c>
      <c r="G304" s="5" t="s">
        <v>172</v>
      </c>
      <c r="H304" s="25" t="n">
        <v>408</v>
      </c>
      <c r="I304" s="5" t="s">
        <v>107</v>
      </c>
      <c r="J304" s="24" t="s">
        <v>173</v>
      </c>
      <c r="K304" s="24" t="s">
        <v>109</v>
      </c>
      <c r="L304" s="26" t="s">
        <v>110</v>
      </c>
    </row>
    <row r="305" customFormat="false" ht="15" hidden="false" customHeight="false" outlineLevel="0" collapsed="false">
      <c r="A305" s="27" t="s">
        <v>1007</v>
      </c>
      <c r="B305" s="28" t="s">
        <v>1008</v>
      </c>
      <c r="C305" s="33" t="n">
        <v>469</v>
      </c>
      <c r="D305" s="28" t="s">
        <v>103</v>
      </c>
      <c r="E305" s="28" t="s">
        <v>140</v>
      </c>
      <c r="F305" s="30" t="s">
        <v>1009</v>
      </c>
      <c r="G305" s="28" t="s">
        <v>172</v>
      </c>
      <c r="H305" s="31" t="n">
        <v>409</v>
      </c>
      <c r="I305" s="28" t="s">
        <v>107</v>
      </c>
      <c r="J305" s="30" t="s">
        <v>173</v>
      </c>
      <c r="K305" s="30" t="s">
        <v>109</v>
      </c>
      <c r="L305" s="32" t="s">
        <v>110</v>
      </c>
    </row>
    <row r="306" customFormat="false" ht="15" hidden="false" customHeight="false" outlineLevel="0" collapsed="false">
      <c r="A306" s="22" t="s">
        <v>1010</v>
      </c>
      <c r="B306" s="5" t="s">
        <v>1011</v>
      </c>
      <c r="C306" s="23" t="n">
        <v>361</v>
      </c>
      <c r="D306" s="5" t="s">
        <v>103</v>
      </c>
      <c r="E306" s="5" t="s">
        <v>140</v>
      </c>
      <c r="F306" s="24" t="s">
        <v>1012</v>
      </c>
      <c r="G306" s="5" t="s">
        <v>172</v>
      </c>
      <c r="H306" s="25" t="n">
        <v>409</v>
      </c>
      <c r="I306" s="5" t="s">
        <v>107</v>
      </c>
      <c r="J306" s="24" t="s">
        <v>173</v>
      </c>
      <c r="K306" s="24" t="s">
        <v>109</v>
      </c>
      <c r="L306" s="26" t="s">
        <v>110</v>
      </c>
    </row>
    <row r="307" customFormat="false" ht="15" hidden="false" customHeight="false" outlineLevel="0" collapsed="false">
      <c r="A307" s="27" t="s">
        <v>1013</v>
      </c>
      <c r="B307" s="28" t="s">
        <v>1014</v>
      </c>
      <c r="C307" s="33" t="n">
        <v>300</v>
      </c>
      <c r="D307" s="28" t="s">
        <v>103</v>
      </c>
      <c r="E307" s="28" t="s">
        <v>140</v>
      </c>
      <c r="F307" s="30" t="s">
        <v>1015</v>
      </c>
      <c r="G307" s="28" t="s">
        <v>172</v>
      </c>
      <c r="H307" s="31" t="n">
        <v>409</v>
      </c>
      <c r="I307" s="28" t="s">
        <v>107</v>
      </c>
      <c r="J307" s="30" t="s">
        <v>173</v>
      </c>
      <c r="K307" s="30" t="s">
        <v>109</v>
      </c>
      <c r="L307" s="32" t="s">
        <v>110</v>
      </c>
    </row>
    <row r="308" customFormat="false" ht="15" hidden="false" customHeight="false" outlineLevel="0" collapsed="false">
      <c r="A308" s="22" t="s">
        <v>1016</v>
      </c>
      <c r="B308" s="5" t="s">
        <v>1017</v>
      </c>
      <c r="C308" s="23" t="n">
        <v>184</v>
      </c>
      <c r="D308" s="5" t="s">
        <v>103</v>
      </c>
      <c r="E308" s="5" t="s">
        <v>140</v>
      </c>
      <c r="F308" s="24" t="s">
        <v>1018</v>
      </c>
      <c r="G308" s="5" t="s">
        <v>172</v>
      </c>
      <c r="H308" s="25" t="n">
        <v>409</v>
      </c>
      <c r="I308" s="5" t="s">
        <v>107</v>
      </c>
      <c r="J308" s="24" t="s">
        <v>173</v>
      </c>
      <c r="K308" s="24" t="s">
        <v>109</v>
      </c>
      <c r="L308" s="26" t="s">
        <v>110</v>
      </c>
    </row>
    <row r="309" customFormat="false" ht="15" hidden="false" customHeight="false" outlineLevel="0" collapsed="false">
      <c r="A309" s="27" t="s">
        <v>1019</v>
      </c>
      <c r="B309" s="28" t="s">
        <v>1020</v>
      </c>
      <c r="C309" s="33" t="n">
        <v>136</v>
      </c>
      <c r="D309" s="28" t="s">
        <v>103</v>
      </c>
      <c r="E309" s="28" t="s">
        <v>140</v>
      </c>
      <c r="F309" s="30" t="s">
        <v>1021</v>
      </c>
      <c r="G309" s="28" t="s">
        <v>172</v>
      </c>
      <c r="H309" s="31" t="n">
        <v>409</v>
      </c>
      <c r="I309" s="28" t="s">
        <v>107</v>
      </c>
      <c r="J309" s="30" t="s">
        <v>173</v>
      </c>
      <c r="K309" s="30" t="s">
        <v>109</v>
      </c>
      <c r="L309" s="32" t="s">
        <v>110</v>
      </c>
    </row>
    <row r="310" customFormat="false" ht="15" hidden="false" customHeight="false" outlineLevel="0" collapsed="false">
      <c r="A310" s="22" t="s">
        <v>1022</v>
      </c>
      <c r="B310" s="5" t="s">
        <v>1023</v>
      </c>
      <c r="C310" s="23" t="n">
        <v>532</v>
      </c>
      <c r="D310" s="5" t="s">
        <v>103</v>
      </c>
      <c r="E310" s="5" t="s">
        <v>140</v>
      </c>
      <c r="F310" s="24" t="s">
        <v>1024</v>
      </c>
      <c r="G310" s="5" t="s">
        <v>172</v>
      </c>
      <c r="H310" s="25" t="n">
        <v>409</v>
      </c>
      <c r="I310" s="5" t="s">
        <v>107</v>
      </c>
      <c r="J310" s="24" t="s">
        <v>173</v>
      </c>
      <c r="K310" s="24" t="s">
        <v>109</v>
      </c>
      <c r="L310" s="26" t="s">
        <v>110</v>
      </c>
    </row>
    <row r="311" customFormat="false" ht="15" hidden="false" customHeight="false" outlineLevel="0" collapsed="false">
      <c r="A311" s="27" t="s">
        <v>1025</v>
      </c>
      <c r="B311" s="28" t="s">
        <v>1026</v>
      </c>
      <c r="C311" s="33" t="n">
        <v>556</v>
      </c>
      <c r="D311" s="28" t="s">
        <v>103</v>
      </c>
      <c r="E311" s="28" t="s">
        <v>120</v>
      </c>
      <c r="F311" s="30" t="s">
        <v>1027</v>
      </c>
      <c r="G311" s="28" t="s">
        <v>172</v>
      </c>
      <c r="H311" s="31" t="n">
        <v>409</v>
      </c>
      <c r="I311" s="28" t="s">
        <v>107</v>
      </c>
      <c r="J311" s="30" t="s">
        <v>173</v>
      </c>
      <c r="K311" s="30" t="s">
        <v>109</v>
      </c>
      <c r="L311" s="32" t="s">
        <v>110</v>
      </c>
    </row>
    <row r="312" customFormat="false" ht="15" hidden="false" customHeight="false" outlineLevel="0" collapsed="false">
      <c r="A312" s="22" t="s">
        <v>1028</v>
      </c>
      <c r="B312" s="5" t="s">
        <v>1029</v>
      </c>
      <c r="C312" s="23" t="n">
        <v>637</v>
      </c>
      <c r="D312" s="5" t="s">
        <v>103</v>
      </c>
      <c r="E312" s="5" t="s">
        <v>120</v>
      </c>
      <c r="F312" s="24" t="s">
        <v>1030</v>
      </c>
      <c r="G312" s="5" t="s">
        <v>172</v>
      </c>
      <c r="H312" s="25" t="n">
        <v>409</v>
      </c>
      <c r="I312" s="5" t="s">
        <v>107</v>
      </c>
      <c r="J312" s="24" t="s">
        <v>173</v>
      </c>
      <c r="K312" s="24" t="s">
        <v>109</v>
      </c>
      <c r="L312" s="26" t="s">
        <v>110</v>
      </c>
    </row>
    <row r="313" customFormat="false" ht="15" hidden="false" customHeight="false" outlineLevel="0" collapsed="false">
      <c r="A313" s="27" t="s">
        <v>1031</v>
      </c>
      <c r="B313" s="28" t="s">
        <v>1032</v>
      </c>
      <c r="C313" s="33" t="n">
        <v>6144</v>
      </c>
      <c r="D313" s="28" t="s">
        <v>103</v>
      </c>
      <c r="E313" s="28" t="s">
        <v>120</v>
      </c>
      <c r="F313" s="30" t="s">
        <v>1033</v>
      </c>
      <c r="G313" s="28" t="s">
        <v>172</v>
      </c>
      <c r="H313" s="31" t="n">
        <v>362</v>
      </c>
      <c r="I313" s="28" t="s">
        <v>107</v>
      </c>
      <c r="J313" s="30" t="s">
        <v>173</v>
      </c>
      <c r="K313" s="30" t="s">
        <v>109</v>
      </c>
      <c r="L313" s="32" t="s">
        <v>110</v>
      </c>
    </row>
    <row r="314" customFormat="false" ht="15" hidden="false" customHeight="false" outlineLevel="0" collapsed="false">
      <c r="A314" s="22" t="s">
        <v>1034</v>
      </c>
      <c r="B314" s="5" t="s">
        <v>1032</v>
      </c>
      <c r="C314" s="23" t="n">
        <v>5818</v>
      </c>
      <c r="D314" s="5" t="s">
        <v>103</v>
      </c>
      <c r="E314" s="5" t="s">
        <v>160</v>
      </c>
      <c r="F314" s="24" t="s">
        <v>1035</v>
      </c>
      <c r="G314" s="5" t="s">
        <v>172</v>
      </c>
      <c r="H314" s="25" t="n">
        <v>362</v>
      </c>
      <c r="I314" s="5" t="s">
        <v>107</v>
      </c>
      <c r="J314" s="24" t="s">
        <v>173</v>
      </c>
      <c r="K314" s="24" t="s">
        <v>109</v>
      </c>
      <c r="L314" s="26" t="s">
        <v>110</v>
      </c>
    </row>
    <row r="315" customFormat="false" ht="15" hidden="false" customHeight="false" outlineLevel="0" collapsed="false">
      <c r="A315" s="27" t="s">
        <v>1036</v>
      </c>
      <c r="B315" s="28" t="s">
        <v>1037</v>
      </c>
      <c r="C315" s="33" t="n">
        <v>-120</v>
      </c>
      <c r="D315" s="28" t="s">
        <v>103</v>
      </c>
      <c r="E315" s="28" t="s">
        <v>120</v>
      </c>
      <c r="F315" s="30" t="s">
        <v>1038</v>
      </c>
      <c r="G315" s="28" t="s">
        <v>172</v>
      </c>
      <c r="H315" s="31" t="n">
        <v>362</v>
      </c>
      <c r="I315" s="28" t="s">
        <v>127</v>
      </c>
      <c r="J315" s="30" t="s">
        <v>173</v>
      </c>
      <c r="K315" s="30" t="s">
        <v>109</v>
      </c>
      <c r="L315" s="32" t="s">
        <v>110</v>
      </c>
    </row>
    <row r="316" customFormat="false" ht="15" hidden="false" customHeight="false" outlineLevel="0" collapsed="false">
      <c r="A316" s="22" t="s">
        <v>1039</v>
      </c>
      <c r="B316" s="5" t="s">
        <v>1037</v>
      </c>
      <c r="C316" s="23" t="n">
        <v>75</v>
      </c>
      <c r="D316" s="5" t="s">
        <v>103</v>
      </c>
      <c r="E316" s="5" t="s">
        <v>160</v>
      </c>
      <c r="F316" s="24" t="s">
        <v>456</v>
      </c>
      <c r="G316" s="5" t="s">
        <v>172</v>
      </c>
      <c r="H316" s="25" t="n">
        <v>362</v>
      </c>
      <c r="I316" s="5" t="s">
        <v>127</v>
      </c>
      <c r="J316" s="24" t="s">
        <v>173</v>
      </c>
      <c r="K316" s="24" t="s">
        <v>109</v>
      </c>
      <c r="L316" s="26" t="s">
        <v>110</v>
      </c>
    </row>
    <row r="317" customFormat="false" ht="15" hidden="false" customHeight="false" outlineLevel="0" collapsed="false">
      <c r="A317" s="27" t="s">
        <v>1040</v>
      </c>
      <c r="B317" s="28" t="s">
        <v>1041</v>
      </c>
      <c r="C317" s="33" t="n">
        <v>-278</v>
      </c>
      <c r="D317" s="28" t="s">
        <v>103</v>
      </c>
      <c r="E317" s="28" t="s">
        <v>120</v>
      </c>
      <c r="F317" s="30" t="s">
        <v>1042</v>
      </c>
      <c r="G317" s="28" t="s">
        <v>172</v>
      </c>
      <c r="H317" s="31" t="n">
        <v>362</v>
      </c>
      <c r="I317" s="28" t="s">
        <v>127</v>
      </c>
      <c r="J317" s="30" t="s">
        <v>173</v>
      </c>
      <c r="K317" s="30" t="s">
        <v>109</v>
      </c>
      <c r="L317" s="32" t="s">
        <v>110</v>
      </c>
    </row>
    <row r="318" customFormat="false" ht="15" hidden="false" customHeight="false" outlineLevel="0" collapsed="false">
      <c r="A318" s="22" t="s">
        <v>1043</v>
      </c>
      <c r="B318" s="5" t="s">
        <v>1041</v>
      </c>
      <c r="C318" s="23" t="n">
        <v>-270</v>
      </c>
      <c r="D318" s="5" t="s">
        <v>103</v>
      </c>
      <c r="E318" s="5" t="s">
        <v>160</v>
      </c>
      <c r="F318" s="24" t="s">
        <v>1044</v>
      </c>
      <c r="G318" s="5" t="s">
        <v>172</v>
      </c>
      <c r="H318" s="25" t="n">
        <v>362</v>
      </c>
      <c r="I318" s="5" t="s">
        <v>127</v>
      </c>
      <c r="J318" s="24" t="s">
        <v>173</v>
      </c>
      <c r="K318" s="24" t="s">
        <v>109</v>
      </c>
      <c r="L318" s="26" t="s">
        <v>110</v>
      </c>
    </row>
    <row r="319" customFormat="false" ht="15" hidden="false" customHeight="false" outlineLevel="0" collapsed="false">
      <c r="A319" s="27" t="s">
        <v>1045</v>
      </c>
      <c r="B319" s="28" t="s">
        <v>1046</v>
      </c>
      <c r="C319" s="33" t="n">
        <v>-596</v>
      </c>
      <c r="D319" s="28" t="s">
        <v>103</v>
      </c>
      <c r="E319" s="28" t="s">
        <v>120</v>
      </c>
      <c r="F319" s="30" t="s">
        <v>1047</v>
      </c>
      <c r="G319" s="28" t="s">
        <v>172</v>
      </c>
      <c r="H319" s="31" t="n">
        <v>362</v>
      </c>
      <c r="I319" s="28" t="s">
        <v>107</v>
      </c>
      <c r="J319" s="30" t="s">
        <v>173</v>
      </c>
      <c r="K319" s="30" t="s">
        <v>109</v>
      </c>
      <c r="L319" s="32" t="s">
        <v>110</v>
      </c>
    </row>
    <row r="320" customFormat="false" ht="15" hidden="false" customHeight="false" outlineLevel="0" collapsed="false">
      <c r="A320" s="22" t="s">
        <v>1048</v>
      </c>
      <c r="B320" s="5" t="s">
        <v>1046</v>
      </c>
      <c r="C320" s="23" t="n">
        <v>-579</v>
      </c>
      <c r="D320" s="5" t="s">
        <v>103</v>
      </c>
      <c r="E320" s="5" t="s">
        <v>160</v>
      </c>
      <c r="F320" s="24" t="s">
        <v>1049</v>
      </c>
      <c r="G320" s="5" t="s">
        <v>172</v>
      </c>
      <c r="H320" s="25" t="n">
        <v>362</v>
      </c>
      <c r="I320" s="5" t="s">
        <v>107</v>
      </c>
      <c r="J320" s="24" t="s">
        <v>173</v>
      </c>
      <c r="K320" s="24" t="s">
        <v>109</v>
      </c>
      <c r="L320" s="26" t="s">
        <v>110</v>
      </c>
    </row>
    <row r="321" customFormat="false" ht="15" hidden="false" customHeight="false" outlineLevel="0" collapsed="false">
      <c r="A321" s="27" t="s">
        <v>1050</v>
      </c>
      <c r="B321" s="28" t="s">
        <v>1051</v>
      </c>
      <c r="C321" s="33" t="n">
        <v>5153</v>
      </c>
      <c r="D321" s="28" t="s">
        <v>103</v>
      </c>
      <c r="E321" s="28" t="s">
        <v>120</v>
      </c>
      <c r="F321" s="30" t="s">
        <v>1052</v>
      </c>
      <c r="G321" s="28" t="s">
        <v>172</v>
      </c>
      <c r="H321" s="31" t="n">
        <v>362</v>
      </c>
      <c r="I321" s="28" t="s">
        <v>127</v>
      </c>
      <c r="J321" s="30" t="s">
        <v>173</v>
      </c>
      <c r="K321" s="30" t="s">
        <v>109</v>
      </c>
      <c r="L321" s="32" t="s">
        <v>110</v>
      </c>
    </row>
    <row r="322" customFormat="false" ht="15" hidden="false" customHeight="false" outlineLevel="0" collapsed="false">
      <c r="A322" s="22" t="s">
        <v>1053</v>
      </c>
      <c r="B322" s="5" t="s">
        <v>1051</v>
      </c>
      <c r="C322" s="23" t="n">
        <v>5038</v>
      </c>
      <c r="D322" s="5" t="s">
        <v>103</v>
      </c>
      <c r="E322" s="5" t="s">
        <v>160</v>
      </c>
      <c r="F322" s="24" t="s">
        <v>1054</v>
      </c>
      <c r="G322" s="5" t="s">
        <v>172</v>
      </c>
      <c r="H322" s="25" t="n">
        <v>362</v>
      </c>
      <c r="I322" s="5" t="s">
        <v>127</v>
      </c>
      <c r="J322" s="24" t="s">
        <v>173</v>
      </c>
      <c r="K322" s="24" t="s">
        <v>109</v>
      </c>
      <c r="L322" s="26" t="s">
        <v>110</v>
      </c>
    </row>
    <row r="323" customFormat="false" ht="15" hidden="false" customHeight="false" outlineLevel="0" collapsed="false">
      <c r="A323" s="27" t="s">
        <v>1055</v>
      </c>
      <c r="B323" s="28" t="s">
        <v>1056</v>
      </c>
      <c r="C323" s="33" t="n">
        <v>-3056</v>
      </c>
      <c r="D323" s="28" t="s">
        <v>103</v>
      </c>
      <c r="E323" s="28" t="s">
        <v>120</v>
      </c>
      <c r="F323" s="30" t="s">
        <v>1057</v>
      </c>
      <c r="G323" s="28" t="s">
        <v>172</v>
      </c>
      <c r="H323" s="31" t="n">
        <v>362</v>
      </c>
      <c r="I323" s="28" t="s">
        <v>127</v>
      </c>
      <c r="J323" s="30" t="s">
        <v>173</v>
      </c>
      <c r="K323" s="30" t="s">
        <v>109</v>
      </c>
      <c r="L323" s="32" t="s">
        <v>110</v>
      </c>
    </row>
    <row r="324" customFormat="false" ht="15" hidden="false" customHeight="false" outlineLevel="0" collapsed="false">
      <c r="A324" s="22" t="s">
        <v>1058</v>
      </c>
      <c r="B324" s="5" t="s">
        <v>1059</v>
      </c>
      <c r="C324" s="23" t="n">
        <v>227</v>
      </c>
      <c r="D324" s="5" t="s">
        <v>103</v>
      </c>
      <c r="E324" s="5" t="s">
        <v>160</v>
      </c>
      <c r="F324" s="24" t="s">
        <v>1060</v>
      </c>
      <c r="G324" s="5" t="s">
        <v>172</v>
      </c>
      <c r="H324" s="25" t="n">
        <v>362</v>
      </c>
      <c r="I324" s="5" t="s">
        <v>107</v>
      </c>
      <c r="J324" s="24" t="s">
        <v>173</v>
      </c>
      <c r="K324" s="24" t="s">
        <v>109</v>
      </c>
      <c r="L324" s="26" t="s">
        <v>110</v>
      </c>
    </row>
    <row r="325" customFormat="false" ht="15" hidden="false" customHeight="false" outlineLevel="0" collapsed="false">
      <c r="A325" s="27" t="s">
        <v>1061</v>
      </c>
      <c r="B325" s="28" t="s">
        <v>1062</v>
      </c>
      <c r="C325" s="33" t="n">
        <v>105</v>
      </c>
      <c r="D325" s="28" t="s">
        <v>103</v>
      </c>
      <c r="E325" s="28" t="s">
        <v>120</v>
      </c>
      <c r="F325" s="30" t="s">
        <v>1063</v>
      </c>
      <c r="G325" s="28" t="s">
        <v>172</v>
      </c>
      <c r="H325" s="31" t="n">
        <v>362</v>
      </c>
      <c r="I325" s="28" t="s">
        <v>107</v>
      </c>
      <c r="J325" s="30" t="s">
        <v>173</v>
      </c>
      <c r="K325" s="30" t="s">
        <v>109</v>
      </c>
      <c r="L325" s="32" t="s">
        <v>110</v>
      </c>
    </row>
    <row r="326" customFormat="false" ht="15" hidden="false" customHeight="false" outlineLevel="0" collapsed="false">
      <c r="A326" s="22" t="s">
        <v>1064</v>
      </c>
      <c r="B326" s="5" t="s">
        <v>1062</v>
      </c>
      <c r="C326" s="23" t="n">
        <v>123</v>
      </c>
      <c r="D326" s="5" t="s">
        <v>103</v>
      </c>
      <c r="E326" s="5" t="s">
        <v>160</v>
      </c>
      <c r="F326" s="24" t="s">
        <v>1065</v>
      </c>
      <c r="G326" s="5" t="s">
        <v>172</v>
      </c>
      <c r="H326" s="25" t="n">
        <v>362</v>
      </c>
      <c r="I326" s="5" t="s">
        <v>107</v>
      </c>
      <c r="J326" s="24" t="s">
        <v>173</v>
      </c>
      <c r="K326" s="24" t="s">
        <v>109</v>
      </c>
      <c r="L326" s="26" t="s">
        <v>110</v>
      </c>
    </row>
    <row r="327" customFormat="false" ht="15" hidden="false" customHeight="false" outlineLevel="0" collapsed="false">
      <c r="A327" s="27" t="s">
        <v>1066</v>
      </c>
      <c r="B327" s="28" t="s">
        <v>1067</v>
      </c>
      <c r="C327" s="33" t="n">
        <v>-3296</v>
      </c>
      <c r="D327" s="28" t="s">
        <v>103</v>
      </c>
      <c r="E327" s="28" t="s">
        <v>120</v>
      </c>
      <c r="F327" s="30" t="s">
        <v>1068</v>
      </c>
      <c r="G327" s="28" t="s">
        <v>172</v>
      </c>
      <c r="H327" s="31" t="n">
        <v>362</v>
      </c>
      <c r="I327" s="28" t="s">
        <v>127</v>
      </c>
      <c r="J327" s="30" t="s">
        <v>173</v>
      </c>
      <c r="K327" s="30" t="s">
        <v>109</v>
      </c>
      <c r="L327" s="32" t="s">
        <v>110</v>
      </c>
    </row>
    <row r="328" customFormat="false" ht="15" hidden="false" customHeight="false" outlineLevel="0" collapsed="false">
      <c r="A328" s="22" t="s">
        <v>1069</v>
      </c>
      <c r="B328" s="5" t="s">
        <v>1067</v>
      </c>
      <c r="C328" s="23" t="n">
        <v>-2115</v>
      </c>
      <c r="D328" s="5" t="s">
        <v>103</v>
      </c>
      <c r="E328" s="5" t="s">
        <v>160</v>
      </c>
      <c r="F328" s="24" t="s">
        <v>1070</v>
      </c>
      <c r="G328" s="5" t="s">
        <v>172</v>
      </c>
      <c r="H328" s="25" t="n">
        <v>362</v>
      </c>
      <c r="I328" s="5" t="s">
        <v>127</v>
      </c>
      <c r="J328" s="24" t="s">
        <v>173</v>
      </c>
      <c r="K328" s="24" t="s">
        <v>109</v>
      </c>
      <c r="L328" s="26" t="s">
        <v>110</v>
      </c>
    </row>
    <row r="329" customFormat="false" ht="15" hidden="false" customHeight="false" outlineLevel="0" collapsed="false">
      <c r="A329" s="27" t="s">
        <v>1071</v>
      </c>
      <c r="B329" s="28" t="s">
        <v>1072</v>
      </c>
      <c r="C329" s="33" t="n">
        <v>654</v>
      </c>
      <c r="D329" s="28" t="s">
        <v>103</v>
      </c>
      <c r="E329" s="28" t="s">
        <v>120</v>
      </c>
      <c r="F329" s="30" t="s">
        <v>1073</v>
      </c>
      <c r="G329" s="28" t="s">
        <v>172</v>
      </c>
      <c r="H329" s="31" t="n">
        <v>362</v>
      </c>
      <c r="I329" s="28" t="s">
        <v>107</v>
      </c>
      <c r="J329" s="30" t="s">
        <v>173</v>
      </c>
      <c r="K329" s="30" t="s">
        <v>109</v>
      </c>
      <c r="L329" s="32" t="s">
        <v>110</v>
      </c>
    </row>
    <row r="330" customFormat="false" ht="15" hidden="false" customHeight="false" outlineLevel="0" collapsed="false">
      <c r="A330" s="22" t="s">
        <v>1074</v>
      </c>
      <c r="B330" s="5" t="s">
        <v>1072</v>
      </c>
      <c r="C330" s="23" t="n">
        <v>590</v>
      </c>
      <c r="D330" s="5" t="s">
        <v>103</v>
      </c>
      <c r="E330" s="5" t="s">
        <v>160</v>
      </c>
      <c r="F330" s="24" t="s">
        <v>1075</v>
      </c>
      <c r="G330" s="5" t="s">
        <v>172</v>
      </c>
      <c r="H330" s="25" t="n">
        <v>362</v>
      </c>
      <c r="I330" s="5" t="s">
        <v>107</v>
      </c>
      <c r="J330" s="24" t="s">
        <v>173</v>
      </c>
      <c r="K330" s="24" t="s">
        <v>109</v>
      </c>
      <c r="L330" s="26" t="s">
        <v>110</v>
      </c>
    </row>
    <row r="331" customFormat="false" ht="15" hidden="false" customHeight="false" outlineLevel="0" collapsed="false">
      <c r="A331" s="27" t="s">
        <v>1076</v>
      </c>
      <c r="B331" s="28" t="s">
        <v>1077</v>
      </c>
      <c r="C331" s="33" t="n">
        <v>587</v>
      </c>
      <c r="D331" s="28" t="s">
        <v>103</v>
      </c>
      <c r="E331" s="28" t="s">
        <v>120</v>
      </c>
      <c r="F331" s="30" t="s">
        <v>1078</v>
      </c>
      <c r="G331" s="28" t="s">
        <v>172</v>
      </c>
      <c r="H331" s="31" t="n">
        <v>362</v>
      </c>
      <c r="I331" s="28" t="s">
        <v>107</v>
      </c>
      <c r="J331" s="30" t="s">
        <v>173</v>
      </c>
      <c r="K331" s="30" t="s">
        <v>109</v>
      </c>
      <c r="L331" s="32" t="s">
        <v>110</v>
      </c>
    </row>
    <row r="332" customFormat="false" ht="15" hidden="false" customHeight="false" outlineLevel="0" collapsed="false">
      <c r="A332" s="22" t="s">
        <v>1079</v>
      </c>
      <c r="B332" s="5" t="s">
        <v>1077</v>
      </c>
      <c r="C332" s="23" t="n">
        <v>566</v>
      </c>
      <c r="D332" s="5" t="s">
        <v>103</v>
      </c>
      <c r="E332" s="5" t="s">
        <v>160</v>
      </c>
      <c r="F332" s="24" t="s">
        <v>1080</v>
      </c>
      <c r="G332" s="5" t="s">
        <v>172</v>
      </c>
      <c r="H332" s="25" t="n">
        <v>362</v>
      </c>
      <c r="I332" s="5" t="s">
        <v>107</v>
      </c>
      <c r="J332" s="24" t="s">
        <v>173</v>
      </c>
      <c r="K332" s="24" t="s">
        <v>109</v>
      </c>
      <c r="L332" s="26" t="s">
        <v>110</v>
      </c>
    </row>
    <row r="333" customFormat="false" ht="15" hidden="false" customHeight="false" outlineLevel="0" collapsed="false">
      <c r="A333" s="27" t="s">
        <v>1081</v>
      </c>
      <c r="B333" s="28" t="s">
        <v>1082</v>
      </c>
      <c r="C333" s="33" t="n">
        <v>-619</v>
      </c>
      <c r="D333" s="28" t="s">
        <v>103</v>
      </c>
      <c r="E333" s="28" t="s">
        <v>120</v>
      </c>
      <c r="F333" s="30" t="s">
        <v>1083</v>
      </c>
      <c r="G333" s="28" t="s">
        <v>172</v>
      </c>
      <c r="H333" s="31" t="n">
        <v>363</v>
      </c>
      <c r="I333" s="28" t="s">
        <v>107</v>
      </c>
      <c r="J333" s="30" t="s">
        <v>173</v>
      </c>
      <c r="K333" s="30" t="s">
        <v>109</v>
      </c>
      <c r="L333" s="32" t="s">
        <v>110</v>
      </c>
    </row>
    <row r="334" customFormat="false" ht="15" hidden="false" customHeight="false" outlineLevel="0" collapsed="false">
      <c r="A334" s="22" t="s">
        <v>1084</v>
      </c>
      <c r="B334" s="5" t="s">
        <v>1082</v>
      </c>
      <c r="C334" s="23" t="n">
        <v>-585</v>
      </c>
      <c r="D334" s="5" t="s">
        <v>103</v>
      </c>
      <c r="E334" s="5" t="s">
        <v>160</v>
      </c>
      <c r="F334" s="24" t="s">
        <v>1085</v>
      </c>
      <c r="G334" s="5" t="s">
        <v>172</v>
      </c>
      <c r="H334" s="25" t="n">
        <v>363</v>
      </c>
      <c r="I334" s="5" t="s">
        <v>107</v>
      </c>
      <c r="J334" s="24" t="s">
        <v>173</v>
      </c>
      <c r="K334" s="24" t="s">
        <v>109</v>
      </c>
      <c r="L334" s="26" t="s">
        <v>110</v>
      </c>
    </row>
    <row r="335" customFormat="false" ht="15" hidden="false" customHeight="false" outlineLevel="0" collapsed="false">
      <c r="A335" s="27" t="s">
        <v>1086</v>
      </c>
      <c r="B335" s="28" t="s">
        <v>1087</v>
      </c>
      <c r="C335" s="33" t="n">
        <v>-78</v>
      </c>
      <c r="D335" s="28" t="s">
        <v>103</v>
      </c>
      <c r="E335" s="28" t="s">
        <v>120</v>
      </c>
      <c r="F335" s="30" t="s">
        <v>1088</v>
      </c>
      <c r="G335" s="28" t="s">
        <v>172</v>
      </c>
      <c r="H335" s="31" t="n">
        <v>363</v>
      </c>
      <c r="I335" s="28" t="s">
        <v>107</v>
      </c>
      <c r="J335" s="30" t="s">
        <v>173</v>
      </c>
      <c r="K335" s="30" t="s">
        <v>109</v>
      </c>
      <c r="L335" s="32" t="s">
        <v>110</v>
      </c>
    </row>
    <row r="336" customFormat="false" ht="15" hidden="false" customHeight="false" outlineLevel="0" collapsed="false">
      <c r="A336" s="22" t="s">
        <v>1089</v>
      </c>
      <c r="B336" s="5" t="s">
        <v>1087</v>
      </c>
      <c r="C336" s="23" t="n">
        <v>-86</v>
      </c>
      <c r="D336" s="5" t="s">
        <v>103</v>
      </c>
      <c r="E336" s="5" t="s">
        <v>160</v>
      </c>
      <c r="F336" s="24" t="s">
        <v>1090</v>
      </c>
      <c r="G336" s="5" t="s">
        <v>172</v>
      </c>
      <c r="H336" s="25" t="n">
        <v>363</v>
      </c>
      <c r="I336" s="5" t="s">
        <v>107</v>
      </c>
      <c r="J336" s="24" t="s">
        <v>173</v>
      </c>
      <c r="K336" s="24" t="s">
        <v>109</v>
      </c>
      <c r="L336" s="26" t="s">
        <v>110</v>
      </c>
    </row>
    <row r="337" customFormat="false" ht="15" hidden="false" customHeight="false" outlineLevel="0" collapsed="false">
      <c r="A337" s="27" t="s">
        <v>1091</v>
      </c>
      <c r="B337" s="28" t="s">
        <v>1092</v>
      </c>
      <c r="C337" s="33" t="n">
        <v>-67</v>
      </c>
      <c r="D337" s="28" t="s">
        <v>103</v>
      </c>
      <c r="E337" s="28" t="s">
        <v>120</v>
      </c>
      <c r="F337" s="30" t="s">
        <v>1093</v>
      </c>
      <c r="G337" s="28" t="s">
        <v>172</v>
      </c>
      <c r="H337" s="31" t="n">
        <v>363</v>
      </c>
      <c r="I337" s="28" t="s">
        <v>107</v>
      </c>
      <c r="J337" s="30" t="s">
        <v>173</v>
      </c>
      <c r="K337" s="30" t="s">
        <v>109</v>
      </c>
      <c r="L337" s="32" t="s">
        <v>110</v>
      </c>
    </row>
    <row r="338" customFormat="false" ht="15" hidden="false" customHeight="false" outlineLevel="0" collapsed="false">
      <c r="A338" s="22" t="s">
        <v>1094</v>
      </c>
      <c r="B338" s="5" t="s">
        <v>1092</v>
      </c>
      <c r="C338" s="23" t="n">
        <v>-66</v>
      </c>
      <c r="D338" s="5" t="s">
        <v>103</v>
      </c>
      <c r="E338" s="5" t="s">
        <v>160</v>
      </c>
      <c r="F338" s="24" t="s">
        <v>1095</v>
      </c>
      <c r="G338" s="5" t="s">
        <v>172</v>
      </c>
      <c r="H338" s="25" t="n">
        <v>363</v>
      </c>
      <c r="I338" s="5" t="s">
        <v>107</v>
      </c>
      <c r="J338" s="24" t="s">
        <v>173</v>
      </c>
      <c r="K338" s="24" t="s">
        <v>109</v>
      </c>
      <c r="L338" s="26" t="s">
        <v>110</v>
      </c>
    </row>
    <row r="339" customFormat="false" ht="15" hidden="false" customHeight="false" outlineLevel="0" collapsed="false">
      <c r="A339" s="27" t="s">
        <v>1096</v>
      </c>
      <c r="B339" s="28" t="s">
        <v>1097</v>
      </c>
      <c r="C339" s="33" t="n">
        <v>-121</v>
      </c>
      <c r="D339" s="28" t="s">
        <v>103</v>
      </c>
      <c r="E339" s="28" t="s">
        <v>120</v>
      </c>
      <c r="F339" s="30" t="s">
        <v>1098</v>
      </c>
      <c r="G339" s="28" t="s">
        <v>172</v>
      </c>
      <c r="H339" s="31" t="n">
        <v>363</v>
      </c>
      <c r="I339" s="28" t="s">
        <v>107</v>
      </c>
      <c r="J339" s="30" t="s">
        <v>173</v>
      </c>
      <c r="K339" s="30" t="s">
        <v>109</v>
      </c>
      <c r="L339" s="32" t="s">
        <v>110</v>
      </c>
    </row>
    <row r="340" customFormat="false" ht="15" hidden="false" customHeight="false" outlineLevel="0" collapsed="false">
      <c r="A340" s="22" t="s">
        <v>1099</v>
      </c>
      <c r="B340" s="5" t="s">
        <v>1097</v>
      </c>
      <c r="C340" s="23" t="n">
        <v>-81</v>
      </c>
      <c r="D340" s="5" t="s">
        <v>103</v>
      </c>
      <c r="E340" s="5" t="s">
        <v>160</v>
      </c>
      <c r="F340" s="24" t="s">
        <v>1100</v>
      </c>
      <c r="G340" s="5" t="s">
        <v>172</v>
      </c>
      <c r="H340" s="25" t="n">
        <v>363</v>
      </c>
      <c r="I340" s="5" t="s">
        <v>107</v>
      </c>
      <c r="J340" s="24" t="s">
        <v>173</v>
      </c>
      <c r="K340" s="24" t="s">
        <v>109</v>
      </c>
      <c r="L340" s="26" t="s">
        <v>110</v>
      </c>
    </row>
    <row r="341" customFormat="false" ht="15" hidden="false" customHeight="false" outlineLevel="0" collapsed="false">
      <c r="A341" s="27" t="s">
        <v>1101</v>
      </c>
      <c r="B341" s="28" t="s">
        <v>1102</v>
      </c>
      <c r="C341" s="33" t="n">
        <v>-1280</v>
      </c>
      <c r="D341" s="28" t="s">
        <v>103</v>
      </c>
      <c r="E341" s="28" t="s">
        <v>120</v>
      </c>
      <c r="F341" s="30" t="s">
        <v>1103</v>
      </c>
      <c r="G341" s="28" t="s">
        <v>172</v>
      </c>
      <c r="H341" s="31" t="n">
        <v>363</v>
      </c>
      <c r="I341" s="28" t="s">
        <v>127</v>
      </c>
      <c r="J341" s="30" t="s">
        <v>173</v>
      </c>
      <c r="K341" s="30" t="s">
        <v>109</v>
      </c>
      <c r="L341" s="32" t="s">
        <v>110</v>
      </c>
    </row>
    <row r="342" customFormat="false" ht="15" hidden="false" customHeight="false" outlineLevel="0" collapsed="false">
      <c r="A342" s="22" t="s">
        <v>1104</v>
      </c>
      <c r="B342" s="5" t="s">
        <v>1102</v>
      </c>
      <c r="C342" s="23" t="n">
        <v>-1218</v>
      </c>
      <c r="D342" s="5" t="s">
        <v>103</v>
      </c>
      <c r="E342" s="5" t="s">
        <v>160</v>
      </c>
      <c r="F342" s="24" t="s">
        <v>1105</v>
      </c>
      <c r="G342" s="5" t="s">
        <v>172</v>
      </c>
      <c r="H342" s="25" t="n">
        <v>363</v>
      </c>
      <c r="I342" s="5" t="s">
        <v>127</v>
      </c>
      <c r="J342" s="24" t="s">
        <v>173</v>
      </c>
      <c r="K342" s="24" t="s">
        <v>109</v>
      </c>
      <c r="L342" s="26" t="s">
        <v>110</v>
      </c>
    </row>
    <row r="343" customFormat="false" ht="15" hidden="false" customHeight="false" outlineLevel="0" collapsed="false">
      <c r="A343" s="27" t="s">
        <v>1106</v>
      </c>
      <c r="B343" s="28" t="s">
        <v>1107</v>
      </c>
      <c r="C343" s="33" t="n">
        <v>-506</v>
      </c>
      <c r="D343" s="28" t="s">
        <v>103</v>
      </c>
      <c r="E343" s="28" t="s">
        <v>120</v>
      </c>
      <c r="F343" s="30" t="s">
        <v>1108</v>
      </c>
      <c r="G343" s="28" t="s">
        <v>172</v>
      </c>
      <c r="H343" s="31" t="n">
        <v>363</v>
      </c>
      <c r="I343" s="28" t="s">
        <v>107</v>
      </c>
      <c r="J343" s="30" t="s">
        <v>173</v>
      </c>
      <c r="K343" s="30" t="s">
        <v>109</v>
      </c>
      <c r="L343" s="32" t="s">
        <v>110</v>
      </c>
    </row>
    <row r="344" customFormat="false" ht="15" hidden="false" customHeight="false" outlineLevel="0" collapsed="false">
      <c r="A344" s="22" t="s">
        <v>1109</v>
      </c>
      <c r="B344" s="5" t="s">
        <v>1107</v>
      </c>
      <c r="C344" s="23" t="n">
        <v>-541</v>
      </c>
      <c r="D344" s="5" t="s">
        <v>103</v>
      </c>
      <c r="E344" s="5" t="s">
        <v>160</v>
      </c>
      <c r="F344" s="24" t="s">
        <v>1110</v>
      </c>
      <c r="G344" s="5" t="s">
        <v>172</v>
      </c>
      <c r="H344" s="25" t="n">
        <v>363</v>
      </c>
      <c r="I344" s="5" t="s">
        <v>107</v>
      </c>
      <c r="J344" s="24" t="s">
        <v>173</v>
      </c>
      <c r="K344" s="24" t="s">
        <v>109</v>
      </c>
      <c r="L344" s="26" t="s">
        <v>110</v>
      </c>
    </row>
    <row r="345" customFormat="false" ht="15" hidden="false" customHeight="false" outlineLevel="0" collapsed="false">
      <c r="A345" s="27" t="s">
        <v>1111</v>
      </c>
      <c r="B345" s="28" t="s">
        <v>1112</v>
      </c>
      <c r="C345" s="33" t="n">
        <v>2766</v>
      </c>
      <c r="D345" s="28" t="s">
        <v>103</v>
      </c>
      <c r="E345" s="28" t="s">
        <v>120</v>
      </c>
      <c r="F345" s="30" t="s">
        <v>1113</v>
      </c>
      <c r="G345" s="28" t="s">
        <v>172</v>
      </c>
      <c r="H345" s="31" t="n">
        <v>363</v>
      </c>
      <c r="I345" s="28" t="s">
        <v>107</v>
      </c>
      <c r="J345" s="30" t="s">
        <v>173</v>
      </c>
      <c r="K345" s="30" t="s">
        <v>109</v>
      </c>
      <c r="L345" s="32" t="s">
        <v>110</v>
      </c>
    </row>
    <row r="346" customFormat="false" ht="15" hidden="false" customHeight="false" outlineLevel="0" collapsed="false">
      <c r="A346" s="22" t="s">
        <v>1114</v>
      </c>
      <c r="B346" s="5" t="s">
        <v>1112</v>
      </c>
      <c r="C346" s="23" t="n">
        <v>1462</v>
      </c>
      <c r="D346" s="5" t="s">
        <v>103</v>
      </c>
      <c r="E346" s="5" t="s">
        <v>160</v>
      </c>
      <c r="F346" s="24" t="s">
        <v>1115</v>
      </c>
      <c r="G346" s="5" t="s">
        <v>172</v>
      </c>
      <c r="H346" s="25" t="n">
        <v>363</v>
      </c>
      <c r="I346" s="5" t="s">
        <v>107</v>
      </c>
      <c r="J346" s="24" t="s">
        <v>173</v>
      </c>
      <c r="K346" s="24" t="s">
        <v>109</v>
      </c>
      <c r="L346" s="26" t="s">
        <v>110</v>
      </c>
    </row>
    <row r="347" customFormat="false" ht="15" hidden="false" customHeight="false" outlineLevel="0" collapsed="false">
      <c r="A347" s="27" t="s">
        <v>1116</v>
      </c>
      <c r="B347" s="28" t="s">
        <v>1117</v>
      </c>
      <c r="C347" s="33" t="n">
        <v>-186</v>
      </c>
      <c r="D347" s="28" t="s">
        <v>103</v>
      </c>
      <c r="E347" s="28" t="s">
        <v>120</v>
      </c>
      <c r="F347" s="30" t="s">
        <v>1118</v>
      </c>
      <c r="G347" s="28" t="s">
        <v>172</v>
      </c>
      <c r="H347" s="31" t="n">
        <v>363</v>
      </c>
      <c r="I347" s="28" t="s">
        <v>107</v>
      </c>
      <c r="J347" s="30" t="s">
        <v>173</v>
      </c>
      <c r="K347" s="30" t="s">
        <v>109</v>
      </c>
      <c r="L347" s="32" t="s">
        <v>110</v>
      </c>
    </row>
    <row r="348" customFormat="false" ht="15" hidden="false" customHeight="false" outlineLevel="0" collapsed="false">
      <c r="A348" s="22" t="s">
        <v>1119</v>
      </c>
      <c r="B348" s="5" t="s">
        <v>1117</v>
      </c>
      <c r="C348" s="23" t="n">
        <v>-619</v>
      </c>
      <c r="D348" s="5" t="s">
        <v>103</v>
      </c>
      <c r="E348" s="5" t="s">
        <v>160</v>
      </c>
      <c r="F348" s="24" t="s">
        <v>1083</v>
      </c>
      <c r="G348" s="5" t="s">
        <v>172</v>
      </c>
      <c r="H348" s="25" t="n">
        <v>363</v>
      </c>
      <c r="I348" s="5" t="s">
        <v>107</v>
      </c>
      <c r="J348" s="24" t="s">
        <v>173</v>
      </c>
      <c r="K348" s="24" t="s">
        <v>109</v>
      </c>
      <c r="L348" s="26" t="s">
        <v>110</v>
      </c>
    </row>
    <row r="349" customFormat="false" ht="15" hidden="false" customHeight="false" outlineLevel="0" collapsed="false">
      <c r="A349" s="27" t="s">
        <v>1120</v>
      </c>
      <c r="B349" s="28" t="s">
        <v>1121</v>
      </c>
      <c r="C349" s="33" t="n">
        <v>-2170</v>
      </c>
      <c r="D349" s="28" t="s">
        <v>103</v>
      </c>
      <c r="E349" s="28" t="s">
        <v>120</v>
      </c>
      <c r="F349" s="30" t="s">
        <v>1122</v>
      </c>
      <c r="G349" s="28" t="s">
        <v>172</v>
      </c>
      <c r="H349" s="31" t="n">
        <v>363</v>
      </c>
      <c r="I349" s="28" t="s">
        <v>107</v>
      </c>
      <c r="J349" s="30" t="s">
        <v>173</v>
      </c>
      <c r="K349" s="30" t="s">
        <v>109</v>
      </c>
      <c r="L349" s="32" t="s">
        <v>110</v>
      </c>
    </row>
    <row r="350" customFormat="false" ht="15" hidden="false" customHeight="false" outlineLevel="0" collapsed="false">
      <c r="A350" s="22" t="s">
        <v>1123</v>
      </c>
      <c r="B350" s="5" t="s">
        <v>1121</v>
      </c>
      <c r="C350" s="23" t="n">
        <v>-5</v>
      </c>
      <c r="D350" s="5" t="s">
        <v>103</v>
      </c>
      <c r="E350" s="5" t="s">
        <v>160</v>
      </c>
      <c r="F350" s="24" t="s">
        <v>1124</v>
      </c>
      <c r="G350" s="5" t="s">
        <v>172</v>
      </c>
      <c r="H350" s="25" t="n">
        <v>363</v>
      </c>
      <c r="I350" s="5" t="s">
        <v>107</v>
      </c>
      <c r="J350" s="24" t="s">
        <v>173</v>
      </c>
      <c r="K350" s="24" t="s">
        <v>109</v>
      </c>
      <c r="L350" s="26" t="s">
        <v>110</v>
      </c>
    </row>
    <row r="351" customFormat="false" ht="15" hidden="false" customHeight="false" outlineLevel="0" collapsed="false">
      <c r="A351" s="27" t="s">
        <v>1125</v>
      </c>
      <c r="B351" s="28" t="s">
        <v>1126</v>
      </c>
      <c r="C351" s="33" t="n">
        <v>492</v>
      </c>
      <c r="D351" s="28" t="s">
        <v>103</v>
      </c>
      <c r="E351" s="28" t="s">
        <v>120</v>
      </c>
      <c r="F351" s="30" t="s">
        <v>1127</v>
      </c>
      <c r="G351" s="28" t="s">
        <v>172</v>
      </c>
      <c r="H351" s="31" t="n">
        <v>363</v>
      </c>
      <c r="I351" s="28" t="s">
        <v>107</v>
      </c>
      <c r="J351" s="30" t="s">
        <v>173</v>
      </c>
      <c r="K351" s="30" t="s">
        <v>109</v>
      </c>
      <c r="L351" s="32" t="s">
        <v>110</v>
      </c>
    </row>
    <row r="352" customFormat="false" ht="15" hidden="false" customHeight="false" outlineLevel="0" collapsed="false">
      <c r="A352" s="22" t="s">
        <v>1128</v>
      </c>
      <c r="B352" s="5" t="s">
        <v>1126</v>
      </c>
      <c r="C352" s="23" t="n">
        <v>-221</v>
      </c>
      <c r="D352" s="5" t="s">
        <v>103</v>
      </c>
      <c r="E352" s="5" t="s">
        <v>160</v>
      </c>
      <c r="F352" s="24" t="s">
        <v>1129</v>
      </c>
      <c r="G352" s="5" t="s">
        <v>172</v>
      </c>
      <c r="H352" s="25" t="n">
        <v>363</v>
      </c>
      <c r="I352" s="5" t="s">
        <v>107</v>
      </c>
      <c r="J352" s="24" t="s">
        <v>173</v>
      </c>
      <c r="K352" s="24" t="s">
        <v>109</v>
      </c>
      <c r="L352" s="26" t="s">
        <v>110</v>
      </c>
    </row>
    <row r="353" customFormat="false" ht="15" hidden="false" customHeight="false" outlineLevel="0" collapsed="false">
      <c r="A353" s="27" t="s">
        <v>1130</v>
      </c>
      <c r="B353" s="28" t="s">
        <v>1131</v>
      </c>
      <c r="C353" s="33" t="n">
        <v>-402</v>
      </c>
      <c r="D353" s="28" t="s">
        <v>103</v>
      </c>
      <c r="E353" s="28" t="s">
        <v>120</v>
      </c>
      <c r="F353" s="30" t="s">
        <v>344</v>
      </c>
      <c r="G353" s="28" t="s">
        <v>172</v>
      </c>
      <c r="H353" s="31" t="n">
        <v>363</v>
      </c>
      <c r="I353" s="28" t="s">
        <v>127</v>
      </c>
      <c r="J353" s="30" t="s">
        <v>173</v>
      </c>
      <c r="K353" s="30" t="s">
        <v>109</v>
      </c>
      <c r="L353" s="32" t="s">
        <v>110</v>
      </c>
    </row>
    <row r="354" customFormat="false" ht="15" hidden="false" customHeight="false" outlineLevel="0" collapsed="false">
      <c r="A354" s="22" t="s">
        <v>1132</v>
      </c>
      <c r="B354" s="5" t="s">
        <v>1133</v>
      </c>
      <c r="C354" s="23" t="n">
        <v>3043</v>
      </c>
      <c r="D354" s="5" t="s">
        <v>103</v>
      </c>
      <c r="E354" s="5" t="s">
        <v>140</v>
      </c>
      <c r="F354" s="24" t="s">
        <v>1134</v>
      </c>
      <c r="G354" s="5" t="s">
        <v>172</v>
      </c>
      <c r="H354" s="25" t="n">
        <v>421</v>
      </c>
      <c r="I354" s="5" t="s">
        <v>107</v>
      </c>
      <c r="J354" s="24" t="s">
        <v>173</v>
      </c>
      <c r="K354" s="24" t="s">
        <v>109</v>
      </c>
      <c r="L354" s="26" t="s">
        <v>110</v>
      </c>
    </row>
    <row r="355" customFormat="false" ht="15" hidden="false" customHeight="false" outlineLevel="0" collapsed="false">
      <c r="A355" s="27" t="s">
        <v>1135</v>
      </c>
      <c r="B355" s="28" t="s">
        <v>1136</v>
      </c>
      <c r="C355" s="33" t="n">
        <v>2447</v>
      </c>
      <c r="D355" s="28" t="s">
        <v>103</v>
      </c>
      <c r="E355" s="28" t="s">
        <v>140</v>
      </c>
      <c r="F355" s="30" t="s">
        <v>1137</v>
      </c>
      <c r="G355" s="28" t="s">
        <v>172</v>
      </c>
      <c r="H355" s="31" t="n">
        <v>421</v>
      </c>
      <c r="I355" s="28" t="s">
        <v>107</v>
      </c>
      <c r="J355" s="30" t="s">
        <v>173</v>
      </c>
      <c r="K355" s="30" t="s">
        <v>109</v>
      </c>
      <c r="L355" s="32" t="s">
        <v>110</v>
      </c>
    </row>
    <row r="356" customFormat="false" ht="15" hidden="false" customHeight="false" outlineLevel="0" collapsed="false">
      <c r="A356" s="22" t="s">
        <v>1138</v>
      </c>
      <c r="B356" s="5" t="s">
        <v>1139</v>
      </c>
      <c r="C356" s="23" t="n">
        <v>1781</v>
      </c>
      <c r="D356" s="5" t="s">
        <v>103</v>
      </c>
      <c r="E356" s="5" t="s">
        <v>140</v>
      </c>
      <c r="F356" s="24" t="s">
        <v>1140</v>
      </c>
      <c r="G356" s="5" t="s">
        <v>172</v>
      </c>
      <c r="H356" s="25" t="n">
        <v>421</v>
      </c>
      <c r="I356" s="5" t="s">
        <v>107</v>
      </c>
      <c r="J356" s="24" t="s">
        <v>173</v>
      </c>
      <c r="K356" s="24" t="s">
        <v>109</v>
      </c>
      <c r="L356" s="26" t="s">
        <v>110</v>
      </c>
    </row>
    <row r="357" customFormat="false" ht="15" hidden="false" customHeight="false" outlineLevel="0" collapsed="false">
      <c r="A357" s="27" t="s">
        <v>1141</v>
      </c>
      <c r="B357" s="28" t="s">
        <v>1142</v>
      </c>
      <c r="C357" s="33" t="n">
        <v>2006</v>
      </c>
      <c r="D357" s="28" t="s">
        <v>103</v>
      </c>
      <c r="E357" s="28" t="s">
        <v>140</v>
      </c>
      <c r="F357" s="30" t="s">
        <v>1143</v>
      </c>
      <c r="G357" s="28" t="s">
        <v>172</v>
      </c>
      <c r="H357" s="31" t="n">
        <v>421</v>
      </c>
      <c r="I357" s="28" t="s">
        <v>107</v>
      </c>
      <c r="J357" s="30" t="s">
        <v>173</v>
      </c>
      <c r="K357" s="30" t="s">
        <v>109</v>
      </c>
      <c r="L357" s="32" t="s">
        <v>110</v>
      </c>
    </row>
    <row r="358" customFormat="false" ht="15" hidden="false" customHeight="false" outlineLevel="0" collapsed="false">
      <c r="A358" s="22" t="s">
        <v>1144</v>
      </c>
      <c r="B358" s="5" t="s">
        <v>1145</v>
      </c>
      <c r="C358" s="23" t="n">
        <v>11065</v>
      </c>
      <c r="D358" s="5" t="s">
        <v>103</v>
      </c>
      <c r="E358" s="5" t="s">
        <v>140</v>
      </c>
      <c r="F358" s="24" t="s">
        <v>1146</v>
      </c>
      <c r="G358" s="5" t="s">
        <v>172</v>
      </c>
      <c r="H358" s="25" t="n">
        <v>421</v>
      </c>
      <c r="I358" s="5" t="s">
        <v>107</v>
      </c>
      <c r="J358" s="24" t="s">
        <v>173</v>
      </c>
      <c r="K358" s="24" t="s">
        <v>109</v>
      </c>
      <c r="L358" s="26" t="s">
        <v>110</v>
      </c>
    </row>
    <row r="359" customFormat="false" ht="15" hidden="false" customHeight="false" outlineLevel="0" collapsed="false">
      <c r="A359" s="27" t="s">
        <v>1147</v>
      </c>
      <c r="B359" s="28" t="s">
        <v>1148</v>
      </c>
      <c r="C359" s="33" t="n">
        <v>9977</v>
      </c>
      <c r="D359" s="28" t="s">
        <v>103</v>
      </c>
      <c r="E359" s="28" t="s">
        <v>140</v>
      </c>
      <c r="F359" s="30" t="s">
        <v>1149</v>
      </c>
      <c r="G359" s="28" t="s">
        <v>172</v>
      </c>
      <c r="H359" s="31" t="n">
        <v>421</v>
      </c>
      <c r="I359" s="28" t="s">
        <v>107</v>
      </c>
      <c r="J359" s="30" t="s">
        <v>173</v>
      </c>
      <c r="K359" s="30" t="s">
        <v>109</v>
      </c>
      <c r="L359" s="32" t="s">
        <v>110</v>
      </c>
    </row>
    <row r="360" customFormat="false" ht="15" hidden="false" customHeight="false" outlineLevel="0" collapsed="false">
      <c r="A360" s="22" t="s">
        <v>1150</v>
      </c>
      <c r="B360" s="5" t="s">
        <v>1151</v>
      </c>
      <c r="C360" s="23" t="n">
        <v>7219</v>
      </c>
      <c r="D360" s="5" t="s">
        <v>103</v>
      </c>
      <c r="E360" s="5" t="s">
        <v>140</v>
      </c>
      <c r="F360" s="24" t="s">
        <v>1152</v>
      </c>
      <c r="G360" s="5" t="s">
        <v>172</v>
      </c>
      <c r="H360" s="25" t="n">
        <v>421</v>
      </c>
      <c r="I360" s="5" t="s">
        <v>107</v>
      </c>
      <c r="J360" s="24" t="s">
        <v>173</v>
      </c>
      <c r="K360" s="24" t="s">
        <v>109</v>
      </c>
      <c r="L360" s="26" t="s">
        <v>110</v>
      </c>
    </row>
    <row r="361" customFormat="false" ht="15" hidden="false" customHeight="false" outlineLevel="0" collapsed="false">
      <c r="A361" s="27" t="s">
        <v>1153</v>
      </c>
      <c r="B361" s="28" t="s">
        <v>1154</v>
      </c>
      <c r="C361" s="33" t="n">
        <v>465</v>
      </c>
      <c r="D361" s="28" t="s">
        <v>103</v>
      </c>
      <c r="E361" s="28" t="s">
        <v>140</v>
      </c>
      <c r="F361" s="30" t="s">
        <v>1155</v>
      </c>
      <c r="G361" s="28" t="s">
        <v>172</v>
      </c>
      <c r="H361" s="31" t="n">
        <v>421</v>
      </c>
      <c r="I361" s="28" t="s">
        <v>107</v>
      </c>
      <c r="J361" s="30" t="s">
        <v>173</v>
      </c>
      <c r="K361" s="30" t="s">
        <v>109</v>
      </c>
      <c r="L361" s="32" t="s">
        <v>110</v>
      </c>
    </row>
    <row r="362" customFormat="false" ht="15" hidden="false" customHeight="false" outlineLevel="0" collapsed="false">
      <c r="A362" s="22" t="s">
        <v>1156</v>
      </c>
      <c r="B362" s="5" t="s">
        <v>1157</v>
      </c>
      <c r="C362" s="23" t="n">
        <v>728</v>
      </c>
      <c r="D362" s="5" t="s">
        <v>103</v>
      </c>
      <c r="E362" s="5" t="s">
        <v>140</v>
      </c>
      <c r="F362" s="24" t="s">
        <v>1158</v>
      </c>
      <c r="G362" s="5" t="s">
        <v>172</v>
      </c>
      <c r="H362" s="25" t="n">
        <v>421</v>
      </c>
      <c r="I362" s="5" t="s">
        <v>107</v>
      </c>
      <c r="J362" s="24" t="s">
        <v>173</v>
      </c>
      <c r="K362" s="24" t="s">
        <v>109</v>
      </c>
      <c r="L362" s="26" t="s">
        <v>110</v>
      </c>
    </row>
    <row r="363" customFormat="false" ht="15" hidden="false" customHeight="false" outlineLevel="0" collapsed="false">
      <c r="A363" s="27" t="s">
        <v>1159</v>
      </c>
      <c r="B363" s="28" t="s">
        <v>1160</v>
      </c>
      <c r="C363" s="33" t="n">
        <v>302</v>
      </c>
      <c r="D363" s="28" t="s">
        <v>103</v>
      </c>
      <c r="E363" s="28" t="s">
        <v>140</v>
      </c>
      <c r="F363" s="30" t="s">
        <v>1161</v>
      </c>
      <c r="G363" s="28" t="s">
        <v>172</v>
      </c>
      <c r="H363" s="31" t="n">
        <v>421</v>
      </c>
      <c r="I363" s="28" t="s">
        <v>107</v>
      </c>
      <c r="J363" s="30" t="s">
        <v>173</v>
      </c>
      <c r="K363" s="30" t="s">
        <v>109</v>
      </c>
      <c r="L363" s="32" t="s">
        <v>110</v>
      </c>
    </row>
    <row r="364" customFormat="false" ht="15" hidden="false" customHeight="false" outlineLevel="0" collapsed="false">
      <c r="A364" s="22" t="s">
        <v>1162</v>
      </c>
      <c r="B364" s="5" t="s">
        <v>1163</v>
      </c>
      <c r="C364" s="23" t="n">
        <v>254</v>
      </c>
      <c r="D364" s="5" t="s">
        <v>103</v>
      </c>
      <c r="E364" s="5" t="s">
        <v>140</v>
      </c>
      <c r="F364" s="24" t="s">
        <v>1164</v>
      </c>
      <c r="G364" s="5" t="s">
        <v>172</v>
      </c>
      <c r="H364" s="25" t="n">
        <v>421</v>
      </c>
      <c r="I364" s="5" t="s">
        <v>107</v>
      </c>
      <c r="J364" s="24" t="s">
        <v>173</v>
      </c>
      <c r="K364" s="24" t="s">
        <v>109</v>
      </c>
      <c r="L364" s="26" t="s">
        <v>110</v>
      </c>
    </row>
    <row r="365" customFormat="false" ht="15" hidden="false" customHeight="false" outlineLevel="0" collapsed="false">
      <c r="A365" s="27" t="s">
        <v>1165</v>
      </c>
      <c r="B365" s="28" t="s">
        <v>1166</v>
      </c>
      <c r="C365" s="33" t="n">
        <v>1009</v>
      </c>
      <c r="D365" s="28" t="s">
        <v>103</v>
      </c>
      <c r="E365" s="28" t="s">
        <v>140</v>
      </c>
      <c r="F365" s="30" t="s">
        <v>1167</v>
      </c>
      <c r="G365" s="28" t="s">
        <v>172</v>
      </c>
      <c r="H365" s="31" t="n">
        <v>421</v>
      </c>
      <c r="I365" s="28" t="s">
        <v>107</v>
      </c>
      <c r="J365" s="30" t="s">
        <v>173</v>
      </c>
      <c r="K365" s="30" t="s">
        <v>109</v>
      </c>
      <c r="L365" s="32" t="s">
        <v>110</v>
      </c>
    </row>
    <row r="366" customFormat="false" ht="15" hidden="false" customHeight="false" outlineLevel="0" collapsed="false">
      <c r="A366" s="22" t="s">
        <v>1168</v>
      </c>
      <c r="B366" s="5" t="s">
        <v>1169</v>
      </c>
      <c r="C366" s="23" t="n">
        <v>2162</v>
      </c>
      <c r="D366" s="5" t="s">
        <v>103</v>
      </c>
      <c r="E366" s="5" t="s">
        <v>140</v>
      </c>
      <c r="F366" s="24" t="s">
        <v>1170</v>
      </c>
      <c r="G366" s="5" t="s">
        <v>172</v>
      </c>
      <c r="H366" s="25" t="n">
        <v>421</v>
      </c>
      <c r="I366" s="5" t="s">
        <v>107</v>
      </c>
      <c r="J366" s="24" t="s">
        <v>173</v>
      </c>
      <c r="K366" s="24" t="s">
        <v>109</v>
      </c>
      <c r="L366" s="26" t="s">
        <v>110</v>
      </c>
    </row>
    <row r="367" customFormat="false" ht="15" hidden="false" customHeight="false" outlineLevel="0" collapsed="false">
      <c r="A367" s="27" t="s">
        <v>1171</v>
      </c>
      <c r="B367" s="28" t="s">
        <v>1172</v>
      </c>
      <c r="C367" s="33" t="n">
        <v>499</v>
      </c>
      <c r="D367" s="28" t="s">
        <v>103</v>
      </c>
      <c r="E367" s="28" t="s">
        <v>140</v>
      </c>
      <c r="F367" s="30" t="s">
        <v>1173</v>
      </c>
      <c r="G367" s="28" t="s">
        <v>172</v>
      </c>
      <c r="H367" s="31" t="n">
        <v>421</v>
      </c>
      <c r="I367" s="28" t="s">
        <v>107</v>
      </c>
      <c r="J367" s="30" t="s">
        <v>173</v>
      </c>
      <c r="K367" s="30" t="s">
        <v>109</v>
      </c>
      <c r="L367" s="32" t="s">
        <v>110</v>
      </c>
    </row>
    <row r="368" customFormat="false" ht="15" hidden="false" customHeight="false" outlineLevel="0" collapsed="false">
      <c r="A368" s="22" t="s">
        <v>1174</v>
      </c>
      <c r="B368" s="5" t="s">
        <v>1175</v>
      </c>
      <c r="C368" s="23" t="n">
        <v>384</v>
      </c>
      <c r="D368" s="5" t="s">
        <v>103</v>
      </c>
      <c r="E368" s="5" t="s">
        <v>140</v>
      </c>
      <c r="F368" s="24" t="s">
        <v>1176</v>
      </c>
      <c r="G368" s="5" t="s">
        <v>172</v>
      </c>
      <c r="H368" s="25" t="n">
        <v>421</v>
      </c>
      <c r="I368" s="5" t="s">
        <v>107</v>
      </c>
      <c r="J368" s="24" t="s">
        <v>173</v>
      </c>
      <c r="K368" s="24" t="s">
        <v>109</v>
      </c>
      <c r="L368" s="26" t="s">
        <v>110</v>
      </c>
    </row>
    <row r="369" customFormat="false" ht="15" hidden="false" customHeight="false" outlineLevel="0" collapsed="false">
      <c r="A369" s="27" t="s">
        <v>1177</v>
      </c>
      <c r="B369" s="28" t="s">
        <v>1178</v>
      </c>
      <c r="C369" s="33" t="n">
        <v>317</v>
      </c>
      <c r="D369" s="28" t="s">
        <v>103</v>
      </c>
      <c r="E369" s="28" t="s">
        <v>140</v>
      </c>
      <c r="F369" s="30" t="s">
        <v>1179</v>
      </c>
      <c r="G369" s="28" t="s">
        <v>172</v>
      </c>
      <c r="H369" s="31" t="n">
        <v>421</v>
      </c>
      <c r="I369" s="28" t="s">
        <v>107</v>
      </c>
      <c r="J369" s="30" t="s">
        <v>173</v>
      </c>
      <c r="K369" s="30" t="s">
        <v>109</v>
      </c>
      <c r="L369" s="32" t="s">
        <v>110</v>
      </c>
    </row>
    <row r="370" customFormat="false" ht="15" hidden="false" customHeight="false" outlineLevel="0" collapsed="false">
      <c r="A370" s="22" t="s">
        <v>1180</v>
      </c>
      <c r="B370" s="5" t="s">
        <v>1181</v>
      </c>
      <c r="C370" s="23" t="n">
        <v>198</v>
      </c>
      <c r="D370" s="5" t="s">
        <v>103</v>
      </c>
      <c r="E370" s="5" t="s">
        <v>140</v>
      </c>
      <c r="F370" s="24" t="s">
        <v>1182</v>
      </c>
      <c r="G370" s="5" t="s">
        <v>172</v>
      </c>
      <c r="H370" s="25" t="n">
        <v>421</v>
      </c>
      <c r="I370" s="5" t="s">
        <v>107</v>
      </c>
      <c r="J370" s="24" t="s">
        <v>173</v>
      </c>
      <c r="K370" s="24" t="s">
        <v>109</v>
      </c>
      <c r="L370" s="26" t="s">
        <v>110</v>
      </c>
    </row>
    <row r="371" customFormat="false" ht="15" hidden="false" customHeight="false" outlineLevel="0" collapsed="false">
      <c r="A371" s="27" t="s">
        <v>1183</v>
      </c>
      <c r="B371" s="28" t="s">
        <v>1184</v>
      </c>
      <c r="C371" s="33" t="n">
        <v>147</v>
      </c>
      <c r="D371" s="28" t="s">
        <v>103</v>
      </c>
      <c r="E371" s="28" t="s">
        <v>140</v>
      </c>
      <c r="F371" s="30" t="s">
        <v>1185</v>
      </c>
      <c r="G371" s="28" t="s">
        <v>172</v>
      </c>
      <c r="H371" s="31" t="n">
        <v>421</v>
      </c>
      <c r="I371" s="28" t="s">
        <v>107</v>
      </c>
      <c r="J371" s="30" t="s">
        <v>173</v>
      </c>
      <c r="K371" s="30" t="s">
        <v>109</v>
      </c>
      <c r="L371" s="32" t="s">
        <v>110</v>
      </c>
    </row>
    <row r="372" customFormat="false" ht="15" hidden="false" customHeight="false" outlineLevel="0" collapsed="false">
      <c r="A372" s="22" t="s">
        <v>1186</v>
      </c>
      <c r="B372" s="5" t="s">
        <v>1187</v>
      </c>
      <c r="C372" s="23" t="n">
        <v>618</v>
      </c>
      <c r="D372" s="5" t="s">
        <v>103</v>
      </c>
      <c r="E372" s="5" t="s">
        <v>140</v>
      </c>
      <c r="F372" s="24" t="s">
        <v>1188</v>
      </c>
      <c r="G372" s="5" t="s">
        <v>172</v>
      </c>
      <c r="H372" s="25" t="n">
        <v>421</v>
      </c>
      <c r="I372" s="5" t="s">
        <v>107</v>
      </c>
      <c r="J372" s="24" t="s">
        <v>173</v>
      </c>
      <c r="K372" s="24" t="s">
        <v>109</v>
      </c>
      <c r="L372" s="26" t="s">
        <v>110</v>
      </c>
    </row>
    <row r="373" customFormat="false" ht="15" hidden="false" customHeight="false" outlineLevel="0" collapsed="false">
      <c r="A373" s="27" t="s">
        <v>1189</v>
      </c>
      <c r="B373" s="28" t="s">
        <v>1190</v>
      </c>
      <c r="C373" s="33" t="n">
        <v>3891</v>
      </c>
      <c r="D373" s="28" t="s">
        <v>103</v>
      </c>
      <c r="E373" s="28" t="s">
        <v>140</v>
      </c>
      <c r="F373" s="30" t="s">
        <v>1191</v>
      </c>
      <c r="G373" s="28" t="s">
        <v>172</v>
      </c>
      <c r="H373" s="31" t="n">
        <v>421</v>
      </c>
      <c r="I373" s="28" t="s">
        <v>107</v>
      </c>
      <c r="J373" s="30" t="s">
        <v>173</v>
      </c>
      <c r="K373" s="30" t="s">
        <v>109</v>
      </c>
      <c r="L373" s="32" t="s">
        <v>110</v>
      </c>
    </row>
    <row r="374" customFormat="false" ht="15" hidden="false" customHeight="false" outlineLevel="0" collapsed="false">
      <c r="A374" s="22" t="s">
        <v>1192</v>
      </c>
      <c r="B374" s="5" t="s">
        <v>1193</v>
      </c>
      <c r="C374" s="23" t="n">
        <v>3492</v>
      </c>
      <c r="D374" s="5" t="s">
        <v>103</v>
      </c>
      <c r="E374" s="5" t="s">
        <v>140</v>
      </c>
      <c r="F374" s="24" t="s">
        <v>1194</v>
      </c>
      <c r="G374" s="5" t="s">
        <v>172</v>
      </c>
      <c r="H374" s="25" t="n">
        <v>421</v>
      </c>
      <c r="I374" s="5" t="s">
        <v>107</v>
      </c>
      <c r="J374" s="24" t="s">
        <v>173</v>
      </c>
      <c r="K374" s="24" t="s">
        <v>109</v>
      </c>
      <c r="L374" s="26" t="s">
        <v>110</v>
      </c>
    </row>
    <row r="375" customFormat="false" ht="15" hidden="false" customHeight="false" outlineLevel="0" collapsed="false">
      <c r="A375" s="27" t="s">
        <v>1195</v>
      </c>
      <c r="B375" s="28" t="s">
        <v>1196</v>
      </c>
      <c r="C375" s="33" t="n">
        <v>2281</v>
      </c>
      <c r="D375" s="28" t="s">
        <v>103</v>
      </c>
      <c r="E375" s="28" t="s">
        <v>140</v>
      </c>
      <c r="F375" s="30" t="s">
        <v>1197</v>
      </c>
      <c r="G375" s="28" t="s">
        <v>172</v>
      </c>
      <c r="H375" s="31" t="n">
        <v>421</v>
      </c>
      <c r="I375" s="28" t="s">
        <v>107</v>
      </c>
      <c r="J375" s="30" t="s">
        <v>173</v>
      </c>
      <c r="K375" s="30" t="s">
        <v>109</v>
      </c>
      <c r="L375" s="32" t="s">
        <v>110</v>
      </c>
    </row>
    <row r="376" customFormat="false" ht="15" hidden="false" customHeight="false" outlineLevel="0" collapsed="false">
      <c r="A376" s="22" t="s">
        <v>1198</v>
      </c>
      <c r="B376" s="5" t="s">
        <v>1199</v>
      </c>
      <c r="C376" s="23" t="n">
        <v>2407</v>
      </c>
      <c r="D376" s="5" t="s">
        <v>103</v>
      </c>
      <c r="E376" s="5" t="s">
        <v>140</v>
      </c>
      <c r="F376" s="24" t="s">
        <v>1200</v>
      </c>
      <c r="G376" s="5" t="s">
        <v>172</v>
      </c>
      <c r="H376" s="25" t="n">
        <v>421</v>
      </c>
      <c r="I376" s="5" t="s">
        <v>107</v>
      </c>
      <c r="J376" s="24" t="s">
        <v>173</v>
      </c>
      <c r="K376" s="24" t="s">
        <v>109</v>
      </c>
      <c r="L376" s="26" t="s">
        <v>110</v>
      </c>
    </row>
    <row r="377" customFormat="false" ht="15" hidden="false" customHeight="false" outlineLevel="0" collapsed="false">
      <c r="A377" s="27" t="s">
        <v>1201</v>
      </c>
      <c r="B377" s="28" t="s">
        <v>1202</v>
      </c>
      <c r="C377" s="33" t="n">
        <v>12692</v>
      </c>
      <c r="D377" s="28" t="s">
        <v>103</v>
      </c>
      <c r="E377" s="28" t="s">
        <v>140</v>
      </c>
      <c r="F377" s="30" t="s">
        <v>1203</v>
      </c>
      <c r="G377" s="28" t="s">
        <v>172</v>
      </c>
      <c r="H377" s="31" t="n">
        <v>421</v>
      </c>
      <c r="I377" s="28" t="s">
        <v>107</v>
      </c>
      <c r="J377" s="30" t="s">
        <v>173</v>
      </c>
      <c r="K377" s="30" t="s">
        <v>109</v>
      </c>
      <c r="L377" s="32" t="s">
        <v>110</v>
      </c>
    </row>
    <row r="378" customFormat="false" ht="15" hidden="false" customHeight="false" outlineLevel="0" collapsed="false">
      <c r="A378" s="22" t="s">
        <v>1204</v>
      </c>
      <c r="B378" s="5" t="s">
        <v>1205</v>
      </c>
      <c r="C378" s="23" t="n">
        <v>4500</v>
      </c>
      <c r="D378" s="5" t="s">
        <v>103</v>
      </c>
      <c r="E378" s="5" t="s">
        <v>140</v>
      </c>
      <c r="F378" s="24" t="s">
        <v>1206</v>
      </c>
      <c r="G378" s="5" t="s">
        <v>172</v>
      </c>
      <c r="H378" s="25" t="n">
        <v>421</v>
      </c>
      <c r="I378" s="5" t="s">
        <v>107</v>
      </c>
      <c r="J378" s="24" t="s">
        <v>173</v>
      </c>
      <c r="K378" s="24" t="s">
        <v>109</v>
      </c>
      <c r="L378" s="26" t="s">
        <v>110</v>
      </c>
    </row>
    <row r="379" customFormat="false" ht="15" hidden="false" customHeight="false" outlineLevel="0" collapsed="false">
      <c r="A379" s="27" t="s">
        <v>1207</v>
      </c>
      <c r="B379" s="28" t="s">
        <v>1208</v>
      </c>
      <c r="C379" s="33" t="n">
        <v>765</v>
      </c>
      <c r="D379" s="28" t="s">
        <v>103</v>
      </c>
      <c r="E379" s="28" t="s">
        <v>140</v>
      </c>
      <c r="F379" s="30" t="s">
        <v>1209</v>
      </c>
      <c r="G379" s="28" t="s">
        <v>172</v>
      </c>
      <c r="H379" s="31" t="n">
        <v>421</v>
      </c>
      <c r="I379" s="28" t="s">
        <v>107</v>
      </c>
      <c r="J379" s="30" t="s">
        <v>173</v>
      </c>
      <c r="K379" s="30" t="s">
        <v>109</v>
      </c>
      <c r="L379" s="32" t="s">
        <v>110</v>
      </c>
    </row>
    <row r="380" customFormat="false" ht="15" hidden="false" customHeight="false" outlineLevel="0" collapsed="false">
      <c r="A380" s="22" t="s">
        <v>1210</v>
      </c>
      <c r="B380" s="5" t="s">
        <v>1211</v>
      </c>
      <c r="C380" s="23" t="n">
        <v>7551</v>
      </c>
      <c r="D380" s="5" t="s">
        <v>103</v>
      </c>
      <c r="E380" s="5" t="s">
        <v>140</v>
      </c>
      <c r="F380" s="24" t="s">
        <v>1212</v>
      </c>
      <c r="G380" s="5" t="s">
        <v>172</v>
      </c>
      <c r="H380" s="25" t="n">
        <v>421</v>
      </c>
      <c r="I380" s="5" t="s">
        <v>107</v>
      </c>
      <c r="J380" s="24" t="s">
        <v>173</v>
      </c>
      <c r="K380" s="24" t="s">
        <v>109</v>
      </c>
      <c r="L380" s="26" t="s">
        <v>110</v>
      </c>
    </row>
    <row r="381" customFormat="false" ht="15" hidden="false" customHeight="false" outlineLevel="0" collapsed="false">
      <c r="A381" s="27" t="s">
        <v>1213</v>
      </c>
      <c r="B381" s="28" t="s">
        <v>1214</v>
      </c>
      <c r="C381" s="33" t="n">
        <v>673</v>
      </c>
      <c r="D381" s="28" t="s">
        <v>103</v>
      </c>
      <c r="E381" s="28" t="s">
        <v>140</v>
      </c>
      <c r="F381" s="30" t="s">
        <v>1215</v>
      </c>
      <c r="G381" s="28" t="s">
        <v>172</v>
      </c>
      <c r="H381" s="31" t="n">
        <v>421</v>
      </c>
      <c r="I381" s="28" t="s">
        <v>107</v>
      </c>
      <c r="J381" s="30" t="s">
        <v>173</v>
      </c>
      <c r="K381" s="30" t="s">
        <v>109</v>
      </c>
      <c r="L381" s="32" t="s">
        <v>110</v>
      </c>
    </row>
    <row r="382" customFormat="false" ht="15" hidden="false" customHeight="false" outlineLevel="0" collapsed="false">
      <c r="A382" s="22" t="s">
        <v>1216</v>
      </c>
      <c r="B382" s="5" t="s">
        <v>1217</v>
      </c>
      <c r="C382" s="23" t="n">
        <v>700</v>
      </c>
      <c r="D382" s="5" t="s">
        <v>103</v>
      </c>
      <c r="E382" s="5" t="s">
        <v>140</v>
      </c>
      <c r="F382" s="24" t="s">
        <v>464</v>
      </c>
      <c r="G382" s="5" t="s">
        <v>172</v>
      </c>
      <c r="H382" s="25" t="n">
        <v>407</v>
      </c>
      <c r="I382" s="5" t="s">
        <v>107</v>
      </c>
      <c r="J382" s="24" t="s">
        <v>173</v>
      </c>
      <c r="K382" s="24" t="s">
        <v>109</v>
      </c>
      <c r="L382" s="26" t="s">
        <v>110</v>
      </c>
    </row>
    <row r="383" customFormat="false" ht="15" hidden="false" customHeight="false" outlineLevel="0" collapsed="false">
      <c r="A383" s="27" t="s">
        <v>1218</v>
      </c>
      <c r="B383" s="28" t="s">
        <v>1219</v>
      </c>
      <c r="C383" s="29" t="n">
        <v>1.25</v>
      </c>
      <c r="D383" s="28" t="s">
        <v>299</v>
      </c>
      <c r="E383" s="28" t="s">
        <v>140</v>
      </c>
      <c r="F383" s="30" t="s">
        <v>961</v>
      </c>
      <c r="G383" s="28" t="s">
        <v>172</v>
      </c>
      <c r="H383" s="31" t="n">
        <v>407</v>
      </c>
      <c r="I383" s="28" t="s">
        <v>107</v>
      </c>
      <c r="J383" s="30" t="s">
        <v>173</v>
      </c>
      <c r="K383" s="30" t="s">
        <v>109</v>
      </c>
      <c r="L383" s="32" t="s">
        <v>110</v>
      </c>
    </row>
    <row r="384" customFormat="false" ht="15" hidden="false" customHeight="false" outlineLevel="0" collapsed="false">
      <c r="A384" s="22" t="s">
        <v>1220</v>
      </c>
      <c r="B384" s="5" t="s">
        <v>1221</v>
      </c>
      <c r="C384" s="23" t="n">
        <v>800</v>
      </c>
      <c r="D384" s="5" t="s">
        <v>103</v>
      </c>
      <c r="E384" s="5" t="s">
        <v>140</v>
      </c>
      <c r="F384" s="24" t="s">
        <v>1222</v>
      </c>
      <c r="G384" s="5" t="s">
        <v>172</v>
      </c>
      <c r="H384" s="25" t="n">
        <v>407</v>
      </c>
      <c r="I384" s="5" t="s">
        <v>107</v>
      </c>
      <c r="J384" s="24" t="s">
        <v>173</v>
      </c>
      <c r="K384" s="24" t="s">
        <v>109</v>
      </c>
      <c r="L384" s="26" t="s">
        <v>110</v>
      </c>
    </row>
    <row r="385" customFormat="false" ht="15" hidden="false" customHeight="false" outlineLevel="0" collapsed="false">
      <c r="A385" s="27" t="s">
        <v>1223</v>
      </c>
      <c r="B385" s="28" t="s">
        <v>1224</v>
      </c>
      <c r="C385" s="29" t="n">
        <v>1.25</v>
      </c>
      <c r="D385" s="28" t="s">
        <v>299</v>
      </c>
      <c r="E385" s="28" t="s">
        <v>140</v>
      </c>
      <c r="F385" s="30" t="s">
        <v>961</v>
      </c>
      <c r="G385" s="28" t="s">
        <v>172</v>
      </c>
      <c r="H385" s="31" t="n">
        <v>407</v>
      </c>
      <c r="I385" s="28" t="s">
        <v>107</v>
      </c>
      <c r="J385" s="30" t="s">
        <v>173</v>
      </c>
      <c r="K385" s="30" t="s">
        <v>109</v>
      </c>
      <c r="L385" s="32" t="s">
        <v>110</v>
      </c>
    </row>
    <row r="386" customFormat="false" ht="15" hidden="false" customHeight="false" outlineLevel="0" collapsed="false">
      <c r="A386" s="22" t="s">
        <v>1225</v>
      </c>
      <c r="B386" s="5" t="s">
        <v>1226</v>
      </c>
      <c r="C386" s="23" t="n">
        <v>500</v>
      </c>
      <c r="D386" s="5" t="s">
        <v>103</v>
      </c>
      <c r="E386" s="5" t="s">
        <v>140</v>
      </c>
      <c r="F386" s="24" t="s">
        <v>970</v>
      </c>
      <c r="G386" s="5" t="s">
        <v>172</v>
      </c>
      <c r="H386" s="25" t="n">
        <v>407</v>
      </c>
      <c r="I386" s="5" t="s">
        <v>107</v>
      </c>
      <c r="J386" s="24" t="s">
        <v>173</v>
      </c>
      <c r="K386" s="24" t="s">
        <v>109</v>
      </c>
      <c r="L386" s="26" t="s">
        <v>110</v>
      </c>
    </row>
    <row r="387" customFormat="false" ht="15" hidden="false" customHeight="false" outlineLevel="0" collapsed="false">
      <c r="A387" s="27" t="s">
        <v>1227</v>
      </c>
      <c r="B387" s="28" t="s">
        <v>1228</v>
      </c>
      <c r="C387" s="33" t="n">
        <v>700</v>
      </c>
      <c r="D387" s="28" t="s">
        <v>103</v>
      </c>
      <c r="E387" s="28" t="s">
        <v>140</v>
      </c>
      <c r="F387" s="30" t="s">
        <v>464</v>
      </c>
      <c r="G387" s="28" t="s">
        <v>172</v>
      </c>
      <c r="H387" s="31" t="n">
        <v>407</v>
      </c>
      <c r="I387" s="28" t="s">
        <v>107</v>
      </c>
      <c r="J387" s="30" t="s">
        <v>173</v>
      </c>
      <c r="K387" s="30" t="s">
        <v>109</v>
      </c>
      <c r="L387" s="32" t="s">
        <v>110</v>
      </c>
    </row>
    <row r="388" customFormat="false" ht="15" hidden="false" customHeight="false" outlineLevel="0" collapsed="false">
      <c r="A388" s="22" t="s">
        <v>1229</v>
      </c>
      <c r="B388" s="5" t="s">
        <v>1230</v>
      </c>
      <c r="C388" s="23" t="n">
        <v>75</v>
      </c>
      <c r="D388" s="5" t="s">
        <v>103</v>
      </c>
      <c r="E388" s="5" t="s">
        <v>140</v>
      </c>
      <c r="F388" s="24" t="s">
        <v>456</v>
      </c>
      <c r="G388" s="5" t="s">
        <v>172</v>
      </c>
      <c r="H388" s="25" t="n">
        <v>407</v>
      </c>
      <c r="I388" s="5" t="s">
        <v>107</v>
      </c>
      <c r="J388" s="24" t="s">
        <v>173</v>
      </c>
      <c r="K388" s="24" t="s">
        <v>109</v>
      </c>
      <c r="L388" s="26" t="s">
        <v>110</v>
      </c>
    </row>
    <row r="389" customFormat="false" ht="15" hidden="false" customHeight="false" outlineLevel="0" collapsed="false">
      <c r="A389" s="27" t="s">
        <v>1231</v>
      </c>
      <c r="B389" s="28" t="s">
        <v>1232</v>
      </c>
      <c r="C389" s="33" t="n">
        <v>750</v>
      </c>
      <c r="D389" s="28" t="s">
        <v>103</v>
      </c>
      <c r="E389" s="28" t="s">
        <v>140</v>
      </c>
      <c r="F389" s="30" t="s">
        <v>926</v>
      </c>
      <c r="G389" s="28" t="s">
        <v>172</v>
      </c>
      <c r="H389" s="31" t="n">
        <v>407</v>
      </c>
      <c r="I389" s="28" t="s">
        <v>107</v>
      </c>
      <c r="J389" s="30" t="s">
        <v>173</v>
      </c>
      <c r="K389" s="30" t="s">
        <v>109</v>
      </c>
      <c r="L389" s="32" t="s">
        <v>110</v>
      </c>
    </row>
    <row r="390" customFormat="false" ht="15" hidden="false" customHeight="false" outlineLevel="0" collapsed="false">
      <c r="A390" s="22" t="s">
        <v>1233</v>
      </c>
      <c r="B390" s="5" t="s">
        <v>1234</v>
      </c>
      <c r="C390" s="23" t="n">
        <v>50</v>
      </c>
      <c r="D390" s="5" t="s">
        <v>103</v>
      </c>
      <c r="E390" s="5" t="s">
        <v>140</v>
      </c>
      <c r="F390" s="24" t="s">
        <v>1235</v>
      </c>
      <c r="G390" s="5" t="s">
        <v>172</v>
      </c>
      <c r="H390" s="25" t="n">
        <v>407</v>
      </c>
      <c r="I390" s="5" t="s">
        <v>107</v>
      </c>
      <c r="J390" s="24" t="s">
        <v>173</v>
      </c>
      <c r="K390" s="24" t="s">
        <v>109</v>
      </c>
      <c r="L390" s="26" t="s">
        <v>110</v>
      </c>
    </row>
    <row r="391" customFormat="false" ht="15" hidden="false" customHeight="false" outlineLevel="0" collapsed="false">
      <c r="A391" s="27" t="s">
        <v>1236</v>
      </c>
      <c r="B391" s="28" t="s">
        <v>1237</v>
      </c>
      <c r="C391" s="33" t="n">
        <v>500</v>
      </c>
      <c r="D391" s="28" t="s">
        <v>103</v>
      </c>
      <c r="E391" s="28" t="s">
        <v>140</v>
      </c>
      <c r="F391" s="30" t="s">
        <v>970</v>
      </c>
      <c r="G391" s="28" t="s">
        <v>172</v>
      </c>
      <c r="H391" s="31" t="n">
        <v>407</v>
      </c>
      <c r="I391" s="28" t="s">
        <v>107</v>
      </c>
      <c r="J391" s="30" t="s">
        <v>173</v>
      </c>
      <c r="K391" s="30" t="s">
        <v>109</v>
      </c>
      <c r="L391" s="32" t="s">
        <v>110</v>
      </c>
    </row>
    <row r="392" customFormat="false" ht="15" hidden="false" customHeight="false" outlineLevel="0" collapsed="false">
      <c r="A392" s="22" t="s">
        <v>1238</v>
      </c>
      <c r="B392" s="5" t="s">
        <v>1056</v>
      </c>
      <c r="C392" s="23" t="n">
        <v>-2965</v>
      </c>
      <c r="D392" s="5" t="s">
        <v>103</v>
      </c>
      <c r="E392" s="5" t="s">
        <v>160</v>
      </c>
      <c r="F392" s="24" t="s">
        <v>1239</v>
      </c>
      <c r="G392" s="5" t="s">
        <v>172</v>
      </c>
      <c r="H392" s="25" t="n">
        <v>362</v>
      </c>
      <c r="I392" s="5" t="s">
        <v>127</v>
      </c>
      <c r="J392" s="24" t="s">
        <v>173</v>
      </c>
      <c r="K392" s="24" t="s">
        <v>109</v>
      </c>
      <c r="L392" s="26" t="s">
        <v>110</v>
      </c>
    </row>
    <row r="393" customFormat="false" ht="15" hidden="false" customHeight="false" outlineLevel="0" collapsed="false">
      <c r="A393" s="27" t="s">
        <v>1240</v>
      </c>
      <c r="B393" s="28" t="s">
        <v>1241</v>
      </c>
      <c r="C393" s="33" t="n">
        <v>199</v>
      </c>
      <c r="D393" s="28" t="s">
        <v>103</v>
      </c>
      <c r="E393" s="28" t="s">
        <v>120</v>
      </c>
      <c r="F393" s="30" t="s">
        <v>1242</v>
      </c>
      <c r="G393" s="28" t="s">
        <v>172</v>
      </c>
      <c r="H393" s="31" t="n">
        <v>362</v>
      </c>
      <c r="I393" s="28" t="s">
        <v>127</v>
      </c>
      <c r="J393" s="30" t="s">
        <v>173</v>
      </c>
      <c r="K393" s="30" t="s">
        <v>109</v>
      </c>
      <c r="L393" s="32" t="s">
        <v>110</v>
      </c>
    </row>
    <row r="394" customFormat="false" ht="15" hidden="false" customHeight="false" outlineLevel="0" collapsed="false">
      <c r="A394" s="22" t="s">
        <v>1243</v>
      </c>
      <c r="B394" s="5" t="s">
        <v>1241</v>
      </c>
      <c r="C394" s="23" t="n">
        <v>212</v>
      </c>
      <c r="D394" s="5" t="s">
        <v>103</v>
      </c>
      <c r="E394" s="5" t="s">
        <v>160</v>
      </c>
      <c r="F394" s="24" t="s">
        <v>1244</v>
      </c>
      <c r="G394" s="5" t="s">
        <v>172</v>
      </c>
      <c r="H394" s="25" t="n">
        <v>362</v>
      </c>
      <c r="I394" s="5" t="s">
        <v>127</v>
      </c>
      <c r="J394" s="24" t="s">
        <v>173</v>
      </c>
      <c r="K394" s="24" t="s">
        <v>109</v>
      </c>
      <c r="L394" s="26" t="s">
        <v>110</v>
      </c>
    </row>
    <row r="395" customFormat="false" ht="15" hidden="false" customHeight="false" outlineLevel="0" collapsed="false">
      <c r="A395" s="27" t="s">
        <v>1245</v>
      </c>
      <c r="B395" s="28" t="s">
        <v>1246</v>
      </c>
      <c r="C395" s="33" t="n">
        <v>-702</v>
      </c>
      <c r="D395" s="28" t="s">
        <v>103</v>
      </c>
      <c r="E395" s="28" t="s">
        <v>120</v>
      </c>
      <c r="F395" s="30" t="s">
        <v>1247</v>
      </c>
      <c r="G395" s="28" t="s">
        <v>172</v>
      </c>
      <c r="H395" s="31" t="n">
        <v>362</v>
      </c>
      <c r="I395" s="28" t="s">
        <v>127</v>
      </c>
      <c r="J395" s="30" t="s">
        <v>173</v>
      </c>
      <c r="K395" s="30" t="s">
        <v>109</v>
      </c>
      <c r="L395" s="32" t="s">
        <v>110</v>
      </c>
    </row>
    <row r="396" customFormat="false" ht="15" hidden="false" customHeight="false" outlineLevel="0" collapsed="false">
      <c r="A396" s="22" t="s">
        <v>1248</v>
      </c>
      <c r="B396" s="5" t="s">
        <v>1246</v>
      </c>
      <c r="C396" s="23" t="n">
        <v>-482</v>
      </c>
      <c r="D396" s="5" t="s">
        <v>103</v>
      </c>
      <c r="E396" s="5" t="s">
        <v>160</v>
      </c>
      <c r="F396" s="24" t="s">
        <v>1249</v>
      </c>
      <c r="G396" s="5" t="s">
        <v>172</v>
      </c>
      <c r="H396" s="25" t="n">
        <v>362</v>
      </c>
      <c r="I396" s="5" t="s">
        <v>127</v>
      </c>
      <c r="J396" s="24" t="s">
        <v>173</v>
      </c>
      <c r="K396" s="24" t="s">
        <v>109</v>
      </c>
      <c r="L396" s="26" t="s">
        <v>110</v>
      </c>
    </row>
    <row r="397" customFormat="false" ht="15" hidden="false" customHeight="false" outlineLevel="0" collapsed="false">
      <c r="A397" s="27" t="s">
        <v>1250</v>
      </c>
      <c r="B397" s="28" t="s">
        <v>1251</v>
      </c>
      <c r="C397" s="33" t="n">
        <v>59</v>
      </c>
      <c r="D397" s="28" t="s">
        <v>103</v>
      </c>
      <c r="E397" s="28" t="s">
        <v>120</v>
      </c>
      <c r="F397" s="30" t="s">
        <v>1252</v>
      </c>
      <c r="G397" s="28" t="s">
        <v>172</v>
      </c>
      <c r="H397" s="31" t="n">
        <v>362</v>
      </c>
      <c r="I397" s="28" t="s">
        <v>127</v>
      </c>
      <c r="J397" s="30" t="s">
        <v>173</v>
      </c>
      <c r="K397" s="30" t="s">
        <v>109</v>
      </c>
      <c r="L397" s="32" t="s">
        <v>110</v>
      </c>
    </row>
    <row r="398" customFormat="false" ht="15" hidden="false" customHeight="false" outlineLevel="0" collapsed="false">
      <c r="A398" s="22" t="s">
        <v>1253</v>
      </c>
      <c r="B398" s="5" t="s">
        <v>1251</v>
      </c>
      <c r="C398" s="23" t="n">
        <v>949</v>
      </c>
      <c r="D398" s="5" t="s">
        <v>103</v>
      </c>
      <c r="E398" s="5" t="s">
        <v>160</v>
      </c>
      <c r="F398" s="24" t="s">
        <v>1254</v>
      </c>
      <c r="G398" s="5" t="s">
        <v>172</v>
      </c>
      <c r="H398" s="25" t="n">
        <v>362</v>
      </c>
      <c r="I398" s="5" t="s">
        <v>127</v>
      </c>
      <c r="J398" s="24" t="s">
        <v>173</v>
      </c>
      <c r="K398" s="24" t="s">
        <v>109</v>
      </c>
      <c r="L398" s="26" t="s">
        <v>110</v>
      </c>
    </row>
    <row r="399" customFormat="false" ht="15" hidden="false" customHeight="false" outlineLevel="0" collapsed="false">
      <c r="A399" s="27" t="s">
        <v>1255</v>
      </c>
      <c r="B399" s="28" t="s">
        <v>1256</v>
      </c>
      <c r="C399" s="33" t="n">
        <v>-156</v>
      </c>
      <c r="D399" s="28" t="s">
        <v>103</v>
      </c>
      <c r="E399" s="28" t="s">
        <v>120</v>
      </c>
      <c r="F399" s="30" t="s">
        <v>1257</v>
      </c>
      <c r="G399" s="28" t="s">
        <v>172</v>
      </c>
      <c r="H399" s="31" t="n">
        <v>362</v>
      </c>
      <c r="I399" s="28" t="s">
        <v>107</v>
      </c>
      <c r="J399" s="30" t="s">
        <v>173</v>
      </c>
      <c r="K399" s="30" t="s">
        <v>109</v>
      </c>
      <c r="L399" s="32" t="s">
        <v>110</v>
      </c>
    </row>
    <row r="400" customFormat="false" ht="15" hidden="false" customHeight="false" outlineLevel="0" collapsed="false">
      <c r="A400" s="22" t="s">
        <v>1258</v>
      </c>
      <c r="B400" s="5" t="s">
        <v>1256</v>
      </c>
      <c r="C400" s="23" t="n">
        <v>-225</v>
      </c>
      <c r="D400" s="5" t="s">
        <v>103</v>
      </c>
      <c r="E400" s="5" t="s">
        <v>160</v>
      </c>
      <c r="F400" s="24" t="s">
        <v>1259</v>
      </c>
      <c r="G400" s="5" t="s">
        <v>172</v>
      </c>
      <c r="H400" s="25" t="n">
        <v>362</v>
      </c>
      <c r="I400" s="5" t="s">
        <v>107</v>
      </c>
      <c r="J400" s="24" t="s">
        <v>173</v>
      </c>
      <c r="K400" s="24" t="s">
        <v>109</v>
      </c>
      <c r="L400" s="26" t="s">
        <v>110</v>
      </c>
    </row>
    <row r="401" customFormat="false" ht="15" hidden="false" customHeight="false" outlineLevel="0" collapsed="false">
      <c r="A401" s="27" t="s">
        <v>1260</v>
      </c>
      <c r="B401" s="28" t="s">
        <v>1059</v>
      </c>
      <c r="C401" s="33" t="n">
        <v>268</v>
      </c>
      <c r="D401" s="28" t="s">
        <v>103</v>
      </c>
      <c r="E401" s="28" t="s">
        <v>120</v>
      </c>
      <c r="F401" s="30" t="s">
        <v>1261</v>
      </c>
      <c r="G401" s="28" t="s">
        <v>172</v>
      </c>
      <c r="H401" s="31" t="n">
        <v>362</v>
      </c>
      <c r="I401" s="28" t="s">
        <v>107</v>
      </c>
      <c r="J401" s="30" t="s">
        <v>173</v>
      </c>
      <c r="K401" s="30" t="s">
        <v>109</v>
      </c>
      <c r="L401" s="32" t="s">
        <v>110</v>
      </c>
    </row>
    <row r="402" customFormat="false" ht="15" hidden="false" customHeight="false" outlineLevel="0" collapsed="false">
      <c r="A402" s="22" t="s">
        <v>1262</v>
      </c>
      <c r="B402" s="5" t="s">
        <v>1263</v>
      </c>
      <c r="C402" s="23" t="n">
        <v>-1563</v>
      </c>
      <c r="D402" s="5" t="s">
        <v>103</v>
      </c>
      <c r="E402" s="5" t="s">
        <v>120</v>
      </c>
      <c r="F402" s="24" t="s">
        <v>1264</v>
      </c>
      <c r="G402" s="5" t="s">
        <v>172</v>
      </c>
      <c r="H402" s="25" t="n">
        <v>363</v>
      </c>
      <c r="I402" s="5" t="s">
        <v>127</v>
      </c>
      <c r="J402" s="24" t="s">
        <v>173</v>
      </c>
      <c r="K402" s="24" t="s">
        <v>109</v>
      </c>
      <c r="L402" s="26" t="s">
        <v>110</v>
      </c>
    </row>
    <row r="403" customFormat="false" ht="15" hidden="false" customHeight="false" outlineLevel="0" collapsed="false">
      <c r="A403" s="27" t="s">
        <v>1265</v>
      </c>
      <c r="B403" s="28" t="s">
        <v>1263</v>
      </c>
      <c r="C403" s="33" t="n">
        <v>-32</v>
      </c>
      <c r="D403" s="28" t="s">
        <v>103</v>
      </c>
      <c r="E403" s="28" t="s">
        <v>160</v>
      </c>
      <c r="F403" s="30" t="s">
        <v>1266</v>
      </c>
      <c r="G403" s="28" t="s">
        <v>172</v>
      </c>
      <c r="H403" s="31" t="n">
        <v>363</v>
      </c>
      <c r="I403" s="28" t="s">
        <v>127</v>
      </c>
      <c r="J403" s="30" t="s">
        <v>173</v>
      </c>
      <c r="K403" s="30" t="s">
        <v>109</v>
      </c>
      <c r="L403" s="32" t="s">
        <v>110</v>
      </c>
    </row>
    <row r="404" customFormat="false" ht="15" hidden="false" customHeight="false" outlineLevel="0" collapsed="false">
      <c r="A404" s="22" t="s">
        <v>1267</v>
      </c>
      <c r="B404" s="5" t="s">
        <v>1268</v>
      </c>
      <c r="C404" s="23" t="n">
        <v>318</v>
      </c>
      <c r="D404" s="5" t="s">
        <v>103</v>
      </c>
      <c r="E404" s="5" t="s">
        <v>120</v>
      </c>
      <c r="F404" s="24" t="s">
        <v>341</v>
      </c>
      <c r="G404" s="5" t="s">
        <v>172</v>
      </c>
      <c r="H404" s="25" t="n">
        <v>363</v>
      </c>
      <c r="I404" s="5" t="s">
        <v>127</v>
      </c>
      <c r="J404" s="24" t="s">
        <v>173</v>
      </c>
      <c r="K404" s="24" t="s">
        <v>109</v>
      </c>
      <c r="L404" s="26" t="s">
        <v>110</v>
      </c>
    </row>
    <row r="405" customFormat="false" ht="15" hidden="false" customHeight="false" outlineLevel="0" collapsed="false">
      <c r="A405" s="27" t="s">
        <v>1269</v>
      </c>
      <c r="B405" s="28" t="s">
        <v>1268</v>
      </c>
      <c r="C405" s="33" t="n">
        <v>341</v>
      </c>
      <c r="D405" s="28" t="s">
        <v>103</v>
      </c>
      <c r="E405" s="28" t="s">
        <v>160</v>
      </c>
      <c r="F405" s="30" t="s">
        <v>1270</v>
      </c>
      <c r="G405" s="28" t="s">
        <v>172</v>
      </c>
      <c r="H405" s="31" t="n">
        <v>363</v>
      </c>
      <c r="I405" s="28" t="s">
        <v>127</v>
      </c>
      <c r="J405" s="30" t="s">
        <v>173</v>
      </c>
      <c r="K405" s="30" t="s">
        <v>109</v>
      </c>
      <c r="L405" s="32" t="s">
        <v>110</v>
      </c>
    </row>
    <row r="406" customFormat="false" ht="15" hidden="false" customHeight="false" outlineLevel="0" collapsed="false">
      <c r="A406" s="22" t="s">
        <v>1271</v>
      </c>
      <c r="B406" s="5" t="s">
        <v>1272</v>
      </c>
      <c r="C406" s="23" t="n">
        <v>-3358</v>
      </c>
      <c r="D406" s="5" t="s">
        <v>103</v>
      </c>
      <c r="E406" s="5" t="s">
        <v>120</v>
      </c>
      <c r="F406" s="24" t="s">
        <v>1273</v>
      </c>
      <c r="G406" s="5" t="s">
        <v>172</v>
      </c>
      <c r="H406" s="25" t="n">
        <v>363</v>
      </c>
      <c r="I406" s="5" t="s">
        <v>127</v>
      </c>
      <c r="J406" s="24" t="s">
        <v>173</v>
      </c>
      <c r="K406" s="24" t="s">
        <v>109</v>
      </c>
      <c r="L406" s="26" t="s">
        <v>110</v>
      </c>
    </row>
    <row r="407" customFormat="false" ht="15" hidden="false" customHeight="false" outlineLevel="0" collapsed="false">
      <c r="A407" s="27" t="s">
        <v>1274</v>
      </c>
      <c r="B407" s="28" t="s">
        <v>1272</v>
      </c>
      <c r="C407" s="33" t="n">
        <v>-1857</v>
      </c>
      <c r="D407" s="28" t="s">
        <v>103</v>
      </c>
      <c r="E407" s="28" t="s">
        <v>160</v>
      </c>
      <c r="F407" s="30" t="s">
        <v>1275</v>
      </c>
      <c r="G407" s="28" t="s">
        <v>172</v>
      </c>
      <c r="H407" s="31" t="n">
        <v>363</v>
      </c>
      <c r="I407" s="28" t="s">
        <v>127</v>
      </c>
      <c r="J407" s="30" t="s">
        <v>173</v>
      </c>
      <c r="K407" s="30" t="s">
        <v>109</v>
      </c>
      <c r="L407" s="32" t="s">
        <v>110</v>
      </c>
    </row>
    <row r="408" customFormat="false" ht="15" hidden="false" customHeight="false" outlineLevel="0" collapsed="false">
      <c r="A408" s="22" t="s">
        <v>1276</v>
      </c>
      <c r="B408" s="5" t="s">
        <v>1277</v>
      </c>
      <c r="C408" s="23" t="n">
        <v>7806</v>
      </c>
      <c r="D408" s="5" t="s">
        <v>103</v>
      </c>
      <c r="E408" s="5" t="s">
        <v>120</v>
      </c>
      <c r="F408" s="24" t="s">
        <v>1278</v>
      </c>
      <c r="G408" s="5" t="s">
        <v>172</v>
      </c>
      <c r="H408" s="25" t="n">
        <v>363</v>
      </c>
      <c r="I408" s="5" t="s">
        <v>107</v>
      </c>
      <c r="J408" s="24" t="s">
        <v>173</v>
      </c>
      <c r="K408" s="24" t="s">
        <v>109</v>
      </c>
      <c r="L408" s="26" t="s">
        <v>110</v>
      </c>
    </row>
    <row r="409" customFormat="false" ht="15" hidden="false" customHeight="false" outlineLevel="0" collapsed="false">
      <c r="A409" s="27" t="s">
        <v>1279</v>
      </c>
      <c r="B409" s="28" t="s">
        <v>1277</v>
      </c>
      <c r="C409" s="33" t="n">
        <v>9404</v>
      </c>
      <c r="D409" s="28" t="s">
        <v>103</v>
      </c>
      <c r="E409" s="28" t="s">
        <v>160</v>
      </c>
      <c r="F409" s="30" t="s">
        <v>1280</v>
      </c>
      <c r="G409" s="28" t="s">
        <v>172</v>
      </c>
      <c r="H409" s="31" t="n">
        <v>363</v>
      </c>
      <c r="I409" s="28" t="s">
        <v>107</v>
      </c>
      <c r="J409" s="30" t="s">
        <v>173</v>
      </c>
      <c r="K409" s="30" t="s">
        <v>109</v>
      </c>
      <c r="L409" s="32" t="s">
        <v>110</v>
      </c>
    </row>
    <row r="410" customFormat="false" ht="15" hidden="false" customHeight="false" outlineLevel="0" collapsed="false">
      <c r="A410" s="22" t="s">
        <v>1281</v>
      </c>
      <c r="B410" s="5" t="s">
        <v>1282</v>
      </c>
      <c r="C410" s="23" t="n">
        <v>22265</v>
      </c>
      <c r="D410" s="5" t="s">
        <v>103</v>
      </c>
      <c r="E410" s="5" t="s">
        <v>140</v>
      </c>
      <c r="F410" s="24" t="s">
        <v>1283</v>
      </c>
      <c r="G410" s="5" t="s">
        <v>172</v>
      </c>
      <c r="H410" s="25" t="n">
        <v>421</v>
      </c>
      <c r="I410" s="5" t="s">
        <v>107</v>
      </c>
      <c r="J410" s="24" t="s">
        <v>173</v>
      </c>
      <c r="K410" s="24" t="s">
        <v>109</v>
      </c>
      <c r="L410" s="26" t="s">
        <v>110</v>
      </c>
    </row>
    <row r="411" customFormat="false" ht="15" hidden="false" customHeight="false" outlineLevel="0" collapsed="false">
      <c r="A411" s="27" t="s">
        <v>1284</v>
      </c>
      <c r="B411" s="28" t="s">
        <v>1285</v>
      </c>
      <c r="C411" s="33" t="n">
        <v>1924</v>
      </c>
      <c r="D411" s="28" t="s">
        <v>103</v>
      </c>
      <c r="E411" s="28" t="s">
        <v>140</v>
      </c>
      <c r="F411" s="30" t="s">
        <v>1286</v>
      </c>
      <c r="G411" s="28" t="s">
        <v>172</v>
      </c>
      <c r="H411" s="31" t="n">
        <v>421</v>
      </c>
      <c r="I411" s="28" t="s">
        <v>107</v>
      </c>
      <c r="J411" s="30" t="s">
        <v>173</v>
      </c>
      <c r="K411" s="30" t="s">
        <v>109</v>
      </c>
      <c r="L411" s="32" t="s">
        <v>110</v>
      </c>
    </row>
    <row r="412" customFormat="false" ht="15" hidden="false" customHeight="false" outlineLevel="0" collapsed="false">
      <c r="A412" s="22" t="s">
        <v>1287</v>
      </c>
      <c r="B412" s="5" t="s">
        <v>1288</v>
      </c>
      <c r="C412" s="23" t="n">
        <v>34404</v>
      </c>
      <c r="D412" s="5" t="s">
        <v>103</v>
      </c>
      <c r="E412" s="5" t="s">
        <v>140</v>
      </c>
      <c r="F412" s="24" t="s">
        <v>1289</v>
      </c>
      <c r="G412" s="5" t="s">
        <v>172</v>
      </c>
      <c r="H412" s="25" t="n">
        <v>421</v>
      </c>
      <c r="I412" s="5" t="s">
        <v>107</v>
      </c>
      <c r="J412" s="24" t="s">
        <v>173</v>
      </c>
      <c r="K412" s="24" t="s">
        <v>109</v>
      </c>
      <c r="L412" s="26" t="s">
        <v>110</v>
      </c>
    </row>
    <row r="413" customFormat="false" ht="15" hidden="false" customHeight="false" outlineLevel="0" collapsed="false">
      <c r="A413" s="27" t="s">
        <v>1290</v>
      </c>
      <c r="B413" s="28" t="s">
        <v>1291</v>
      </c>
      <c r="C413" s="33" t="n">
        <v>9642</v>
      </c>
      <c r="D413" s="28" t="s">
        <v>103</v>
      </c>
      <c r="E413" s="28" t="s">
        <v>140</v>
      </c>
      <c r="F413" s="30" t="s">
        <v>1292</v>
      </c>
      <c r="G413" s="28" t="s">
        <v>172</v>
      </c>
      <c r="H413" s="31" t="n">
        <v>421</v>
      </c>
      <c r="I413" s="28" t="s">
        <v>107</v>
      </c>
      <c r="J413" s="30" t="s">
        <v>173</v>
      </c>
      <c r="K413" s="30" t="s">
        <v>109</v>
      </c>
      <c r="L413" s="32" t="s">
        <v>110</v>
      </c>
    </row>
    <row r="414" customFormat="false" ht="15" hidden="false" customHeight="false" outlineLevel="0" collapsed="false">
      <c r="A414" s="22" t="s">
        <v>1293</v>
      </c>
      <c r="B414" s="5" t="s">
        <v>1294</v>
      </c>
      <c r="C414" s="23" t="n">
        <v>2422</v>
      </c>
      <c r="D414" s="5" t="s">
        <v>103</v>
      </c>
      <c r="E414" s="5" t="s">
        <v>140</v>
      </c>
      <c r="F414" s="24" t="s">
        <v>1295</v>
      </c>
      <c r="G414" s="5" t="s">
        <v>172</v>
      </c>
      <c r="H414" s="25" t="n">
        <v>421</v>
      </c>
      <c r="I414" s="5" t="s">
        <v>107</v>
      </c>
      <c r="J414" s="24" t="s">
        <v>173</v>
      </c>
      <c r="K414" s="24" t="s">
        <v>109</v>
      </c>
      <c r="L414" s="26" t="s">
        <v>110</v>
      </c>
    </row>
    <row r="415" customFormat="false" ht="15" hidden="false" customHeight="false" outlineLevel="0" collapsed="false">
      <c r="A415" s="27" t="s">
        <v>1296</v>
      </c>
      <c r="B415" s="28" t="s">
        <v>1297</v>
      </c>
      <c r="C415" s="33" t="n">
        <v>9026</v>
      </c>
      <c r="D415" s="28" t="s">
        <v>103</v>
      </c>
      <c r="E415" s="28" t="s">
        <v>140</v>
      </c>
      <c r="F415" s="30" t="s">
        <v>1298</v>
      </c>
      <c r="G415" s="28" t="s">
        <v>172</v>
      </c>
      <c r="H415" s="31" t="n">
        <v>421</v>
      </c>
      <c r="I415" s="28" t="s">
        <v>107</v>
      </c>
      <c r="J415" s="30" t="s">
        <v>173</v>
      </c>
      <c r="K415" s="30" t="s">
        <v>109</v>
      </c>
      <c r="L415" s="32" t="s">
        <v>110</v>
      </c>
    </row>
    <row r="416" customFormat="false" ht="15" hidden="false" customHeight="false" outlineLevel="0" collapsed="false">
      <c r="A416" s="22" t="s">
        <v>1299</v>
      </c>
      <c r="B416" s="5" t="s">
        <v>1300</v>
      </c>
      <c r="C416" s="23" t="n">
        <v>6886</v>
      </c>
      <c r="D416" s="5" t="s">
        <v>103</v>
      </c>
      <c r="E416" s="5" t="s">
        <v>140</v>
      </c>
      <c r="F416" s="24" t="s">
        <v>1301</v>
      </c>
      <c r="G416" s="5" t="s">
        <v>172</v>
      </c>
      <c r="H416" s="25" t="n">
        <v>421</v>
      </c>
      <c r="I416" s="5" t="s">
        <v>107</v>
      </c>
      <c r="J416" s="24" t="s">
        <v>173</v>
      </c>
      <c r="K416" s="24" t="s">
        <v>109</v>
      </c>
      <c r="L416" s="26" t="s">
        <v>110</v>
      </c>
    </row>
    <row r="417" customFormat="false" ht="15" hidden="false" customHeight="false" outlineLevel="0" collapsed="false">
      <c r="A417" s="27" t="s">
        <v>1302</v>
      </c>
      <c r="B417" s="28" t="s">
        <v>1303</v>
      </c>
      <c r="C417" s="33" t="n">
        <v>17792</v>
      </c>
      <c r="D417" s="28" t="s">
        <v>103</v>
      </c>
      <c r="E417" s="28" t="s">
        <v>193</v>
      </c>
      <c r="F417" s="30" t="s">
        <v>1304</v>
      </c>
      <c r="G417" s="28" t="s">
        <v>172</v>
      </c>
      <c r="H417" s="31" t="n">
        <v>421</v>
      </c>
      <c r="I417" s="28" t="s">
        <v>107</v>
      </c>
      <c r="J417" s="30" t="s">
        <v>173</v>
      </c>
      <c r="K417" s="30" t="s">
        <v>109</v>
      </c>
      <c r="L417" s="32" t="s">
        <v>110</v>
      </c>
    </row>
    <row r="418" customFormat="false" ht="15" hidden="false" customHeight="false" outlineLevel="0" collapsed="false">
      <c r="A418" s="22" t="s">
        <v>1305</v>
      </c>
      <c r="B418" s="5" t="s">
        <v>1300</v>
      </c>
      <c r="C418" s="23" t="n">
        <v>8313</v>
      </c>
      <c r="D418" s="5" t="s">
        <v>103</v>
      </c>
      <c r="E418" s="5" t="s">
        <v>193</v>
      </c>
      <c r="F418" s="24" t="s">
        <v>1306</v>
      </c>
      <c r="G418" s="5" t="s">
        <v>172</v>
      </c>
      <c r="H418" s="25" t="n">
        <v>421</v>
      </c>
      <c r="I418" s="5" t="s">
        <v>107</v>
      </c>
      <c r="J418" s="24" t="s">
        <v>173</v>
      </c>
      <c r="K418" s="24" t="s">
        <v>109</v>
      </c>
      <c r="L418" s="26" t="s">
        <v>110</v>
      </c>
    </row>
    <row r="419" customFormat="false" ht="15" hidden="false" customHeight="false" outlineLevel="0" collapsed="false">
      <c r="A419" s="27" t="s">
        <v>1307</v>
      </c>
      <c r="B419" s="28" t="s">
        <v>1308</v>
      </c>
      <c r="C419" s="33" t="n">
        <v>2030</v>
      </c>
      <c r="D419" s="28" t="s">
        <v>1309</v>
      </c>
      <c r="E419" s="28" t="s">
        <v>140</v>
      </c>
      <c r="F419" s="30" t="s">
        <v>1310</v>
      </c>
      <c r="G419" s="28" t="s">
        <v>172</v>
      </c>
      <c r="H419" s="31" t="n">
        <v>421</v>
      </c>
      <c r="I419" s="28" t="s">
        <v>107</v>
      </c>
      <c r="J419" s="30" t="s">
        <v>173</v>
      </c>
      <c r="K419" s="30" t="s">
        <v>109</v>
      </c>
      <c r="L419" s="32" t="s">
        <v>110</v>
      </c>
    </row>
    <row r="420" customFormat="false" ht="15" hidden="false" customHeight="false" outlineLevel="0" collapsed="false">
      <c r="A420" s="22" t="s">
        <v>1311</v>
      </c>
      <c r="B420" s="5" t="s">
        <v>1312</v>
      </c>
      <c r="C420" s="23" t="n">
        <v>5938</v>
      </c>
      <c r="D420" s="5" t="s">
        <v>103</v>
      </c>
      <c r="E420" s="5" t="s">
        <v>140</v>
      </c>
      <c r="F420" s="24" t="s">
        <v>1313</v>
      </c>
      <c r="G420" s="5" t="s">
        <v>172</v>
      </c>
      <c r="H420" s="25" t="n">
        <v>422</v>
      </c>
      <c r="I420" s="5" t="s">
        <v>107</v>
      </c>
      <c r="J420" s="24" t="s">
        <v>173</v>
      </c>
      <c r="K420" s="24" t="s">
        <v>109</v>
      </c>
      <c r="L420" s="26" t="s">
        <v>110</v>
      </c>
    </row>
    <row r="421" customFormat="false" ht="15" hidden="false" customHeight="false" outlineLevel="0" collapsed="false">
      <c r="A421" s="27" t="s">
        <v>1314</v>
      </c>
      <c r="B421" s="28" t="s">
        <v>1315</v>
      </c>
      <c r="C421" s="33" t="n">
        <v>4650</v>
      </c>
      <c r="D421" s="28" t="s">
        <v>103</v>
      </c>
      <c r="E421" s="28" t="s">
        <v>140</v>
      </c>
      <c r="F421" s="30" t="s">
        <v>1316</v>
      </c>
      <c r="G421" s="28" t="s">
        <v>172</v>
      </c>
      <c r="H421" s="31" t="n">
        <v>422</v>
      </c>
      <c r="I421" s="28" t="s">
        <v>107</v>
      </c>
      <c r="J421" s="30" t="s">
        <v>173</v>
      </c>
      <c r="K421" s="30" t="s">
        <v>109</v>
      </c>
      <c r="L421" s="32" t="s">
        <v>110</v>
      </c>
    </row>
    <row r="422" customFormat="false" ht="15" hidden="false" customHeight="false" outlineLevel="0" collapsed="false">
      <c r="A422" s="22" t="s">
        <v>1317</v>
      </c>
      <c r="B422" s="5" t="s">
        <v>1303</v>
      </c>
      <c r="C422" s="23" t="n">
        <v>15911</v>
      </c>
      <c r="D422" s="5" t="s">
        <v>103</v>
      </c>
      <c r="E422" s="5" t="s">
        <v>140</v>
      </c>
      <c r="F422" s="24" t="s">
        <v>1318</v>
      </c>
      <c r="G422" s="5" t="s">
        <v>172</v>
      </c>
      <c r="H422" s="25" t="n">
        <v>421</v>
      </c>
      <c r="I422" s="5" t="s">
        <v>107</v>
      </c>
      <c r="J422" s="24" t="s">
        <v>173</v>
      </c>
      <c r="K422" s="24" t="s">
        <v>109</v>
      </c>
      <c r="L422" s="26" t="s">
        <v>110</v>
      </c>
    </row>
    <row r="423" customFormat="false" ht="15" hidden="false" customHeight="false" outlineLevel="0" collapsed="false">
      <c r="A423" s="27" t="s">
        <v>1319</v>
      </c>
      <c r="B423" s="28" t="s">
        <v>1320</v>
      </c>
      <c r="C423" s="29" t="n">
        <v>6.5</v>
      </c>
      <c r="D423" s="28" t="s">
        <v>130</v>
      </c>
      <c r="E423" s="28" t="s">
        <v>666</v>
      </c>
      <c r="F423" s="30" t="s">
        <v>513</v>
      </c>
      <c r="G423" s="28" t="s">
        <v>116</v>
      </c>
      <c r="H423" s="31" t="n">
        <v>58</v>
      </c>
      <c r="I423" s="28" t="s">
        <v>227</v>
      </c>
      <c r="J423" s="30" t="s">
        <v>118</v>
      </c>
      <c r="K423" s="30" t="s">
        <v>109</v>
      </c>
      <c r="L423" s="32" t="s">
        <v>110</v>
      </c>
    </row>
    <row r="424" customFormat="false" ht="15" hidden="false" customHeight="false" outlineLevel="0" collapsed="false">
      <c r="A424" s="22" t="s">
        <v>1321</v>
      </c>
      <c r="B424" s="5" t="s">
        <v>1322</v>
      </c>
      <c r="C424" s="23" t="n">
        <v>5</v>
      </c>
      <c r="D424" s="5" t="s">
        <v>299</v>
      </c>
      <c r="E424" s="5" t="s">
        <v>1323</v>
      </c>
      <c r="F424" s="24" t="s">
        <v>398</v>
      </c>
      <c r="G424" s="5" t="s">
        <v>116</v>
      </c>
      <c r="H424" s="25" t="n">
        <v>58</v>
      </c>
      <c r="I424" s="5" t="s">
        <v>227</v>
      </c>
      <c r="J424" s="24" t="s">
        <v>118</v>
      </c>
      <c r="K424" s="24" t="s">
        <v>109</v>
      </c>
      <c r="L424" s="26" t="s">
        <v>110</v>
      </c>
    </row>
    <row r="425" customFormat="false" ht="15" hidden="false" customHeight="false" outlineLevel="0" collapsed="false">
      <c r="A425" s="27" t="s">
        <v>1324</v>
      </c>
      <c r="B425" s="28" t="s">
        <v>1325</v>
      </c>
      <c r="C425" s="33" t="n">
        <v>350</v>
      </c>
      <c r="D425" s="28" t="s">
        <v>103</v>
      </c>
      <c r="E425" s="28" t="s">
        <v>114</v>
      </c>
      <c r="F425" s="30" t="s">
        <v>1326</v>
      </c>
      <c r="G425" s="28" t="s">
        <v>116</v>
      </c>
      <c r="H425" s="31" t="n">
        <v>58</v>
      </c>
      <c r="I425" s="28" t="s">
        <v>227</v>
      </c>
      <c r="J425" s="30" t="s">
        <v>118</v>
      </c>
      <c r="K425" s="30" t="s">
        <v>109</v>
      </c>
      <c r="L425" s="32" t="s">
        <v>110</v>
      </c>
    </row>
    <row r="426" customFormat="false" ht="15" hidden="false" customHeight="false" outlineLevel="0" collapsed="false">
      <c r="A426" s="22" t="s">
        <v>1327</v>
      </c>
      <c r="B426" s="5" t="s">
        <v>1328</v>
      </c>
      <c r="C426" s="23" t="n">
        <v>200</v>
      </c>
      <c r="D426" s="5" t="s">
        <v>103</v>
      </c>
      <c r="E426" s="5" t="s">
        <v>1329</v>
      </c>
      <c r="F426" s="24" t="s">
        <v>293</v>
      </c>
      <c r="G426" s="5" t="s">
        <v>116</v>
      </c>
      <c r="H426" s="25" t="n">
        <v>58</v>
      </c>
      <c r="I426" s="5" t="s">
        <v>227</v>
      </c>
      <c r="J426" s="24" t="s">
        <v>118</v>
      </c>
      <c r="K426" s="24" t="s">
        <v>109</v>
      </c>
      <c r="L426" s="26" t="s">
        <v>110</v>
      </c>
    </row>
    <row r="427" customFormat="false" ht="15" hidden="false" customHeight="false" outlineLevel="0" collapsed="false">
      <c r="A427" s="27" t="s">
        <v>1330</v>
      </c>
      <c r="B427" s="28" t="s">
        <v>1331</v>
      </c>
      <c r="C427" s="33" t="n">
        <v>500</v>
      </c>
      <c r="D427" s="28" t="s">
        <v>103</v>
      </c>
      <c r="E427" s="28" t="s">
        <v>1332</v>
      </c>
      <c r="F427" s="30" t="s">
        <v>970</v>
      </c>
      <c r="G427" s="28" t="s">
        <v>116</v>
      </c>
      <c r="H427" s="31" t="n">
        <v>58</v>
      </c>
      <c r="I427" s="28" t="s">
        <v>227</v>
      </c>
      <c r="J427" s="30" t="s">
        <v>118</v>
      </c>
      <c r="K427" s="30" t="s">
        <v>109</v>
      </c>
      <c r="L427" s="32" t="s">
        <v>110</v>
      </c>
    </row>
    <row r="428" customFormat="false" ht="15" hidden="false" customHeight="false" outlineLevel="0" collapsed="false">
      <c r="A428" s="22" t="s">
        <v>1333</v>
      </c>
      <c r="B428" s="5" t="s">
        <v>1334</v>
      </c>
      <c r="C428" s="23" t="n">
        <v>10</v>
      </c>
      <c r="D428" s="5" t="s">
        <v>299</v>
      </c>
      <c r="E428" s="5" t="s">
        <v>1323</v>
      </c>
      <c r="F428" s="24" t="s">
        <v>236</v>
      </c>
      <c r="G428" s="5" t="s">
        <v>116</v>
      </c>
      <c r="H428" s="25" t="n">
        <v>69</v>
      </c>
      <c r="I428" s="5" t="s">
        <v>227</v>
      </c>
      <c r="J428" s="24" t="s">
        <v>118</v>
      </c>
      <c r="K428" s="24" t="s">
        <v>109</v>
      </c>
      <c r="L428" s="26" t="s">
        <v>110</v>
      </c>
    </row>
    <row r="429" customFormat="false" ht="15" hidden="false" customHeight="false" outlineLevel="0" collapsed="false">
      <c r="A429" s="27" t="s">
        <v>1335</v>
      </c>
      <c r="B429" s="28" t="s">
        <v>1336</v>
      </c>
      <c r="C429" s="33" t="n">
        <v>399</v>
      </c>
      <c r="D429" s="28" t="s">
        <v>103</v>
      </c>
      <c r="E429" s="28" t="s">
        <v>120</v>
      </c>
      <c r="F429" s="30" t="s">
        <v>1337</v>
      </c>
      <c r="G429" s="28" t="s">
        <v>586</v>
      </c>
      <c r="H429" s="31" t="n">
        <v>21</v>
      </c>
      <c r="I429" s="28" t="s">
        <v>227</v>
      </c>
      <c r="J429" s="30" t="s">
        <v>587</v>
      </c>
      <c r="K429" s="30" t="s">
        <v>109</v>
      </c>
      <c r="L429" s="32" t="s">
        <v>110</v>
      </c>
    </row>
    <row r="430" customFormat="false" ht="15" hidden="false" customHeight="false" outlineLevel="0" collapsed="false">
      <c r="A430" s="22" t="s">
        <v>1338</v>
      </c>
      <c r="B430" s="5" t="s">
        <v>1339</v>
      </c>
      <c r="C430" s="34" t="n">
        <v>6.3</v>
      </c>
      <c r="D430" s="5" t="s">
        <v>299</v>
      </c>
      <c r="E430" s="5" t="s">
        <v>120</v>
      </c>
      <c r="F430" s="24" t="s">
        <v>1340</v>
      </c>
      <c r="G430" s="5" t="s">
        <v>586</v>
      </c>
      <c r="H430" s="25" t="n">
        <v>21</v>
      </c>
      <c r="I430" s="5" t="s">
        <v>227</v>
      </c>
      <c r="J430" s="24" t="s">
        <v>587</v>
      </c>
      <c r="K430" s="24" t="s">
        <v>109</v>
      </c>
      <c r="L430" s="26" t="s">
        <v>110</v>
      </c>
    </row>
    <row r="431" customFormat="false" ht="15" hidden="false" customHeight="false" outlineLevel="0" collapsed="false">
      <c r="A431" s="27" t="s">
        <v>1341</v>
      </c>
      <c r="B431" s="28" t="s">
        <v>1342</v>
      </c>
      <c r="C431" s="29" t="n">
        <v>15.9</v>
      </c>
      <c r="D431" s="28" t="s">
        <v>299</v>
      </c>
      <c r="E431" s="28" t="s">
        <v>120</v>
      </c>
      <c r="F431" s="30" t="s">
        <v>1343</v>
      </c>
      <c r="G431" s="28" t="s">
        <v>586</v>
      </c>
      <c r="H431" s="31" t="n">
        <v>21</v>
      </c>
      <c r="I431" s="28" t="s">
        <v>227</v>
      </c>
      <c r="J431" s="30" t="s">
        <v>587</v>
      </c>
      <c r="K431" s="30" t="s">
        <v>109</v>
      </c>
      <c r="L431" s="32" t="s">
        <v>110</v>
      </c>
    </row>
    <row r="432" customFormat="false" ht="15" hidden="false" customHeight="false" outlineLevel="0" collapsed="false">
      <c r="A432" s="22" t="s">
        <v>1344</v>
      </c>
      <c r="B432" s="5" t="s">
        <v>1345</v>
      </c>
      <c r="C432" s="34" t="n">
        <v>2.8</v>
      </c>
      <c r="D432" s="5" t="s">
        <v>299</v>
      </c>
      <c r="E432" s="5" t="s">
        <v>120</v>
      </c>
      <c r="F432" s="24" t="s">
        <v>1346</v>
      </c>
      <c r="G432" s="5" t="s">
        <v>586</v>
      </c>
      <c r="H432" s="25" t="n">
        <v>21</v>
      </c>
      <c r="I432" s="5" t="s">
        <v>227</v>
      </c>
      <c r="J432" s="24" t="s">
        <v>587</v>
      </c>
      <c r="K432" s="24" t="s">
        <v>109</v>
      </c>
      <c r="L432" s="26" t="s">
        <v>110</v>
      </c>
    </row>
    <row r="433" customFormat="false" ht="15" hidden="false" customHeight="false" outlineLevel="0" collapsed="false">
      <c r="A433" s="27" t="s">
        <v>1347</v>
      </c>
      <c r="B433" s="28" t="s">
        <v>1348</v>
      </c>
      <c r="C433" s="33" t="n">
        <v>8</v>
      </c>
      <c r="D433" s="28" t="s">
        <v>299</v>
      </c>
      <c r="E433" s="28" t="s">
        <v>120</v>
      </c>
      <c r="F433" s="30" t="s">
        <v>1349</v>
      </c>
      <c r="G433" s="28" t="s">
        <v>586</v>
      </c>
      <c r="H433" s="31" t="n">
        <v>21</v>
      </c>
      <c r="I433" s="28" t="s">
        <v>227</v>
      </c>
      <c r="J433" s="30" t="s">
        <v>587</v>
      </c>
      <c r="K433" s="30" t="s">
        <v>109</v>
      </c>
      <c r="L433" s="32" t="s">
        <v>110</v>
      </c>
    </row>
    <row r="434" customFormat="false" ht="15" hidden="false" customHeight="false" outlineLevel="0" collapsed="false">
      <c r="A434" s="22" t="s">
        <v>1350</v>
      </c>
      <c r="B434" s="5" t="s">
        <v>1351</v>
      </c>
      <c r="C434" s="23" t="n">
        <v>31205</v>
      </c>
      <c r="D434" s="5" t="s">
        <v>103</v>
      </c>
      <c r="E434" s="5" t="s">
        <v>120</v>
      </c>
      <c r="F434" s="24" t="s">
        <v>1352</v>
      </c>
      <c r="G434" s="5" t="s">
        <v>586</v>
      </c>
      <c r="H434" s="25" t="n">
        <v>24</v>
      </c>
      <c r="I434" s="5" t="s">
        <v>227</v>
      </c>
      <c r="J434" s="24" t="s">
        <v>587</v>
      </c>
      <c r="K434" s="24" t="s">
        <v>109</v>
      </c>
      <c r="L434" s="26" t="s">
        <v>110</v>
      </c>
    </row>
    <row r="435" customFormat="false" ht="15" hidden="false" customHeight="false" outlineLevel="0" collapsed="false">
      <c r="A435" s="27" t="s">
        <v>1353</v>
      </c>
      <c r="B435" s="28" t="s">
        <v>1354</v>
      </c>
      <c r="C435" s="29" t="n">
        <v>2.2</v>
      </c>
      <c r="D435" s="28" t="s">
        <v>299</v>
      </c>
      <c r="E435" s="28" t="s">
        <v>120</v>
      </c>
      <c r="F435" s="30" t="s">
        <v>1355</v>
      </c>
      <c r="G435" s="28" t="s">
        <v>586</v>
      </c>
      <c r="H435" s="31" t="n">
        <v>24</v>
      </c>
      <c r="I435" s="28" t="s">
        <v>227</v>
      </c>
      <c r="J435" s="30" t="s">
        <v>587</v>
      </c>
      <c r="K435" s="30" t="s">
        <v>109</v>
      </c>
      <c r="L435" s="32" t="s">
        <v>110</v>
      </c>
    </row>
    <row r="436" customFormat="false" ht="15" hidden="false" customHeight="false" outlineLevel="0" collapsed="false">
      <c r="A436" s="22" t="s">
        <v>1356</v>
      </c>
      <c r="B436" s="5" t="s">
        <v>1357</v>
      </c>
      <c r="C436" s="23" t="n">
        <v>5383</v>
      </c>
      <c r="D436" s="5" t="s">
        <v>103</v>
      </c>
      <c r="E436" s="5" t="s">
        <v>120</v>
      </c>
      <c r="F436" s="24" t="s">
        <v>1358</v>
      </c>
      <c r="G436" s="5" t="s">
        <v>586</v>
      </c>
      <c r="H436" s="25" t="n">
        <v>24</v>
      </c>
      <c r="I436" s="5" t="s">
        <v>227</v>
      </c>
      <c r="J436" s="24" t="s">
        <v>587</v>
      </c>
      <c r="K436" s="24" t="s">
        <v>109</v>
      </c>
      <c r="L436" s="26" t="s">
        <v>110</v>
      </c>
    </row>
    <row r="437" customFormat="false" ht="15" hidden="false" customHeight="false" outlineLevel="0" collapsed="false">
      <c r="A437" s="27" t="s">
        <v>1359</v>
      </c>
      <c r="B437" s="28" t="s">
        <v>1360</v>
      </c>
      <c r="C437" s="29" t="n">
        <v>4.8</v>
      </c>
      <c r="D437" s="28" t="s">
        <v>299</v>
      </c>
      <c r="E437" s="28" t="s">
        <v>120</v>
      </c>
      <c r="F437" s="30" t="s">
        <v>1361</v>
      </c>
      <c r="G437" s="28" t="s">
        <v>586</v>
      </c>
      <c r="H437" s="31" t="n">
        <v>24</v>
      </c>
      <c r="I437" s="28" t="s">
        <v>227</v>
      </c>
      <c r="J437" s="30" t="s">
        <v>587</v>
      </c>
      <c r="K437" s="30" t="s">
        <v>109</v>
      </c>
      <c r="L437" s="32" t="s">
        <v>110</v>
      </c>
    </row>
    <row r="438" customFormat="false" ht="15" hidden="false" customHeight="false" outlineLevel="0" collapsed="false">
      <c r="A438" s="22" t="s">
        <v>1362</v>
      </c>
      <c r="B438" s="5" t="s">
        <v>1363</v>
      </c>
      <c r="C438" s="34" t="n">
        <v>17.2</v>
      </c>
      <c r="D438" s="5" t="s">
        <v>299</v>
      </c>
      <c r="E438" s="5" t="s">
        <v>120</v>
      </c>
      <c r="F438" s="24" t="s">
        <v>1364</v>
      </c>
      <c r="G438" s="5" t="s">
        <v>586</v>
      </c>
      <c r="H438" s="25" t="n">
        <v>24</v>
      </c>
      <c r="I438" s="5" t="s">
        <v>227</v>
      </c>
      <c r="J438" s="24" t="s">
        <v>587</v>
      </c>
      <c r="K438" s="24" t="s">
        <v>109</v>
      </c>
      <c r="L438" s="26" t="s">
        <v>110</v>
      </c>
    </row>
    <row r="439" customFormat="false" ht="15" hidden="false" customHeight="false" outlineLevel="0" collapsed="false">
      <c r="A439" s="27" t="s">
        <v>1365</v>
      </c>
      <c r="B439" s="28" t="s">
        <v>1366</v>
      </c>
      <c r="C439" s="33" t="n">
        <v>12739</v>
      </c>
      <c r="D439" s="28" t="s">
        <v>103</v>
      </c>
      <c r="E439" s="28" t="s">
        <v>120</v>
      </c>
      <c r="F439" s="30" t="s">
        <v>1367</v>
      </c>
      <c r="G439" s="28" t="s">
        <v>586</v>
      </c>
      <c r="H439" s="31" t="n">
        <v>24</v>
      </c>
      <c r="I439" s="28" t="s">
        <v>227</v>
      </c>
      <c r="J439" s="30" t="s">
        <v>587</v>
      </c>
      <c r="K439" s="30" t="s">
        <v>109</v>
      </c>
      <c r="L439" s="32" t="s">
        <v>110</v>
      </c>
    </row>
    <row r="440" customFormat="false" ht="15" hidden="false" customHeight="false" outlineLevel="0" collapsed="false">
      <c r="A440" s="22" t="s">
        <v>1368</v>
      </c>
      <c r="B440" s="5" t="s">
        <v>1369</v>
      </c>
      <c r="C440" s="23" t="n">
        <v>2729</v>
      </c>
      <c r="D440" s="5" t="s">
        <v>103</v>
      </c>
      <c r="E440" s="5" t="s">
        <v>120</v>
      </c>
      <c r="F440" s="24" t="s">
        <v>1370</v>
      </c>
      <c r="G440" s="5" t="s">
        <v>586</v>
      </c>
      <c r="H440" s="25" t="n">
        <v>24</v>
      </c>
      <c r="I440" s="5" t="s">
        <v>227</v>
      </c>
      <c r="J440" s="24" t="s">
        <v>587</v>
      </c>
      <c r="K440" s="24" t="s">
        <v>109</v>
      </c>
      <c r="L440" s="26" t="s">
        <v>110</v>
      </c>
    </row>
    <row r="441" customFormat="false" ht="15" hidden="false" customHeight="false" outlineLevel="0" collapsed="false">
      <c r="A441" s="27" t="s">
        <v>1371</v>
      </c>
      <c r="B441" s="28" t="s">
        <v>1372</v>
      </c>
      <c r="C441" s="29" t="n">
        <v>6.1</v>
      </c>
      <c r="D441" s="28" t="s">
        <v>299</v>
      </c>
      <c r="E441" s="28" t="s">
        <v>120</v>
      </c>
      <c r="F441" s="30" t="s">
        <v>1373</v>
      </c>
      <c r="G441" s="28" t="s">
        <v>586</v>
      </c>
      <c r="H441" s="31" t="n">
        <v>24</v>
      </c>
      <c r="I441" s="28" t="s">
        <v>227</v>
      </c>
      <c r="J441" s="30" t="s">
        <v>587</v>
      </c>
      <c r="K441" s="30" t="s">
        <v>109</v>
      </c>
      <c r="L441" s="32" t="s">
        <v>110</v>
      </c>
    </row>
    <row r="442" customFormat="false" ht="15" hidden="false" customHeight="false" outlineLevel="0" collapsed="false">
      <c r="A442" s="22" t="s">
        <v>1374</v>
      </c>
      <c r="B442" s="5" t="s">
        <v>1375</v>
      </c>
      <c r="C442" s="23" t="n">
        <v>7240</v>
      </c>
      <c r="D442" s="5" t="s">
        <v>103</v>
      </c>
      <c r="E442" s="5" t="s">
        <v>120</v>
      </c>
      <c r="F442" s="24" t="s">
        <v>1376</v>
      </c>
      <c r="G442" s="5" t="s">
        <v>586</v>
      </c>
      <c r="H442" s="25" t="n">
        <v>24</v>
      </c>
      <c r="I442" s="5" t="s">
        <v>227</v>
      </c>
      <c r="J442" s="24" t="s">
        <v>587</v>
      </c>
      <c r="K442" s="24" t="s">
        <v>109</v>
      </c>
      <c r="L442" s="26" t="s">
        <v>110</v>
      </c>
    </row>
    <row r="443" customFormat="false" ht="15" hidden="false" customHeight="false" outlineLevel="0" collapsed="false">
      <c r="A443" s="27" t="s">
        <v>1377</v>
      </c>
      <c r="B443" s="28" t="s">
        <v>1378</v>
      </c>
      <c r="C443" s="33" t="n">
        <v>1087</v>
      </c>
      <c r="D443" s="28" t="s">
        <v>103</v>
      </c>
      <c r="E443" s="28" t="s">
        <v>120</v>
      </c>
      <c r="F443" s="30" t="s">
        <v>1379</v>
      </c>
      <c r="G443" s="28" t="s">
        <v>586</v>
      </c>
      <c r="H443" s="31" t="n">
        <v>24</v>
      </c>
      <c r="I443" s="28" t="s">
        <v>227</v>
      </c>
      <c r="J443" s="30" t="s">
        <v>587</v>
      </c>
      <c r="K443" s="30" t="s">
        <v>109</v>
      </c>
      <c r="L443" s="32" t="s">
        <v>110</v>
      </c>
    </row>
    <row r="444" customFormat="false" ht="15" hidden="false" customHeight="false" outlineLevel="0" collapsed="false">
      <c r="A444" s="22" t="s">
        <v>1380</v>
      </c>
      <c r="B444" s="5" t="s">
        <v>1381</v>
      </c>
      <c r="C444" s="34" t="n">
        <v>-1.5</v>
      </c>
      <c r="D444" s="5" t="s">
        <v>299</v>
      </c>
      <c r="E444" s="5" t="s">
        <v>120</v>
      </c>
      <c r="F444" s="24" t="s">
        <v>1382</v>
      </c>
      <c r="G444" s="5" t="s">
        <v>586</v>
      </c>
      <c r="H444" s="25" t="n">
        <v>24</v>
      </c>
      <c r="I444" s="5" t="s">
        <v>227</v>
      </c>
      <c r="J444" s="24" t="s">
        <v>587</v>
      </c>
      <c r="K444" s="24" t="s">
        <v>109</v>
      </c>
      <c r="L444" s="26" t="s">
        <v>110</v>
      </c>
    </row>
    <row r="445" customFormat="false" ht="15" hidden="false" customHeight="false" outlineLevel="0" collapsed="false">
      <c r="A445" s="27" t="s">
        <v>1383</v>
      </c>
      <c r="B445" s="28" t="s">
        <v>1384</v>
      </c>
      <c r="C445" s="33" t="n">
        <v>11226</v>
      </c>
      <c r="D445" s="28" t="s">
        <v>103</v>
      </c>
      <c r="E445" s="28" t="s">
        <v>120</v>
      </c>
      <c r="F445" s="30" t="s">
        <v>1385</v>
      </c>
      <c r="G445" s="28" t="s">
        <v>586</v>
      </c>
      <c r="H445" s="31" t="n">
        <v>24</v>
      </c>
      <c r="I445" s="28" t="s">
        <v>227</v>
      </c>
      <c r="J445" s="30" t="s">
        <v>587</v>
      </c>
      <c r="K445" s="30" t="s">
        <v>109</v>
      </c>
      <c r="L445" s="32" t="s">
        <v>110</v>
      </c>
    </row>
    <row r="446" customFormat="false" ht="15" hidden="false" customHeight="false" outlineLevel="0" collapsed="false">
      <c r="A446" s="22" t="s">
        <v>1386</v>
      </c>
      <c r="B446" s="5" t="s">
        <v>1387</v>
      </c>
      <c r="C446" s="23" t="n">
        <v>1566</v>
      </c>
      <c r="D446" s="5" t="s">
        <v>103</v>
      </c>
      <c r="E446" s="5" t="s">
        <v>120</v>
      </c>
      <c r="F446" s="24" t="s">
        <v>1388</v>
      </c>
      <c r="G446" s="5" t="s">
        <v>586</v>
      </c>
      <c r="H446" s="25" t="n">
        <v>24</v>
      </c>
      <c r="I446" s="5" t="s">
        <v>227</v>
      </c>
      <c r="J446" s="24" t="s">
        <v>587</v>
      </c>
      <c r="K446" s="24" t="s">
        <v>109</v>
      </c>
      <c r="L446" s="26" t="s">
        <v>110</v>
      </c>
    </row>
    <row r="447" customFormat="false" ht="15" hidden="false" customHeight="false" outlineLevel="0" collapsed="false">
      <c r="A447" s="27" t="s">
        <v>1389</v>
      </c>
      <c r="B447" s="28" t="s">
        <v>1390</v>
      </c>
      <c r="C447" s="29" t="n">
        <v>6.8</v>
      </c>
      <c r="D447" s="28" t="s">
        <v>299</v>
      </c>
      <c r="E447" s="28" t="s">
        <v>120</v>
      </c>
      <c r="F447" s="30" t="s">
        <v>1391</v>
      </c>
      <c r="G447" s="28" t="s">
        <v>586</v>
      </c>
      <c r="H447" s="31" t="n">
        <v>24</v>
      </c>
      <c r="I447" s="28" t="s">
        <v>227</v>
      </c>
      <c r="J447" s="30" t="s">
        <v>587</v>
      </c>
      <c r="K447" s="30" t="s">
        <v>109</v>
      </c>
      <c r="L447" s="32" t="s">
        <v>110</v>
      </c>
    </row>
    <row r="448" customFormat="false" ht="15" hidden="false" customHeight="false" outlineLevel="0" collapsed="false">
      <c r="A448" s="22" t="s">
        <v>1392</v>
      </c>
      <c r="B448" s="5" t="s">
        <v>1393</v>
      </c>
      <c r="C448" s="23" t="n">
        <v>13</v>
      </c>
      <c r="D448" s="5" t="s">
        <v>1394</v>
      </c>
      <c r="E448" s="5" t="s">
        <v>1329</v>
      </c>
      <c r="F448" s="24" t="s">
        <v>1395</v>
      </c>
      <c r="G448" s="5" t="s">
        <v>586</v>
      </c>
      <c r="H448" s="25" t="n">
        <v>19</v>
      </c>
      <c r="I448" s="5" t="s">
        <v>273</v>
      </c>
      <c r="J448" s="24" t="s">
        <v>587</v>
      </c>
      <c r="K448" s="24" t="s">
        <v>109</v>
      </c>
      <c r="L448" s="26" t="s">
        <v>110</v>
      </c>
    </row>
    <row r="449" customFormat="false" ht="15" hidden="false" customHeight="false" outlineLevel="0" collapsed="false">
      <c r="A449" s="27" t="s">
        <v>1396</v>
      </c>
      <c r="B449" s="28" t="s">
        <v>1397</v>
      </c>
      <c r="C449" s="33" t="n">
        <v>87</v>
      </c>
      <c r="D449" s="28" t="s">
        <v>103</v>
      </c>
      <c r="E449" s="28" t="s">
        <v>1329</v>
      </c>
      <c r="F449" s="30" t="s">
        <v>1398</v>
      </c>
      <c r="G449" s="28" t="s">
        <v>586</v>
      </c>
      <c r="H449" s="31" t="n">
        <v>19</v>
      </c>
      <c r="I449" s="28" t="s">
        <v>273</v>
      </c>
      <c r="J449" s="30" t="s">
        <v>587</v>
      </c>
      <c r="K449" s="30" t="s">
        <v>109</v>
      </c>
      <c r="L449" s="32" t="s">
        <v>110</v>
      </c>
    </row>
    <row r="450" customFormat="false" ht="15" hidden="false" customHeight="false" outlineLevel="0" collapsed="false">
      <c r="A450" s="22" t="s">
        <v>1399</v>
      </c>
      <c r="B450" s="5" t="s">
        <v>1400</v>
      </c>
      <c r="C450" s="34" t="n">
        <v>7.4</v>
      </c>
      <c r="D450" s="5" t="s">
        <v>133</v>
      </c>
      <c r="E450" s="5" t="s">
        <v>1329</v>
      </c>
      <c r="F450" s="24" t="s">
        <v>1401</v>
      </c>
      <c r="G450" s="5" t="s">
        <v>586</v>
      </c>
      <c r="H450" s="25" t="n">
        <v>19</v>
      </c>
      <c r="I450" s="5" t="s">
        <v>273</v>
      </c>
      <c r="J450" s="24" t="s">
        <v>587</v>
      </c>
      <c r="K450" s="24" t="s">
        <v>109</v>
      </c>
      <c r="L450" s="26" t="s">
        <v>110</v>
      </c>
    </row>
    <row r="451" customFormat="false" ht="15" hidden="false" customHeight="false" outlineLevel="0" collapsed="false">
      <c r="A451" s="27" t="s">
        <v>1402</v>
      </c>
      <c r="B451" s="28" t="s">
        <v>1403</v>
      </c>
      <c r="C451" s="33" t="n">
        <v>109</v>
      </c>
      <c r="D451" s="28" t="s">
        <v>103</v>
      </c>
      <c r="E451" s="28" t="s">
        <v>1329</v>
      </c>
      <c r="F451" s="30" t="s">
        <v>1404</v>
      </c>
      <c r="G451" s="28" t="s">
        <v>586</v>
      </c>
      <c r="H451" s="31" t="n">
        <v>19</v>
      </c>
      <c r="I451" s="28" t="s">
        <v>227</v>
      </c>
      <c r="J451" s="30" t="s">
        <v>587</v>
      </c>
      <c r="K451" s="30" t="s">
        <v>109</v>
      </c>
      <c r="L451" s="32" t="s">
        <v>110</v>
      </c>
    </row>
    <row r="452" customFormat="false" ht="15" hidden="false" customHeight="false" outlineLevel="0" collapsed="false">
      <c r="A452" s="22" t="s">
        <v>1405</v>
      </c>
      <c r="B452" s="5" t="s">
        <v>1406</v>
      </c>
      <c r="C452" s="23" t="n">
        <v>8</v>
      </c>
      <c r="D452" s="5" t="s">
        <v>299</v>
      </c>
      <c r="E452" s="5" t="s">
        <v>191</v>
      </c>
      <c r="F452" s="24" t="s">
        <v>157</v>
      </c>
      <c r="G452" s="5" t="s">
        <v>216</v>
      </c>
      <c r="H452" s="25" t="n">
        <v>30</v>
      </c>
      <c r="I452" s="5" t="s">
        <v>127</v>
      </c>
      <c r="J452" s="24" t="s">
        <v>217</v>
      </c>
      <c r="K452" s="24" t="s">
        <v>109</v>
      </c>
      <c r="L452" s="26" t="s">
        <v>110</v>
      </c>
    </row>
    <row r="453" customFormat="false" ht="15" hidden="false" customHeight="false" outlineLevel="0" collapsed="false">
      <c r="A453" s="27" t="s">
        <v>1407</v>
      </c>
      <c r="B453" s="28" t="s">
        <v>1408</v>
      </c>
      <c r="C453" s="33" t="n">
        <v>44396</v>
      </c>
      <c r="D453" s="28" t="s">
        <v>103</v>
      </c>
      <c r="E453" s="28" t="s">
        <v>120</v>
      </c>
      <c r="F453" s="30" t="s">
        <v>1409</v>
      </c>
      <c r="G453" s="28" t="s">
        <v>172</v>
      </c>
      <c r="H453" s="31" t="n">
        <v>375</v>
      </c>
      <c r="I453" s="28" t="s">
        <v>127</v>
      </c>
      <c r="J453" s="30" t="s">
        <v>173</v>
      </c>
      <c r="K453" s="30" t="s">
        <v>109</v>
      </c>
      <c r="L453" s="32" t="s">
        <v>110</v>
      </c>
    </row>
    <row r="454" customFormat="false" ht="15" hidden="false" customHeight="false" outlineLevel="0" collapsed="false">
      <c r="A454" s="22" t="s">
        <v>1410</v>
      </c>
      <c r="B454" s="5" t="s">
        <v>1408</v>
      </c>
      <c r="C454" s="23" t="n">
        <v>44692</v>
      </c>
      <c r="D454" s="5" t="s">
        <v>103</v>
      </c>
      <c r="E454" s="5" t="s">
        <v>160</v>
      </c>
      <c r="F454" s="24" t="s">
        <v>1411</v>
      </c>
      <c r="G454" s="5" t="s">
        <v>172</v>
      </c>
      <c r="H454" s="25" t="n">
        <v>375</v>
      </c>
      <c r="I454" s="5" t="s">
        <v>127</v>
      </c>
      <c r="J454" s="24" t="s">
        <v>173</v>
      </c>
      <c r="K454" s="24" t="s">
        <v>109</v>
      </c>
      <c r="L454" s="26" t="s">
        <v>110</v>
      </c>
    </row>
    <row r="455" customFormat="false" ht="15" hidden="false" customHeight="false" outlineLevel="0" collapsed="false">
      <c r="A455" s="27" t="s">
        <v>1412</v>
      </c>
      <c r="B455" s="28" t="s">
        <v>1413</v>
      </c>
      <c r="C455" s="33" t="n">
        <v>8547</v>
      </c>
      <c r="D455" s="28" t="s">
        <v>103</v>
      </c>
      <c r="E455" s="28" t="s">
        <v>120</v>
      </c>
      <c r="F455" s="30" t="s">
        <v>1414</v>
      </c>
      <c r="G455" s="28" t="s">
        <v>172</v>
      </c>
      <c r="H455" s="31" t="n">
        <v>375</v>
      </c>
      <c r="I455" s="28" t="s">
        <v>127</v>
      </c>
      <c r="J455" s="30" t="s">
        <v>173</v>
      </c>
      <c r="K455" s="30" t="s">
        <v>109</v>
      </c>
      <c r="L455" s="32" t="s">
        <v>110</v>
      </c>
    </row>
    <row r="456" customFormat="false" ht="15" hidden="false" customHeight="false" outlineLevel="0" collapsed="false">
      <c r="A456" s="22" t="s">
        <v>1415</v>
      </c>
      <c r="B456" s="5" t="s">
        <v>1416</v>
      </c>
      <c r="C456" s="23" t="n">
        <v>4683</v>
      </c>
      <c r="D456" s="5" t="s">
        <v>103</v>
      </c>
      <c r="E456" s="5" t="s">
        <v>120</v>
      </c>
      <c r="F456" s="24" t="s">
        <v>1417</v>
      </c>
      <c r="G456" s="5" t="s">
        <v>172</v>
      </c>
      <c r="H456" s="25" t="n">
        <v>375</v>
      </c>
      <c r="I456" s="5" t="s">
        <v>127</v>
      </c>
      <c r="J456" s="24" t="s">
        <v>173</v>
      </c>
      <c r="K456" s="24" t="s">
        <v>109</v>
      </c>
      <c r="L456" s="26" t="s">
        <v>110</v>
      </c>
    </row>
    <row r="457" customFormat="false" ht="15" hidden="false" customHeight="false" outlineLevel="0" collapsed="false">
      <c r="A457" s="27" t="s">
        <v>1418</v>
      </c>
      <c r="B457" s="28" t="s">
        <v>1419</v>
      </c>
      <c r="C457" s="33" t="n">
        <v>3097</v>
      </c>
      <c r="D457" s="28" t="s">
        <v>103</v>
      </c>
      <c r="E457" s="28" t="s">
        <v>120</v>
      </c>
      <c r="F457" s="30" t="s">
        <v>1420</v>
      </c>
      <c r="G457" s="28" t="s">
        <v>172</v>
      </c>
      <c r="H457" s="31" t="n">
        <v>375</v>
      </c>
      <c r="I457" s="28" t="s">
        <v>127</v>
      </c>
      <c r="J457" s="30" t="s">
        <v>173</v>
      </c>
      <c r="K457" s="30" t="s">
        <v>109</v>
      </c>
      <c r="L457" s="32" t="s">
        <v>110</v>
      </c>
    </row>
    <row r="458" customFormat="false" ht="15" hidden="false" customHeight="false" outlineLevel="0" collapsed="false">
      <c r="A458" s="22" t="s">
        <v>1421</v>
      </c>
      <c r="B458" s="5" t="s">
        <v>1422</v>
      </c>
      <c r="C458" s="23" t="n">
        <v>3035</v>
      </c>
      <c r="D458" s="5" t="s">
        <v>103</v>
      </c>
      <c r="E458" s="5" t="s">
        <v>120</v>
      </c>
      <c r="F458" s="24" t="s">
        <v>1423</v>
      </c>
      <c r="G458" s="5" t="s">
        <v>172</v>
      </c>
      <c r="H458" s="25" t="n">
        <v>375</v>
      </c>
      <c r="I458" s="5" t="s">
        <v>127</v>
      </c>
      <c r="J458" s="24" t="s">
        <v>173</v>
      </c>
      <c r="K458" s="24" t="s">
        <v>109</v>
      </c>
      <c r="L458" s="26" t="s">
        <v>110</v>
      </c>
    </row>
    <row r="459" customFormat="false" ht="15" hidden="false" customHeight="false" outlineLevel="0" collapsed="false">
      <c r="A459" s="27" t="s">
        <v>1424</v>
      </c>
      <c r="B459" s="28" t="s">
        <v>1425</v>
      </c>
      <c r="C459" s="33" t="n">
        <v>3007</v>
      </c>
      <c r="D459" s="28" t="s">
        <v>103</v>
      </c>
      <c r="E459" s="28" t="s">
        <v>120</v>
      </c>
      <c r="F459" s="30" t="s">
        <v>1426</v>
      </c>
      <c r="G459" s="28" t="s">
        <v>172</v>
      </c>
      <c r="H459" s="31" t="n">
        <v>375</v>
      </c>
      <c r="I459" s="28" t="s">
        <v>127</v>
      </c>
      <c r="J459" s="30" t="s">
        <v>173</v>
      </c>
      <c r="K459" s="30" t="s">
        <v>109</v>
      </c>
      <c r="L459" s="32" t="s">
        <v>110</v>
      </c>
    </row>
    <row r="460" customFormat="false" ht="15" hidden="false" customHeight="false" outlineLevel="0" collapsed="false">
      <c r="A460" s="22" t="s">
        <v>1427</v>
      </c>
      <c r="B460" s="5" t="s">
        <v>1428</v>
      </c>
      <c r="C460" s="23" t="n">
        <v>2978</v>
      </c>
      <c r="D460" s="5" t="s">
        <v>103</v>
      </c>
      <c r="E460" s="5" t="s">
        <v>120</v>
      </c>
      <c r="F460" s="24" t="s">
        <v>1429</v>
      </c>
      <c r="G460" s="5" t="s">
        <v>172</v>
      </c>
      <c r="H460" s="25" t="n">
        <v>375</v>
      </c>
      <c r="I460" s="5" t="s">
        <v>127</v>
      </c>
      <c r="J460" s="24" t="s">
        <v>173</v>
      </c>
      <c r="K460" s="24" t="s">
        <v>109</v>
      </c>
      <c r="L460" s="26" t="s">
        <v>110</v>
      </c>
    </row>
    <row r="461" customFormat="false" ht="15" hidden="false" customHeight="false" outlineLevel="0" collapsed="false">
      <c r="A461" s="27" t="s">
        <v>1430</v>
      </c>
      <c r="B461" s="28" t="s">
        <v>1431</v>
      </c>
      <c r="C461" s="33" t="n">
        <v>2165</v>
      </c>
      <c r="D461" s="28" t="s">
        <v>103</v>
      </c>
      <c r="E461" s="28" t="s">
        <v>120</v>
      </c>
      <c r="F461" s="30" t="s">
        <v>1432</v>
      </c>
      <c r="G461" s="28" t="s">
        <v>172</v>
      </c>
      <c r="H461" s="31" t="n">
        <v>375</v>
      </c>
      <c r="I461" s="28" t="s">
        <v>127</v>
      </c>
      <c r="J461" s="30" t="s">
        <v>173</v>
      </c>
      <c r="K461" s="30" t="s">
        <v>109</v>
      </c>
      <c r="L461" s="32" t="s">
        <v>110</v>
      </c>
    </row>
    <row r="462" customFormat="false" ht="15" hidden="false" customHeight="false" outlineLevel="0" collapsed="false">
      <c r="A462" s="22" t="s">
        <v>1433</v>
      </c>
      <c r="B462" s="5" t="s">
        <v>1434</v>
      </c>
      <c r="C462" s="23" t="n">
        <v>2023</v>
      </c>
      <c r="D462" s="5" t="s">
        <v>103</v>
      </c>
      <c r="E462" s="5" t="s">
        <v>120</v>
      </c>
      <c r="F462" s="24" t="s">
        <v>1435</v>
      </c>
      <c r="G462" s="5" t="s">
        <v>172</v>
      </c>
      <c r="H462" s="25" t="n">
        <v>375</v>
      </c>
      <c r="I462" s="5" t="s">
        <v>127</v>
      </c>
      <c r="J462" s="24" t="s">
        <v>173</v>
      </c>
      <c r="K462" s="24" t="s">
        <v>109</v>
      </c>
      <c r="L462" s="26" t="s">
        <v>110</v>
      </c>
    </row>
    <row r="463" customFormat="false" ht="15" hidden="false" customHeight="false" outlineLevel="0" collapsed="false">
      <c r="A463" s="27" t="s">
        <v>1436</v>
      </c>
      <c r="B463" s="28" t="s">
        <v>1437</v>
      </c>
      <c r="C463" s="33" t="n">
        <v>1160</v>
      </c>
      <c r="D463" s="28" t="s">
        <v>103</v>
      </c>
      <c r="E463" s="28" t="s">
        <v>120</v>
      </c>
      <c r="F463" s="30" t="s">
        <v>1438</v>
      </c>
      <c r="G463" s="28" t="s">
        <v>172</v>
      </c>
      <c r="H463" s="31" t="n">
        <v>375</v>
      </c>
      <c r="I463" s="28" t="s">
        <v>127</v>
      </c>
      <c r="J463" s="30" t="s">
        <v>173</v>
      </c>
      <c r="K463" s="30" t="s">
        <v>109</v>
      </c>
      <c r="L463" s="32" t="s">
        <v>110</v>
      </c>
    </row>
    <row r="464" customFormat="false" ht="15" hidden="false" customHeight="false" outlineLevel="0" collapsed="false">
      <c r="A464" s="22" t="s">
        <v>1439</v>
      </c>
      <c r="B464" s="5" t="s">
        <v>1440</v>
      </c>
      <c r="C464" s="23" t="n">
        <v>1081</v>
      </c>
      <c r="D464" s="5" t="s">
        <v>103</v>
      </c>
      <c r="E464" s="5" t="s">
        <v>120</v>
      </c>
      <c r="F464" s="24" t="s">
        <v>1441</v>
      </c>
      <c r="G464" s="5" t="s">
        <v>172</v>
      </c>
      <c r="H464" s="25" t="n">
        <v>375</v>
      </c>
      <c r="I464" s="5" t="s">
        <v>127</v>
      </c>
      <c r="J464" s="24" t="s">
        <v>173</v>
      </c>
      <c r="K464" s="24" t="s">
        <v>109</v>
      </c>
      <c r="L464" s="26" t="s">
        <v>110</v>
      </c>
    </row>
    <row r="465" customFormat="false" ht="15" hidden="false" customHeight="false" outlineLevel="0" collapsed="false">
      <c r="A465" s="27" t="s">
        <v>1442</v>
      </c>
      <c r="B465" s="28" t="s">
        <v>1440</v>
      </c>
      <c r="C465" s="33" t="n">
        <v>1084</v>
      </c>
      <c r="D465" s="28" t="s">
        <v>103</v>
      </c>
      <c r="E465" s="28" t="s">
        <v>160</v>
      </c>
      <c r="F465" s="30" t="s">
        <v>1443</v>
      </c>
      <c r="G465" s="28" t="s">
        <v>172</v>
      </c>
      <c r="H465" s="31" t="n">
        <v>375</v>
      </c>
      <c r="I465" s="28" t="s">
        <v>127</v>
      </c>
      <c r="J465" s="30" t="s">
        <v>173</v>
      </c>
      <c r="K465" s="30" t="s">
        <v>109</v>
      </c>
      <c r="L465" s="32" t="s">
        <v>110</v>
      </c>
    </row>
    <row r="466" customFormat="false" ht="15" hidden="false" customHeight="false" outlineLevel="0" collapsed="false">
      <c r="A466" s="22" t="s">
        <v>1444</v>
      </c>
      <c r="B466" s="5" t="s">
        <v>1445</v>
      </c>
      <c r="C466" s="23" t="n">
        <v>1070</v>
      </c>
      <c r="D466" s="5" t="s">
        <v>103</v>
      </c>
      <c r="E466" s="5" t="s">
        <v>120</v>
      </c>
      <c r="F466" s="24" t="s">
        <v>1446</v>
      </c>
      <c r="G466" s="5" t="s">
        <v>172</v>
      </c>
      <c r="H466" s="25" t="n">
        <v>375</v>
      </c>
      <c r="I466" s="5" t="s">
        <v>127</v>
      </c>
      <c r="J466" s="24" t="s">
        <v>173</v>
      </c>
      <c r="K466" s="24" t="s">
        <v>109</v>
      </c>
      <c r="L466" s="26" t="s">
        <v>110</v>
      </c>
    </row>
    <row r="467" customFormat="false" ht="15" hidden="false" customHeight="false" outlineLevel="0" collapsed="false">
      <c r="A467" s="27" t="s">
        <v>1447</v>
      </c>
      <c r="B467" s="28" t="s">
        <v>1445</v>
      </c>
      <c r="C467" s="33" t="n">
        <v>816</v>
      </c>
      <c r="D467" s="28" t="s">
        <v>103</v>
      </c>
      <c r="E467" s="28" t="s">
        <v>160</v>
      </c>
      <c r="F467" s="30" t="s">
        <v>1448</v>
      </c>
      <c r="G467" s="28" t="s">
        <v>172</v>
      </c>
      <c r="H467" s="31" t="n">
        <v>375</v>
      </c>
      <c r="I467" s="28" t="s">
        <v>127</v>
      </c>
      <c r="J467" s="30" t="s">
        <v>173</v>
      </c>
      <c r="K467" s="30" t="s">
        <v>109</v>
      </c>
      <c r="L467" s="32" t="s">
        <v>110</v>
      </c>
    </row>
    <row r="468" customFormat="false" ht="15" hidden="false" customHeight="false" outlineLevel="0" collapsed="false">
      <c r="A468" s="22" t="s">
        <v>1449</v>
      </c>
      <c r="B468" s="5" t="s">
        <v>1450</v>
      </c>
      <c r="C468" s="23" t="n">
        <v>932</v>
      </c>
      <c r="D468" s="5" t="s">
        <v>103</v>
      </c>
      <c r="E468" s="5" t="s">
        <v>120</v>
      </c>
      <c r="F468" s="24" t="s">
        <v>1451</v>
      </c>
      <c r="G468" s="5" t="s">
        <v>172</v>
      </c>
      <c r="H468" s="25" t="n">
        <v>375</v>
      </c>
      <c r="I468" s="5" t="s">
        <v>127</v>
      </c>
      <c r="J468" s="24" t="s">
        <v>173</v>
      </c>
      <c r="K468" s="24" t="s">
        <v>109</v>
      </c>
      <c r="L468" s="26" t="s">
        <v>110</v>
      </c>
    </row>
    <row r="469" customFormat="false" ht="15" hidden="false" customHeight="false" outlineLevel="0" collapsed="false">
      <c r="A469" s="27" t="s">
        <v>1452</v>
      </c>
      <c r="B469" s="28" t="s">
        <v>1450</v>
      </c>
      <c r="C469" s="33" t="n">
        <v>1266</v>
      </c>
      <c r="D469" s="28" t="s">
        <v>103</v>
      </c>
      <c r="E469" s="28" t="s">
        <v>160</v>
      </c>
      <c r="F469" s="30" t="s">
        <v>1453</v>
      </c>
      <c r="G469" s="28" t="s">
        <v>172</v>
      </c>
      <c r="H469" s="31" t="n">
        <v>375</v>
      </c>
      <c r="I469" s="28" t="s">
        <v>127</v>
      </c>
      <c r="J469" s="30" t="s">
        <v>173</v>
      </c>
      <c r="K469" s="30" t="s">
        <v>109</v>
      </c>
      <c r="L469" s="32" t="s">
        <v>110</v>
      </c>
    </row>
    <row r="470" customFormat="false" ht="15" hidden="false" customHeight="false" outlineLevel="0" collapsed="false">
      <c r="A470" s="22" t="s">
        <v>1454</v>
      </c>
      <c r="B470" s="5" t="s">
        <v>1455</v>
      </c>
      <c r="C470" s="23" t="n">
        <v>908</v>
      </c>
      <c r="D470" s="5" t="s">
        <v>103</v>
      </c>
      <c r="E470" s="5" t="s">
        <v>120</v>
      </c>
      <c r="F470" s="24" t="s">
        <v>1456</v>
      </c>
      <c r="G470" s="5" t="s">
        <v>172</v>
      </c>
      <c r="H470" s="25" t="n">
        <v>375</v>
      </c>
      <c r="I470" s="5" t="s">
        <v>127</v>
      </c>
      <c r="J470" s="24" t="s">
        <v>173</v>
      </c>
      <c r="K470" s="24" t="s">
        <v>109</v>
      </c>
      <c r="L470" s="26" t="s">
        <v>110</v>
      </c>
    </row>
    <row r="471" customFormat="false" ht="15" hidden="false" customHeight="false" outlineLevel="0" collapsed="false">
      <c r="A471" s="27" t="s">
        <v>1457</v>
      </c>
      <c r="B471" s="28" t="s">
        <v>1458</v>
      </c>
      <c r="C471" s="33" t="n">
        <v>807</v>
      </c>
      <c r="D471" s="28" t="s">
        <v>103</v>
      </c>
      <c r="E471" s="28" t="s">
        <v>120</v>
      </c>
      <c r="F471" s="30" t="s">
        <v>1459</v>
      </c>
      <c r="G471" s="28" t="s">
        <v>172</v>
      </c>
      <c r="H471" s="31" t="n">
        <v>375</v>
      </c>
      <c r="I471" s="28" t="s">
        <v>127</v>
      </c>
      <c r="J471" s="30" t="s">
        <v>173</v>
      </c>
      <c r="K471" s="30" t="s">
        <v>109</v>
      </c>
      <c r="L471" s="32" t="s">
        <v>110</v>
      </c>
    </row>
    <row r="472" customFormat="false" ht="15" hidden="false" customHeight="false" outlineLevel="0" collapsed="false">
      <c r="A472" s="22" t="s">
        <v>1460</v>
      </c>
      <c r="B472" s="5" t="s">
        <v>1461</v>
      </c>
      <c r="C472" s="23" t="n">
        <v>609</v>
      </c>
      <c r="D472" s="5" t="s">
        <v>103</v>
      </c>
      <c r="E472" s="5" t="s">
        <v>120</v>
      </c>
      <c r="F472" s="24" t="s">
        <v>1462</v>
      </c>
      <c r="G472" s="5" t="s">
        <v>172</v>
      </c>
      <c r="H472" s="25" t="n">
        <v>375</v>
      </c>
      <c r="I472" s="5" t="s">
        <v>127</v>
      </c>
      <c r="J472" s="24" t="s">
        <v>173</v>
      </c>
      <c r="K472" s="24" t="s">
        <v>109</v>
      </c>
      <c r="L472" s="26" t="s">
        <v>110</v>
      </c>
    </row>
    <row r="473" customFormat="false" ht="15" hidden="false" customHeight="false" outlineLevel="0" collapsed="false">
      <c r="A473" s="27" t="s">
        <v>1463</v>
      </c>
      <c r="B473" s="28" t="s">
        <v>1464</v>
      </c>
      <c r="C473" s="33" t="n">
        <v>581</v>
      </c>
      <c r="D473" s="28" t="s">
        <v>103</v>
      </c>
      <c r="E473" s="28" t="s">
        <v>120</v>
      </c>
      <c r="F473" s="30" t="s">
        <v>1465</v>
      </c>
      <c r="G473" s="28" t="s">
        <v>172</v>
      </c>
      <c r="H473" s="31" t="n">
        <v>375</v>
      </c>
      <c r="I473" s="28" t="s">
        <v>127</v>
      </c>
      <c r="J473" s="30" t="s">
        <v>173</v>
      </c>
      <c r="K473" s="30" t="s">
        <v>109</v>
      </c>
      <c r="L473" s="32" t="s">
        <v>110</v>
      </c>
    </row>
    <row r="474" customFormat="false" ht="15" hidden="false" customHeight="false" outlineLevel="0" collapsed="false">
      <c r="A474" s="22" t="s">
        <v>1466</v>
      </c>
      <c r="B474" s="5" t="s">
        <v>1467</v>
      </c>
      <c r="C474" s="23" t="n">
        <v>504</v>
      </c>
      <c r="D474" s="5" t="s">
        <v>103</v>
      </c>
      <c r="E474" s="5" t="s">
        <v>120</v>
      </c>
      <c r="F474" s="24" t="s">
        <v>1468</v>
      </c>
      <c r="G474" s="5" t="s">
        <v>172</v>
      </c>
      <c r="H474" s="25" t="n">
        <v>375</v>
      </c>
      <c r="I474" s="5" t="s">
        <v>127</v>
      </c>
      <c r="J474" s="24" t="s">
        <v>173</v>
      </c>
      <c r="K474" s="24" t="s">
        <v>109</v>
      </c>
      <c r="L474" s="26" t="s">
        <v>110</v>
      </c>
    </row>
    <row r="475" customFormat="false" ht="15" hidden="false" customHeight="false" outlineLevel="0" collapsed="false">
      <c r="A475" s="27" t="s">
        <v>1469</v>
      </c>
      <c r="B475" s="28" t="s">
        <v>1470</v>
      </c>
      <c r="C475" s="33" t="n">
        <v>7207</v>
      </c>
      <c r="D475" s="28" t="s">
        <v>103</v>
      </c>
      <c r="E475" s="28" t="s">
        <v>120</v>
      </c>
      <c r="F475" s="30" t="s">
        <v>1471</v>
      </c>
      <c r="G475" s="28" t="s">
        <v>172</v>
      </c>
      <c r="H475" s="31" t="n">
        <v>375</v>
      </c>
      <c r="I475" s="28" t="s">
        <v>127</v>
      </c>
      <c r="J475" s="30" t="s">
        <v>173</v>
      </c>
      <c r="K475" s="30" t="s">
        <v>109</v>
      </c>
      <c r="L475" s="32" t="s">
        <v>110</v>
      </c>
    </row>
    <row r="476" customFormat="false" ht="15" hidden="false" customHeight="false" outlineLevel="0" collapsed="false">
      <c r="A476" s="22" t="s">
        <v>1472</v>
      </c>
      <c r="B476" s="5" t="s">
        <v>1473</v>
      </c>
      <c r="C476" s="23" t="n">
        <v>370</v>
      </c>
      <c r="D476" s="5" t="s">
        <v>103</v>
      </c>
      <c r="E476" s="5" t="s">
        <v>120</v>
      </c>
      <c r="F476" s="24" t="s">
        <v>1474</v>
      </c>
      <c r="G476" s="5" t="s">
        <v>586</v>
      </c>
      <c r="H476" s="25" t="n">
        <v>11</v>
      </c>
      <c r="I476" s="5" t="s">
        <v>273</v>
      </c>
      <c r="J476" s="24" t="s">
        <v>587</v>
      </c>
      <c r="K476" s="24" t="s">
        <v>109</v>
      </c>
      <c r="L476" s="26" t="s">
        <v>110</v>
      </c>
    </row>
    <row r="477" customFormat="false" ht="15" hidden="false" customHeight="false" outlineLevel="0" collapsed="false">
      <c r="A477" s="27" t="s">
        <v>1475</v>
      </c>
      <c r="B477" s="28" t="s">
        <v>1476</v>
      </c>
      <c r="C477" s="33" t="n">
        <v>9</v>
      </c>
      <c r="D477" s="28" t="s">
        <v>133</v>
      </c>
      <c r="E477" s="28" t="s">
        <v>120</v>
      </c>
      <c r="F477" s="30" t="s">
        <v>233</v>
      </c>
      <c r="G477" s="28" t="s">
        <v>586</v>
      </c>
      <c r="H477" s="31" t="n">
        <v>11</v>
      </c>
      <c r="I477" s="28" t="s">
        <v>273</v>
      </c>
      <c r="J477" s="30" t="s">
        <v>587</v>
      </c>
      <c r="K477" s="30" t="s">
        <v>109</v>
      </c>
      <c r="L477" s="32" t="s">
        <v>110</v>
      </c>
    </row>
    <row r="478" customFormat="false" ht="15" hidden="false" customHeight="false" outlineLevel="0" collapsed="false">
      <c r="A478" s="22" t="s">
        <v>1477</v>
      </c>
      <c r="B478" s="5" t="s">
        <v>1478</v>
      </c>
      <c r="C478" s="23" t="n">
        <v>11</v>
      </c>
      <c r="D478" s="5" t="s">
        <v>133</v>
      </c>
      <c r="E478" s="5" t="s">
        <v>1479</v>
      </c>
      <c r="F478" s="24" t="s">
        <v>1480</v>
      </c>
      <c r="G478" s="5" t="s">
        <v>1481</v>
      </c>
      <c r="H478" s="25" t="n">
        <v>11</v>
      </c>
      <c r="I478" s="5" t="s">
        <v>273</v>
      </c>
      <c r="J478" s="24" t="s">
        <v>1482</v>
      </c>
      <c r="K478" s="24" t="s">
        <v>109</v>
      </c>
      <c r="L478" s="26" t="s">
        <v>110</v>
      </c>
    </row>
    <row r="479" customFormat="false" ht="15" hidden="false" customHeight="false" outlineLevel="0" collapsed="false">
      <c r="A479" s="27" t="s">
        <v>1483</v>
      </c>
      <c r="B479" s="28" t="s">
        <v>1484</v>
      </c>
      <c r="C479" s="29" t="n">
        <v>7.2</v>
      </c>
      <c r="D479" s="28" t="s">
        <v>269</v>
      </c>
      <c r="E479" s="28" t="s">
        <v>1485</v>
      </c>
      <c r="F479" s="30" t="s">
        <v>1486</v>
      </c>
      <c r="G479" s="28" t="s">
        <v>1487</v>
      </c>
      <c r="H479" s="31" t="n">
        <v>1</v>
      </c>
      <c r="I479" s="28" t="s">
        <v>273</v>
      </c>
      <c r="J479" s="30" t="s">
        <v>1488</v>
      </c>
      <c r="K479" s="30" t="s">
        <v>1489</v>
      </c>
      <c r="L479" s="32" t="s">
        <v>110</v>
      </c>
    </row>
    <row r="480" customFormat="false" ht="15" hidden="false" customHeight="false" outlineLevel="0" collapsed="false">
      <c r="A480" s="22" t="s">
        <v>1490</v>
      </c>
      <c r="B480" s="5" t="s">
        <v>1491</v>
      </c>
      <c r="C480" s="34" t="n">
        <v>1.4</v>
      </c>
      <c r="D480" s="5" t="s">
        <v>269</v>
      </c>
      <c r="E480" s="5" t="s">
        <v>1485</v>
      </c>
      <c r="F480" s="24" t="s">
        <v>1492</v>
      </c>
      <c r="G480" s="5" t="s">
        <v>1487</v>
      </c>
      <c r="H480" s="25" t="n">
        <v>1</v>
      </c>
      <c r="I480" s="5" t="s">
        <v>273</v>
      </c>
      <c r="J480" s="24" t="s">
        <v>1488</v>
      </c>
      <c r="K480" s="24" t="s">
        <v>1489</v>
      </c>
      <c r="L480" s="26" t="s">
        <v>110</v>
      </c>
    </row>
    <row r="481" customFormat="false" ht="15" hidden="false" customHeight="false" outlineLevel="0" collapsed="false">
      <c r="A481" s="27" t="s">
        <v>1493</v>
      </c>
      <c r="B481" s="28" t="s">
        <v>1494</v>
      </c>
      <c r="C481" s="33" t="n">
        <v>62</v>
      </c>
      <c r="D481" s="28" t="s">
        <v>1495</v>
      </c>
      <c r="E481" s="28" t="s">
        <v>1485</v>
      </c>
      <c r="F481" s="30" t="s">
        <v>1496</v>
      </c>
      <c r="G481" s="28" t="s">
        <v>1487</v>
      </c>
      <c r="H481" s="31" t="n">
        <v>1</v>
      </c>
      <c r="I481" s="28" t="s">
        <v>273</v>
      </c>
      <c r="J481" s="30" t="s">
        <v>1488</v>
      </c>
      <c r="K481" s="30" t="s">
        <v>1489</v>
      </c>
      <c r="L481" s="32" t="s">
        <v>110</v>
      </c>
    </row>
    <row r="482" customFormat="false" ht="15" hidden="false" customHeight="false" outlineLevel="0" collapsed="false">
      <c r="A482" s="22" t="s">
        <v>1497</v>
      </c>
      <c r="B482" s="5" t="s">
        <v>1498</v>
      </c>
      <c r="C482" s="23" t="n">
        <v>125</v>
      </c>
      <c r="D482" s="5" t="s">
        <v>249</v>
      </c>
      <c r="E482" s="5" t="s">
        <v>1499</v>
      </c>
      <c r="F482" s="24" t="s">
        <v>1500</v>
      </c>
      <c r="G482" s="5" t="s">
        <v>1487</v>
      </c>
      <c r="H482" s="25" t="n">
        <v>1</v>
      </c>
      <c r="I482" s="5" t="s">
        <v>273</v>
      </c>
      <c r="J482" s="24" t="s">
        <v>1488</v>
      </c>
      <c r="K482" s="24" t="s">
        <v>1489</v>
      </c>
      <c r="L482" s="26" t="s">
        <v>110</v>
      </c>
    </row>
    <row r="483" customFormat="false" ht="15" hidden="false" customHeight="false" outlineLevel="0" collapsed="false">
      <c r="A483" s="27" t="s">
        <v>1501</v>
      </c>
      <c r="B483" s="28" t="s">
        <v>1502</v>
      </c>
      <c r="C483" s="33" t="n">
        <v>400</v>
      </c>
      <c r="D483" s="28" t="s">
        <v>249</v>
      </c>
      <c r="E483" s="28" t="s">
        <v>1503</v>
      </c>
      <c r="F483" s="30" t="s">
        <v>1504</v>
      </c>
      <c r="G483" s="28" t="s">
        <v>1505</v>
      </c>
      <c r="H483" s="31" t="n">
        <v>1</v>
      </c>
      <c r="I483" s="28" t="s">
        <v>273</v>
      </c>
      <c r="J483" s="30" t="s">
        <v>1506</v>
      </c>
      <c r="K483" s="30" t="s">
        <v>1489</v>
      </c>
      <c r="L483" s="32" t="s">
        <v>110</v>
      </c>
    </row>
    <row r="484" customFormat="false" ht="15" hidden="false" customHeight="false" outlineLevel="0" collapsed="false">
      <c r="A484" s="22" t="s">
        <v>1507</v>
      </c>
      <c r="B484" s="5" t="s">
        <v>1508</v>
      </c>
      <c r="C484" s="23" t="n">
        <v>36</v>
      </c>
      <c r="D484" s="5" t="s">
        <v>249</v>
      </c>
      <c r="E484" s="5" t="s">
        <v>546</v>
      </c>
      <c r="F484" s="24" t="s">
        <v>1509</v>
      </c>
      <c r="G484" s="5" t="s">
        <v>1505</v>
      </c>
      <c r="H484" s="25" t="n">
        <v>1</v>
      </c>
      <c r="I484" s="5" t="s">
        <v>273</v>
      </c>
      <c r="J484" s="24" t="s">
        <v>1506</v>
      </c>
      <c r="K484" s="24" t="s">
        <v>1489</v>
      </c>
      <c r="L484" s="26" t="s">
        <v>110</v>
      </c>
    </row>
    <row r="485" customFormat="false" ht="15" hidden="false" customHeight="false" outlineLevel="0" collapsed="false">
      <c r="A485" s="27" t="s">
        <v>1510</v>
      </c>
      <c r="B485" s="28" t="s">
        <v>1511</v>
      </c>
      <c r="C485" s="33" t="n">
        <v>270</v>
      </c>
      <c r="D485" s="28" t="s">
        <v>249</v>
      </c>
      <c r="E485" s="28" t="s">
        <v>546</v>
      </c>
      <c r="F485" s="30" t="s">
        <v>1512</v>
      </c>
      <c r="G485" s="28" t="s">
        <v>1505</v>
      </c>
      <c r="H485" s="31" t="n">
        <v>1</v>
      </c>
      <c r="I485" s="28" t="s">
        <v>273</v>
      </c>
      <c r="J485" s="30" t="s">
        <v>1506</v>
      </c>
      <c r="K485" s="30" t="s">
        <v>1489</v>
      </c>
      <c r="L485" s="32" t="s">
        <v>110</v>
      </c>
    </row>
    <row r="486" customFormat="false" ht="15" hidden="false" customHeight="false" outlineLevel="0" collapsed="false">
      <c r="A486" s="22" t="s">
        <v>1513</v>
      </c>
      <c r="B486" s="5" t="s">
        <v>1514</v>
      </c>
      <c r="C486" s="23" t="n">
        <v>30</v>
      </c>
      <c r="D486" s="5" t="s">
        <v>249</v>
      </c>
      <c r="E486" s="5" t="s">
        <v>225</v>
      </c>
      <c r="F486" s="24" t="s">
        <v>1515</v>
      </c>
      <c r="G486" s="5" t="s">
        <v>1505</v>
      </c>
      <c r="H486" s="25" t="n">
        <v>1</v>
      </c>
      <c r="I486" s="5" t="s">
        <v>273</v>
      </c>
      <c r="J486" s="24" t="s">
        <v>1506</v>
      </c>
      <c r="K486" s="24" t="s">
        <v>1489</v>
      </c>
      <c r="L486" s="26" t="s">
        <v>110</v>
      </c>
    </row>
    <row r="487" customFormat="false" ht="15" hidden="false" customHeight="false" outlineLevel="0" collapsed="false">
      <c r="A487" s="27" t="s">
        <v>1516</v>
      </c>
      <c r="B487" s="28" t="s">
        <v>1517</v>
      </c>
      <c r="C487" s="33" t="n">
        <v>20</v>
      </c>
      <c r="D487" s="28" t="s">
        <v>249</v>
      </c>
      <c r="E487" s="28" t="s">
        <v>1518</v>
      </c>
      <c r="F487" s="30" t="s">
        <v>575</v>
      </c>
      <c r="G487" s="28" t="s">
        <v>1505</v>
      </c>
      <c r="H487" s="31" t="n">
        <v>1</v>
      </c>
      <c r="I487" s="28" t="s">
        <v>273</v>
      </c>
      <c r="J487" s="30" t="s">
        <v>1506</v>
      </c>
      <c r="K487" s="30" t="s">
        <v>1489</v>
      </c>
      <c r="L487" s="32" t="s">
        <v>110</v>
      </c>
    </row>
    <row r="488" customFormat="false" ht="15" hidden="false" customHeight="false" outlineLevel="0" collapsed="false">
      <c r="A488" s="22" t="s">
        <v>1519</v>
      </c>
      <c r="B488" s="5" t="s">
        <v>1520</v>
      </c>
      <c r="C488" s="34" t="n">
        <v>7.1</v>
      </c>
      <c r="D488" s="5" t="s">
        <v>133</v>
      </c>
      <c r="E488" s="5" t="s">
        <v>225</v>
      </c>
      <c r="F488" s="24" t="s">
        <v>515</v>
      </c>
      <c r="G488" s="5" t="s">
        <v>1505</v>
      </c>
      <c r="H488" s="25" t="n">
        <v>1</v>
      </c>
      <c r="I488" s="5" t="s">
        <v>273</v>
      </c>
      <c r="J488" s="24" t="s">
        <v>1506</v>
      </c>
      <c r="K488" s="24" t="s">
        <v>1489</v>
      </c>
      <c r="L488" s="26" t="s">
        <v>110</v>
      </c>
    </row>
    <row r="489" customFormat="false" ht="15" hidden="false" customHeight="false" outlineLevel="0" collapsed="false">
      <c r="A489" s="27" t="s">
        <v>1521</v>
      </c>
      <c r="B489" s="28" t="s">
        <v>1522</v>
      </c>
      <c r="C489" s="29" t="n">
        <v>5.3</v>
      </c>
      <c r="D489" s="28" t="s">
        <v>269</v>
      </c>
      <c r="E489" s="28" t="s">
        <v>1523</v>
      </c>
      <c r="F489" s="30" t="s">
        <v>1524</v>
      </c>
      <c r="G489" s="28" t="s">
        <v>1525</v>
      </c>
      <c r="H489" s="31" t="n">
        <v>1</v>
      </c>
      <c r="I489" s="28" t="s">
        <v>273</v>
      </c>
      <c r="J489" s="30" t="s">
        <v>1526</v>
      </c>
      <c r="K489" s="30" t="s">
        <v>1489</v>
      </c>
      <c r="L489" s="32" t="s">
        <v>110</v>
      </c>
    </row>
    <row r="490" customFormat="false" ht="15" hidden="false" customHeight="false" outlineLevel="0" collapsed="false">
      <c r="A490" s="22" t="s">
        <v>1527</v>
      </c>
      <c r="B490" s="5" t="s">
        <v>1528</v>
      </c>
      <c r="C490" s="34" t="n">
        <v>20.25</v>
      </c>
      <c r="D490" s="5" t="s">
        <v>1495</v>
      </c>
      <c r="E490" s="5" t="s">
        <v>1523</v>
      </c>
      <c r="F490" s="24" t="s">
        <v>1529</v>
      </c>
      <c r="G490" s="5" t="s">
        <v>1525</v>
      </c>
      <c r="H490" s="25" t="n">
        <v>1</v>
      </c>
      <c r="I490" s="5" t="s">
        <v>273</v>
      </c>
      <c r="J490" s="24" t="s">
        <v>1526</v>
      </c>
      <c r="K490" s="24" t="s">
        <v>1489</v>
      </c>
      <c r="L490" s="26" t="s">
        <v>110</v>
      </c>
    </row>
    <row r="491" customFormat="false" ht="15" hidden="false" customHeight="false" outlineLevel="0" collapsed="false">
      <c r="A491" s="27" t="s">
        <v>1530</v>
      </c>
      <c r="B491" s="28" t="s">
        <v>1531</v>
      </c>
      <c r="C491" s="33" t="n">
        <v>460</v>
      </c>
      <c r="D491" s="28" t="s">
        <v>249</v>
      </c>
      <c r="E491" s="28" t="s">
        <v>1532</v>
      </c>
      <c r="F491" s="30" t="s">
        <v>1533</v>
      </c>
      <c r="G491" s="28" t="s">
        <v>1525</v>
      </c>
      <c r="H491" s="31" t="n">
        <v>1</v>
      </c>
      <c r="I491" s="28" t="s">
        <v>273</v>
      </c>
      <c r="J491" s="30" t="s">
        <v>1526</v>
      </c>
      <c r="K491" s="30" t="s">
        <v>1489</v>
      </c>
      <c r="L491" s="32" t="s">
        <v>110</v>
      </c>
    </row>
    <row r="492" customFormat="false" ht="15" hidden="false" customHeight="false" outlineLevel="0" collapsed="false">
      <c r="A492" s="22" t="s">
        <v>1534</v>
      </c>
      <c r="B492" s="5" t="s">
        <v>1535</v>
      </c>
      <c r="C492" s="23" t="n">
        <v>480</v>
      </c>
      <c r="D492" s="5" t="s">
        <v>249</v>
      </c>
      <c r="E492" s="5" t="s">
        <v>1532</v>
      </c>
      <c r="F492" s="24" t="s">
        <v>1536</v>
      </c>
      <c r="G492" s="5" t="s">
        <v>1525</v>
      </c>
      <c r="H492" s="25" t="n">
        <v>1</v>
      </c>
      <c r="I492" s="5" t="s">
        <v>273</v>
      </c>
      <c r="J492" s="24" t="s">
        <v>1526</v>
      </c>
      <c r="K492" s="24" t="s">
        <v>1489</v>
      </c>
      <c r="L492" s="26" t="s">
        <v>110</v>
      </c>
    </row>
    <row r="493" customFormat="false" ht="15" hidden="false" customHeight="false" outlineLevel="0" collapsed="false">
      <c r="A493" s="27" t="s">
        <v>1537</v>
      </c>
      <c r="B493" s="28" t="s">
        <v>1538</v>
      </c>
      <c r="C493" s="29" t="n">
        <v>44.4</v>
      </c>
      <c r="D493" s="28" t="s">
        <v>130</v>
      </c>
      <c r="E493" s="28" t="s">
        <v>120</v>
      </c>
      <c r="F493" s="30" t="s">
        <v>1539</v>
      </c>
      <c r="G493" s="28" t="s">
        <v>172</v>
      </c>
      <c r="H493" s="31" t="n">
        <v>250</v>
      </c>
      <c r="I493" s="28" t="s">
        <v>257</v>
      </c>
      <c r="J493" s="30" t="s">
        <v>173</v>
      </c>
      <c r="K493" s="30" t="s">
        <v>109</v>
      </c>
      <c r="L493" s="32" t="s">
        <v>110</v>
      </c>
    </row>
    <row r="494" customFormat="false" ht="15" hidden="false" customHeight="false" outlineLevel="0" collapsed="false">
      <c r="A494" s="22" t="s">
        <v>1540</v>
      </c>
      <c r="B494" s="5" t="s">
        <v>1541</v>
      </c>
      <c r="C494" s="34" t="n">
        <v>27.8</v>
      </c>
      <c r="D494" s="5" t="s">
        <v>130</v>
      </c>
      <c r="E494" s="5" t="s">
        <v>120</v>
      </c>
      <c r="F494" s="24" t="s">
        <v>1542</v>
      </c>
      <c r="G494" s="5" t="s">
        <v>172</v>
      </c>
      <c r="H494" s="25" t="n">
        <v>250</v>
      </c>
      <c r="I494" s="5" t="s">
        <v>257</v>
      </c>
      <c r="J494" s="24" t="s">
        <v>173</v>
      </c>
      <c r="K494" s="24" t="s">
        <v>109</v>
      </c>
      <c r="L494" s="26" t="s">
        <v>110</v>
      </c>
    </row>
    <row r="495" customFormat="false" ht="15" hidden="false" customHeight="false" outlineLevel="0" collapsed="false">
      <c r="A495" s="27" t="s">
        <v>1543</v>
      </c>
      <c r="B495" s="28" t="s">
        <v>1544</v>
      </c>
      <c r="C495" s="29" t="n">
        <v>20.3</v>
      </c>
      <c r="D495" s="28" t="s">
        <v>130</v>
      </c>
      <c r="E495" s="28" t="s">
        <v>120</v>
      </c>
      <c r="F495" s="30" t="s">
        <v>521</v>
      </c>
      <c r="G495" s="28" t="s">
        <v>172</v>
      </c>
      <c r="H495" s="31" t="n">
        <v>250</v>
      </c>
      <c r="I495" s="28" t="s">
        <v>257</v>
      </c>
      <c r="J495" s="30" t="s">
        <v>173</v>
      </c>
      <c r="K495" s="30" t="s">
        <v>109</v>
      </c>
      <c r="L495" s="32" t="s">
        <v>110</v>
      </c>
    </row>
    <row r="496" customFormat="false" ht="15" hidden="false" customHeight="false" outlineLevel="0" collapsed="false">
      <c r="A496" s="22" t="s">
        <v>1545</v>
      </c>
      <c r="B496" s="5" t="s">
        <v>1546</v>
      </c>
      <c r="C496" s="34" t="n">
        <v>4.5</v>
      </c>
      <c r="D496" s="5" t="s">
        <v>130</v>
      </c>
      <c r="E496" s="5" t="s">
        <v>120</v>
      </c>
      <c r="F496" s="24" t="s">
        <v>1547</v>
      </c>
      <c r="G496" s="5" t="s">
        <v>172</v>
      </c>
      <c r="H496" s="25" t="n">
        <v>250</v>
      </c>
      <c r="I496" s="5" t="s">
        <v>257</v>
      </c>
      <c r="J496" s="24" t="s">
        <v>173</v>
      </c>
      <c r="K496" s="24" t="s">
        <v>109</v>
      </c>
      <c r="L496" s="26" t="s">
        <v>110</v>
      </c>
    </row>
    <row r="497" customFormat="false" ht="15" hidden="false" customHeight="false" outlineLevel="0" collapsed="false">
      <c r="A497" s="27" t="s">
        <v>1548</v>
      </c>
      <c r="B497" s="28" t="s">
        <v>1549</v>
      </c>
      <c r="C497" s="33" t="n">
        <v>3</v>
      </c>
      <c r="D497" s="28" t="s">
        <v>130</v>
      </c>
      <c r="E497" s="28" t="s">
        <v>120</v>
      </c>
      <c r="F497" s="30" t="s">
        <v>271</v>
      </c>
      <c r="G497" s="28" t="s">
        <v>172</v>
      </c>
      <c r="H497" s="31" t="n">
        <v>250</v>
      </c>
      <c r="I497" s="28" t="s">
        <v>257</v>
      </c>
      <c r="J497" s="30" t="s">
        <v>173</v>
      </c>
      <c r="K497" s="30" t="s">
        <v>109</v>
      </c>
      <c r="L497" s="32" t="s">
        <v>110</v>
      </c>
    </row>
    <row r="498" customFormat="false" ht="15" hidden="false" customHeight="false" outlineLevel="0" collapsed="false">
      <c r="A498" s="22" t="s">
        <v>1550</v>
      </c>
      <c r="B498" s="5" t="s">
        <v>1551</v>
      </c>
      <c r="C498" s="34" t="n">
        <v>2.1</v>
      </c>
      <c r="D498" s="5" t="s">
        <v>130</v>
      </c>
      <c r="E498" s="5" t="s">
        <v>120</v>
      </c>
      <c r="F498" s="24" t="s">
        <v>1552</v>
      </c>
      <c r="G498" s="5" t="s">
        <v>172</v>
      </c>
      <c r="H498" s="25" t="n">
        <v>250</v>
      </c>
      <c r="I498" s="5" t="s">
        <v>257</v>
      </c>
      <c r="J498" s="24" t="s">
        <v>173</v>
      </c>
      <c r="K498" s="24" t="s">
        <v>109</v>
      </c>
      <c r="L498" s="26" t="s">
        <v>110</v>
      </c>
    </row>
    <row r="499" customFormat="false" ht="15" hidden="false" customHeight="false" outlineLevel="0" collapsed="false">
      <c r="A499" s="27" t="s">
        <v>1553</v>
      </c>
      <c r="B499" s="28" t="s">
        <v>1554</v>
      </c>
      <c r="C499" s="29" t="n">
        <v>4.1</v>
      </c>
      <c r="D499" s="28" t="s">
        <v>130</v>
      </c>
      <c r="E499" s="28" t="s">
        <v>160</v>
      </c>
      <c r="F499" s="30" t="s">
        <v>148</v>
      </c>
      <c r="G499" s="28" t="s">
        <v>172</v>
      </c>
      <c r="H499" s="31" t="n">
        <v>250</v>
      </c>
      <c r="I499" s="28" t="s">
        <v>257</v>
      </c>
      <c r="J499" s="30" t="s">
        <v>173</v>
      </c>
      <c r="K499" s="30" t="s">
        <v>109</v>
      </c>
      <c r="L499" s="32" t="s">
        <v>110</v>
      </c>
    </row>
    <row r="500" customFormat="false" ht="15" hidden="false" customHeight="false" outlineLevel="0" collapsed="false">
      <c r="A500" s="22" t="s">
        <v>1555</v>
      </c>
      <c r="B500" s="5" t="s">
        <v>1556</v>
      </c>
      <c r="C500" s="34" t="n">
        <v>2.6</v>
      </c>
      <c r="D500" s="5" t="s">
        <v>130</v>
      </c>
      <c r="E500" s="5" t="s">
        <v>160</v>
      </c>
      <c r="F500" s="24" t="s">
        <v>277</v>
      </c>
      <c r="G500" s="5" t="s">
        <v>172</v>
      </c>
      <c r="H500" s="25" t="n">
        <v>250</v>
      </c>
      <c r="I500" s="5" t="s">
        <v>257</v>
      </c>
      <c r="J500" s="24" t="s">
        <v>173</v>
      </c>
      <c r="K500" s="24" t="s">
        <v>109</v>
      </c>
      <c r="L500" s="26" t="s">
        <v>110</v>
      </c>
    </row>
    <row r="501" customFormat="false" ht="15" hidden="false" customHeight="false" outlineLevel="0" collapsed="false">
      <c r="A501" s="27" t="s">
        <v>1557</v>
      </c>
      <c r="B501" s="28" t="s">
        <v>1558</v>
      </c>
      <c r="C501" s="29" t="n">
        <v>1.8</v>
      </c>
      <c r="D501" s="28" t="s">
        <v>130</v>
      </c>
      <c r="E501" s="28" t="s">
        <v>160</v>
      </c>
      <c r="F501" s="30" t="s">
        <v>1559</v>
      </c>
      <c r="G501" s="28" t="s">
        <v>172</v>
      </c>
      <c r="H501" s="31" t="n">
        <v>250</v>
      </c>
      <c r="I501" s="28" t="s">
        <v>257</v>
      </c>
      <c r="J501" s="30" t="s">
        <v>173</v>
      </c>
      <c r="K501" s="30" t="s">
        <v>109</v>
      </c>
      <c r="L501" s="32" t="s">
        <v>110</v>
      </c>
    </row>
    <row r="502" customFormat="false" ht="15" hidden="false" customHeight="false" outlineLevel="0" collapsed="false">
      <c r="A502" s="22" t="s">
        <v>1560</v>
      </c>
      <c r="B502" s="5" t="s">
        <v>1561</v>
      </c>
      <c r="C502" s="34" t="n">
        <v>19.7</v>
      </c>
      <c r="D502" s="5" t="s">
        <v>130</v>
      </c>
      <c r="E502" s="5" t="s">
        <v>160</v>
      </c>
      <c r="F502" s="24" t="s">
        <v>1562</v>
      </c>
      <c r="G502" s="5" t="s">
        <v>172</v>
      </c>
      <c r="H502" s="25" t="n">
        <v>250</v>
      </c>
      <c r="I502" s="5" t="s">
        <v>257</v>
      </c>
      <c r="J502" s="24" t="s">
        <v>173</v>
      </c>
      <c r="K502" s="24" t="s">
        <v>109</v>
      </c>
      <c r="L502" s="26" t="s">
        <v>110</v>
      </c>
    </row>
    <row r="503" customFormat="false" ht="15" hidden="false" customHeight="false" outlineLevel="0" collapsed="false">
      <c r="A503" s="27" t="s">
        <v>1563</v>
      </c>
      <c r="B503" s="28" t="s">
        <v>1564</v>
      </c>
      <c r="C503" s="29" t="n">
        <v>65.7</v>
      </c>
      <c r="D503" s="28" t="s">
        <v>299</v>
      </c>
      <c r="E503" s="28" t="s">
        <v>120</v>
      </c>
      <c r="F503" s="30" t="s">
        <v>1565</v>
      </c>
      <c r="G503" s="28" t="s">
        <v>172</v>
      </c>
      <c r="H503" s="31" t="n">
        <v>250</v>
      </c>
      <c r="I503" s="28" t="s">
        <v>257</v>
      </c>
      <c r="J503" s="30" t="s">
        <v>173</v>
      </c>
      <c r="K503" s="30" t="s">
        <v>109</v>
      </c>
      <c r="L503" s="32" t="s">
        <v>110</v>
      </c>
    </row>
    <row r="504" customFormat="false" ht="15" hidden="false" customHeight="false" outlineLevel="0" collapsed="false">
      <c r="A504" s="22" t="s">
        <v>1566</v>
      </c>
      <c r="B504" s="5" t="s">
        <v>1567</v>
      </c>
      <c r="C504" s="34" t="n">
        <v>47.2</v>
      </c>
      <c r="D504" s="5" t="s">
        <v>299</v>
      </c>
      <c r="E504" s="5" t="s">
        <v>120</v>
      </c>
      <c r="F504" s="24" t="s">
        <v>1568</v>
      </c>
      <c r="G504" s="5" t="s">
        <v>172</v>
      </c>
      <c r="H504" s="25" t="n">
        <v>250</v>
      </c>
      <c r="I504" s="5" t="s">
        <v>257</v>
      </c>
      <c r="J504" s="24" t="s">
        <v>173</v>
      </c>
      <c r="K504" s="24" t="s">
        <v>109</v>
      </c>
      <c r="L504" s="26" t="s">
        <v>110</v>
      </c>
    </row>
    <row r="505" customFormat="false" ht="15" hidden="false" customHeight="false" outlineLevel="0" collapsed="false">
      <c r="A505" s="27" t="s">
        <v>1569</v>
      </c>
      <c r="B505" s="28" t="s">
        <v>1570</v>
      </c>
      <c r="C505" s="29" t="n">
        <v>45.7</v>
      </c>
      <c r="D505" s="28" t="s">
        <v>299</v>
      </c>
      <c r="E505" s="28" t="s">
        <v>120</v>
      </c>
      <c r="F505" s="30" t="s">
        <v>1571</v>
      </c>
      <c r="G505" s="28" t="s">
        <v>172</v>
      </c>
      <c r="H505" s="31" t="n">
        <v>250</v>
      </c>
      <c r="I505" s="28" t="s">
        <v>257</v>
      </c>
      <c r="J505" s="30" t="s">
        <v>173</v>
      </c>
      <c r="K505" s="30" t="s">
        <v>109</v>
      </c>
      <c r="L505" s="32" t="s">
        <v>110</v>
      </c>
    </row>
    <row r="506" customFormat="false" ht="15" hidden="false" customHeight="false" outlineLevel="0" collapsed="false">
      <c r="A506" s="22" t="s">
        <v>1572</v>
      </c>
      <c r="B506" s="5" t="s">
        <v>1573</v>
      </c>
      <c r="C506" s="34" t="n">
        <v>11.4</v>
      </c>
      <c r="D506" s="5" t="s">
        <v>130</v>
      </c>
      <c r="E506" s="5" t="s">
        <v>120</v>
      </c>
      <c r="F506" s="24" t="s">
        <v>1574</v>
      </c>
      <c r="G506" s="5" t="s">
        <v>172</v>
      </c>
      <c r="H506" s="25" t="n">
        <v>250</v>
      </c>
      <c r="I506" s="5" t="s">
        <v>257</v>
      </c>
      <c r="J506" s="24" t="s">
        <v>173</v>
      </c>
      <c r="K506" s="24" t="s">
        <v>109</v>
      </c>
      <c r="L506" s="26" t="s">
        <v>110</v>
      </c>
    </row>
    <row r="507" customFormat="false" ht="15" hidden="false" customHeight="false" outlineLevel="0" collapsed="false">
      <c r="A507" s="27" t="s">
        <v>1575</v>
      </c>
      <c r="B507" s="28" t="s">
        <v>1576</v>
      </c>
      <c r="C507" s="29" t="n">
        <v>6.9</v>
      </c>
      <c r="D507" s="28" t="s">
        <v>130</v>
      </c>
      <c r="E507" s="28" t="s">
        <v>120</v>
      </c>
      <c r="F507" s="30" t="s">
        <v>1577</v>
      </c>
      <c r="G507" s="28" t="s">
        <v>172</v>
      </c>
      <c r="H507" s="31" t="n">
        <v>250</v>
      </c>
      <c r="I507" s="28" t="s">
        <v>257</v>
      </c>
      <c r="J507" s="30" t="s">
        <v>173</v>
      </c>
      <c r="K507" s="30" t="s">
        <v>109</v>
      </c>
      <c r="L507" s="32" t="s">
        <v>110</v>
      </c>
    </row>
    <row r="508" customFormat="false" ht="15" hidden="false" customHeight="false" outlineLevel="0" collapsed="false">
      <c r="A508" s="22" t="s">
        <v>1578</v>
      </c>
      <c r="B508" s="5" t="s">
        <v>1579</v>
      </c>
      <c r="C508" s="34" t="n">
        <v>1.4</v>
      </c>
      <c r="D508" s="5" t="s">
        <v>130</v>
      </c>
      <c r="E508" s="5" t="s">
        <v>120</v>
      </c>
      <c r="F508" s="24" t="s">
        <v>1492</v>
      </c>
      <c r="G508" s="5" t="s">
        <v>172</v>
      </c>
      <c r="H508" s="25" t="n">
        <v>250</v>
      </c>
      <c r="I508" s="5" t="s">
        <v>257</v>
      </c>
      <c r="J508" s="24" t="s">
        <v>173</v>
      </c>
      <c r="K508" s="24" t="s">
        <v>109</v>
      </c>
      <c r="L508" s="26" t="s">
        <v>110</v>
      </c>
    </row>
    <row r="509" customFormat="false" ht="15" hidden="false" customHeight="false" outlineLevel="0" collapsed="false">
      <c r="A509" s="27" t="s">
        <v>1580</v>
      </c>
      <c r="B509" s="28" t="s">
        <v>1581</v>
      </c>
      <c r="C509" s="29" t="n">
        <v>0.8</v>
      </c>
      <c r="D509" s="28" t="s">
        <v>130</v>
      </c>
      <c r="E509" s="28" t="s">
        <v>120</v>
      </c>
      <c r="F509" s="30" t="s">
        <v>1582</v>
      </c>
      <c r="G509" s="28" t="s">
        <v>172</v>
      </c>
      <c r="H509" s="31" t="n">
        <v>250</v>
      </c>
      <c r="I509" s="28" t="s">
        <v>257</v>
      </c>
      <c r="J509" s="30" t="s">
        <v>173</v>
      </c>
      <c r="K509" s="30" t="s">
        <v>109</v>
      </c>
      <c r="L509" s="32" t="s">
        <v>110</v>
      </c>
    </row>
    <row r="510" customFormat="false" ht="15" hidden="false" customHeight="false" outlineLevel="0" collapsed="false">
      <c r="A510" s="22" t="s">
        <v>1583</v>
      </c>
      <c r="B510" s="5" t="s">
        <v>1584</v>
      </c>
      <c r="C510" s="34" t="n">
        <v>4.2</v>
      </c>
      <c r="D510" s="5" t="s">
        <v>130</v>
      </c>
      <c r="E510" s="5" t="s">
        <v>120</v>
      </c>
      <c r="F510" s="24" t="s">
        <v>563</v>
      </c>
      <c r="G510" s="5" t="s">
        <v>172</v>
      </c>
      <c r="H510" s="25" t="n">
        <v>250</v>
      </c>
      <c r="I510" s="5" t="s">
        <v>257</v>
      </c>
      <c r="J510" s="24" t="s">
        <v>173</v>
      </c>
      <c r="K510" s="24" t="s">
        <v>109</v>
      </c>
      <c r="L510" s="26" t="s">
        <v>110</v>
      </c>
    </row>
    <row r="511" customFormat="false" ht="15" hidden="false" customHeight="false" outlineLevel="0" collapsed="false">
      <c r="A511" s="27" t="s">
        <v>1585</v>
      </c>
      <c r="B511" s="28" t="s">
        <v>1586</v>
      </c>
      <c r="C511" s="29" t="n">
        <v>3.6</v>
      </c>
      <c r="D511" s="28" t="s">
        <v>130</v>
      </c>
      <c r="E511" s="28" t="s">
        <v>120</v>
      </c>
      <c r="F511" s="30" t="s">
        <v>1587</v>
      </c>
      <c r="G511" s="28" t="s">
        <v>172</v>
      </c>
      <c r="H511" s="31" t="n">
        <v>250</v>
      </c>
      <c r="I511" s="28" t="s">
        <v>257</v>
      </c>
      <c r="J511" s="30" t="s">
        <v>173</v>
      </c>
      <c r="K511" s="30" t="s">
        <v>109</v>
      </c>
      <c r="L511" s="32" t="s">
        <v>110</v>
      </c>
    </row>
    <row r="512" customFormat="false" ht="15" hidden="false" customHeight="false" outlineLevel="0" collapsed="false">
      <c r="A512" s="22" t="s">
        <v>1588</v>
      </c>
      <c r="B512" s="5" t="s">
        <v>1589</v>
      </c>
      <c r="C512" s="34" t="n">
        <v>0.4</v>
      </c>
      <c r="D512" s="5" t="s">
        <v>130</v>
      </c>
      <c r="E512" s="5" t="s">
        <v>120</v>
      </c>
      <c r="F512" s="24" t="s">
        <v>1590</v>
      </c>
      <c r="G512" s="5" t="s">
        <v>172</v>
      </c>
      <c r="H512" s="25" t="n">
        <v>250</v>
      </c>
      <c r="I512" s="5" t="s">
        <v>257</v>
      </c>
      <c r="J512" s="24" t="s">
        <v>173</v>
      </c>
      <c r="K512" s="24" t="s">
        <v>109</v>
      </c>
      <c r="L512" s="26" t="s">
        <v>110</v>
      </c>
    </row>
    <row r="513" customFormat="false" ht="15" hidden="false" customHeight="false" outlineLevel="0" collapsed="false">
      <c r="A513" s="27" t="s">
        <v>1591</v>
      </c>
      <c r="B513" s="28" t="s">
        <v>1592</v>
      </c>
      <c r="C513" s="29" t="n">
        <v>0.4</v>
      </c>
      <c r="D513" s="28" t="s">
        <v>130</v>
      </c>
      <c r="E513" s="28" t="s">
        <v>120</v>
      </c>
      <c r="F513" s="30" t="s">
        <v>1590</v>
      </c>
      <c r="G513" s="28" t="s">
        <v>172</v>
      </c>
      <c r="H513" s="31" t="n">
        <v>250</v>
      </c>
      <c r="I513" s="28" t="s">
        <v>257</v>
      </c>
      <c r="J513" s="30" t="s">
        <v>173</v>
      </c>
      <c r="K513" s="30" t="s">
        <v>109</v>
      </c>
      <c r="L513" s="32" t="s">
        <v>110</v>
      </c>
    </row>
    <row r="514" customFormat="false" ht="15" hidden="false" customHeight="false" outlineLevel="0" collapsed="false">
      <c r="A514" s="22" t="s">
        <v>1593</v>
      </c>
      <c r="B514" s="5" t="s">
        <v>1594</v>
      </c>
      <c r="C514" s="34" t="n">
        <v>2.3</v>
      </c>
      <c r="D514" s="5" t="s">
        <v>130</v>
      </c>
      <c r="E514" s="5" t="s">
        <v>120</v>
      </c>
      <c r="F514" s="24" t="s">
        <v>490</v>
      </c>
      <c r="G514" s="5" t="s">
        <v>172</v>
      </c>
      <c r="H514" s="25" t="n">
        <v>250</v>
      </c>
      <c r="I514" s="5" t="s">
        <v>257</v>
      </c>
      <c r="J514" s="24" t="s">
        <v>173</v>
      </c>
      <c r="K514" s="24" t="s">
        <v>109</v>
      </c>
      <c r="L514" s="26" t="s">
        <v>110</v>
      </c>
    </row>
    <row r="515" customFormat="false" ht="15" hidden="false" customHeight="false" outlineLevel="0" collapsed="false">
      <c r="A515" s="27" t="s">
        <v>1595</v>
      </c>
      <c r="B515" s="28" t="s">
        <v>1596</v>
      </c>
      <c r="C515" s="29" t="n">
        <v>1.5</v>
      </c>
      <c r="D515" s="28" t="s">
        <v>130</v>
      </c>
      <c r="E515" s="28" t="s">
        <v>120</v>
      </c>
      <c r="F515" s="30" t="s">
        <v>409</v>
      </c>
      <c r="G515" s="28" t="s">
        <v>172</v>
      </c>
      <c r="H515" s="31" t="n">
        <v>250</v>
      </c>
      <c r="I515" s="28" t="s">
        <v>257</v>
      </c>
      <c r="J515" s="30" t="s">
        <v>173</v>
      </c>
      <c r="K515" s="30" t="s">
        <v>109</v>
      </c>
      <c r="L515" s="32" t="s">
        <v>110</v>
      </c>
    </row>
    <row r="516" customFormat="false" ht="15" hidden="false" customHeight="false" outlineLevel="0" collapsed="false">
      <c r="A516" s="22" t="s">
        <v>1597</v>
      </c>
      <c r="B516" s="5" t="s">
        <v>1598</v>
      </c>
      <c r="C516" s="34" t="n">
        <v>0.4</v>
      </c>
      <c r="D516" s="5" t="s">
        <v>130</v>
      </c>
      <c r="E516" s="5" t="s">
        <v>120</v>
      </c>
      <c r="F516" s="24" t="s">
        <v>1590</v>
      </c>
      <c r="G516" s="5" t="s">
        <v>172</v>
      </c>
      <c r="H516" s="25" t="n">
        <v>250</v>
      </c>
      <c r="I516" s="5" t="s">
        <v>257</v>
      </c>
      <c r="J516" s="24" t="s">
        <v>173</v>
      </c>
      <c r="K516" s="24" t="s">
        <v>109</v>
      </c>
      <c r="L516" s="26" t="s">
        <v>110</v>
      </c>
    </row>
    <row r="517" customFormat="false" ht="15" hidden="false" customHeight="false" outlineLevel="0" collapsed="false">
      <c r="A517" s="27" t="s">
        <v>1599</v>
      </c>
      <c r="B517" s="28" t="s">
        <v>1600</v>
      </c>
      <c r="C517" s="29" t="n">
        <v>0.3</v>
      </c>
      <c r="D517" s="28" t="s">
        <v>130</v>
      </c>
      <c r="E517" s="28" t="s">
        <v>120</v>
      </c>
      <c r="F517" s="30" t="s">
        <v>412</v>
      </c>
      <c r="G517" s="28" t="s">
        <v>172</v>
      </c>
      <c r="H517" s="31" t="n">
        <v>250</v>
      </c>
      <c r="I517" s="28" t="s">
        <v>257</v>
      </c>
      <c r="J517" s="30" t="s">
        <v>173</v>
      </c>
      <c r="K517" s="30" t="s">
        <v>109</v>
      </c>
      <c r="L517" s="32" t="s">
        <v>110</v>
      </c>
    </row>
    <row r="518" customFormat="false" ht="15" hidden="false" customHeight="false" outlineLevel="0" collapsed="false">
      <c r="A518" s="22" t="s">
        <v>1601</v>
      </c>
      <c r="B518" s="5" t="s">
        <v>1602</v>
      </c>
      <c r="C518" s="34" t="n">
        <v>6.1</v>
      </c>
      <c r="D518" s="5" t="s">
        <v>130</v>
      </c>
      <c r="E518" s="5" t="s">
        <v>120</v>
      </c>
      <c r="F518" s="24" t="s">
        <v>1603</v>
      </c>
      <c r="G518" s="5" t="s">
        <v>172</v>
      </c>
      <c r="H518" s="25" t="n">
        <v>250</v>
      </c>
      <c r="I518" s="5" t="s">
        <v>257</v>
      </c>
      <c r="J518" s="24" t="s">
        <v>173</v>
      </c>
      <c r="K518" s="24" t="s">
        <v>109</v>
      </c>
      <c r="L518" s="26" t="s">
        <v>110</v>
      </c>
    </row>
    <row r="519" customFormat="false" ht="15" hidden="false" customHeight="false" outlineLevel="0" collapsed="false">
      <c r="A519" s="27" t="s">
        <v>1604</v>
      </c>
      <c r="B519" s="28" t="s">
        <v>1605</v>
      </c>
      <c r="C519" s="29" t="n">
        <v>5.1</v>
      </c>
      <c r="D519" s="28" t="s">
        <v>130</v>
      </c>
      <c r="E519" s="28" t="s">
        <v>120</v>
      </c>
      <c r="F519" s="30" t="s">
        <v>555</v>
      </c>
      <c r="G519" s="28" t="s">
        <v>172</v>
      </c>
      <c r="H519" s="31" t="n">
        <v>250</v>
      </c>
      <c r="I519" s="28" t="s">
        <v>257</v>
      </c>
      <c r="J519" s="30" t="s">
        <v>173</v>
      </c>
      <c r="K519" s="30" t="s">
        <v>109</v>
      </c>
      <c r="L519" s="32" t="s">
        <v>110</v>
      </c>
    </row>
    <row r="520" customFormat="false" ht="15" hidden="false" customHeight="false" outlineLevel="0" collapsed="false">
      <c r="A520" s="22" t="s">
        <v>1606</v>
      </c>
      <c r="B520" s="5" t="s">
        <v>1607</v>
      </c>
      <c r="C520" s="34" t="n">
        <v>0.6</v>
      </c>
      <c r="D520" s="5" t="s">
        <v>130</v>
      </c>
      <c r="E520" s="5" t="s">
        <v>120</v>
      </c>
      <c r="F520" s="24" t="s">
        <v>1608</v>
      </c>
      <c r="G520" s="5" t="s">
        <v>172</v>
      </c>
      <c r="H520" s="25" t="n">
        <v>250</v>
      </c>
      <c r="I520" s="5" t="s">
        <v>257</v>
      </c>
      <c r="J520" s="24" t="s">
        <v>173</v>
      </c>
      <c r="K520" s="24" t="s">
        <v>109</v>
      </c>
      <c r="L520" s="26" t="s">
        <v>110</v>
      </c>
    </row>
    <row r="521" customFormat="false" ht="15" hidden="false" customHeight="false" outlineLevel="0" collapsed="false">
      <c r="A521" s="27" t="s">
        <v>1609</v>
      </c>
      <c r="B521" s="28" t="s">
        <v>1610</v>
      </c>
      <c r="C521" s="29" t="n">
        <v>0.5</v>
      </c>
      <c r="D521" s="28" t="s">
        <v>130</v>
      </c>
      <c r="E521" s="28" t="s">
        <v>120</v>
      </c>
      <c r="F521" s="30" t="s">
        <v>115</v>
      </c>
      <c r="G521" s="28" t="s">
        <v>172</v>
      </c>
      <c r="H521" s="31" t="n">
        <v>250</v>
      </c>
      <c r="I521" s="28" t="s">
        <v>257</v>
      </c>
      <c r="J521" s="30" t="s">
        <v>173</v>
      </c>
      <c r="K521" s="30" t="s">
        <v>109</v>
      </c>
      <c r="L521" s="32" t="s">
        <v>110</v>
      </c>
    </row>
    <row r="522" customFormat="false" ht="15" hidden="false" customHeight="false" outlineLevel="0" collapsed="false">
      <c r="A522" s="22" t="s">
        <v>1611</v>
      </c>
      <c r="B522" s="5" t="s">
        <v>1612</v>
      </c>
      <c r="C522" s="34" t="n">
        <v>3.5</v>
      </c>
      <c r="D522" s="5" t="s">
        <v>130</v>
      </c>
      <c r="E522" s="5" t="s">
        <v>120</v>
      </c>
      <c r="F522" s="24" t="s">
        <v>1613</v>
      </c>
      <c r="G522" s="5" t="s">
        <v>172</v>
      </c>
      <c r="H522" s="25" t="n">
        <v>250</v>
      </c>
      <c r="I522" s="5" t="s">
        <v>257</v>
      </c>
      <c r="J522" s="24" t="s">
        <v>173</v>
      </c>
      <c r="K522" s="24" t="s">
        <v>109</v>
      </c>
      <c r="L522" s="26" t="s">
        <v>110</v>
      </c>
    </row>
    <row r="523" customFormat="false" ht="15" hidden="false" customHeight="false" outlineLevel="0" collapsed="false">
      <c r="A523" s="27" t="s">
        <v>1614</v>
      </c>
      <c r="B523" s="28" t="s">
        <v>1615</v>
      </c>
      <c r="C523" s="29" t="n">
        <v>2.8</v>
      </c>
      <c r="D523" s="28" t="s">
        <v>130</v>
      </c>
      <c r="E523" s="28" t="s">
        <v>120</v>
      </c>
      <c r="F523" s="30" t="s">
        <v>558</v>
      </c>
      <c r="G523" s="28" t="s">
        <v>172</v>
      </c>
      <c r="H523" s="31" t="n">
        <v>250</v>
      </c>
      <c r="I523" s="28" t="s">
        <v>257</v>
      </c>
      <c r="J523" s="30" t="s">
        <v>173</v>
      </c>
      <c r="K523" s="30" t="s">
        <v>109</v>
      </c>
      <c r="L523" s="32" t="s">
        <v>110</v>
      </c>
    </row>
    <row r="524" customFormat="false" ht="15" hidden="false" customHeight="false" outlineLevel="0" collapsed="false">
      <c r="A524" s="22" t="s">
        <v>1616</v>
      </c>
      <c r="B524" s="5" t="s">
        <v>1617</v>
      </c>
      <c r="C524" s="34" t="n">
        <v>0.2</v>
      </c>
      <c r="D524" s="5" t="s">
        <v>130</v>
      </c>
      <c r="E524" s="5" t="s">
        <v>120</v>
      </c>
      <c r="F524" s="24" t="s">
        <v>1618</v>
      </c>
      <c r="G524" s="5" t="s">
        <v>172</v>
      </c>
      <c r="H524" s="25" t="n">
        <v>250</v>
      </c>
      <c r="I524" s="5" t="s">
        <v>257</v>
      </c>
      <c r="J524" s="24" t="s">
        <v>173</v>
      </c>
      <c r="K524" s="24" t="s">
        <v>109</v>
      </c>
      <c r="L524" s="26" t="s">
        <v>110</v>
      </c>
    </row>
    <row r="525" customFormat="false" ht="15" hidden="false" customHeight="false" outlineLevel="0" collapsed="false">
      <c r="A525" s="27" t="s">
        <v>1619</v>
      </c>
      <c r="B525" s="28" t="s">
        <v>1620</v>
      </c>
      <c r="C525" s="29" t="n">
        <v>0.1</v>
      </c>
      <c r="D525" s="28" t="s">
        <v>130</v>
      </c>
      <c r="E525" s="28" t="s">
        <v>120</v>
      </c>
      <c r="F525" s="30" t="s">
        <v>215</v>
      </c>
      <c r="G525" s="28" t="s">
        <v>172</v>
      </c>
      <c r="H525" s="31" t="n">
        <v>250</v>
      </c>
      <c r="I525" s="28" t="s">
        <v>257</v>
      </c>
      <c r="J525" s="30" t="s">
        <v>173</v>
      </c>
      <c r="K525" s="30" t="s">
        <v>109</v>
      </c>
      <c r="L525" s="32" t="s">
        <v>110</v>
      </c>
    </row>
    <row r="526" customFormat="false" ht="15" hidden="false" customHeight="false" outlineLevel="0" collapsed="false">
      <c r="A526" s="22" t="s">
        <v>1621</v>
      </c>
      <c r="B526" s="5" t="s">
        <v>1622</v>
      </c>
      <c r="C526" s="34" t="n">
        <v>0.4</v>
      </c>
      <c r="D526" s="5" t="s">
        <v>130</v>
      </c>
      <c r="E526" s="5" t="s">
        <v>120</v>
      </c>
      <c r="F526" s="24" t="s">
        <v>1590</v>
      </c>
      <c r="G526" s="5" t="s">
        <v>172</v>
      </c>
      <c r="H526" s="25" t="n">
        <v>250</v>
      </c>
      <c r="I526" s="5" t="s">
        <v>257</v>
      </c>
      <c r="J526" s="24" t="s">
        <v>173</v>
      </c>
      <c r="K526" s="24" t="s">
        <v>109</v>
      </c>
      <c r="L526" s="26" t="s">
        <v>110</v>
      </c>
    </row>
    <row r="527" customFormat="false" ht="15" hidden="false" customHeight="false" outlineLevel="0" collapsed="false">
      <c r="A527" s="27" t="s">
        <v>1623</v>
      </c>
      <c r="B527" s="28" t="s">
        <v>1624</v>
      </c>
      <c r="C527" s="29" t="n">
        <v>0.3</v>
      </c>
      <c r="D527" s="28" t="s">
        <v>130</v>
      </c>
      <c r="E527" s="28" t="s">
        <v>120</v>
      </c>
      <c r="F527" s="30" t="s">
        <v>412</v>
      </c>
      <c r="G527" s="28" t="s">
        <v>172</v>
      </c>
      <c r="H527" s="31" t="n">
        <v>250</v>
      </c>
      <c r="I527" s="28" t="s">
        <v>257</v>
      </c>
      <c r="J527" s="30" t="s">
        <v>173</v>
      </c>
      <c r="K527" s="30" t="s">
        <v>109</v>
      </c>
      <c r="L527" s="32" t="s">
        <v>110</v>
      </c>
    </row>
    <row r="528" customFormat="false" ht="15" hidden="false" customHeight="false" outlineLevel="0" collapsed="false">
      <c r="A528" s="22" t="s">
        <v>1625</v>
      </c>
      <c r="B528" s="5" t="s">
        <v>1626</v>
      </c>
      <c r="C528" s="34" t="n">
        <v>0.1</v>
      </c>
      <c r="D528" s="5" t="s">
        <v>130</v>
      </c>
      <c r="E528" s="5" t="s">
        <v>120</v>
      </c>
      <c r="F528" s="24" t="s">
        <v>215</v>
      </c>
      <c r="G528" s="5" t="s">
        <v>172</v>
      </c>
      <c r="H528" s="25" t="n">
        <v>250</v>
      </c>
      <c r="I528" s="5" t="s">
        <v>257</v>
      </c>
      <c r="J528" s="24" t="s">
        <v>173</v>
      </c>
      <c r="K528" s="24" t="s">
        <v>109</v>
      </c>
      <c r="L528" s="26" t="s">
        <v>110</v>
      </c>
    </row>
    <row r="529" customFormat="false" ht="15" hidden="false" customHeight="false" outlineLevel="0" collapsed="false">
      <c r="A529" s="27" t="s">
        <v>1627</v>
      </c>
      <c r="B529" s="28" t="s">
        <v>1628</v>
      </c>
      <c r="C529" s="33" t="n">
        <v>0</v>
      </c>
      <c r="D529" s="28" t="s">
        <v>130</v>
      </c>
      <c r="E529" s="28" t="s">
        <v>120</v>
      </c>
      <c r="F529" s="30" t="s">
        <v>1629</v>
      </c>
      <c r="G529" s="28" t="s">
        <v>172</v>
      </c>
      <c r="H529" s="31" t="n">
        <v>250</v>
      </c>
      <c r="I529" s="28" t="s">
        <v>257</v>
      </c>
      <c r="J529" s="30" t="s">
        <v>173</v>
      </c>
      <c r="K529" s="30" t="s">
        <v>109</v>
      </c>
      <c r="L529" s="32" t="s">
        <v>110</v>
      </c>
    </row>
    <row r="530" customFormat="false" ht="15" hidden="false" customHeight="false" outlineLevel="0" collapsed="false">
      <c r="A530" s="22" t="s">
        <v>1630</v>
      </c>
      <c r="B530" s="5" t="s">
        <v>1631</v>
      </c>
      <c r="C530" s="34" t="n">
        <v>2.2</v>
      </c>
      <c r="D530" s="5" t="s">
        <v>269</v>
      </c>
      <c r="E530" s="5" t="s">
        <v>1632</v>
      </c>
      <c r="F530" s="24" t="s">
        <v>1633</v>
      </c>
      <c r="G530" s="5" t="s">
        <v>1634</v>
      </c>
      <c r="H530" s="25" t="n">
        <v>1</v>
      </c>
      <c r="I530" s="5" t="s">
        <v>273</v>
      </c>
      <c r="J530" s="24" t="s">
        <v>1635</v>
      </c>
      <c r="K530" s="24" t="s">
        <v>1489</v>
      </c>
      <c r="L530" s="26" t="s">
        <v>110</v>
      </c>
    </row>
    <row r="531" customFormat="false" ht="15" hidden="false" customHeight="false" outlineLevel="0" collapsed="false">
      <c r="A531" s="27" t="s">
        <v>1636</v>
      </c>
      <c r="B531" s="28" t="s">
        <v>1637</v>
      </c>
      <c r="C531" s="33" t="n">
        <v>48</v>
      </c>
      <c r="D531" s="28" t="s">
        <v>1495</v>
      </c>
      <c r="E531" s="28" t="s">
        <v>1632</v>
      </c>
      <c r="F531" s="30" t="s">
        <v>1638</v>
      </c>
      <c r="G531" s="28" t="s">
        <v>1634</v>
      </c>
      <c r="H531" s="31" t="n">
        <v>1</v>
      </c>
      <c r="I531" s="28" t="s">
        <v>273</v>
      </c>
      <c r="J531" s="30" t="s">
        <v>1635</v>
      </c>
      <c r="K531" s="30" t="s">
        <v>1489</v>
      </c>
      <c r="L531" s="32" t="s">
        <v>110</v>
      </c>
    </row>
    <row r="532" customFormat="false" ht="15" hidden="false" customHeight="false" outlineLevel="0" collapsed="false">
      <c r="A532" s="22" t="s">
        <v>1639</v>
      </c>
      <c r="B532" s="5" t="s">
        <v>1640</v>
      </c>
      <c r="C532" s="23" t="n">
        <v>156</v>
      </c>
      <c r="D532" s="5" t="s">
        <v>249</v>
      </c>
      <c r="E532" s="5" t="s">
        <v>1641</v>
      </c>
      <c r="F532" s="24" t="s">
        <v>1642</v>
      </c>
      <c r="G532" s="5" t="s">
        <v>1634</v>
      </c>
      <c r="H532" s="25" t="n">
        <v>1</v>
      </c>
      <c r="I532" s="5" t="s">
        <v>273</v>
      </c>
      <c r="J532" s="24" t="s">
        <v>1635</v>
      </c>
      <c r="K532" s="24" t="s">
        <v>1489</v>
      </c>
      <c r="L532" s="26" t="s">
        <v>110</v>
      </c>
    </row>
    <row r="533" customFormat="false" ht="15" hidden="false" customHeight="false" outlineLevel="0" collapsed="false">
      <c r="A533" s="27" t="s">
        <v>1643</v>
      </c>
      <c r="B533" s="28" t="s">
        <v>1644</v>
      </c>
      <c r="C533" s="33" t="n">
        <v>968</v>
      </c>
      <c r="D533" s="28" t="s">
        <v>249</v>
      </c>
      <c r="E533" s="28" t="s">
        <v>1641</v>
      </c>
      <c r="F533" s="30" t="s">
        <v>1645</v>
      </c>
      <c r="G533" s="28" t="s">
        <v>1634</v>
      </c>
      <c r="H533" s="31" t="n">
        <v>1</v>
      </c>
      <c r="I533" s="28" t="s">
        <v>273</v>
      </c>
      <c r="J533" s="30" t="s">
        <v>1635</v>
      </c>
      <c r="K533" s="30" t="s">
        <v>1489</v>
      </c>
      <c r="L533" s="32" t="s">
        <v>110</v>
      </c>
    </row>
    <row r="534" customFormat="false" ht="15" hidden="false" customHeight="false" outlineLevel="0" collapsed="false">
      <c r="A534" s="22" t="s">
        <v>1646</v>
      </c>
      <c r="B534" s="5" t="s">
        <v>1647</v>
      </c>
      <c r="C534" s="23" t="n">
        <v>40</v>
      </c>
      <c r="D534" s="5" t="s">
        <v>249</v>
      </c>
      <c r="E534" s="5" t="s">
        <v>1648</v>
      </c>
      <c r="F534" s="24" t="s">
        <v>1649</v>
      </c>
      <c r="G534" s="5" t="s">
        <v>1634</v>
      </c>
      <c r="H534" s="25" t="n">
        <v>1</v>
      </c>
      <c r="I534" s="5" t="s">
        <v>273</v>
      </c>
      <c r="J534" s="24" t="s">
        <v>1635</v>
      </c>
      <c r="K534" s="24" t="s">
        <v>1489</v>
      </c>
      <c r="L534" s="26" t="s">
        <v>110</v>
      </c>
    </row>
    <row r="535" customFormat="false" ht="15" hidden="false" customHeight="false" outlineLevel="0" collapsed="false">
      <c r="A535" s="27" t="s">
        <v>1650</v>
      </c>
      <c r="B535" s="28" t="s">
        <v>1651</v>
      </c>
      <c r="C535" s="36" t="s">
        <v>1652</v>
      </c>
      <c r="D535" s="28"/>
      <c r="E535" s="28" t="s">
        <v>1653</v>
      </c>
      <c r="F535" s="30" t="s">
        <v>1652</v>
      </c>
      <c r="G535" s="28" t="s">
        <v>522</v>
      </c>
      <c r="H535" s="31" t="n">
        <v>11</v>
      </c>
      <c r="I535" s="28" t="s">
        <v>107</v>
      </c>
      <c r="J535" s="30" t="s">
        <v>523</v>
      </c>
      <c r="K535" s="30" t="s">
        <v>524</v>
      </c>
      <c r="L535" s="32" t="s">
        <v>110</v>
      </c>
    </row>
    <row r="536" customFormat="false" ht="15" hidden="false" customHeight="false" outlineLevel="0" collapsed="false">
      <c r="A536" s="22" t="s">
        <v>1654</v>
      </c>
      <c r="B536" s="5" t="s">
        <v>1655</v>
      </c>
      <c r="C536" s="23" t="n">
        <v>1415</v>
      </c>
      <c r="D536" s="5" t="s">
        <v>103</v>
      </c>
      <c r="E536" s="5" t="s">
        <v>1656</v>
      </c>
      <c r="F536" s="24" t="s">
        <v>1657</v>
      </c>
      <c r="G536" s="5" t="s">
        <v>522</v>
      </c>
      <c r="H536" s="25" t="n">
        <v>11</v>
      </c>
      <c r="I536" s="5" t="s">
        <v>107</v>
      </c>
      <c r="J536" s="24" t="s">
        <v>523</v>
      </c>
      <c r="K536" s="24" t="s">
        <v>524</v>
      </c>
      <c r="L536" s="26" t="s">
        <v>110</v>
      </c>
    </row>
    <row r="537" customFormat="false" ht="15" hidden="false" customHeight="false" outlineLevel="0" collapsed="false">
      <c r="A537" s="27" t="s">
        <v>1658</v>
      </c>
      <c r="B537" s="28" t="s">
        <v>1659</v>
      </c>
      <c r="C537" s="29" t="n">
        <v>20.3</v>
      </c>
      <c r="D537" s="28" t="s">
        <v>299</v>
      </c>
      <c r="E537" s="28" t="s">
        <v>1656</v>
      </c>
      <c r="F537" s="30" t="s">
        <v>521</v>
      </c>
      <c r="G537" s="28" t="s">
        <v>522</v>
      </c>
      <c r="H537" s="31" t="n">
        <v>11</v>
      </c>
      <c r="I537" s="28" t="s">
        <v>107</v>
      </c>
      <c r="J537" s="30" t="s">
        <v>523</v>
      </c>
      <c r="K537" s="30" t="s">
        <v>524</v>
      </c>
      <c r="L537" s="32" t="s">
        <v>110</v>
      </c>
    </row>
    <row r="538" customFormat="false" ht="15" hidden="false" customHeight="false" outlineLevel="0" collapsed="false">
      <c r="A538" s="22" t="s">
        <v>1660</v>
      </c>
      <c r="B538" s="5" t="s">
        <v>1661</v>
      </c>
      <c r="C538" s="34" t="n">
        <v>17.5</v>
      </c>
      <c r="D538" s="5" t="s">
        <v>299</v>
      </c>
      <c r="E538" s="5" t="s">
        <v>1656</v>
      </c>
      <c r="F538" s="24" t="s">
        <v>1662</v>
      </c>
      <c r="G538" s="5" t="s">
        <v>522</v>
      </c>
      <c r="H538" s="25" t="n">
        <v>11</v>
      </c>
      <c r="I538" s="5" t="s">
        <v>107</v>
      </c>
      <c r="J538" s="24" t="s">
        <v>523</v>
      </c>
      <c r="K538" s="24" t="s">
        <v>524</v>
      </c>
      <c r="L538" s="26" t="s">
        <v>110</v>
      </c>
    </row>
    <row r="539" customFormat="false" ht="15" hidden="false" customHeight="false" outlineLevel="0" collapsed="false">
      <c r="A539" s="27" t="s">
        <v>1663</v>
      </c>
      <c r="B539" s="28" t="s">
        <v>1664</v>
      </c>
      <c r="C539" s="29" t="n">
        <v>4.2</v>
      </c>
      <c r="D539" s="28" t="s">
        <v>133</v>
      </c>
      <c r="E539" s="28" t="s">
        <v>1656</v>
      </c>
      <c r="F539" s="30" t="s">
        <v>563</v>
      </c>
      <c r="G539" s="28" t="s">
        <v>522</v>
      </c>
      <c r="H539" s="31" t="n">
        <v>11</v>
      </c>
      <c r="I539" s="28" t="s">
        <v>107</v>
      </c>
      <c r="J539" s="30" t="s">
        <v>523</v>
      </c>
      <c r="K539" s="30" t="s">
        <v>524</v>
      </c>
      <c r="L539" s="32" t="s">
        <v>110</v>
      </c>
    </row>
    <row r="540" customFormat="false" ht="15" hidden="false" customHeight="false" outlineLevel="0" collapsed="false">
      <c r="A540" s="22" t="s">
        <v>1665</v>
      </c>
      <c r="B540" s="5" t="s">
        <v>1666</v>
      </c>
      <c r="C540" s="35" t="s">
        <v>1652</v>
      </c>
      <c r="D540" s="5"/>
      <c r="E540" s="5" t="s">
        <v>1653</v>
      </c>
      <c r="F540" s="24" t="s">
        <v>1652</v>
      </c>
      <c r="G540" s="5" t="s">
        <v>522</v>
      </c>
      <c r="H540" s="25" t="n">
        <v>11</v>
      </c>
      <c r="I540" s="5" t="s">
        <v>107</v>
      </c>
      <c r="J540" s="24" t="s">
        <v>523</v>
      </c>
      <c r="K540" s="24" t="s">
        <v>524</v>
      </c>
      <c r="L540" s="26" t="s">
        <v>110</v>
      </c>
    </row>
    <row r="541" customFormat="false" ht="15" hidden="false" customHeight="false" outlineLevel="0" collapsed="false">
      <c r="A541" s="27" t="s">
        <v>1667</v>
      </c>
      <c r="B541" s="28" t="s">
        <v>1668</v>
      </c>
      <c r="C541" s="33" t="n">
        <v>1476</v>
      </c>
      <c r="D541" s="28" t="s">
        <v>103</v>
      </c>
      <c r="E541" s="28" t="s">
        <v>1656</v>
      </c>
      <c r="F541" s="30" t="s">
        <v>1669</v>
      </c>
      <c r="G541" s="28" t="s">
        <v>522</v>
      </c>
      <c r="H541" s="31" t="n">
        <v>11</v>
      </c>
      <c r="I541" s="28" t="s">
        <v>107</v>
      </c>
      <c r="J541" s="30" t="s">
        <v>523</v>
      </c>
      <c r="K541" s="30" t="s">
        <v>524</v>
      </c>
      <c r="L541" s="32" t="s">
        <v>110</v>
      </c>
    </row>
    <row r="542" customFormat="false" ht="15" hidden="false" customHeight="false" outlineLevel="0" collapsed="false">
      <c r="A542" s="22" t="s">
        <v>1670</v>
      </c>
      <c r="B542" s="5" t="s">
        <v>1671</v>
      </c>
      <c r="C542" s="34" t="n">
        <v>23.3</v>
      </c>
      <c r="D542" s="5" t="s">
        <v>299</v>
      </c>
      <c r="E542" s="5" t="s">
        <v>1656</v>
      </c>
      <c r="F542" s="24" t="s">
        <v>1672</v>
      </c>
      <c r="G542" s="5" t="s">
        <v>522</v>
      </c>
      <c r="H542" s="25" t="n">
        <v>11</v>
      </c>
      <c r="I542" s="5" t="s">
        <v>107</v>
      </c>
      <c r="J542" s="24" t="s">
        <v>523</v>
      </c>
      <c r="K542" s="24" t="s">
        <v>524</v>
      </c>
      <c r="L542" s="26" t="s">
        <v>110</v>
      </c>
    </row>
    <row r="543" customFormat="false" ht="15" hidden="false" customHeight="false" outlineLevel="0" collapsed="false">
      <c r="A543" s="27" t="s">
        <v>1673</v>
      </c>
      <c r="B543" s="28" t="s">
        <v>1674</v>
      </c>
      <c r="C543" s="29" t="n">
        <v>16.9</v>
      </c>
      <c r="D543" s="28" t="s">
        <v>299</v>
      </c>
      <c r="E543" s="28" t="s">
        <v>1656</v>
      </c>
      <c r="F543" s="30" t="s">
        <v>1675</v>
      </c>
      <c r="G543" s="28" t="s">
        <v>522</v>
      </c>
      <c r="H543" s="31" t="n">
        <v>11</v>
      </c>
      <c r="I543" s="28" t="s">
        <v>107</v>
      </c>
      <c r="J543" s="30" t="s">
        <v>523</v>
      </c>
      <c r="K543" s="30" t="s">
        <v>524</v>
      </c>
      <c r="L543" s="32" t="s">
        <v>110</v>
      </c>
    </row>
    <row r="544" customFormat="false" ht="15" hidden="false" customHeight="false" outlineLevel="0" collapsed="false">
      <c r="A544" s="22" t="s">
        <v>1676</v>
      </c>
      <c r="B544" s="5" t="s">
        <v>1677</v>
      </c>
      <c r="C544" s="34" t="n">
        <v>3.8</v>
      </c>
      <c r="D544" s="5" t="s">
        <v>133</v>
      </c>
      <c r="E544" s="5" t="s">
        <v>1656</v>
      </c>
      <c r="F544" s="24" t="s">
        <v>1678</v>
      </c>
      <c r="G544" s="5" t="s">
        <v>522</v>
      </c>
      <c r="H544" s="25" t="n">
        <v>11</v>
      </c>
      <c r="I544" s="5" t="s">
        <v>107</v>
      </c>
      <c r="J544" s="24" t="s">
        <v>523</v>
      </c>
      <c r="K544" s="24" t="s">
        <v>524</v>
      </c>
      <c r="L544" s="26" t="s">
        <v>110</v>
      </c>
    </row>
    <row r="545" customFormat="false" ht="15" hidden="false" customHeight="false" outlineLevel="0" collapsed="false">
      <c r="A545" s="27" t="s">
        <v>1679</v>
      </c>
      <c r="B545" s="28" t="s">
        <v>1680</v>
      </c>
      <c r="C545" s="36" t="s">
        <v>1681</v>
      </c>
      <c r="D545" s="28"/>
      <c r="E545" s="28" t="s">
        <v>1653</v>
      </c>
      <c r="F545" s="30" t="s">
        <v>1681</v>
      </c>
      <c r="G545" s="28" t="s">
        <v>522</v>
      </c>
      <c r="H545" s="31" t="n">
        <v>11</v>
      </c>
      <c r="I545" s="28" t="s">
        <v>107</v>
      </c>
      <c r="J545" s="30" t="s">
        <v>523</v>
      </c>
      <c r="K545" s="30" t="s">
        <v>524</v>
      </c>
      <c r="L545" s="32" t="s">
        <v>110</v>
      </c>
    </row>
    <row r="546" customFormat="false" ht="15" hidden="false" customHeight="false" outlineLevel="0" collapsed="false">
      <c r="A546" s="22" t="s">
        <v>1682</v>
      </c>
      <c r="B546" s="5" t="s">
        <v>1683</v>
      </c>
      <c r="C546" s="23" t="n">
        <v>1088</v>
      </c>
      <c r="D546" s="5" t="s">
        <v>103</v>
      </c>
      <c r="E546" s="5" t="s">
        <v>1656</v>
      </c>
      <c r="F546" s="24" t="s">
        <v>1684</v>
      </c>
      <c r="G546" s="5" t="s">
        <v>522</v>
      </c>
      <c r="H546" s="25" t="n">
        <v>11</v>
      </c>
      <c r="I546" s="5" t="s">
        <v>107</v>
      </c>
      <c r="J546" s="24" t="s">
        <v>523</v>
      </c>
      <c r="K546" s="24" t="s">
        <v>524</v>
      </c>
      <c r="L546" s="26" t="s">
        <v>110</v>
      </c>
    </row>
    <row r="547" customFormat="false" ht="15" hidden="false" customHeight="false" outlineLevel="0" collapsed="false">
      <c r="A547" s="27" t="s">
        <v>1685</v>
      </c>
      <c r="B547" s="28" t="s">
        <v>1686</v>
      </c>
      <c r="C547" s="29" t="n">
        <v>11.4</v>
      </c>
      <c r="D547" s="28" t="s">
        <v>299</v>
      </c>
      <c r="E547" s="28" t="s">
        <v>1656</v>
      </c>
      <c r="F547" s="30" t="s">
        <v>1574</v>
      </c>
      <c r="G547" s="28" t="s">
        <v>522</v>
      </c>
      <c r="H547" s="31" t="n">
        <v>11</v>
      </c>
      <c r="I547" s="28" t="s">
        <v>107</v>
      </c>
      <c r="J547" s="30" t="s">
        <v>523</v>
      </c>
      <c r="K547" s="30" t="s">
        <v>524</v>
      </c>
      <c r="L547" s="32" t="s">
        <v>110</v>
      </c>
    </row>
    <row r="548" customFormat="false" ht="15" hidden="false" customHeight="false" outlineLevel="0" collapsed="false">
      <c r="A548" s="22" t="s">
        <v>1687</v>
      </c>
      <c r="B548" s="5" t="s">
        <v>1688</v>
      </c>
      <c r="C548" s="34" t="n">
        <v>10.3</v>
      </c>
      <c r="D548" s="5" t="s">
        <v>299</v>
      </c>
      <c r="E548" s="5" t="s">
        <v>1656</v>
      </c>
      <c r="F548" s="24" t="s">
        <v>1689</v>
      </c>
      <c r="G548" s="5" t="s">
        <v>522</v>
      </c>
      <c r="H548" s="25" t="n">
        <v>11</v>
      </c>
      <c r="I548" s="5" t="s">
        <v>107</v>
      </c>
      <c r="J548" s="24" t="s">
        <v>523</v>
      </c>
      <c r="K548" s="24" t="s">
        <v>524</v>
      </c>
      <c r="L548" s="26" t="s">
        <v>110</v>
      </c>
    </row>
    <row r="549" customFormat="false" ht="15" hidden="false" customHeight="false" outlineLevel="0" collapsed="false">
      <c r="A549" s="27" t="s">
        <v>1690</v>
      </c>
      <c r="B549" s="28" t="s">
        <v>1691</v>
      </c>
      <c r="C549" s="29" t="n">
        <v>6.8</v>
      </c>
      <c r="D549" s="28" t="s">
        <v>133</v>
      </c>
      <c r="E549" s="28" t="s">
        <v>1656</v>
      </c>
      <c r="F549" s="30" t="s">
        <v>1692</v>
      </c>
      <c r="G549" s="28" t="s">
        <v>522</v>
      </c>
      <c r="H549" s="31" t="n">
        <v>11</v>
      </c>
      <c r="I549" s="28" t="s">
        <v>107</v>
      </c>
      <c r="J549" s="30" t="s">
        <v>523</v>
      </c>
      <c r="K549" s="30" t="s">
        <v>524</v>
      </c>
      <c r="L549" s="32" t="s">
        <v>110</v>
      </c>
    </row>
    <row r="550" customFormat="false" ht="15" hidden="false" customHeight="false" outlineLevel="0" collapsed="false">
      <c r="A550" s="22" t="s">
        <v>1693</v>
      </c>
      <c r="B550" s="5" t="s">
        <v>1694</v>
      </c>
      <c r="C550" s="35" t="s">
        <v>1652</v>
      </c>
      <c r="D550" s="5"/>
      <c r="E550" s="5" t="s">
        <v>1653</v>
      </c>
      <c r="F550" s="24" t="s">
        <v>1652</v>
      </c>
      <c r="G550" s="5" t="s">
        <v>522</v>
      </c>
      <c r="H550" s="25" t="n">
        <v>11</v>
      </c>
      <c r="I550" s="5" t="s">
        <v>107</v>
      </c>
      <c r="J550" s="24" t="s">
        <v>523</v>
      </c>
      <c r="K550" s="24" t="s">
        <v>524</v>
      </c>
      <c r="L550" s="26" t="s">
        <v>110</v>
      </c>
    </row>
    <row r="551" customFormat="false" ht="15" hidden="false" customHeight="false" outlineLevel="0" collapsed="false">
      <c r="A551" s="27" t="s">
        <v>1695</v>
      </c>
      <c r="B551" s="28" t="s">
        <v>1696</v>
      </c>
      <c r="C551" s="33" t="n">
        <v>2824</v>
      </c>
      <c r="D551" s="28" t="s">
        <v>103</v>
      </c>
      <c r="E551" s="28" t="s">
        <v>120</v>
      </c>
      <c r="F551" s="30" t="s">
        <v>1697</v>
      </c>
      <c r="G551" s="28" t="s">
        <v>172</v>
      </c>
      <c r="H551" s="31" t="n">
        <v>418</v>
      </c>
      <c r="I551" s="28" t="s">
        <v>127</v>
      </c>
      <c r="J551" s="30" t="s">
        <v>173</v>
      </c>
      <c r="K551" s="30" t="s">
        <v>109</v>
      </c>
      <c r="L551" s="32" t="s">
        <v>110</v>
      </c>
    </row>
    <row r="552" customFormat="false" ht="15" hidden="false" customHeight="false" outlineLevel="0" collapsed="false">
      <c r="A552" s="22" t="s">
        <v>1698</v>
      </c>
      <c r="B552" s="5" t="s">
        <v>1699</v>
      </c>
      <c r="C552" s="23" t="n">
        <v>-2311</v>
      </c>
      <c r="D552" s="5" t="s">
        <v>103</v>
      </c>
      <c r="E552" s="5" t="s">
        <v>120</v>
      </c>
      <c r="F552" s="24" t="s">
        <v>1700</v>
      </c>
      <c r="G552" s="5" t="s">
        <v>172</v>
      </c>
      <c r="H552" s="25" t="n">
        <v>418</v>
      </c>
      <c r="I552" s="5" t="s">
        <v>127</v>
      </c>
      <c r="J552" s="24" t="s">
        <v>173</v>
      </c>
      <c r="K552" s="24" t="s">
        <v>109</v>
      </c>
      <c r="L552" s="26" t="s">
        <v>110</v>
      </c>
    </row>
    <row r="553" customFormat="false" ht="15" hidden="false" customHeight="false" outlineLevel="0" collapsed="false">
      <c r="A553" s="27" t="s">
        <v>1701</v>
      </c>
      <c r="B553" s="28" t="s">
        <v>1702</v>
      </c>
      <c r="C553" s="33" t="n">
        <v>273</v>
      </c>
      <c r="D553" s="28" t="s">
        <v>103</v>
      </c>
      <c r="E553" s="28" t="s">
        <v>120</v>
      </c>
      <c r="F553" s="30" t="s">
        <v>1703</v>
      </c>
      <c r="G553" s="28" t="s">
        <v>172</v>
      </c>
      <c r="H553" s="31" t="n">
        <v>418</v>
      </c>
      <c r="I553" s="28" t="s">
        <v>127</v>
      </c>
      <c r="J553" s="30" t="s">
        <v>173</v>
      </c>
      <c r="K553" s="30" t="s">
        <v>109</v>
      </c>
      <c r="L553" s="32" t="s">
        <v>110</v>
      </c>
    </row>
    <row r="554" customFormat="false" ht="15" hidden="false" customHeight="false" outlineLevel="0" collapsed="false">
      <c r="A554" s="22" t="s">
        <v>1704</v>
      </c>
      <c r="B554" s="5" t="s">
        <v>1705</v>
      </c>
      <c r="C554" s="23" t="n">
        <v>-223</v>
      </c>
      <c r="D554" s="5" t="s">
        <v>103</v>
      </c>
      <c r="E554" s="5" t="s">
        <v>120</v>
      </c>
      <c r="F554" s="24" t="s">
        <v>1706</v>
      </c>
      <c r="G554" s="5" t="s">
        <v>172</v>
      </c>
      <c r="H554" s="25" t="n">
        <v>418</v>
      </c>
      <c r="I554" s="5" t="s">
        <v>127</v>
      </c>
      <c r="J554" s="24" t="s">
        <v>173</v>
      </c>
      <c r="K554" s="24" t="s">
        <v>109</v>
      </c>
      <c r="L554" s="26" t="s">
        <v>110</v>
      </c>
    </row>
    <row r="555" customFormat="false" ht="15" hidden="false" customHeight="false" outlineLevel="0" collapsed="false">
      <c r="A555" s="27" t="s">
        <v>1707</v>
      </c>
      <c r="B555" s="28" t="s">
        <v>1708</v>
      </c>
      <c r="C555" s="33" t="n">
        <v>1643</v>
      </c>
      <c r="D555" s="28" t="s">
        <v>103</v>
      </c>
      <c r="E555" s="28" t="s">
        <v>140</v>
      </c>
      <c r="F555" s="30" t="s">
        <v>1709</v>
      </c>
      <c r="G555" s="28" t="s">
        <v>172</v>
      </c>
      <c r="H555" s="31" t="n">
        <v>418</v>
      </c>
      <c r="I555" s="28" t="s">
        <v>127</v>
      </c>
      <c r="J555" s="30" t="s">
        <v>173</v>
      </c>
      <c r="K555" s="30" t="s">
        <v>109</v>
      </c>
      <c r="L555" s="32" t="s">
        <v>110</v>
      </c>
    </row>
    <row r="556" customFormat="false" ht="15" hidden="false" customHeight="false" outlineLevel="0" collapsed="false">
      <c r="A556" s="22" t="s">
        <v>1710</v>
      </c>
      <c r="B556" s="5" t="s">
        <v>1711</v>
      </c>
      <c r="C556" s="23" t="n">
        <v>27</v>
      </c>
      <c r="D556" s="5" t="s">
        <v>103</v>
      </c>
      <c r="E556" s="5" t="s">
        <v>120</v>
      </c>
      <c r="F556" s="24" t="s">
        <v>1712</v>
      </c>
      <c r="G556" s="5" t="s">
        <v>172</v>
      </c>
      <c r="H556" s="25" t="n">
        <v>418</v>
      </c>
      <c r="I556" s="5" t="s">
        <v>127</v>
      </c>
      <c r="J556" s="24" t="s">
        <v>173</v>
      </c>
      <c r="K556" s="24" t="s">
        <v>109</v>
      </c>
      <c r="L556" s="26" t="s">
        <v>110</v>
      </c>
    </row>
    <row r="557" customFormat="false" ht="15" hidden="false" customHeight="false" outlineLevel="0" collapsed="false">
      <c r="A557" s="27" t="s">
        <v>1713</v>
      </c>
      <c r="B557" s="28" t="s">
        <v>1714</v>
      </c>
      <c r="C557" s="33" t="n">
        <v>57</v>
      </c>
      <c r="D557" s="28" t="s">
        <v>299</v>
      </c>
      <c r="E557" s="28" t="s">
        <v>120</v>
      </c>
      <c r="F557" s="30" t="s">
        <v>1715</v>
      </c>
      <c r="G557" s="28" t="s">
        <v>172</v>
      </c>
      <c r="H557" s="31" t="n">
        <v>418</v>
      </c>
      <c r="I557" s="28" t="s">
        <v>107</v>
      </c>
      <c r="J557" s="30" t="s">
        <v>173</v>
      </c>
      <c r="K557" s="30" t="s">
        <v>109</v>
      </c>
      <c r="L557" s="32" t="s">
        <v>110</v>
      </c>
    </row>
    <row r="558" customFormat="false" ht="15" hidden="false" customHeight="false" outlineLevel="0" collapsed="false">
      <c r="A558" s="22" t="s">
        <v>1716</v>
      </c>
      <c r="B558" s="5" t="s">
        <v>1717</v>
      </c>
      <c r="C558" s="23" t="n">
        <v>16</v>
      </c>
      <c r="D558" s="5" t="s">
        <v>299</v>
      </c>
      <c r="E558" s="5" t="s">
        <v>120</v>
      </c>
      <c r="F558" s="24" t="s">
        <v>1718</v>
      </c>
      <c r="G558" s="5" t="s">
        <v>172</v>
      </c>
      <c r="H558" s="25" t="n">
        <v>418</v>
      </c>
      <c r="I558" s="5" t="s">
        <v>107</v>
      </c>
      <c r="J558" s="24" t="s">
        <v>173</v>
      </c>
      <c r="K558" s="24" t="s">
        <v>109</v>
      </c>
      <c r="L558" s="26" t="s">
        <v>110</v>
      </c>
    </row>
    <row r="559" customFormat="false" ht="15" hidden="false" customHeight="false" outlineLevel="0" collapsed="false">
      <c r="A559" s="27" t="s">
        <v>1719</v>
      </c>
      <c r="B559" s="28" t="s">
        <v>1720</v>
      </c>
      <c r="C559" s="29" t="n">
        <v>56.1</v>
      </c>
      <c r="D559" s="28" t="s">
        <v>299</v>
      </c>
      <c r="E559" s="28" t="s">
        <v>140</v>
      </c>
      <c r="F559" s="30" t="s">
        <v>1721</v>
      </c>
      <c r="G559" s="28" t="s">
        <v>172</v>
      </c>
      <c r="H559" s="31" t="n">
        <v>416</v>
      </c>
      <c r="I559" s="28" t="s">
        <v>107</v>
      </c>
      <c r="J559" s="30" t="s">
        <v>173</v>
      </c>
      <c r="K559" s="30" t="s">
        <v>109</v>
      </c>
      <c r="L559" s="32" t="s">
        <v>110</v>
      </c>
    </row>
    <row r="560" customFormat="false" ht="15" hidden="false" customHeight="false" outlineLevel="0" collapsed="false">
      <c r="A560" s="22" t="s">
        <v>1722</v>
      </c>
      <c r="B560" s="5" t="s">
        <v>1723</v>
      </c>
      <c r="C560" s="34" t="n">
        <v>43.9</v>
      </c>
      <c r="D560" s="5" t="s">
        <v>299</v>
      </c>
      <c r="E560" s="5" t="s">
        <v>140</v>
      </c>
      <c r="F560" s="24" t="s">
        <v>1724</v>
      </c>
      <c r="G560" s="5" t="s">
        <v>172</v>
      </c>
      <c r="H560" s="25" t="n">
        <v>416</v>
      </c>
      <c r="I560" s="5" t="s">
        <v>107</v>
      </c>
      <c r="J560" s="24" t="s">
        <v>173</v>
      </c>
      <c r="K560" s="24" t="s">
        <v>109</v>
      </c>
      <c r="L560" s="26" t="s">
        <v>110</v>
      </c>
    </row>
    <row r="561" customFormat="false" ht="15" hidden="false" customHeight="false" outlineLevel="0" collapsed="false">
      <c r="A561" s="27" t="s">
        <v>1725</v>
      </c>
      <c r="B561" s="28" t="s">
        <v>1726</v>
      </c>
      <c r="C561" s="33" t="n">
        <v>-2992</v>
      </c>
      <c r="D561" s="28" t="s">
        <v>103</v>
      </c>
      <c r="E561" s="28" t="s">
        <v>140</v>
      </c>
      <c r="F561" s="30" t="s">
        <v>1727</v>
      </c>
      <c r="G561" s="28" t="s">
        <v>172</v>
      </c>
      <c r="H561" s="31" t="n">
        <v>416</v>
      </c>
      <c r="I561" s="28" t="s">
        <v>107</v>
      </c>
      <c r="J561" s="30" t="s">
        <v>173</v>
      </c>
      <c r="K561" s="30" t="s">
        <v>109</v>
      </c>
      <c r="L561" s="32" t="s">
        <v>110</v>
      </c>
    </row>
    <row r="562" customFormat="false" ht="15" hidden="false" customHeight="false" outlineLevel="0" collapsed="false">
      <c r="A562" s="22" t="s">
        <v>1728</v>
      </c>
      <c r="B562" s="5" t="s">
        <v>1729</v>
      </c>
      <c r="C562" s="23" t="n">
        <v>2455</v>
      </c>
      <c r="D562" s="5" t="s">
        <v>103</v>
      </c>
      <c r="E562" s="5" t="s">
        <v>140</v>
      </c>
      <c r="F562" s="24" t="s">
        <v>1730</v>
      </c>
      <c r="G562" s="5" t="s">
        <v>172</v>
      </c>
      <c r="H562" s="25" t="n">
        <v>409</v>
      </c>
      <c r="I562" s="5" t="s">
        <v>107</v>
      </c>
      <c r="J562" s="24" t="s">
        <v>173</v>
      </c>
      <c r="K562" s="24" t="s">
        <v>109</v>
      </c>
      <c r="L562" s="26" t="s">
        <v>110</v>
      </c>
    </row>
    <row r="563" customFormat="false" ht="15" hidden="false" customHeight="false" outlineLevel="0" collapsed="false">
      <c r="A563" s="27" t="s">
        <v>1731</v>
      </c>
      <c r="B563" s="28" t="s">
        <v>1732</v>
      </c>
      <c r="C563" s="33" t="n">
        <v>23041</v>
      </c>
      <c r="D563" s="28" t="s">
        <v>103</v>
      </c>
      <c r="E563" s="28" t="s">
        <v>140</v>
      </c>
      <c r="F563" s="30" t="s">
        <v>1733</v>
      </c>
      <c r="G563" s="28" t="s">
        <v>172</v>
      </c>
      <c r="H563" s="31" t="n">
        <v>409</v>
      </c>
      <c r="I563" s="28" t="s">
        <v>107</v>
      </c>
      <c r="J563" s="30" t="s">
        <v>173</v>
      </c>
      <c r="K563" s="30" t="s">
        <v>109</v>
      </c>
      <c r="L563" s="32" t="s">
        <v>110</v>
      </c>
    </row>
    <row r="564" customFormat="false" ht="15" hidden="false" customHeight="false" outlineLevel="0" collapsed="false">
      <c r="A564" s="22" t="s">
        <v>1734</v>
      </c>
      <c r="B564" s="5" t="s">
        <v>1735</v>
      </c>
      <c r="C564" s="23" t="n">
        <v>-190</v>
      </c>
      <c r="D564" s="5" t="s">
        <v>103</v>
      </c>
      <c r="E564" s="5" t="s">
        <v>120</v>
      </c>
      <c r="F564" s="24" t="s">
        <v>1736</v>
      </c>
      <c r="G564" s="5" t="s">
        <v>172</v>
      </c>
      <c r="H564" s="25" t="n">
        <v>406</v>
      </c>
      <c r="I564" s="5" t="s">
        <v>107</v>
      </c>
      <c r="J564" s="24" t="s">
        <v>173</v>
      </c>
      <c r="K564" s="24" t="s">
        <v>109</v>
      </c>
      <c r="L564" s="26" t="s">
        <v>110</v>
      </c>
    </row>
    <row r="565" customFormat="false" ht="15" hidden="false" customHeight="false" outlineLevel="0" collapsed="false">
      <c r="A565" s="27" t="s">
        <v>1737</v>
      </c>
      <c r="B565" s="28" t="s">
        <v>1738</v>
      </c>
      <c r="C565" s="33" t="n">
        <v>-30</v>
      </c>
      <c r="D565" s="28" t="s">
        <v>103</v>
      </c>
      <c r="E565" s="28" t="s">
        <v>120</v>
      </c>
      <c r="F565" s="30" t="s">
        <v>1739</v>
      </c>
      <c r="G565" s="28" t="s">
        <v>620</v>
      </c>
      <c r="H565" s="31" t="n">
        <v>17</v>
      </c>
      <c r="I565" s="28" t="s">
        <v>127</v>
      </c>
      <c r="J565" s="30" t="s">
        <v>621</v>
      </c>
      <c r="K565" s="30" t="s">
        <v>109</v>
      </c>
      <c r="L565" s="32" t="s">
        <v>110</v>
      </c>
    </row>
    <row r="566" customFormat="false" ht="15" hidden="false" customHeight="false" outlineLevel="0" collapsed="false">
      <c r="A566" s="22" t="s">
        <v>1740</v>
      </c>
      <c r="B566" s="5" t="s">
        <v>1741</v>
      </c>
      <c r="C566" s="23" t="n">
        <v>-60</v>
      </c>
      <c r="D566" s="5" t="s">
        <v>103</v>
      </c>
      <c r="E566" s="5" t="s">
        <v>104</v>
      </c>
      <c r="F566" s="24" t="s">
        <v>1742</v>
      </c>
      <c r="G566" s="5" t="s">
        <v>149</v>
      </c>
      <c r="H566" s="25" t="n">
        <v>22</v>
      </c>
      <c r="I566" s="5" t="s">
        <v>127</v>
      </c>
      <c r="J566" s="24" t="s">
        <v>150</v>
      </c>
      <c r="K566" s="24" t="s">
        <v>109</v>
      </c>
      <c r="L566" s="26" t="s">
        <v>110</v>
      </c>
    </row>
    <row r="567" customFormat="false" ht="15" hidden="false" customHeight="false" outlineLevel="0" collapsed="false">
      <c r="A567" s="27" t="s">
        <v>1743</v>
      </c>
      <c r="B567" s="28" t="s">
        <v>1744</v>
      </c>
      <c r="C567" s="29" t="n">
        <v>4.1</v>
      </c>
      <c r="D567" s="28" t="s">
        <v>130</v>
      </c>
      <c r="E567" s="28" t="s">
        <v>140</v>
      </c>
      <c r="F567" s="30" t="s">
        <v>148</v>
      </c>
      <c r="G567" s="28" t="s">
        <v>172</v>
      </c>
      <c r="H567" s="31" t="n">
        <v>429</v>
      </c>
      <c r="I567" s="28" t="s">
        <v>107</v>
      </c>
      <c r="J567" s="30" t="s">
        <v>173</v>
      </c>
      <c r="K567" s="30" t="s">
        <v>109</v>
      </c>
      <c r="L567" s="32" t="s">
        <v>110</v>
      </c>
    </row>
    <row r="568" customFormat="false" ht="15" hidden="false" customHeight="false" outlineLevel="0" collapsed="false">
      <c r="A568" s="22" t="s">
        <v>1745</v>
      </c>
      <c r="B568" s="5" t="s">
        <v>1746</v>
      </c>
      <c r="C568" s="23" t="n">
        <v>1150</v>
      </c>
      <c r="D568" s="5" t="s">
        <v>103</v>
      </c>
      <c r="E568" s="5" t="s">
        <v>140</v>
      </c>
      <c r="F568" s="24" t="s">
        <v>1747</v>
      </c>
      <c r="G568" s="5" t="s">
        <v>172</v>
      </c>
      <c r="H568" s="25" t="n">
        <v>429</v>
      </c>
      <c r="I568" s="5" t="s">
        <v>107</v>
      </c>
      <c r="J568" s="24" t="s">
        <v>173</v>
      </c>
      <c r="K568" s="24" t="s">
        <v>109</v>
      </c>
      <c r="L568" s="26" t="s">
        <v>110</v>
      </c>
    </row>
    <row r="569" customFormat="false" ht="15" hidden="false" customHeight="false" outlineLevel="0" collapsed="false">
      <c r="A569" s="27" t="s">
        <v>1748</v>
      </c>
      <c r="B569" s="28" t="s">
        <v>1749</v>
      </c>
      <c r="C569" s="29" t="n">
        <v>2.5</v>
      </c>
      <c r="D569" s="28" t="s">
        <v>299</v>
      </c>
      <c r="E569" s="28" t="s">
        <v>140</v>
      </c>
      <c r="F569" s="30" t="s">
        <v>1750</v>
      </c>
      <c r="G569" s="28" t="s">
        <v>172</v>
      </c>
      <c r="H569" s="31" t="n">
        <v>429</v>
      </c>
      <c r="I569" s="28" t="s">
        <v>107</v>
      </c>
      <c r="J569" s="30" t="s">
        <v>173</v>
      </c>
      <c r="K569" s="30" t="s">
        <v>109</v>
      </c>
      <c r="L569" s="32" t="s">
        <v>110</v>
      </c>
    </row>
    <row r="570" customFormat="false" ht="15" hidden="false" customHeight="false" outlineLevel="0" collapsed="false">
      <c r="A570" s="22" t="s">
        <v>1751</v>
      </c>
      <c r="B570" s="5" t="s">
        <v>1752</v>
      </c>
      <c r="C570" s="23" t="n">
        <v>500</v>
      </c>
      <c r="D570" s="5" t="s">
        <v>103</v>
      </c>
      <c r="E570" s="5" t="s">
        <v>140</v>
      </c>
      <c r="F570" s="24" t="s">
        <v>970</v>
      </c>
      <c r="G570" s="5" t="s">
        <v>172</v>
      </c>
      <c r="H570" s="25" t="n">
        <v>429</v>
      </c>
      <c r="I570" s="5" t="s">
        <v>107</v>
      </c>
      <c r="J570" s="24" t="s">
        <v>173</v>
      </c>
      <c r="K570" s="24" t="s">
        <v>109</v>
      </c>
      <c r="L570" s="26" t="s">
        <v>110</v>
      </c>
    </row>
    <row r="571" customFormat="false" ht="15" hidden="false" customHeight="false" outlineLevel="0" collapsed="false">
      <c r="A571" s="27" t="s">
        <v>1753</v>
      </c>
      <c r="B571" s="28" t="s">
        <v>1754</v>
      </c>
      <c r="C571" s="29" t="n">
        <v>1.625</v>
      </c>
      <c r="D571" s="28" t="s">
        <v>299</v>
      </c>
      <c r="E571" s="28" t="s">
        <v>140</v>
      </c>
      <c r="F571" s="30" t="s">
        <v>1755</v>
      </c>
      <c r="G571" s="28" t="s">
        <v>172</v>
      </c>
      <c r="H571" s="31" t="n">
        <v>429</v>
      </c>
      <c r="I571" s="28" t="s">
        <v>107</v>
      </c>
      <c r="J571" s="30" t="s">
        <v>173</v>
      </c>
      <c r="K571" s="30" t="s">
        <v>109</v>
      </c>
      <c r="L571" s="32" t="s">
        <v>110</v>
      </c>
    </row>
    <row r="572" customFormat="false" ht="15" hidden="false" customHeight="false" outlineLevel="0" collapsed="false">
      <c r="A572" s="22" t="s">
        <v>1756</v>
      </c>
      <c r="B572" s="5" t="s">
        <v>1757</v>
      </c>
      <c r="C572" s="23" t="n">
        <v>500</v>
      </c>
      <c r="D572" s="5" t="s">
        <v>103</v>
      </c>
      <c r="E572" s="5" t="s">
        <v>140</v>
      </c>
      <c r="F572" s="24" t="s">
        <v>970</v>
      </c>
      <c r="G572" s="5" t="s">
        <v>172</v>
      </c>
      <c r="H572" s="25" t="n">
        <v>429</v>
      </c>
      <c r="I572" s="5" t="s">
        <v>107</v>
      </c>
      <c r="J572" s="24" t="s">
        <v>173</v>
      </c>
      <c r="K572" s="24" t="s">
        <v>109</v>
      </c>
      <c r="L572" s="26" t="s">
        <v>110</v>
      </c>
    </row>
    <row r="573" customFormat="false" ht="15" hidden="false" customHeight="false" outlineLevel="0" collapsed="false">
      <c r="A573" s="27" t="s">
        <v>1758</v>
      </c>
      <c r="B573" s="28" t="s">
        <v>1759</v>
      </c>
      <c r="C573" s="33" t="n">
        <v>2</v>
      </c>
      <c r="D573" s="28" t="s">
        <v>299</v>
      </c>
      <c r="E573" s="28" t="s">
        <v>140</v>
      </c>
      <c r="F573" s="30" t="s">
        <v>200</v>
      </c>
      <c r="G573" s="28" t="s">
        <v>172</v>
      </c>
      <c r="H573" s="31" t="n">
        <v>429</v>
      </c>
      <c r="I573" s="28" t="s">
        <v>107</v>
      </c>
      <c r="J573" s="30" t="s">
        <v>173</v>
      </c>
      <c r="K573" s="30" t="s">
        <v>109</v>
      </c>
      <c r="L573" s="32" t="s">
        <v>110</v>
      </c>
    </row>
    <row r="574" customFormat="false" ht="15" hidden="false" customHeight="false" outlineLevel="0" collapsed="false">
      <c r="A574" s="22" t="s">
        <v>1760</v>
      </c>
      <c r="B574" s="5" t="s">
        <v>1761</v>
      </c>
      <c r="C574" s="23" t="n">
        <v>600</v>
      </c>
      <c r="D574" s="5" t="s">
        <v>103</v>
      </c>
      <c r="E574" s="5" t="s">
        <v>140</v>
      </c>
      <c r="F574" s="24" t="s">
        <v>1762</v>
      </c>
      <c r="G574" s="5" t="s">
        <v>172</v>
      </c>
      <c r="H574" s="25" t="n">
        <v>429</v>
      </c>
      <c r="I574" s="5" t="s">
        <v>107</v>
      </c>
      <c r="J574" s="24" t="s">
        <v>173</v>
      </c>
      <c r="K574" s="24" t="s">
        <v>109</v>
      </c>
      <c r="L574" s="26" t="s">
        <v>110</v>
      </c>
    </row>
    <row r="575" customFormat="false" ht="15" hidden="false" customHeight="false" outlineLevel="0" collapsed="false">
      <c r="A575" s="27" t="s">
        <v>1763</v>
      </c>
      <c r="B575" s="28" t="s">
        <v>1764</v>
      </c>
      <c r="C575" s="33" t="n">
        <v>6</v>
      </c>
      <c r="D575" s="28" t="s">
        <v>299</v>
      </c>
      <c r="E575" s="28" t="s">
        <v>140</v>
      </c>
      <c r="F575" s="30" t="s">
        <v>401</v>
      </c>
      <c r="G575" s="28" t="s">
        <v>172</v>
      </c>
      <c r="H575" s="31" t="n">
        <v>429</v>
      </c>
      <c r="I575" s="28" t="s">
        <v>107</v>
      </c>
      <c r="J575" s="30" t="s">
        <v>173</v>
      </c>
      <c r="K575" s="30" t="s">
        <v>109</v>
      </c>
      <c r="L575" s="32" t="s">
        <v>110</v>
      </c>
    </row>
    <row r="576" customFormat="false" ht="15" hidden="false" customHeight="false" outlineLevel="0" collapsed="false">
      <c r="A576" s="22" t="s">
        <v>1765</v>
      </c>
      <c r="B576" s="5" t="s">
        <v>1766</v>
      </c>
      <c r="C576" s="23" t="n">
        <v>500</v>
      </c>
      <c r="D576" s="5" t="s">
        <v>103</v>
      </c>
      <c r="E576" s="5" t="s">
        <v>140</v>
      </c>
      <c r="F576" s="24" t="s">
        <v>970</v>
      </c>
      <c r="G576" s="5" t="s">
        <v>172</v>
      </c>
      <c r="H576" s="25" t="n">
        <v>429</v>
      </c>
      <c r="I576" s="5" t="s">
        <v>107</v>
      </c>
      <c r="J576" s="24" t="s">
        <v>173</v>
      </c>
      <c r="K576" s="24" t="s">
        <v>109</v>
      </c>
      <c r="L576" s="26" t="s">
        <v>110</v>
      </c>
    </row>
    <row r="577" customFormat="false" ht="15" hidden="false" customHeight="false" outlineLevel="0" collapsed="false">
      <c r="A577" s="27" t="s">
        <v>1767</v>
      </c>
      <c r="B577" s="28" t="s">
        <v>1768</v>
      </c>
      <c r="C577" s="29" t="n">
        <v>4.371</v>
      </c>
      <c r="D577" s="28" t="s">
        <v>299</v>
      </c>
      <c r="E577" s="28" t="s">
        <v>140</v>
      </c>
      <c r="F577" s="30" t="s">
        <v>1769</v>
      </c>
      <c r="G577" s="28" t="s">
        <v>172</v>
      </c>
      <c r="H577" s="31" t="n">
        <v>429</v>
      </c>
      <c r="I577" s="28" t="s">
        <v>107</v>
      </c>
      <c r="J577" s="30" t="s">
        <v>173</v>
      </c>
      <c r="K577" s="30" t="s">
        <v>109</v>
      </c>
      <c r="L577" s="32" t="s">
        <v>110</v>
      </c>
    </row>
    <row r="578" customFormat="false" ht="15" hidden="false" customHeight="false" outlineLevel="0" collapsed="false">
      <c r="A578" s="22" t="s">
        <v>1770</v>
      </c>
      <c r="B578" s="5" t="s">
        <v>1771</v>
      </c>
      <c r="C578" s="23" t="n">
        <v>850</v>
      </c>
      <c r="D578" s="5" t="s">
        <v>103</v>
      </c>
      <c r="E578" s="5" t="s">
        <v>140</v>
      </c>
      <c r="F578" s="24" t="s">
        <v>938</v>
      </c>
      <c r="G578" s="5" t="s">
        <v>172</v>
      </c>
      <c r="H578" s="25" t="n">
        <v>429</v>
      </c>
      <c r="I578" s="5" t="s">
        <v>107</v>
      </c>
      <c r="J578" s="24" t="s">
        <v>173</v>
      </c>
      <c r="K578" s="24" t="s">
        <v>109</v>
      </c>
      <c r="L578" s="26" t="s">
        <v>110</v>
      </c>
    </row>
    <row r="579" customFormat="false" ht="15" hidden="false" customHeight="false" outlineLevel="0" collapsed="false">
      <c r="A579" s="27" t="s">
        <v>1772</v>
      </c>
      <c r="B579" s="28" t="s">
        <v>1773</v>
      </c>
      <c r="C579" s="29" t="n">
        <v>4.322</v>
      </c>
      <c r="D579" s="28" t="s">
        <v>299</v>
      </c>
      <c r="E579" s="28" t="s">
        <v>140</v>
      </c>
      <c r="F579" s="30" t="s">
        <v>1774</v>
      </c>
      <c r="G579" s="28" t="s">
        <v>172</v>
      </c>
      <c r="H579" s="31" t="n">
        <v>429</v>
      </c>
      <c r="I579" s="28" t="s">
        <v>107</v>
      </c>
      <c r="J579" s="30" t="s">
        <v>173</v>
      </c>
      <c r="K579" s="30" t="s">
        <v>109</v>
      </c>
      <c r="L579" s="32" t="s">
        <v>110</v>
      </c>
    </row>
    <row r="580" customFormat="false" ht="15" hidden="false" customHeight="false" outlineLevel="0" collapsed="false">
      <c r="A580" s="22" t="s">
        <v>1775</v>
      </c>
      <c r="B580" s="5" t="s">
        <v>1776</v>
      </c>
      <c r="C580" s="23" t="n">
        <v>850</v>
      </c>
      <c r="D580" s="5" t="s">
        <v>103</v>
      </c>
      <c r="E580" s="5" t="s">
        <v>1777</v>
      </c>
      <c r="F580" s="24" t="s">
        <v>938</v>
      </c>
      <c r="G580" s="5" t="s">
        <v>172</v>
      </c>
      <c r="H580" s="25" t="n">
        <v>429</v>
      </c>
      <c r="I580" s="5" t="s">
        <v>107</v>
      </c>
      <c r="J580" s="24" t="s">
        <v>173</v>
      </c>
      <c r="K580" s="24" t="s">
        <v>109</v>
      </c>
      <c r="L580" s="26" t="s">
        <v>110</v>
      </c>
    </row>
    <row r="581" customFormat="false" ht="15" hidden="false" customHeight="false" outlineLevel="0" collapsed="false">
      <c r="A581" s="27" t="s">
        <v>1778</v>
      </c>
      <c r="B581" s="28" t="s">
        <v>1779</v>
      </c>
      <c r="C581" s="29" t="n">
        <v>4.7</v>
      </c>
      <c r="D581" s="28" t="s">
        <v>130</v>
      </c>
      <c r="E581" s="28" t="s">
        <v>666</v>
      </c>
      <c r="F581" s="30" t="s">
        <v>1780</v>
      </c>
      <c r="G581" s="28" t="s">
        <v>1781</v>
      </c>
      <c r="H581" s="31" t="n">
        <v>37</v>
      </c>
      <c r="I581" s="28" t="s">
        <v>127</v>
      </c>
      <c r="J581" s="30" t="s">
        <v>1782</v>
      </c>
      <c r="K581" s="30" t="s">
        <v>109</v>
      </c>
      <c r="L581" s="32" t="s">
        <v>110</v>
      </c>
    </row>
    <row r="582" customFormat="false" ht="15" hidden="false" customHeight="false" outlineLevel="0" collapsed="false">
      <c r="A582" s="22" t="s">
        <v>1783</v>
      </c>
      <c r="B582" s="5" t="s">
        <v>1784</v>
      </c>
      <c r="C582" s="34" t="n">
        <v>4.9</v>
      </c>
      <c r="D582" s="5" t="s">
        <v>130</v>
      </c>
      <c r="E582" s="5" t="s">
        <v>666</v>
      </c>
      <c r="F582" s="24" t="s">
        <v>779</v>
      </c>
      <c r="G582" s="5" t="s">
        <v>1781</v>
      </c>
      <c r="H582" s="25" t="n">
        <v>37</v>
      </c>
      <c r="I582" s="5" t="s">
        <v>127</v>
      </c>
      <c r="J582" s="24" t="s">
        <v>1782</v>
      </c>
      <c r="K582" s="24" t="s">
        <v>109</v>
      </c>
      <c r="L582" s="26" t="s">
        <v>110</v>
      </c>
    </row>
    <row r="583" customFormat="false" ht="15" hidden="false" customHeight="false" outlineLevel="0" collapsed="false">
      <c r="A583" s="27" t="s">
        <v>1785</v>
      </c>
      <c r="B583" s="28" t="s">
        <v>1786</v>
      </c>
      <c r="C583" s="29" t="n">
        <v>6.5</v>
      </c>
      <c r="D583" s="28" t="s">
        <v>130</v>
      </c>
      <c r="E583" s="28" t="s">
        <v>546</v>
      </c>
      <c r="F583" s="30" t="s">
        <v>513</v>
      </c>
      <c r="G583" s="28" t="s">
        <v>1781</v>
      </c>
      <c r="H583" s="31" t="n">
        <v>37</v>
      </c>
      <c r="I583" s="28" t="s">
        <v>127</v>
      </c>
      <c r="J583" s="30" t="s">
        <v>1782</v>
      </c>
      <c r="K583" s="30" t="s">
        <v>109</v>
      </c>
      <c r="L583" s="32" t="s">
        <v>110</v>
      </c>
    </row>
    <row r="584" customFormat="false" ht="15" hidden="false" customHeight="false" outlineLevel="0" collapsed="false">
      <c r="A584" s="22" t="s">
        <v>1787</v>
      </c>
      <c r="B584" s="5" t="s">
        <v>1788</v>
      </c>
      <c r="C584" s="23" t="n">
        <v>1</v>
      </c>
      <c r="D584" s="5" t="s">
        <v>130</v>
      </c>
      <c r="E584" s="5" t="s">
        <v>666</v>
      </c>
      <c r="F584" s="24" t="s">
        <v>1789</v>
      </c>
      <c r="G584" s="5" t="s">
        <v>1781</v>
      </c>
      <c r="H584" s="25" t="n">
        <v>37</v>
      </c>
      <c r="I584" s="5" t="s">
        <v>127</v>
      </c>
      <c r="J584" s="24" t="s">
        <v>1782</v>
      </c>
      <c r="K584" s="24" t="s">
        <v>109</v>
      </c>
      <c r="L584" s="26" t="s">
        <v>110</v>
      </c>
    </row>
    <row r="585" customFormat="false" ht="15" hidden="false" customHeight="false" outlineLevel="0" collapsed="false">
      <c r="A585" s="27" t="s">
        <v>1790</v>
      </c>
      <c r="B585" s="28" t="s">
        <v>1791</v>
      </c>
      <c r="C585" s="33" t="n">
        <v>1335</v>
      </c>
      <c r="D585" s="28" t="s">
        <v>103</v>
      </c>
      <c r="E585" s="28" t="s">
        <v>546</v>
      </c>
      <c r="F585" s="30" t="s">
        <v>1792</v>
      </c>
      <c r="G585" s="28" t="s">
        <v>1781</v>
      </c>
      <c r="H585" s="31" t="n">
        <v>37</v>
      </c>
      <c r="I585" s="28" t="s">
        <v>127</v>
      </c>
      <c r="J585" s="30" t="s">
        <v>1782</v>
      </c>
      <c r="K585" s="30" t="s">
        <v>109</v>
      </c>
      <c r="L585" s="32" t="s">
        <v>110</v>
      </c>
    </row>
    <row r="586" customFormat="false" ht="15" hidden="false" customHeight="false" outlineLevel="0" collapsed="false">
      <c r="A586" s="22" t="s">
        <v>1793</v>
      </c>
      <c r="B586" s="5" t="s">
        <v>1794</v>
      </c>
      <c r="C586" s="34" t="n">
        <v>2.74</v>
      </c>
      <c r="D586" s="5" t="s">
        <v>133</v>
      </c>
      <c r="E586" s="5" t="s">
        <v>546</v>
      </c>
      <c r="F586" s="24" t="s">
        <v>1795</v>
      </c>
      <c r="G586" s="5" t="s">
        <v>1781</v>
      </c>
      <c r="H586" s="25" t="n">
        <v>37</v>
      </c>
      <c r="I586" s="5" t="s">
        <v>127</v>
      </c>
      <c r="J586" s="24" t="s">
        <v>1782</v>
      </c>
      <c r="K586" s="24" t="s">
        <v>109</v>
      </c>
      <c r="L586" s="26" t="s">
        <v>110</v>
      </c>
    </row>
    <row r="587" customFormat="false" ht="15" hidden="false" customHeight="false" outlineLevel="0" collapsed="false">
      <c r="A587" s="27" t="s">
        <v>1796</v>
      </c>
      <c r="B587" s="28" t="s">
        <v>1797</v>
      </c>
      <c r="C587" s="33" t="n">
        <v>4</v>
      </c>
      <c r="D587" s="28" t="s">
        <v>130</v>
      </c>
      <c r="E587" s="28" t="s">
        <v>666</v>
      </c>
      <c r="F587" s="30" t="s">
        <v>467</v>
      </c>
      <c r="G587" s="28" t="s">
        <v>1781</v>
      </c>
      <c r="H587" s="31" t="n">
        <v>35</v>
      </c>
      <c r="I587" s="28" t="s">
        <v>227</v>
      </c>
      <c r="J587" s="30" t="s">
        <v>1782</v>
      </c>
      <c r="K587" s="30" t="s">
        <v>109</v>
      </c>
      <c r="L587" s="32" t="s">
        <v>110</v>
      </c>
    </row>
    <row r="588" customFormat="false" ht="15" hidden="false" customHeight="false" outlineLevel="0" collapsed="false">
      <c r="A588" s="22" t="s">
        <v>1798</v>
      </c>
      <c r="B588" s="5" t="s">
        <v>1799</v>
      </c>
      <c r="C588" s="34" t="n">
        <v>4.2</v>
      </c>
      <c r="D588" s="5" t="s">
        <v>130</v>
      </c>
      <c r="E588" s="5" t="s">
        <v>546</v>
      </c>
      <c r="F588" s="24" t="s">
        <v>563</v>
      </c>
      <c r="G588" s="5" t="s">
        <v>1781</v>
      </c>
      <c r="H588" s="25" t="n">
        <v>35</v>
      </c>
      <c r="I588" s="5" t="s">
        <v>227</v>
      </c>
      <c r="J588" s="24" t="s">
        <v>1782</v>
      </c>
      <c r="K588" s="24" t="s">
        <v>109</v>
      </c>
      <c r="L588" s="26" t="s">
        <v>110</v>
      </c>
    </row>
    <row r="589" customFormat="false" ht="15" hidden="false" customHeight="false" outlineLevel="0" collapsed="false">
      <c r="A589" s="27" t="s">
        <v>1800</v>
      </c>
      <c r="B589" s="28" t="s">
        <v>1801</v>
      </c>
      <c r="C589" s="33" t="n">
        <v>15</v>
      </c>
      <c r="D589" s="28" t="s">
        <v>1802</v>
      </c>
      <c r="E589" s="28" t="s">
        <v>666</v>
      </c>
      <c r="F589" s="30" t="s">
        <v>1803</v>
      </c>
      <c r="G589" s="28" t="s">
        <v>1781</v>
      </c>
      <c r="H589" s="31" t="n">
        <v>35</v>
      </c>
      <c r="I589" s="28" t="s">
        <v>257</v>
      </c>
      <c r="J589" s="30" t="s">
        <v>1782</v>
      </c>
      <c r="K589" s="30" t="s">
        <v>109</v>
      </c>
      <c r="L589" s="32" t="s">
        <v>110</v>
      </c>
    </row>
    <row r="590" customFormat="false" ht="15" hidden="false" customHeight="false" outlineLevel="0" collapsed="false">
      <c r="A590" s="22" t="s">
        <v>1804</v>
      </c>
      <c r="B590" s="5" t="s">
        <v>1805</v>
      </c>
      <c r="C590" s="34" t="n">
        <v>15.5</v>
      </c>
      <c r="D590" s="5" t="s">
        <v>1802</v>
      </c>
      <c r="E590" s="5" t="s">
        <v>546</v>
      </c>
      <c r="F590" s="24" t="s">
        <v>1806</v>
      </c>
      <c r="G590" s="5" t="s">
        <v>1781</v>
      </c>
      <c r="H590" s="25" t="n">
        <v>35</v>
      </c>
      <c r="I590" s="5" t="s">
        <v>257</v>
      </c>
      <c r="J590" s="24" t="s">
        <v>1782</v>
      </c>
      <c r="K590" s="24" t="s">
        <v>109</v>
      </c>
      <c r="L590" s="26" t="s">
        <v>110</v>
      </c>
    </row>
    <row r="591" customFormat="false" ht="15" hidden="false" customHeight="false" outlineLevel="0" collapsed="false">
      <c r="A591" s="27" t="s">
        <v>1807</v>
      </c>
      <c r="B591" s="28" t="s">
        <v>1808</v>
      </c>
      <c r="C591" s="33" t="n">
        <v>610</v>
      </c>
      <c r="D591" s="28" t="s">
        <v>224</v>
      </c>
      <c r="E591" s="28" t="s">
        <v>666</v>
      </c>
      <c r="F591" s="30" t="s">
        <v>1809</v>
      </c>
      <c r="G591" s="28" t="s">
        <v>1781</v>
      </c>
      <c r="H591" s="31" t="n">
        <v>35</v>
      </c>
      <c r="I591" s="28" t="s">
        <v>257</v>
      </c>
      <c r="J591" s="30" t="s">
        <v>1782</v>
      </c>
      <c r="K591" s="30" t="s">
        <v>109</v>
      </c>
      <c r="L591" s="32" t="s">
        <v>110</v>
      </c>
    </row>
    <row r="592" customFormat="false" ht="15" hidden="false" customHeight="false" outlineLevel="0" collapsed="false">
      <c r="A592" s="22" t="s">
        <v>1810</v>
      </c>
      <c r="B592" s="5" t="s">
        <v>1811</v>
      </c>
      <c r="C592" s="23" t="n">
        <v>465</v>
      </c>
      <c r="D592" s="5" t="s">
        <v>224</v>
      </c>
      <c r="E592" s="5" t="s">
        <v>546</v>
      </c>
      <c r="F592" s="24" t="s">
        <v>1155</v>
      </c>
      <c r="G592" s="5" t="s">
        <v>1781</v>
      </c>
      <c r="H592" s="25" t="n">
        <v>35</v>
      </c>
      <c r="I592" s="5" t="s">
        <v>257</v>
      </c>
      <c r="J592" s="24" t="s">
        <v>1782</v>
      </c>
      <c r="K592" s="24" t="s">
        <v>109</v>
      </c>
      <c r="L592" s="26" t="s">
        <v>110</v>
      </c>
    </row>
    <row r="593" customFormat="false" ht="15" hidden="false" customHeight="false" outlineLevel="0" collapsed="false">
      <c r="A593" s="27" t="s">
        <v>1812</v>
      </c>
      <c r="B593" s="28" t="s">
        <v>1813</v>
      </c>
      <c r="C593" s="33" t="n">
        <v>50</v>
      </c>
      <c r="D593" s="28" t="s">
        <v>299</v>
      </c>
      <c r="E593" s="28" t="s">
        <v>1814</v>
      </c>
      <c r="F593" s="30" t="s">
        <v>1235</v>
      </c>
      <c r="G593" s="28" t="s">
        <v>1781</v>
      </c>
      <c r="H593" s="31" t="n">
        <v>36</v>
      </c>
      <c r="I593" s="28" t="s">
        <v>257</v>
      </c>
      <c r="J593" s="30" t="s">
        <v>1782</v>
      </c>
      <c r="K593" s="30" t="s">
        <v>109</v>
      </c>
      <c r="L593" s="32" t="s">
        <v>110</v>
      </c>
    </row>
    <row r="594" customFormat="false" ht="15" hidden="false" customHeight="false" outlineLevel="0" collapsed="false">
      <c r="A594" s="22" t="s">
        <v>1815</v>
      </c>
      <c r="B594" s="5" t="s">
        <v>1816</v>
      </c>
      <c r="C594" s="34" t="n">
        <v>30.7</v>
      </c>
      <c r="D594" s="5" t="s">
        <v>299</v>
      </c>
      <c r="E594" s="5" t="s">
        <v>1814</v>
      </c>
      <c r="F594" s="24" t="s">
        <v>1817</v>
      </c>
      <c r="G594" s="5" t="s">
        <v>1781</v>
      </c>
      <c r="H594" s="25" t="n">
        <v>36</v>
      </c>
      <c r="I594" s="5" t="s">
        <v>257</v>
      </c>
      <c r="J594" s="24" t="s">
        <v>1782</v>
      </c>
      <c r="K594" s="24" t="s">
        <v>109</v>
      </c>
      <c r="L594" s="26" t="s">
        <v>110</v>
      </c>
    </row>
    <row r="595" customFormat="false" ht="15" hidden="false" customHeight="false" outlineLevel="0" collapsed="false">
      <c r="A595" s="27" t="s">
        <v>1818</v>
      </c>
      <c r="B595" s="28" t="s">
        <v>1819</v>
      </c>
      <c r="C595" s="33" t="n">
        <v>5</v>
      </c>
      <c r="D595" s="28" t="s">
        <v>299</v>
      </c>
      <c r="E595" s="28" t="s">
        <v>170</v>
      </c>
      <c r="F595" s="30" t="s">
        <v>398</v>
      </c>
      <c r="G595" s="28" t="s">
        <v>689</v>
      </c>
      <c r="H595" s="31" t="n">
        <v>16</v>
      </c>
      <c r="I595" s="28" t="s">
        <v>127</v>
      </c>
      <c r="J595" s="30" t="s">
        <v>690</v>
      </c>
      <c r="K595" s="30" t="s">
        <v>109</v>
      </c>
      <c r="L595" s="32" t="s">
        <v>110</v>
      </c>
    </row>
    <row r="596" customFormat="false" ht="15" hidden="false" customHeight="false" outlineLevel="0" collapsed="false">
      <c r="A596" s="22" t="s">
        <v>1820</v>
      </c>
      <c r="B596" s="5" t="s">
        <v>1821</v>
      </c>
      <c r="C596" s="23" t="n">
        <v>6</v>
      </c>
      <c r="D596" s="5" t="s">
        <v>299</v>
      </c>
      <c r="E596" s="5" t="s">
        <v>170</v>
      </c>
      <c r="F596" s="24" t="s">
        <v>401</v>
      </c>
      <c r="G596" s="5" t="s">
        <v>689</v>
      </c>
      <c r="H596" s="25" t="n">
        <v>16</v>
      </c>
      <c r="I596" s="5" t="s">
        <v>127</v>
      </c>
      <c r="J596" s="24" t="s">
        <v>690</v>
      </c>
      <c r="K596" s="24" t="s">
        <v>109</v>
      </c>
      <c r="L596" s="26" t="s">
        <v>110</v>
      </c>
    </row>
    <row r="597" customFormat="false" ht="15" hidden="false" customHeight="false" outlineLevel="0" collapsed="false">
      <c r="A597" s="27" t="s">
        <v>1822</v>
      </c>
      <c r="B597" s="28" t="s">
        <v>1823</v>
      </c>
      <c r="C597" s="33" t="n">
        <v>350</v>
      </c>
      <c r="D597" s="28" t="s">
        <v>103</v>
      </c>
      <c r="E597" s="28" t="s">
        <v>170</v>
      </c>
      <c r="F597" s="30" t="s">
        <v>1326</v>
      </c>
      <c r="G597" s="28" t="s">
        <v>689</v>
      </c>
      <c r="H597" s="31" t="n">
        <v>16</v>
      </c>
      <c r="I597" s="28" t="s">
        <v>127</v>
      </c>
      <c r="J597" s="30" t="s">
        <v>690</v>
      </c>
      <c r="K597" s="30" t="s">
        <v>109</v>
      </c>
      <c r="L597" s="32" t="s">
        <v>110</v>
      </c>
    </row>
    <row r="598" customFormat="false" ht="15" hidden="false" customHeight="false" outlineLevel="0" collapsed="false">
      <c r="A598" s="22" t="s">
        <v>1824</v>
      </c>
      <c r="B598" s="5" t="s">
        <v>1825</v>
      </c>
      <c r="C598" s="23" t="n">
        <v>530</v>
      </c>
      <c r="D598" s="5" t="s">
        <v>103</v>
      </c>
      <c r="E598" s="5" t="s">
        <v>170</v>
      </c>
      <c r="F598" s="24" t="s">
        <v>697</v>
      </c>
      <c r="G598" s="5" t="s">
        <v>689</v>
      </c>
      <c r="H598" s="25" t="n">
        <v>16</v>
      </c>
      <c r="I598" s="5" t="s">
        <v>127</v>
      </c>
      <c r="J598" s="24" t="s">
        <v>690</v>
      </c>
      <c r="K598" s="24" t="s">
        <v>109</v>
      </c>
      <c r="L598" s="26" t="s">
        <v>110</v>
      </c>
    </row>
    <row r="599" customFormat="false" ht="15" hidden="false" customHeight="false" outlineLevel="0" collapsed="false">
      <c r="A599" s="27" t="s">
        <v>1826</v>
      </c>
      <c r="B599" s="28" t="s">
        <v>1827</v>
      </c>
      <c r="C599" s="33" t="n">
        <v>95</v>
      </c>
      <c r="D599" s="28" t="s">
        <v>103</v>
      </c>
      <c r="E599" s="28" t="s">
        <v>170</v>
      </c>
      <c r="F599" s="30" t="s">
        <v>1828</v>
      </c>
      <c r="G599" s="28" t="s">
        <v>689</v>
      </c>
      <c r="H599" s="31" t="n">
        <v>16</v>
      </c>
      <c r="I599" s="28" t="s">
        <v>127</v>
      </c>
      <c r="J599" s="30" t="s">
        <v>690</v>
      </c>
      <c r="K599" s="30" t="s">
        <v>109</v>
      </c>
      <c r="L599" s="32" t="s">
        <v>110</v>
      </c>
    </row>
    <row r="600" customFormat="false" ht="15" hidden="false" customHeight="false" outlineLevel="0" collapsed="false">
      <c r="A600" s="22" t="s">
        <v>1829</v>
      </c>
      <c r="B600" s="5" t="s">
        <v>1830</v>
      </c>
      <c r="C600" s="23" t="n">
        <v>9</v>
      </c>
      <c r="D600" s="5" t="s">
        <v>299</v>
      </c>
      <c r="E600" s="5" t="s">
        <v>170</v>
      </c>
      <c r="F600" s="24" t="s">
        <v>233</v>
      </c>
      <c r="G600" s="5" t="s">
        <v>689</v>
      </c>
      <c r="H600" s="25" t="n">
        <v>16</v>
      </c>
      <c r="I600" s="5" t="s">
        <v>127</v>
      </c>
      <c r="J600" s="24" t="s">
        <v>690</v>
      </c>
      <c r="K600" s="24" t="s">
        <v>109</v>
      </c>
      <c r="L600" s="26" t="s">
        <v>110</v>
      </c>
    </row>
    <row r="601" customFormat="false" ht="15" hidden="false" customHeight="false" outlineLevel="0" collapsed="false">
      <c r="A601" s="27" t="s">
        <v>1831</v>
      </c>
      <c r="B601" s="28" t="s">
        <v>1832</v>
      </c>
      <c r="C601" s="29" t="n">
        <v>9.1</v>
      </c>
      <c r="D601" s="28" t="s">
        <v>299</v>
      </c>
      <c r="E601" s="28" t="s">
        <v>120</v>
      </c>
      <c r="F601" s="30" t="s">
        <v>1833</v>
      </c>
      <c r="G601" s="28" t="s">
        <v>586</v>
      </c>
      <c r="H601" s="31" t="n">
        <v>21</v>
      </c>
      <c r="I601" s="28" t="s">
        <v>127</v>
      </c>
      <c r="J601" s="30" t="s">
        <v>587</v>
      </c>
      <c r="K601" s="30" t="s">
        <v>109</v>
      </c>
      <c r="L601" s="32" t="s">
        <v>110</v>
      </c>
    </row>
    <row r="602" customFormat="false" ht="15" hidden="false" customHeight="false" outlineLevel="0" collapsed="false">
      <c r="A602" s="22" t="s">
        <v>1834</v>
      </c>
      <c r="B602" s="5" t="s">
        <v>1835</v>
      </c>
      <c r="C602" s="34" t="n">
        <v>29.38</v>
      </c>
      <c r="D602" s="5" t="s">
        <v>1836</v>
      </c>
      <c r="E602" s="5" t="s">
        <v>140</v>
      </c>
      <c r="F602" s="24" t="s">
        <v>1837</v>
      </c>
      <c r="G602" s="5" t="s">
        <v>172</v>
      </c>
      <c r="H602" s="25" t="n">
        <v>487</v>
      </c>
      <c r="I602" s="5" t="s">
        <v>273</v>
      </c>
      <c r="J602" s="24" t="s">
        <v>173</v>
      </c>
      <c r="K602" s="24" t="s">
        <v>109</v>
      </c>
      <c r="L602" s="26" t="s">
        <v>110</v>
      </c>
    </row>
    <row r="603" customFormat="false" ht="15" hidden="false" customHeight="false" outlineLevel="0" collapsed="false">
      <c r="A603" s="27" t="s">
        <v>1838</v>
      </c>
      <c r="B603" s="28" t="s">
        <v>1839</v>
      </c>
      <c r="C603" s="33" t="n">
        <v>741723437</v>
      </c>
      <c r="D603" s="28" t="s">
        <v>394</v>
      </c>
      <c r="E603" s="28" t="s">
        <v>140</v>
      </c>
      <c r="F603" s="30" t="s">
        <v>1840</v>
      </c>
      <c r="G603" s="28" t="s">
        <v>172</v>
      </c>
      <c r="H603" s="31" t="n">
        <v>486</v>
      </c>
      <c r="I603" s="28" t="s">
        <v>273</v>
      </c>
      <c r="J603" s="30" t="s">
        <v>173</v>
      </c>
      <c r="K603" s="30" t="s">
        <v>109</v>
      </c>
      <c r="L603" s="32" t="s">
        <v>110</v>
      </c>
    </row>
    <row r="604" customFormat="false" ht="15" hidden="false" customHeight="false" outlineLevel="0" collapsed="false">
      <c r="A604" s="22" t="s">
        <v>1841</v>
      </c>
      <c r="B604" s="5" t="s">
        <v>1842</v>
      </c>
      <c r="C604" s="23" t="n">
        <v>3708617185</v>
      </c>
      <c r="D604" s="5" t="s">
        <v>1836</v>
      </c>
      <c r="E604" s="5" t="s">
        <v>140</v>
      </c>
      <c r="F604" s="24" t="s">
        <v>1843</v>
      </c>
      <c r="G604" s="5" t="s">
        <v>172</v>
      </c>
      <c r="H604" s="25" t="n">
        <v>486</v>
      </c>
      <c r="I604" s="5" t="s">
        <v>273</v>
      </c>
      <c r="J604" s="24" t="s">
        <v>173</v>
      </c>
      <c r="K604" s="24" t="s">
        <v>109</v>
      </c>
      <c r="L604" s="26" t="s">
        <v>110</v>
      </c>
    </row>
    <row r="605" customFormat="false" ht="15" hidden="false" customHeight="false" outlineLevel="0" collapsed="false">
      <c r="A605" s="27" t="s">
        <v>1844</v>
      </c>
      <c r="B605" s="28" t="s">
        <v>1845</v>
      </c>
      <c r="C605" s="33" t="n">
        <v>10438730</v>
      </c>
      <c r="D605" s="28" t="s">
        <v>394</v>
      </c>
      <c r="E605" s="28" t="s">
        <v>140</v>
      </c>
      <c r="F605" s="30" t="s">
        <v>1846</v>
      </c>
      <c r="G605" s="28" t="s">
        <v>172</v>
      </c>
      <c r="H605" s="31" t="n">
        <v>487</v>
      </c>
      <c r="I605" s="28" t="s">
        <v>273</v>
      </c>
      <c r="J605" s="30" t="s">
        <v>173</v>
      </c>
      <c r="K605" s="30" t="s">
        <v>109</v>
      </c>
      <c r="L605" s="32" t="s">
        <v>110</v>
      </c>
    </row>
    <row r="606" customFormat="false" ht="15" hidden="false" customHeight="false" outlineLevel="0" collapsed="false">
      <c r="A606" s="22" t="s">
        <v>1847</v>
      </c>
      <c r="B606" s="5" t="s">
        <v>1848</v>
      </c>
      <c r="C606" s="23" t="n">
        <v>470</v>
      </c>
      <c r="D606" s="5" t="s">
        <v>249</v>
      </c>
      <c r="E606" s="5" t="s">
        <v>1849</v>
      </c>
      <c r="F606" s="24" t="s">
        <v>1850</v>
      </c>
      <c r="G606" s="5" t="s">
        <v>1851</v>
      </c>
      <c r="H606" s="25" t="n">
        <v>1</v>
      </c>
      <c r="I606" s="5" t="s">
        <v>273</v>
      </c>
      <c r="J606" s="24" t="s">
        <v>1852</v>
      </c>
      <c r="K606" s="24" t="s">
        <v>1489</v>
      </c>
      <c r="L606" s="26" t="s">
        <v>110</v>
      </c>
    </row>
    <row r="607" customFormat="false" ht="15" hidden="false" customHeight="false" outlineLevel="0" collapsed="false">
      <c r="A607" s="27" t="s">
        <v>1853</v>
      </c>
      <c r="B607" s="28" t="s">
        <v>1854</v>
      </c>
      <c r="C607" s="33" t="n">
        <v>27</v>
      </c>
      <c r="D607" s="28" t="s">
        <v>249</v>
      </c>
      <c r="E607" s="28" t="s">
        <v>280</v>
      </c>
      <c r="F607" s="30" t="s">
        <v>1712</v>
      </c>
      <c r="G607" s="28" t="s">
        <v>1851</v>
      </c>
      <c r="H607" s="31" t="n">
        <v>1</v>
      </c>
      <c r="I607" s="28" t="s">
        <v>273</v>
      </c>
      <c r="J607" s="30" t="s">
        <v>1852</v>
      </c>
      <c r="K607" s="30" t="s">
        <v>1489</v>
      </c>
      <c r="L607" s="32" t="s">
        <v>110</v>
      </c>
    </row>
    <row r="608" customFormat="false" ht="15" hidden="false" customHeight="false" outlineLevel="0" collapsed="false">
      <c r="A608" s="22" t="s">
        <v>1855</v>
      </c>
      <c r="B608" s="5" t="s">
        <v>1856</v>
      </c>
      <c r="C608" s="23" t="n">
        <v>250</v>
      </c>
      <c r="D608" s="5" t="s">
        <v>249</v>
      </c>
      <c r="E608" s="5" t="s">
        <v>280</v>
      </c>
      <c r="F608" s="24" t="s">
        <v>964</v>
      </c>
      <c r="G608" s="5" t="s">
        <v>1851</v>
      </c>
      <c r="H608" s="25" t="n">
        <v>1</v>
      </c>
      <c r="I608" s="5" t="s">
        <v>273</v>
      </c>
      <c r="J608" s="24" t="s">
        <v>1852</v>
      </c>
      <c r="K608" s="24" t="s">
        <v>1489</v>
      </c>
      <c r="L608" s="26" t="s">
        <v>110</v>
      </c>
    </row>
    <row r="609" customFormat="false" ht="15" hidden="false" customHeight="false" outlineLevel="0" collapsed="false">
      <c r="A609" s="27" t="s">
        <v>1857</v>
      </c>
      <c r="B609" s="28" t="s">
        <v>1858</v>
      </c>
      <c r="C609" s="33" t="n">
        <v>25</v>
      </c>
      <c r="D609" s="28" t="s">
        <v>249</v>
      </c>
      <c r="E609" s="28" t="s">
        <v>1859</v>
      </c>
      <c r="F609" s="30" t="s">
        <v>1860</v>
      </c>
      <c r="G609" s="28" t="s">
        <v>1851</v>
      </c>
      <c r="H609" s="31" t="n">
        <v>1</v>
      </c>
      <c r="I609" s="28" t="s">
        <v>273</v>
      </c>
      <c r="J609" s="30" t="s">
        <v>1852</v>
      </c>
      <c r="K609" s="30" t="s">
        <v>1489</v>
      </c>
      <c r="L609" s="32" t="s">
        <v>110</v>
      </c>
    </row>
    <row r="610" customFormat="false" ht="15" hidden="false" customHeight="false" outlineLevel="0" collapsed="false">
      <c r="A610" s="22" t="s">
        <v>1861</v>
      </c>
      <c r="B610" s="5" t="s">
        <v>1862</v>
      </c>
      <c r="C610" s="23" t="n">
        <v>775</v>
      </c>
      <c r="D610" s="5" t="s">
        <v>249</v>
      </c>
      <c r="E610" s="5" t="s">
        <v>1863</v>
      </c>
      <c r="F610" s="24" t="s">
        <v>1864</v>
      </c>
      <c r="G610" s="5" t="s">
        <v>1865</v>
      </c>
      <c r="H610" s="25" t="n">
        <v>1</v>
      </c>
      <c r="I610" s="5" t="s">
        <v>273</v>
      </c>
      <c r="J610" s="24" t="s">
        <v>1866</v>
      </c>
      <c r="K610" s="24" t="s">
        <v>1489</v>
      </c>
      <c r="L610" s="26" t="s">
        <v>110</v>
      </c>
    </row>
    <row r="611" customFormat="false" ht="15" hidden="false" customHeight="false" outlineLevel="0" collapsed="false">
      <c r="A611" s="27" t="s">
        <v>1867</v>
      </c>
      <c r="B611" s="28" t="s">
        <v>1868</v>
      </c>
      <c r="C611" s="33" t="n">
        <v>87</v>
      </c>
      <c r="D611" s="28" t="s">
        <v>249</v>
      </c>
      <c r="E611" s="28" t="s">
        <v>280</v>
      </c>
      <c r="F611" s="30" t="s">
        <v>1398</v>
      </c>
      <c r="G611" s="28" t="s">
        <v>1865</v>
      </c>
      <c r="H611" s="31" t="n">
        <v>1</v>
      </c>
      <c r="I611" s="28" t="s">
        <v>273</v>
      </c>
      <c r="J611" s="30" t="s">
        <v>1866</v>
      </c>
      <c r="K611" s="30" t="s">
        <v>1489</v>
      </c>
      <c r="L611" s="32" t="s">
        <v>110</v>
      </c>
    </row>
    <row r="612" customFormat="false" ht="15" hidden="false" customHeight="false" outlineLevel="0" collapsed="false">
      <c r="A612" s="22" t="s">
        <v>1869</v>
      </c>
      <c r="B612" s="5" t="s">
        <v>1870</v>
      </c>
      <c r="C612" s="34" t="n">
        <v>8.9</v>
      </c>
      <c r="D612" s="5" t="s">
        <v>133</v>
      </c>
      <c r="E612" s="5" t="s">
        <v>1863</v>
      </c>
      <c r="F612" s="24" t="s">
        <v>1871</v>
      </c>
      <c r="G612" s="5" t="s">
        <v>1865</v>
      </c>
      <c r="H612" s="25" t="n">
        <v>1</v>
      </c>
      <c r="I612" s="5" t="s">
        <v>273</v>
      </c>
      <c r="J612" s="24" t="s">
        <v>1866</v>
      </c>
      <c r="K612" s="24" t="s">
        <v>1489</v>
      </c>
      <c r="L612" s="26" t="s">
        <v>110</v>
      </c>
    </row>
    <row r="613" customFormat="false" ht="15" hidden="false" customHeight="false" outlineLevel="0" collapsed="false">
      <c r="A613" s="27" t="s">
        <v>1872</v>
      </c>
      <c r="B613" s="28" t="s">
        <v>1873</v>
      </c>
      <c r="C613" s="33" t="n">
        <v>305</v>
      </c>
      <c r="D613" s="28" t="s">
        <v>249</v>
      </c>
      <c r="E613" s="28" t="s">
        <v>1874</v>
      </c>
      <c r="F613" s="30" t="s">
        <v>1875</v>
      </c>
      <c r="G613" s="28" t="s">
        <v>1876</v>
      </c>
      <c r="H613" s="31" t="n">
        <v>1</v>
      </c>
      <c r="I613" s="28" t="s">
        <v>273</v>
      </c>
      <c r="J613" s="30" t="s">
        <v>1877</v>
      </c>
      <c r="K613" s="30" t="s">
        <v>1489</v>
      </c>
      <c r="L613" s="32" t="s">
        <v>110</v>
      </c>
    </row>
    <row r="614" customFormat="false" ht="15" hidden="false" customHeight="false" outlineLevel="0" collapsed="false">
      <c r="A614" s="22" t="s">
        <v>1878</v>
      </c>
      <c r="B614" s="5" t="s">
        <v>1879</v>
      </c>
      <c r="C614" s="34" t="n">
        <v>1.2</v>
      </c>
      <c r="D614" s="5" t="s">
        <v>269</v>
      </c>
      <c r="E614" s="5" t="s">
        <v>1880</v>
      </c>
      <c r="F614" s="24" t="s">
        <v>1881</v>
      </c>
      <c r="G614" s="5" t="s">
        <v>1882</v>
      </c>
      <c r="H614" s="25" t="n">
        <v>1</v>
      </c>
      <c r="I614" s="5" t="s">
        <v>273</v>
      </c>
      <c r="J614" s="24" t="s">
        <v>1883</v>
      </c>
      <c r="K614" s="24" t="s">
        <v>1489</v>
      </c>
      <c r="L614" s="26" t="s">
        <v>110</v>
      </c>
    </row>
    <row r="615" customFormat="false" ht="15" hidden="false" customHeight="false" outlineLevel="0" collapsed="false">
      <c r="A615" s="27" t="s">
        <v>1884</v>
      </c>
      <c r="B615" s="28" t="s">
        <v>1885</v>
      </c>
      <c r="C615" s="29" t="n">
        <v>45.5</v>
      </c>
      <c r="D615" s="28" t="s">
        <v>1495</v>
      </c>
      <c r="E615" s="28" t="s">
        <v>1880</v>
      </c>
      <c r="F615" s="30" t="s">
        <v>1886</v>
      </c>
      <c r="G615" s="28" t="s">
        <v>1882</v>
      </c>
      <c r="H615" s="31" t="n">
        <v>1</v>
      </c>
      <c r="I615" s="28" t="s">
        <v>273</v>
      </c>
      <c r="J615" s="30" t="s">
        <v>1883</v>
      </c>
      <c r="K615" s="30" t="s">
        <v>1489</v>
      </c>
      <c r="L615" s="32" t="s">
        <v>110</v>
      </c>
    </row>
    <row r="616" customFormat="false" ht="15" hidden="false" customHeight="false" outlineLevel="0" collapsed="false">
      <c r="A616" s="22" t="s">
        <v>1887</v>
      </c>
      <c r="B616" s="5" t="s">
        <v>1888</v>
      </c>
      <c r="C616" s="23" t="n">
        <v>800</v>
      </c>
      <c r="D616" s="5" t="s">
        <v>103</v>
      </c>
      <c r="E616" s="5" t="s">
        <v>1889</v>
      </c>
      <c r="F616" s="24" t="s">
        <v>1222</v>
      </c>
      <c r="G616" s="5" t="s">
        <v>1890</v>
      </c>
      <c r="H616" s="25" t="n">
        <v>1</v>
      </c>
      <c r="I616" s="5" t="s">
        <v>273</v>
      </c>
      <c r="J616" s="24" t="s">
        <v>1891</v>
      </c>
      <c r="K616" s="24" t="s">
        <v>1489</v>
      </c>
      <c r="L616" s="26" t="s">
        <v>110</v>
      </c>
    </row>
    <row r="617" customFormat="false" ht="15" hidden="false" customHeight="false" outlineLevel="0" collapsed="false">
      <c r="A617" s="27" t="s">
        <v>1892</v>
      </c>
      <c r="B617" s="28" t="s">
        <v>1893</v>
      </c>
      <c r="C617" s="29" t="n">
        <v>1.8</v>
      </c>
      <c r="D617" s="28" t="s">
        <v>269</v>
      </c>
      <c r="E617" s="28" t="s">
        <v>1894</v>
      </c>
      <c r="F617" s="30" t="s">
        <v>1559</v>
      </c>
      <c r="G617" s="28" t="s">
        <v>1895</v>
      </c>
      <c r="H617" s="31" t="n">
        <v>1</v>
      </c>
      <c r="I617" s="28" t="s">
        <v>273</v>
      </c>
      <c r="J617" s="30" t="s">
        <v>1896</v>
      </c>
      <c r="K617" s="30" t="s">
        <v>1489</v>
      </c>
      <c r="L617" s="32" t="s">
        <v>110</v>
      </c>
    </row>
    <row r="618" customFormat="false" ht="15" hidden="false" customHeight="false" outlineLevel="0" collapsed="false">
      <c r="A618" s="22" t="s">
        <v>1897</v>
      </c>
      <c r="B618" s="5" t="s">
        <v>1898</v>
      </c>
      <c r="C618" s="23" t="n">
        <v>8</v>
      </c>
      <c r="D618" s="5" t="s">
        <v>1899</v>
      </c>
      <c r="E618" s="5" t="s">
        <v>1900</v>
      </c>
      <c r="F618" s="24" t="s">
        <v>1901</v>
      </c>
      <c r="G618" s="5" t="s">
        <v>1902</v>
      </c>
      <c r="H618" s="25" t="n">
        <v>1</v>
      </c>
      <c r="I618" s="5" t="s">
        <v>273</v>
      </c>
      <c r="J618" s="24" t="s">
        <v>1903</v>
      </c>
      <c r="K618" s="24" t="s">
        <v>1489</v>
      </c>
      <c r="L618" s="26" t="s">
        <v>110</v>
      </c>
    </row>
    <row r="619" customFormat="false" ht="15" hidden="false" customHeight="false" outlineLevel="0" collapsed="false">
      <c r="A619" s="27" t="s">
        <v>1904</v>
      </c>
      <c r="B619" s="28" t="s">
        <v>1905</v>
      </c>
      <c r="C619" s="29" t="n">
        <v>1.7</v>
      </c>
      <c r="D619" s="28" t="s">
        <v>1899</v>
      </c>
      <c r="E619" s="28" t="s">
        <v>1900</v>
      </c>
      <c r="F619" s="30" t="s">
        <v>1906</v>
      </c>
      <c r="G619" s="28" t="s">
        <v>1902</v>
      </c>
      <c r="H619" s="31" t="n">
        <v>1</v>
      </c>
      <c r="I619" s="28" t="s">
        <v>273</v>
      </c>
      <c r="J619" s="30" t="s">
        <v>1903</v>
      </c>
      <c r="K619" s="30" t="s">
        <v>1489</v>
      </c>
      <c r="L619" s="32" t="s">
        <v>110</v>
      </c>
    </row>
    <row r="620" customFormat="false" ht="15" hidden="false" customHeight="false" outlineLevel="0" collapsed="false">
      <c r="A620" s="22" t="s">
        <v>1907</v>
      </c>
      <c r="B620" s="5" t="s">
        <v>1908</v>
      </c>
      <c r="C620" s="34" t="n">
        <v>1.6058</v>
      </c>
      <c r="D620" s="5" t="s">
        <v>1909</v>
      </c>
      <c r="E620" s="5" t="s">
        <v>1910</v>
      </c>
      <c r="F620" s="24" t="s">
        <v>1911</v>
      </c>
      <c r="G620" s="5" t="s">
        <v>1912</v>
      </c>
      <c r="H620" s="25" t="n">
        <v>1</v>
      </c>
      <c r="I620" s="5" t="s">
        <v>273</v>
      </c>
      <c r="J620" s="24" t="s">
        <v>1913</v>
      </c>
      <c r="K620" s="24" t="s">
        <v>1489</v>
      </c>
      <c r="L620" s="26" t="s">
        <v>110</v>
      </c>
    </row>
    <row r="621" customFormat="false" ht="15" hidden="false" customHeight="false" outlineLevel="0" collapsed="false">
      <c r="A621" s="27" t="s">
        <v>1914</v>
      </c>
      <c r="B621" s="28" t="s">
        <v>1915</v>
      </c>
      <c r="C621" s="33" t="n">
        <v>3</v>
      </c>
      <c r="D621" s="28" t="s">
        <v>249</v>
      </c>
      <c r="E621" s="28" t="s">
        <v>1916</v>
      </c>
      <c r="F621" s="30" t="s">
        <v>134</v>
      </c>
      <c r="G621" s="28" t="s">
        <v>1917</v>
      </c>
      <c r="H621" s="31" t="n">
        <v>1</v>
      </c>
      <c r="I621" s="28" t="s">
        <v>273</v>
      </c>
      <c r="J621" s="30" t="s">
        <v>1918</v>
      </c>
      <c r="K621" s="30" t="s">
        <v>1919</v>
      </c>
      <c r="L621" s="32" t="s">
        <v>110</v>
      </c>
    </row>
    <row r="622" customFormat="false" ht="15" hidden="false" customHeight="false" outlineLevel="0" collapsed="false">
      <c r="A622" s="22" t="s">
        <v>1920</v>
      </c>
      <c r="B622" s="5" t="s">
        <v>1921</v>
      </c>
      <c r="C622" s="23" t="n">
        <v>15</v>
      </c>
      <c r="D622" s="5" t="s">
        <v>249</v>
      </c>
      <c r="E622" s="5" t="s">
        <v>1916</v>
      </c>
      <c r="F622" s="24" t="s">
        <v>1803</v>
      </c>
      <c r="G622" s="5" t="s">
        <v>1917</v>
      </c>
      <c r="H622" s="25" t="n">
        <v>1</v>
      </c>
      <c r="I622" s="5" t="s">
        <v>273</v>
      </c>
      <c r="J622" s="24" t="s">
        <v>1918</v>
      </c>
      <c r="K622" s="24" t="s">
        <v>1919</v>
      </c>
      <c r="L622" s="26" t="s">
        <v>110</v>
      </c>
    </row>
    <row r="623" customFormat="false" ht="15" hidden="false" customHeight="false" outlineLevel="0" collapsed="false">
      <c r="A623" s="27" t="s">
        <v>1922</v>
      </c>
      <c r="B623" s="28" t="s">
        <v>1923</v>
      </c>
      <c r="C623" s="33" t="n">
        <v>52</v>
      </c>
      <c r="D623" s="28" t="s">
        <v>1924</v>
      </c>
      <c r="E623" s="28" t="s">
        <v>1925</v>
      </c>
      <c r="F623" s="30" t="s">
        <v>1926</v>
      </c>
      <c r="G623" s="28" t="s">
        <v>1927</v>
      </c>
      <c r="H623" s="31" t="n">
        <v>1</v>
      </c>
      <c r="I623" s="28" t="s">
        <v>273</v>
      </c>
      <c r="J623" s="30" t="s">
        <v>1928</v>
      </c>
      <c r="K623" s="30" t="s">
        <v>1919</v>
      </c>
      <c r="L623" s="32" t="s">
        <v>110</v>
      </c>
    </row>
    <row r="624" customFormat="false" ht="15" hidden="false" customHeight="false" outlineLevel="0" collapsed="false">
      <c r="A624" s="22" t="s">
        <v>1929</v>
      </c>
      <c r="B624" s="5" t="s">
        <v>1930</v>
      </c>
      <c r="C624" s="23" t="n">
        <v>700</v>
      </c>
      <c r="D624" s="5" t="s">
        <v>1924</v>
      </c>
      <c r="E624" s="5" t="s">
        <v>1849</v>
      </c>
      <c r="F624" s="24" t="s">
        <v>464</v>
      </c>
      <c r="G624" s="5" t="s">
        <v>1851</v>
      </c>
      <c r="H624" s="25" t="n">
        <v>1</v>
      </c>
      <c r="I624" s="5" t="s">
        <v>273</v>
      </c>
      <c r="J624" s="24" t="s">
        <v>1852</v>
      </c>
      <c r="K624" s="24" t="s">
        <v>1489</v>
      </c>
      <c r="L624" s="26" t="s">
        <v>110</v>
      </c>
    </row>
    <row r="625" customFormat="false" ht="15" hidden="false" customHeight="false" outlineLevel="0" collapsed="false">
      <c r="A625" s="27" t="s">
        <v>1931</v>
      </c>
      <c r="B625" s="28" t="s">
        <v>1932</v>
      </c>
      <c r="C625" s="33" t="n">
        <v>40</v>
      </c>
      <c r="D625" s="28" t="s">
        <v>459</v>
      </c>
      <c r="E625" s="28" t="s">
        <v>1849</v>
      </c>
      <c r="F625" s="30" t="s">
        <v>1649</v>
      </c>
      <c r="G625" s="28" t="s">
        <v>1851</v>
      </c>
      <c r="H625" s="31" t="n">
        <v>1</v>
      </c>
      <c r="I625" s="28" t="s">
        <v>273</v>
      </c>
      <c r="J625" s="30" t="s">
        <v>1852</v>
      </c>
      <c r="K625" s="30" t="s">
        <v>1489</v>
      </c>
      <c r="L625" s="32" t="s">
        <v>110</v>
      </c>
    </row>
    <row r="626" customFormat="false" ht="15" hidden="false" customHeight="false" outlineLevel="0" collapsed="false">
      <c r="A626" s="22" t="s">
        <v>1933</v>
      </c>
      <c r="B626" s="5" t="s">
        <v>155</v>
      </c>
      <c r="C626" s="23" t="n">
        <v>8</v>
      </c>
      <c r="D626" s="5" t="s">
        <v>130</v>
      </c>
      <c r="E626" s="5" t="s">
        <v>1934</v>
      </c>
      <c r="F626" s="24" t="s">
        <v>157</v>
      </c>
      <c r="G626" s="5" t="s">
        <v>1935</v>
      </c>
      <c r="H626" s="25" t="n">
        <v>10</v>
      </c>
      <c r="I626" s="5" t="s">
        <v>127</v>
      </c>
      <c r="J626" s="24" t="s">
        <v>1936</v>
      </c>
      <c r="K626" s="24" t="s">
        <v>109</v>
      </c>
      <c r="L626" s="26" t="s">
        <v>110</v>
      </c>
    </row>
    <row r="627" customFormat="false" ht="15" hidden="false" customHeight="false" outlineLevel="0" collapsed="false">
      <c r="A627" s="27" t="s">
        <v>1937</v>
      </c>
      <c r="B627" s="28" t="s">
        <v>132</v>
      </c>
      <c r="C627" s="33" t="n">
        <v>3</v>
      </c>
      <c r="D627" s="28" t="s">
        <v>133</v>
      </c>
      <c r="E627" s="28" t="s">
        <v>1934</v>
      </c>
      <c r="F627" s="30" t="s">
        <v>134</v>
      </c>
      <c r="G627" s="28" t="s">
        <v>1935</v>
      </c>
      <c r="H627" s="31" t="n">
        <v>10</v>
      </c>
      <c r="I627" s="28" t="s">
        <v>107</v>
      </c>
      <c r="J627" s="30" t="s">
        <v>1936</v>
      </c>
      <c r="K627" s="30" t="s">
        <v>109</v>
      </c>
      <c r="L627" s="32" t="s">
        <v>110</v>
      </c>
    </row>
    <row r="628" customFormat="false" ht="15" hidden="false" customHeight="false" outlineLevel="0" collapsed="false">
      <c r="A628" s="22" t="s">
        <v>1938</v>
      </c>
      <c r="B628" s="5" t="s">
        <v>1939</v>
      </c>
      <c r="C628" s="23" t="n">
        <v>12</v>
      </c>
      <c r="D628" s="5" t="s">
        <v>299</v>
      </c>
      <c r="E628" s="5" t="s">
        <v>546</v>
      </c>
      <c r="F628" s="24" t="s">
        <v>1940</v>
      </c>
      <c r="G628" s="5" t="s">
        <v>1935</v>
      </c>
      <c r="H628" s="25" t="n">
        <v>12</v>
      </c>
      <c r="I628" s="5" t="s">
        <v>227</v>
      </c>
      <c r="J628" s="24" t="s">
        <v>1936</v>
      </c>
      <c r="K628" s="24" t="s">
        <v>109</v>
      </c>
      <c r="L628" s="26" t="s">
        <v>110</v>
      </c>
    </row>
    <row r="629" customFormat="false" ht="15" hidden="false" customHeight="false" outlineLevel="0" collapsed="false">
      <c r="A629" s="27" t="s">
        <v>1941</v>
      </c>
      <c r="B629" s="28" t="s">
        <v>1334</v>
      </c>
      <c r="C629" s="33" t="n">
        <v>10</v>
      </c>
      <c r="D629" s="28" t="s">
        <v>325</v>
      </c>
      <c r="E629" s="28" t="s">
        <v>1323</v>
      </c>
      <c r="F629" s="30" t="s">
        <v>236</v>
      </c>
      <c r="G629" s="28" t="s">
        <v>1935</v>
      </c>
      <c r="H629" s="31" t="n">
        <v>10</v>
      </c>
      <c r="I629" s="28" t="s">
        <v>127</v>
      </c>
      <c r="J629" s="30" t="s">
        <v>1936</v>
      </c>
      <c r="K629" s="30" t="s">
        <v>109</v>
      </c>
      <c r="L629" s="32" t="s">
        <v>110</v>
      </c>
    </row>
    <row r="630" customFormat="false" ht="15" hidden="false" customHeight="false" outlineLevel="0" collapsed="false">
      <c r="A630" s="22" t="s">
        <v>1942</v>
      </c>
      <c r="B630" s="5" t="s">
        <v>1943</v>
      </c>
      <c r="C630" s="34" t="n">
        <v>0.8</v>
      </c>
      <c r="D630" s="5" t="s">
        <v>269</v>
      </c>
      <c r="E630" s="5" t="s">
        <v>546</v>
      </c>
      <c r="F630" s="24" t="s">
        <v>1582</v>
      </c>
      <c r="G630" s="5" t="s">
        <v>1935</v>
      </c>
      <c r="H630" s="25" t="n">
        <v>12</v>
      </c>
      <c r="I630" s="5" t="s">
        <v>227</v>
      </c>
      <c r="J630" s="24" t="s">
        <v>1936</v>
      </c>
      <c r="K630" s="24" t="s">
        <v>109</v>
      </c>
      <c r="L630" s="26" t="s">
        <v>110</v>
      </c>
    </row>
    <row r="631" customFormat="false" ht="15" hidden="false" customHeight="false" outlineLevel="0" collapsed="false">
      <c r="A631" s="27" t="s">
        <v>1944</v>
      </c>
      <c r="B631" s="28" t="s">
        <v>1945</v>
      </c>
      <c r="C631" s="29" t="n">
        <v>5.4</v>
      </c>
      <c r="D631" s="28" t="s">
        <v>269</v>
      </c>
      <c r="E631" s="28" t="s">
        <v>546</v>
      </c>
      <c r="F631" s="30" t="s">
        <v>814</v>
      </c>
      <c r="G631" s="28" t="s">
        <v>1935</v>
      </c>
      <c r="H631" s="31" t="n">
        <v>12</v>
      </c>
      <c r="I631" s="28" t="s">
        <v>227</v>
      </c>
      <c r="J631" s="30" t="s">
        <v>1936</v>
      </c>
      <c r="K631" s="30" t="s">
        <v>109</v>
      </c>
      <c r="L631" s="32" t="s">
        <v>110</v>
      </c>
    </row>
    <row r="632" customFormat="false" ht="15" hidden="false" customHeight="false" outlineLevel="0" collapsed="false">
      <c r="A632" s="22" t="s">
        <v>1946</v>
      </c>
      <c r="B632" s="5" t="s">
        <v>235</v>
      </c>
      <c r="C632" s="23" t="n">
        <v>10</v>
      </c>
      <c r="D632" s="5" t="s">
        <v>232</v>
      </c>
      <c r="E632" s="5" t="s">
        <v>1934</v>
      </c>
      <c r="F632" s="24" t="s">
        <v>236</v>
      </c>
      <c r="G632" s="5" t="s">
        <v>1935</v>
      </c>
      <c r="H632" s="25" t="n">
        <v>10</v>
      </c>
      <c r="I632" s="5" t="s">
        <v>227</v>
      </c>
      <c r="J632" s="24" t="s">
        <v>1936</v>
      </c>
      <c r="K632" s="24" t="s">
        <v>109</v>
      </c>
      <c r="L632" s="26" t="s">
        <v>110</v>
      </c>
    </row>
    <row r="633" customFormat="false" ht="15" hidden="false" customHeight="false" outlineLevel="0" collapsed="false">
      <c r="A633" s="27" t="s">
        <v>1947</v>
      </c>
      <c r="B633" s="28" t="s">
        <v>1948</v>
      </c>
      <c r="C633" s="33" t="n">
        <v>60</v>
      </c>
      <c r="D633" s="28" t="s">
        <v>224</v>
      </c>
      <c r="E633" s="28" t="s">
        <v>666</v>
      </c>
      <c r="F633" s="30" t="s">
        <v>300</v>
      </c>
      <c r="G633" s="28" t="s">
        <v>1935</v>
      </c>
      <c r="H633" s="31" t="n">
        <v>45</v>
      </c>
      <c r="I633" s="28" t="s">
        <v>227</v>
      </c>
      <c r="J633" s="30" t="s">
        <v>1936</v>
      </c>
      <c r="K633" s="30" t="s">
        <v>109</v>
      </c>
      <c r="L633" s="32" t="s">
        <v>110</v>
      </c>
    </row>
    <row r="634" customFormat="false" ht="15" hidden="false" customHeight="false" outlineLevel="0" collapsed="false">
      <c r="A634" s="22" t="s">
        <v>1949</v>
      </c>
      <c r="B634" s="5" t="s">
        <v>1950</v>
      </c>
      <c r="C634" s="23" t="n">
        <v>5</v>
      </c>
      <c r="D634" s="5" t="s">
        <v>325</v>
      </c>
      <c r="E634" s="5" t="s">
        <v>1934</v>
      </c>
      <c r="F634" s="24" t="s">
        <v>398</v>
      </c>
      <c r="G634" s="5" t="s">
        <v>1935</v>
      </c>
      <c r="H634" s="25" t="n">
        <v>45</v>
      </c>
      <c r="I634" s="5" t="s">
        <v>227</v>
      </c>
      <c r="J634" s="24" t="s">
        <v>1936</v>
      </c>
      <c r="K634" s="24" t="s">
        <v>109</v>
      </c>
      <c r="L634" s="26" t="s">
        <v>110</v>
      </c>
    </row>
    <row r="635" customFormat="false" ht="15" hidden="false" customHeight="false" outlineLevel="0" collapsed="false">
      <c r="A635" s="27" t="s">
        <v>1951</v>
      </c>
      <c r="B635" s="28" t="s">
        <v>1952</v>
      </c>
      <c r="C635" s="33" t="n">
        <v>9</v>
      </c>
      <c r="D635" s="28" t="s">
        <v>325</v>
      </c>
      <c r="E635" s="28" t="s">
        <v>1953</v>
      </c>
      <c r="F635" s="30" t="s">
        <v>1954</v>
      </c>
      <c r="G635" s="28" t="s">
        <v>1935</v>
      </c>
      <c r="H635" s="31" t="n">
        <v>44</v>
      </c>
      <c r="I635" s="28" t="s">
        <v>227</v>
      </c>
      <c r="J635" s="30" t="s">
        <v>1936</v>
      </c>
      <c r="K635" s="30" t="s">
        <v>109</v>
      </c>
      <c r="L635" s="32" t="s">
        <v>110</v>
      </c>
    </row>
    <row r="636" customFormat="false" ht="15" hidden="false" customHeight="false" outlineLevel="0" collapsed="false">
      <c r="A636" s="22" t="s">
        <v>1955</v>
      </c>
      <c r="B636" s="5" t="s">
        <v>1334</v>
      </c>
      <c r="C636" s="23" t="n">
        <v>10</v>
      </c>
      <c r="D636" s="5" t="s">
        <v>299</v>
      </c>
      <c r="E636" s="5" t="s">
        <v>114</v>
      </c>
      <c r="F636" s="24" t="s">
        <v>236</v>
      </c>
      <c r="G636" s="5" t="s">
        <v>116</v>
      </c>
      <c r="H636" s="25" t="n">
        <v>9</v>
      </c>
      <c r="I636" s="5" t="s">
        <v>127</v>
      </c>
      <c r="J636" s="24" t="s">
        <v>118</v>
      </c>
      <c r="K636" s="24" t="s">
        <v>109</v>
      </c>
      <c r="L636" s="26" t="s">
        <v>110</v>
      </c>
    </row>
    <row r="637" customFormat="false" ht="15" hidden="false" customHeight="false" outlineLevel="0" collapsed="false">
      <c r="A637" s="27" t="s">
        <v>1956</v>
      </c>
      <c r="B637" s="28" t="s">
        <v>1957</v>
      </c>
      <c r="C637" s="33" t="n">
        <v>11</v>
      </c>
      <c r="D637" s="28" t="s">
        <v>269</v>
      </c>
      <c r="E637" s="28" t="s">
        <v>1934</v>
      </c>
      <c r="F637" s="30" t="s">
        <v>1480</v>
      </c>
      <c r="G637" s="28" t="s">
        <v>1935</v>
      </c>
      <c r="H637" s="31" t="n">
        <v>45</v>
      </c>
      <c r="I637" s="28" t="s">
        <v>227</v>
      </c>
      <c r="J637" s="30" t="s">
        <v>1936</v>
      </c>
      <c r="K637" s="30" t="s">
        <v>109</v>
      </c>
      <c r="L637" s="32" t="s">
        <v>110</v>
      </c>
    </row>
    <row r="638" customFormat="false" ht="15" hidden="false" customHeight="false" outlineLevel="0" collapsed="false">
      <c r="A638" s="22" t="s">
        <v>1958</v>
      </c>
      <c r="B638" s="5" t="s">
        <v>1959</v>
      </c>
      <c r="C638" s="23" t="n">
        <v>30</v>
      </c>
      <c r="D638" s="5" t="s">
        <v>299</v>
      </c>
      <c r="E638" s="5" t="s">
        <v>546</v>
      </c>
      <c r="F638" s="24" t="s">
        <v>1515</v>
      </c>
      <c r="G638" s="5" t="s">
        <v>116</v>
      </c>
      <c r="H638" s="25" t="n">
        <v>44</v>
      </c>
      <c r="I638" s="5" t="s">
        <v>227</v>
      </c>
      <c r="J638" s="24" t="s">
        <v>118</v>
      </c>
      <c r="K638" s="24" t="s">
        <v>109</v>
      </c>
      <c r="L638" s="26" t="s">
        <v>110</v>
      </c>
    </row>
    <row r="639" customFormat="false" ht="15" hidden="false" customHeight="false" outlineLevel="0" collapsed="false">
      <c r="A639" s="27" t="s">
        <v>1960</v>
      </c>
      <c r="B639" s="28" t="s">
        <v>1961</v>
      </c>
      <c r="C639" s="29" t="n">
        <v>4.9</v>
      </c>
      <c r="D639" s="28" t="s">
        <v>130</v>
      </c>
      <c r="E639" s="28" t="s">
        <v>546</v>
      </c>
      <c r="F639" s="30" t="s">
        <v>779</v>
      </c>
      <c r="G639" s="28" t="s">
        <v>116</v>
      </c>
      <c r="H639" s="31" t="n">
        <v>56</v>
      </c>
      <c r="I639" s="28" t="s">
        <v>227</v>
      </c>
      <c r="J639" s="30" t="s">
        <v>118</v>
      </c>
      <c r="K639" s="30" t="s">
        <v>109</v>
      </c>
      <c r="L639" s="32" t="s">
        <v>110</v>
      </c>
    </row>
    <row r="640" customFormat="false" ht="15" hidden="false" customHeight="false" outlineLevel="0" collapsed="false">
      <c r="A640" s="22" t="s">
        <v>1962</v>
      </c>
      <c r="B640" s="5" t="s">
        <v>648</v>
      </c>
      <c r="C640" s="34" t="n">
        <v>4.9</v>
      </c>
      <c r="D640" s="5" t="s">
        <v>130</v>
      </c>
      <c r="E640" s="5" t="s">
        <v>546</v>
      </c>
      <c r="F640" s="24" t="s">
        <v>779</v>
      </c>
      <c r="G640" s="5" t="s">
        <v>116</v>
      </c>
      <c r="H640" s="25" t="n">
        <v>56</v>
      </c>
      <c r="I640" s="5" t="s">
        <v>227</v>
      </c>
      <c r="J640" s="24" t="s">
        <v>118</v>
      </c>
      <c r="K640" s="24" t="s">
        <v>109</v>
      </c>
      <c r="L640" s="26" t="s">
        <v>110</v>
      </c>
    </row>
    <row r="641" customFormat="false" ht="15" hidden="false" customHeight="false" outlineLevel="0" collapsed="false">
      <c r="A641" s="27" t="s">
        <v>1963</v>
      </c>
      <c r="B641" s="28" t="s">
        <v>312</v>
      </c>
      <c r="C641" s="29" t="n">
        <v>4.2</v>
      </c>
      <c r="D641" s="28" t="s">
        <v>130</v>
      </c>
      <c r="E641" s="28" t="s">
        <v>546</v>
      </c>
      <c r="F641" s="30" t="s">
        <v>563</v>
      </c>
      <c r="G641" s="28" t="s">
        <v>116</v>
      </c>
      <c r="H641" s="31" t="n">
        <v>56</v>
      </c>
      <c r="I641" s="28" t="s">
        <v>227</v>
      </c>
      <c r="J641" s="30" t="s">
        <v>118</v>
      </c>
      <c r="K641" s="30" t="s">
        <v>109</v>
      </c>
      <c r="L641" s="32" t="s">
        <v>110</v>
      </c>
    </row>
    <row r="642" customFormat="false" ht="15" hidden="false" customHeight="false" outlineLevel="0" collapsed="false">
      <c r="A642" s="22" t="s">
        <v>1964</v>
      </c>
      <c r="B642" s="5" t="s">
        <v>175</v>
      </c>
      <c r="C642" s="34" t="n">
        <v>2.63</v>
      </c>
      <c r="D642" s="5" t="s">
        <v>133</v>
      </c>
      <c r="E642" s="5" t="s">
        <v>193</v>
      </c>
      <c r="F642" s="24" t="s">
        <v>185</v>
      </c>
      <c r="G642" s="5" t="s">
        <v>689</v>
      </c>
      <c r="H642" s="25" t="n">
        <v>5</v>
      </c>
      <c r="I642" s="5" t="s">
        <v>107</v>
      </c>
      <c r="J642" s="24" t="s">
        <v>690</v>
      </c>
      <c r="K642" s="24" t="s">
        <v>109</v>
      </c>
      <c r="L642" s="26" t="s">
        <v>110</v>
      </c>
    </row>
    <row r="643" customFormat="false" ht="15" hidden="false" customHeight="false" outlineLevel="0" collapsed="false">
      <c r="A643" s="27" t="s">
        <v>1965</v>
      </c>
      <c r="B643" s="28" t="s">
        <v>1797</v>
      </c>
      <c r="C643" s="33" t="n">
        <v>4</v>
      </c>
      <c r="D643" s="28" t="s">
        <v>130</v>
      </c>
      <c r="E643" s="28" t="s">
        <v>546</v>
      </c>
      <c r="F643" s="30" t="s">
        <v>467</v>
      </c>
      <c r="G643" s="28" t="s">
        <v>116</v>
      </c>
      <c r="H643" s="31" t="n">
        <v>76</v>
      </c>
      <c r="I643" s="28" t="s">
        <v>227</v>
      </c>
      <c r="J643" s="30" t="s">
        <v>118</v>
      </c>
      <c r="K643" s="30" t="s">
        <v>109</v>
      </c>
      <c r="L643" s="32" t="s">
        <v>110</v>
      </c>
    </row>
    <row r="644" customFormat="false" ht="15" hidden="false" customHeight="false" outlineLevel="0" collapsed="false">
      <c r="A644" s="22" t="s">
        <v>1966</v>
      </c>
      <c r="B644" s="5" t="s">
        <v>1967</v>
      </c>
      <c r="C644" s="34" t="n">
        <v>1.4</v>
      </c>
      <c r="D644" s="5" t="s">
        <v>206</v>
      </c>
      <c r="E644" s="5" t="s">
        <v>160</v>
      </c>
      <c r="F644" s="24" t="s">
        <v>1968</v>
      </c>
      <c r="G644" s="5" t="s">
        <v>689</v>
      </c>
      <c r="H644" s="25" t="n">
        <v>6</v>
      </c>
      <c r="I644" s="5" t="s">
        <v>127</v>
      </c>
      <c r="J644" s="24" t="s">
        <v>690</v>
      </c>
      <c r="K644" s="24" t="s">
        <v>109</v>
      </c>
      <c r="L644" s="26" t="s">
        <v>110</v>
      </c>
    </row>
    <row r="645" customFormat="false" ht="15" hidden="false" customHeight="false" outlineLevel="0" collapsed="false">
      <c r="A645" s="27" t="s">
        <v>1969</v>
      </c>
      <c r="B645" s="28" t="s">
        <v>511</v>
      </c>
      <c r="C645" s="29" t="n">
        <v>7.4</v>
      </c>
      <c r="D645" s="28" t="s">
        <v>512</v>
      </c>
      <c r="E645" s="28" t="s">
        <v>1970</v>
      </c>
      <c r="F645" s="30" t="s">
        <v>1401</v>
      </c>
      <c r="G645" s="28" t="s">
        <v>116</v>
      </c>
      <c r="H645" s="31" t="n">
        <v>67</v>
      </c>
      <c r="I645" s="28" t="s">
        <v>107</v>
      </c>
      <c r="J645" s="30" t="s">
        <v>118</v>
      </c>
      <c r="K645" s="30" t="s">
        <v>109</v>
      </c>
      <c r="L645" s="32" t="s">
        <v>110</v>
      </c>
    </row>
    <row r="646" customFormat="false" ht="15" hidden="false" customHeight="false" outlineLevel="0" collapsed="false">
      <c r="A646" s="22" t="s">
        <v>1971</v>
      </c>
      <c r="B646" s="5" t="s">
        <v>1336</v>
      </c>
      <c r="C646" s="23" t="n">
        <v>398</v>
      </c>
      <c r="D646" s="5" t="s">
        <v>103</v>
      </c>
      <c r="E646" s="5" t="s">
        <v>160</v>
      </c>
      <c r="F646" s="24" t="s">
        <v>688</v>
      </c>
      <c r="G646" s="5" t="s">
        <v>689</v>
      </c>
      <c r="H646" s="25" t="n">
        <v>5</v>
      </c>
      <c r="I646" s="5" t="s">
        <v>127</v>
      </c>
      <c r="J646" s="24" t="s">
        <v>690</v>
      </c>
      <c r="K646" s="24" t="s">
        <v>109</v>
      </c>
      <c r="L646" s="26" t="s">
        <v>110</v>
      </c>
    </row>
    <row r="647" customFormat="false" ht="15" hidden="false" customHeight="false" outlineLevel="0" collapsed="false">
      <c r="A647" s="27" t="s">
        <v>1972</v>
      </c>
      <c r="B647" s="28" t="s">
        <v>517</v>
      </c>
      <c r="C647" s="33" t="n">
        <v>87</v>
      </c>
      <c r="D647" s="28" t="s">
        <v>299</v>
      </c>
      <c r="E647" s="28" t="s">
        <v>1970</v>
      </c>
      <c r="F647" s="30" t="s">
        <v>1398</v>
      </c>
      <c r="G647" s="28" t="s">
        <v>116</v>
      </c>
      <c r="H647" s="31" t="n">
        <v>67</v>
      </c>
      <c r="I647" s="28" t="s">
        <v>107</v>
      </c>
      <c r="J647" s="30" t="s">
        <v>118</v>
      </c>
      <c r="K647" s="30" t="s">
        <v>109</v>
      </c>
      <c r="L647" s="32" t="s">
        <v>110</v>
      </c>
    </row>
    <row r="648" customFormat="false" ht="15" hidden="false" customHeight="false" outlineLevel="0" collapsed="false">
      <c r="A648" s="22" t="s">
        <v>1973</v>
      </c>
      <c r="B648" s="5" t="s">
        <v>235</v>
      </c>
      <c r="C648" s="23" t="n">
        <v>10</v>
      </c>
      <c r="D648" s="5" t="s">
        <v>232</v>
      </c>
      <c r="E648" s="5" t="s">
        <v>1974</v>
      </c>
      <c r="F648" s="24" t="s">
        <v>236</v>
      </c>
      <c r="G648" s="5" t="s">
        <v>116</v>
      </c>
      <c r="H648" s="25" t="n">
        <v>70</v>
      </c>
      <c r="I648" s="5" t="s">
        <v>227</v>
      </c>
      <c r="J648" s="24" t="s">
        <v>118</v>
      </c>
      <c r="K648" s="24" t="s">
        <v>109</v>
      </c>
      <c r="L648" s="26" t="s">
        <v>110</v>
      </c>
    </row>
    <row r="649" customFormat="false" ht="15" hidden="false" customHeight="false" outlineLevel="0" collapsed="false">
      <c r="A649" s="27" t="s">
        <v>1975</v>
      </c>
      <c r="B649" s="28" t="s">
        <v>155</v>
      </c>
      <c r="C649" s="33" t="n">
        <v>8</v>
      </c>
      <c r="D649" s="28" t="s">
        <v>130</v>
      </c>
      <c r="E649" s="28" t="s">
        <v>1974</v>
      </c>
      <c r="F649" s="30" t="s">
        <v>157</v>
      </c>
      <c r="G649" s="28" t="s">
        <v>116</v>
      </c>
      <c r="H649" s="31" t="n">
        <v>70</v>
      </c>
      <c r="I649" s="28" t="s">
        <v>107</v>
      </c>
      <c r="J649" s="30" t="s">
        <v>118</v>
      </c>
      <c r="K649" s="30" t="s">
        <v>109</v>
      </c>
      <c r="L649" s="32" t="s">
        <v>110</v>
      </c>
    </row>
    <row r="650" customFormat="false" ht="15" hidden="false" customHeight="false" outlineLevel="0" collapsed="false">
      <c r="A650" s="22" t="s">
        <v>1976</v>
      </c>
      <c r="B650" s="5" t="s">
        <v>1977</v>
      </c>
      <c r="C650" s="23" t="n">
        <v>205</v>
      </c>
      <c r="D650" s="5" t="s">
        <v>103</v>
      </c>
      <c r="E650" s="5" t="s">
        <v>160</v>
      </c>
      <c r="F650" s="24" t="s">
        <v>1978</v>
      </c>
      <c r="G650" s="5" t="s">
        <v>689</v>
      </c>
      <c r="H650" s="25" t="n">
        <v>8</v>
      </c>
      <c r="I650" s="5" t="s">
        <v>227</v>
      </c>
      <c r="J650" s="24" t="s">
        <v>690</v>
      </c>
      <c r="K650" s="24" t="s">
        <v>109</v>
      </c>
      <c r="L650" s="26" t="s">
        <v>110</v>
      </c>
    </row>
    <row r="651" customFormat="false" ht="15" hidden="false" customHeight="false" outlineLevel="0" collapsed="false">
      <c r="A651" s="27" t="s">
        <v>1979</v>
      </c>
      <c r="B651" s="28" t="s">
        <v>414</v>
      </c>
      <c r="C651" s="29" t="n">
        <v>9.5</v>
      </c>
      <c r="D651" s="28" t="s">
        <v>299</v>
      </c>
      <c r="E651" s="28" t="s">
        <v>160</v>
      </c>
      <c r="F651" s="30" t="s">
        <v>1980</v>
      </c>
      <c r="G651" s="28" t="s">
        <v>689</v>
      </c>
      <c r="H651" s="31" t="n">
        <v>10</v>
      </c>
      <c r="I651" s="28" t="s">
        <v>227</v>
      </c>
      <c r="J651" s="30" t="s">
        <v>690</v>
      </c>
      <c r="K651" s="30" t="s">
        <v>109</v>
      </c>
      <c r="L651" s="32" t="s">
        <v>110</v>
      </c>
    </row>
    <row r="652" customFormat="false" ht="15" hidden="false" customHeight="false" outlineLevel="0" collapsed="false">
      <c r="A652" s="22" t="s">
        <v>1981</v>
      </c>
      <c r="B652" s="5" t="s">
        <v>312</v>
      </c>
      <c r="C652" s="23" t="n">
        <v>4276</v>
      </c>
      <c r="D652" s="5" t="s">
        <v>103</v>
      </c>
      <c r="E652" s="5" t="s">
        <v>160</v>
      </c>
      <c r="F652" s="24" t="s">
        <v>1982</v>
      </c>
      <c r="G652" s="5" t="s">
        <v>689</v>
      </c>
      <c r="H652" s="25" t="n">
        <v>10</v>
      </c>
      <c r="I652" s="5" t="s">
        <v>227</v>
      </c>
      <c r="J652" s="24" t="s">
        <v>690</v>
      </c>
      <c r="K652" s="24" t="s">
        <v>109</v>
      </c>
      <c r="L652" s="26" t="s">
        <v>110</v>
      </c>
    </row>
    <row r="653" customFormat="false" ht="15" hidden="false" customHeight="false" outlineLevel="0" collapsed="false">
      <c r="A653" s="27" t="s">
        <v>1983</v>
      </c>
      <c r="B653" s="28" t="s">
        <v>636</v>
      </c>
      <c r="C653" s="29" t="n">
        <v>6.6</v>
      </c>
      <c r="D653" s="28" t="s">
        <v>299</v>
      </c>
      <c r="E653" s="28" t="s">
        <v>160</v>
      </c>
      <c r="F653" s="30" t="s">
        <v>1984</v>
      </c>
      <c r="G653" s="28" t="s">
        <v>689</v>
      </c>
      <c r="H653" s="31" t="n">
        <v>9</v>
      </c>
      <c r="I653" s="28" t="s">
        <v>227</v>
      </c>
      <c r="J653" s="30" t="s">
        <v>690</v>
      </c>
      <c r="K653" s="30" t="s">
        <v>109</v>
      </c>
      <c r="L653" s="32" t="s">
        <v>110</v>
      </c>
    </row>
    <row r="654" customFormat="false" ht="15" hidden="false" customHeight="false" outlineLevel="0" collapsed="false">
      <c r="A654" s="22" t="s">
        <v>1985</v>
      </c>
      <c r="B654" s="5" t="s">
        <v>633</v>
      </c>
      <c r="C654" s="23" t="n">
        <v>12506</v>
      </c>
      <c r="D654" s="5" t="s">
        <v>103</v>
      </c>
      <c r="E654" s="5" t="s">
        <v>160</v>
      </c>
      <c r="F654" s="24" t="s">
        <v>1986</v>
      </c>
      <c r="G654" s="5" t="s">
        <v>689</v>
      </c>
      <c r="H654" s="25" t="n">
        <v>9</v>
      </c>
      <c r="I654" s="5" t="s">
        <v>227</v>
      </c>
      <c r="J654" s="24" t="s">
        <v>690</v>
      </c>
      <c r="K654" s="24" t="s">
        <v>109</v>
      </c>
      <c r="L654" s="26" t="s">
        <v>110</v>
      </c>
    </row>
    <row r="655" customFormat="false" ht="15" hidden="false" customHeight="false" outlineLevel="0" collapsed="false">
      <c r="A655" s="27" t="s">
        <v>1987</v>
      </c>
      <c r="B655" s="28" t="s">
        <v>1988</v>
      </c>
      <c r="C655" s="33" t="n">
        <v>3</v>
      </c>
      <c r="D655" s="28" t="s">
        <v>133</v>
      </c>
      <c r="E655" s="28" t="s">
        <v>302</v>
      </c>
      <c r="F655" s="30" t="s">
        <v>134</v>
      </c>
      <c r="G655" s="28" t="s">
        <v>689</v>
      </c>
      <c r="H655" s="31" t="n">
        <v>16</v>
      </c>
      <c r="I655" s="28" t="s">
        <v>107</v>
      </c>
      <c r="J655" s="30" t="s">
        <v>690</v>
      </c>
      <c r="K655" s="30" t="s">
        <v>109</v>
      </c>
      <c r="L655" s="32" t="s">
        <v>110</v>
      </c>
    </row>
    <row r="656" customFormat="false" ht="15" hidden="false" customHeight="false" outlineLevel="0" collapsed="false">
      <c r="A656" s="22" t="s">
        <v>1989</v>
      </c>
      <c r="B656" s="5" t="s">
        <v>1990</v>
      </c>
      <c r="C656" s="23" t="n">
        <v>663</v>
      </c>
      <c r="D656" s="5" t="s">
        <v>103</v>
      </c>
      <c r="E656" s="5" t="s">
        <v>160</v>
      </c>
      <c r="F656" s="24" t="s">
        <v>1991</v>
      </c>
      <c r="G656" s="5" t="s">
        <v>689</v>
      </c>
      <c r="H656" s="25" t="n">
        <v>15</v>
      </c>
      <c r="I656" s="5" t="s">
        <v>127</v>
      </c>
      <c r="J656" s="24" t="s">
        <v>690</v>
      </c>
      <c r="K656" s="24" t="s">
        <v>109</v>
      </c>
      <c r="L656" s="26" t="s">
        <v>110</v>
      </c>
    </row>
    <row r="657" customFormat="false" ht="15" hidden="false" customHeight="false" outlineLevel="0" collapsed="false">
      <c r="A657" s="27" t="s">
        <v>1992</v>
      </c>
      <c r="B657" s="28" t="s">
        <v>1325</v>
      </c>
      <c r="C657" s="33" t="n">
        <v>350</v>
      </c>
      <c r="D657" s="28" t="s">
        <v>103</v>
      </c>
      <c r="E657" s="28" t="s">
        <v>160</v>
      </c>
      <c r="F657" s="30" t="s">
        <v>1326</v>
      </c>
      <c r="G657" s="28" t="s">
        <v>689</v>
      </c>
      <c r="H657" s="31" t="n">
        <v>13</v>
      </c>
      <c r="I657" s="28" t="s">
        <v>127</v>
      </c>
      <c r="J657" s="30" t="s">
        <v>690</v>
      </c>
      <c r="K657" s="30" t="s">
        <v>109</v>
      </c>
      <c r="L657" s="32" t="s">
        <v>110</v>
      </c>
    </row>
    <row r="658" customFormat="false" ht="15" hidden="false" customHeight="false" outlineLevel="0" collapsed="false">
      <c r="A658" s="22" t="s">
        <v>1993</v>
      </c>
      <c r="B658" s="5" t="s">
        <v>1994</v>
      </c>
      <c r="C658" s="34" t="n">
        <v>7.1</v>
      </c>
      <c r="D658" s="5" t="s">
        <v>299</v>
      </c>
      <c r="E658" s="5" t="s">
        <v>160</v>
      </c>
      <c r="F658" s="24" t="s">
        <v>1995</v>
      </c>
      <c r="G658" s="5" t="s">
        <v>689</v>
      </c>
      <c r="H658" s="25" t="n">
        <v>10</v>
      </c>
      <c r="I658" s="5" t="s">
        <v>227</v>
      </c>
      <c r="J658" s="24" t="s">
        <v>690</v>
      </c>
      <c r="K658" s="24" t="s">
        <v>109</v>
      </c>
      <c r="L658" s="26" t="s">
        <v>110</v>
      </c>
    </row>
    <row r="659" customFormat="false" ht="15" hidden="false" customHeight="false" outlineLevel="0" collapsed="false">
      <c r="A659" s="27" t="s">
        <v>1996</v>
      </c>
      <c r="B659" s="28" t="s">
        <v>1997</v>
      </c>
      <c r="C659" s="33" t="n">
        <v>-181</v>
      </c>
      <c r="D659" s="28" t="s">
        <v>103</v>
      </c>
      <c r="E659" s="28" t="s">
        <v>160</v>
      </c>
      <c r="F659" s="30" t="s">
        <v>1998</v>
      </c>
      <c r="G659" s="28" t="s">
        <v>689</v>
      </c>
      <c r="H659" s="31" t="n">
        <v>24</v>
      </c>
      <c r="I659" s="28" t="s">
        <v>117</v>
      </c>
      <c r="J659" s="30" t="s">
        <v>690</v>
      </c>
      <c r="K659" s="30" t="s">
        <v>109</v>
      </c>
      <c r="L659" s="32" t="s">
        <v>110</v>
      </c>
    </row>
    <row r="660" customFormat="false" ht="15" hidden="false" customHeight="false" outlineLevel="0" collapsed="false">
      <c r="A660" s="22" t="s">
        <v>1999</v>
      </c>
      <c r="B660" s="5" t="s">
        <v>2000</v>
      </c>
      <c r="C660" s="23" t="n">
        <v>-652</v>
      </c>
      <c r="D660" s="5" t="s">
        <v>103</v>
      </c>
      <c r="E660" s="5" t="s">
        <v>160</v>
      </c>
      <c r="F660" s="24" t="s">
        <v>2001</v>
      </c>
      <c r="G660" s="5" t="s">
        <v>689</v>
      </c>
      <c r="H660" s="25" t="n">
        <v>27</v>
      </c>
      <c r="I660" s="5" t="s">
        <v>127</v>
      </c>
      <c r="J660" s="24" t="s">
        <v>690</v>
      </c>
      <c r="K660" s="24" t="s">
        <v>109</v>
      </c>
      <c r="L660" s="26" t="s">
        <v>110</v>
      </c>
    </row>
    <row r="661" customFormat="false" ht="15" hidden="false" customHeight="false" outlineLevel="0" collapsed="false">
      <c r="A661" s="27" t="s">
        <v>2002</v>
      </c>
      <c r="B661" s="28" t="s">
        <v>2003</v>
      </c>
      <c r="C661" s="29" t="n">
        <v>3.76</v>
      </c>
      <c r="D661" s="28" t="s">
        <v>299</v>
      </c>
      <c r="E661" s="28" t="s">
        <v>160</v>
      </c>
      <c r="F661" s="30" t="s">
        <v>2004</v>
      </c>
      <c r="G661" s="28" t="s">
        <v>689</v>
      </c>
      <c r="H661" s="31" t="n">
        <v>27</v>
      </c>
      <c r="I661" s="28" t="s">
        <v>107</v>
      </c>
      <c r="J661" s="30" t="s">
        <v>690</v>
      </c>
      <c r="K661" s="30" t="s">
        <v>109</v>
      </c>
      <c r="L661" s="32" t="s">
        <v>110</v>
      </c>
    </row>
    <row r="662" customFormat="false" ht="15" hidden="false" customHeight="false" outlineLevel="0" collapsed="false">
      <c r="A662" s="22" t="s">
        <v>2005</v>
      </c>
      <c r="B662" s="5" t="s">
        <v>2006</v>
      </c>
      <c r="C662" s="34" t="n">
        <v>9.5</v>
      </c>
      <c r="D662" s="5" t="s">
        <v>299</v>
      </c>
      <c r="E662" s="5" t="s">
        <v>160</v>
      </c>
      <c r="F662" s="24" t="s">
        <v>1980</v>
      </c>
      <c r="G662" s="5" t="s">
        <v>689</v>
      </c>
      <c r="H662" s="25" t="n">
        <v>22</v>
      </c>
      <c r="I662" s="5" t="s">
        <v>227</v>
      </c>
      <c r="J662" s="24" t="s">
        <v>690</v>
      </c>
      <c r="K662" s="24" t="s">
        <v>109</v>
      </c>
      <c r="L662" s="26" t="s">
        <v>110</v>
      </c>
    </row>
    <row r="663" customFormat="false" ht="15" hidden="false" customHeight="false" outlineLevel="0" collapsed="false">
      <c r="A663" s="27" t="s">
        <v>2007</v>
      </c>
      <c r="B663" s="28" t="s">
        <v>385</v>
      </c>
      <c r="C663" s="33" t="n">
        <v>75</v>
      </c>
      <c r="D663" s="28" t="s">
        <v>103</v>
      </c>
      <c r="E663" s="28" t="s">
        <v>160</v>
      </c>
      <c r="F663" s="30" t="s">
        <v>2008</v>
      </c>
      <c r="G663" s="28" t="s">
        <v>689</v>
      </c>
      <c r="H663" s="31" t="n">
        <v>29</v>
      </c>
      <c r="I663" s="28" t="s">
        <v>127</v>
      </c>
      <c r="J663" s="30" t="s">
        <v>690</v>
      </c>
      <c r="K663" s="30" t="s">
        <v>109</v>
      </c>
      <c r="L663" s="32" t="s">
        <v>110</v>
      </c>
    </row>
    <row r="664" customFormat="false" ht="15" hidden="false" customHeight="false" outlineLevel="0" collapsed="false">
      <c r="A664" s="22" t="s">
        <v>2009</v>
      </c>
      <c r="B664" s="5" t="s">
        <v>2010</v>
      </c>
      <c r="C664" s="23" t="n">
        <v>178</v>
      </c>
      <c r="D664" s="5" t="s">
        <v>103</v>
      </c>
      <c r="E664" s="5" t="s">
        <v>160</v>
      </c>
      <c r="F664" s="24" t="s">
        <v>2011</v>
      </c>
      <c r="G664" s="5" t="s">
        <v>689</v>
      </c>
      <c r="H664" s="25" t="n">
        <v>24</v>
      </c>
      <c r="I664" s="5" t="s">
        <v>117</v>
      </c>
      <c r="J664" s="24" t="s">
        <v>690</v>
      </c>
      <c r="K664" s="24" t="s">
        <v>109</v>
      </c>
      <c r="L664" s="26" t="s">
        <v>110</v>
      </c>
    </row>
    <row r="665" customFormat="false" ht="15" hidden="false" customHeight="false" outlineLevel="0" collapsed="false">
      <c r="A665" s="27" t="s">
        <v>2012</v>
      </c>
      <c r="B665" s="28" t="s">
        <v>2013</v>
      </c>
      <c r="C665" s="33" t="n">
        <v>663</v>
      </c>
      <c r="D665" s="28" t="s">
        <v>103</v>
      </c>
      <c r="E665" s="28" t="s">
        <v>160</v>
      </c>
      <c r="F665" s="30" t="s">
        <v>1991</v>
      </c>
      <c r="G665" s="28" t="s">
        <v>689</v>
      </c>
      <c r="H665" s="31" t="n">
        <v>29</v>
      </c>
      <c r="I665" s="28" t="s">
        <v>127</v>
      </c>
      <c r="J665" s="30" t="s">
        <v>690</v>
      </c>
      <c r="K665" s="30" t="s">
        <v>109</v>
      </c>
      <c r="L665" s="32" t="s">
        <v>110</v>
      </c>
    </row>
    <row r="666" customFormat="false" ht="15" hidden="false" customHeight="false" outlineLevel="0" collapsed="false">
      <c r="A666" s="22" t="s">
        <v>2014</v>
      </c>
      <c r="B666" s="5" t="s">
        <v>2015</v>
      </c>
      <c r="C666" s="23" t="n">
        <v>-912</v>
      </c>
      <c r="D666" s="5" t="s">
        <v>103</v>
      </c>
      <c r="E666" s="5" t="s">
        <v>160</v>
      </c>
      <c r="F666" s="24" t="s">
        <v>2016</v>
      </c>
      <c r="G666" s="5" t="s">
        <v>689</v>
      </c>
      <c r="H666" s="25" t="n">
        <v>24</v>
      </c>
      <c r="I666" s="5" t="s">
        <v>117</v>
      </c>
      <c r="J666" s="24" t="s">
        <v>690</v>
      </c>
      <c r="K666" s="24" t="s">
        <v>109</v>
      </c>
      <c r="L666" s="26" t="s">
        <v>110</v>
      </c>
    </row>
    <row r="667" customFormat="false" ht="15" hidden="false" customHeight="false" outlineLevel="0" collapsed="false">
      <c r="A667" s="27" t="s">
        <v>2017</v>
      </c>
      <c r="B667" s="28" t="s">
        <v>2018</v>
      </c>
      <c r="C667" s="33" t="n">
        <v>-135</v>
      </c>
      <c r="D667" s="28" t="s">
        <v>103</v>
      </c>
      <c r="E667" s="28" t="s">
        <v>160</v>
      </c>
      <c r="F667" s="30" t="s">
        <v>2019</v>
      </c>
      <c r="G667" s="28" t="s">
        <v>689</v>
      </c>
      <c r="H667" s="31" t="n">
        <v>24</v>
      </c>
      <c r="I667" s="28" t="s">
        <v>117</v>
      </c>
      <c r="J667" s="30" t="s">
        <v>690</v>
      </c>
      <c r="K667" s="30" t="s">
        <v>109</v>
      </c>
      <c r="L667" s="32" t="s">
        <v>110</v>
      </c>
    </row>
    <row r="668" customFormat="false" ht="15" hidden="false" customHeight="false" outlineLevel="0" collapsed="false">
      <c r="A668" s="22" t="s">
        <v>2020</v>
      </c>
      <c r="B668" s="5" t="s">
        <v>2021</v>
      </c>
      <c r="C668" s="23" t="n">
        <v>204</v>
      </c>
      <c r="D668" s="5" t="s">
        <v>103</v>
      </c>
      <c r="E668" s="5" t="s">
        <v>160</v>
      </c>
      <c r="F668" s="24" t="s">
        <v>2022</v>
      </c>
      <c r="G668" s="5" t="s">
        <v>689</v>
      </c>
      <c r="H668" s="25" t="n">
        <v>29</v>
      </c>
      <c r="I668" s="5" t="s">
        <v>127</v>
      </c>
      <c r="J668" s="24" t="s">
        <v>690</v>
      </c>
      <c r="K668" s="24" t="s">
        <v>109</v>
      </c>
      <c r="L668" s="26" t="s">
        <v>110</v>
      </c>
    </row>
    <row r="669" customFormat="false" ht="15" hidden="false" customHeight="false" outlineLevel="0" collapsed="false">
      <c r="A669" s="27" t="s">
        <v>2023</v>
      </c>
      <c r="B669" s="28" t="s">
        <v>102</v>
      </c>
      <c r="C669" s="33" t="n">
        <v>6543</v>
      </c>
      <c r="D669" s="28" t="s">
        <v>103</v>
      </c>
      <c r="E669" s="28" t="s">
        <v>546</v>
      </c>
      <c r="F669" s="30" t="s">
        <v>2024</v>
      </c>
      <c r="G669" s="28" t="s">
        <v>689</v>
      </c>
      <c r="H669" s="31" t="n">
        <v>20</v>
      </c>
      <c r="I669" s="28" t="s">
        <v>107</v>
      </c>
      <c r="J669" s="30" t="s">
        <v>690</v>
      </c>
      <c r="K669" s="30" t="s">
        <v>109</v>
      </c>
      <c r="L669" s="32" t="s">
        <v>110</v>
      </c>
    </row>
    <row r="670" customFormat="false" ht="15" hidden="false" customHeight="false" outlineLevel="0" collapsed="false">
      <c r="A670" s="22" t="s">
        <v>2025</v>
      </c>
      <c r="B670" s="5" t="s">
        <v>2026</v>
      </c>
      <c r="C670" s="34" t="n">
        <v>7.1</v>
      </c>
      <c r="D670" s="5" t="s">
        <v>299</v>
      </c>
      <c r="E670" s="5" t="s">
        <v>160</v>
      </c>
      <c r="F670" s="24" t="s">
        <v>1995</v>
      </c>
      <c r="G670" s="5" t="s">
        <v>689</v>
      </c>
      <c r="H670" s="25" t="n">
        <v>22</v>
      </c>
      <c r="I670" s="5" t="s">
        <v>227</v>
      </c>
      <c r="J670" s="24" t="s">
        <v>690</v>
      </c>
      <c r="K670" s="24" t="s">
        <v>109</v>
      </c>
      <c r="L670" s="26" t="s">
        <v>110</v>
      </c>
    </row>
    <row r="671" customFormat="false" ht="15" hidden="false" customHeight="false" outlineLevel="0" collapsed="false">
      <c r="A671" s="27" t="s">
        <v>2027</v>
      </c>
      <c r="B671" s="28" t="s">
        <v>2028</v>
      </c>
      <c r="C671" s="29" t="n">
        <v>2.13</v>
      </c>
      <c r="D671" s="28" t="s">
        <v>206</v>
      </c>
      <c r="E671" s="28" t="s">
        <v>160</v>
      </c>
      <c r="F671" s="30" t="s">
        <v>2029</v>
      </c>
      <c r="G671" s="28" t="s">
        <v>689</v>
      </c>
      <c r="H671" s="31" t="n">
        <v>27</v>
      </c>
      <c r="I671" s="28" t="s">
        <v>127</v>
      </c>
      <c r="J671" s="30" t="s">
        <v>690</v>
      </c>
      <c r="K671" s="30" t="s">
        <v>109</v>
      </c>
      <c r="L671" s="32" t="s">
        <v>110</v>
      </c>
    </row>
    <row r="672" customFormat="false" ht="15" hidden="false" customHeight="false" outlineLevel="0" collapsed="false">
      <c r="A672" s="22" t="s">
        <v>2030</v>
      </c>
      <c r="B672" s="5" t="s">
        <v>2031</v>
      </c>
      <c r="C672" s="23" t="n">
        <v>185</v>
      </c>
      <c r="D672" s="5" t="s">
        <v>103</v>
      </c>
      <c r="E672" s="5" t="s">
        <v>160</v>
      </c>
      <c r="F672" s="24" t="s">
        <v>2032</v>
      </c>
      <c r="G672" s="5" t="s">
        <v>689</v>
      </c>
      <c r="H672" s="25" t="n">
        <v>29</v>
      </c>
      <c r="I672" s="5" t="s">
        <v>127</v>
      </c>
      <c r="J672" s="24" t="s">
        <v>690</v>
      </c>
      <c r="K672" s="24" t="s">
        <v>109</v>
      </c>
      <c r="L672" s="26" t="s">
        <v>110</v>
      </c>
    </row>
    <row r="673" customFormat="false" ht="15" hidden="false" customHeight="false" outlineLevel="0" collapsed="false">
      <c r="A673" s="27" t="s">
        <v>2033</v>
      </c>
      <c r="B673" s="28" t="s">
        <v>2034</v>
      </c>
      <c r="C673" s="33" t="n">
        <v>500</v>
      </c>
      <c r="D673" s="28" t="s">
        <v>103</v>
      </c>
      <c r="E673" s="28" t="s">
        <v>160</v>
      </c>
      <c r="F673" s="30" t="s">
        <v>970</v>
      </c>
      <c r="G673" s="28" t="s">
        <v>689</v>
      </c>
      <c r="H673" s="31" t="n">
        <v>31</v>
      </c>
      <c r="I673" s="28" t="s">
        <v>107</v>
      </c>
      <c r="J673" s="30" t="s">
        <v>690</v>
      </c>
      <c r="K673" s="30" t="s">
        <v>109</v>
      </c>
      <c r="L673" s="32" t="s">
        <v>110</v>
      </c>
    </row>
    <row r="674" customFormat="false" ht="15" hidden="false" customHeight="false" outlineLevel="0" collapsed="false">
      <c r="A674" s="22" t="s">
        <v>2035</v>
      </c>
      <c r="B674" s="5" t="s">
        <v>2036</v>
      </c>
      <c r="C674" s="34" t="n">
        <v>3.571</v>
      </c>
      <c r="D674" s="5" t="s">
        <v>299</v>
      </c>
      <c r="E674" s="5" t="s">
        <v>160</v>
      </c>
      <c r="F674" s="24" t="s">
        <v>2037</v>
      </c>
      <c r="G674" s="5" t="s">
        <v>689</v>
      </c>
      <c r="H674" s="25" t="n">
        <v>31</v>
      </c>
      <c r="I674" s="5" t="s">
        <v>107</v>
      </c>
      <c r="J674" s="24" t="s">
        <v>690</v>
      </c>
      <c r="K674" s="24" t="s">
        <v>109</v>
      </c>
      <c r="L674" s="26" t="s">
        <v>110</v>
      </c>
    </row>
    <row r="675" customFormat="false" ht="15" hidden="false" customHeight="false" outlineLevel="0" collapsed="false">
      <c r="A675" s="27" t="s">
        <v>2038</v>
      </c>
      <c r="B675" s="28" t="s">
        <v>517</v>
      </c>
      <c r="C675" s="33" t="n">
        <v>97</v>
      </c>
      <c r="D675" s="28" t="s">
        <v>299</v>
      </c>
      <c r="E675" s="28" t="s">
        <v>193</v>
      </c>
      <c r="F675" s="30" t="s">
        <v>2039</v>
      </c>
      <c r="G675" s="28" t="s">
        <v>689</v>
      </c>
      <c r="H675" s="31" t="n">
        <v>31</v>
      </c>
      <c r="I675" s="28" t="s">
        <v>107</v>
      </c>
      <c r="J675" s="30" t="s">
        <v>690</v>
      </c>
      <c r="K675" s="30" t="s">
        <v>109</v>
      </c>
      <c r="L675" s="32" t="s">
        <v>110</v>
      </c>
    </row>
  </sheetData>
  <autoFilter ref="A5:L675"/>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5390625" defaultRowHeight="15" customHeight="true" zeroHeight="false" outlineLevelRow="0" outlineLevelCol="0"/>
  <cols>
    <col collapsed="false" customWidth="true" hidden="false" outlineLevel="0" max="1" min="1" style="0" width="8"/>
    <col collapsed="false" customWidth="true" hidden="false" outlineLevel="0" max="2" min="2" style="0" width="44"/>
    <col collapsed="false" customWidth="true" hidden="false" outlineLevel="0" max="5" min="3" style="0" width="11"/>
    <col collapsed="false" customWidth="true" hidden="false" outlineLevel="0" max="6" min="6" style="0" width="9"/>
    <col collapsed="false" customWidth="true" hidden="false" outlineLevel="0" max="7" min="7" style="0" width="78"/>
    <col collapsed="false" customWidth="true" hidden="false" outlineLevel="0" max="8" min="8" style="0" width="22"/>
    <col collapsed="false" customWidth="true" hidden="false" outlineLevel="0" max="9" min="9" style="0" width="9"/>
    <col collapsed="false" customWidth="true" hidden="false" outlineLevel="0" max="10" min="10" style="0" width="13"/>
  </cols>
  <sheetData>
    <row r="1" customFormat="false" ht="17.35" hidden="false" customHeight="false" outlineLevel="0" collapsed="false">
      <c r="A1" s="1" t="s">
        <v>2040</v>
      </c>
      <c r="B1" s="2"/>
      <c r="C1" s="2"/>
      <c r="D1" s="2"/>
      <c r="E1" s="2"/>
      <c r="F1" s="2"/>
      <c r="G1" s="2"/>
      <c r="H1" s="2"/>
      <c r="I1" s="2"/>
      <c r="J1" s="2"/>
    </row>
    <row r="2" customFormat="false" ht="15" hidden="false" customHeight="false" outlineLevel="0" collapsed="false">
      <c r="A2" s="3" t="s">
        <v>2041</v>
      </c>
      <c r="B2" s="2"/>
      <c r="C2" s="2"/>
      <c r="D2" s="2"/>
      <c r="E2" s="2"/>
      <c r="F2" s="2"/>
      <c r="G2" s="2"/>
      <c r="H2" s="2"/>
      <c r="I2" s="2"/>
      <c r="J2" s="2"/>
    </row>
    <row r="3" customFormat="false" ht="15" hidden="false" customHeight="false" outlineLevel="0" collapsed="false">
      <c r="A3" s="37" t="str">
        <f aca="false">"Scénario actif : "&amp;IF(COUNTIF($I$5:$I$27,"Bas")+COUNTIF($I$5:$I$27,"Haut")=0,"base partout",COUNTIF($I$5:$I$27,"Bas")+COUNTIF($I$5:$I$27,"Haut")&amp;" hypothèse(s) hors base")</f>
        <v>Scénario actif : base partout</v>
      </c>
      <c r="B3" s="2"/>
      <c r="C3" s="2"/>
      <c r="D3" s="2"/>
      <c r="E3" s="2"/>
      <c r="F3" s="2"/>
      <c r="G3" s="2"/>
      <c r="H3" s="2"/>
      <c r="I3" s="2"/>
      <c r="J3" s="2"/>
    </row>
    <row r="4" customFormat="false" ht="15" hidden="false" customHeight="false" outlineLevel="0" collapsed="false">
      <c r="A4" s="21" t="s">
        <v>2042</v>
      </c>
      <c r="B4" s="21" t="s">
        <v>2043</v>
      </c>
      <c r="C4" s="21" t="s">
        <v>2044</v>
      </c>
      <c r="D4" s="21" t="s">
        <v>2045</v>
      </c>
      <c r="E4" s="21" t="s">
        <v>2046</v>
      </c>
      <c r="F4" s="21" t="s">
        <v>93</v>
      </c>
      <c r="G4" s="21" t="s">
        <v>2047</v>
      </c>
      <c r="H4" s="21" t="s">
        <v>2048</v>
      </c>
      <c r="I4" s="21" t="s">
        <v>55</v>
      </c>
      <c r="J4" s="21" t="s">
        <v>2049</v>
      </c>
    </row>
    <row r="5" customFormat="false" ht="30" hidden="false" customHeight="true" outlineLevel="0" collapsed="false">
      <c r="A5" s="22" t="s">
        <v>2050</v>
      </c>
      <c r="B5" s="38" t="s">
        <v>2051</v>
      </c>
      <c r="C5" s="39" t="n">
        <f aca="false">AVERAGE(Entrées!$C$92,Entrées!$C$93)/100</f>
        <v>0.055</v>
      </c>
      <c r="D5" s="39" t="n">
        <f aca="false">Entrées!$C$92/100</f>
        <v>0.05</v>
      </c>
      <c r="E5" s="39" t="n">
        <f aca="false">Entrées!$C$93/100</f>
        <v>0.06</v>
      </c>
      <c r="F5" s="5" t="s">
        <v>299</v>
      </c>
      <c r="G5" s="38" t="s">
        <v>2052</v>
      </c>
      <c r="H5" s="24" t="s">
        <v>2053</v>
      </c>
      <c r="I5" s="40" t="s">
        <v>2044</v>
      </c>
      <c r="J5" s="41" t="n">
        <f aca="false">IF(AND(I5="Bas",ISNUMBER(D5)),D5,IF(AND(I5="Haut",ISNUMBER(E5)),E5,C5))</f>
        <v>0.055</v>
      </c>
    </row>
    <row r="6" customFormat="false" ht="30" hidden="false" customHeight="true" outlineLevel="0" collapsed="false">
      <c r="A6" s="22" t="s">
        <v>2054</v>
      </c>
      <c r="B6" s="38" t="s">
        <v>2055</v>
      </c>
      <c r="C6" s="42" t="n">
        <f aca="false">C5</f>
        <v>0.055</v>
      </c>
      <c r="D6" s="43" t="n">
        <v>0.04</v>
      </c>
      <c r="E6" s="43" t="n">
        <v>0.07</v>
      </c>
      <c r="F6" s="5" t="s">
        <v>299</v>
      </c>
      <c r="G6" s="38" t="s">
        <v>2056</v>
      </c>
      <c r="H6" s="24" t="s">
        <v>2057</v>
      </c>
      <c r="I6" s="40" t="s">
        <v>2044</v>
      </c>
      <c r="J6" s="41" t="n">
        <f aca="false">IF(AND(I6="Bas",ISNUMBER(D6)),D6,IF(AND(I6="Haut",ISNUMBER(E6)),E6,C6))</f>
        <v>0.055</v>
      </c>
    </row>
    <row r="7" customFormat="false" ht="30" hidden="false" customHeight="true" outlineLevel="0" collapsed="false">
      <c r="A7" s="22" t="s">
        <v>2058</v>
      </c>
      <c r="B7" s="38" t="s">
        <v>2059</v>
      </c>
      <c r="C7" s="44" t="n">
        <f aca="false">Entrées!$C$56</f>
        <v>200</v>
      </c>
      <c r="D7" s="44" t="n">
        <f aca="false">Entrées!$C$56*0.9</f>
        <v>180</v>
      </c>
      <c r="E7" s="44" t="n">
        <f aca="false">Entrées!$C$56*1.1</f>
        <v>220</v>
      </c>
      <c r="F7" s="5" t="s">
        <v>249</v>
      </c>
      <c r="G7" s="38" t="s">
        <v>2060</v>
      </c>
      <c r="H7" s="24" t="s">
        <v>290</v>
      </c>
      <c r="I7" s="40" t="s">
        <v>2044</v>
      </c>
      <c r="J7" s="45" t="n">
        <f aca="false">IF(AND(I7="Bas",ISNUMBER(D7)),D7,IF(AND(I7="Haut",ISNUMBER(E7)),E7,C7))</f>
        <v>200</v>
      </c>
    </row>
    <row r="8" customFormat="false" ht="30" hidden="false" customHeight="true" outlineLevel="0" collapsed="false">
      <c r="A8" s="22" t="s">
        <v>2061</v>
      </c>
      <c r="B8" s="38" t="s">
        <v>2062</v>
      </c>
      <c r="C8" s="43" t="n">
        <v>0.25</v>
      </c>
      <c r="D8" s="43" t="n">
        <v>0</v>
      </c>
      <c r="E8" s="43" t="n">
        <v>0.5</v>
      </c>
      <c r="F8" s="5" t="s">
        <v>299</v>
      </c>
      <c r="G8" s="38" t="s">
        <v>2063</v>
      </c>
      <c r="H8" s="24" t="s">
        <v>282</v>
      </c>
      <c r="I8" s="40" t="s">
        <v>2044</v>
      </c>
      <c r="J8" s="41" t="n">
        <f aca="false">IF(AND(I8="Bas",ISNUMBER(D8)),D8,IF(AND(I8="Haut",ISNUMBER(E8)),E8,C8))</f>
        <v>0.25</v>
      </c>
    </row>
    <row r="9" customFormat="false" ht="30" hidden="false" customHeight="true" outlineLevel="0" collapsed="false">
      <c r="A9" s="22" t="s">
        <v>2064</v>
      </c>
      <c r="B9" s="38" t="s">
        <v>2065</v>
      </c>
      <c r="C9" s="44" t="n">
        <f aca="false">Entrées!$C$34-Entrées!$C$75</f>
        <v>1629</v>
      </c>
      <c r="D9" s="46" t="n">
        <f aca="false">C9*0.8</f>
        <v>1303.2</v>
      </c>
      <c r="E9" s="46" t="n">
        <f aca="false">C9*1.1</f>
        <v>1791.9</v>
      </c>
      <c r="F9" s="5" t="s">
        <v>103</v>
      </c>
      <c r="G9" s="38" t="s">
        <v>2066</v>
      </c>
      <c r="H9" s="24" t="s">
        <v>2067</v>
      </c>
      <c r="I9" s="40" t="s">
        <v>2044</v>
      </c>
      <c r="J9" s="45" t="n">
        <f aca="false">IF(AND(I9="Bas",ISNUMBER(D9)),D9,IF(AND(I9="Haut",ISNUMBER(E9)),E9,C9))</f>
        <v>1629</v>
      </c>
    </row>
    <row r="10" customFormat="false" ht="30" hidden="false" customHeight="true" outlineLevel="0" collapsed="false">
      <c r="A10" s="22" t="s">
        <v>2068</v>
      </c>
      <c r="B10" s="38" t="s">
        <v>2069</v>
      </c>
      <c r="C10" s="39" t="n">
        <f aca="false">AVERAGE(Entrées!$C$18/Entrées!$C$22,Entrées!$C$34/Entrées!$C$8)</f>
        <v>0.168696364464616</v>
      </c>
      <c r="D10" s="43" t="n">
        <v>0.14</v>
      </c>
      <c r="E10" s="43" t="n">
        <v>0.19</v>
      </c>
      <c r="F10" s="5" t="s">
        <v>299</v>
      </c>
      <c r="G10" s="38" t="s">
        <v>2070</v>
      </c>
      <c r="H10" s="24" t="s">
        <v>2071</v>
      </c>
      <c r="I10" s="40" t="s">
        <v>2044</v>
      </c>
      <c r="J10" s="41" t="n">
        <f aca="false">IF(AND(I10="Bas",ISNUMBER(D10)),D10,IF(AND(I10="Haut",ISNUMBER(E10)),E10,C10))</f>
        <v>0.168696364464616</v>
      </c>
    </row>
    <row r="11" customFormat="false" ht="30" hidden="false" customHeight="true" outlineLevel="0" collapsed="false">
      <c r="A11" s="22" t="s">
        <v>2072</v>
      </c>
      <c r="B11" s="38" t="s">
        <v>2073</v>
      </c>
      <c r="C11" s="39" t="n">
        <f aca="false">Entrées!$C$94/100</f>
        <v>0.08</v>
      </c>
      <c r="D11" s="43" t="n">
        <v>0.04</v>
      </c>
      <c r="E11" s="43" t="n">
        <v>0.12</v>
      </c>
      <c r="F11" s="5" t="s">
        <v>299</v>
      </c>
      <c r="G11" s="38" t="s">
        <v>2074</v>
      </c>
      <c r="H11" s="24" t="s">
        <v>402</v>
      </c>
      <c r="I11" s="40" t="s">
        <v>2044</v>
      </c>
      <c r="J11" s="41" t="n">
        <f aca="false">IF(AND(I11="Bas",ISNUMBER(D11)),D11,IF(AND(I11="Haut",ISNUMBER(E11)),E11,C11))</f>
        <v>0.08</v>
      </c>
    </row>
    <row r="12" customFormat="false" ht="30" hidden="false" customHeight="true" outlineLevel="0" collapsed="false">
      <c r="A12" s="22" t="s">
        <v>2075</v>
      </c>
      <c r="B12" s="38" t="s">
        <v>2076</v>
      </c>
      <c r="C12" s="43" t="n">
        <v>0.5</v>
      </c>
      <c r="D12" s="43" t="n">
        <v>0</v>
      </c>
      <c r="E12" s="43" t="n">
        <v>1</v>
      </c>
      <c r="F12" s="5" t="s">
        <v>299</v>
      </c>
      <c r="G12" s="38" t="s">
        <v>2077</v>
      </c>
      <c r="H12" s="24" t="s">
        <v>218</v>
      </c>
      <c r="I12" s="40" t="s">
        <v>2044</v>
      </c>
      <c r="J12" s="41" t="n">
        <f aca="false">IF(AND(I12="Bas",ISNUMBER(D12)),D12,IF(AND(I12="Haut",ISNUMBER(E12)),E12,C12))</f>
        <v>0.5</v>
      </c>
    </row>
    <row r="13" customFormat="false" ht="30" hidden="false" customHeight="true" outlineLevel="0" collapsed="false">
      <c r="A13" s="22" t="s">
        <v>2078</v>
      </c>
      <c r="B13" s="38" t="s">
        <v>2079</v>
      </c>
      <c r="C13" s="43" t="n">
        <v>0.5</v>
      </c>
      <c r="D13" s="43" t="n">
        <v>0</v>
      </c>
      <c r="E13" s="43" t="n">
        <v>1</v>
      </c>
      <c r="F13" s="5" t="s">
        <v>299</v>
      </c>
      <c r="G13" s="38" t="s">
        <v>2080</v>
      </c>
      <c r="H13" s="24" t="s">
        <v>197</v>
      </c>
      <c r="I13" s="40" t="s">
        <v>2044</v>
      </c>
      <c r="J13" s="41" t="n">
        <f aca="false">IF(AND(I13="Bas",ISNUMBER(D13)),D13,IF(AND(I13="Haut",ISNUMBER(E13)),E13,C13))</f>
        <v>0.5</v>
      </c>
    </row>
    <row r="14" customFormat="false" ht="30" hidden="false" customHeight="true" outlineLevel="0" collapsed="false">
      <c r="A14" s="22" t="s">
        <v>2081</v>
      </c>
      <c r="B14" s="38" t="s">
        <v>2082</v>
      </c>
      <c r="C14" s="47" t="n">
        <v>10</v>
      </c>
      <c r="D14" s="47" t="n">
        <v>8</v>
      </c>
      <c r="E14" s="47" t="n">
        <v>12</v>
      </c>
      <c r="F14" s="5" t="s">
        <v>133</v>
      </c>
      <c r="G14" s="38" t="s">
        <v>2083</v>
      </c>
      <c r="H14" s="24" t="s">
        <v>2057</v>
      </c>
      <c r="I14" s="40" t="s">
        <v>2044</v>
      </c>
      <c r="J14" s="48" t="n">
        <f aca="false">IF(AND(I14="Bas",ISNUMBER(D14)),D14,IF(AND(I14="Haut",ISNUMBER(E14)),E14,C14))</f>
        <v>10</v>
      </c>
    </row>
    <row r="15" customFormat="false" ht="30" hidden="false" customHeight="true" outlineLevel="0" collapsed="false">
      <c r="A15" s="22" t="s">
        <v>2084</v>
      </c>
      <c r="B15" s="38" t="s">
        <v>2085</v>
      </c>
      <c r="C15" s="49" t="n">
        <f aca="false">Entrées!$C$10</f>
        <v>0.5</v>
      </c>
      <c r="D15" s="50" t="n">
        <v>0</v>
      </c>
      <c r="E15" s="49" t="n">
        <f aca="false">Entrées!$C$26</f>
        <v>1</v>
      </c>
      <c r="F15" s="5" t="s">
        <v>130</v>
      </c>
      <c r="G15" s="38" t="s">
        <v>2086</v>
      </c>
      <c r="H15" s="24" t="s">
        <v>2087</v>
      </c>
      <c r="I15" s="40" t="s">
        <v>2044</v>
      </c>
      <c r="J15" s="51" t="n">
        <f aca="false">IF(AND(I15="Bas",ISNUMBER(D15)),D15,IF(AND(I15="Haut",ISNUMBER(E15)),E15,C15))</f>
        <v>0.5</v>
      </c>
    </row>
    <row r="16" customFormat="false" ht="30" hidden="false" customHeight="true" outlineLevel="0" collapsed="false">
      <c r="A16" s="22" t="s">
        <v>2088</v>
      </c>
      <c r="B16" s="38" t="s">
        <v>2089</v>
      </c>
      <c r="C16" s="39" t="n">
        <f aca="false">Entrées!$C$249/Entrées!$C$8</f>
        <v>0.731914893617021</v>
      </c>
      <c r="D16" s="42" t="n">
        <f aca="false">C16*0.95</f>
        <v>0.69531914893617</v>
      </c>
      <c r="E16" s="42" t="n">
        <f aca="false">C16*1.03</f>
        <v>0.753872340425532</v>
      </c>
      <c r="F16" s="5" t="s">
        <v>299</v>
      </c>
      <c r="G16" s="38" t="s">
        <v>2090</v>
      </c>
      <c r="H16" s="24" t="s">
        <v>2091</v>
      </c>
      <c r="I16" s="40" t="s">
        <v>2044</v>
      </c>
      <c r="J16" s="41" t="n">
        <f aca="false">IF(AND(I16="Bas",ISNUMBER(D16)),D16,IF(AND(I16="Haut",ISNUMBER(E16)),E16,C16))</f>
        <v>0.731914893617021</v>
      </c>
    </row>
    <row r="17" customFormat="false" ht="30" hidden="false" customHeight="true" outlineLevel="0" collapsed="false">
      <c r="A17" s="2"/>
      <c r="B17" s="2"/>
      <c r="C17" s="2"/>
      <c r="D17" s="2"/>
      <c r="E17" s="2"/>
      <c r="F17" s="2"/>
      <c r="G17" s="2"/>
      <c r="H17" s="2"/>
      <c r="I17" s="2"/>
      <c r="J17" s="2"/>
    </row>
    <row r="18" customFormat="false" ht="30" hidden="false" customHeight="true" outlineLevel="0" collapsed="false">
      <c r="A18" s="22" t="s">
        <v>2092</v>
      </c>
      <c r="B18" s="2"/>
      <c r="C18" s="2"/>
      <c r="D18" s="2"/>
      <c r="E18" s="2"/>
      <c r="F18" s="2"/>
      <c r="G18" s="2"/>
      <c r="H18" s="2"/>
      <c r="I18" s="2"/>
      <c r="J18" s="2"/>
    </row>
    <row r="19" customFormat="false" ht="30" hidden="false" customHeight="true" outlineLevel="0" collapsed="false">
      <c r="A19" s="22" t="s">
        <v>2093</v>
      </c>
      <c r="B19" s="38" t="s">
        <v>2094</v>
      </c>
      <c r="C19" s="52" t="n">
        <f aca="false">Entrées!$C$45/Entrées!$C$46</f>
        <v>1.17584579071597</v>
      </c>
      <c r="D19" s="53" t="s">
        <v>2057</v>
      </c>
      <c r="E19" s="53" t="s">
        <v>2057</v>
      </c>
      <c r="F19" s="5" t="s">
        <v>2095</v>
      </c>
      <c r="G19" s="38" t="s">
        <v>2096</v>
      </c>
      <c r="H19" s="24" t="s">
        <v>2097</v>
      </c>
      <c r="I19" s="40" t="s">
        <v>2044</v>
      </c>
      <c r="J19" s="54" t="n">
        <f aca="false">IF(AND(I19="Bas",ISNUMBER(D19)),D19,IF(AND(I19="Haut",ISNUMBER(E19)),E19,C19))</f>
        <v>1.17584579071597</v>
      </c>
    </row>
    <row r="20" customFormat="false" ht="30" hidden="false" customHeight="true" outlineLevel="0" collapsed="false">
      <c r="A20" s="22" t="s">
        <v>2098</v>
      </c>
      <c r="B20" s="38" t="s">
        <v>2099</v>
      </c>
      <c r="C20" s="44" t="n">
        <f aca="false">-Entrées!$C$77-Entrées!$C$79</f>
        <v>295</v>
      </c>
      <c r="D20" s="53" t="s">
        <v>2057</v>
      </c>
      <c r="E20" s="53" t="s">
        <v>2057</v>
      </c>
      <c r="F20" s="5" t="s">
        <v>103</v>
      </c>
      <c r="G20" s="38" t="s">
        <v>2100</v>
      </c>
      <c r="H20" s="24" t="s">
        <v>2101</v>
      </c>
      <c r="I20" s="40" t="s">
        <v>2044</v>
      </c>
      <c r="J20" s="45" t="n">
        <f aca="false">IF(AND(I20="Bas",ISNUMBER(D20)),D20,IF(AND(I20="Haut",ISNUMBER(E20)),E20,C20))</f>
        <v>295</v>
      </c>
    </row>
    <row r="21" customFormat="false" ht="30" hidden="false" customHeight="true" outlineLevel="0" collapsed="false">
      <c r="A21" s="22" t="s">
        <v>2102</v>
      </c>
      <c r="B21" s="38" t="s">
        <v>2103</v>
      </c>
      <c r="C21" s="55" t="n">
        <f aca="false">Entrées!$C$53</f>
        <v>9.8</v>
      </c>
      <c r="D21" s="55" t="n">
        <f aca="false">Entrées!$C$450</f>
        <v>7.4</v>
      </c>
      <c r="E21" s="55" t="n">
        <f aca="false">Entrées!$C$478</f>
        <v>11</v>
      </c>
      <c r="F21" s="5" t="s">
        <v>133</v>
      </c>
      <c r="G21" s="38" t="s">
        <v>2104</v>
      </c>
      <c r="H21" s="24" t="s">
        <v>278</v>
      </c>
      <c r="I21" s="40" t="s">
        <v>2044</v>
      </c>
      <c r="J21" s="48" t="n">
        <f aca="false">IF(AND(I21="Bas",ISNUMBER(D21)),D21,IF(AND(I21="Haut",ISNUMBER(E21)),E21,C21))</f>
        <v>9.8</v>
      </c>
    </row>
    <row r="22" customFormat="false" ht="30" hidden="false" customHeight="true" outlineLevel="0" collapsed="false">
      <c r="A22" s="22" t="s">
        <v>2105</v>
      </c>
      <c r="B22" s="38" t="s">
        <v>2106</v>
      </c>
      <c r="C22" s="50" t="n">
        <v>0</v>
      </c>
      <c r="D22" s="53" t="s">
        <v>2057</v>
      </c>
      <c r="E22" s="53" t="s">
        <v>2057</v>
      </c>
      <c r="F22" s="5" t="s">
        <v>130</v>
      </c>
      <c r="G22" s="38" t="s">
        <v>2107</v>
      </c>
      <c r="H22" s="24" t="s">
        <v>2057</v>
      </c>
      <c r="I22" s="40" t="s">
        <v>2044</v>
      </c>
      <c r="J22" s="51" t="n">
        <f aca="false">IF(AND(I22="Bas",ISNUMBER(D22)),D22,IF(AND(I22="Haut",ISNUMBER(E22)),E22,C22))</f>
        <v>0</v>
      </c>
    </row>
    <row r="23" customFormat="false" ht="30" hidden="false" customHeight="true" outlineLevel="0" collapsed="false">
      <c r="A23" s="22" t="s">
        <v>2108</v>
      </c>
      <c r="B23" s="38" t="s">
        <v>2109</v>
      </c>
      <c r="C23" s="56" t="n">
        <v>0</v>
      </c>
      <c r="D23" s="53" t="s">
        <v>2057</v>
      </c>
      <c r="E23" s="53" t="s">
        <v>2057</v>
      </c>
      <c r="F23" s="5" t="s">
        <v>103</v>
      </c>
      <c r="G23" s="38" t="s">
        <v>2110</v>
      </c>
      <c r="H23" s="24" t="s">
        <v>2057</v>
      </c>
      <c r="I23" s="40" t="s">
        <v>2044</v>
      </c>
      <c r="J23" s="45" t="n">
        <f aca="false">IF(AND(I23="Bas",ISNUMBER(D23)),D23,IF(AND(I23="Haut",ISNUMBER(E23)),E23,C23))</f>
        <v>0</v>
      </c>
    </row>
    <row r="24" customFormat="false" ht="30" hidden="false" customHeight="true" outlineLevel="0" collapsed="false">
      <c r="A24" s="22" t="s">
        <v>2111</v>
      </c>
      <c r="B24" s="38" t="s">
        <v>2112</v>
      </c>
      <c r="C24" s="57" t="n">
        <v>7</v>
      </c>
      <c r="D24" s="53" t="s">
        <v>2057</v>
      </c>
      <c r="E24" s="53" t="s">
        <v>2057</v>
      </c>
      <c r="F24" s="5" t="s">
        <v>2113</v>
      </c>
      <c r="G24" s="38" t="s">
        <v>2114</v>
      </c>
      <c r="H24" s="24" t="s">
        <v>247</v>
      </c>
      <c r="I24" s="40" t="s">
        <v>2044</v>
      </c>
      <c r="J24" s="58" t="n">
        <f aca="false">IF(AND(I24="Bas",ISNUMBER(D24)),D24,IF(AND(I24="Haut",ISNUMBER(E24)),E24,C24))</f>
        <v>7</v>
      </c>
    </row>
    <row r="25" customFormat="false" ht="30" hidden="false" customHeight="true" outlineLevel="0" collapsed="false">
      <c r="A25" s="22" t="s">
        <v>2115</v>
      </c>
      <c r="B25" s="38" t="s">
        <v>2116</v>
      </c>
      <c r="C25" s="59" t="n">
        <f aca="false">Entrées!$C$55/4</f>
        <v>22.5</v>
      </c>
      <c r="D25" s="53" t="s">
        <v>2057</v>
      </c>
      <c r="E25" s="53" t="s">
        <v>2057</v>
      </c>
      <c r="F25" s="5" t="s">
        <v>249</v>
      </c>
      <c r="G25" s="38" t="s">
        <v>2117</v>
      </c>
      <c r="H25" s="24" t="s">
        <v>286</v>
      </c>
      <c r="I25" s="40" t="s">
        <v>2044</v>
      </c>
      <c r="J25" s="60" t="n">
        <f aca="false">IF(AND(I25="Bas",ISNUMBER(D25)),D25,IF(AND(I25="Haut",ISNUMBER(E25)),E25,C25))</f>
        <v>22.5</v>
      </c>
    </row>
    <row r="26" customFormat="false" ht="30" hidden="false" customHeight="true" outlineLevel="0" collapsed="false">
      <c r="A26" s="22" t="s">
        <v>2118</v>
      </c>
      <c r="B26" s="38" t="s">
        <v>2119</v>
      </c>
      <c r="C26" s="55" t="n">
        <f aca="false">Entrées!$C$61</f>
        <v>3</v>
      </c>
      <c r="D26" s="53" t="s">
        <v>2057</v>
      </c>
      <c r="E26" s="53" t="s">
        <v>2057</v>
      </c>
      <c r="F26" s="5" t="s">
        <v>133</v>
      </c>
      <c r="G26" s="38" t="s">
        <v>2120</v>
      </c>
      <c r="H26" s="24" t="s">
        <v>2121</v>
      </c>
      <c r="I26" s="40" t="s">
        <v>2044</v>
      </c>
      <c r="J26" s="48" t="n">
        <f aca="false">IF(AND(I26="Bas",ISNUMBER(D26)),D26,IF(AND(I26="Haut",ISNUMBER(E26)),E26,C26))</f>
        <v>3</v>
      </c>
    </row>
    <row r="27" customFormat="false" ht="30" hidden="false" customHeight="true" outlineLevel="0" collapsed="false">
      <c r="A27" s="22" t="s">
        <v>2122</v>
      </c>
      <c r="B27" s="38" t="s">
        <v>2123</v>
      </c>
      <c r="C27" s="43" t="n">
        <v>0.5</v>
      </c>
      <c r="D27" s="53" t="s">
        <v>2057</v>
      </c>
      <c r="E27" s="53" t="s">
        <v>2057</v>
      </c>
      <c r="F27" s="5" t="s">
        <v>299</v>
      </c>
      <c r="G27" s="38" t="s">
        <v>2124</v>
      </c>
      <c r="H27" s="24" t="s">
        <v>145</v>
      </c>
      <c r="I27" s="40" t="s">
        <v>2044</v>
      </c>
      <c r="J27" s="41" t="n">
        <f aca="false">IF(AND(I27="Bas",ISNUMBER(D27)),D27,IF(AND(I27="Haut",ISNUMBER(E27)),E27,C27))</f>
        <v>0.5</v>
      </c>
    </row>
    <row r="28" customFormat="false" ht="30" hidden="false" customHeight="true" outlineLevel="0" collapsed="false">
      <c r="A28" s="2"/>
      <c r="B28" s="2"/>
      <c r="C28" s="2"/>
      <c r="D28" s="2"/>
      <c r="E28" s="2"/>
      <c r="F28" s="2"/>
      <c r="G28" s="2"/>
      <c r="H28" s="2"/>
      <c r="I28" s="2"/>
      <c r="J28" s="2"/>
    </row>
    <row r="29" customFormat="false" ht="15" hidden="false" customHeight="false" outlineLevel="0" collapsed="false">
      <c r="A29" s="3" t="s">
        <v>2125</v>
      </c>
      <c r="B29" s="2"/>
      <c r="C29" s="2"/>
      <c r="D29" s="2"/>
      <c r="E29" s="2"/>
      <c r="F29" s="2"/>
      <c r="G29" s="2"/>
      <c r="H29" s="2"/>
      <c r="I29" s="3" t="s">
        <v>2126</v>
      </c>
      <c r="J29" s="2"/>
    </row>
  </sheetData>
  <dataValidations count="2">
    <dataValidation allowBlank="false" error="Base, Bas ou Haut" errorStyle="stop" errorTitle="Scénario" operator="between" showDropDown="false" showErrorMessage="false" showInputMessage="false" sqref="I5:I27" type="list">
      <formula1>"Base,Bas,Haut"</formula1>
      <formula2>0</formula2>
    </dataValidation>
    <dataValidation allowBlank="true" error="Une hypothèse est un nombre (ou une formule vers Entrées)" errorStyle="stop" errorTitle="Hypothèse" operator="between" showDropDown="false" showErrorMessage="false" showInputMessage="false" sqref="C5:E27" type="decimal">
      <formula1>-1000000</formula1>
      <formula2>1000000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customHeight="true" zeroHeight="false" outlineLevelRow="0" outlineLevelCol="0"/>
  <cols>
    <col collapsed="false" customWidth="true" hidden="false" outlineLevel="0" max="1" min="1" style="0" width="4"/>
    <col collapsed="false" customWidth="true" hidden="false" outlineLevel="0" max="2" min="2" style="0" width="58"/>
    <col collapsed="false" customWidth="true" hidden="false" outlineLevel="0" max="4" min="3" style="0" width="14"/>
    <col collapsed="false" customWidth="true" hidden="false" outlineLevel="0" max="5" min="5" style="0" width="60"/>
  </cols>
  <sheetData>
    <row r="1" customFormat="false" ht="17.35" hidden="false" customHeight="false" outlineLevel="0" collapsed="false">
      <c r="A1" s="1" t="s">
        <v>2127</v>
      </c>
      <c r="B1" s="2"/>
      <c r="C1" s="2"/>
      <c r="D1" s="2"/>
      <c r="E1" s="2"/>
      <c r="F1" s="2"/>
      <c r="G1" s="2"/>
      <c r="H1" s="2"/>
    </row>
    <row r="2" customFormat="false" ht="15" hidden="false" customHeight="false" outlineLevel="0" collapsed="false">
      <c r="A2" s="3" t="s">
        <v>2128</v>
      </c>
      <c r="B2" s="2"/>
      <c r="C2" s="2"/>
      <c r="D2" s="2"/>
      <c r="E2" s="2"/>
      <c r="F2" s="2"/>
      <c r="G2" s="2"/>
      <c r="H2" s="2"/>
    </row>
    <row r="3" customFormat="false" ht="15" hidden="false" customHeight="false" outlineLevel="0" collapsed="false">
      <c r="A3" s="2"/>
      <c r="B3" s="2"/>
      <c r="C3" s="2"/>
      <c r="D3" s="2"/>
      <c r="E3" s="2"/>
      <c r="F3" s="2"/>
      <c r="G3" s="2"/>
      <c r="H3" s="2"/>
    </row>
    <row r="4" customFormat="false" ht="15" hidden="false" customHeight="false" outlineLevel="0" collapsed="false">
      <c r="A4" s="21"/>
      <c r="B4" s="21" t="s">
        <v>91</v>
      </c>
      <c r="C4" s="21" t="s">
        <v>92</v>
      </c>
      <c r="D4" s="21" t="s">
        <v>93</v>
      </c>
      <c r="E4" s="21" t="s">
        <v>2129</v>
      </c>
      <c r="F4" s="2"/>
      <c r="G4" s="2"/>
      <c r="H4" s="2"/>
    </row>
    <row r="5" customFormat="false" ht="15" hidden="false" customHeight="false" outlineLevel="0" collapsed="false">
      <c r="A5" s="22" t="s">
        <v>2130</v>
      </c>
      <c r="B5" s="22" t="s">
        <v>2131</v>
      </c>
      <c r="C5" s="2"/>
      <c r="D5" s="2"/>
      <c r="E5" s="2"/>
      <c r="F5" s="2"/>
      <c r="G5" s="2"/>
      <c r="H5" s="2"/>
    </row>
    <row r="6" customFormat="false" ht="15" hidden="false" customHeight="false" outlineLevel="0" collapsed="false">
      <c r="A6" s="2"/>
      <c r="B6" s="5" t="s">
        <v>2132</v>
      </c>
      <c r="C6" s="61" t="n">
        <f aca="false">Entrées!$C$28</f>
        <v>17819</v>
      </c>
      <c r="D6" s="24" t="s">
        <v>103</v>
      </c>
      <c r="E6" s="24" t="s">
        <v>192</v>
      </c>
      <c r="F6" s="2"/>
      <c r="G6" s="2"/>
      <c r="H6" s="2"/>
    </row>
    <row r="7" customFormat="false" ht="15" hidden="false" customHeight="false" outlineLevel="0" collapsed="false">
      <c r="A7" s="2"/>
      <c r="B7" s="5" t="s">
        <v>2133</v>
      </c>
      <c r="C7" s="61" t="n">
        <f aca="false">Entrées!$C$22</f>
        <v>6788</v>
      </c>
      <c r="D7" s="24" t="s">
        <v>103</v>
      </c>
      <c r="E7" s="24" t="s">
        <v>177</v>
      </c>
      <c r="F7" s="2"/>
      <c r="G7" s="2"/>
      <c r="H7" s="2"/>
    </row>
    <row r="8" customFormat="false" ht="15" hidden="false" customHeight="false" outlineLevel="0" collapsed="false">
      <c r="A8" s="2"/>
      <c r="B8" s="22" t="s">
        <v>2134</v>
      </c>
      <c r="C8" s="62" t="n">
        <f aca="false">C6/C7</f>
        <v>2.62507365939894</v>
      </c>
      <c r="D8" s="24" t="s">
        <v>133</v>
      </c>
      <c r="E8" s="24" t="s">
        <v>2135</v>
      </c>
      <c r="F8" s="2"/>
      <c r="G8" s="2"/>
      <c r="H8" s="2"/>
    </row>
    <row r="9" customFormat="false" ht="15" hidden="false" customHeight="false" outlineLevel="0" collapsed="false">
      <c r="A9" s="2"/>
      <c r="B9" s="5" t="s">
        <v>2136</v>
      </c>
      <c r="C9" s="63" t="n">
        <f aca="false">Entrées!$C$25</f>
        <v>2.63</v>
      </c>
      <c r="D9" s="24" t="s">
        <v>133</v>
      </c>
      <c r="E9" s="24" t="s">
        <v>184</v>
      </c>
      <c r="F9" s="2"/>
      <c r="G9" s="2"/>
      <c r="H9" s="2"/>
    </row>
    <row r="10" customFormat="false" ht="15" hidden="false" customHeight="false" outlineLevel="0" collapsed="false">
      <c r="A10" s="2"/>
      <c r="B10" s="5" t="s">
        <v>2137</v>
      </c>
      <c r="C10" s="61" t="n">
        <f aca="false">Entrées!$C$13</f>
        <v>19657</v>
      </c>
      <c r="D10" s="24" t="s">
        <v>103</v>
      </c>
      <c r="E10" s="24" t="s">
        <v>138</v>
      </c>
      <c r="F10" s="2"/>
      <c r="G10" s="2"/>
      <c r="H10" s="2"/>
    </row>
    <row r="11" customFormat="false" ht="15" hidden="false" customHeight="false" outlineLevel="0" collapsed="false">
      <c r="A11" s="2"/>
      <c r="B11" s="5" t="s">
        <v>2138</v>
      </c>
      <c r="C11" s="61" t="n">
        <f aca="false">Entrées!$C$8</f>
        <v>7050</v>
      </c>
      <c r="D11" s="24" t="s">
        <v>103</v>
      </c>
      <c r="E11" s="24" t="s">
        <v>119</v>
      </c>
      <c r="F11" s="2"/>
      <c r="G11" s="2"/>
      <c r="H11" s="2"/>
    </row>
    <row r="12" customFormat="false" ht="15" hidden="false" customHeight="false" outlineLevel="0" collapsed="false">
      <c r="A12" s="2"/>
      <c r="B12" s="22" t="s">
        <v>2139</v>
      </c>
      <c r="C12" s="62" t="n">
        <f aca="false">C10/C11</f>
        <v>2.78822695035461</v>
      </c>
      <c r="D12" s="24" t="s">
        <v>133</v>
      </c>
      <c r="E12" s="24" t="s">
        <v>2135</v>
      </c>
      <c r="F12" s="2"/>
      <c r="G12" s="2"/>
      <c r="H12" s="2"/>
    </row>
    <row r="13" customFormat="false" ht="15" hidden="false" customHeight="false" outlineLevel="0" collapsed="false">
      <c r="A13" s="2"/>
      <c r="B13" s="5" t="s">
        <v>2140</v>
      </c>
      <c r="C13" s="63" t="n">
        <f aca="false">Entrées!$C$21</f>
        <v>2.79</v>
      </c>
      <c r="D13" s="24" t="s">
        <v>133</v>
      </c>
      <c r="E13" s="24" t="s">
        <v>174</v>
      </c>
      <c r="F13" s="2"/>
      <c r="G13" s="2"/>
      <c r="H13" s="2"/>
    </row>
    <row r="14" customFormat="false" ht="15" hidden="false" customHeight="false" outlineLevel="0" collapsed="false">
      <c r="A14" s="2"/>
      <c r="B14" s="22" t="s">
        <v>2141</v>
      </c>
      <c r="C14" s="45" t="n">
        <f aca="false">Hypothèses!$J$26*C11-C10</f>
        <v>1493</v>
      </c>
      <c r="D14" s="24" t="s">
        <v>103</v>
      </c>
      <c r="E14" s="24" t="s">
        <v>2142</v>
      </c>
      <c r="F14" s="2"/>
      <c r="G14" s="2"/>
      <c r="H14" s="2"/>
    </row>
    <row r="15" customFormat="false" ht="15" hidden="false" customHeight="false" outlineLevel="0" collapsed="false">
      <c r="A15" s="2"/>
      <c r="B15" s="2"/>
      <c r="C15" s="2"/>
      <c r="D15" s="2"/>
      <c r="E15" s="2"/>
      <c r="F15" s="2"/>
      <c r="G15" s="2"/>
      <c r="H15" s="2"/>
    </row>
    <row r="16" customFormat="false" ht="15" hidden="false" customHeight="false" outlineLevel="0" collapsed="false">
      <c r="A16" s="22" t="s">
        <v>2143</v>
      </c>
      <c r="B16" s="22" t="s">
        <v>2144</v>
      </c>
      <c r="C16" s="2"/>
      <c r="D16" s="2"/>
      <c r="E16" s="2"/>
      <c r="F16" s="2"/>
      <c r="G16" s="2"/>
      <c r="H16" s="2"/>
    </row>
    <row r="17" customFormat="false" ht="15" hidden="false" customHeight="false" outlineLevel="0" collapsed="false">
      <c r="A17" s="2"/>
      <c r="B17" s="5" t="s">
        <v>2145</v>
      </c>
      <c r="C17" s="61" t="n">
        <f aca="false">Entrées!$C$16</f>
        <v>24548</v>
      </c>
      <c r="D17" s="24" t="s">
        <v>103</v>
      </c>
      <c r="E17" s="24" t="s">
        <v>151</v>
      </c>
      <c r="F17" s="2"/>
      <c r="G17" s="2"/>
      <c r="H17" s="2"/>
    </row>
    <row r="18" customFormat="false" ht="15" hidden="false" customHeight="false" outlineLevel="0" collapsed="false">
      <c r="A18" s="2"/>
      <c r="B18" s="5" t="s">
        <v>2146</v>
      </c>
      <c r="C18" s="64" t="n">
        <f aca="false">Entrées!$C$8-Entrées!$C$24+Entrées!$C$6</f>
        <v>7235</v>
      </c>
      <c r="D18" s="24" t="s">
        <v>103</v>
      </c>
      <c r="E18" s="24" t="s">
        <v>2147</v>
      </c>
      <c r="F18" s="2"/>
      <c r="G18" s="2"/>
      <c r="H18" s="2"/>
    </row>
    <row r="19" customFormat="false" ht="15" hidden="false" customHeight="false" outlineLevel="0" collapsed="false">
      <c r="A19" s="2"/>
      <c r="B19" s="22" t="s">
        <v>2148</v>
      </c>
      <c r="C19" s="62" t="n">
        <f aca="false">C17/C18</f>
        <v>3.39295093296475</v>
      </c>
      <c r="D19" s="24" t="s">
        <v>133</v>
      </c>
      <c r="E19" s="24" t="s">
        <v>2149</v>
      </c>
      <c r="F19" s="2"/>
      <c r="G19" s="2"/>
      <c r="H19" s="2"/>
    </row>
    <row r="20" customFormat="false" ht="15" hidden="false" customHeight="false" outlineLevel="0" collapsed="false">
      <c r="A20" s="2"/>
      <c r="B20" s="5" t="s">
        <v>2150</v>
      </c>
      <c r="C20" s="64" t="n">
        <f aca="false">Hypothèses!$J$7*11/12/Hypothèses!$J$19</f>
        <v>155.916136946582</v>
      </c>
      <c r="D20" s="24" t="s">
        <v>103</v>
      </c>
      <c r="E20" s="24" t="s">
        <v>2151</v>
      </c>
      <c r="F20" s="2"/>
      <c r="G20" s="2"/>
      <c r="H20" s="2"/>
    </row>
    <row r="21" customFormat="false" ht="15" hidden="false" customHeight="false" outlineLevel="0" collapsed="false">
      <c r="A21" s="2"/>
      <c r="B21" s="22" t="s">
        <v>2152</v>
      </c>
      <c r="C21" s="62" t="n">
        <f aca="false">C17/(C18+C20)</f>
        <v>3.32137444738232</v>
      </c>
      <c r="D21" s="24" t="s">
        <v>133</v>
      </c>
      <c r="E21" s="24"/>
      <c r="F21" s="2"/>
      <c r="G21" s="2"/>
      <c r="H21" s="2"/>
    </row>
    <row r="22" customFormat="false" ht="15" hidden="false" customHeight="false" outlineLevel="0" collapsed="false">
      <c r="A22" s="2"/>
      <c r="B22" s="5" t="s">
        <v>2153</v>
      </c>
      <c r="C22" s="64" t="n">
        <f aca="false">Entrées!$C$76-Entrées!$C$13</f>
        <v>1107</v>
      </c>
      <c r="D22" s="24" t="s">
        <v>103</v>
      </c>
      <c r="E22" s="24" t="s">
        <v>2154</v>
      </c>
      <c r="F22" s="2"/>
      <c r="G22" s="2"/>
      <c r="H22" s="2"/>
    </row>
    <row r="23" customFormat="false" ht="15" hidden="false" customHeight="false" outlineLevel="0" collapsed="false">
      <c r="A23" s="2"/>
      <c r="B23" s="22" t="s">
        <v>2155</v>
      </c>
      <c r="C23" s="62" t="n">
        <f aca="false">(C17-C22)/(C18+C20)</f>
        <v>3.17159599238589</v>
      </c>
      <c r="D23" s="24" t="s">
        <v>133</v>
      </c>
      <c r="E23" s="24" t="s">
        <v>2156</v>
      </c>
      <c r="F23" s="2"/>
      <c r="G23" s="2"/>
      <c r="H23" s="2"/>
    </row>
    <row r="24" customFormat="false" ht="15" hidden="false" customHeight="false" outlineLevel="0" collapsed="false">
      <c r="A24" s="2"/>
      <c r="B24" s="5" t="s">
        <v>2157</v>
      </c>
      <c r="C24" s="63" t="n">
        <f aca="false">Entrées!$C$19</f>
        <v>2.92</v>
      </c>
      <c r="D24" s="24" t="s">
        <v>133</v>
      </c>
      <c r="E24" s="24" t="s">
        <v>162</v>
      </c>
      <c r="F24" s="2"/>
      <c r="G24" s="2"/>
      <c r="H24" s="2"/>
    </row>
    <row r="25" customFormat="false" ht="15" hidden="false" customHeight="false" outlineLevel="0" collapsed="false">
      <c r="A25" s="2"/>
      <c r="B25" s="2"/>
      <c r="C25" s="2"/>
      <c r="D25" s="2"/>
      <c r="E25" s="2"/>
      <c r="F25" s="2"/>
      <c r="G25" s="2"/>
      <c r="H25" s="2"/>
    </row>
    <row r="26" customFormat="false" ht="15" hidden="false" customHeight="false" outlineLevel="0" collapsed="false">
      <c r="A26" s="22" t="s">
        <v>2158</v>
      </c>
      <c r="B26" s="22" t="s">
        <v>2159</v>
      </c>
      <c r="C26" s="2"/>
      <c r="D26" s="2"/>
      <c r="E26" s="2"/>
      <c r="F26" s="2"/>
      <c r="G26" s="2"/>
      <c r="H26" s="2"/>
    </row>
    <row r="27" customFormat="false" ht="15" hidden="false" customHeight="false" outlineLevel="0" collapsed="false">
      <c r="A27" s="2"/>
      <c r="B27" s="5" t="s">
        <v>2160</v>
      </c>
      <c r="C27" s="65" t="n">
        <f aca="false">Entrées!$C$132</f>
        <v>6.5</v>
      </c>
      <c r="D27" s="24" t="s">
        <v>512</v>
      </c>
      <c r="E27" s="24" t="s">
        <v>510</v>
      </c>
      <c r="F27" s="2"/>
      <c r="G27" s="2"/>
      <c r="H27" s="2"/>
    </row>
    <row r="28" customFormat="false" ht="15" hidden="false" customHeight="false" outlineLevel="0" collapsed="false">
      <c r="A28" s="2"/>
      <c r="B28" s="5" t="s">
        <v>2160</v>
      </c>
      <c r="C28" s="65" t="n">
        <f aca="false">Entrées!$C$133</f>
        <v>7.1</v>
      </c>
      <c r="D28" s="24" t="s">
        <v>512</v>
      </c>
      <c r="E28" s="24" t="s">
        <v>514</v>
      </c>
      <c r="F28" s="2"/>
      <c r="G28" s="2"/>
      <c r="H28" s="2"/>
    </row>
    <row r="29" customFormat="false" ht="15" hidden="false" customHeight="false" outlineLevel="0" collapsed="false">
      <c r="A29" s="2"/>
      <c r="B29" s="5" t="s">
        <v>2161</v>
      </c>
      <c r="C29" s="66" t="n">
        <f aca="false">Entrées!$C$134/100</f>
        <v>0.85</v>
      </c>
      <c r="D29" s="24" t="s">
        <v>299</v>
      </c>
      <c r="E29" s="24" t="s">
        <v>516</v>
      </c>
      <c r="F29" s="2"/>
      <c r="G29" s="2"/>
      <c r="H29" s="2"/>
    </row>
    <row r="30" customFormat="false" ht="15" hidden="false" customHeight="false" outlineLevel="0" collapsed="false">
      <c r="A30" s="2"/>
      <c r="B30" s="22" t="s">
        <v>2162</v>
      </c>
      <c r="C30" s="45" t="n">
        <f aca="false">Hypothèses!$J$26*Entrées!$C$17*1000</f>
        <v>24000</v>
      </c>
      <c r="D30" s="24" t="s">
        <v>103</v>
      </c>
      <c r="E30" s="24" t="s">
        <v>2163</v>
      </c>
      <c r="F30" s="2"/>
      <c r="G30" s="2"/>
      <c r="H30" s="2"/>
    </row>
    <row r="31" customFormat="false" ht="15" hidden="false" customHeight="false" outlineLevel="0" collapsed="false">
      <c r="A31" s="2"/>
      <c r="B31" s="22" t="s">
        <v>2164</v>
      </c>
      <c r="C31" s="45" t="n">
        <f aca="false">Hypothèses!$J$26*Trajectoire!$D$41</f>
        <v>23944.29152183</v>
      </c>
      <c r="D31" s="24" t="s">
        <v>103</v>
      </c>
      <c r="E31" s="24" t="s">
        <v>2165</v>
      </c>
      <c r="F31" s="2"/>
      <c r="G31" s="2"/>
      <c r="H31" s="2"/>
    </row>
    <row r="32" customFormat="false" ht="15" hidden="false" customHeight="false" outlineLevel="0" collapsed="false">
      <c r="A32" s="2"/>
      <c r="B32" s="5" t="s">
        <v>2166</v>
      </c>
      <c r="C32" s="64" t="n">
        <f aca="false">Hypothèses!$J$26*500</f>
        <v>1500</v>
      </c>
      <c r="D32" s="24" t="s">
        <v>103</v>
      </c>
      <c r="E32" s="24" t="s">
        <v>2167</v>
      </c>
      <c r="F32" s="2"/>
      <c r="G32" s="2"/>
      <c r="H32" s="2"/>
    </row>
    <row r="33" customFormat="false" ht="15" hidden="false" customHeight="false" outlineLevel="0" collapsed="false">
      <c r="A33" s="2"/>
      <c r="B33" s="2"/>
      <c r="C33" s="2"/>
      <c r="D33" s="2"/>
      <c r="E33" s="2"/>
      <c r="F33" s="2"/>
      <c r="G33" s="2"/>
      <c r="H33" s="2"/>
    </row>
    <row r="34" customFormat="false" ht="15" hidden="false" customHeight="false" outlineLevel="0" collapsed="false">
      <c r="A34" s="22" t="s">
        <v>2168</v>
      </c>
      <c r="B34" s="22" t="s">
        <v>2169</v>
      </c>
      <c r="C34" s="2"/>
      <c r="D34" s="2"/>
      <c r="E34" s="2"/>
      <c r="F34" s="2"/>
      <c r="G34" s="2"/>
      <c r="H34" s="2"/>
    </row>
    <row r="35" customFormat="false" ht="15" hidden="false" customHeight="false" outlineLevel="0" collapsed="false">
      <c r="A35" s="2"/>
      <c r="B35" s="5" t="s">
        <v>520</v>
      </c>
      <c r="C35" s="66" t="n">
        <f aca="false">Entrées!$C$143/100</f>
        <v>0.213</v>
      </c>
      <c r="D35" s="24" t="s">
        <v>299</v>
      </c>
      <c r="E35" s="24" t="s">
        <v>548</v>
      </c>
      <c r="F35" s="2"/>
      <c r="G35" s="2"/>
      <c r="H35" s="2"/>
    </row>
    <row r="36" customFormat="false" ht="15" hidden="false" customHeight="false" outlineLevel="0" collapsed="false">
      <c r="A36" s="2"/>
      <c r="B36" s="5" t="s">
        <v>520</v>
      </c>
      <c r="C36" s="66" t="n">
        <f aca="false">Entrées!$C$135/100</f>
        <v>0.203</v>
      </c>
      <c r="D36" s="24" t="s">
        <v>299</v>
      </c>
      <c r="E36" s="24" t="s">
        <v>519</v>
      </c>
      <c r="F36" s="2"/>
      <c r="G36" s="2"/>
      <c r="H36" s="2"/>
    </row>
    <row r="37" customFormat="false" ht="15" hidden="false" customHeight="false" outlineLevel="0" collapsed="false">
      <c r="A37" s="2"/>
      <c r="B37" s="5" t="s">
        <v>2170</v>
      </c>
      <c r="C37" s="66" t="n">
        <f aca="false">Entrées!$C$136/100</f>
        <v>0.18</v>
      </c>
      <c r="D37" s="24" t="s">
        <v>299</v>
      </c>
      <c r="E37" s="24" t="s">
        <v>525</v>
      </c>
      <c r="F37" s="2"/>
      <c r="G37" s="2"/>
      <c r="H37" s="2"/>
    </row>
    <row r="38" customFormat="false" ht="15" hidden="false" customHeight="false" outlineLevel="0" collapsed="false">
      <c r="A38" s="2"/>
      <c r="B38" s="5" t="s">
        <v>2171</v>
      </c>
      <c r="C38" s="66" t="n">
        <f aca="false">Entrées!$C$137/100</f>
        <v>0.19</v>
      </c>
      <c r="D38" s="24" t="s">
        <v>299</v>
      </c>
      <c r="E38" s="24" t="s">
        <v>529</v>
      </c>
      <c r="F38" s="2"/>
      <c r="G38" s="2"/>
      <c r="H38" s="2"/>
    </row>
    <row r="39" customFormat="false" ht="15" hidden="false" customHeight="false" outlineLevel="0" collapsed="false">
      <c r="A39" s="2"/>
      <c r="B39" s="5" t="s">
        <v>2172</v>
      </c>
      <c r="C39" s="67" t="str">
        <f aca="false">Entrées!$C$140</f>
        <v>high teens</v>
      </c>
      <c r="D39" s="24"/>
      <c r="E39" s="24" t="s">
        <v>2173</v>
      </c>
      <c r="F39" s="2"/>
      <c r="G39" s="2"/>
      <c r="H39" s="2"/>
    </row>
    <row r="40" customFormat="false" ht="15" hidden="false" customHeight="false" outlineLevel="0" collapsed="false">
      <c r="A40" s="2"/>
      <c r="B40" s="22" t="s">
        <v>2174</v>
      </c>
      <c r="C40" s="41" t="n">
        <f aca="false">Entrées!$C$151/100</f>
        <v>0.18</v>
      </c>
      <c r="D40" s="24" t="s">
        <v>299</v>
      </c>
      <c r="E40" s="24" t="s">
        <v>569</v>
      </c>
      <c r="F40" s="2"/>
      <c r="G40" s="2"/>
      <c r="H40" s="2"/>
    </row>
    <row r="41" customFormat="false" ht="15" hidden="false" customHeight="false" outlineLevel="0" collapsed="false">
      <c r="A41" s="2"/>
      <c r="B41" s="5" t="s">
        <v>2175</v>
      </c>
      <c r="C41" s="66" t="n">
        <f aca="false">Entrées!$C$152/100</f>
        <v>0.2</v>
      </c>
      <c r="D41" s="24" t="s">
        <v>299</v>
      </c>
      <c r="E41" s="24" t="s">
        <v>2176</v>
      </c>
      <c r="F41" s="2"/>
      <c r="G41" s="2"/>
      <c r="H41" s="2"/>
    </row>
    <row r="42" customFormat="false" ht="15" hidden="false" customHeight="false" outlineLevel="0" collapsed="false">
      <c r="A42" s="2"/>
      <c r="B42" s="5" t="s">
        <v>2177</v>
      </c>
      <c r="C42" s="64" t="n">
        <f aca="false">Entrées!$C$138*1000</f>
        <v>25400</v>
      </c>
      <c r="D42" s="24" t="s">
        <v>103</v>
      </c>
      <c r="E42" s="24" t="s">
        <v>532</v>
      </c>
      <c r="F42" s="2"/>
      <c r="G42" s="2"/>
      <c r="H42" s="2"/>
    </row>
    <row r="43" customFormat="false" ht="15" hidden="false" customHeight="false" outlineLevel="0" collapsed="false">
      <c r="A43" s="2"/>
      <c r="B43" s="5" t="s">
        <v>2178</v>
      </c>
      <c r="C43" s="64" t="n">
        <f aca="false">Entrées!$C$139*1000</f>
        <v>29000</v>
      </c>
      <c r="D43" s="24" t="s">
        <v>103</v>
      </c>
      <c r="E43" s="24" t="s">
        <v>535</v>
      </c>
      <c r="F43" s="2"/>
      <c r="G43" s="2"/>
      <c r="H43" s="2"/>
    </row>
    <row r="44" customFormat="false" ht="15" hidden="false" customHeight="false" outlineLevel="0" collapsed="false">
      <c r="A44" s="2"/>
      <c r="B44" s="22" t="s">
        <v>2179</v>
      </c>
      <c r="C44" s="45" t="n">
        <f aca="false">Levier!$C$36*Levier!$C$42</f>
        <v>5156.2</v>
      </c>
      <c r="D44" s="24" t="s">
        <v>103</v>
      </c>
      <c r="E44" s="24" t="s">
        <v>2180</v>
      </c>
      <c r="F44" s="2"/>
      <c r="G44" s="2"/>
      <c r="H44" s="2"/>
    </row>
    <row r="45" customFormat="false" ht="15" hidden="false" customHeight="false" outlineLevel="0" collapsed="false">
      <c r="A45" s="2"/>
      <c r="B45" s="22" t="s">
        <v>2181</v>
      </c>
      <c r="C45" s="45" t="n">
        <f aca="false">Levier!$C$40*Levier!$C$43</f>
        <v>5220</v>
      </c>
      <c r="D45" s="24" t="s">
        <v>103</v>
      </c>
      <c r="E45" s="24" t="s">
        <v>2182</v>
      </c>
      <c r="F45" s="2"/>
      <c r="G45" s="2"/>
      <c r="H45" s="2"/>
    </row>
    <row r="46" customFormat="false" ht="15" hidden="false" customHeight="false" outlineLevel="0" collapsed="false">
      <c r="A46" s="2"/>
      <c r="B46" s="22" t="s">
        <v>2183</v>
      </c>
      <c r="C46" s="45" t="n">
        <f aca="false">Levier!$C$44-Levier!$C$45</f>
        <v>-63.7999999999993</v>
      </c>
      <c r="D46" s="24" t="s">
        <v>103</v>
      </c>
      <c r="E46" s="24" t="s">
        <v>2184</v>
      </c>
      <c r="F46" s="2"/>
      <c r="G46" s="2"/>
      <c r="H46" s="2"/>
    </row>
    <row r="47" customFormat="false" ht="15" hidden="false" customHeight="false" outlineLevel="0" collapsed="false">
      <c r="A47" s="2"/>
      <c r="B47" s="5" t="s">
        <v>2185</v>
      </c>
      <c r="C47" s="64" t="n">
        <f aca="false">Levier!$C$44/Levier!$C$40</f>
        <v>28645.5555555556</v>
      </c>
      <c r="D47" s="24" t="s">
        <v>103</v>
      </c>
      <c r="E47" s="24" t="s">
        <v>2186</v>
      </c>
      <c r="F47" s="2"/>
      <c r="G47" s="2"/>
      <c r="H47" s="2"/>
    </row>
    <row r="48" customFormat="false" ht="15" hidden="false" customHeight="false" outlineLevel="0" collapsed="false">
      <c r="A48" s="2"/>
      <c r="B48" s="5" t="s">
        <v>2187</v>
      </c>
      <c r="C48" s="64" t="n">
        <f aca="false">Levier!$C$42-Entrées!$C$13</f>
        <v>5743</v>
      </c>
      <c r="D48" s="24" t="s">
        <v>103</v>
      </c>
      <c r="E48" s="24" t="s">
        <v>2188</v>
      </c>
      <c r="F48" s="2"/>
      <c r="G48" s="2"/>
      <c r="H48" s="2"/>
    </row>
    <row r="49" customFormat="false" ht="15" hidden="false" customHeight="false" outlineLevel="0" collapsed="false">
      <c r="A49" s="2"/>
      <c r="B49" s="2"/>
      <c r="C49" s="2"/>
      <c r="D49" s="2"/>
      <c r="E49" s="2"/>
      <c r="F49" s="2"/>
      <c r="G49" s="2"/>
      <c r="H49" s="2"/>
    </row>
    <row r="50" customFormat="false" ht="15" hidden="false" customHeight="false" outlineLevel="0" collapsed="false">
      <c r="A50" s="22" t="s">
        <v>2189</v>
      </c>
      <c r="B50" s="22" t="s">
        <v>2190</v>
      </c>
      <c r="C50" s="2"/>
      <c r="D50" s="2"/>
      <c r="E50" s="2"/>
      <c r="F50" s="2"/>
      <c r="G50" s="2"/>
      <c r="H50" s="2"/>
    </row>
    <row r="51" customFormat="false" ht="15" hidden="false" customHeight="false" outlineLevel="0" collapsed="false">
      <c r="A51" s="2"/>
      <c r="B51" s="5" t="s">
        <v>2191</v>
      </c>
      <c r="C51" s="61" t="n">
        <f aca="false">Entrées!$C$237</f>
        <v>29518</v>
      </c>
      <c r="D51" s="24" t="s">
        <v>103</v>
      </c>
      <c r="E51" s="24" t="s">
        <v>2192</v>
      </c>
      <c r="F51" s="2"/>
      <c r="G51" s="2"/>
      <c r="H51" s="2"/>
    </row>
    <row r="52" customFormat="false" ht="15" hidden="false" customHeight="false" outlineLevel="0" collapsed="false">
      <c r="A52" s="2"/>
      <c r="B52" s="5" t="s">
        <v>2193</v>
      </c>
      <c r="C52" s="61" t="n">
        <f aca="false">Entrées!$C$238</f>
        <v>647</v>
      </c>
      <c r="D52" s="24" t="s">
        <v>103</v>
      </c>
      <c r="E52" s="24" t="s">
        <v>818</v>
      </c>
      <c r="F52" s="2"/>
      <c r="G52" s="2"/>
      <c r="H52" s="2"/>
    </row>
    <row r="53" customFormat="false" ht="15" hidden="false" customHeight="false" outlineLevel="0" collapsed="false">
      <c r="A53" s="2"/>
      <c r="B53" s="5" t="s">
        <v>2194</v>
      </c>
      <c r="C53" s="61" t="n">
        <f aca="false">Entrées!$C$239</f>
        <v>2050</v>
      </c>
      <c r="D53" s="24" t="s">
        <v>103</v>
      </c>
      <c r="E53" s="24" t="s">
        <v>2195</v>
      </c>
      <c r="F53" s="2"/>
      <c r="G53" s="2"/>
      <c r="H53" s="2"/>
    </row>
    <row r="54" customFormat="false" ht="15" hidden="false" customHeight="false" outlineLevel="0" collapsed="false">
      <c r="A54" s="2"/>
      <c r="B54" s="5" t="s">
        <v>2196</v>
      </c>
      <c r="C54" s="61" t="n">
        <f aca="false">Entrées!$C$240</f>
        <v>1014</v>
      </c>
      <c r="D54" s="24" t="s">
        <v>103</v>
      </c>
      <c r="E54" s="24" t="s">
        <v>824</v>
      </c>
      <c r="F54" s="2"/>
      <c r="G54" s="2"/>
      <c r="H54" s="2"/>
    </row>
    <row r="55" customFormat="false" ht="15" hidden="false" customHeight="false" outlineLevel="0" collapsed="false">
      <c r="A55" s="2"/>
      <c r="B55" s="5" t="s">
        <v>2197</v>
      </c>
      <c r="C55" s="61" t="n">
        <f aca="false">Entrées!$C$241</f>
        <v>1650</v>
      </c>
      <c r="D55" s="24" t="s">
        <v>103</v>
      </c>
      <c r="E55" s="24" t="s">
        <v>827</v>
      </c>
      <c r="F55" s="2"/>
      <c r="G55" s="2"/>
      <c r="H55" s="2"/>
    </row>
    <row r="56" customFormat="false" ht="15" hidden="false" customHeight="false" outlineLevel="0" collapsed="false">
      <c r="A56" s="2"/>
      <c r="B56" s="22" t="s">
        <v>2198</v>
      </c>
      <c r="C56" s="45" t="n">
        <f aca="false">SUM(C51:C55)</f>
        <v>34879</v>
      </c>
      <c r="D56" s="24" t="s">
        <v>103</v>
      </c>
      <c r="E56" s="24" t="s">
        <v>2199</v>
      </c>
      <c r="F56" s="2"/>
      <c r="G56" s="2"/>
      <c r="H56" s="2"/>
    </row>
    <row r="57" customFormat="false" ht="15" hidden="false" customHeight="false" outlineLevel="0" collapsed="false">
      <c r="A57" s="2"/>
      <c r="B57" s="5" t="s">
        <v>2200</v>
      </c>
      <c r="C57" s="61" t="n">
        <f aca="false">Entrées!$C$242</f>
        <v>34879</v>
      </c>
      <c r="D57" s="24" t="s">
        <v>103</v>
      </c>
      <c r="E57" s="24" t="s">
        <v>830</v>
      </c>
      <c r="F57" s="2"/>
      <c r="G57" s="2"/>
      <c r="H57" s="2"/>
    </row>
    <row r="58" customFormat="false" ht="15" hidden="false" customHeight="false" outlineLevel="0" collapsed="false">
      <c r="A58" s="2"/>
      <c r="B58" s="5" t="s">
        <v>2201</v>
      </c>
      <c r="C58" s="61" t="n">
        <f aca="false">Entrées!$C$243</f>
        <v>9475</v>
      </c>
      <c r="D58" s="24" t="s">
        <v>103</v>
      </c>
      <c r="E58" s="24" t="s">
        <v>2202</v>
      </c>
      <c r="F58" s="2"/>
      <c r="G58" s="2"/>
      <c r="H58" s="2"/>
    </row>
    <row r="59" customFormat="false" ht="15" hidden="false" customHeight="false" outlineLevel="0" collapsed="false">
      <c r="A59" s="2"/>
      <c r="B59" s="22" t="s">
        <v>2203</v>
      </c>
      <c r="C59" s="45" t="n">
        <f aca="false">C57-C58</f>
        <v>25404</v>
      </c>
      <c r="D59" s="24" t="s">
        <v>103</v>
      </c>
      <c r="E59" s="24"/>
      <c r="F59" s="2"/>
      <c r="G59" s="2"/>
      <c r="H59" s="2"/>
    </row>
    <row r="60" customFormat="false" ht="15" hidden="false" customHeight="false" outlineLevel="0" collapsed="false">
      <c r="A60" s="2"/>
      <c r="B60" s="5" t="s">
        <v>2204</v>
      </c>
      <c r="C60" s="61" t="n">
        <f aca="false">Entrées!$C$244</f>
        <v>25404</v>
      </c>
      <c r="D60" s="24" t="s">
        <v>103</v>
      </c>
      <c r="E60" s="24" t="s">
        <v>836</v>
      </c>
      <c r="F60" s="2"/>
      <c r="G60" s="2"/>
      <c r="H60" s="2"/>
    </row>
    <row r="61" customFormat="false" ht="15" hidden="false" customHeight="false" outlineLevel="0" collapsed="false">
      <c r="A61" s="2"/>
      <c r="B61" s="5" t="s">
        <v>2205</v>
      </c>
      <c r="C61" s="64" t="n">
        <f aca="false">Entrées!$C$259-Entrées!$C$260-Entrées!$C$261+Entrées!$C$262</f>
        <v>19821</v>
      </c>
      <c r="D61" s="24" t="s">
        <v>103</v>
      </c>
      <c r="E61" s="24" t="s">
        <v>2206</v>
      </c>
      <c r="F61" s="2"/>
      <c r="G61" s="2"/>
      <c r="H61" s="2"/>
    </row>
    <row r="62" customFormat="false" ht="15" hidden="false" customHeight="false" outlineLevel="0" collapsed="false">
      <c r="A62" s="2"/>
      <c r="B62" s="5" t="s">
        <v>2207</v>
      </c>
      <c r="C62" s="66" t="n">
        <f aca="false">Levier!$C$53/(Levier!$C$60-Entrées!$C$13)</f>
        <v>0.356707847572647</v>
      </c>
      <c r="D62" s="24" t="s">
        <v>299</v>
      </c>
      <c r="E62" s="24" t="s">
        <v>2208</v>
      </c>
      <c r="F62" s="2"/>
      <c r="G62" s="2"/>
      <c r="H62" s="2"/>
    </row>
    <row r="63" customFormat="false" ht="15" hidden="false" customHeight="false" outlineLevel="0" collapsed="false">
      <c r="A63" s="2"/>
      <c r="B63" s="2"/>
      <c r="C63" s="2"/>
      <c r="D63" s="2"/>
      <c r="E63" s="2"/>
      <c r="F63" s="2"/>
      <c r="G63" s="2"/>
      <c r="H63" s="2"/>
    </row>
    <row r="64" customFormat="false" ht="15" hidden="false" customHeight="false" outlineLevel="0" collapsed="false">
      <c r="A64" s="22" t="s">
        <v>2209</v>
      </c>
      <c r="B64" s="22" t="s">
        <v>2210</v>
      </c>
      <c r="C64" s="2"/>
      <c r="D64" s="2"/>
      <c r="E64" s="2"/>
      <c r="F64" s="2"/>
      <c r="G64" s="2"/>
      <c r="H64" s="2"/>
    </row>
    <row r="65" customFormat="false" ht="15" hidden="false" customHeight="false" outlineLevel="0" collapsed="false">
      <c r="A65" s="2"/>
      <c r="B65" s="5" t="s">
        <v>2211</v>
      </c>
      <c r="C65" s="61" t="n">
        <f aca="false">Entrées!$C$251</f>
        <v>4655</v>
      </c>
      <c r="D65" s="24" t="s">
        <v>103</v>
      </c>
      <c r="E65" s="24" t="s">
        <v>854</v>
      </c>
      <c r="F65" s="2"/>
      <c r="G65" s="2"/>
      <c r="H65" s="2"/>
    </row>
    <row r="66" customFormat="false" ht="15" hidden="false" customHeight="false" outlineLevel="0" collapsed="false">
      <c r="A66" s="2"/>
      <c r="B66" s="5" t="s">
        <v>2212</v>
      </c>
      <c r="C66" s="61" t="n">
        <f aca="false">Entrées!$C$250</f>
        <v>4948</v>
      </c>
      <c r="D66" s="24" t="s">
        <v>103</v>
      </c>
      <c r="E66" s="24" t="s">
        <v>852</v>
      </c>
      <c r="F66" s="2"/>
      <c r="G66" s="2"/>
      <c r="H66" s="2"/>
    </row>
    <row r="67" customFormat="false" ht="15" hidden="false" customHeight="false" outlineLevel="0" collapsed="false">
      <c r="A67" s="2"/>
      <c r="B67" s="22" t="s">
        <v>2213</v>
      </c>
      <c r="C67" s="68" t="n">
        <f aca="false">Entrées!$C$249</f>
        <v>5160</v>
      </c>
      <c r="D67" s="24" t="s">
        <v>103</v>
      </c>
      <c r="E67" s="24" t="s">
        <v>849</v>
      </c>
      <c r="F67" s="2"/>
      <c r="G67" s="2"/>
      <c r="H67" s="2"/>
    </row>
    <row r="68" customFormat="false" ht="15" hidden="false" customHeight="false" outlineLevel="0" collapsed="false">
      <c r="A68" s="2"/>
      <c r="B68" s="5" t="s">
        <v>2214</v>
      </c>
      <c r="C68" s="66" t="n">
        <f aca="false">C67/Entrées!$C$8</f>
        <v>0.731914893617021</v>
      </c>
      <c r="D68" s="24" t="s">
        <v>299</v>
      </c>
      <c r="E68" s="24" t="s">
        <v>2215</v>
      </c>
      <c r="F68" s="2"/>
      <c r="G68" s="2"/>
      <c r="H68" s="2"/>
    </row>
    <row r="69" customFormat="false" ht="15" hidden="false" customHeight="false" outlineLevel="0" collapsed="false">
      <c r="A69" s="2"/>
      <c r="B69" s="5" t="s">
        <v>2216</v>
      </c>
      <c r="C69" s="66" t="n">
        <f aca="false">C67/Levier!$C$60</f>
        <v>0.203117619272556</v>
      </c>
      <c r="D69" s="24" t="s">
        <v>299</v>
      </c>
      <c r="E69" s="24"/>
      <c r="F69" s="2"/>
      <c r="G69" s="2"/>
      <c r="H69" s="2"/>
    </row>
    <row r="70" customFormat="false" ht="15" hidden="false" customHeight="false" outlineLevel="0" collapsed="false">
      <c r="A70" s="2"/>
      <c r="B70" s="5" t="s">
        <v>2217</v>
      </c>
      <c r="C70" s="61" t="n">
        <f aca="false">Entrées!$C$252</f>
        <v>1341</v>
      </c>
      <c r="D70" s="24" t="s">
        <v>103</v>
      </c>
      <c r="E70" s="24" t="s">
        <v>856</v>
      </c>
      <c r="F70" s="2"/>
      <c r="G70" s="2"/>
      <c r="H70" s="2"/>
    </row>
    <row r="71" customFormat="false" ht="15" hidden="false" customHeight="false" outlineLevel="0" collapsed="false">
      <c r="A71" s="2"/>
      <c r="B71" s="5" t="s">
        <v>2218</v>
      </c>
      <c r="C71" s="61" t="n">
        <f aca="false">Entrées!$C$253</f>
        <v>3819</v>
      </c>
      <c r="D71" s="24" t="s">
        <v>103</v>
      </c>
      <c r="E71" s="24" t="s">
        <v>859</v>
      </c>
      <c r="F71" s="2"/>
      <c r="G71" s="2"/>
      <c r="H71" s="2"/>
    </row>
    <row r="72" customFormat="false" ht="15" hidden="false" customHeight="false" outlineLevel="0" collapsed="false">
      <c r="A72" s="2"/>
      <c r="B72" s="5" t="s">
        <v>2219</v>
      </c>
      <c r="C72" s="61" t="n">
        <f aca="false">Entrées!$C$256</f>
        <v>1162</v>
      </c>
      <c r="D72" s="24" t="s">
        <v>103</v>
      </c>
      <c r="E72" s="24" t="s">
        <v>868</v>
      </c>
      <c r="F72" s="2"/>
      <c r="G72" s="2"/>
      <c r="H72" s="2"/>
    </row>
    <row r="73" customFormat="false" ht="15" hidden="false" customHeight="false" outlineLevel="0" collapsed="false">
      <c r="A73" s="2"/>
      <c r="B73" s="5" t="s">
        <v>2220</v>
      </c>
      <c r="C73" s="63" t="n">
        <f aca="false">Entrées!$C$257</f>
        <v>3.7</v>
      </c>
      <c r="D73" s="24" t="s">
        <v>133</v>
      </c>
      <c r="E73" s="24" t="s">
        <v>2221</v>
      </c>
      <c r="F73" s="2"/>
      <c r="G73" s="2"/>
      <c r="H73" s="2"/>
    </row>
    <row r="74" customFormat="false" ht="15" hidden="false" customHeight="false" outlineLevel="0" collapsed="false">
      <c r="A74" s="2"/>
      <c r="B74" s="5" t="s">
        <v>2222</v>
      </c>
      <c r="C74" s="66" t="n">
        <f aca="false">Entrées!$C$232/100</f>
        <v>0.185</v>
      </c>
      <c r="D74" s="24" t="s">
        <v>299</v>
      </c>
      <c r="E74" s="24" t="s">
        <v>801</v>
      </c>
      <c r="F74" s="2"/>
      <c r="G74" s="2"/>
      <c r="H74" s="2"/>
    </row>
    <row r="75" customFormat="false" ht="15" hidden="false" customHeight="false" outlineLevel="0" collapsed="false">
      <c r="A75" s="2"/>
      <c r="B75" s="5" t="s">
        <v>2223</v>
      </c>
      <c r="C75" s="66" t="n">
        <f aca="false">Entrées!$C$233/100</f>
        <v>0.195</v>
      </c>
      <c r="D75" s="24" t="s">
        <v>299</v>
      </c>
      <c r="E75" s="24" t="s">
        <v>804</v>
      </c>
      <c r="F75" s="2"/>
      <c r="G75" s="2"/>
      <c r="H75" s="2"/>
    </row>
    <row r="76" customFormat="false" ht="43.5" hidden="false" customHeight="true" outlineLevel="0" collapsed="false">
      <c r="A76" s="2"/>
      <c r="B76" s="69" t="str">
        <f aca="false">"Lecture : l'écart de "&amp;SUBSTITUTE(SUBSTITUTE(FIXED((Levier!$C$60-Entrées!$C$13)/1000,1,TRUE()),".",","),"-","−")&amp;" Md€"&amp;" entre la dette des agences et celle de Veolia tient aux hybrides pour "&amp;SUBSTITUTE(SUBSTITUTE(FIXED((Levier!$C$62)*100,0,FALSE()),","," "),"-","−")&amp;" %"&amp;", le reste aux pensions, à la titrisation et aux retraitements de Moody's. Le FFO publié ("&amp;SUBSTITUTE(SUBSTITUTE(FIXED(Levier!$C$67,0,FALSE()),","," "),"-","−")&amp;" M€"&amp;") redonne le ratio "&amp;SUBSTITUTE(SUBSTITUTE(FIXED((Levier!$C$69)*100,1,TRUE()),".",","),"-","−")&amp;" %"&amp;" : c'est lui que le modèle projette."</f>
        <v>Lecture : l'écart de 5,7 Md€ entre la dette des agences et celle de Veolia tient aux hybrides pour 36 %, le reste aux pensions, à la titrisation et aux retraitements de Moody's. Le FFO publié (5 160 M€) redonne le ratio 20,3 % : c'est lui que le modèle projette.</v>
      </c>
      <c r="C76" s="69"/>
      <c r="D76" s="69"/>
      <c r="E76" s="69"/>
      <c r="F76" s="2"/>
      <c r="G76" s="2"/>
      <c r="H76" s="2"/>
    </row>
    <row r="77" customFormat="false" ht="43.5" hidden="false" customHeight="true" outlineLevel="0" collapsed="false">
      <c r="A77" s="2"/>
      <c r="B77" s="69" t="str">
        <f aca="false">"Lecture : les agences ne regardent pas le 3x de Veolia mais FFO / dette ajustée. Au pic de dette 2026 (environ "&amp;SUBSTITUTE(SUBSTITUTE(FIXED((Levier!$C$43)/1000,0,FALSE()),","," "),"-","−")&amp;" Md€"&amp;"), tenir "&amp;SUBSTITUTE(SUBSTITUTE(FIXED((Levier!$C$40)*100,0,FALSE()),","," "),"-","−")&amp;" %"&amp;" demande "&amp;SUBSTITUTE(SUBSTITUTE(FIXED((Levier!$C$45)/1000,1,TRUE()),".",","),"-","−")&amp;" Md€"&amp;" de FFO, "&amp;IF(ABS(Levier!$C$46)&lt;0.05*Levier!$C$45,"à peu près le FFO 2025 implicite : la marge est quasi nulle en 2026",IF(Levier!$C$46&lt;0,"plus que le FFO 2025 implicite ("&amp;SUBSTITUTE(SUBSTITUTE(FIXED((Levier!$C$44)/1000,1,TRUE()),".",","),"-","−")&amp;" Md€"&amp;") : il manque "&amp;SUBSTITUTE(SUBSTITUTE(FIXED(-Levier!$C$46,0,FALSE()),","," "),"-","−")&amp;" M€"&amp;" en 2026","moins que le FFO 2025 implicite ("&amp;SUBSTITUTE(SUBSTITUTE(FIXED((Levier!$C$44)/1000,1,TRUE()),".",","),"-","−")&amp;" Md€"&amp;") : la marge est de "&amp;SUBSTITUTE(SUBSTITUTE(FIXED(Levier!$C$46,0,FALSE()),","," "),"-","−")&amp;" M€"&amp;" en 2026"))&amp;", et ne se reconstitue qu'avec les cessions. C'est la limite qui mord en premier : le 3x ne vaut qu'à fin 2027, les agences regardent chaque année (dans le modèle, le ratio fin 2026 ressort à "&amp;SUBSTITUTE(SUBSTITUTE(FIXED((Trajectoire!$D$52)*100,1,TRUE()),".",","),"-","−")&amp;" %"&amp;", Trajectoire)."</f>
        <v>Lecture : les agences ne regardent pas le 3x de Veolia mais FFO / dette ajustée. Au pic de dette 2026 (environ 29 Md€), tenir 18 % demande 5,2 Md€ de FFO, à peu près le FFO 2025 implicite : la marge est quasi nulle en 2026, et ne se reconstitue qu'avec les cessions. C'est la limite qui mord en premier : le 3x ne vaut qu'à fin 2027, les agences regardent chaque année (dans le modèle, le ratio fin 2026 ressort à 19,3 %, Trajectoire).</v>
      </c>
      <c r="C77" s="69"/>
      <c r="D77" s="69"/>
      <c r="E77" s="69"/>
      <c r="F77" s="2"/>
      <c r="G77" s="2"/>
      <c r="H77" s="2"/>
    </row>
    <row r="78" customFormat="false" ht="15" hidden="false" customHeight="false" outlineLevel="0" collapsed="false">
      <c r="A78" s="2"/>
      <c r="B78" s="2"/>
      <c r="C78" s="2"/>
      <c r="D78" s="2"/>
      <c r="E78" s="2"/>
      <c r="F78" s="2"/>
      <c r="G78" s="2"/>
      <c r="H78" s="2"/>
    </row>
    <row r="79" customFormat="false" ht="15" hidden="false" customHeight="false" outlineLevel="0" collapsed="false">
      <c r="A79" s="22" t="s">
        <v>2224</v>
      </c>
      <c r="B79" s="22" t="s">
        <v>2225</v>
      </c>
      <c r="C79" s="2"/>
      <c r="D79" s="2"/>
      <c r="E79" s="2"/>
      <c r="F79" s="2"/>
      <c r="G79" s="2"/>
      <c r="H79" s="2"/>
    </row>
    <row r="80" customFormat="false" ht="15" hidden="false" customHeight="false" outlineLevel="0" collapsed="false">
      <c r="A80" s="21"/>
      <c r="B80" s="21" t="s">
        <v>2226</v>
      </c>
      <c r="C80" s="21" t="s">
        <v>170</v>
      </c>
      <c r="D80" s="21" t="s">
        <v>225</v>
      </c>
      <c r="E80" s="21" t="s">
        <v>2048</v>
      </c>
      <c r="F80" s="2"/>
      <c r="G80" s="2"/>
      <c r="H80" s="2"/>
    </row>
    <row r="81" customFormat="false" ht="15" hidden="false" customHeight="false" outlineLevel="0" collapsed="false">
      <c r="A81" s="2"/>
      <c r="B81" s="5" t="s">
        <v>2227</v>
      </c>
      <c r="C81" s="61" t="n">
        <f aca="false">Entrées!$C$313</f>
        <v>6144</v>
      </c>
      <c r="D81" s="61" t="n">
        <f aca="false">Entrées!$C$314</f>
        <v>5818</v>
      </c>
      <c r="E81" s="24" t="s">
        <v>2228</v>
      </c>
      <c r="F81" s="2"/>
      <c r="G81" s="2"/>
      <c r="H81" s="2"/>
    </row>
    <row r="82" customFormat="false" ht="15" hidden="false" customHeight="false" outlineLevel="0" collapsed="false">
      <c r="A82" s="2"/>
      <c r="B82" s="5" t="s">
        <v>2229</v>
      </c>
      <c r="C82" s="61" t="n">
        <f aca="false">Entrées!$C$319</f>
        <v>-596</v>
      </c>
      <c r="D82" s="61" t="n">
        <f aca="false">Entrées!$C$320</f>
        <v>-579</v>
      </c>
      <c r="E82" s="24" t="s">
        <v>2230</v>
      </c>
      <c r="F82" s="2"/>
      <c r="G82" s="2"/>
      <c r="H82" s="2"/>
    </row>
    <row r="83" customFormat="false" ht="15" hidden="false" customHeight="false" outlineLevel="0" collapsed="false">
      <c r="A83" s="2"/>
      <c r="B83" s="5" t="s">
        <v>2231</v>
      </c>
      <c r="C83" s="61" t="n">
        <f aca="false">Entrées!$C$333</f>
        <v>-619</v>
      </c>
      <c r="D83" s="61" t="n">
        <f aca="false">Entrées!$C$334</f>
        <v>-585</v>
      </c>
      <c r="E83" s="24" t="s">
        <v>2232</v>
      </c>
      <c r="F83" s="2"/>
      <c r="G83" s="2"/>
      <c r="H83" s="2"/>
    </row>
    <row r="84" customFormat="false" ht="15" hidden="false" customHeight="false" outlineLevel="0" collapsed="false">
      <c r="A84" s="2"/>
      <c r="B84" s="5" t="s">
        <v>2233</v>
      </c>
      <c r="C84" s="61" t="n">
        <f aca="false">Entrées!$C$335</f>
        <v>-78</v>
      </c>
      <c r="D84" s="61" t="n">
        <f aca="false">Entrées!$C$336</f>
        <v>-86</v>
      </c>
      <c r="E84" s="24" t="s">
        <v>2234</v>
      </c>
      <c r="F84" s="2"/>
      <c r="G84" s="2"/>
      <c r="H84" s="2"/>
    </row>
    <row r="85" customFormat="false" ht="15" hidden="false" customHeight="false" outlineLevel="0" collapsed="false">
      <c r="A85" s="2"/>
      <c r="B85" s="5" t="s">
        <v>2235</v>
      </c>
      <c r="C85" s="61" t="n">
        <f aca="false">Entrées!$C$337</f>
        <v>-67</v>
      </c>
      <c r="D85" s="61" t="n">
        <f aca="false">Entrées!$C$338</f>
        <v>-66</v>
      </c>
      <c r="E85" s="24" t="s">
        <v>2236</v>
      </c>
      <c r="F85" s="2"/>
      <c r="G85" s="2"/>
      <c r="H85" s="2"/>
    </row>
    <row r="86" customFormat="false" ht="15" hidden="false" customHeight="false" outlineLevel="0" collapsed="false">
      <c r="A86" s="2"/>
      <c r="B86" s="5" t="s">
        <v>2237</v>
      </c>
      <c r="C86" s="61" t="n">
        <f aca="false">Entrées!$C$401</f>
        <v>268</v>
      </c>
      <c r="D86" s="61" t="n">
        <f aca="false">Entrées!$C$324</f>
        <v>227</v>
      </c>
      <c r="E86" s="24" t="s">
        <v>2238</v>
      </c>
      <c r="F86" s="2"/>
      <c r="G86" s="2"/>
      <c r="H86" s="2"/>
    </row>
    <row r="87" customFormat="false" ht="15" hidden="false" customHeight="false" outlineLevel="0" collapsed="false">
      <c r="A87" s="2"/>
      <c r="B87" s="5" t="s">
        <v>2239</v>
      </c>
      <c r="C87" s="61" t="n">
        <f aca="false">Entrées!$C$325</f>
        <v>105</v>
      </c>
      <c r="D87" s="61" t="n">
        <f aca="false">Entrées!$C$326</f>
        <v>123</v>
      </c>
      <c r="E87" s="24" t="s">
        <v>2240</v>
      </c>
      <c r="F87" s="2"/>
      <c r="G87" s="2"/>
      <c r="H87" s="2"/>
    </row>
    <row r="88" customFormat="false" ht="15" hidden="false" customHeight="false" outlineLevel="0" collapsed="false">
      <c r="A88" s="2"/>
      <c r="B88" s="22" t="s">
        <v>2241</v>
      </c>
      <c r="C88" s="70" t="n">
        <f aca="false">SUM(C81:C87)</f>
        <v>5157</v>
      </c>
      <c r="D88" s="70" t="n">
        <f aca="false">SUM(D81:D87)</f>
        <v>4852</v>
      </c>
      <c r="E88" s="2"/>
      <c r="F88" s="2"/>
      <c r="G88" s="2"/>
      <c r="H88" s="2"/>
    </row>
    <row r="89" customFormat="false" ht="15" hidden="false" customHeight="false" outlineLevel="0" collapsed="false">
      <c r="A89" s="2"/>
      <c r="B89" s="5" t="s">
        <v>2242</v>
      </c>
      <c r="C89" s="61" t="n">
        <f aca="false">Entrées!$C$249</f>
        <v>5160</v>
      </c>
      <c r="D89" s="61" t="n">
        <f aca="false">Entrées!$C$250</f>
        <v>4948</v>
      </c>
      <c r="E89" s="24" t="s">
        <v>2243</v>
      </c>
      <c r="F89" s="2"/>
      <c r="G89" s="2"/>
      <c r="H89" s="2"/>
    </row>
    <row r="90" customFormat="false" ht="15" hidden="false" customHeight="false" outlineLevel="0" collapsed="false">
      <c r="A90" s="2"/>
      <c r="B90" s="5" t="s">
        <v>2244</v>
      </c>
      <c r="C90" s="64" t="n">
        <f aca="false">C88-C89</f>
        <v>-3</v>
      </c>
      <c r="D90" s="64" t="n">
        <f aca="false">D88-D89</f>
        <v>-96</v>
      </c>
      <c r="E90" s="2"/>
      <c r="F90" s="2"/>
      <c r="G90" s="2"/>
      <c r="H90" s="2"/>
    </row>
    <row r="91" customFormat="false" ht="15" hidden="false" customHeight="false" outlineLevel="0" collapsed="false">
      <c r="A91" s="2"/>
      <c r="B91" s="22" t="s">
        <v>2245</v>
      </c>
      <c r="C91" s="41" t="n">
        <f aca="false">C88/C89-1</f>
        <v>-0.000581395348837166</v>
      </c>
      <c r="D91" s="41" t="n">
        <f aca="false">D88/D89-1</f>
        <v>-0.0194017784963622</v>
      </c>
      <c r="E91" s="2"/>
      <c r="F91" s="2"/>
      <c r="G91" s="2"/>
      <c r="H91" s="2"/>
    </row>
    <row r="92" customFormat="false" ht="15" hidden="false" customHeight="false" outlineLevel="0" collapsed="false">
      <c r="A92" s="2"/>
      <c r="B92" s="5" t="s">
        <v>2246</v>
      </c>
      <c r="C92" s="66" t="n">
        <f aca="false">C88/Entrées!$C$8</f>
        <v>0.731489361702128</v>
      </c>
      <c r="D92" s="66" t="n">
        <f aca="false">D88/Entrées!$C$22</f>
        <v>0.714790807307012</v>
      </c>
      <c r="E92" s="24" t="s">
        <v>2247</v>
      </c>
      <c r="F92" s="2"/>
      <c r="G92" s="2"/>
      <c r="H92" s="2"/>
    </row>
    <row r="93" customFormat="false" ht="15" hidden="false" customHeight="false" outlineLevel="0" collapsed="false">
      <c r="A93" s="2"/>
      <c r="B93" s="5" t="s">
        <v>2248</v>
      </c>
      <c r="C93" s="66" t="n">
        <f aca="false">C88/Levier!$C$60</f>
        <v>0.202999527633444</v>
      </c>
      <c r="D93" s="66" t="n">
        <f aca="false">D88/Entrées!$C$245</f>
        <v>0.208481931852361</v>
      </c>
      <c r="E93" s="24" t="s">
        <v>2249</v>
      </c>
      <c r="F93" s="2"/>
      <c r="G93" s="2"/>
      <c r="H93" s="2"/>
    </row>
    <row r="94" customFormat="false" ht="57.75" hidden="false" customHeight="true" outlineLevel="0" collapsed="false">
      <c r="A94" s="2"/>
      <c r="B94" s="69" t="str">
        <f aca="false">"Lecture : Moody's ne publie pas sa formule. Lue depuis le tableau de flux de Veolia — capacité d'autofinancement avant BFR, moins impôts et intérêts payés (dette, IFRIC 12, IFRS 16), plus les rembours"&amp;"ements d'actifs financiers opérationnels et les dividendes reçus — la reconstitution retombe sur le FFO de Moody's à "&amp;SUBSTITUTE(SUBSTITUTE(FIXED((MAX(ABS(Levier!$C$91),ABS(Levier!$D$91)))*100,1,TRUE()),".",","),"-","−")&amp;" %"&amp;" près au plus sur les deux années. C'est la lecture du groupe, contrôlée à ± 5 % (Vérifications) ; elle donne un FFO projetable poste par poste, dont les intérêts (Échéancier §B)."</f>
        <v>Lecture : Moody's ne publie pas sa formule. Lue depuis le tableau de flux de Veolia — capacité d'autofinancement avant BFR, moins impôts et intérêts payés (dette, IFRIC 12, IFRS 16), plus les remboursements d'actifs financiers opérationnels et les dividendes reçus — la reconstitution retombe sur le FFO de Moody's à 1,9 % près au plus sur les deux années. C'est la lecture du groupe, contrôlée à ± 5 % (Vérifications) ; elle donne un FFO projetable poste par poste, dont les intérêts (Échéancier §B).</v>
      </c>
      <c r="C94" s="69"/>
      <c r="D94" s="69"/>
      <c r="E94" s="69"/>
      <c r="F94" s="2"/>
      <c r="G94" s="2"/>
      <c r="H94" s="2"/>
    </row>
    <row r="95" customFormat="false" ht="15" hidden="false" customHeight="false" outlineLevel="0" collapsed="false">
      <c r="A95" s="2"/>
      <c r="B95" s="2"/>
      <c r="C95" s="2"/>
      <c r="D95" s="2"/>
      <c r="E95" s="2"/>
      <c r="F95" s="2"/>
      <c r="G95" s="2"/>
      <c r="H95" s="2"/>
    </row>
    <row r="96" customFormat="false" ht="15" hidden="false" customHeight="false" outlineLevel="0" collapsed="false">
      <c r="A96" s="22" t="s">
        <v>2250</v>
      </c>
      <c r="B96" s="22" t="s">
        <v>2251</v>
      </c>
      <c r="C96" s="2"/>
      <c r="D96" s="2"/>
      <c r="E96" s="2"/>
      <c r="F96" s="2"/>
      <c r="G96" s="2"/>
      <c r="H96" s="2"/>
    </row>
    <row r="97" customFormat="false" ht="35.05" hidden="false" customHeight="false" outlineLevel="0" collapsed="false">
      <c r="A97" s="21"/>
      <c r="B97" s="21" t="s">
        <v>2252</v>
      </c>
      <c r="C97" s="21" t="s">
        <v>2253</v>
      </c>
      <c r="D97" s="21" t="s">
        <v>2254</v>
      </c>
      <c r="E97" s="21" t="s">
        <v>2255</v>
      </c>
      <c r="F97" s="21" t="s">
        <v>2256</v>
      </c>
      <c r="G97" s="21" t="s">
        <v>2257</v>
      </c>
      <c r="H97" s="21" t="s">
        <v>2048</v>
      </c>
    </row>
    <row r="98" customFormat="false" ht="15" hidden="false" customHeight="false" outlineLevel="0" collapsed="false">
      <c r="A98" s="2"/>
      <c r="B98" s="22" t="s">
        <v>2258</v>
      </c>
      <c r="C98" s="71" t="str">
        <f aca="false">Entrées!$C$550</f>
        <v>Baa1 Stable</v>
      </c>
      <c r="D98" s="72" t="n">
        <f aca="false">Levier!$C$36</f>
        <v>0.203</v>
      </c>
      <c r="E98" s="66" t="n">
        <f aca="false">Entrées!$C$253/Levier!$C$60</f>
        <v>0.150330656589513</v>
      </c>
      <c r="F98" s="63" t="n">
        <f aca="false">Entrées!$C$258</f>
        <v>5.1</v>
      </c>
      <c r="G98" s="61" t="n">
        <f aca="false">Entrées!$C$248</f>
        <v>6777.8</v>
      </c>
      <c r="H98" s="24" t="s">
        <v>2259</v>
      </c>
    </row>
    <row r="99" customFormat="false" ht="15" hidden="false" customHeight="false" outlineLevel="0" collapsed="false">
      <c r="A99" s="2"/>
      <c r="B99" s="5" t="s">
        <v>2260</v>
      </c>
      <c r="C99" s="71" t="str">
        <f aca="false">Entrées!$C$535</f>
        <v>Baa1 Stable</v>
      </c>
      <c r="D99" s="72" t="n">
        <f aca="false">Entrées!$C$537/100</f>
        <v>0.203</v>
      </c>
      <c r="E99" s="72" t="n">
        <f aca="false">Entrées!$C$538/100</f>
        <v>0.175</v>
      </c>
      <c r="F99" s="63" t="n">
        <f aca="false">Entrées!$C$539</f>
        <v>4.2</v>
      </c>
      <c r="G99" s="61" t="n">
        <f aca="false">Entrées!$C$536</f>
        <v>1415</v>
      </c>
      <c r="H99" s="24" t="s">
        <v>2261</v>
      </c>
    </row>
    <row r="100" customFormat="false" ht="15" hidden="false" customHeight="false" outlineLevel="0" collapsed="false">
      <c r="A100" s="2"/>
      <c r="B100" s="5" t="s">
        <v>2262</v>
      </c>
      <c r="C100" s="71" t="str">
        <f aca="false">Entrées!$C$540</f>
        <v>Baa1 Stable</v>
      </c>
      <c r="D100" s="72" t="n">
        <f aca="false">Entrées!$C$542/100</f>
        <v>0.233</v>
      </c>
      <c r="E100" s="72" t="n">
        <f aca="false">Entrées!$C$543/100</f>
        <v>0.169</v>
      </c>
      <c r="F100" s="63" t="n">
        <f aca="false">Entrées!$C$544</f>
        <v>3.8</v>
      </c>
      <c r="G100" s="61" t="n">
        <f aca="false">Entrées!$C$541</f>
        <v>1476</v>
      </c>
      <c r="H100" s="24" t="s">
        <v>2263</v>
      </c>
    </row>
    <row r="101" customFormat="false" ht="15" hidden="false" customHeight="false" outlineLevel="0" collapsed="false">
      <c r="A101" s="2"/>
      <c r="B101" s="5" t="s">
        <v>2264</v>
      </c>
      <c r="C101" s="71" t="str">
        <f aca="false">Entrées!$C$545</f>
        <v>Baa2 Negative</v>
      </c>
      <c r="D101" s="72" t="n">
        <f aca="false">Entrées!$C$547/100</f>
        <v>0.114</v>
      </c>
      <c r="E101" s="72" t="n">
        <f aca="false">Entrées!$C$548/100</f>
        <v>0.103</v>
      </c>
      <c r="F101" s="63" t="n">
        <f aca="false">Entrées!$C$549</f>
        <v>6.8</v>
      </c>
      <c r="G101" s="61" t="n">
        <f aca="false">Entrées!$C$546</f>
        <v>1088</v>
      </c>
      <c r="H101" s="24" t="s">
        <v>2265</v>
      </c>
    </row>
    <row r="102" customFormat="false" ht="15" hidden="false" customHeight="false" outlineLevel="0" collapsed="false">
      <c r="A102" s="2"/>
      <c r="B102" s="22" t="s">
        <v>2266</v>
      </c>
      <c r="C102" s="41" t="n">
        <f aca="false">D98-D101</f>
        <v>0.089</v>
      </c>
      <c r="D102" s="24" t="s">
        <v>2267</v>
      </c>
      <c r="E102" s="24" t="s">
        <v>2268</v>
      </c>
      <c r="F102" s="2"/>
      <c r="G102" s="2"/>
      <c r="H102" s="2"/>
    </row>
    <row r="103" customFormat="false" ht="15" hidden="false" customHeight="false" outlineLevel="0" collapsed="false">
      <c r="A103" s="2"/>
      <c r="B103" s="22" t="s">
        <v>2269</v>
      </c>
      <c r="C103" s="41" t="n">
        <f aca="false">D98-D100</f>
        <v>-0.03</v>
      </c>
      <c r="D103" s="24" t="s">
        <v>2267</v>
      </c>
      <c r="E103" s="24" t="s">
        <v>2270</v>
      </c>
      <c r="F103" s="2"/>
      <c r="G103" s="2"/>
      <c r="H103" s="2"/>
    </row>
    <row r="104" customFormat="false" ht="43.5" hidden="false" customHeight="true" outlineLevel="0" collapsed="false">
      <c r="A104" s="2"/>
      <c r="B104" s="69" t="str">
        <f aca="false">"Lecture : à notation égale (Baa1), Veolia ("&amp;SUBSTITUTE(SUBSTITUTE(FIXED((D98)*100,1,TRUE()),".",","),"-","−")&amp;" %"&amp;") est au niveau d'ACEA ("&amp;SUBSTITUTE(SUBSTITUTE(FIXED((D99)*100,1,TRUE()),".",","),"-","−")&amp;" %"&amp;") et sous Hera ("&amp;SUBSTITUTE(SUBSTITUTE(FIXED((D100)*100,1,TRUE()),".",","),"-","−")&amp;" %"&amp;") ; Suez, Baa2 à perspective négative, est à "&amp;SUBSTITUTE(SUBSTITUTE(FIXED((D101)*100,0,FALSE()),","," "),"-","−")&amp;" %"&amp;". Le seuil des « high teens » de Moody's n'est pas théorique : c'est la zone où se trouve déjà le concurrent direct. ACEA et Hera gardent "&amp;SUBSTITUTE(SUBSTITUTE(FIXED((D99-Levier!$C$40)*100,1,TRUE()),".",","),"-","−")&amp;" et "&amp;SUBSTITUTE(SUBSTITUTE(FIXED((D100-Levier!$C$40)*100,1,TRUE()),".",","),"-","−")&amp;" points au-dessus de "&amp;SUBSTITUTE(SUBSTITUTE(FIXED((Levier!$C$40)*100,0,FALSE()),","," "),"-","−")&amp;" %"&amp;" ; Veolia, fin 2026, en garde "&amp;SUBSTITUTE(SUBSTITUTE(FIXED((Trajectoire!$D$52-Levier!$C$40)*100,1,TRUE()),".",","),"-","−")&amp;" (Trajectoire)."</f>
        <v>Lecture : à notation égale (Baa1), Veolia (20,3 %) est au niveau d'ACEA (20,3 %) et sous Hera (23,3 %) ; Suez, Baa2 à perspective négative, est à 11 %. Le seuil des « high teens » de Moody's n'est pas théorique : c'est la zone où se trouve déjà le concurrent direct. ACEA et Hera gardent 2,3 et 5,3 points au-dessus de 18 % ; Veolia, fin 2026, en garde 1,3 (Trajectoire).</v>
      </c>
      <c r="C104" s="69"/>
      <c r="D104" s="69"/>
      <c r="E104" s="69"/>
      <c r="F104" s="69"/>
      <c r="G104" s="69"/>
      <c r="H104" s="69"/>
    </row>
    <row r="105" customFormat="false" ht="15" hidden="false" customHeight="false" outlineLevel="0" collapsed="false">
      <c r="A105" s="2"/>
      <c r="B105" s="2"/>
      <c r="C105" s="2"/>
      <c r="D105" s="2"/>
      <c r="E105" s="2"/>
      <c r="F105" s="2"/>
      <c r="G105" s="2"/>
      <c r="H105" s="2"/>
    </row>
    <row r="106" customFormat="false" ht="15" hidden="false" customHeight="false" outlineLevel="0" collapsed="false">
      <c r="A106" s="22" t="s">
        <v>2271</v>
      </c>
      <c r="B106" s="22" t="s">
        <v>2272</v>
      </c>
      <c r="C106" s="2"/>
      <c r="D106" s="2"/>
      <c r="E106" s="2"/>
      <c r="F106" s="2"/>
      <c r="G106" s="2"/>
      <c r="H106" s="2"/>
    </row>
    <row r="107" customFormat="false" ht="35.05" hidden="false" customHeight="false" outlineLevel="0" collapsed="false">
      <c r="A107" s="21"/>
      <c r="B107" s="21" t="s">
        <v>2273</v>
      </c>
      <c r="C107" s="21" t="s">
        <v>2274</v>
      </c>
      <c r="D107" s="21" t="s">
        <v>2275</v>
      </c>
      <c r="E107" s="21" t="s">
        <v>2276</v>
      </c>
      <c r="F107" s="21" t="s">
        <v>2277</v>
      </c>
      <c r="G107" s="21" t="s">
        <v>2048</v>
      </c>
      <c r="H107" s="2"/>
    </row>
    <row r="108" customFormat="false" ht="15" hidden="false" customHeight="false" outlineLevel="0" collapsed="false">
      <c r="A108" s="2"/>
      <c r="B108" s="5" t="s">
        <v>2278</v>
      </c>
      <c r="C108" s="61" t="n">
        <f aca="false">Entrées!$C$570</f>
        <v>500</v>
      </c>
      <c r="D108" s="73" t="n">
        <f aca="false">Entrées!$C$571/100</f>
        <v>0.01625</v>
      </c>
      <c r="E108" s="25" t="s">
        <v>2279</v>
      </c>
      <c r="F108" s="64" t="n">
        <f aca="false">C108*D108</f>
        <v>8.125</v>
      </c>
      <c r="G108" s="24" t="s">
        <v>2280</v>
      </c>
      <c r="H108" s="2"/>
    </row>
    <row r="109" customFormat="false" ht="15" hidden="false" customHeight="false" outlineLevel="0" collapsed="false">
      <c r="A109" s="2"/>
      <c r="B109" s="5" t="s">
        <v>2281</v>
      </c>
      <c r="C109" s="61" t="n">
        <f aca="false">Entrées!$C$572</f>
        <v>500</v>
      </c>
      <c r="D109" s="73" t="n">
        <f aca="false">Entrées!$C$573/100</f>
        <v>0.02</v>
      </c>
      <c r="E109" s="25" t="s">
        <v>2282</v>
      </c>
      <c r="F109" s="64" t="n">
        <f aca="false">C109*D109</f>
        <v>10</v>
      </c>
      <c r="G109" s="24" t="s">
        <v>2283</v>
      </c>
      <c r="H109" s="2"/>
    </row>
    <row r="110" customFormat="false" ht="15" hidden="false" customHeight="false" outlineLevel="0" collapsed="false">
      <c r="A110" s="2"/>
      <c r="B110" s="5" t="s">
        <v>2284</v>
      </c>
      <c r="C110" s="61" t="n">
        <f aca="false">Entrées!$C$574</f>
        <v>600</v>
      </c>
      <c r="D110" s="73" t="n">
        <f aca="false">Entrées!$C$575/100</f>
        <v>0.06</v>
      </c>
      <c r="E110" s="25" t="s">
        <v>2285</v>
      </c>
      <c r="F110" s="64" t="n">
        <f aca="false">C110*D110</f>
        <v>36</v>
      </c>
      <c r="G110" s="24" t="s">
        <v>2286</v>
      </c>
      <c r="H110" s="2"/>
    </row>
    <row r="111" customFormat="false" ht="15" hidden="false" customHeight="false" outlineLevel="0" collapsed="false">
      <c r="A111" s="2"/>
      <c r="B111" s="5" t="s">
        <v>2287</v>
      </c>
      <c r="C111" s="61" t="n">
        <f aca="false">Entrées!$C$568</f>
        <v>1150</v>
      </c>
      <c r="D111" s="73" t="n">
        <f aca="false">Entrées!$C$569/100</f>
        <v>0.025</v>
      </c>
      <c r="E111" s="25" t="s">
        <v>2288</v>
      </c>
      <c r="F111" s="64" t="n">
        <f aca="false">C111*D111</f>
        <v>28.75</v>
      </c>
      <c r="G111" s="24" t="s">
        <v>2289</v>
      </c>
      <c r="H111" s="2"/>
    </row>
    <row r="112" customFormat="false" ht="15" hidden="false" customHeight="false" outlineLevel="0" collapsed="false">
      <c r="A112" s="2"/>
      <c r="B112" s="5" t="s">
        <v>2290</v>
      </c>
      <c r="C112" s="61" t="n">
        <f aca="false">Entrées!$C$576</f>
        <v>500</v>
      </c>
      <c r="D112" s="73" t="n">
        <f aca="false">Entrées!$C$577/100</f>
        <v>0.04371</v>
      </c>
      <c r="E112" s="25" t="s">
        <v>2291</v>
      </c>
      <c r="F112" s="64" t="n">
        <f aca="false">C112*D112</f>
        <v>21.855</v>
      </c>
      <c r="G112" s="24" t="s">
        <v>2292</v>
      </c>
      <c r="H112" s="2"/>
    </row>
    <row r="113" customFormat="false" ht="15" hidden="false" customHeight="false" outlineLevel="0" collapsed="false">
      <c r="A113" s="2"/>
      <c r="B113" s="5" t="s">
        <v>2293</v>
      </c>
      <c r="C113" s="61" t="n">
        <f aca="false">Entrées!$C$578</f>
        <v>850</v>
      </c>
      <c r="D113" s="73" t="n">
        <f aca="false">Entrées!$C$579/100</f>
        <v>0.04322</v>
      </c>
      <c r="E113" s="25" t="s">
        <v>2294</v>
      </c>
      <c r="F113" s="64" t="n">
        <f aca="false">C113*D113</f>
        <v>36.737</v>
      </c>
      <c r="G113" s="24" t="s">
        <v>2295</v>
      </c>
      <c r="H113" s="2"/>
    </row>
    <row r="114" customFormat="false" ht="15" hidden="false" customHeight="false" outlineLevel="0" collapsed="false">
      <c r="A114" s="2"/>
      <c r="B114" s="22" t="s">
        <v>2296</v>
      </c>
      <c r="C114" s="45" t="n">
        <f aca="false">SUM(C108:C113)</f>
        <v>4100</v>
      </c>
      <c r="D114" s="24" t="s">
        <v>103</v>
      </c>
      <c r="E114" s="24"/>
      <c r="F114" s="45" t="n">
        <f aca="false">SUM(F108:F113)</f>
        <v>141.467</v>
      </c>
      <c r="G114" s="2"/>
      <c r="H114" s="2"/>
    </row>
    <row r="115" customFormat="false" ht="15" hidden="false" customHeight="false" outlineLevel="0" collapsed="false">
      <c r="A115" s="2"/>
      <c r="B115" s="5" t="s">
        <v>2297</v>
      </c>
      <c r="C115" s="64" t="n">
        <f aca="false">Entrées!$C$567*1000</f>
        <v>4100</v>
      </c>
      <c r="D115" s="24" t="s">
        <v>103</v>
      </c>
      <c r="E115" s="24" t="s">
        <v>1743</v>
      </c>
      <c r="F115" s="2"/>
      <c r="G115" s="2"/>
      <c r="H115" s="2"/>
    </row>
    <row r="116" customFormat="false" ht="15" hidden="false" customHeight="false" outlineLevel="0" collapsed="false">
      <c r="A116" s="2"/>
      <c r="B116" s="5" t="s">
        <v>2298</v>
      </c>
      <c r="C116" s="74" t="n">
        <f aca="false">F114/C114</f>
        <v>0.0345041463414634</v>
      </c>
      <c r="D116" s="24" t="s">
        <v>299</v>
      </c>
      <c r="E116" s="24" t="s">
        <v>2299</v>
      </c>
      <c r="F116" s="2"/>
      <c r="G116" s="2"/>
      <c r="H116" s="2"/>
    </row>
    <row r="117" customFormat="false" ht="15" hidden="false" customHeight="false" outlineLevel="0" collapsed="false">
      <c r="A117" s="2"/>
      <c r="B117" s="22" t="s">
        <v>2300</v>
      </c>
      <c r="C117" s="45" t="n">
        <f aca="false">C108</f>
        <v>500</v>
      </c>
      <c r="D117" s="24" t="s">
        <v>103</v>
      </c>
      <c r="E117" s="24" t="s">
        <v>2301</v>
      </c>
      <c r="F117" s="2"/>
      <c r="G117" s="2"/>
      <c r="H117" s="2"/>
    </row>
    <row r="118" customFormat="false" ht="15" hidden="false" customHeight="false" outlineLevel="0" collapsed="false">
      <c r="A118" s="2"/>
      <c r="B118" s="22" t="s">
        <v>2302</v>
      </c>
      <c r="C118" s="45" t="n">
        <f aca="false">C108*(Entrées!$C$579-Entrées!$C$571)/100</f>
        <v>13.485</v>
      </c>
      <c r="D118" s="24" t="s">
        <v>103</v>
      </c>
      <c r="E118" s="24" t="s">
        <v>2303</v>
      </c>
      <c r="F118" s="2"/>
      <c r="G118" s="2"/>
      <c r="H118" s="2"/>
    </row>
    <row r="119" customFormat="false" ht="15" hidden="false" customHeight="false" outlineLevel="0" collapsed="false">
      <c r="A119" s="2"/>
      <c r="B119" s="22" t="s">
        <v>2304</v>
      </c>
      <c r="C119" s="62" t="n">
        <f aca="false">(Trajectoire!$D$44+C108)/Trajectoire!$D$41</f>
        <v>2.86585428910308</v>
      </c>
      <c r="D119" s="24" t="s">
        <v>133</v>
      </c>
      <c r="E119" s="24" t="s">
        <v>2305</v>
      </c>
      <c r="F119" s="2"/>
      <c r="G119" s="2"/>
      <c r="H119" s="2"/>
    </row>
    <row r="120" customFormat="false" ht="15" hidden="false" customHeight="false" outlineLevel="0" collapsed="false">
      <c r="A120" s="2"/>
      <c r="B120" s="5" t="s">
        <v>2306</v>
      </c>
      <c r="C120" s="64" t="n">
        <f aca="false">Trajectoire!$D$54+C108*(1-Hypothèses!$J$27)</f>
        <v>28370.6168524571</v>
      </c>
      <c r="D120" s="24" t="s">
        <v>103</v>
      </c>
      <c r="E120" s="24" t="s">
        <v>2307</v>
      </c>
      <c r="F120" s="2"/>
      <c r="G120" s="2"/>
      <c r="H120" s="2"/>
    </row>
    <row r="121" customFormat="false" ht="57.75" hidden="false" customHeight="true" outlineLevel="0" collapsed="false">
      <c r="A121" s="2"/>
      <c r="B121" s="69" t="str">
        <f aca="false">"Lecture : "&amp;SUBSTITUTE(SUBSTITUTE(FIXED((Levier!$C$115)/1000,1,TRUE()),".",","),"-","−")&amp;" Md€"&amp;" d'hybrides en capitaux propres chez Veolia, à moitié en dette chez Moody's. Une seule date tombe dans l'horizon (septembre 2026, "&amp;SUBSTITUTE(SUBSTITUTE(FIXED(Levier!$C$117,0,FALSE()),","," "),"-","−")&amp;" M€"&amp;" à "&amp;SUBSTITUTE(SUBSTITUTE(FIXED((D108)*100,3,TRUE()),".",","),"-","−")&amp;" %"&amp;") ; la remplacer coûte "&amp;SUBSTITUTE(SUBSTITUTE(FIXED(Levier!$C$118,0,FALSE()),","," "),"-","−")&amp;" M€"&amp;" de coupon par an, ne pas la remplacer ajoute "&amp;SUBSTITUTE(SUBSTITUTE(FIXED(Levier!$C$117,0,FALSE()),","," "),"-","−")&amp;" M€"&amp;" à la dette nette et "&amp;SUBSTITUTE(SUBSTITUTE(FIXED(Levier!$C$117*(1-Hypothèses!$J$27),0,FALSE()),","," "),"-","−")&amp;" M€"&amp;" à la dette ajustée. Le levier n'est pas la contrainte : c'est le coût du capital hybride, passé de "&amp;SUBSTITUTE(SUBSTITUTE(FIXED((D108)*100,1,TRUE()),".",","),"-","−")&amp;" %"&amp;" à "&amp;SUBSTITUTE(SUBSTITUTE(FIXED((D113)*100,1,TRUE()),".",","),"-","−")&amp;" %"&amp;" entre 2019 et 2025. Les grosses échéances (2028-2029 : "&amp;SUBSTITUTE(SUBSTITUTE(FIXED((C109+C110+C111)/1000,2,TRUE()),".",","),"-","−")&amp;" Md€"&amp;") sont hors horizon mais pas hors question."</f>
        <v>Lecture : 4,1 Md€ d'hybrides en capitaux propres chez Veolia, à moitié en dette chez Moody's. Une seule date tombe dans l'horizon (septembre 2026, 500 M€ à 1,625 %) ; la remplacer coûte 13 M€ de coupon par an, ne pas la remplacer ajoute 500 M€ à la dette nette et 250 M€ à la dette ajustée. Le levier n'est pas la contrainte : c'est le coût du capital hybride, passé de 1,6 % à 4,3 % entre 2019 et 2025. Les grosses échéances (2028-2029 : 2,25 Md€) sont hors horizon mais pas hors question.</v>
      </c>
      <c r="C121" s="69"/>
      <c r="D121" s="69"/>
      <c r="E121" s="69"/>
      <c r="F121" s="69"/>
      <c r="G121" s="69"/>
      <c r="H121" s="2"/>
    </row>
    <row r="122" customFormat="false" ht="15" hidden="false" customHeight="false" outlineLevel="0" collapsed="false">
      <c r="A122" s="2"/>
      <c r="B122" s="2"/>
      <c r="C122" s="2"/>
      <c r="D122" s="2"/>
      <c r="E122" s="2"/>
      <c r="F122" s="2"/>
      <c r="G122" s="2"/>
      <c r="H122" s="2"/>
    </row>
    <row r="123" customFormat="false" ht="15" hidden="false" customHeight="false" outlineLevel="0" collapsed="false">
      <c r="A123" s="22" t="s">
        <v>2308</v>
      </c>
      <c r="B123" s="22" t="s">
        <v>2309</v>
      </c>
      <c r="C123" s="2"/>
      <c r="D123" s="2"/>
      <c r="E123" s="2"/>
      <c r="F123" s="2"/>
      <c r="G123" s="2"/>
      <c r="H123" s="2"/>
    </row>
    <row r="124" customFormat="false" ht="15" hidden="false" customHeight="false" outlineLevel="0" collapsed="false">
      <c r="A124" s="21"/>
      <c r="B124" s="21" t="s">
        <v>2310</v>
      </c>
      <c r="C124" s="21" t="s">
        <v>2311</v>
      </c>
      <c r="D124" s="21" t="s">
        <v>2312</v>
      </c>
      <c r="E124" s="21" t="s">
        <v>2313</v>
      </c>
      <c r="F124" s="2"/>
      <c r="G124" s="2"/>
      <c r="H124" s="2"/>
    </row>
    <row r="125" customFormat="false" ht="15" hidden="false" customHeight="false" outlineLevel="0" collapsed="false">
      <c r="A125" s="2"/>
      <c r="B125" s="5" t="s">
        <v>2314</v>
      </c>
      <c r="C125" s="75" t="n">
        <f aca="false">(Trajectoire!$D$44+0)/Trajectoire!$D$41</f>
        <v>2.80320887741352</v>
      </c>
      <c r="D125" s="64" t="n">
        <f aca="false">Hypothèses!$J$26*Trajectoire!$D$41-(Trajectoire!$D$44+0)</f>
        <v>1570.67466937297</v>
      </c>
      <c r="E125" s="24" t="s">
        <v>2315</v>
      </c>
      <c r="F125" s="2"/>
      <c r="G125" s="2"/>
      <c r="H125" s="2"/>
    </row>
    <row r="126" customFormat="false" ht="15" hidden="false" customHeight="false" outlineLevel="0" collapsed="false">
      <c r="A126" s="2"/>
      <c r="B126" s="5" t="s">
        <v>2316</v>
      </c>
      <c r="C126" s="75" t="n">
        <f aca="false">(Trajectoire!$D$44+Hypothèses!$J$27*Entrées!$C$15*1000)/Trajectoire!$D$41</f>
        <v>3.06005506534074</v>
      </c>
      <c r="D126" s="64" t="n">
        <f aca="false">Hypothèses!$J$26*Trajectoire!$D$41-(Trajectoire!$D$44+Hypothèses!$J$27*Entrées!$C$15*1000)</f>
        <v>-479.325330627034</v>
      </c>
      <c r="E126" s="24" t="s">
        <v>2317</v>
      </c>
      <c r="F126" s="2"/>
      <c r="G126" s="2"/>
      <c r="H126" s="2"/>
    </row>
    <row r="127" customFormat="false" ht="15" hidden="false" customHeight="false" outlineLevel="0" collapsed="false">
      <c r="A127" s="2"/>
      <c r="B127" s="5" t="s">
        <v>2318</v>
      </c>
      <c r="C127" s="75" t="n">
        <f aca="false">(Trajectoire!$D$44+Entrées!$C$15*1000)/Trajectoire!$D$41</f>
        <v>3.31690125326795</v>
      </c>
      <c r="D127" s="64" t="n">
        <f aca="false">Hypothèses!$J$26*Trajectoire!$D$41-(Trajectoire!$D$44+Entrées!$C$15*1000)</f>
        <v>-2529.32533062703</v>
      </c>
      <c r="E127" s="24" t="s">
        <v>2319</v>
      </c>
      <c r="F127" s="2"/>
      <c r="G127" s="2"/>
      <c r="H127" s="2"/>
    </row>
    <row r="128" customFormat="false" ht="15" hidden="false" customHeight="false" outlineLevel="0" collapsed="false">
      <c r="A128" s="2"/>
      <c r="B128" s="5" t="s">
        <v>2320</v>
      </c>
      <c r="C128" s="75" t="n">
        <f aca="false">(Trajectoire!$D$44+Hypothèses!$J$27*Entrées!$C$15*1000+Entrées!$C$49)/Trajectoire!$D$41</f>
        <v>3.22168022749981</v>
      </c>
      <c r="D128" s="64" t="n">
        <f aca="false">Hypothèses!$J$26*Trajectoire!$D$41-(Trajectoire!$D$44+Hypothèses!$J$27*Entrées!$C$15*1000+Entrées!$C$49)</f>
        <v>-1769.32533062703</v>
      </c>
      <c r="E128" s="24" t="s">
        <v>2321</v>
      </c>
      <c r="F128" s="2"/>
      <c r="G128" s="2"/>
      <c r="H128" s="2"/>
    </row>
    <row r="129" customFormat="false" ht="27.75" hidden="false" customHeight="true" outlineLevel="0" collapsed="false">
      <c r="A129" s="2"/>
      <c r="B129" s="69" t="s">
        <v>2322</v>
      </c>
      <c r="C129" s="69"/>
      <c r="D129" s="69"/>
      <c r="E129" s="69"/>
      <c r="F129" s="2"/>
      <c r="G129" s="2"/>
      <c r="H129" s="2"/>
    </row>
  </sheetData>
  <mergeCells count="6">
    <mergeCell ref="B76:E76"/>
    <mergeCell ref="B77:E77"/>
    <mergeCell ref="B94:E94"/>
    <mergeCell ref="B104:H104"/>
    <mergeCell ref="B121:G121"/>
    <mergeCell ref="B129:E129"/>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customHeight="true" zeroHeight="false" outlineLevelRow="0" outlineLevelCol="0"/>
  <cols>
    <col collapsed="false" customWidth="true" hidden="false" outlineLevel="0" max="1" min="1" style="0" width="4"/>
    <col collapsed="false" customWidth="true" hidden="false" outlineLevel="0" max="2" min="2" style="0" width="56"/>
    <col collapsed="false" customWidth="true" hidden="false" outlineLevel="0" max="3" min="3" style="0" width="14"/>
    <col collapsed="false" customWidth="true" hidden="false" outlineLevel="0" max="4" min="4" style="0" width="4"/>
    <col collapsed="false" customWidth="true" hidden="false" outlineLevel="0" max="5" min="5" style="0" width="58"/>
  </cols>
  <sheetData>
    <row r="1" customFormat="false" ht="17.35" hidden="false" customHeight="false" outlineLevel="0" collapsed="false">
      <c r="A1" s="1" t="s">
        <v>2323</v>
      </c>
      <c r="B1" s="2"/>
      <c r="C1" s="2"/>
      <c r="D1" s="2"/>
      <c r="E1" s="2"/>
    </row>
    <row r="2" customFormat="false" ht="15" hidden="false" customHeight="false" outlineLevel="0" collapsed="false">
      <c r="A2" s="3" t="s">
        <v>2324</v>
      </c>
      <c r="B2" s="2"/>
      <c r="C2" s="2"/>
      <c r="D2" s="2"/>
      <c r="E2" s="2"/>
    </row>
    <row r="3" customFormat="false" ht="15" hidden="false" customHeight="false" outlineLevel="0" collapsed="false">
      <c r="A3" s="2"/>
      <c r="B3" s="2"/>
      <c r="C3" s="2"/>
      <c r="D3" s="2"/>
      <c r="E3" s="2"/>
    </row>
    <row r="4" customFormat="false" ht="15" hidden="false" customHeight="false" outlineLevel="0" collapsed="false">
      <c r="A4" s="22" t="s">
        <v>2130</v>
      </c>
      <c r="B4" s="22" t="s">
        <v>2325</v>
      </c>
      <c r="C4" s="2"/>
      <c r="D4" s="2"/>
      <c r="E4" s="2"/>
    </row>
    <row r="5" customFormat="false" ht="15" hidden="false" customHeight="false" outlineLevel="0" collapsed="false">
      <c r="A5" s="21"/>
      <c r="B5" s="21" t="s">
        <v>2326</v>
      </c>
      <c r="C5" s="21" t="s">
        <v>103</v>
      </c>
      <c r="D5" s="21"/>
      <c r="E5" s="21" t="s">
        <v>2048</v>
      </c>
    </row>
    <row r="6" customFormat="false" ht="15" hidden="false" customHeight="false" outlineLevel="0" collapsed="false">
      <c r="A6" s="2"/>
      <c r="B6" s="5" t="s">
        <v>2137</v>
      </c>
      <c r="C6" s="61" t="n">
        <f aca="false">Entrées!$C$13</f>
        <v>19657</v>
      </c>
      <c r="D6" s="24"/>
      <c r="E6" s="24" t="s">
        <v>138</v>
      </c>
    </row>
    <row r="7" customFormat="false" ht="15" hidden="false" customHeight="false" outlineLevel="0" collapsed="false">
      <c r="A7" s="2"/>
      <c r="B7" s="5" t="s">
        <v>2327</v>
      </c>
      <c r="C7" s="61" t="n">
        <f aca="false">Entrées!$C$33</f>
        <v>-288</v>
      </c>
      <c r="D7" s="24"/>
      <c r="E7" s="24" t="s">
        <v>208</v>
      </c>
    </row>
    <row r="8" customFormat="false" ht="15" hidden="false" customHeight="false" outlineLevel="0" collapsed="false">
      <c r="A8" s="2"/>
      <c r="B8" s="5" t="s">
        <v>2328</v>
      </c>
      <c r="C8" s="61" t="n">
        <f aca="false">Entrées!$C$77</f>
        <v>-1394</v>
      </c>
      <c r="D8" s="24"/>
      <c r="E8" s="24" t="s">
        <v>353</v>
      </c>
    </row>
    <row r="9" customFormat="false" ht="15" hidden="false" customHeight="false" outlineLevel="0" collapsed="false">
      <c r="A9" s="2"/>
      <c r="B9" s="5" t="s">
        <v>2329</v>
      </c>
      <c r="C9" s="61" t="n">
        <f aca="false">Entrées!$C$80</f>
        <v>-2869</v>
      </c>
      <c r="D9" s="24"/>
      <c r="E9" s="24" t="s">
        <v>362</v>
      </c>
    </row>
    <row r="10" customFormat="false" ht="15" hidden="false" customHeight="false" outlineLevel="0" collapsed="false">
      <c r="A10" s="2"/>
      <c r="B10" s="5" t="s">
        <v>2330</v>
      </c>
      <c r="C10" s="61" t="n">
        <f aca="false">Entrées!$C$84</f>
        <v>-70</v>
      </c>
      <c r="D10" s="24"/>
      <c r="E10" s="24" t="s">
        <v>374</v>
      </c>
    </row>
    <row r="11" customFormat="false" ht="15" hidden="false" customHeight="false" outlineLevel="0" collapsed="false">
      <c r="A11" s="2"/>
      <c r="B11" s="5" t="s">
        <v>2331</v>
      </c>
      <c r="C11" s="61" t="n">
        <f aca="false">Entrées!$C$85</f>
        <v>10</v>
      </c>
      <c r="D11" s="24"/>
      <c r="E11" s="24" t="s">
        <v>377</v>
      </c>
    </row>
    <row r="12" customFormat="false" ht="15" hidden="false" customHeight="false" outlineLevel="0" collapsed="false">
      <c r="A12" s="2"/>
      <c r="B12" s="5" t="s">
        <v>2332</v>
      </c>
      <c r="C12" s="61" t="n">
        <f aca="false">Entrées!$C$83</f>
        <v>-260</v>
      </c>
      <c r="D12" s="24"/>
      <c r="E12" s="24" t="s">
        <v>371</v>
      </c>
    </row>
    <row r="13" customFormat="false" ht="15" hidden="false" customHeight="false" outlineLevel="0" collapsed="false">
      <c r="A13" s="2"/>
      <c r="B13" s="5" t="s">
        <v>2333</v>
      </c>
      <c r="C13" s="61" t="n">
        <f aca="false">Entrées!$C$86</f>
        <v>2</v>
      </c>
      <c r="D13" s="24"/>
      <c r="E13" s="24" t="s">
        <v>379</v>
      </c>
    </row>
    <row r="14" customFormat="false" ht="15" hidden="false" customHeight="false" outlineLevel="0" collapsed="false">
      <c r="A14" s="2"/>
      <c r="B14" s="22" t="s">
        <v>2334</v>
      </c>
      <c r="C14" s="45" t="n">
        <f aca="false">SUM(C7:C13)</f>
        <v>-4869</v>
      </c>
      <c r="D14" s="24"/>
      <c r="E14" s="24"/>
    </row>
    <row r="15" customFormat="false" ht="15" hidden="false" customHeight="false" outlineLevel="0" collapsed="false">
      <c r="A15" s="2"/>
      <c r="B15" s="5" t="s">
        <v>2335</v>
      </c>
      <c r="C15" s="61" t="n">
        <f aca="false">Entrées!$C$87</f>
        <v>-21</v>
      </c>
      <c r="D15" s="24"/>
      <c r="E15" s="24" t="s">
        <v>381</v>
      </c>
    </row>
    <row r="16" customFormat="false" ht="15" hidden="false" customHeight="false" outlineLevel="0" collapsed="false">
      <c r="A16" s="2"/>
      <c r="B16" s="22" t="s">
        <v>2336</v>
      </c>
      <c r="C16" s="45" t="n">
        <f aca="false">C6-C14-C15</f>
        <v>24547</v>
      </c>
      <c r="D16" s="24"/>
      <c r="E16" s="24" t="s">
        <v>2337</v>
      </c>
    </row>
    <row r="17" customFormat="false" ht="15" hidden="false" customHeight="false" outlineLevel="0" collapsed="false">
      <c r="A17" s="2"/>
      <c r="B17" s="5" t="s">
        <v>2338</v>
      </c>
      <c r="C17" s="61" t="n">
        <f aca="false">Entrées!$C$16</f>
        <v>24548</v>
      </c>
      <c r="D17" s="24"/>
      <c r="E17" s="24" t="s">
        <v>151</v>
      </c>
    </row>
    <row r="18" customFormat="false" ht="15" hidden="false" customHeight="false" outlineLevel="0" collapsed="false">
      <c r="A18" s="2"/>
      <c r="B18" s="5" t="s">
        <v>2339</v>
      </c>
      <c r="C18" s="61" t="n">
        <f aca="false">Entrées!$C$81</f>
        <v>-2778</v>
      </c>
      <c r="D18" s="24"/>
      <c r="E18" s="24" t="s">
        <v>365</v>
      </c>
    </row>
    <row r="19" customFormat="false" ht="15" hidden="false" customHeight="false" outlineLevel="0" collapsed="false">
      <c r="A19" s="2"/>
      <c r="B19" s="5" t="s">
        <v>2340</v>
      </c>
      <c r="C19" s="61" t="n">
        <f aca="false">Entrées!$C$82</f>
        <v>-137</v>
      </c>
      <c r="D19" s="24"/>
      <c r="E19" s="24" t="s">
        <v>368</v>
      </c>
    </row>
    <row r="20" customFormat="false" ht="15" hidden="false" customHeight="false" outlineLevel="0" collapsed="false">
      <c r="A20" s="2"/>
      <c r="B20" s="22" t="s">
        <v>2341</v>
      </c>
      <c r="C20" s="45" t="n">
        <f aca="false">-C18-Entrées!$C$46</f>
        <v>236</v>
      </c>
      <c r="D20" s="24"/>
      <c r="E20" s="24" t="s">
        <v>2342</v>
      </c>
    </row>
    <row r="21" customFormat="false" ht="15" hidden="false" customHeight="false" outlineLevel="0" collapsed="false">
      <c r="A21" s="2"/>
      <c r="B21" s="2"/>
      <c r="C21" s="2"/>
      <c r="D21" s="2"/>
      <c r="E21" s="2"/>
    </row>
    <row r="22" customFormat="false" ht="15" hidden="false" customHeight="false" outlineLevel="0" collapsed="false">
      <c r="A22" s="22" t="s">
        <v>2143</v>
      </c>
      <c r="B22" s="22" t="s">
        <v>2343</v>
      </c>
      <c r="C22" s="2"/>
      <c r="D22" s="2"/>
      <c r="E22" s="2"/>
    </row>
    <row r="23" customFormat="false" ht="15" hidden="false" customHeight="false" outlineLevel="0" collapsed="false">
      <c r="A23" s="21"/>
      <c r="B23" s="21" t="s">
        <v>2326</v>
      </c>
      <c r="C23" s="21" t="s">
        <v>103</v>
      </c>
      <c r="D23" s="21"/>
      <c r="E23" s="21" t="s">
        <v>2048</v>
      </c>
    </row>
    <row r="24" customFormat="false" ht="15" hidden="false" customHeight="false" outlineLevel="0" collapsed="false">
      <c r="A24" s="2"/>
      <c r="B24" s="5" t="s">
        <v>2132</v>
      </c>
      <c r="C24" s="61" t="n">
        <f aca="false">Entrées!$C$28</f>
        <v>17819</v>
      </c>
      <c r="D24" s="24"/>
      <c r="E24" s="24" t="s">
        <v>192</v>
      </c>
    </row>
    <row r="25" customFormat="false" ht="15" hidden="false" customHeight="false" outlineLevel="0" collapsed="false">
      <c r="A25" s="2"/>
      <c r="B25" s="5" t="s">
        <v>2327</v>
      </c>
      <c r="C25" s="61" t="n">
        <f aca="false">Entrées!$C$34</f>
        <v>1178</v>
      </c>
      <c r="D25" s="24"/>
      <c r="E25" s="24" t="s">
        <v>211</v>
      </c>
    </row>
    <row r="26" customFormat="false" ht="15" hidden="false" customHeight="false" outlineLevel="0" collapsed="false">
      <c r="A26" s="2"/>
      <c r="B26" s="5" t="s">
        <v>2329</v>
      </c>
      <c r="C26" s="61" t="n">
        <f aca="false">Entrées!$C$69</f>
        <v>-2301</v>
      </c>
      <c r="D26" s="24"/>
      <c r="E26" s="24" t="s">
        <v>330</v>
      </c>
    </row>
    <row r="27" customFormat="false" ht="15" hidden="false" customHeight="false" outlineLevel="0" collapsed="false">
      <c r="A27" s="2"/>
      <c r="B27" s="5" t="s">
        <v>2344</v>
      </c>
      <c r="C27" s="61" t="n">
        <f aca="false">Entrées!$C$70</f>
        <v>-1023</v>
      </c>
      <c r="D27" s="24"/>
      <c r="E27" s="24" t="s">
        <v>333</v>
      </c>
    </row>
    <row r="28" customFormat="false" ht="15" hidden="false" customHeight="false" outlineLevel="0" collapsed="false">
      <c r="A28" s="2"/>
      <c r="B28" s="5" t="s">
        <v>2345</v>
      </c>
      <c r="C28" s="61" t="n">
        <f aca="false">Entrées!$C$71</f>
        <v>497</v>
      </c>
      <c r="D28" s="24"/>
      <c r="E28" s="24" t="s">
        <v>336</v>
      </c>
    </row>
    <row r="29" customFormat="false" ht="15" hidden="false" customHeight="false" outlineLevel="0" collapsed="false">
      <c r="A29" s="2"/>
      <c r="B29" s="5" t="s">
        <v>2346</v>
      </c>
      <c r="C29" s="61" t="n">
        <f aca="false">Entrées!$C$72</f>
        <v>318</v>
      </c>
      <c r="D29" s="24"/>
      <c r="E29" s="24" t="s">
        <v>339</v>
      </c>
    </row>
    <row r="30" customFormat="false" ht="15" hidden="false" customHeight="false" outlineLevel="0" collapsed="false">
      <c r="A30" s="2"/>
      <c r="B30" s="5" t="s">
        <v>2347</v>
      </c>
      <c r="C30" s="61" t="n">
        <f aca="false">Entrées!$C$73</f>
        <v>-402</v>
      </c>
      <c r="D30" s="24"/>
      <c r="E30" s="24" t="s">
        <v>342</v>
      </c>
    </row>
    <row r="31" customFormat="false" ht="15" hidden="false" customHeight="false" outlineLevel="0" collapsed="false">
      <c r="A31" s="2"/>
      <c r="B31" s="5" t="s">
        <v>2348</v>
      </c>
      <c r="C31" s="61" t="n">
        <f aca="false">Entrées!$C$74</f>
        <v>293</v>
      </c>
      <c r="D31" s="24"/>
      <c r="E31" s="24" t="s">
        <v>345</v>
      </c>
    </row>
    <row r="32" customFormat="false" ht="15" hidden="false" customHeight="false" outlineLevel="0" collapsed="false">
      <c r="A32" s="2"/>
      <c r="B32" s="22" t="s">
        <v>2349</v>
      </c>
      <c r="C32" s="45" t="n">
        <f aca="false">SUM(C25:C31)</f>
        <v>-1440</v>
      </c>
      <c r="D32" s="24"/>
      <c r="E32" s="24"/>
    </row>
    <row r="33" customFormat="false" ht="15" hidden="false" customHeight="false" outlineLevel="0" collapsed="false">
      <c r="A33" s="2"/>
      <c r="B33" s="5" t="s">
        <v>2350</v>
      </c>
      <c r="C33" s="64" t="n">
        <f aca="false">C24-C32</f>
        <v>19259</v>
      </c>
      <c r="D33" s="24"/>
      <c r="E33" s="24"/>
    </row>
    <row r="34" customFormat="false" ht="15" hidden="false" customHeight="false" outlineLevel="0" collapsed="false">
      <c r="A34" s="2"/>
      <c r="B34" s="5" t="s">
        <v>2351</v>
      </c>
      <c r="C34" s="61" t="n">
        <f aca="false">Entrées!$C$13</f>
        <v>19657</v>
      </c>
      <c r="D34" s="24"/>
      <c r="E34" s="24" t="s">
        <v>138</v>
      </c>
    </row>
    <row r="35" customFormat="false" ht="15" hidden="false" customHeight="false" outlineLevel="0" collapsed="false">
      <c r="A35" s="2"/>
      <c r="B35" s="22" t="s">
        <v>2352</v>
      </c>
      <c r="C35" s="45" t="n">
        <f aca="false">C34-C33</f>
        <v>398</v>
      </c>
      <c r="D35" s="24"/>
      <c r="E35" s="24" t="s">
        <v>2353</v>
      </c>
    </row>
    <row r="36" customFormat="false" ht="15" hidden="false" customHeight="false" outlineLevel="0" collapsed="false">
      <c r="A36" s="2"/>
      <c r="B36" s="5" t="s">
        <v>2354</v>
      </c>
      <c r="C36" s="64" t="n">
        <f aca="false">-Entrées!$C$78+Entrées!$C$70</f>
        <v>244</v>
      </c>
      <c r="D36" s="24"/>
      <c r="E36" s="24" t="s">
        <v>2355</v>
      </c>
    </row>
    <row r="37" customFormat="false" ht="15" hidden="false" customHeight="false" outlineLevel="0" collapsed="false">
      <c r="A37" s="2"/>
      <c r="B37" s="2"/>
      <c r="C37" s="2"/>
      <c r="D37" s="2"/>
      <c r="E37" s="2"/>
    </row>
    <row r="38" customFormat="false" ht="15" hidden="false" customHeight="false" outlineLevel="0" collapsed="false">
      <c r="A38" s="22" t="s">
        <v>2308</v>
      </c>
      <c r="B38" s="22" t="s">
        <v>2356</v>
      </c>
      <c r="C38" s="2"/>
      <c r="D38" s="2"/>
      <c r="E38" s="2"/>
    </row>
    <row r="39" customFormat="false" ht="15" hidden="false" customHeight="false" outlineLevel="0" collapsed="false">
      <c r="A39" s="2"/>
      <c r="B39" s="5" t="s">
        <v>2357</v>
      </c>
      <c r="C39" s="61" t="n">
        <f aca="false">Entrées!$C$75</f>
        <v>-451</v>
      </c>
      <c r="D39" s="24"/>
      <c r="E39" s="24" t="s">
        <v>348</v>
      </c>
    </row>
    <row r="40" customFormat="false" ht="15" hidden="false" customHeight="false" outlineLevel="0" collapsed="false">
      <c r="A40" s="2"/>
      <c r="B40" s="22" t="s">
        <v>2358</v>
      </c>
      <c r="C40" s="45" t="n">
        <f aca="false">Entrées!$C$34-Entrées!$C$75</f>
        <v>1629</v>
      </c>
      <c r="D40" s="24"/>
      <c r="E40" s="24" t="s">
        <v>2359</v>
      </c>
    </row>
    <row r="41" customFormat="false" ht="15" hidden="false" customHeight="false" outlineLevel="0" collapsed="false">
      <c r="A41" s="2"/>
      <c r="B41" s="5" t="s">
        <v>2360</v>
      </c>
      <c r="C41" s="61" t="n">
        <f aca="false">Entrées!$C$89</f>
        <v>-1171</v>
      </c>
      <c r="D41" s="24"/>
      <c r="E41" s="24" t="s">
        <v>387</v>
      </c>
    </row>
    <row r="42" customFormat="false" ht="15" hidden="false" customHeight="false" outlineLevel="0" collapsed="false">
      <c r="A42" s="2"/>
      <c r="B42" s="5" t="s">
        <v>2361</v>
      </c>
      <c r="C42" s="61" t="n">
        <f aca="false">Entrées!$C$88</f>
        <v>-1238</v>
      </c>
      <c r="D42" s="24"/>
      <c r="E42" s="24" t="s">
        <v>384</v>
      </c>
    </row>
    <row r="43" customFormat="false" ht="15" hidden="false" customHeight="false" outlineLevel="0" collapsed="false">
      <c r="A43" s="2"/>
      <c r="B43" s="5" t="s">
        <v>2362</v>
      </c>
      <c r="C43" s="61" t="n">
        <f aca="false">Entrées!$C$76</f>
        <v>20764</v>
      </c>
      <c r="D43" s="24"/>
      <c r="E43" s="24" t="s">
        <v>350</v>
      </c>
    </row>
    <row r="44" customFormat="false" ht="15" hidden="false" customHeight="false" outlineLevel="0" collapsed="false">
      <c r="A44" s="2"/>
      <c r="B44" s="5" t="s">
        <v>2363</v>
      </c>
      <c r="C44" s="61" t="n">
        <f aca="false">Entrées!$C$13</f>
        <v>19657</v>
      </c>
      <c r="D44" s="24"/>
      <c r="E44" s="24" t="s">
        <v>138</v>
      </c>
    </row>
    <row r="45" customFormat="false" ht="15" hidden="false" customHeight="false" outlineLevel="0" collapsed="false">
      <c r="A45" s="2"/>
      <c r="B45" s="22" t="s">
        <v>2364</v>
      </c>
      <c r="C45" s="45" t="n">
        <f aca="false">C43-C44</f>
        <v>1107</v>
      </c>
      <c r="D45" s="24"/>
      <c r="E45" s="24"/>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5390625" defaultRowHeight="15" customHeight="true" zeroHeight="false" outlineLevelRow="0" outlineLevelCol="0"/>
  <cols>
    <col collapsed="false" customWidth="true" hidden="false" outlineLevel="0" max="1" min="1" style="0" width="4"/>
    <col collapsed="false" customWidth="true" hidden="false" outlineLevel="0" max="2" min="2" style="0" width="70"/>
    <col collapsed="false" customWidth="true" hidden="false" outlineLevel="0" max="7" min="3" style="0" width="14"/>
    <col collapsed="false" customWidth="true" hidden="false" outlineLevel="0" max="8" min="8" style="0" width="11"/>
    <col collapsed="false" customWidth="true" hidden="false" outlineLevel="0" max="9" min="9" style="0" width="13"/>
    <col collapsed="false" customWidth="true" hidden="false" outlineLevel="0" max="10" min="10" style="0" width="14"/>
    <col collapsed="false" customWidth="true" hidden="false" outlineLevel="0" max="11" min="11" style="0" width="10"/>
    <col collapsed="false" customWidth="true" hidden="false" outlineLevel="0" max="12" min="12" style="0" width="40"/>
  </cols>
  <sheetData>
    <row r="1" customFormat="false" ht="17.35" hidden="false" customHeight="false" outlineLevel="0" collapsed="false">
      <c r="A1" s="1" t="s">
        <v>2365</v>
      </c>
      <c r="B1" s="2"/>
      <c r="C1" s="2"/>
      <c r="D1" s="2"/>
      <c r="E1" s="2"/>
      <c r="F1" s="2"/>
      <c r="G1" s="2"/>
      <c r="H1" s="2"/>
      <c r="I1" s="2"/>
      <c r="J1" s="2"/>
      <c r="K1" s="2"/>
      <c r="L1" s="2"/>
    </row>
    <row r="2" customFormat="false" ht="15" hidden="false" customHeight="false" outlineLevel="0" collapsed="false">
      <c r="A2" s="3" t="s">
        <v>2366</v>
      </c>
      <c r="B2" s="2"/>
      <c r="C2" s="2"/>
      <c r="D2" s="2"/>
      <c r="E2" s="2"/>
      <c r="F2" s="2"/>
      <c r="G2" s="2"/>
      <c r="H2" s="2"/>
      <c r="I2" s="2"/>
      <c r="J2" s="2"/>
      <c r="K2" s="2"/>
      <c r="L2" s="2"/>
    </row>
    <row r="3" customFormat="false" ht="15" hidden="false" customHeight="false" outlineLevel="0" collapsed="false">
      <c r="A3" s="2"/>
      <c r="B3" s="2"/>
      <c r="C3" s="2"/>
      <c r="D3" s="2"/>
      <c r="E3" s="2"/>
      <c r="F3" s="2"/>
      <c r="G3" s="2"/>
      <c r="H3" s="2"/>
      <c r="I3" s="2"/>
      <c r="J3" s="2"/>
      <c r="K3" s="2"/>
      <c r="L3" s="2"/>
    </row>
    <row r="4" customFormat="false" ht="15" hidden="false" customHeight="false" outlineLevel="0" collapsed="false">
      <c r="A4" s="22" t="s">
        <v>2130</v>
      </c>
      <c r="B4" s="22" t="s">
        <v>2367</v>
      </c>
      <c r="C4" s="2"/>
      <c r="D4" s="2"/>
      <c r="E4" s="2"/>
      <c r="F4" s="2"/>
      <c r="G4" s="2"/>
      <c r="H4" s="2"/>
      <c r="I4" s="2"/>
      <c r="J4" s="2"/>
      <c r="K4" s="2"/>
      <c r="L4" s="2"/>
    </row>
    <row r="5" customFormat="false" ht="15" hidden="false" customHeight="false" outlineLevel="0" collapsed="false">
      <c r="A5" s="21"/>
      <c r="B5" s="21" t="s">
        <v>2368</v>
      </c>
      <c r="C5" s="21" t="s">
        <v>191</v>
      </c>
      <c r="D5" s="21" t="s">
        <v>156</v>
      </c>
      <c r="E5" s="21" t="s">
        <v>2369</v>
      </c>
      <c r="F5" s="21" t="s">
        <v>2370</v>
      </c>
      <c r="G5" s="21" t="s">
        <v>1310</v>
      </c>
      <c r="H5" s="21" t="s">
        <v>2371</v>
      </c>
      <c r="I5" s="21" t="s">
        <v>2372</v>
      </c>
      <c r="J5" s="21" t="s">
        <v>2373</v>
      </c>
      <c r="K5" s="21" t="s">
        <v>2374</v>
      </c>
      <c r="L5" s="21" t="s">
        <v>2048</v>
      </c>
    </row>
    <row r="6" customFormat="false" ht="15" hidden="false" customHeight="false" outlineLevel="0" collapsed="false">
      <c r="A6" s="2"/>
      <c r="B6" s="5" t="s">
        <v>2375</v>
      </c>
      <c r="C6" s="61" t="n">
        <f aca="false">Entrées!$C$411</f>
        <v>1924</v>
      </c>
      <c r="D6" s="61" t="n">
        <f aca="false">Entrées!$C$354</f>
        <v>3043</v>
      </c>
      <c r="E6" s="61" t="n">
        <f aca="false">Entrées!$C$355</f>
        <v>2447</v>
      </c>
      <c r="F6" s="61" t="n">
        <f aca="false">Entrées!$C$356</f>
        <v>1781</v>
      </c>
      <c r="G6" s="61" t="n">
        <f aca="false">Entrées!$C$357</f>
        <v>2006</v>
      </c>
      <c r="H6" s="61" t="n">
        <f aca="false">Entrées!$C$358</f>
        <v>11065</v>
      </c>
      <c r="I6" s="61" t="n">
        <f aca="false">Entrées!$C$410</f>
        <v>22265</v>
      </c>
      <c r="J6" s="64" t="n">
        <f aca="false">SUM(C6:H6)</f>
        <v>22266</v>
      </c>
      <c r="K6" s="76" t="n">
        <f aca="false">J6-I6</f>
        <v>1</v>
      </c>
      <c r="L6" s="24" t="s">
        <v>1281</v>
      </c>
    </row>
    <row r="7" customFormat="false" ht="15" hidden="false" customHeight="false" outlineLevel="0" collapsed="false">
      <c r="A7" s="2"/>
      <c r="B7" s="5" t="s">
        <v>2376</v>
      </c>
      <c r="C7" s="61" t="n">
        <f aca="false">Entrées!$C$360</f>
        <v>7219</v>
      </c>
      <c r="D7" s="61" t="n">
        <f aca="false">Entrées!$C$361</f>
        <v>465</v>
      </c>
      <c r="E7" s="61" t="n">
        <f aca="false">Entrées!$C$362</f>
        <v>728</v>
      </c>
      <c r="F7" s="61" t="n">
        <f aca="false">Entrées!$C$363</f>
        <v>302</v>
      </c>
      <c r="G7" s="61" t="n">
        <f aca="false">Entrées!$C$364</f>
        <v>254</v>
      </c>
      <c r="H7" s="61" t="n">
        <f aca="false">Entrées!$C$365</f>
        <v>1009</v>
      </c>
      <c r="I7" s="61" t="n">
        <f aca="false">Entrées!$C$359</f>
        <v>9977</v>
      </c>
      <c r="J7" s="64" t="n">
        <f aca="false">SUM(C7:H7)</f>
        <v>9977</v>
      </c>
      <c r="K7" s="76" t="n">
        <f aca="false">J7-I7</f>
        <v>0</v>
      </c>
      <c r="L7" s="24" t="s">
        <v>1147</v>
      </c>
    </row>
    <row r="8" customFormat="false" ht="15" hidden="false" customHeight="false" outlineLevel="0" collapsed="false">
      <c r="A8" s="2"/>
      <c r="B8" s="5" t="s">
        <v>2377</v>
      </c>
      <c r="C8" s="61" t="n">
        <f aca="false">Entrées!$C$367</f>
        <v>499</v>
      </c>
      <c r="D8" s="61" t="n">
        <f aca="false">Entrées!$C$368</f>
        <v>384</v>
      </c>
      <c r="E8" s="61" t="n">
        <f aca="false">Entrées!$C$369</f>
        <v>317</v>
      </c>
      <c r="F8" s="61" t="n">
        <f aca="false">Entrées!$C$370</f>
        <v>198</v>
      </c>
      <c r="G8" s="61" t="n">
        <f aca="false">Entrées!$C$371</f>
        <v>147</v>
      </c>
      <c r="H8" s="61" t="n">
        <f aca="false">Entrées!$C$372</f>
        <v>618</v>
      </c>
      <c r="I8" s="61" t="n">
        <f aca="false">Entrées!$C$366</f>
        <v>2162</v>
      </c>
      <c r="J8" s="64" t="n">
        <f aca="false">SUM(C8:H8)</f>
        <v>2163</v>
      </c>
      <c r="K8" s="76" t="n">
        <f aca="false">J8-I8</f>
        <v>1</v>
      </c>
      <c r="L8" s="24" t="s">
        <v>1168</v>
      </c>
    </row>
    <row r="9" customFormat="false" ht="15" hidden="false" customHeight="false" outlineLevel="0" collapsed="false">
      <c r="A9" s="2"/>
      <c r="B9" s="22" t="s">
        <v>2378</v>
      </c>
      <c r="C9" s="45" t="n">
        <f aca="false">SUM(C6:C8)</f>
        <v>9642</v>
      </c>
      <c r="D9" s="45" t="n">
        <f aca="false">SUM(D6:D8)</f>
        <v>3892</v>
      </c>
      <c r="E9" s="45" t="n">
        <f aca="false">SUM(E6:E8)</f>
        <v>3492</v>
      </c>
      <c r="F9" s="45" t="n">
        <f aca="false">SUM(F6:F8)</f>
        <v>2281</v>
      </c>
      <c r="G9" s="45" t="n">
        <f aca="false">SUM(G6:G8)</f>
        <v>2407</v>
      </c>
      <c r="H9" s="45" t="n">
        <f aca="false">SUM(H6:H8)</f>
        <v>12692</v>
      </c>
      <c r="I9" s="45" t="n">
        <f aca="false">SUM(I6:I8)</f>
        <v>34404</v>
      </c>
      <c r="J9" s="2"/>
      <c r="K9" s="2"/>
      <c r="L9" s="2"/>
    </row>
    <row r="10" customFormat="false" ht="15" hidden="false" customHeight="false" outlineLevel="0" collapsed="false">
      <c r="A10" s="2"/>
      <c r="B10" s="22" t="s">
        <v>2379</v>
      </c>
      <c r="C10" s="61" t="n">
        <f aca="false">Entrées!$C$413</f>
        <v>9642</v>
      </c>
      <c r="D10" s="61" t="n">
        <f aca="false">Entrées!$C$373</f>
        <v>3891</v>
      </c>
      <c r="E10" s="61" t="n">
        <f aca="false">Entrées!$C$374</f>
        <v>3492</v>
      </c>
      <c r="F10" s="61" t="n">
        <f aca="false">Entrées!$C$375</f>
        <v>2281</v>
      </c>
      <c r="G10" s="61" t="n">
        <f aca="false">Entrées!$C$376</f>
        <v>2407</v>
      </c>
      <c r="H10" s="61" t="n">
        <f aca="false">Entrées!$C$377</f>
        <v>12692</v>
      </c>
      <c r="I10" s="61" t="n">
        <f aca="false">Entrées!$C$412</f>
        <v>34404</v>
      </c>
      <c r="J10" s="64" t="n">
        <f aca="false">SUM(C10:H10)</f>
        <v>34405</v>
      </c>
      <c r="K10" s="76" t="n">
        <f aca="false">J10-I10</f>
        <v>1</v>
      </c>
      <c r="L10" s="24" t="s">
        <v>1287</v>
      </c>
    </row>
    <row r="11" customFormat="false" ht="15" hidden="false" customHeight="false" outlineLevel="0" collapsed="false">
      <c r="A11" s="2"/>
      <c r="B11" s="24" t="s">
        <v>2380</v>
      </c>
      <c r="C11" s="76" t="n">
        <f aca="false">C9-C10</f>
        <v>0</v>
      </c>
      <c r="D11" s="76" t="n">
        <f aca="false">D9-D10</f>
        <v>1</v>
      </c>
      <c r="E11" s="76" t="n">
        <f aca="false">E9-E10</f>
        <v>0</v>
      </c>
      <c r="F11" s="76" t="n">
        <f aca="false">F9-F10</f>
        <v>0</v>
      </c>
      <c r="G11" s="76" t="n">
        <f aca="false">G9-G10</f>
        <v>0</v>
      </c>
      <c r="H11" s="76" t="n">
        <f aca="false">H9-H10</f>
        <v>0</v>
      </c>
      <c r="I11" s="76" t="n">
        <f aca="false">I9-I10</f>
        <v>0</v>
      </c>
      <c r="J11" s="2"/>
      <c r="K11" s="2"/>
      <c r="L11" s="2"/>
    </row>
    <row r="12" customFormat="false" ht="15" hidden="false" customHeight="false" outlineLevel="0" collapsed="false">
      <c r="A12" s="2"/>
      <c r="B12" s="24" t="s">
        <v>2381</v>
      </c>
      <c r="C12" s="77" t="n">
        <f aca="false">C10/$I$10</f>
        <v>0.280258109522149</v>
      </c>
      <c r="D12" s="77" t="n">
        <f aca="false">D10/$I$10</f>
        <v>0.113097314265783</v>
      </c>
      <c r="E12" s="77" t="n">
        <f aca="false">E10/$I$10</f>
        <v>0.101499825601674</v>
      </c>
      <c r="F12" s="77" t="n">
        <f aca="false">F10/$I$10</f>
        <v>0.0663004301825369</v>
      </c>
      <c r="G12" s="77" t="n">
        <f aca="false">G10/$I$10</f>
        <v>0.0699627950238344</v>
      </c>
      <c r="H12" s="77" t="n">
        <f aca="false">H10/$I$10</f>
        <v>0.368910591791652</v>
      </c>
      <c r="I12" s="2"/>
      <c r="J12" s="2"/>
      <c r="K12" s="2"/>
      <c r="L12" s="2"/>
    </row>
    <row r="13" customFormat="false" ht="15" hidden="false" customHeight="false" outlineLevel="0" collapsed="false">
      <c r="A13" s="2"/>
      <c r="B13" s="5" t="s">
        <v>2382</v>
      </c>
      <c r="C13" s="61" t="n">
        <f aca="false">Entrées!$C$301</f>
        <v>4933</v>
      </c>
      <c r="D13" s="2"/>
      <c r="E13" s="2"/>
      <c r="F13" s="2"/>
      <c r="G13" s="2"/>
      <c r="H13" s="2"/>
      <c r="I13" s="2"/>
      <c r="J13" s="2"/>
      <c r="K13" s="2"/>
      <c r="L13" s="24" t="s">
        <v>995</v>
      </c>
    </row>
    <row r="14" customFormat="false" ht="15" hidden="false" customHeight="false" outlineLevel="0" collapsed="false">
      <c r="A14" s="2"/>
      <c r="B14" s="5" t="s">
        <v>2383</v>
      </c>
      <c r="C14" s="61" t="n">
        <f aca="false">Entrées!$C$302</f>
        <v>863</v>
      </c>
      <c r="D14" s="2"/>
      <c r="E14" s="2"/>
      <c r="F14" s="2"/>
      <c r="G14" s="2"/>
      <c r="H14" s="2"/>
      <c r="I14" s="2"/>
      <c r="J14" s="2"/>
      <c r="K14" s="2"/>
      <c r="L14" s="24" t="s">
        <v>998</v>
      </c>
    </row>
    <row r="15" customFormat="false" ht="15" hidden="false" customHeight="false" outlineLevel="0" collapsed="false">
      <c r="A15" s="2"/>
      <c r="B15" s="22" t="s">
        <v>2384</v>
      </c>
      <c r="C15" s="45" t="n">
        <f aca="false">C10-C13-C14</f>
        <v>3846</v>
      </c>
      <c r="D15" s="2"/>
      <c r="E15" s="2"/>
      <c r="F15" s="2"/>
      <c r="G15" s="2"/>
      <c r="H15" s="2"/>
      <c r="I15" s="2"/>
      <c r="J15" s="2"/>
      <c r="K15" s="2"/>
      <c r="L15" s="2"/>
    </row>
    <row r="16" customFormat="false" ht="15" hidden="false" customHeight="false" outlineLevel="0" collapsed="false">
      <c r="A16" s="2"/>
      <c r="B16" s="5" t="s">
        <v>2385</v>
      </c>
      <c r="C16" s="61" t="n">
        <f aca="false">Entrées!$C$272</f>
        <v>1451</v>
      </c>
      <c r="D16" s="2"/>
      <c r="E16" s="2"/>
      <c r="F16" s="2"/>
      <c r="G16" s="2"/>
      <c r="H16" s="2"/>
      <c r="I16" s="2"/>
      <c r="J16" s="2"/>
      <c r="K16" s="2"/>
      <c r="L16" s="24" t="s">
        <v>912</v>
      </c>
    </row>
    <row r="17" customFormat="false" ht="15" hidden="false" customHeight="false" outlineLevel="0" collapsed="false">
      <c r="A17" s="2"/>
      <c r="B17" s="2"/>
      <c r="C17" s="2"/>
      <c r="D17" s="2"/>
      <c r="E17" s="2"/>
      <c r="F17" s="2"/>
      <c r="G17" s="2"/>
      <c r="H17" s="2"/>
      <c r="I17" s="2"/>
      <c r="J17" s="2"/>
      <c r="K17" s="2"/>
      <c r="L17" s="2"/>
    </row>
    <row r="18" customFormat="false" ht="15" hidden="false" customHeight="false" outlineLevel="0" collapsed="false">
      <c r="A18" s="22" t="s">
        <v>2143</v>
      </c>
      <c r="B18" s="22" t="s">
        <v>2386</v>
      </c>
      <c r="C18" s="2"/>
      <c r="D18" s="2"/>
      <c r="E18" s="2"/>
      <c r="F18" s="2"/>
      <c r="G18" s="2"/>
      <c r="H18" s="2"/>
      <c r="I18" s="2"/>
      <c r="J18" s="2"/>
      <c r="K18" s="2"/>
      <c r="L18" s="2"/>
    </row>
    <row r="19" customFormat="false" ht="35.05" hidden="false" customHeight="false" outlineLevel="0" collapsed="false">
      <c r="A19" s="21"/>
      <c r="B19" s="21" t="s">
        <v>2387</v>
      </c>
      <c r="C19" s="21" t="s">
        <v>2388</v>
      </c>
      <c r="D19" s="21" t="s">
        <v>2389</v>
      </c>
      <c r="E19" s="21" t="s">
        <v>2390</v>
      </c>
      <c r="F19" s="21" t="s">
        <v>2391</v>
      </c>
      <c r="G19" s="21" t="s">
        <v>2392</v>
      </c>
      <c r="H19" s="2"/>
      <c r="I19" s="2"/>
      <c r="J19" s="2"/>
      <c r="K19" s="2"/>
      <c r="L19" s="2"/>
    </row>
    <row r="20" customFormat="false" ht="15" hidden="false" customHeight="false" outlineLevel="0" collapsed="false">
      <c r="A20" s="2"/>
      <c r="B20" s="25" t="s">
        <v>191</v>
      </c>
      <c r="C20" s="68" t="n">
        <f aca="false">Entrées!$C$276+Entrées!$C$277</f>
        <v>1400</v>
      </c>
      <c r="D20" s="53" t="s">
        <v>2057</v>
      </c>
      <c r="E20" s="53" t="s">
        <v>2057</v>
      </c>
      <c r="F20" s="53" t="s">
        <v>2057</v>
      </c>
      <c r="G20" s="24" t="s">
        <v>2393</v>
      </c>
      <c r="H20" s="2"/>
      <c r="I20" s="2"/>
      <c r="J20" s="2"/>
      <c r="K20" s="2"/>
      <c r="L20" s="2"/>
    </row>
    <row r="21" customFormat="false" ht="15" hidden="false" customHeight="false" outlineLevel="0" collapsed="false">
      <c r="A21" s="2"/>
      <c r="B21" s="25" t="s">
        <v>156</v>
      </c>
      <c r="C21" s="68" t="n">
        <f aca="false">Entrées!$C$284+Entrées!$C$286+Entrées!$C$288+Entrées!$C$290</f>
        <v>2550</v>
      </c>
      <c r="D21" s="74" t="n">
        <f aca="false">(Entrées!$C$284*Entrées!$C$285+Entrées!$C$286*Entrées!$C$287+Entrées!$C$288*Entrées!$C$289+Entrées!$C$290*Entrées!$C$291)/C21/100</f>
        <v>0.0196362745098039</v>
      </c>
      <c r="E21" s="73" t="n">
        <f aca="false">Entrées!$C$281/100</f>
        <v>0.03324</v>
      </c>
      <c r="F21" s="45" t="n">
        <f aca="false">C21*(E21-D21)</f>
        <v>34.6895</v>
      </c>
      <c r="G21" s="24" t="s">
        <v>2394</v>
      </c>
      <c r="H21" s="2"/>
      <c r="I21" s="2"/>
      <c r="J21" s="2"/>
      <c r="K21" s="2"/>
      <c r="L21" s="2"/>
    </row>
    <row r="22" customFormat="false" ht="15" hidden="false" customHeight="false" outlineLevel="0" collapsed="false">
      <c r="A22" s="2"/>
      <c r="B22" s="25" t="s">
        <v>2369</v>
      </c>
      <c r="C22" s="68" t="n">
        <f aca="false">Entrées!$C$292+Entrées!$C$382+Entrées!$C$384</f>
        <v>2000</v>
      </c>
      <c r="D22" s="74" t="n">
        <f aca="false">(Entrées!$C$292*Entrées!$C$293+Entrées!$C$382*Entrées!$C$383+Entrées!$C$384*Entrées!$C$385)/C22/100</f>
        <v>0.01335</v>
      </c>
      <c r="E22" s="73" t="n">
        <f aca="false">Entrées!$C$281/100</f>
        <v>0.03324</v>
      </c>
      <c r="F22" s="45" t="n">
        <f aca="false">C22*(E22-D22)</f>
        <v>39.78</v>
      </c>
      <c r="G22" s="24" t="s">
        <v>2395</v>
      </c>
      <c r="H22" s="2"/>
      <c r="I22" s="2"/>
      <c r="J22" s="2"/>
      <c r="K22" s="2"/>
      <c r="L22" s="2"/>
    </row>
    <row r="23" customFormat="false" ht="15" hidden="false" customHeight="false" outlineLevel="0" collapsed="false">
      <c r="A23" s="2"/>
      <c r="B23" s="25" t="s">
        <v>2370</v>
      </c>
      <c r="C23" s="68" t="n">
        <f aca="false">Entrées!$C$386+Entrées!$C$387+Entrées!$C$388</f>
        <v>1275</v>
      </c>
      <c r="D23" s="53" t="s">
        <v>2057</v>
      </c>
      <c r="E23" s="53" t="s">
        <v>2057</v>
      </c>
      <c r="F23" s="53" t="s">
        <v>2057</v>
      </c>
      <c r="G23" s="24" t="s">
        <v>2396</v>
      </c>
      <c r="H23" s="2"/>
      <c r="I23" s="2"/>
      <c r="J23" s="2"/>
      <c r="K23" s="2"/>
      <c r="L23" s="2"/>
    </row>
    <row r="24" customFormat="false" ht="15" hidden="false" customHeight="false" outlineLevel="0" collapsed="false">
      <c r="A24" s="2"/>
      <c r="B24" s="25" t="s">
        <v>1310</v>
      </c>
      <c r="C24" s="68" t="n">
        <f aca="false">Entrées!$C$389+Entrées!$C$390+Entrées!$C$391+Entrées!$C$294</f>
        <v>1587</v>
      </c>
      <c r="D24" s="53" t="s">
        <v>2057</v>
      </c>
      <c r="E24" s="53" t="s">
        <v>2057</v>
      </c>
      <c r="F24" s="53" t="s">
        <v>2057</v>
      </c>
      <c r="G24" s="24" t="s">
        <v>2397</v>
      </c>
      <c r="H24" s="2"/>
      <c r="I24" s="2"/>
      <c r="J24" s="2"/>
      <c r="K24" s="2"/>
      <c r="L24" s="2"/>
    </row>
    <row r="25" customFormat="false" ht="15" hidden="false" customHeight="false" outlineLevel="0" collapsed="false">
      <c r="A25" s="2"/>
      <c r="B25" s="5" t="s">
        <v>2398</v>
      </c>
      <c r="C25" s="66" t="n">
        <f aca="false">SUM(C21:C24)/Entrées!$C$295</f>
        <v>0.535897621285518</v>
      </c>
      <c r="D25" s="2"/>
      <c r="E25" s="2"/>
      <c r="F25" s="2"/>
      <c r="G25" s="24" t="s">
        <v>977</v>
      </c>
      <c r="H25" s="2"/>
      <c r="I25" s="2"/>
      <c r="J25" s="2"/>
      <c r="K25" s="2"/>
      <c r="L25" s="2"/>
    </row>
    <row r="26" customFormat="false" ht="15" hidden="false" customHeight="false" outlineLevel="0" collapsed="false">
      <c r="A26" s="2"/>
      <c r="B26" s="22" t="s">
        <v>2399</v>
      </c>
      <c r="C26" s="45" t="n">
        <f aca="false">F21+F22</f>
        <v>74.4695</v>
      </c>
      <c r="D26" s="2"/>
      <c r="E26" s="2"/>
      <c r="F26" s="2"/>
      <c r="G26" s="2"/>
      <c r="H26" s="2"/>
      <c r="I26" s="2"/>
      <c r="J26" s="2"/>
      <c r="K26" s="2"/>
      <c r="L26" s="2"/>
    </row>
    <row r="27" customFormat="false" ht="15" hidden="false" customHeight="false" outlineLevel="0" collapsed="false">
      <c r="A27" s="2"/>
      <c r="B27" s="24" t="s">
        <v>2400</v>
      </c>
      <c r="C27" s="77" t="n">
        <f aca="false">C26/Entrées!$C$249</f>
        <v>0.0144320736434109</v>
      </c>
      <c r="D27" s="2"/>
      <c r="E27" s="2"/>
      <c r="F27" s="2"/>
      <c r="G27" s="24" t="s">
        <v>849</v>
      </c>
      <c r="H27" s="2"/>
      <c r="I27" s="2"/>
      <c r="J27" s="2"/>
      <c r="K27" s="2"/>
      <c r="L27" s="2"/>
    </row>
    <row r="28" customFormat="false" ht="43.5" hidden="false" customHeight="true" outlineLevel="0" collapsed="false">
      <c r="A28" s="2"/>
      <c r="B28" s="69" t="str">
        <f aca="false">"Lecture : la dette qui tombe en 2027-2028 porte les coupons des années de taux bas (taux facial moyen "&amp;SUBSTITUTE(SUBSTITUTE(FIXED((D21)*100,2,TRUE()),".",","),"-","−")&amp;" %"&amp;" en 2027, "&amp;SUBSTITUTE(SUBSTITUTE(FIXED((D22)*100,2,TRUE()),".",","),"-","−")&amp;" %"&amp;" en 2028, contre "&amp;SUBSTITUTE(SUBSTITUTE(FIXED((E21)*100,2,TRUE()),".",","),"-","−")&amp;" %"&amp;" pour l'émission de juin 2025). Refinancée à ce taux, elle coûte "&amp;SUBSTITUTE(SUBSTITUTE(FIXED(C26,0,FALSE()),","," "),"-","−")&amp;" M€"&amp;" d'intérêts de plus par an ("&amp;SUBSTITUTE(SUBSTITUTE(FIXED((C27)*100,1,TRUE()),".",","),"-","−")&amp;" %"&amp;" du FFO 2025) : l'effet passe par le FFO que regardent les agences, pas par la dette nette. Le mur lui-même est petit face aux liquidités (§C)."</f>
        <v>Lecture : la dette qui tombe en 2027-2028 porte les coupons des années de taux bas (taux facial moyen 1,96 % en 2027, 1,34 % en 2028, contre 3,32 % pour l'émission de juin 2025). Refinancée à ce taux, elle coûte 74 M€ d'intérêts de plus par an (1,4 % du FFO 2025) : l'effet passe par le FFO que regardent les agences, pas par la dette nette. Le mur lui-même est petit face aux liquidités (§C).</v>
      </c>
      <c r="C28" s="69"/>
      <c r="D28" s="69"/>
      <c r="E28" s="69"/>
      <c r="F28" s="69"/>
      <c r="G28" s="69"/>
      <c r="H28" s="69"/>
      <c r="I28" s="69"/>
      <c r="J28" s="69"/>
      <c r="K28" s="69"/>
      <c r="L28" s="69"/>
    </row>
    <row r="29" customFormat="false" ht="15" hidden="false" customHeight="false" outlineLevel="0" collapsed="false">
      <c r="A29" s="2"/>
      <c r="B29" s="2"/>
      <c r="C29" s="2"/>
      <c r="D29" s="2"/>
      <c r="E29" s="2"/>
      <c r="F29" s="2"/>
      <c r="G29" s="2"/>
      <c r="H29" s="2"/>
      <c r="I29" s="2"/>
      <c r="J29" s="2"/>
      <c r="K29" s="2"/>
      <c r="L29" s="2"/>
    </row>
    <row r="30" customFormat="false" ht="15" hidden="false" customHeight="false" outlineLevel="0" collapsed="false">
      <c r="A30" s="22" t="s">
        <v>2308</v>
      </c>
      <c r="B30" s="22" t="s">
        <v>2401</v>
      </c>
      <c r="C30" s="2"/>
      <c r="D30" s="2"/>
      <c r="E30" s="2"/>
      <c r="F30" s="2"/>
      <c r="G30" s="2"/>
      <c r="H30" s="2"/>
      <c r="I30" s="2"/>
      <c r="J30" s="2"/>
      <c r="K30" s="2"/>
      <c r="L30" s="2"/>
    </row>
    <row r="31" customFormat="false" ht="15" hidden="false" customHeight="false" outlineLevel="0" collapsed="false">
      <c r="A31" s="21"/>
      <c r="B31" s="21" t="s">
        <v>91</v>
      </c>
      <c r="C31" s="21" t="s">
        <v>92</v>
      </c>
      <c r="D31" s="21" t="s">
        <v>93</v>
      </c>
      <c r="E31" s="21" t="s">
        <v>2129</v>
      </c>
      <c r="F31" s="2"/>
      <c r="G31" s="2"/>
      <c r="H31" s="2"/>
      <c r="I31" s="2"/>
      <c r="J31" s="2"/>
      <c r="K31" s="2"/>
      <c r="L31" s="2"/>
    </row>
    <row r="32" customFormat="false" ht="15" hidden="false" customHeight="false" outlineLevel="0" collapsed="false">
      <c r="A32" s="2"/>
      <c r="B32" s="5" t="s">
        <v>2402</v>
      </c>
      <c r="C32" s="61" t="n">
        <f aca="false">Entrées!$C$378</f>
        <v>4500</v>
      </c>
      <c r="D32" s="24" t="s">
        <v>103</v>
      </c>
      <c r="E32" s="24" t="s">
        <v>1204</v>
      </c>
      <c r="F32" s="2"/>
      <c r="G32" s="2"/>
      <c r="H32" s="2"/>
      <c r="I32" s="2"/>
      <c r="J32" s="2"/>
      <c r="K32" s="2"/>
      <c r="L32" s="2"/>
    </row>
    <row r="33" customFormat="false" ht="15" hidden="false" customHeight="false" outlineLevel="0" collapsed="false">
      <c r="A33" s="2"/>
      <c r="B33" s="5" t="s">
        <v>2403</v>
      </c>
      <c r="C33" s="61" t="n">
        <f aca="false">Entrées!$C$379</f>
        <v>765</v>
      </c>
      <c r="D33" s="24" t="s">
        <v>103</v>
      </c>
      <c r="E33" s="24" t="s">
        <v>1207</v>
      </c>
      <c r="F33" s="2"/>
      <c r="G33" s="2"/>
      <c r="H33" s="2"/>
      <c r="I33" s="2"/>
      <c r="J33" s="2"/>
      <c r="K33" s="2"/>
      <c r="L33" s="2"/>
    </row>
    <row r="34" customFormat="false" ht="15" hidden="false" customHeight="false" outlineLevel="0" collapsed="false">
      <c r="A34" s="2"/>
      <c r="B34" s="5" t="s">
        <v>2404</v>
      </c>
      <c r="C34" s="61" t="n">
        <f aca="false">Entrées!$C$380</f>
        <v>7551</v>
      </c>
      <c r="D34" s="24" t="s">
        <v>103</v>
      </c>
      <c r="E34" s="24" t="s">
        <v>1210</v>
      </c>
      <c r="F34" s="2"/>
      <c r="G34" s="2"/>
      <c r="H34" s="2"/>
      <c r="I34" s="2"/>
      <c r="J34" s="2"/>
      <c r="K34" s="2"/>
      <c r="L34" s="2"/>
    </row>
    <row r="35" customFormat="false" ht="15" hidden="false" customHeight="false" outlineLevel="0" collapsed="false">
      <c r="A35" s="2"/>
      <c r="B35" s="5" t="s">
        <v>2405</v>
      </c>
      <c r="C35" s="61" t="n">
        <f aca="false">Entrées!$C$381</f>
        <v>673</v>
      </c>
      <c r="D35" s="24" t="s">
        <v>103</v>
      </c>
      <c r="E35" s="24" t="s">
        <v>1213</v>
      </c>
      <c r="F35" s="2"/>
      <c r="G35" s="2"/>
      <c r="H35" s="2"/>
      <c r="I35" s="2"/>
      <c r="J35" s="2"/>
      <c r="K35" s="2"/>
      <c r="L35" s="2"/>
    </row>
    <row r="36" customFormat="false" ht="15" hidden="false" customHeight="false" outlineLevel="0" collapsed="false">
      <c r="A36" s="2"/>
      <c r="B36" s="5" t="s">
        <v>2406</v>
      </c>
      <c r="C36" s="61" t="n">
        <f aca="false">Entrées!$C$414</f>
        <v>2422</v>
      </c>
      <c r="D36" s="24" t="s">
        <v>103</v>
      </c>
      <c r="E36" s="24" t="s">
        <v>1293</v>
      </c>
      <c r="F36" s="2"/>
      <c r="G36" s="2"/>
      <c r="H36" s="2"/>
      <c r="I36" s="2"/>
      <c r="J36" s="2"/>
      <c r="K36" s="2"/>
      <c r="L36" s="2"/>
    </row>
    <row r="37" customFormat="false" ht="15" hidden="false" customHeight="false" outlineLevel="0" collapsed="false">
      <c r="A37" s="2"/>
      <c r="B37" s="22" t="s">
        <v>2407</v>
      </c>
      <c r="C37" s="45" t="n">
        <f aca="false">SUM(C32:C36)</f>
        <v>15911</v>
      </c>
      <c r="D37" s="24" t="s">
        <v>103</v>
      </c>
      <c r="E37" s="24" t="s">
        <v>2199</v>
      </c>
      <c r="F37" s="2"/>
      <c r="G37" s="2"/>
      <c r="H37" s="2"/>
      <c r="I37" s="2"/>
      <c r="J37" s="2"/>
      <c r="K37" s="2"/>
      <c r="L37" s="2"/>
    </row>
    <row r="38" customFormat="false" ht="15" hidden="false" customHeight="false" outlineLevel="0" collapsed="false">
      <c r="A38" s="2"/>
      <c r="B38" s="5" t="s">
        <v>2408</v>
      </c>
      <c r="C38" s="61" t="n">
        <f aca="false">Entrées!$C$422</f>
        <v>15911</v>
      </c>
      <c r="D38" s="24" t="s">
        <v>103</v>
      </c>
      <c r="E38" s="24" t="s">
        <v>1317</v>
      </c>
      <c r="F38" s="2"/>
      <c r="G38" s="2"/>
      <c r="H38" s="2"/>
      <c r="I38" s="2"/>
      <c r="J38" s="2"/>
      <c r="K38" s="2"/>
      <c r="L38" s="2"/>
    </row>
    <row r="39" customFormat="false" ht="15" hidden="false" customHeight="false" outlineLevel="0" collapsed="false">
      <c r="A39" s="2"/>
      <c r="B39" s="5" t="s">
        <v>2409</v>
      </c>
      <c r="C39" s="64" t="n">
        <f aca="false">C32+C33+C35</f>
        <v>5938</v>
      </c>
      <c r="D39" s="24" t="s">
        <v>103</v>
      </c>
      <c r="E39" s="24" t="s">
        <v>2410</v>
      </c>
      <c r="F39" s="2"/>
      <c r="G39" s="2"/>
      <c r="H39" s="2"/>
      <c r="I39" s="2"/>
      <c r="J39" s="2"/>
      <c r="K39" s="2"/>
      <c r="L39" s="2"/>
    </row>
    <row r="40" customFormat="false" ht="15" hidden="false" customHeight="false" outlineLevel="0" collapsed="false">
      <c r="A40" s="2"/>
      <c r="B40" s="5" t="s">
        <v>2411</v>
      </c>
      <c r="C40" s="64" t="n">
        <f aca="false">C34+C36</f>
        <v>9973</v>
      </c>
      <c r="D40" s="24" t="s">
        <v>103</v>
      </c>
      <c r="E40" s="24"/>
      <c r="F40" s="2"/>
      <c r="G40" s="2"/>
      <c r="H40" s="2"/>
      <c r="I40" s="2"/>
      <c r="J40" s="2"/>
      <c r="K40" s="2"/>
      <c r="L40" s="2"/>
    </row>
    <row r="41" customFormat="false" ht="15" hidden="false" customHeight="false" outlineLevel="0" collapsed="false">
      <c r="A41" s="2"/>
      <c r="B41" s="22" t="s">
        <v>2412</v>
      </c>
      <c r="C41" s="62" t="n">
        <f aca="false">C38/C10</f>
        <v>1.65017631196847</v>
      </c>
      <c r="D41" s="24" t="s">
        <v>133</v>
      </c>
      <c r="E41" s="24" t="s">
        <v>2413</v>
      </c>
      <c r="F41" s="2"/>
      <c r="G41" s="2"/>
      <c r="H41" s="2"/>
      <c r="I41" s="2"/>
      <c r="J41" s="2"/>
      <c r="K41" s="2"/>
      <c r="L41" s="2"/>
    </row>
    <row r="42" customFormat="false" ht="15" hidden="false" customHeight="false" outlineLevel="0" collapsed="false">
      <c r="A42" s="2"/>
      <c r="B42" s="22" t="s">
        <v>2414</v>
      </c>
      <c r="C42" s="62" t="n">
        <f aca="false">C38/C15</f>
        <v>4.13702548101924</v>
      </c>
      <c r="D42" s="24" t="s">
        <v>133</v>
      </c>
      <c r="E42" s="24"/>
      <c r="F42" s="2"/>
      <c r="G42" s="2"/>
      <c r="H42" s="2"/>
      <c r="I42" s="2"/>
      <c r="J42" s="2"/>
      <c r="K42" s="2"/>
      <c r="L42" s="2"/>
    </row>
    <row r="43" customFormat="false" ht="15" hidden="false" customHeight="false" outlineLevel="0" collapsed="false">
      <c r="A43" s="2"/>
      <c r="B43" s="5" t="s">
        <v>2415</v>
      </c>
      <c r="C43" s="75" t="n">
        <f aca="false">C38/(C10+D10)</f>
        <v>1.17571861375896</v>
      </c>
      <c r="D43" s="24" t="s">
        <v>133</v>
      </c>
      <c r="E43" s="24"/>
      <c r="F43" s="2"/>
      <c r="G43" s="2"/>
      <c r="H43" s="2"/>
      <c r="I43" s="2"/>
      <c r="J43" s="2"/>
      <c r="K43" s="2"/>
      <c r="L43" s="2"/>
    </row>
    <row r="44" customFormat="false" ht="15" hidden="false" customHeight="false" outlineLevel="0" collapsed="false">
      <c r="A44" s="2"/>
      <c r="B44" s="5" t="s">
        <v>2416</v>
      </c>
      <c r="C44" s="75" t="n">
        <f aca="false">(C38+Trajectoire!$D$42)/(C10+D10)</f>
        <v>1.27379761675482</v>
      </c>
      <c r="D44" s="24" t="s">
        <v>133</v>
      </c>
      <c r="E44" s="24" t="s">
        <v>2417</v>
      </c>
      <c r="F44" s="2"/>
      <c r="G44" s="2"/>
      <c r="H44" s="2"/>
      <c r="I44" s="2"/>
      <c r="J44" s="2"/>
      <c r="K44" s="2"/>
      <c r="L44" s="2"/>
    </row>
    <row r="45" customFormat="false" ht="15" hidden="false" customHeight="false" outlineLevel="0" collapsed="false">
      <c r="A45" s="2"/>
      <c r="B45" s="5" t="s">
        <v>2160</v>
      </c>
      <c r="C45" s="65" t="n">
        <f aca="false">Entrées!$C$132</f>
        <v>6.5</v>
      </c>
      <c r="D45" s="24" t="s">
        <v>512</v>
      </c>
      <c r="E45" s="24" t="s">
        <v>510</v>
      </c>
      <c r="F45" s="2"/>
      <c r="G45" s="2"/>
      <c r="H45" s="2"/>
      <c r="I45" s="2"/>
      <c r="J45" s="2"/>
      <c r="K45" s="2"/>
      <c r="L45" s="2"/>
    </row>
    <row r="46" customFormat="false" ht="30" hidden="false" customHeight="true" outlineLevel="0" collapsed="false">
      <c r="A46" s="2"/>
      <c r="B46" s="69" t="s">
        <v>2418</v>
      </c>
      <c r="C46" s="69"/>
      <c r="D46" s="69"/>
      <c r="E46" s="69"/>
      <c r="F46" s="69"/>
      <c r="G46" s="69"/>
      <c r="H46" s="69"/>
      <c r="I46" s="69"/>
      <c r="J46" s="69"/>
      <c r="K46" s="69"/>
      <c r="L46" s="69"/>
    </row>
  </sheetData>
  <mergeCells count="2">
    <mergeCell ref="B28:L28"/>
    <mergeCell ref="B46:L46"/>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customHeight="true" zeroHeight="false" outlineLevelRow="0" outlineLevelCol="0"/>
  <cols>
    <col collapsed="false" customWidth="true" hidden="false" outlineLevel="0" max="1" min="1" style="0" width="4"/>
    <col collapsed="false" customWidth="true" hidden="false" outlineLevel="0" max="2" min="2" style="0" width="60"/>
    <col collapsed="false" customWidth="true" hidden="false" outlineLevel="0" max="3" min="3" style="0" width="16"/>
    <col collapsed="false" customWidth="true" hidden="false" outlineLevel="0" max="4" min="4" style="0" width="14"/>
    <col collapsed="false" customWidth="true" hidden="false" outlineLevel="0" max="5" min="5" style="0" width="50"/>
  </cols>
  <sheetData>
    <row r="1" customFormat="false" ht="17.35" hidden="false" customHeight="false" outlineLevel="0" collapsed="false">
      <c r="A1" s="1" t="s">
        <v>2419</v>
      </c>
      <c r="B1" s="2"/>
      <c r="C1" s="2"/>
      <c r="D1" s="2"/>
      <c r="E1" s="2"/>
    </row>
    <row r="2" customFormat="false" ht="15" hidden="false" customHeight="false" outlineLevel="0" collapsed="false">
      <c r="A2" s="3" t="s">
        <v>2420</v>
      </c>
      <c r="B2" s="2"/>
      <c r="C2" s="2"/>
      <c r="D2" s="2"/>
      <c r="E2" s="2"/>
    </row>
    <row r="3" customFormat="false" ht="15" hidden="false" customHeight="false" outlineLevel="0" collapsed="false">
      <c r="A3" s="2"/>
      <c r="B3" s="2"/>
      <c r="C3" s="2"/>
      <c r="D3" s="2"/>
      <c r="E3" s="2"/>
    </row>
    <row r="4" customFormat="false" ht="15" hidden="false" customHeight="false" outlineLevel="0" collapsed="false">
      <c r="A4" s="22" t="s">
        <v>2130</v>
      </c>
      <c r="B4" s="22" t="s">
        <v>2421</v>
      </c>
      <c r="C4" s="2"/>
      <c r="D4" s="2"/>
      <c r="E4" s="2"/>
    </row>
    <row r="5" customFormat="false" ht="15" hidden="false" customHeight="false" outlineLevel="0" collapsed="false">
      <c r="A5" s="21"/>
      <c r="B5" s="21" t="s">
        <v>2422</v>
      </c>
      <c r="C5" s="21" t="s">
        <v>113</v>
      </c>
      <c r="D5" s="21"/>
      <c r="E5" s="21" t="s">
        <v>2048</v>
      </c>
    </row>
    <row r="6" customFormat="false" ht="15" hidden="false" customHeight="false" outlineLevel="0" collapsed="false">
      <c r="A6" s="2"/>
      <c r="B6" s="5" t="s">
        <v>2423</v>
      </c>
      <c r="C6" s="78" t="n">
        <f aca="false">Entrées!$C$95</f>
        <v>1.9</v>
      </c>
      <c r="D6" s="24"/>
      <c r="E6" s="24" t="s">
        <v>404</v>
      </c>
    </row>
    <row r="7" customFormat="false" ht="15" hidden="false" customHeight="false" outlineLevel="0" collapsed="false">
      <c r="A7" s="2"/>
      <c r="B7" s="5" t="s">
        <v>2424</v>
      </c>
      <c r="C7" s="78" t="n">
        <f aca="false">Entrées!$C$96</f>
        <v>1.5</v>
      </c>
      <c r="D7" s="24"/>
      <c r="E7" s="24" t="s">
        <v>407</v>
      </c>
    </row>
    <row r="8" customFormat="false" ht="15" hidden="false" customHeight="false" outlineLevel="0" collapsed="false">
      <c r="A8" s="2"/>
      <c r="B8" s="5" t="s">
        <v>2425</v>
      </c>
      <c r="C8" s="79" t="n">
        <f aca="false">-Entrées!$C$97</f>
        <v>-0.3</v>
      </c>
      <c r="D8" s="24"/>
      <c r="E8" s="24" t="s">
        <v>410</v>
      </c>
    </row>
    <row r="9" customFormat="false" ht="15" hidden="false" customHeight="false" outlineLevel="0" collapsed="false">
      <c r="A9" s="2"/>
      <c r="B9" s="22" t="s">
        <v>2426</v>
      </c>
      <c r="C9" s="51" t="n">
        <f aca="false">SUM(C6:C8)</f>
        <v>3.1</v>
      </c>
      <c r="D9" s="24"/>
      <c r="E9" s="24"/>
    </row>
    <row r="10" customFormat="false" ht="15" hidden="false" customHeight="false" outlineLevel="0" collapsed="false">
      <c r="A10" s="2"/>
      <c r="B10" s="5" t="s">
        <v>2427</v>
      </c>
      <c r="C10" s="78" t="n">
        <f aca="false">Entrées!$C$12</f>
        <v>3.1</v>
      </c>
      <c r="D10" s="24"/>
      <c r="E10" s="24" t="s">
        <v>135</v>
      </c>
    </row>
    <row r="11" customFormat="false" ht="15" hidden="false" customHeight="false" outlineLevel="0" collapsed="false">
      <c r="A11" s="2"/>
      <c r="B11" s="2"/>
      <c r="C11" s="2"/>
      <c r="D11" s="2"/>
      <c r="E11" s="2"/>
    </row>
    <row r="12" customFormat="false" ht="15" hidden="false" customHeight="false" outlineLevel="0" collapsed="false">
      <c r="A12" s="2"/>
      <c r="B12" s="5" t="s">
        <v>2428</v>
      </c>
      <c r="C12" s="78" t="n">
        <f aca="false">Entrées!$C$10</f>
        <v>0.5</v>
      </c>
      <c r="D12" s="24"/>
      <c r="E12" s="24" t="s">
        <v>128</v>
      </c>
    </row>
    <row r="13" customFormat="false" ht="15" hidden="false" customHeight="false" outlineLevel="0" collapsed="false">
      <c r="A13" s="2"/>
      <c r="B13" s="5" t="s">
        <v>2429</v>
      </c>
      <c r="C13" s="78" t="n">
        <f aca="false">Entrées!$C$26</f>
        <v>1</v>
      </c>
      <c r="D13" s="24"/>
      <c r="E13" s="24" t="s">
        <v>186</v>
      </c>
    </row>
    <row r="14" customFormat="false" ht="15" hidden="false" customHeight="false" outlineLevel="0" collapsed="false">
      <c r="A14" s="2"/>
      <c r="B14" s="5" t="s">
        <v>2430</v>
      </c>
      <c r="C14" s="78" t="n">
        <f aca="false">Entrées!$C$23</f>
        <v>0.5</v>
      </c>
      <c r="D14" s="24"/>
      <c r="E14" s="24" t="s">
        <v>179</v>
      </c>
    </row>
    <row r="15" customFormat="false" ht="15" hidden="false" customHeight="false" outlineLevel="0" collapsed="false">
      <c r="A15" s="2"/>
      <c r="B15" s="5" t="s">
        <v>2431</v>
      </c>
      <c r="C15" s="79" t="n">
        <f aca="false">C12-C14</f>
        <v>0</v>
      </c>
      <c r="D15" s="24"/>
      <c r="E15" s="24"/>
    </row>
    <row r="16" customFormat="false" ht="15" hidden="false" customHeight="false" outlineLevel="0" collapsed="false">
      <c r="A16" s="2"/>
      <c r="B16" s="22" t="s">
        <v>2432</v>
      </c>
      <c r="C16" s="51" t="n">
        <f aca="false">C13-C14</f>
        <v>0.5</v>
      </c>
      <c r="D16" s="24"/>
      <c r="E16" s="24"/>
    </row>
    <row r="17" customFormat="false" ht="15" hidden="false" customHeight="false" outlineLevel="0" collapsed="false">
      <c r="A17" s="2"/>
      <c r="B17" s="5" t="s">
        <v>2433</v>
      </c>
      <c r="C17" s="78" t="n">
        <f aca="false">Entrées!$C$7</f>
        <v>0.5</v>
      </c>
      <c r="D17" s="24"/>
      <c r="E17" s="24" t="s">
        <v>111</v>
      </c>
    </row>
    <row r="18" customFormat="false" ht="42" hidden="false" customHeight="true" outlineLevel="0" collapsed="false">
      <c r="A18" s="2"/>
      <c r="B18" s="69" t="str">
        <f aca="false">"Lecture : les ~"&amp;SUBSTITUTE(SUBSTITUTE(FIXED(Cessions!$C$17,1,TRUE()),".",","),"-","−")&amp;" Md€/an annoncés sont la rotation NETTE des cessions ; ils correspondent au haut de la fourchette de tuck-ins ("&amp;SUBSTITUTE(SUBSTITUTE(FIXED(Cessions!$C$13,1,TRUE()),".",","),"-","−")&amp;" Md€ brut) moins ~"&amp;SUBSTITUTE(SUBSTITUTE(FIXED(Cessions!$C$14,1,TRUE()),".",","),"-","−")&amp;" Md€ de cessions. La même convention vaut pour les investissements industriels ("&amp;SUBSTITUTE(SUBSTITUTE(FIXED(Cessions!$C$10,1,TRUE()),".",","),"-","−")&amp;" Md€ nets)."</f>
        <v>Lecture : les ~0,5 Md€/an annoncés sont la rotation NETTE des cessions ; ils correspondent au haut de la fourchette de tuck-ins (1,0 Md€ brut) moins ~0,5 Md€ de cessions. La même convention vaut pour les investissements industriels (3,1 Md€ nets).</v>
      </c>
      <c r="C18" s="69"/>
      <c r="D18" s="69"/>
      <c r="E18" s="69"/>
    </row>
    <row r="19" customFormat="false" ht="15" hidden="false" customHeight="false" outlineLevel="0" collapsed="false">
      <c r="A19" s="2"/>
      <c r="B19" s="2"/>
      <c r="C19" s="2"/>
      <c r="D19" s="2"/>
      <c r="E19" s="2"/>
    </row>
    <row r="20" customFormat="false" ht="15" hidden="false" customHeight="false" outlineLevel="0" collapsed="false">
      <c r="A20" s="22" t="s">
        <v>2143</v>
      </c>
      <c r="B20" s="22" t="s">
        <v>2434</v>
      </c>
      <c r="C20" s="2"/>
      <c r="D20" s="2"/>
      <c r="E20" s="2"/>
    </row>
    <row r="21" customFormat="false" ht="15" hidden="false" customHeight="false" outlineLevel="0" collapsed="false">
      <c r="A21" s="2"/>
      <c r="B21" s="5" t="s">
        <v>2435</v>
      </c>
      <c r="C21" s="79" t="n">
        <f aca="false">-Entrées!$C$81/1000</f>
        <v>2.778</v>
      </c>
      <c r="D21" s="24" t="s">
        <v>130</v>
      </c>
      <c r="E21" s="24" t="s">
        <v>365</v>
      </c>
    </row>
    <row r="22" customFormat="false" ht="15" hidden="false" customHeight="false" outlineLevel="0" collapsed="false">
      <c r="A22" s="2"/>
      <c r="B22" s="5" t="s">
        <v>2436</v>
      </c>
      <c r="C22" s="79" t="n">
        <f aca="false">$C$17*4</f>
        <v>2</v>
      </c>
      <c r="D22" s="24" t="s">
        <v>130</v>
      </c>
      <c r="E22" s="24" t="s">
        <v>2437</v>
      </c>
    </row>
    <row r="23" customFormat="false" ht="15" hidden="false" customHeight="false" outlineLevel="0" collapsed="false">
      <c r="A23" s="2"/>
      <c r="B23" s="22" t="s">
        <v>2438</v>
      </c>
      <c r="C23" s="80" t="n">
        <f aca="false">C21/$C$17</f>
        <v>5.556</v>
      </c>
      <c r="D23" s="24" t="s">
        <v>2439</v>
      </c>
      <c r="E23" s="24"/>
    </row>
    <row r="24" customFormat="false" ht="15" hidden="false" customHeight="false" outlineLevel="0" collapsed="false">
      <c r="A24" s="2"/>
      <c r="B24" s="5" t="s">
        <v>2440</v>
      </c>
      <c r="C24" s="78" t="n">
        <f aca="false">Entrées!$C$30</f>
        <v>2</v>
      </c>
      <c r="D24" s="24" t="s">
        <v>130</v>
      </c>
      <c r="E24" s="24" t="s">
        <v>197</v>
      </c>
    </row>
    <row r="25" customFormat="false" ht="15" hidden="false" customHeight="false" outlineLevel="0" collapsed="false">
      <c r="A25" s="2"/>
      <c r="B25" s="22" t="s">
        <v>2441</v>
      </c>
      <c r="C25" s="51" t="n">
        <f aca="false">C21-C24</f>
        <v>0.778</v>
      </c>
      <c r="D25" s="24" t="s">
        <v>130</v>
      </c>
      <c r="E25" s="24"/>
    </row>
    <row r="26" customFormat="false" ht="15" hidden="false" customHeight="false" outlineLevel="0" collapsed="false">
      <c r="A26" s="2"/>
      <c r="B26" s="5" t="s">
        <v>2442</v>
      </c>
      <c r="C26" s="81" t="n">
        <f aca="false">C25/$C$17</f>
        <v>1.556</v>
      </c>
      <c r="D26" s="24" t="s">
        <v>2439</v>
      </c>
      <c r="E26" s="24"/>
    </row>
    <row r="27" customFormat="false" ht="15" hidden="false" customHeight="false" outlineLevel="0" collapsed="false">
      <c r="A27" s="2"/>
      <c r="B27" s="5" t="s">
        <v>2443</v>
      </c>
      <c r="C27" s="78" t="n">
        <f aca="false">Entrées!$C$37</f>
        <v>8</v>
      </c>
      <c r="D27" s="24" t="s">
        <v>130</v>
      </c>
      <c r="E27" s="24" t="s">
        <v>220</v>
      </c>
    </row>
    <row r="28" customFormat="false" ht="42" hidden="false" customHeight="true" outlineLevel="0" collapsed="false">
      <c r="A28" s="2"/>
      <c r="B28" s="69" t="str">
        <f aca="false">"Lecture : Clean Earth vaut "&amp;SUBSTITUTE(SUBSTITUTE(FIXED(Cessions!$C$23,1,TRUE()),".",","),"-","−")&amp;" années d'enveloppe nette : il "&amp;IF(Cessions!$C$23&gt;4,"sort de l'enveloppe sur quatre ans","tient dans l'enveloppe sur quatre ans")&amp;" ; c'est le programme de cessions de plus de "&amp;SUBSTITUTE(SUBSTITUTE(FIXED(Cessions!$C$24,0,FALSE()),","," "),"-","−")&amp;" Md€, lancé en 2026, qui le ramène à "&amp;SUBSTITUTE(SUBSTITUTE(FIXED(Cessions!$C$26,1,TRUE()),".",","),"-","−")&amp;" années. Les "&amp;SUBSTITUTE(SUBSTITUTE(FIXED(Cessions!$C$27,0,FALSE()),","," "),"-","−")&amp;" Md€ de rotation sont un chiffre brut (achats + ventes) : à ne pas comparer aux "&amp;SUBSTITUTE(SUBSTITUTE(FIXED(Cessions!$C$17,1,TRUE()),".",","),"-","−")&amp;" Md€ nets par an."</f>
        <v>Lecture : Clean Earth vaut 5,6 années d'enveloppe nette : il sort de l'enveloppe sur quatre ans ; c'est le programme de cessions de plus de 2 Md€, lancé en 2026, qui le ramène à 1,6 années. Les 8 Md€ de rotation sont un chiffre brut (achats + ventes) : à ne pas comparer aux 0,5 Md€ nets par an.</v>
      </c>
      <c r="C28" s="69"/>
      <c r="D28" s="69"/>
      <c r="E28" s="69"/>
    </row>
    <row r="29" customFormat="false" ht="15" hidden="false" customHeight="false" outlineLevel="0" collapsed="false">
      <c r="A29" s="2"/>
      <c r="B29" s="2"/>
      <c r="C29" s="2"/>
      <c r="D29" s="2"/>
      <c r="E29" s="2"/>
    </row>
    <row r="30" customFormat="false" ht="15" hidden="false" customHeight="false" outlineLevel="0" collapsed="false">
      <c r="A30" s="22" t="s">
        <v>2308</v>
      </c>
      <c r="B30" s="22" t="s">
        <v>2444</v>
      </c>
      <c r="C30" s="2"/>
      <c r="D30" s="2"/>
      <c r="E30" s="2"/>
    </row>
    <row r="31" customFormat="false" ht="15" hidden="false" customHeight="false" outlineLevel="0" collapsed="false">
      <c r="A31" s="21"/>
      <c r="B31" s="21" t="s">
        <v>94</v>
      </c>
      <c r="C31" s="21" t="s">
        <v>2445</v>
      </c>
      <c r="D31" s="21" t="s">
        <v>2446</v>
      </c>
      <c r="E31" s="21" t="s">
        <v>2447</v>
      </c>
    </row>
    <row r="32" customFormat="false" ht="15" hidden="false" customHeight="false" outlineLevel="0" collapsed="false">
      <c r="A32" s="2"/>
      <c r="B32" s="5" t="s">
        <v>2448</v>
      </c>
      <c r="C32" s="78" t="n">
        <f aca="false">Entrées!$C$35</f>
        <v>0.1</v>
      </c>
      <c r="D32" s="79" t="n">
        <f aca="false">C32</f>
        <v>0.1</v>
      </c>
      <c r="E32" s="24" t="s">
        <v>213</v>
      </c>
    </row>
    <row r="33" customFormat="false" ht="15" hidden="false" customHeight="false" outlineLevel="0" collapsed="false">
      <c r="A33" s="2"/>
      <c r="B33" s="5" t="s">
        <v>2449</v>
      </c>
      <c r="C33" s="79" t="n">
        <f aca="false">Entrées!$C$36*Hypothèses!$J$12</f>
        <v>0.25</v>
      </c>
      <c r="D33" s="79" t="n">
        <f aca="false">D32+C33</f>
        <v>0.35</v>
      </c>
      <c r="E33" s="24" t="s">
        <v>2450</v>
      </c>
    </row>
    <row r="34" customFormat="false" ht="15" hidden="false" customHeight="false" outlineLevel="0" collapsed="false">
      <c r="A34" s="2"/>
      <c r="B34" s="5" t="s">
        <v>2451</v>
      </c>
      <c r="C34" s="79" t="n">
        <f aca="false">Entrées!$C$36*(1-Hypothèses!$J$12)+MAX(0,Entrées!$C$30-Entrées!$C$35-Entrées!$C$36)*Hypothèses!$J$13</f>
        <v>0.95</v>
      </c>
      <c r="D34" s="79" t="n">
        <f aca="false">D33+C34</f>
        <v>1.3</v>
      </c>
      <c r="E34" s="24" t="s">
        <v>2452</v>
      </c>
    </row>
    <row r="35" customFormat="false" ht="15" hidden="false" customHeight="false" outlineLevel="0" collapsed="false">
      <c r="A35" s="2"/>
      <c r="B35" s="5" t="s">
        <v>2453</v>
      </c>
      <c r="C35" s="79" t="n">
        <f aca="false">MAX(0,Entrées!$C$30-D34)</f>
        <v>0.7</v>
      </c>
      <c r="D35" s="79" t="n">
        <f aca="false">D34+C35</f>
        <v>2</v>
      </c>
      <c r="E35" s="24" t="s">
        <v>2454</v>
      </c>
    </row>
    <row r="36" customFormat="false" ht="15" hidden="false" customHeight="false" outlineLevel="0" collapsed="false">
      <c r="A36" s="2"/>
      <c r="B36" s="22" t="s">
        <v>2455</v>
      </c>
      <c r="C36" s="45" t="n">
        <f aca="false">(C33+C34)*1000/Hypothèses!$J$14</f>
        <v>120</v>
      </c>
      <c r="D36" s="24" t="s">
        <v>103</v>
      </c>
      <c r="E36" s="24" t="s">
        <v>2456</v>
      </c>
    </row>
    <row r="37" customFormat="false" ht="15" hidden="false" customHeight="false" outlineLevel="0" collapsed="false">
      <c r="A37" s="2"/>
      <c r="B37" s="2"/>
      <c r="C37" s="2"/>
      <c r="D37" s="2"/>
      <c r="E37" s="2"/>
    </row>
    <row r="38" customFormat="false" ht="15" hidden="false" customHeight="false" outlineLevel="0" collapsed="false">
      <c r="A38" s="22" t="s">
        <v>2457</v>
      </c>
      <c r="B38" s="22" t="s">
        <v>2458</v>
      </c>
      <c r="C38" s="2"/>
      <c r="D38" s="2"/>
      <c r="E38" s="2"/>
    </row>
    <row r="39" customFormat="false" ht="15" hidden="false" customHeight="false" outlineLevel="0" collapsed="false">
      <c r="A39" s="21"/>
      <c r="B39" s="21" t="s">
        <v>2326</v>
      </c>
      <c r="C39" s="21" t="s">
        <v>130</v>
      </c>
      <c r="D39" s="21"/>
      <c r="E39" s="21" t="s">
        <v>2048</v>
      </c>
    </row>
    <row r="40" customFormat="false" ht="15" hidden="false" customHeight="false" outlineLevel="0" collapsed="false">
      <c r="A40" s="2"/>
      <c r="B40" s="5" t="s">
        <v>2459</v>
      </c>
      <c r="C40" s="78" t="n">
        <f aca="false">Entrées!$C$117</f>
        <v>4</v>
      </c>
      <c r="D40" s="24"/>
      <c r="E40" s="24" t="s">
        <v>465</v>
      </c>
    </row>
    <row r="41" customFormat="false" ht="15" hidden="false" customHeight="false" outlineLevel="0" collapsed="false">
      <c r="A41" s="2"/>
      <c r="B41" s="5" t="s">
        <v>2460</v>
      </c>
      <c r="C41" s="78" t="n">
        <f aca="false">Entrées!$C$118</f>
        <v>2</v>
      </c>
      <c r="D41" s="24"/>
      <c r="E41" s="24" t="s">
        <v>468</v>
      </c>
    </row>
    <row r="42" customFormat="false" ht="15" hidden="false" customHeight="false" outlineLevel="0" collapsed="false">
      <c r="A42" s="2"/>
      <c r="B42" s="5" t="s">
        <v>2461</v>
      </c>
      <c r="C42" s="79" t="n">
        <f aca="false">-Entrées!$C$126/1000</f>
        <v>-0.397</v>
      </c>
      <c r="D42" s="24"/>
      <c r="E42" s="24" t="s">
        <v>2462</v>
      </c>
    </row>
    <row r="43" customFormat="false" ht="15" hidden="false" customHeight="false" outlineLevel="0" collapsed="false">
      <c r="A43" s="2"/>
      <c r="B43" s="5" t="s">
        <v>2463</v>
      </c>
      <c r="C43" s="79" t="n">
        <f aca="false">-Entrées!$C$69/1000</f>
        <v>2.301</v>
      </c>
      <c r="D43" s="24"/>
      <c r="E43" s="24" t="s">
        <v>2464</v>
      </c>
    </row>
    <row r="44" customFormat="false" ht="15" hidden="false" customHeight="false" outlineLevel="0" collapsed="false">
      <c r="A44" s="2"/>
      <c r="B44" s="5" t="s">
        <v>2465</v>
      </c>
      <c r="C44" s="79" t="n">
        <f aca="false">-Entrées!$C$80/1000</f>
        <v>2.869</v>
      </c>
      <c r="D44" s="24"/>
      <c r="E44" s="24" t="s">
        <v>2466</v>
      </c>
    </row>
    <row r="45" customFormat="false" ht="15" hidden="false" customHeight="false" outlineLevel="0" collapsed="false">
      <c r="A45" s="2"/>
      <c r="B45" s="22" t="s">
        <v>2467</v>
      </c>
      <c r="C45" s="51" t="n">
        <f aca="false">SUM(C42:C44)</f>
        <v>4.773</v>
      </c>
      <c r="D45" s="24"/>
      <c r="E45" s="24" t="s">
        <v>2468</v>
      </c>
    </row>
    <row r="46" customFormat="false" ht="15" hidden="false" customHeight="false" outlineLevel="0" collapsed="false">
      <c r="A46" s="2"/>
      <c r="B46" s="22" t="s">
        <v>2469</v>
      </c>
      <c r="C46" s="51" t="n">
        <f aca="false">C45-C40</f>
        <v>0.773000000000001</v>
      </c>
      <c r="D46" s="24"/>
      <c r="E46" s="24" t="s">
        <v>2470</v>
      </c>
    </row>
    <row r="47" customFormat="false" ht="15" hidden="false" customHeight="false" outlineLevel="0" collapsed="false">
      <c r="A47" s="2"/>
      <c r="B47" s="5" t="s">
        <v>2471</v>
      </c>
      <c r="C47" s="78" t="n">
        <f aca="false">Entrées!$C$119</f>
        <v>4</v>
      </c>
      <c r="D47" s="24"/>
      <c r="E47" s="24" t="s">
        <v>470</v>
      </c>
    </row>
    <row r="48" customFormat="false" ht="15" hidden="false" customHeight="false" outlineLevel="0" collapsed="false">
      <c r="A48" s="2"/>
      <c r="B48" s="5" t="s">
        <v>2472</v>
      </c>
      <c r="C48" s="78" t="n">
        <f aca="false">Entrées!$C$121</f>
        <v>8.5</v>
      </c>
      <c r="D48" s="24"/>
      <c r="E48" s="24" t="s">
        <v>475</v>
      </c>
    </row>
    <row r="49" customFormat="false" ht="15" hidden="false" customHeight="false" outlineLevel="0" collapsed="false">
      <c r="A49" s="2"/>
      <c r="B49" s="5" t="s">
        <v>2473</v>
      </c>
      <c r="C49" s="66" t="n">
        <f aca="false">Entrées!$C$122/100</f>
        <v>0.9</v>
      </c>
      <c r="D49" s="24" t="s">
        <v>299</v>
      </c>
      <c r="E49" s="24" t="s">
        <v>479</v>
      </c>
    </row>
    <row r="50" customFormat="false" ht="15" hidden="false" customHeight="false" outlineLevel="0" collapsed="false">
      <c r="A50" s="2"/>
      <c r="B50" s="5" t="s">
        <v>2474</v>
      </c>
      <c r="C50" s="66" t="n">
        <f aca="false">Entrées!$C$123/100</f>
        <v>0.8</v>
      </c>
      <c r="D50" s="24" t="s">
        <v>299</v>
      </c>
      <c r="E50" s="24" t="s">
        <v>481</v>
      </c>
    </row>
    <row r="51" customFormat="false" ht="42" hidden="false" customHeight="true" outlineLevel="0" collapsed="false">
      <c r="A51" s="2"/>
      <c r="B51" s="69" t="str">
        <f aca="false">"Lecture : la diapositive GreenUp p.44 dit elle-même « net growth investments » : les "&amp;SUBSTITUTE(SUBSTITUTE(FIXED(Cessions!$C$40,0,FALSE()),","," "),"-","−")&amp;" Md€ sont nets des cessions. Les sorties nettes cumulées ("&amp;SUBSTITUTE(SUBSTITUTE(FIXED(Cessions!$C$45,2,TRUE()),".",","),"-","−")&amp;" Md€ au 30 juin 2026) "&amp;IF(Cessions!$C$46&gt;0,"dépassent déjà cette enveloppe de "&amp;SUBSTITUTE(SUBSTITUTE(FIXED(Cessions!$C$46,2,TRUE()),".",","),"-","−")&amp;" Md€ ; c'est le programme de cessions qui doit les y ramener.","restent sous cette enveloppe, de "&amp;SUBSTITUTE(SUBSTITUTE(FIXED(-Cessions!$C$46,2,TRUE()),".",","),"-","−")&amp;" Md€.")</f>
        <v>Lecture : la diapositive GreenUp p.44 dit elle-même « net growth investments » : les 4 Md€ sont nets des cessions. Les sorties nettes cumulées (4,77 Md€ au 30 juin 2026) dépassent déjà cette enveloppe de 0,77 Md€ ; c'est le programme de cessions qui doit les y ramener.</v>
      </c>
      <c r="C51" s="69"/>
      <c r="D51" s="69"/>
      <c r="E51" s="69"/>
    </row>
    <row r="52" customFormat="false" ht="15" hidden="false" customHeight="false" outlineLevel="0" collapsed="false">
      <c r="A52" s="2"/>
      <c r="B52" s="2"/>
      <c r="C52" s="2"/>
      <c r="D52" s="2"/>
      <c r="E52" s="2"/>
    </row>
    <row r="53" customFormat="false" ht="15" hidden="false" customHeight="false" outlineLevel="0" collapsed="false">
      <c r="A53" s="22" t="s">
        <v>2475</v>
      </c>
      <c r="B53" s="22" t="s">
        <v>2476</v>
      </c>
      <c r="C53" s="2"/>
      <c r="D53" s="2"/>
      <c r="E53" s="2"/>
    </row>
    <row r="54" customFormat="false" ht="42" hidden="false" customHeight="true" outlineLevel="0" collapsed="false">
      <c r="A54" s="2"/>
      <c r="B54" s="69" t="s">
        <v>2477</v>
      </c>
      <c r="C54" s="69"/>
      <c r="D54" s="69"/>
      <c r="E54" s="69"/>
    </row>
    <row r="55" customFormat="false" ht="15" hidden="false" customHeight="false" outlineLevel="0" collapsed="false">
      <c r="A55" s="21"/>
      <c r="B55" s="21" t="s">
        <v>2478</v>
      </c>
      <c r="C55" s="21" t="s">
        <v>2479</v>
      </c>
      <c r="D55" s="21" t="s">
        <v>2480</v>
      </c>
      <c r="E55" s="21" t="s">
        <v>2048</v>
      </c>
    </row>
    <row r="56" customFormat="false" ht="15" hidden="false" customHeight="false" outlineLevel="0" collapsed="false">
      <c r="A56" s="2"/>
      <c r="B56" s="5" t="s">
        <v>2481</v>
      </c>
      <c r="C56" s="61" t="n">
        <f aca="false">Entrées!$C$455</f>
        <v>8547</v>
      </c>
      <c r="D56" s="66" t="n">
        <f aca="false">C56/Entrées!$C$453</f>
        <v>0.192517343904856</v>
      </c>
      <c r="E56" s="24" t="s">
        <v>1412</v>
      </c>
    </row>
    <row r="57" customFormat="false" ht="15" hidden="false" customHeight="false" outlineLevel="0" collapsed="false">
      <c r="A57" s="2"/>
      <c r="B57" s="5" t="s">
        <v>2482</v>
      </c>
      <c r="C57" s="61" t="n">
        <f aca="false">Entrées!$C$456</f>
        <v>4683</v>
      </c>
      <c r="D57" s="66" t="n">
        <f aca="false">C57/Entrées!$C$453</f>
        <v>0.10548247589873</v>
      </c>
      <c r="E57" s="24" t="s">
        <v>1415</v>
      </c>
    </row>
    <row r="58" customFormat="false" ht="15" hidden="false" customHeight="false" outlineLevel="0" collapsed="false">
      <c r="A58" s="2"/>
      <c r="B58" s="5" t="s">
        <v>2483</v>
      </c>
      <c r="C58" s="61" t="n">
        <f aca="false">Entrées!$C$457</f>
        <v>3097</v>
      </c>
      <c r="D58" s="66" t="n">
        <f aca="false">C58/Entrées!$C$453</f>
        <v>0.0697585368051176</v>
      </c>
      <c r="E58" s="24" t="s">
        <v>1418</v>
      </c>
    </row>
    <row r="59" customFormat="false" ht="15" hidden="false" customHeight="false" outlineLevel="0" collapsed="false">
      <c r="A59" s="2"/>
      <c r="B59" s="5" t="s">
        <v>2484</v>
      </c>
      <c r="C59" s="61" t="n">
        <f aca="false">Entrées!$C$458</f>
        <v>3035</v>
      </c>
      <c r="D59" s="66" t="n">
        <f aca="false">C59/Entrées!$C$453</f>
        <v>0.0683620145959095</v>
      </c>
      <c r="E59" s="24" t="s">
        <v>1421</v>
      </c>
    </row>
    <row r="60" customFormat="false" ht="15" hidden="false" customHeight="false" outlineLevel="0" collapsed="false">
      <c r="A60" s="2"/>
      <c r="B60" s="5" t="s">
        <v>2485</v>
      </c>
      <c r="C60" s="61" t="n">
        <f aca="false">Entrées!$C$459</f>
        <v>3007</v>
      </c>
      <c r="D60" s="66" t="n">
        <f aca="false">C60/Entrées!$C$453</f>
        <v>0.0677313271465898</v>
      </c>
      <c r="E60" s="24" t="s">
        <v>1424</v>
      </c>
    </row>
    <row r="61" customFormat="false" ht="15" hidden="false" customHeight="false" outlineLevel="0" collapsed="false">
      <c r="A61" s="2"/>
      <c r="B61" s="5" t="s">
        <v>2486</v>
      </c>
      <c r="C61" s="61" t="n">
        <f aca="false">Entrées!$C$460</f>
        <v>2978</v>
      </c>
      <c r="D61" s="66" t="n">
        <f aca="false">C61/Entrées!$C$453</f>
        <v>0.0670781151455086</v>
      </c>
      <c r="E61" s="24" t="s">
        <v>1427</v>
      </c>
    </row>
    <row r="62" customFormat="false" ht="15" hidden="false" customHeight="false" outlineLevel="0" collapsed="false">
      <c r="A62" s="2"/>
      <c r="B62" s="5" t="s">
        <v>2487</v>
      </c>
      <c r="C62" s="61" t="n">
        <f aca="false">Entrées!$C$461</f>
        <v>2165</v>
      </c>
      <c r="D62" s="66" t="n">
        <f aca="false">C62/Entrées!$C$453</f>
        <v>0.0487656545634742</v>
      </c>
      <c r="E62" s="24" t="s">
        <v>1430</v>
      </c>
    </row>
    <row r="63" customFormat="false" ht="15" hidden="false" customHeight="false" outlineLevel="0" collapsed="false">
      <c r="A63" s="2"/>
      <c r="B63" s="5" t="s">
        <v>2488</v>
      </c>
      <c r="C63" s="61" t="n">
        <f aca="false">Entrées!$C$462</f>
        <v>2023</v>
      </c>
      <c r="D63" s="66" t="n">
        <f aca="false">C63/Entrées!$C$453</f>
        <v>0.0455671682133526</v>
      </c>
      <c r="E63" s="24" t="s">
        <v>1433</v>
      </c>
    </row>
    <row r="64" customFormat="false" ht="15" hidden="false" customHeight="false" outlineLevel="0" collapsed="false">
      <c r="A64" s="2"/>
      <c r="B64" s="5" t="s">
        <v>2489</v>
      </c>
      <c r="C64" s="61" t="n">
        <f aca="false">Entrées!$C$463</f>
        <v>1160</v>
      </c>
      <c r="D64" s="66" t="n">
        <f aca="false">C64/Entrées!$C$453</f>
        <v>0.0261284800432471</v>
      </c>
      <c r="E64" s="24" t="s">
        <v>1436</v>
      </c>
    </row>
    <row r="65" customFormat="false" ht="15" hidden="false" customHeight="false" outlineLevel="0" collapsed="false">
      <c r="A65" s="2"/>
      <c r="B65" s="5" t="s">
        <v>2490</v>
      </c>
      <c r="C65" s="61" t="n">
        <f aca="false">Entrées!$C$464</f>
        <v>1081</v>
      </c>
      <c r="D65" s="66" t="n">
        <f aca="false">C65/Entrées!$C$453</f>
        <v>0.024349040454095</v>
      </c>
      <c r="E65" s="24" t="s">
        <v>1439</v>
      </c>
    </row>
    <row r="66" customFormat="false" ht="15" hidden="false" customHeight="false" outlineLevel="0" collapsed="false">
      <c r="A66" s="2"/>
      <c r="B66" s="5" t="s">
        <v>2491</v>
      </c>
      <c r="C66" s="61" t="n">
        <f aca="false">Entrées!$C$466</f>
        <v>1070</v>
      </c>
      <c r="D66" s="66" t="n">
        <f aca="false">C66/Entrées!$C$453</f>
        <v>0.0241012703847193</v>
      </c>
      <c r="E66" s="24" t="s">
        <v>1444</v>
      </c>
    </row>
    <row r="67" customFormat="false" ht="15" hidden="false" customHeight="false" outlineLevel="0" collapsed="false">
      <c r="A67" s="2"/>
      <c r="B67" s="5" t="s">
        <v>2492</v>
      </c>
      <c r="C67" s="61" t="n">
        <f aca="false">Entrées!$C$468</f>
        <v>932</v>
      </c>
      <c r="D67" s="66" t="n">
        <f aca="false">C67/Entrées!$C$453</f>
        <v>0.0209928822416434</v>
      </c>
      <c r="E67" s="24" t="s">
        <v>1449</v>
      </c>
    </row>
    <row r="68" customFormat="false" ht="15" hidden="false" customHeight="false" outlineLevel="0" collapsed="false">
      <c r="A68" s="2"/>
      <c r="B68" s="5" t="s">
        <v>2493</v>
      </c>
      <c r="C68" s="61" t="n">
        <f aca="false">Entrées!$C$470</f>
        <v>908</v>
      </c>
      <c r="D68" s="66" t="n">
        <f aca="false">C68/Entrées!$C$453</f>
        <v>0.0204522929993693</v>
      </c>
      <c r="E68" s="24" t="s">
        <v>1454</v>
      </c>
    </row>
    <row r="69" customFormat="false" ht="15" hidden="false" customHeight="false" outlineLevel="0" collapsed="false">
      <c r="A69" s="2"/>
      <c r="B69" s="5" t="s">
        <v>2494</v>
      </c>
      <c r="C69" s="61" t="n">
        <f aca="false">Entrées!$C$471</f>
        <v>807</v>
      </c>
      <c r="D69" s="66" t="n">
        <f aca="false">C69/Entrées!$C$453</f>
        <v>0.0181773132714659</v>
      </c>
      <c r="E69" s="24" t="s">
        <v>1457</v>
      </c>
    </row>
    <row r="70" customFormat="false" ht="15" hidden="false" customHeight="false" outlineLevel="0" collapsed="false">
      <c r="A70" s="2"/>
      <c r="B70" s="5" t="s">
        <v>2495</v>
      </c>
      <c r="C70" s="61" t="n">
        <f aca="false">Entrées!$C$472</f>
        <v>609</v>
      </c>
      <c r="D70" s="66" t="n">
        <f aca="false">C70/Entrées!$C$453</f>
        <v>0.0137174520227047</v>
      </c>
      <c r="E70" s="24" t="s">
        <v>1460</v>
      </c>
    </row>
    <row r="71" customFormat="false" ht="15" hidden="false" customHeight="false" outlineLevel="0" collapsed="false">
      <c r="A71" s="2"/>
      <c r="B71" s="5" t="s">
        <v>2496</v>
      </c>
      <c r="C71" s="61" t="n">
        <f aca="false">Entrées!$C$473</f>
        <v>581</v>
      </c>
      <c r="D71" s="66" t="n">
        <f aca="false">C71/Entrées!$C$453</f>
        <v>0.013086764573385</v>
      </c>
      <c r="E71" s="24" t="s">
        <v>1463</v>
      </c>
    </row>
    <row r="72" customFormat="false" ht="15" hidden="false" customHeight="false" outlineLevel="0" collapsed="false">
      <c r="A72" s="2"/>
      <c r="B72" s="5" t="s">
        <v>2497</v>
      </c>
      <c r="C72" s="61" t="n">
        <f aca="false">Entrées!$C$474</f>
        <v>504</v>
      </c>
      <c r="D72" s="66" t="n">
        <f aca="false">C72/Entrées!$C$453</f>
        <v>0.0113523740877557</v>
      </c>
      <c r="E72" s="24" t="s">
        <v>1466</v>
      </c>
    </row>
    <row r="73" customFormat="false" ht="15" hidden="false" customHeight="false" outlineLevel="0" collapsed="false">
      <c r="A73" s="2"/>
      <c r="B73" s="5" t="s">
        <v>2498</v>
      </c>
      <c r="C73" s="61" t="n">
        <f aca="false">Entrées!$C$475</f>
        <v>7207</v>
      </c>
      <c r="D73" s="66" t="n">
        <f aca="false">C73/Entrées!$C$453</f>
        <v>0.162334444544554</v>
      </c>
      <c r="E73" s="24" t="s">
        <v>1469</v>
      </c>
    </row>
    <row r="74" customFormat="false" ht="15" hidden="false" customHeight="false" outlineLevel="0" collapsed="false">
      <c r="A74" s="2"/>
      <c r="B74" s="22" t="s">
        <v>2499</v>
      </c>
      <c r="C74" s="45" t="n">
        <f aca="false">SUM(C56:C73)</f>
        <v>44394</v>
      </c>
      <c r="D74" s="24" t="s">
        <v>103</v>
      </c>
      <c r="E74" s="24"/>
    </row>
    <row r="75" customFormat="false" ht="15" hidden="false" customHeight="false" outlineLevel="0" collapsed="false">
      <c r="A75" s="2"/>
      <c r="B75" s="5" t="s">
        <v>2500</v>
      </c>
      <c r="C75" s="61" t="n">
        <f aca="false">Entrées!$C$453</f>
        <v>44396</v>
      </c>
      <c r="D75" s="24" t="s">
        <v>103</v>
      </c>
      <c r="E75" s="24" t="s">
        <v>1407</v>
      </c>
    </row>
    <row r="76" customFormat="false" ht="15" hidden="false" customHeight="false" outlineLevel="0" collapsed="false">
      <c r="A76" s="2"/>
      <c r="B76" s="5" t="s">
        <v>2501</v>
      </c>
      <c r="C76" s="61" t="n">
        <f aca="false">Entrées!$C$469</f>
        <v>1266</v>
      </c>
      <c r="D76" s="24" t="s">
        <v>103</v>
      </c>
      <c r="E76" s="24" t="s">
        <v>1452</v>
      </c>
    </row>
    <row r="77" customFormat="false" ht="15" hidden="false" customHeight="false" outlineLevel="0" collapsed="false">
      <c r="A77" s="2"/>
      <c r="B77" s="2"/>
      <c r="C77" s="2"/>
      <c r="D77" s="2"/>
      <c r="E77" s="2"/>
    </row>
    <row r="78" customFormat="false" ht="15" hidden="false" customHeight="false" outlineLevel="0" collapsed="false">
      <c r="A78" s="21"/>
      <c r="B78" s="21" t="s">
        <v>2502</v>
      </c>
      <c r="C78" s="21" t="s">
        <v>92</v>
      </c>
      <c r="D78" s="21" t="s">
        <v>93</v>
      </c>
      <c r="E78" s="21" t="s">
        <v>2129</v>
      </c>
    </row>
    <row r="79" customFormat="false" ht="15" hidden="false" customHeight="false" outlineLevel="0" collapsed="false">
      <c r="A79" s="2"/>
      <c r="B79" s="5" t="s">
        <v>2503</v>
      </c>
      <c r="C79" s="64" t="n">
        <f aca="false">Entrées!$C$30*1000</f>
        <v>2000</v>
      </c>
      <c r="D79" s="24" t="s">
        <v>103</v>
      </c>
      <c r="E79" s="24" t="s">
        <v>197</v>
      </c>
    </row>
    <row r="80" customFormat="false" ht="15" hidden="false" customHeight="false" outlineLevel="0" collapsed="false">
      <c r="A80" s="2"/>
      <c r="B80" s="22" t="s">
        <v>2504</v>
      </c>
      <c r="C80" s="45" t="n">
        <f aca="false">Cessions!$C$79/Hypothèses!$J$14</f>
        <v>200</v>
      </c>
      <c r="D80" s="24" t="s">
        <v>103</v>
      </c>
      <c r="E80" s="24" t="s">
        <v>2505</v>
      </c>
    </row>
    <row r="81" customFormat="false" ht="15" hidden="false" customHeight="false" outlineLevel="0" collapsed="false">
      <c r="A81" s="2"/>
      <c r="B81" s="5" t="s">
        <v>2506</v>
      </c>
      <c r="C81" s="64" t="n">
        <f aca="false">Cessions!$C$80/(Entrées!$C$431/100)</f>
        <v>1257.86163522013</v>
      </c>
      <c r="D81" s="24" t="s">
        <v>103</v>
      </c>
      <c r="E81" s="24" t="s">
        <v>2507</v>
      </c>
    </row>
    <row r="82" customFormat="false" ht="15" hidden="false" customHeight="false" outlineLevel="0" collapsed="false">
      <c r="A82" s="2"/>
      <c r="B82" s="22" t="s">
        <v>2508</v>
      </c>
      <c r="C82" s="41" t="n">
        <f aca="false">Cessions!$C$81/Entrées!$C$453</f>
        <v>0.0283327695112201</v>
      </c>
      <c r="D82" s="24" t="s">
        <v>299</v>
      </c>
      <c r="E82" s="24"/>
    </row>
    <row r="83" customFormat="false" ht="15" hidden="false" customHeight="false" outlineLevel="0" collapsed="false">
      <c r="A83" s="2"/>
      <c r="B83" s="5" t="s">
        <v>2509</v>
      </c>
      <c r="C83" s="61" t="n">
        <f aca="false">Entrées!$C$436</f>
        <v>5383</v>
      </c>
      <c r="D83" s="24" t="s">
        <v>103</v>
      </c>
      <c r="E83" s="24" t="s">
        <v>1356</v>
      </c>
    </row>
    <row r="84" customFormat="false" ht="15" hidden="false" customHeight="false" outlineLevel="0" collapsed="false">
      <c r="A84" s="2"/>
      <c r="B84" s="5" t="s">
        <v>2510</v>
      </c>
      <c r="C84" s="61" t="n">
        <f aca="false">Entrées!$C$446</f>
        <v>1566</v>
      </c>
      <c r="D84" s="24" t="s">
        <v>103</v>
      </c>
      <c r="E84" s="24" t="s">
        <v>1386</v>
      </c>
    </row>
    <row r="85" customFormat="false" ht="15" hidden="false" customHeight="false" outlineLevel="0" collapsed="false">
      <c r="A85" s="2"/>
      <c r="B85" s="5" t="s">
        <v>2511</v>
      </c>
      <c r="C85" s="61" t="n">
        <f aca="false">Entrées!$C$440</f>
        <v>2729</v>
      </c>
      <c r="D85" s="24" t="s">
        <v>103</v>
      </c>
      <c r="E85" s="24" t="s">
        <v>1368</v>
      </c>
    </row>
    <row r="86" customFormat="false" ht="15" hidden="false" customHeight="false" outlineLevel="0" collapsed="false">
      <c r="A86" s="2"/>
      <c r="B86" s="5" t="s">
        <v>2512</v>
      </c>
      <c r="C86" s="61" t="n">
        <f aca="false">Entrées!$C$443</f>
        <v>1087</v>
      </c>
      <c r="D86" s="24" t="s">
        <v>103</v>
      </c>
      <c r="E86" s="24" t="s">
        <v>1377</v>
      </c>
    </row>
    <row r="87" customFormat="false" ht="15" hidden="false" customHeight="false" outlineLevel="0" collapsed="false">
      <c r="A87" s="2"/>
      <c r="B87" s="22" t="s">
        <v>2513</v>
      </c>
      <c r="C87" s="41" t="n">
        <f aca="false">Cessions!$C$80/Cessions!$C$83</f>
        <v>0.0371540033438603</v>
      </c>
      <c r="D87" s="24" t="s">
        <v>299</v>
      </c>
      <c r="E87" s="24"/>
    </row>
    <row r="88" customFormat="false" ht="15" hidden="false" customHeight="false" outlineLevel="0" collapsed="false">
      <c r="A88" s="2"/>
      <c r="B88" s="22" t="s">
        <v>2514</v>
      </c>
      <c r="C88" s="41" t="n">
        <f aca="false">Cessions!$C$80/Cessions!$C$84</f>
        <v>0.127713920817369</v>
      </c>
      <c r="D88" s="24" t="s">
        <v>299</v>
      </c>
      <c r="E88" s="24"/>
    </row>
    <row r="89" customFormat="false" ht="15" hidden="false" customHeight="false" outlineLevel="0" collapsed="false">
      <c r="A89" s="2"/>
      <c r="B89" s="2"/>
      <c r="C89" s="2"/>
      <c r="D89" s="2"/>
      <c r="E89" s="2"/>
    </row>
    <row r="90" customFormat="false" ht="15" hidden="false" customHeight="false" outlineLevel="0" collapsed="false">
      <c r="A90" s="21"/>
      <c r="B90" s="21" t="s">
        <v>2515</v>
      </c>
      <c r="C90" s="21" t="s">
        <v>2516</v>
      </c>
      <c r="D90" s="21" t="s">
        <v>2387</v>
      </c>
      <c r="E90" s="21" t="s">
        <v>2517</v>
      </c>
    </row>
    <row r="91" customFormat="false" ht="15" hidden="false" customHeight="false" outlineLevel="0" collapsed="false">
      <c r="A91" s="2"/>
      <c r="B91" s="5" t="s">
        <v>2518</v>
      </c>
      <c r="C91" s="82" t="n">
        <v>32</v>
      </c>
      <c r="D91" s="53" t="s">
        <v>2519</v>
      </c>
      <c r="E91" s="24" t="s">
        <v>2520</v>
      </c>
    </row>
    <row r="92" customFormat="false" ht="15" hidden="false" customHeight="false" outlineLevel="0" collapsed="false">
      <c r="A92" s="2"/>
      <c r="B92" s="5" t="s">
        <v>2521</v>
      </c>
      <c r="C92" s="82" t="n">
        <v>102</v>
      </c>
      <c r="D92" s="25" t="n">
        <v>2022</v>
      </c>
      <c r="E92" s="24" t="s">
        <v>2522</v>
      </c>
    </row>
    <row r="93" customFormat="false" ht="15" hidden="false" customHeight="false" outlineLevel="0" collapsed="false">
      <c r="A93" s="2"/>
      <c r="B93" s="5" t="s">
        <v>2523</v>
      </c>
      <c r="C93" s="82" t="n">
        <v>141</v>
      </c>
      <c r="D93" s="25" t="n">
        <v>2022</v>
      </c>
      <c r="E93" s="24" t="s">
        <v>2524</v>
      </c>
    </row>
    <row r="94" customFormat="false" ht="15" hidden="false" customHeight="false" outlineLevel="0" collapsed="false">
      <c r="A94" s="2"/>
      <c r="B94" s="5" t="s">
        <v>2525</v>
      </c>
      <c r="C94" s="82" t="n">
        <v>27</v>
      </c>
      <c r="D94" s="25" t="n">
        <v>2022</v>
      </c>
      <c r="E94" s="24" t="s">
        <v>2526</v>
      </c>
    </row>
    <row r="95" customFormat="false" ht="15" hidden="false" customHeight="false" outlineLevel="0" collapsed="false">
      <c r="A95" s="2"/>
      <c r="B95" s="5" t="s">
        <v>2527</v>
      </c>
      <c r="C95" s="82" t="n">
        <v>49</v>
      </c>
      <c r="D95" s="25" t="n">
        <v>2023</v>
      </c>
      <c r="E95" s="24" t="s">
        <v>2528</v>
      </c>
    </row>
    <row r="96" customFormat="false" ht="15" hidden="false" customHeight="false" outlineLevel="0" collapsed="false">
      <c r="A96" s="2"/>
      <c r="B96" s="5" t="s">
        <v>2529</v>
      </c>
      <c r="C96" s="82" t="n">
        <v>15</v>
      </c>
      <c r="D96" s="25" t="n">
        <v>2023</v>
      </c>
      <c r="E96" s="24" t="s">
        <v>2530</v>
      </c>
    </row>
    <row r="97" customFormat="false" ht="15" hidden="false" customHeight="false" outlineLevel="0" collapsed="false">
      <c r="A97" s="2"/>
      <c r="B97" s="5" t="s">
        <v>2531</v>
      </c>
      <c r="C97" s="82" t="n">
        <v>84</v>
      </c>
      <c r="D97" s="25" t="n">
        <v>2023</v>
      </c>
      <c r="E97" s="24" t="s">
        <v>2532</v>
      </c>
    </row>
    <row r="98" customFormat="false" ht="15" hidden="false" customHeight="false" outlineLevel="0" collapsed="false">
      <c r="A98" s="2"/>
      <c r="B98" s="5" t="s">
        <v>2533</v>
      </c>
      <c r="C98" s="82" t="n">
        <v>74</v>
      </c>
      <c r="D98" s="25" t="n">
        <v>2023</v>
      </c>
      <c r="E98" s="24" t="s">
        <v>2534</v>
      </c>
    </row>
    <row r="99" customFormat="false" ht="15" hidden="false" customHeight="false" outlineLevel="0" collapsed="false">
      <c r="A99" s="2"/>
      <c r="B99" s="5" t="s">
        <v>2535</v>
      </c>
      <c r="C99" s="82" t="n">
        <v>149</v>
      </c>
      <c r="D99" s="25" t="n">
        <v>2024</v>
      </c>
      <c r="E99" s="24" t="s">
        <v>2536</v>
      </c>
    </row>
    <row r="100" customFormat="false" ht="15" hidden="false" customHeight="false" outlineLevel="0" collapsed="false">
      <c r="A100" s="2"/>
      <c r="B100" s="5" t="s">
        <v>2537</v>
      </c>
      <c r="C100" s="82" t="n">
        <v>580</v>
      </c>
      <c r="D100" s="25" t="n">
        <v>2024</v>
      </c>
      <c r="E100" s="24" t="s">
        <v>2538</v>
      </c>
    </row>
    <row r="101" customFormat="false" ht="15" hidden="false" customHeight="false" outlineLevel="0" collapsed="false">
      <c r="A101" s="2"/>
      <c r="B101" s="5" t="s">
        <v>2539</v>
      </c>
      <c r="C101" s="82" t="n">
        <v>198</v>
      </c>
      <c r="D101" s="25" t="n">
        <v>2024</v>
      </c>
      <c r="E101" s="24" t="s">
        <v>2540</v>
      </c>
    </row>
    <row r="102" customFormat="false" ht="15" hidden="false" customHeight="false" outlineLevel="0" collapsed="false">
      <c r="A102" s="2"/>
      <c r="B102" s="5" t="s">
        <v>2541</v>
      </c>
      <c r="C102" s="82" t="n">
        <v>79</v>
      </c>
      <c r="D102" s="25" t="n">
        <v>2024</v>
      </c>
      <c r="E102" s="24" t="s">
        <v>2542</v>
      </c>
    </row>
    <row r="103" customFormat="false" ht="15" hidden="false" customHeight="false" outlineLevel="0" collapsed="false">
      <c r="A103" s="2"/>
      <c r="B103" s="5" t="s">
        <v>2543</v>
      </c>
      <c r="C103" s="82" t="n">
        <v>14</v>
      </c>
      <c r="D103" s="25" t="n">
        <v>2026</v>
      </c>
      <c r="E103" s="24" t="s">
        <v>2544</v>
      </c>
    </row>
    <row r="104" customFormat="false" ht="15" hidden="false" customHeight="false" outlineLevel="0" collapsed="false">
      <c r="A104" s="2"/>
      <c r="B104" s="5" t="s">
        <v>2545</v>
      </c>
      <c r="C104" s="82" t="n">
        <v>41</v>
      </c>
      <c r="D104" s="25" t="n">
        <v>2026</v>
      </c>
      <c r="E104" s="24" t="s">
        <v>2546</v>
      </c>
    </row>
    <row r="105" customFormat="false" ht="15" hidden="false" customHeight="false" outlineLevel="0" collapsed="false">
      <c r="A105" s="2"/>
      <c r="B105" s="22" t="s">
        <v>2547</v>
      </c>
      <c r="C105" s="45" t="n">
        <f aca="false">SUM(C91:C104)</f>
        <v>1585</v>
      </c>
      <c r="D105" s="24" t="s">
        <v>103</v>
      </c>
      <c r="E105" s="24" t="s">
        <v>2548</v>
      </c>
    </row>
    <row r="106" customFormat="false" ht="15" hidden="false" customHeight="false" outlineLevel="0" collapsed="false">
      <c r="A106" s="2"/>
      <c r="B106" s="5" t="s">
        <v>2549</v>
      </c>
      <c r="C106" s="83" t="n">
        <f aca="false">COUNT(C91:C104)</f>
        <v>14</v>
      </c>
      <c r="D106" s="24"/>
      <c r="E106" s="24"/>
    </row>
    <row r="107" customFormat="false" ht="15" hidden="false" customHeight="false" outlineLevel="0" collapsed="false">
      <c r="A107" s="2"/>
      <c r="B107" s="5" t="s">
        <v>2550</v>
      </c>
      <c r="C107" s="64" t="n">
        <f aca="false">AVERAGE(C91:C104)</f>
        <v>113.214285714286</v>
      </c>
      <c r="D107" s="24" t="s">
        <v>103</v>
      </c>
      <c r="E107" s="24"/>
    </row>
    <row r="108" customFormat="false" ht="15" hidden="false" customHeight="false" outlineLevel="0" collapsed="false">
      <c r="A108" s="2"/>
      <c r="B108" s="5" t="s">
        <v>2551</v>
      </c>
      <c r="C108" s="64" t="n">
        <f aca="false">MAX(C91:C104)</f>
        <v>580</v>
      </c>
      <c r="D108" s="24" t="s">
        <v>103</v>
      </c>
      <c r="E108" s="24"/>
    </row>
    <row r="109" customFormat="false" ht="15" hidden="false" customHeight="false" outlineLevel="0" collapsed="false">
      <c r="A109" s="2"/>
      <c r="B109" s="22" t="s">
        <v>2552</v>
      </c>
      <c r="C109" s="45" t="n">
        <f aca="false">SUMIFS(C91:C104,D91:D104,"&lt;2026")/4</f>
        <v>374.5</v>
      </c>
      <c r="D109" s="24" t="s">
        <v>103</v>
      </c>
      <c r="E109" s="24" t="s">
        <v>2553</v>
      </c>
    </row>
    <row r="110" customFormat="false" ht="15" hidden="false" customHeight="false" outlineLevel="0" collapsed="false">
      <c r="A110" s="2"/>
      <c r="B110" s="22" t="s">
        <v>2554</v>
      </c>
      <c r="C110" s="51" t="n">
        <f aca="false">Cessions!$C$79/Cessions!$C$107</f>
        <v>17.6656151419558</v>
      </c>
      <c r="D110" s="24"/>
      <c r="E110" s="24" t="s">
        <v>2555</v>
      </c>
    </row>
    <row r="111" customFormat="false" ht="15" hidden="false" customHeight="false" outlineLevel="0" collapsed="false">
      <c r="A111" s="2"/>
      <c r="B111" s="5" t="s">
        <v>2556</v>
      </c>
      <c r="C111" s="79" t="n">
        <f aca="false">Cessions!$C$79/Cessions!$C$108</f>
        <v>3.44827586206897</v>
      </c>
      <c r="D111" s="24"/>
      <c r="E111" s="24"/>
    </row>
    <row r="112" customFormat="false" ht="15" hidden="false" customHeight="false" outlineLevel="0" collapsed="false">
      <c r="A112" s="2"/>
      <c r="B112" s="22" t="s">
        <v>2557</v>
      </c>
      <c r="C112" s="51" t="n">
        <f aca="false">Cessions!$C$79/Cessions!$C$109</f>
        <v>5.34045393858478</v>
      </c>
      <c r="D112" s="24" t="s">
        <v>512</v>
      </c>
      <c r="E112" s="24" t="s">
        <v>2558</v>
      </c>
    </row>
    <row r="113" customFormat="false" ht="15" hidden="false" customHeight="false" outlineLevel="0" collapsed="false">
      <c r="A113" s="2"/>
      <c r="B113" s="2"/>
      <c r="C113" s="2"/>
      <c r="D113" s="2"/>
      <c r="E113" s="2"/>
    </row>
    <row r="114" customFormat="false" ht="23.85" hidden="false" customHeight="false" outlineLevel="0" collapsed="false">
      <c r="A114" s="21"/>
      <c r="B114" s="21" t="s">
        <v>2559</v>
      </c>
      <c r="C114" s="21" t="s">
        <v>2560</v>
      </c>
      <c r="D114" s="21" t="s">
        <v>2561</v>
      </c>
      <c r="E114" s="21" t="s">
        <v>2562</v>
      </c>
    </row>
    <row r="115" customFormat="false" ht="15" hidden="false" customHeight="false" outlineLevel="0" collapsed="false">
      <c r="A115" s="2"/>
      <c r="B115" s="5" t="s">
        <v>2563</v>
      </c>
      <c r="C115" s="64" t="n">
        <f aca="false">1000/8</f>
        <v>125</v>
      </c>
      <c r="D115" s="64" t="n">
        <f aca="false">Hypothèses!$J$26*C115</f>
        <v>375</v>
      </c>
      <c r="E115" s="45" t="n">
        <f aca="false">1000-D115</f>
        <v>625</v>
      </c>
    </row>
    <row r="116" customFormat="false" ht="15" hidden="false" customHeight="false" outlineLevel="0" collapsed="false">
      <c r="A116" s="2"/>
      <c r="B116" s="5" t="s">
        <v>2564</v>
      </c>
      <c r="C116" s="64" t="n">
        <f aca="false">1000/10</f>
        <v>100</v>
      </c>
      <c r="D116" s="64" t="n">
        <f aca="false">Hypothèses!$J$26*C116</f>
        <v>300</v>
      </c>
      <c r="E116" s="45" t="n">
        <f aca="false">1000-D116</f>
        <v>700</v>
      </c>
    </row>
    <row r="117" customFormat="false" ht="15" hidden="false" customHeight="false" outlineLevel="0" collapsed="false">
      <c r="A117" s="2"/>
      <c r="B117" s="5" t="s">
        <v>2565</v>
      </c>
      <c r="C117" s="64" t="n">
        <f aca="false">1000/12</f>
        <v>83.3333333333333</v>
      </c>
      <c r="D117" s="64" t="n">
        <f aca="false">Hypothèses!$J$26*C117</f>
        <v>250</v>
      </c>
      <c r="E117" s="45" t="n">
        <f aca="false">1000-D117</f>
        <v>750</v>
      </c>
    </row>
    <row r="118" customFormat="false" ht="57.75" hidden="false" customHeight="true" outlineLevel="0" collapsed="false">
      <c r="A118" s="2"/>
      <c r="B118" s="69" t="str">
        <f aca="false">"Lecture : il y a de quoi vendre — au multiple central, le programme retire "&amp;SUBSTITUTE(SUBSTITUTE(FIXED((Cessions!$C$87)*100,1,TRUE()),".",","),"-","−")&amp;" %"&amp;" de l'EBITDA des strongholds et "&amp;SUBSTITUTE(SUBSTITUTE(FIXED((Cessions!$C$82)*100,1,TRUE()),".",","),"-","−")&amp;" %"&amp;" du chiffre d'affaires du groupe, dans un portefeuille de "&amp;COUNTIF(C56:C72,"&gt;=500")&amp;" pays à plus de 500 M€. Le risque n'est pas l'existence des actifs mais le rythme : depuis 2022, Veolia a cédé "&amp;SUBSTITUTE(SUBSTITUTE(FIXED(Cessions!$C$106,0,FALSE()),","," "),"-","−")&amp;" activités de "&amp;SUBSTITUTE(SUBSTITUTE(FIXED(Cessions!$C$107,0,FALSE()),","," "),"-","−")&amp;" M€"&amp;" en moyenne ; "&amp;SUBSTITUTE(SUBSTITUTE(FIXED((Cessions!$C$79)/1000,0,FALSE()),","," "),"-","−")&amp;" Md€"&amp;" en deux ans, c'est "&amp;SUBSTITUTE(SUBSTITUTE(FIXED(Cessions!$C$112/2,1,TRUE()),".",","),"-","−")&amp;" fois le rythme passé. C'est pour cela que s26 et s27 sont les hypothèses qui comptent, et que la question du calendrier est posée le 16 octobre."</f>
        <v>Lecture : il y a de quoi vendre — au multiple central, le programme retire 3,7 % de l'EBITDA des strongholds et 2,8 % du chiffre d'affaires du groupe, dans un portefeuille de 17 pays à plus de 500 M€. Le risque n'est pas l'existence des actifs mais le rythme : depuis 2022, Veolia a cédé 14 activités de 113 M€ en moyenne ; 2 Md€ en deux ans, c'est 2,7 fois le rythme passé. C'est pour cela que s26 et s27 sont les hypothèses qui comptent, et que la question du calendrier est posée le 16 octobre.</v>
      </c>
      <c r="C118" s="69"/>
      <c r="D118" s="69"/>
      <c r="E118" s="69"/>
    </row>
  </sheetData>
  <mergeCells count="5">
    <mergeCell ref="B18:E18"/>
    <mergeCell ref="B28:E28"/>
    <mergeCell ref="B51:E51"/>
    <mergeCell ref="B54:E54"/>
    <mergeCell ref="B118:E118"/>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F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5390625" defaultRowHeight="15" customHeight="true" zeroHeight="false" outlineLevelRow="0" outlineLevelCol="0"/>
  <cols>
    <col collapsed="false" customWidth="true" hidden="false" outlineLevel="0" max="1" min="1" style="0" width="8"/>
    <col collapsed="false" customWidth="true" hidden="false" outlineLevel="0" max="2" min="2" style="0" width="54"/>
    <col collapsed="false" customWidth="true" hidden="false" outlineLevel="0" max="3" min="3" style="0" width="9"/>
    <col collapsed="false" customWidth="true" hidden="false" outlineLevel="0" max="30" min="4" style="0" width="11"/>
    <col collapsed="false" customWidth="true" hidden="false" outlineLevel="0" max="32" min="31" style="0" width="13"/>
  </cols>
  <sheetData>
    <row r="1" customFormat="false" ht="17.35" hidden="false" customHeight="false" outlineLevel="0" collapsed="false">
      <c r="A1" s="1" t="s">
        <v>2566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customFormat="false" ht="15" hidden="false" customHeight="false" outlineLevel="0" collapsed="false">
      <c r="A2" s="3" t="s">
        <v>2567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customFormat="false" ht="15" hidden="false" customHeight="false" outlineLevel="0" collapsed="false">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customFormat="false" ht="30" hidden="false" customHeight="true" outlineLevel="0" collapsed="false">
      <c r="A4" s="2"/>
      <c r="B4" s="22" t="s">
        <v>43</v>
      </c>
      <c r="C4" s="2"/>
      <c r="D4" s="84" t="s">
        <v>2568</v>
      </c>
      <c r="E4" s="84" t="s">
        <v>2569</v>
      </c>
      <c r="F4" s="84" t="s">
        <v>2570</v>
      </c>
      <c r="G4" s="84" t="s">
        <v>2571</v>
      </c>
      <c r="H4" s="84" t="s">
        <v>2572</v>
      </c>
      <c r="I4" s="84" t="s">
        <v>2573</v>
      </c>
      <c r="J4" s="84" t="s">
        <v>2574</v>
      </c>
      <c r="K4" s="84" t="s">
        <v>2575</v>
      </c>
      <c r="L4" s="84" t="s">
        <v>2576</v>
      </c>
      <c r="M4" s="84" t="s">
        <v>2577</v>
      </c>
      <c r="N4" s="84" t="s">
        <v>2578</v>
      </c>
      <c r="O4" s="84" t="s">
        <v>2579</v>
      </c>
      <c r="P4" s="84" t="s">
        <v>2580</v>
      </c>
      <c r="Q4" s="84" t="s">
        <v>2581</v>
      </c>
      <c r="R4" s="84" t="s">
        <v>2582</v>
      </c>
      <c r="S4" s="84" t="s">
        <v>2583</v>
      </c>
      <c r="T4" s="84" t="s">
        <v>2584</v>
      </c>
      <c r="U4" s="84" t="s">
        <v>2585</v>
      </c>
      <c r="V4" s="84" t="s">
        <v>2586</v>
      </c>
      <c r="W4" s="84" t="s">
        <v>2587</v>
      </c>
      <c r="X4" s="84" t="s">
        <v>2588</v>
      </c>
      <c r="Y4" s="84" t="s">
        <v>2589</v>
      </c>
      <c r="Z4" s="84" t="s">
        <v>2590</v>
      </c>
      <c r="AA4" s="84" t="s">
        <v>2591</v>
      </c>
      <c r="AB4" s="84" t="s">
        <v>2592</v>
      </c>
      <c r="AC4" s="84" t="s">
        <v>2593</v>
      </c>
      <c r="AD4" s="84" t="s">
        <v>2594</v>
      </c>
      <c r="AE4" s="84" t="s">
        <v>2595</v>
      </c>
      <c r="AF4" s="84" t="s">
        <v>2596</v>
      </c>
    </row>
    <row r="5" customFormat="false" ht="15" hidden="false" customHeight="false" outlineLevel="0" collapsed="false">
      <c r="A5" s="2"/>
      <c r="B5" s="22" t="s">
        <v>2597</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customFormat="false" ht="15" hidden="false" customHeight="false" outlineLevel="0" collapsed="false">
      <c r="A6" s="24" t="s">
        <v>2050</v>
      </c>
      <c r="B6" s="5" t="s">
        <v>2051</v>
      </c>
      <c r="C6" s="24" t="s">
        <v>299</v>
      </c>
      <c r="D6" s="72" t="n">
        <f aca="false">Hypothèses!$J$5</f>
        <v>0.055</v>
      </c>
      <c r="E6" s="85" t="n">
        <f aca="false">Hypothèses!$D$5</f>
        <v>0.05</v>
      </c>
      <c r="F6" s="85" t="n">
        <f aca="false">Hypothèses!$E$5</f>
        <v>0.06</v>
      </c>
      <c r="G6" s="66" t="n">
        <f aca="false">$D6</f>
        <v>0.055</v>
      </c>
      <c r="H6" s="66" t="n">
        <f aca="false">$D6</f>
        <v>0.055</v>
      </c>
      <c r="I6" s="66" t="n">
        <f aca="false">$D6</f>
        <v>0.055</v>
      </c>
      <c r="J6" s="66" t="n">
        <f aca="false">$D6</f>
        <v>0.055</v>
      </c>
      <c r="K6" s="66" t="n">
        <f aca="false">$D6</f>
        <v>0.055</v>
      </c>
      <c r="L6" s="66" t="n">
        <f aca="false">$D6</f>
        <v>0.055</v>
      </c>
      <c r="M6" s="66" t="n">
        <f aca="false">$D6</f>
        <v>0.055</v>
      </c>
      <c r="N6" s="66" t="n">
        <f aca="false">$D6</f>
        <v>0.055</v>
      </c>
      <c r="O6" s="66" t="n">
        <f aca="false">$D6</f>
        <v>0.055</v>
      </c>
      <c r="P6" s="66" t="n">
        <f aca="false">$D6</f>
        <v>0.055</v>
      </c>
      <c r="Q6" s="66" t="n">
        <f aca="false">$D6</f>
        <v>0.055</v>
      </c>
      <c r="R6" s="66" t="n">
        <f aca="false">$D6</f>
        <v>0.055</v>
      </c>
      <c r="S6" s="66" t="n">
        <f aca="false">$D6</f>
        <v>0.055</v>
      </c>
      <c r="T6" s="66" t="n">
        <f aca="false">$D6</f>
        <v>0.055</v>
      </c>
      <c r="U6" s="66" t="n">
        <f aca="false">$D6</f>
        <v>0.055</v>
      </c>
      <c r="V6" s="66" t="n">
        <f aca="false">$D6</f>
        <v>0.055</v>
      </c>
      <c r="W6" s="66" t="n">
        <f aca="false">$D6</f>
        <v>0.055</v>
      </c>
      <c r="X6" s="66" t="n">
        <f aca="false">$D6</f>
        <v>0.055</v>
      </c>
      <c r="Y6" s="66" t="n">
        <f aca="false">$D6</f>
        <v>0.055</v>
      </c>
      <c r="Z6" s="66" t="n">
        <f aca="false">$D6</f>
        <v>0.055</v>
      </c>
      <c r="AA6" s="66" t="n">
        <f aca="false">$D6</f>
        <v>0.055</v>
      </c>
      <c r="AB6" s="66" t="n">
        <f aca="false">$D6</f>
        <v>0.055</v>
      </c>
      <c r="AC6" s="66" t="n">
        <f aca="false">$D6</f>
        <v>0.055</v>
      </c>
      <c r="AD6" s="66" t="n">
        <f aca="false">$D6</f>
        <v>0.055</v>
      </c>
      <c r="AE6" s="86" t="n">
        <f aca="false">IF($E$46&lt;=$F$46,Hypothèses!$D$5,Hypothèses!$E$5)</f>
        <v>0.05</v>
      </c>
      <c r="AF6" s="86" t="n">
        <f aca="false">IF($E$46&gt;$F$46,Hypothèses!$D$5,Hypothèses!$E$5)</f>
        <v>0.06</v>
      </c>
    </row>
    <row r="7" customFormat="false" ht="15" hidden="false" customHeight="false" outlineLevel="0" collapsed="false">
      <c r="A7" s="24" t="s">
        <v>2054</v>
      </c>
      <c r="B7" s="5" t="s">
        <v>2055</v>
      </c>
      <c r="C7" s="24" t="s">
        <v>299</v>
      </c>
      <c r="D7" s="72" t="n">
        <f aca="false">Hypothèses!$J$6</f>
        <v>0.055</v>
      </c>
      <c r="E7" s="66" t="n">
        <f aca="false">$D7</f>
        <v>0.055</v>
      </c>
      <c r="F7" s="66" t="n">
        <f aca="false">$D7</f>
        <v>0.055</v>
      </c>
      <c r="G7" s="85" t="n">
        <f aca="false">Hypothèses!$D$6</f>
        <v>0.04</v>
      </c>
      <c r="H7" s="85" t="n">
        <f aca="false">Hypothèses!$E$6</f>
        <v>0.07</v>
      </c>
      <c r="I7" s="66" t="n">
        <f aca="false">$D7</f>
        <v>0.055</v>
      </c>
      <c r="J7" s="66" t="n">
        <f aca="false">$D7</f>
        <v>0.055</v>
      </c>
      <c r="K7" s="66" t="n">
        <f aca="false">$D7</f>
        <v>0.055</v>
      </c>
      <c r="L7" s="66" t="n">
        <f aca="false">$D7</f>
        <v>0.055</v>
      </c>
      <c r="M7" s="66" t="n">
        <f aca="false">$D7</f>
        <v>0.055</v>
      </c>
      <c r="N7" s="66" t="n">
        <f aca="false">$D7</f>
        <v>0.055</v>
      </c>
      <c r="O7" s="66" t="n">
        <f aca="false">$D7</f>
        <v>0.055</v>
      </c>
      <c r="P7" s="66" t="n">
        <f aca="false">$D7</f>
        <v>0.055</v>
      </c>
      <c r="Q7" s="66" t="n">
        <f aca="false">$D7</f>
        <v>0.055</v>
      </c>
      <c r="R7" s="66" t="n">
        <f aca="false">$D7</f>
        <v>0.055</v>
      </c>
      <c r="S7" s="66" t="n">
        <f aca="false">$D7</f>
        <v>0.055</v>
      </c>
      <c r="T7" s="66" t="n">
        <f aca="false">$D7</f>
        <v>0.055</v>
      </c>
      <c r="U7" s="66" t="n">
        <f aca="false">$D7</f>
        <v>0.055</v>
      </c>
      <c r="V7" s="66" t="n">
        <f aca="false">$D7</f>
        <v>0.055</v>
      </c>
      <c r="W7" s="66" t="n">
        <f aca="false">$D7</f>
        <v>0.055</v>
      </c>
      <c r="X7" s="66" t="n">
        <f aca="false">$D7</f>
        <v>0.055</v>
      </c>
      <c r="Y7" s="66" t="n">
        <f aca="false">$D7</f>
        <v>0.055</v>
      </c>
      <c r="Z7" s="66" t="n">
        <f aca="false">$D7</f>
        <v>0.055</v>
      </c>
      <c r="AA7" s="66" t="n">
        <f aca="false">$D7</f>
        <v>0.055</v>
      </c>
      <c r="AB7" s="66" t="n">
        <f aca="false">$D7</f>
        <v>0.055</v>
      </c>
      <c r="AC7" s="66" t="n">
        <f aca="false">$D7</f>
        <v>0.055</v>
      </c>
      <c r="AD7" s="66" t="n">
        <f aca="false">$D7</f>
        <v>0.055</v>
      </c>
      <c r="AE7" s="86" t="n">
        <f aca="false">IF($G$46&lt;=$H$46,Hypothèses!$D$6,Hypothèses!$E$6)</f>
        <v>0.04</v>
      </c>
      <c r="AF7" s="86" t="n">
        <f aca="false">IF($G$46&gt;$H$46,Hypothèses!$D$6,Hypothèses!$E$6)</f>
        <v>0.07</v>
      </c>
    </row>
    <row r="8" customFormat="false" ht="15" hidden="false" customHeight="false" outlineLevel="0" collapsed="false">
      <c r="A8" s="24" t="s">
        <v>2058</v>
      </c>
      <c r="B8" s="5" t="s">
        <v>2059</v>
      </c>
      <c r="C8" s="24" t="s">
        <v>249</v>
      </c>
      <c r="D8" s="61" t="n">
        <f aca="false">Hypothèses!$J$7</f>
        <v>200</v>
      </c>
      <c r="E8" s="64" t="n">
        <f aca="false">$D8</f>
        <v>200</v>
      </c>
      <c r="F8" s="64" t="n">
        <f aca="false">$D8</f>
        <v>200</v>
      </c>
      <c r="G8" s="64" t="n">
        <f aca="false">$D8</f>
        <v>200</v>
      </c>
      <c r="H8" s="64" t="n">
        <f aca="false">$D8</f>
        <v>200</v>
      </c>
      <c r="I8" s="87" t="n">
        <f aca="false">Hypothèses!$D$7</f>
        <v>180</v>
      </c>
      <c r="J8" s="87" t="n">
        <f aca="false">Hypothèses!$E$7</f>
        <v>220</v>
      </c>
      <c r="K8" s="64" t="n">
        <f aca="false">$D8</f>
        <v>200</v>
      </c>
      <c r="L8" s="64" t="n">
        <f aca="false">$D8</f>
        <v>200</v>
      </c>
      <c r="M8" s="64" t="n">
        <f aca="false">$D8</f>
        <v>200</v>
      </c>
      <c r="N8" s="64" t="n">
        <f aca="false">$D8</f>
        <v>200</v>
      </c>
      <c r="O8" s="64" t="n">
        <f aca="false">$D8</f>
        <v>200</v>
      </c>
      <c r="P8" s="64" t="n">
        <f aca="false">$D8</f>
        <v>200</v>
      </c>
      <c r="Q8" s="64" t="n">
        <f aca="false">$D8</f>
        <v>200</v>
      </c>
      <c r="R8" s="64" t="n">
        <f aca="false">$D8</f>
        <v>200</v>
      </c>
      <c r="S8" s="64" t="n">
        <f aca="false">$D8</f>
        <v>200</v>
      </c>
      <c r="T8" s="64" t="n">
        <f aca="false">$D8</f>
        <v>200</v>
      </c>
      <c r="U8" s="64" t="n">
        <f aca="false">$D8</f>
        <v>200</v>
      </c>
      <c r="V8" s="64" t="n">
        <f aca="false">$D8</f>
        <v>200</v>
      </c>
      <c r="W8" s="64" t="n">
        <f aca="false">$D8</f>
        <v>200</v>
      </c>
      <c r="X8" s="64" t="n">
        <f aca="false">$D8</f>
        <v>200</v>
      </c>
      <c r="Y8" s="64" t="n">
        <f aca="false">$D8</f>
        <v>200</v>
      </c>
      <c r="Z8" s="64" t="n">
        <f aca="false">$D8</f>
        <v>200</v>
      </c>
      <c r="AA8" s="64" t="n">
        <f aca="false">$D8</f>
        <v>200</v>
      </c>
      <c r="AB8" s="64" t="n">
        <f aca="false">$D8</f>
        <v>200</v>
      </c>
      <c r="AC8" s="64" t="n">
        <f aca="false">$D8</f>
        <v>200</v>
      </c>
      <c r="AD8" s="64" t="n">
        <f aca="false">$D8</f>
        <v>200</v>
      </c>
      <c r="AE8" s="88" t="n">
        <f aca="false">IF($I$46&lt;=$J$46,Hypothèses!$D$7,Hypothèses!$E$7)</f>
        <v>180</v>
      </c>
      <c r="AF8" s="88" t="n">
        <f aca="false">IF($I$46&gt;$J$46,Hypothèses!$D$7,Hypothèses!$E$7)</f>
        <v>220</v>
      </c>
    </row>
    <row r="9" customFormat="false" ht="15" hidden="false" customHeight="false" outlineLevel="0" collapsed="false">
      <c r="A9" s="24" t="s">
        <v>2061</v>
      </c>
      <c r="B9" s="5" t="s">
        <v>2062</v>
      </c>
      <c r="C9" s="24" t="s">
        <v>299</v>
      </c>
      <c r="D9" s="72" t="n">
        <f aca="false">Hypothèses!$J$8</f>
        <v>0.25</v>
      </c>
      <c r="E9" s="66" t="n">
        <f aca="false">$D9</f>
        <v>0.25</v>
      </c>
      <c r="F9" s="66" t="n">
        <f aca="false">$D9</f>
        <v>0.25</v>
      </c>
      <c r="G9" s="66" t="n">
        <f aca="false">$D9</f>
        <v>0.25</v>
      </c>
      <c r="H9" s="66" t="n">
        <f aca="false">$D9</f>
        <v>0.25</v>
      </c>
      <c r="I9" s="66" t="n">
        <f aca="false">$D9</f>
        <v>0.25</v>
      </c>
      <c r="J9" s="66" t="n">
        <f aca="false">$D9</f>
        <v>0.25</v>
      </c>
      <c r="K9" s="85" t="n">
        <f aca="false">Hypothèses!$D$8</f>
        <v>0</v>
      </c>
      <c r="L9" s="85" t="n">
        <f aca="false">Hypothèses!$E$8</f>
        <v>0.5</v>
      </c>
      <c r="M9" s="66" t="n">
        <f aca="false">$D9</f>
        <v>0.25</v>
      </c>
      <c r="N9" s="66" t="n">
        <f aca="false">$D9</f>
        <v>0.25</v>
      </c>
      <c r="O9" s="66" t="n">
        <f aca="false">$D9</f>
        <v>0.25</v>
      </c>
      <c r="P9" s="66" t="n">
        <f aca="false">$D9</f>
        <v>0.25</v>
      </c>
      <c r="Q9" s="66" t="n">
        <f aca="false">$D9</f>
        <v>0.25</v>
      </c>
      <c r="R9" s="66" t="n">
        <f aca="false">$D9</f>
        <v>0.25</v>
      </c>
      <c r="S9" s="66" t="n">
        <f aca="false">$D9</f>
        <v>0.25</v>
      </c>
      <c r="T9" s="66" t="n">
        <f aca="false">$D9</f>
        <v>0.25</v>
      </c>
      <c r="U9" s="66" t="n">
        <f aca="false">$D9</f>
        <v>0.25</v>
      </c>
      <c r="V9" s="66" t="n">
        <f aca="false">$D9</f>
        <v>0.25</v>
      </c>
      <c r="W9" s="66" t="n">
        <f aca="false">$D9</f>
        <v>0.25</v>
      </c>
      <c r="X9" s="66" t="n">
        <f aca="false">$D9</f>
        <v>0.25</v>
      </c>
      <c r="Y9" s="66" t="n">
        <f aca="false">$D9</f>
        <v>0.25</v>
      </c>
      <c r="Z9" s="66" t="n">
        <f aca="false">$D9</f>
        <v>0.25</v>
      </c>
      <c r="AA9" s="66" t="n">
        <f aca="false">$D9</f>
        <v>0.25</v>
      </c>
      <c r="AB9" s="66" t="n">
        <f aca="false">$D9</f>
        <v>0.25</v>
      </c>
      <c r="AC9" s="66" t="n">
        <f aca="false">$D9</f>
        <v>0.25</v>
      </c>
      <c r="AD9" s="66" t="n">
        <f aca="false">$D9</f>
        <v>0.25</v>
      </c>
      <c r="AE9" s="86" t="n">
        <f aca="false">IF($K$46&lt;=$L$46,Hypothèses!$D$8,Hypothèses!$E$8)</f>
        <v>0</v>
      </c>
      <c r="AF9" s="86" t="n">
        <f aca="false">IF($K$46&gt;$L$46,Hypothèses!$D$8,Hypothèses!$E$8)</f>
        <v>0.5</v>
      </c>
    </row>
    <row r="10" customFormat="false" ht="15" hidden="false" customHeight="false" outlineLevel="0" collapsed="false">
      <c r="A10" s="24" t="s">
        <v>2064</v>
      </c>
      <c r="B10" s="5" t="s">
        <v>2065</v>
      </c>
      <c r="C10" s="24" t="s">
        <v>103</v>
      </c>
      <c r="D10" s="61" t="n">
        <f aca="false">Hypothèses!$J$9</f>
        <v>1629</v>
      </c>
      <c r="E10" s="64" t="n">
        <f aca="false">$D10</f>
        <v>1629</v>
      </c>
      <c r="F10" s="64" t="n">
        <f aca="false">$D10</f>
        <v>1629</v>
      </c>
      <c r="G10" s="64" t="n">
        <f aca="false">$D10</f>
        <v>1629</v>
      </c>
      <c r="H10" s="64" t="n">
        <f aca="false">$D10</f>
        <v>1629</v>
      </c>
      <c r="I10" s="64" t="n">
        <f aca="false">$D10</f>
        <v>1629</v>
      </c>
      <c r="J10" s="64" t="n">
        <f aca="false">$D10</f>
        <v>1629</v>
      </c>
      <c r="K10" s="64" t="n">
        <f aca="false">$D10</f>
        <v>1629</v>
      </c>
      <c r="L10" s="64" t="n">
        <f aca="false">$D10</f>
        <v>1629</v>
      </c>
      <c r="M10" s="87" t="n">
        <f aca="false">Hypothèses!$D$9</f>
        <v>1303.2</v>
      </c>
      <c r="N10" s="87" t="n">
        <f aca="false">Hypothèses!$E$9</f>
        <v>1791.9</v>
      </c>
      <c r="O10" s="64" t="n">
        <f aca="false">$D10</f>
        <v>1629</v>
      </c>
      <c r="P10" s="64" t="n">
        <f aca="false">$D10</f>
        <v>1629</v>
      </c>
      <c r="Q10" s="64" t="n">
        <f aca="false">$D10</f>
        <v>1629</v>
      </c>
      <c r="R10" s="64" t="n">
        <f aca="false">$D10</f>
        <v>1629</v>
      </c>
      <c r="S10" s="64" t="n">
        <f aca="false">$D10</f>
        <v>1629</v>
      </c>
      <c r="T10" s="64" t="n">
        <f aca="false">$D10</f>
        <v>1629</v>
      </c>
      <c r="U10" s="64" t="n">
        <f aca="false">$D10</f>
        <v>1629</v>
      </c>
      <c r="V10" s="64" t="n">
        <f aca="false">$D10</f>
        <v>1629</v>
      </c>
      <c r="W10" s="64" t="n">
        <f aca="false">$D10</f>
        <v>1629</v>
      </c>
      <c r="X10" s="64" t="n">
        <f aca="false">$D10</f>
        <v>1629</v>
      </c>
      <c r="Y10" s="64" t="n">
        <f aca="false">$D10</f>
        <v>1629</v>
      </c>
      <c r="Z10" s="64" t="n">
        <f aca="false">$D10</f>
        <v>1629</v>
      </c>
      <c r="AA10" s="64" t="n">
        <f aca="false">$D10</f>
        <v>1629</v>
      </c>
      <c r="AB10" s="64" t="n">
        <f aca="false">$D10</f>
        <v>1629</v>
      </c>
      <c r="AC10" s="64" t="n">
        <f aca="false">$D10</f>
        <v>1629</v>
      </c>
      <c r="AD10" s="64" t="n">
        <f aca="false">$D10</f>
        <v>1629</v>
      </c>
      <c r="AE10" s="88" t="n">
        <f aca="false">IF($M$46&lt;=$N$46,Hypothèses!$D$9,Hypothèses!$E$9)</f>
        <v>1303.2</v>
      </c>
      <c r="AF10" s="88" t="n">
        <f aca="false">IF($M$46&gt;$N$46,Hypothèses!$D$9,Hypothèses!$E$9)</f>
        <v>1791.9</v>
      </c>
    </row>
    <row r="11" customFormat="false" ht="15" hidden="false" customHeight="false" outlineLevel="0" collapsed="false">
      <c r="A11" s="24" t="s">
        <v>2068</v>
      </c>
      <c r="B11" s="5" t="s">
        <v>2069</v>
      </c>
      <c r="C11" s="24" t="s">
        <v>299</v>
      </c>
      <c r="D11" s="72" t="n">
        <f aca="false">Hypothèses!$J$10</f>
        <v>0.168696364464616</v>
      </c>
      <c r="E11" s="66" t="n">
        <f aca="false">$D11</f>
        <v>0.168696364464616</v>
      </c>
      <c r="F11" s="66" t="n">
        <f aca="false">$D11</f>
        <v>0.168696364464616</v>
      </c>
      <c r="G11" s="66" t="n">
        <f aca="false">$D11</f>
        <v>0.168696364464616</v>
      </c>
      <c r="H11" s="66" t="n">
        <f aca="false">$D11</f>
        <v>0.168696364464616</v>
      </c>
      <c r="I11" s="66" t="n">
        <f aca="false">$D11</f>
        <v>0.168696364464616</v>
      </c>
      <c r="J11" s="66" t="n">
        <f aca="false">$D11</f>
        <v>0.168696364464616</v>
      </c>
      <c r="K11" s="66" t="n">
        <f aca="false">$D11</f>
        <v>0.168696364464616</v>
      </c>
      <c r="L11" s="66" t="n">
        <f aca="false">$D11</f>
        <v>0.168696364464616</v>
      </c>
      <c r="M11" s="66" t="n">
        <f aca="false">$D11</f>
        <v>0.168696364464616</v>
      </c>
      <c r="N11" s="66" t="n">
        <f aca="false">$D11</f>
        <v>0.168696364464616</v>
      </c>
      <c r="O11" s="85" t="n">
        <f aca="false">Hypothèses!$D$10</f>
        <v>0.14</v>
      </c>
      <c r="P11" s="85" t="n">
        <f aca="false">Hypothèses!$E$10</f>
        <v>0.19</v>
      </c>
      <c r="Q11" s="66" t="n">
        <f aca="false">$D11</f>
        <v>0.168696364464616</v>
      </c>
      <c r="R11" s="66" t="n">
        <f aca="false">$D11</f>
        <v>0.168696364464616</v>
      </c>
      <c r="S11" s="66" t="n">
        <f aca="false">$D11</f>
        <v>0.168696364464616</v>
      </c>
      <c r="T11" s="66" t="n">
        <f aca="false">$D11</f>
        <v>0.168696364464616</v>
      </c>
      <c r="U11" s="66" t="n">
        <f aca="false">$D11</f>
        <v>0.168696364464616</v>
      </c>
      <c r="V11" s="66" t="n">
        <f aca="false">$D11</f>
        <v>0.168696364464616</v>
      </c>
      <c r="W11" s="66" t="n">
        <f aca="false">$D11</f>
        <v>0.168696364464616</v>
      </c>
      <c r="X11" s="66" t="n">
        <f aca="false">$D11</f>
        <v>0.168696364464616</v>
      </c>
      <c r="Y11" s="66" t="n">
        <f aca="false">$D11</f>
        <v>0.168696364464616</v>
      </c>
      <c r="Z11" s="66" t="n">
        <f aca="false">$D11</f>
        <v>0.168696364464616</v>
      </c>
      <c r="AA11" s="66" t="n">
        <f aca="false">$D11</f>
        <v>0.168696364464616</v>
      </c>
      <c r="AB11" s="66" t="n">
        <f aca="false">$D11</f>
        <v>0.168696364464616</v>
      </c>
      <c r="AC11" s="66" t="n">
        <f aca="false">$D11</f>
        <v>0.168696364464616</v>
      </c>
      <c r="AD11" s="66" t="n">
        <f aca="false">$D11</f>
        <v>0.168696364464616</v>
      </c>
      <c r="AE11" s="86" t="n">
        <f aca="false">IF($O$46&lt;=$P$46,Hypothèses!$D$10,Hypothèses!$E$10)</f>
        <v>0.14</v>
      </c>
      <c r="AF11" s="86" t="n">
        <f aca="false">IF($O$46&gt;$P$46,Hypothèses!$D$10,Hypothèses!$E$10)</f>
        <v>0.19</v>
      </c>
    </row>
    <row r="12" customFormat="false" ht="15" hidden="false" customHeight="false" outlineLevel="0" collapsed="false">
      <c r="A12" s="24" t="s">
        <v>2072</v>
      </c>
      <c r="B12" s="5" t="s">
        <v>2073</v>
      </c>
      <c r="C12" s="24" t="s">
        <v>299</v>
      </c>
      <c r="D12" s="72" t="n">
        <f aca="false">Hypothèses!$J$11</f>
        <v>0.08</v>
      </c>
      <c r="E12" s="66" t="n">
        <f aca="false">$D12</f>
        <v>0.08</v>
      </c>
      <c r="F12" s="66" t="n">
        <f aca="false">$D12</f>
        <v>0.08</v>
      </c>
      <c r="G12" s="66" t="n">
        <f aca="false">$D12</f>
        <v>0.08</v>
      </c>
      <c r="H12" s="66" t="n">
        <f aca="false">$D12</f>
        <v>0.08</v>
      </c>
      <c r="I12" s="66" t="n">
        <f aca="false">$D12</f>
        <v>0.08</v>
      </c>
      <c r="J12" s="66" t="n">
        <f aca="false">$D12</f>
        <v>0.08</v>
      </c>
      <c r="K12" s="66" t="n">
        <f aca="false">$D12</f>
        <v>0.08</v>
      </c>
      <c r="L12" s="66" t="n">
        <f aca="false">$D12</f>
        <v>0.08</v>
      </c>
      <c r="M12" s="66" t="n">
        <f aca="false">$D12</f>
        <v>0.08</v>
      </c>
      <c r="N12" s="66" t="n">
        <f aca="false">$D12</f>
        <v>0.08</v>
      </c>
      <c r="O12" s="66" t="n">
        <f aca="false">$D12</f>
        <v>0.08</v>
      </c>
      <c r="P12" s="66" t="n">
        <f aca="false">$D12</f>
        <v>0.08</v>
      </c>
      <c r="Q12" s="85" t="n">
        <f aca="false">Hypothèses!$D$11</f>
        <v>0.04</v>
      </c>
      <c r="R12" s="85" t="n">
        <f aca="false">Hypothèses!$E$11</f>
        <v>0.12</v>
      </c>
      <c r="S12" s="66" t="n">
        <f aca="false">$D12</f>
        <v>0.08</v>
      </c>
      <c r="T12" s="66" t="n">
        <f aca="false">$D12</f>
        <v>0.08</v>
      </c>
      <c r="U12" s="66" t="n">
        <f aca="false">$D12</f>
        <v>0.08</v>
      </c>
      <c r="V12" s="66" t="n">
        <f aca="false">$D12</f>
        <v>0.08</v>
      </c>
      <c r="W12" s="66" t="n">
        <f aca="false">$D12</f>
        <v>0.08</v>
      </c>
      <c r="X12" s="66" t="n">
        <f aca="false">$D12</f>
        <v>0.08</v>
      </c>
      <c r="Y12" s="66" t="n">
        <f aca="false">$D12</f>
        <v>0.08</v>
      </c>
      <c r="Z12" s="66" t="n">
        <f aca="false">$D12</f>
        <v>0.08</v>
      </c>
      <c r="AA12" s="66" t="n">
        <f aca="false">$D12</f>
        <v>0.08</v>
      </c>
      <c r="AB12" s="66" t="n">
        <f aca="false">$D12</f>
        <v>0.08</v>
      </c>
      <c r="AC12" s="66" t="n">
        <f aca="false">$D12</f>
        <v>0.08</v>
      </c>
      <c r="AD12" s="66" t="n">
        <f aca="false">$D12</f>
        <v>0.08</v>
      </c>
      <c r="AE12" s="86" t="n">
        <f aca="false">IF($Q$46&lt;=$R$46,Hypothèses!$D$11,Hypothèses!$E$11)</f>
        <v>0.12</v>
      </c>
      <c r="AF12" s="86" t="n">
        <f aca="false">IF($Q$46&gt;$R$46,Hypothèses!$D$11,Hypothèses!$E$11)</f>
        <v>0.04</v>
      </c>
    </row>
    <row r="13" customFormat="false" ht="15" hidden="false" customHeight="false" outlineLevel="0" collapsed="false">
      <c r="A13" s="24" t="s">
        <v>2075</v>
      </c>
      <c r="B13" s="5" t="s">
        <v>2076</v>
      </c>
      <c r="C13" s="24" t="s">
        <v>299</v>
      </c>
      <c r="D13" s="72" t="n">
        <f aca="false">Hypothèses!$J$12</f>
        <v>0.5</v>
      </c>
      <c r="E13" s="66" t="n">
        <f aca="false">$D13</f>
        <v>0.5</v>
      </c>
      <c r="F13" s="66" t="n">
        <f aca="false">$D13</f>
        <v>0.5</v>
      </c>
      <c r="G13" s="66" t="n">
        <f aca="false">$D13</f>
        <v>0.5</v>
      </c>
      <c r="H13" s="66" t="n">
        <f aca="false">$D13</f>
        <v>0.5</v>
      </c>
      <c r="I13" s="66" t="n">
        <f aca="false">$D13</f>
        <v>0.5</v>
      </c>
      <c r="J13" s="66" t="n">
        <f aca="false">$D13</f>
        <v>0.5</v>
      </c>
      <c r="K13" s="66" t="n">
        <f aca="false">$D13</f>
        <v>0.5</v>
      </c>
      <c r="L13" s="66" t="n">
        <f aca="false">$D13</f>
        <v>0.5</v>
      </c>
      <c r="M13" s="66" t="n">
        <f aca="false">$D13</f>
        <v>0.5</v>
      </c>
      <c r="N13" s="66" t="n">
        <f aca="false">$D13</f>
        <v>0.5</v>
      </c>
      <c r="O13" s="66" t="n">
        <f aca="false">$D13</f>
        <v>0.5</v>
      </c>
      <c r="P13" s="66" t="n">
        <f aca="false">$D13</f>
        <v>0.5</v>
      </c>
      <c r="Q13" s="66" t="n">
        <f aca="false">$D13</f>
        <v>0.5</v>
      </c>
      <c r="R13" s="66" t="n">
        <f aca="false">$D13</f>
        <v>0.5</v>
      </c>
      <c r="S13" s="85" t="n">
        <f aca="false">Hypothèses!$D$12</f>
        <v>0</v>
      </c>
      <c r="T13" s="85" t="n">
        <f aca="false">Hypothèses!$E$12</f>
        <v>1</v>
      </c>
      <c r="U13" s="66" t="n">
        <f aca="false">$D13</f>
        <v>0.5</v>
      </c>
      <c r="V13" s="66" t="n">
        <f aca="false">$D13</f>
        <v>0.5</v>
      </c>
      <c r="W13" s="66" t="n">
        <f aca="false">$D13</f>
        <v>0.5</v>
      </c>
      <c r="X13" s="66" t="n">
        <f aca="false">$D13</f>
        <v>0.5</v>
      </c>
      <c r="Y13" s="66" t="n">
        <f aca="false">$D13</f>
        <v>0.5</v>
      </c>
      <c r="Z13" s="66" t="n">
        <f aca="false">$D13</f>
        <v>0.5</v>
      </c>
      <c r="AA13" s="66" t="n">
        <f aca="false">$D13</f>
        <v>0.5</v>
      </c>
      <c r="AB13" s="66" t="n">
        <f aca="false">$D13</f>
        <v>0.5</v>
      </c>
      <c r="AC13" s="66" t="n">
        <f aca="false">$D13</f>
        <v>0.5</v>
      </c>
      <c r="AD13" s="66" t="n">
        <f aca="false">$D13</f>
        <v>0.5</v>
      </c>
      <c r="AE13" s="86" t="n">
        <f aca="false">IF($S$46&lt;=$T$46,Hypothèses!$D$12,Hypothèses!$E$12)</f>
        <v>1</v>
      </c>
      <c r="AF13" s="86" t="n">
        <f aca="false">IF($S$46&gt;$T$46,Hypothèses!$D$12,Hypothèses!$E$12)</f>
        <v>0</v>
      </c>
    </row>
    <row r="14" customFormat="false" ht="15" hidden="false" customHeight="false" outlineLevel="0" collapsed="false">
      <c r="A14" s="24" t="s">
        <v>2078</v>
      </c>
      <c r="B14" s="5" t="s">
        <v>2079</v>
      </c>
      <c r="C14" s="24" t="s">
        <v>299</v>
      </c>
      <c r="D14" s="72" t="n">
        <f aca="false">Hypothèses!$J$13</f>
        <v>0.5</v>
      </c>
      <c r="E14" s="66" t="n">
        <f aca="false">$D14</f>
        <v>0.5</v>
      </c>
      <c r="F14" s="66" t="n">
        <f aca="false">$D14</f>
        <v>0.5</v>
      </c>
      <c r="G14" s="66" t="n">
        <f aca="false">$D14</f>
        <v>0.5</v>
      </c>
      <c r="H14" s="66" t="n">
        <f aca="false">$D14</f>
        <v>0.5</v>
      </c>
      <c r="I14" s="66" t="n">
        <f aca="false">$D14</f>
        <v>0.5</v>
      </c>
      <c r="J14" s="66" t="n">
        <f aca="false">$D14</f>
        <v>0.5</v>
      </c>
      <c r="K14" s="66" t="n">
        <f aca="false">$D14</f>
        <v>0.5</v>
      </c>
      <c r="L14" s="66" t="n">
        <f aca="false">$D14</f>
        <v>0.5</v>
      </c>
      <c r="M14" s="66" t="n">
        <f aca="false">$D14</f>
        <v>0.5</v>
      </c>
      <c r="N14" s="66" t="n">
        <f aca="false">$D14</f>
        <v>0.5</v>
      </c>
      <c r="O14" s="66" t="n">
        <f aca="false">$D14</f>
        <v>0.5</v>
      </c>
      <c r="P14" s="66" t="n">
        <f aca="false">$D14</f>
        <v>0.5</v>
      </c>
      <c r="Q14" s="66" t="n">
        <f aca="false">$D14</f>
        <v>0.5</v>
      </c>
      <c r="R14" s="66" t="n">
        <f aca="false">$D14</f>
        <v>0.5</v>
      </c>
      <c r="S14" s="66" t="n">
        <f aca="false">$D14</f>
        <v>0.5</v>
      </c>
      <c r="T14" s="66" t="n">
        <f aca="false">$D14</f>
        <v>0.5</v>
      </c>
      <c r="U14" s="85" t="n">
        <f aca="false">Hypothèses!$D$13</f>
        <v>0</v>
      </c>
      <c r="V14" s="85" t="n">
        <f aca="false">Hypothèses!$E$13</f>
        <v>1</v>
      </c>
      <c r="W14" s="66" t="n">
        <f aca="false">$D14</f>
        <v>0.5</v>
      </c>
      <c r="X14" s="66" t="n">
        <f aca="false">$D14</f>
        <v>0.5</v>
      </c>
      <c r="Y14" s="66" t="n">
        <f aca="false">$D14</f>
        <v>0.5</v>
      </c>
      <c r="Z14" s="66" t="n">
        <f aca="false">$D14</f>
        <v>0.5</v>
      </c>
      <c r="AA14" s="66" t="n">
        <f aca="false">$D14</f>
        <v>0.5</v>
      </c>
      <c r="AB14" s="66" t="n">
        <f aca="false">$D14</f>
        <v>0.5</v>
      </c>
      <c r="AC14" s="66" t="n">
        <f aca="false">$D14</f>
        <v>0.5</v>
      </c>
      <c r="AD14" s="66" t="n">
        <f aca="false">$D14</f>
        <v>0.5</v>
      </c>
      <c r="AE14" s="86" t="n">
        <f aca="false">IF($U$46&lt;=$V$46,Hypothèses!$D$13,Hypothèses!$E$13)</f>
        <v>0</v>
      </c>
      <c r="AF14" s="86" t="n">
        <f aca="false">IF($U$46&gt;$V$46,Hypothèses!$D$13,Hypothèses!$E$13)</f>
        <v>1</v>
      </c>
    </row>
    <row r="15" customFormat="false" ht="15" hidden="false" customHeight="false" outlineLevel="0" collapsed="false">
      <c r="A15" s="24" t="s">
        <v>2081</v>
      </c>
      <c r="B15" s="5" t="s">
        <v>2082</v>
      </c>
      <c r="C15" s="24" t="s">
        <v>133</v>
      </c>
      <c r="D15" s="89" t="n">
        <f aca="false">Hypothèses!$J$14</f>
        <v>10</v>
      </c>
      <c r="E15" s="90" t="n">
        <f aca="false">$D15</f>
        <v>10</v>
      </c>
      <c r="F15" s="90" t="n">
        <f aca="false">$D15</f>
        <v>10</v>
      </c>
      <c r="G15" s="90" t="n">
        <f aca="false">$D15</f>
        <v>10</v>
      </c>
      <c r="H15" s="90" t="n">
        <f aca="false">$D15</f>
        <v>10</v>
      </c>
      <c r="I15" s="90" t="n">
        <f aca="false">$D15</f>
        <v>10</v>
      </c>
      <c r="J15" s="90" t="n">
        <f aca="false">$D15</f>
        <v>10</v>
      </c>
      <c r="K15" s="90" t="n">
        <f aca="false">$D15</f>
        <v>10</v>
      </c>
      <c r="L15" s="90" t="n">
        <f aca="false">$D15</f>
        <v>10</v>
      </c>
      <c r="M15" s="90" t="n">
        <f aca="false">$D15</f>
        <v>10</v>
      </c>
      <c r="N15" s="90" t="n">
        <f aca="false">$D15</f>
        <v>10</v>
      </c>
      <c r="O15" s="90" t="n">
        <f aca="false">$D15</f>
        <v>10</v>
      </c>
      <c r="P15" s="90" t="n">
        <f aca="false">$D15</f>
        <v>10</v>
      </c>
      <c r="Q15" s="90" t="n">
        <f aca="false">$D15</f>
        <v>10</v>
      </c>
      <c r="R15" s="90" t="n">
        <f aca="false">$D15</f>
        <v>10</v>
      </c>
      <c r="S15" s="90" t="n">
        <f aca="false">$D15</f>
        <v>10</v>
      </c>
      <c r="T15" s="90" t="n">
        <f aca="false">$D15</f>
        <v>10</v>
      </c>
      <c r="U15" s="90" t="n">
        <f aca="false">$D15</f>
        <v>10</v>
      </c>
      <c r="V15" s="90" t="n">
        <f aca="false">$D15</f>
        <v>10</v>
      </c>
      <c r="W15" s="91" t="n">
        <f aca="false">Hypothèses!$D$14</f>
        <v>8</v>
      </c>
      <c r="X15" s="91" t="n">
        <f aca="false">Hypothèses!$E$14</f>
        <v>12</v>
      </c>
      <c r="Y15" s="90" t="n">
        <f aca="false">$D15</f>
        <v>10</v>
      </c>
      <c r="Z15" s="90" t="n">
        <f aca="false">$D15</f>
        <v>10</v>
      </c>
      <c r="AA15" s="90" t="n">
        <f aca="false">$D15</f>
        <v>10</v>
      </c>
      <c r="AB15" s="90" t="n">
        <f aca="false">$D15</f>
        <v>10</v>
      </c>
      <c r="AC15" s="90" t="n">
        <f aca="false">$D15</f>
        <v>10</v>
      </c>
      <c r="AD15" s="90" t="n">
        <f aca="false">$D15</f>
        <v>10</v>
      </c>
      <c r="AE15" s="92" t="n">
        <f aca="false">IF($W$46&lt;=$X$46,Hypothèses!$D$14,Hypothèses!$E$14)</f>
        <v>8</v>
      </c>
      <c r="AF15" s="92" t="n">
        <f aca="false">IF($W$46&gt;$X$46,Hypothèses!$D$14,Hypothèses!$E$14)</f>
        <v>12</v>
      </c>
    </row>
    <row r="16" customFormat="false" ht="15" hidden="false" customHeight="false" outlineLevel="0" collapsed="false">
      <c r="A16" s="24" t="s">
        <v>2084</v>
      </c>
      <c r="B16" s="5" t="s">
        <v>2085</v>
      </c>
      <c r="C16" s="24" t="s">
        <v>130</v>
      </c>
      <c r="D16" s="78" t="n">
        <f aca="false">Hypothèses!$J$15</f>
        <v>0.5</v>
      </c>
      <c r="E16" s="79" t="n">
        <f aca="false">$D16</f>
        <v>0.5</v>
      </c>
      <c r="F16" s="79" t="n">
        <f aca="false">$D16</f>
        <v>0.5</v>
      </c>
      <c r="G16" s="79" t="n">
        <f aca="false">$D16</f>
        <v>0.5</v>
      </c>
      <c r="H16" s="79" t="n">
        <f aca="false">$D16</f>
        <v>0.5</v>
      </c>
      <c r="I16" s="79" t="n">
        <f aca="false">$D16</f>
        <v>0.5</v>
      </c>
      <c r="J16" s="79" t="n">
        <f aca="false">$D16</f>
        <v>0.5</v>
      </c>
      <c r="K16" s="79" t="n">
        <f aca="false">$D16</f>
        <v>0.5</v>
      </c>
      <c r="L16" s="79" t="n">
        <f aca="false">$D16</f>
        <v>0.5</v>
      </c>
      <c r="M16" s="79" t="n">
        <f aca="false">$D16</f>
        <v>0.5</v>
      </c>
      <c r="N16" s="79" t="n">
        <f aca="false">$D16</f>
        <v>0.5</v>
      </c>
      <c r="O16" s="79" t="n">
        <f aca="false">$D16</f>
        <v>0.5</v>
      </c>
      <c r="P16" s="79" t="n">
        <f aca="false">$D16</f>
        <v>0.5</v>
      </c>
      <c r="Q16" s="79" t="n">
        <f aca="false">$D16</f>
        <v>0.5</v>
      </c>
      <c r="R16" s="79" t="n">
        <f aca="false">$D16</f>
        <v>0.5</v>
      </c>
      <c r="S16" s="79" t="n">
        <f aca="false">$D16</f>
        <v>0.5</v>
      </c>
      <c r="T16" s="79" t="n">
        <f aca="false">$D16</f>
        <v>0.5</v>
      </c>
      <c r="U16" s="79" t="n">
        <f aca="false">$D16</f>
        <v>0.5</v>
      </c>
      <c r="V16" s="79" t="n">
        <f aca="false">$D16</f>
        <v>0.5</v>
      </c>
      <c r="W16" s="79" t="n">
        <f aca="false">$D16</f>
        <v>0.5</v>
      </c>
      <c r="X16" s="79" t="n">
        <f aca="false">$D16</f>
        <v>0.5</v>
      </c>
      <c r="Y16" s="93" t="n">
        <f aca="false">Hypothèses!$D$15</f>
        <v>0</v>
      </c>
      <c r="Z16" s="93" t="n">
        <f aca="false">Hypothèses!$E$15</f>
        <v>1</v>
      </c>
      <c r="AA16" s="79" t="n">
        <f aca="false">$D16</f>
        <v>0.5</v>
      </c>
      <c r="AB16" s="79" t="n">
        <f aca="false">$D16</f>
        <v>0.5</v>
      </c>
      <c r="AC16" s="79" t="n">
        <f aca="false">$D16</f>
        <v>0.5</v>
      </c>
      <c r="AD16" s="79" t="n">
        <f aca="false">$D16</f>
        <v>0.5</v>
      </c>
      <c r="AE16" s="94" t="n">
        <f aca="false">IF($Y$46&lt;=$Z$46,Hypothèses!$D$15,Hypothèses!$E$15)</f>
        <v>1</v>
      </c>
      <c r="AF16" s="94" t="n">
        <f aca="false">IF($Y$46&gt;$Z$46,Hypothèses!$D$15,Hypothèses!$E$15)</f>
        <v>0</v>
      </c>
    </row>
    <row r="17" customFormat="false" ht="15" hidden="false" customHeight="false" outlineLevel="0" collapsed="false">
      <c r="A17" s="24" t="s">
        <v>2088</v>
      </c>
      <c r="B17" s="5" t="s">
        <v>2089</v>
      </c>
      <c r="C17" s="24" t="s">
        <v>299</v>
      </c>
      <c r="D17" s="72" t="n">
        <f aca="false">Hypothèses!$J$16</f>
        <v>0.731914893617021</v>
      </c>
      <c r="E17" s="66" t="n">
        <f aca="false">$D17</f>
        <v>0.731914893617021</v>
      </c>
      <c r="F17" s="66" t="n">
        <f aca="false">$D17</f>
        <v>0.731914893617021</v>
      </c>
      <c r="G17" s="66" t="n">
        <f aca="false">$D17</f>
        <v>0.731914893617021</v>
      </c>
      <c r="H17" s="66" t="n">
        <f aca="false">$D17</f>
        <v>0.731914893617021</v>
      </c>
      <c r="I17" s="66" t="n">
        <f aca="false">$D17</f>
        <v>0.731914893617021</v>
      </c>
      <c r="J17" s="66" t="n">
        <f aca="false">$D17</f>
        <v>0.731914893617021</v>
      </c>
      <c r="K17" s="66" t="n">
        <f aca="false">$D17</f>
        <v>0.731914893617021</v>
      </c>
      <c r="L17" s="66" t="n">
        <f aca="false">$D17</f>
        <v>0.731914893617021</v>
      </c>
      <c r="M17" s="66" t="n">
        <f aca="false">$D17</f>
        <v>0.731914893617021</v>
      </c>
      <c r="N17" s="66" t="n">
        <f aca="false">$D17</f>
        <v>0.731914893617021</v>
      </c>
      <c r="O17" s="66" t="n">
        <f aca="false">$D17</f>
        <v>0.731914893617021</v>
      </c>
      <c r="P17" s="66" t="n">
        <f aca="false">$D17</f>
        <v>0.731914893617021</v>
      </c>
      <c r="Q17" s="66" t="n">
        <f aca="false">$D17</f>
        <v>0.731914893617021</v>
      </c>
      <c r="R17" s="66" t="n">
        <f aca="false">$D17</f>
        <v>0.731914893617021</v>
      </c>
      <c r="S17" s="66" t="n">
        <f aca="false">$D17</f>
        <v>0.731914893617021</v>
      </c>
      <c r="T17" s="66" t="n">
        <f aca="false">$D17</f>
        <v>0.731914893617021</v>
      </c>
      <c r="U17" s="66" t="n">
        <f aca="false">$D17</f>
        <v>0.731914893617021</v>
      </c>
      <c r="V17" s="66" t="n">
        <f aca="false">$D17</f>
        <v>0.731914893617021</v>
      </c>
      <c r="W17" s="66" t="n">
        <f aca="false">$D17</f>
        <v>0.731914893617021</v>
      </c>
      <c r="X17" s="66" t="n">
        <f aca="false">$D17</f>
        <v>0.731914893617021</v>
      </c>
      <c r="Y17" s="66" t="n">
        <f aca="false">$D17</f>
        <v>0.731914893617021</v>
      </c>
      <c r="Z17" s="66" t="n">
        <f aca="false">$D17</f>
        <v>0.731914893617021</v>
      </c>
      <c r="AA17" s="85" t="n">
        <f aca="false">Hypothèses!$D$16</f>
        <v>0.69531914893617</v>
      </c>
      <c r="AB17" s="85" t="n">
        <f aca="false">Hypothèses!$E$16</f>
        <v>0.753872340425532</v>
      </c>
      <c r="AC17" s="66" t="n">
        <f aca="false">$D17</f>
        <v>0.731914893617021</v>
      </c>
      <c r="AD17" s="66" t="n">
        <f aca="false">$D17</f>
        <v>0.731914893617021</v>
      </c>
      <c r="AE17" s="86" t="n">
        <f aca="false">IF($AA$46&lt;=$AB$46,Hypothèses!$D$16,Hypothèses!$E$16)</f>
        <v>0.69531914893617</v>
      </c>
      <c r="AF17" s="86" t="n">
        <f aca="false">IF($AA$46&gt;$AB$46,Hypothèses!$D$16,Hypothèses!$E$16)</f>
        <v>0.753872340425532</v>
      </c>
    </row>
    <row r="18" customFormat="false" ht="15" hidden="false" customHeight="false" outlineLevel="0" collapsed="false">
      <c r="A18" s="24" t="s">
        <v>2102</v>
      </c>
      <c r="B18" s="5" t="s">
        <v>2103</v>
      </c>
      <c r="C18" s="24" t="s">
        <v>133</v>
      </c>
      <c r="D18" s="89" t="n">
        <f aca="false">Hypothèses!$J$21</f>
        <v>9.8</v>
      </c>
      <c r="E18" s="90" t="n">
        <f aca="false">$D18</f>
        <v>9.8</v>
      </c>
      <c r="F18" s="90" t="n">
        <f aca="false">$D18</f>
        <v>9.8</v>
      </c>
      <c r="G18" s="90" t="n">
        <f aca="false">$D18</f>
        <v>9.8</v>
      </c>
      <c r="H18" s="90" t="n">
        <f aca="false">$D18</f>
        <v>9.8</v>
      </c>
      <c r="I18" s="90" t="n">
        <f aca="false">$D18</f>
        <v>9.8</v>
      </c>
      <c r="J18" s="90" t="n">
        <f aca="false">$D18</f>
        <v>9.8</v>
      </c>
      <c r="K18" s="90" t="n">
        <f aca="false">$D18</f>
        <v>9.8</v>
      </c>
      <c r="L18" s="90" t="n">
        <f aca="false">$D18</f>
        <v>9.8</v>
      </c>
      <c r="M18" s="90" t="n">
        <f aca="false">$D18</f>
        <v>9.8</v>
      </c>
      <c r="N18" s="90" t="n">
        <f aca="false">$D18</f>
        <v>9.8</v>
      </c>
      <c r="O18" s="90" t="n">
        <f aca="false">$D18</f>
        <v>9.8</v>
      </c>
      <c r="P18" s="90" t="n">
        <f aca="false">$D18</f>
        <v>9.8</v>
      </c>
      <c r="Q18" s="90" t="n">
        <f aca="false">$D18</f>
        <v>9.8</v>
      </c>
      <c r="R18" s="90" t="n">
        <f aca="false">$D18</f>
        <v>9.8</v>
      </c>
      <c r="S18" s="90" t="n">
        <f aca="false">$D18</f>
        <v>9.8</v>
      </c>
      <c r="T18" s="90" t="n">
        <f aca="false">$D18</f>
        <v>9.8</v>
      </c>
      <c r="U18" s="90" t="n">
        <f aca="false">$D18</f>
        <v>9.8</v>
      </c>
      <c r="V18" s="90" t="n">
        <f aca="false">$D18</f>
        <v>9.8</v>
      </c>
      <c r="W18" s="90" t="n">
        <f aca="false">$D18</f>
        <v>9.8</v>
      </c>
      <c r="X18" s="90" t="n">
        <f aca="false">$D18</f>
        <v>9.8</v>
      </c>
      <c r="Y18" s="90" t="n">
        <f aca="false">$D18</f>
        <v>9.8</v>
      </c>
      <c r="Z18" s="90" t="n">
        <f aca="false">$D18</f>
        <v>9.8</v>
      </c>
      <c r="AA18" s="90" t="n">
        <f aca="false">$D18</f>
        <v>9.8</v>
      </c>
      <c r="AB18" s="90" t="n">
        <f aca="false">$D18</f>
        <v>9.8</v>
      </c>
      <c r="AC18" s="91" t="n">
        <f aca="false">Hypothèses!$D$21</f>
        <v>7.4</v>
      </c>
      <c r="AD18" s="91" t="n">
        <f aca="false">Hypothèses!$E$21</f>
        <v>11</v>
      </c>
      <c r="AE18" s="92" t="n">
        <f aca="false">IF($AC$46&lt;=$AD$46,Hypothèses!$D$21,Hypothèses!$E$21)</f>
        <v>11</v>
      </c>
      <c r="AF18" s="92" t="n">
        <f aca="false">IF($AC$46&gt;$AD$46,Hypothèses!$D$21,Hypothèses!$E$21)</f>
        <v>7.4</v>
      </c>
    </row>
    <row r="19" customFormat="false" ht="15" hidden="false" customHeight="false" outlineLevel="0" collapsed="false">
      <c r="A19" s="24" t="s">
        <v>2093</v>
      </c>
      <c r="B19" s="5" t="s">
        <v>2094</v>
      </c>
      <c r="C19" s="24" t="s">
        <v>2095</v>
      </c>
      <c r="D19" s="95" t="n">
        <f aca="false">Hypothèses!$J$19</f>
        <v>1.17584579071597</v>
      </c>
      <c r="E19" s="96" t="n">
        <f aca="false">$D19</f>
        <v>1.17584579071597</v>
      </c>
      <c r="F19" s="96" t="n">
        <f aca="false">$D19</f>
        <v>1.17584579071597</v>
      </c>
      <c r="G19" s="96" t="n">
        <f aca="false">$D19</f>
        <v>1.17584579071597</v>
      </c>
      <c r="H19" s="96" t="n">
        <f aca="false">$D19</f>
        <v>1.17584579071597</v>
      </c>
      <c r="I19" s="96" t="n">
        <f aca="false">$D19</f>
        <v>1.17584579071597</v>
      </c>
      <c r="J19" s="96" t="n">
        <f aca="false">$D19</f>
        <v>1.17584579071597</v>
      </c>
      <c r="K19" s="96" t="n">
        <f aca="false">$D19</f>
        <v>1.17584579071597</v>
      </c>
      <c r="L19" s="96" t="n">
        <f aca="false">$D19</f>
        <v>1.17584579071597</v>
      </c>
      <c r="M19" s="96" t="n">
        <f aca="false">$D19</f>
        <v>1.17584579071597</v>
      </c>
      <c r="N19" s="96" t="n">
        <f aca="false">$D19</f>
        <v>1.17584579071597</v>
      </c>
      <c r="O19" s="96" t="n">
        <f aca="false">$D19</f>
        <v>1.17584579071597</v>
      </c>
      <c r="P19" s="96" t="n">
        <f aca="false">$D19</f>
        <v>1.17584579071597</v>
      </c>
      <c r="Q19" s="96" t="n">
        <f aca="false">$D19</f>
        <v>1.17584579071597</v>
      </c>
      <c r="R19" s="96" t="n">
        <f aca="false">$D19</f>
        <v>1.17584579071597</v>
      </c>
      <c r="S19" s="96" t="n">
        <f aca="false">$D19</f>
        <v>1.17584579071597</v>
      </c>
      <c r="T19" s="96" t="n">
        <f aca="false">$D19</f>
        <v>1.17584579071597</v>
      </c>
      <c r="U19" s="96" t="n">
        <f aca="false">$D19</f>
        <v>1.17584579071597</v>
      </c>
      <c r="V19" s="96" t="n">
        <f aca="false">$D19</f>
        <v>1.17584579071597</v>
      </c>
      <c r="W19" s="96" t="n">
        <f aca="false">$D19</f>
        <v>1.17584579071597</v>
      </c>
      <c r="X19" s="96" t="n">
        <f aca="false">$D19</f>
        <v>1.17584579071597</v>
      </c>
      <c r="Y19" s="96" t="n">
        <f aca="false">$D19</f>
        <v>1.17584579071597</v>
      </c>
      <c r="Z19" s="96" t="n">
        <f aca="false">$D19</f>
        <v>1.17584579071597</v>
      </c>
      <c r="AA19" s="96" t="n">
        <f aca="false">$D19</f>
        <v>1.17584579071597</v>
      </c>
      <c r="AB19" s="96" t="n">
        <f aca="false">$D19</f>
        <v>1.17584579071597</v>
      </c>
      <c r="AC19" s="96" t="n">
        <f aca="false">$D19</f>
        <v>1.17584579071597</v>
      </c>
      <c r="AD19" s="96" t="n">
        <f aca="false">$D19</f>
        <v>1.17584579071597</v>
      </c>
      <c r="AE19" s="96" t="n">
        <f aca="false">$D19</f>
        <v>1.17584579071597</v>
      </c>
      <c r="AF19" s="96" t="n">
        <f aca="false">$D19</f>
        <v>1.17584579071597</v>
      </c>
    </row>
    <row r="20" customFormat="false" ht="15" hidden="false" customHeight="false" outlineLevel="0" collapsed="false">
      <c r="A20" s="24" t="s">
        <v>2098</v>
      </c>
      <c r="B20" s="5" t="s">
        <v>2099</v>
      </c>
      <c r="C20" s="24" t="s">
        <v>103</v>
      </c>
      <c r="D20" s="61" t="n">
        <f aca="false">Hypothèses!$J$20</f>
        <v>295</v>
      </c>
      <c r="E20" s="64" t="n">
        <f aca="false">$D20</f>
        <v>295</v>
      </c>
      <c r="F20" s="64" t="n">
        <f aca="false">$D20</f>
        <v>295</v>
      </c>
      <c r="G20" s="64" t="n">
        <f aca="false">$D20</f>
        <v>295</v>
      </c>
      <c r="H20" s="64" t="n">
        <f aca="false">$D20</f>
        <v>295</v>
      </c>
      <c r="I20" s="64" t="n">
        <f aca="false">$D20</f>
        <v>295</v>
      </c>
      <c r="J20" s="64" t="n">
        <f aca="false">$D20</f>
        <v>295</v>
      </c>
      <c r="K20" s="64" t="n">
        <f aca="false">$D20</f>
        <v>295</v>
      </c>
      <c r="L20" s="64" t="n">
        <f aca="false">$D20</f>
        <v>295</v>
      </c>
      <c r="M20" s="64" t="n">
        <f aca="false">$D20</f>
        <v>295</v>
      </c>
      <c r="N20" s="64" t="n">
        <f aca="false">$D20</f>
        <v>295</v>
      </c>
      <c r="O20" s="64" t="n">
        <f aca="false">$D20</f>
        <v>295</v>
      </c>
      <c r="P20" s="64" t="n">
        <f aca="false">$D20</f>
        <v>295</v>
      </c>
      <c r="Q20" s="64" t="n">
        <f aca="false">$D20</f>
        <v>295</v>
      </c>
      <c r="R20" s="64" t="n">
        <f aca="false">$D20</f>
        <v>295</v>
      </c>
      <c r="S20" s="64" t="n">
        <f aca="false">$D20</f>
        <v>295</v>
      </c>
      <c r="T20" s="64" t="n">
        <f aca="false">$D20</f>
        <v>295</v>
      </c>
      <c r="U20" s="64" t="n">
        <f aca="false">$D20</f>
        <v>295</v>
      </c>
      <c r="V20" s="64" t="n">
        <f aca="false">$D20</f>
        <v>295</v>
      </c>
      <c r="W20" s="64" t="n">
        <f aca="false">$D20</f>
        <v>295</v>
      </c>
      <c r="X20" s="64" t="n">
        <f aca="false">$D20</f>
        <v>295</v>
      </c>
      <c r="Y20" s="64" t="n">
        <f aca="false">$D20</f>
        <v>295</v>
      </c>
      <c r="Z20" s="64" t="n">
        <f aca="false">$D20</f>
        <v>295</v>
      </c>
      <c r="AA20" s="64" t="n">
        <f aca="false">$D20</f>
        <v>295</v>
      </c>
      <c r="AB20" s="64" t="n">
        <f aca="false">$D20</f>
        <v>295</v>
      </c>
      <c r="AC20" s="64" t="n">
        <f aca="false">$D20</f>
        <v>295</v>
      </c>
      <c r="AD20" s="64" t="n">
        <f aca="false">$D20</f>
        <v>295</v>
      </c>
      <c r="AE20" s="64" t="n">
        <f aca="false">$D20</f>
        <v>295</v>
      </c>
      <c r="AF20" s="64" t="n">
        <f aca="false">$D20</f>
        <v>295</v>
      </c>
    </row>
    <row r="21" customFormat="false" ht="15" hidden="false" customHeight="false" outlineLevel="0" collapsed="false">
      <c r="A21" s="24" t="s">
        <v>2105</v>
      </c>
      <c r="B21" s="5" t="s">
        <v>2106</v>
      </c>
      <c r="C21" s="24" t="s">
        <v>130</v>
      </c>
      <c r="D21" s="78" t="n">
        <f aca="false">Hypothèses!$J$22</f>
        <v>0</v>
      </c>
      <c r="E21" s="79" t="n">
        <f aca="false">$D21</f>
        <v>0</v>
      </c>
      <c r="F21" s="79" t="n">
        <f aca="false">$D21</f>
        <v>0</v>
      </c>
      <c r="G21" s="79" t="n">
        <f aca="false">$D21</f>
        <v>0</v>
      </c>
      <c r="H21" s="79" t="n">
        <f aca="false">$D21</f>
        <v>0</v>
      </c>
      <c r="I21" s="79" t="n">
        <f aca="false">$D21</f>
        <v>0</v>
      </c>
      <c r="J21" s="79" t="n">
        <f aca="false">$D21</f>
        <v>0</v>
      </c>
      <c r="K21" s="79" t="n">
        <f aca="false">$D21</f>
        <v>0</v>
      </c>
      <c r="L21" s="79" t="n">
        <f aca="false">$D21</f>
        <v>0</v>
      </c>
      <c r="M21" s="79" t="n">
        <f aca="false">$D21</f>
        <v>0</v>
      </c>
      <c r="N21" s="79" t="n">
        <f aca="false">$D21</f>
        <v>0</v>
      </c>
      <c r="O21" s="79" t="n">
        <f aca="false">$D21</f>
        <v>0</v>
      </c>
      <c r="P21" s="79" t="n">
        <f aca="false">$D21</f>
        <v>0</v>
      </c>
      <c r="Q21" s="79" t="n">
        <f aca="false">$D21</f>
        <v>0</v>
      </c>
      <c r="R21" s="79" t="n">
        <f aca="false">$D21</f>
        <v>0</v>
      </c>
      <c r="S21" s="79" t="n">
        <f aca="false">$D21</f>
        <v>0</v>
      </c>
      <c r="T21" s="79" t="n">
        <f aca="false">$D21</f>
        <v>0</v>
      </c>
      <c r="U21" s="79" t="n">
        <f aca="false">$D21</f>
        <v>0</v>
      </c>
      <c r="V21" s="79" t="n">
        <f aca="false">$D21</f>
        <v>0</v>
      </c>
      <c r="W21" s="79" t="n">
        <f aca="false">$D21</f>
        <v>0</v>
      </c>
      <c r="X21" s="79" t="n">
        <f aca="false">$D21</f>
        <v>0</v>
      </c>
      <c r="Y21" s="79" t="n">
        <f aca="false">$D21</f>
        <v>0</v>
      </c>
      <c r="Z21" s="79" t="n">
        <f aca="false">$D21</f>
        <v>0</v>
      </c>
      <c r="AA21" s="79" t="n">
        <f aca="false">$D21</f>
        <v>0</v>
      </c>
      <c r="AB21" s="79" t="n">
        <f aca="false">$D21</f>
        <v>0</v>
      </c>
      <c r="AC21" s="79" t="n">
        <f aca="false">$D21</f>
        <v>0</v>
      </c>
      <c r="AD21" s="79" t="n">
        <f aca="false">$D21</f>
        <v>0</v>
      </c>
      <c r="AE21" s="79" t="n">
        <f aca="false">$D21</f>
        <v>0</v>
      </c>
      <c r="AF21" s="79" t="n">
        <f aca="false">$D21</f>
        <v>0</v>
      </c>
    </row>
    <row r="22" customFormat="false" ht="15" hidden="false" customHeight="false" outlineLevel="0" collapsed="false">
      <c r="A22" s="24" t="s">
        <v>2108</v>
      </c>
      <c r="B22" s="5" t="s">
        <v>2109</v>
      </c>
      <c r="C22" s="24" t="s">
        <v>103</v>
      </c>
      <c r="D22" s="61" t="n">
        <f aca="false">Hypothèses!$J$23</f>
        <v>0</v>
      </c>
      <c r="E22" s="64" t="n">
        <f aca="false">$D22</f>
        <v>0</v>
      </c>
      <c r="F22" s="64" t="n">
        <f aca="false">$D22</f>
        <v>0</v>
      </c>
      <c r="G22" s="64" t="n">
        <f aca="false">$D22</f>
        <v>0</v>
      </c>
      <c r="H22" s="64" t="n">
        <f aca="false">$D22</f>
        <v>0</v>
      </c>
      <c r="I22" s="64" t="n">
        <f aca="false">$D22</f>
        <v>0</v>
      </c>
      <c r="J22" s="64" t="n">
        <f aca="false">$D22</f>
        <v>0</v>
      </c>
      <c r="K22" s="64" t="n">
        <f aca="false">$D22</f>
        <v>0</v>
      </c>
      <c r="L22" s="64" t="n">
        <f aca="false">$D22</f>
        <v>0</v>
      </c>
      <c r="M22" s="64" t="n">
        <f aca="false">$D22</f>
        <v>0</v>
      </c>
      <c r="N22" s="64" t="n">
        <f aca="false">$D22</f>
        <v>0</v>
      </c>
      <c r="O22" s="64" t="n">
        <f aca="false">$D22</f>
        <v>0</v>
      </c>
      <c r="P22" s="64" t="n">
        <f aca="false">$D22</f>
        <v>0</v>
      </c>
      <c r="Q22" s="64" t="n">
        <f aca="false">$D22</f>
        <v>0</v>
      </c>
      <c r="R22" s="64" t="n">
        <f aca="false">$D22</f>
        <v>0</v>
      </c>
      <c r="S22" s="64" t="n">
        <f aca="false">$D22</f>
        <v>0</v>
      </c>
      <c r="T22" s="64" t="n">
        <f aca="false">$D22</f>
        <v>0</v>
      </c>
      <c r="U22" s="64" t="n">
        <f aca="false">$D22</f>
        <v>0</v>
      </c>
      <c r="V22" s="64" t="n">
        <f aca="false">$D22</f>
        <v>0</v>
      </c>
      <c r="W22" s="64" t="n">
        <f aca="false">$D22</f>
        <v>0</v>
      </c>
      <c r="X22" s="64" t="n">
        <f aca="false">$D22</f>
        <v>0</v>
      </c>
      <c r="Y22" s="64" t="n">
        <f aca="false">$D22</f>
        <v>0</v>
      </c>
      <c r="Z22" s="64" t="n">
        <f aca="false">$D22</f>
        <v>0</v>
      </c>
      <c r="AA22" s="64" t="n">
        <f aca="false">$D22</f>
        <v>0</v>
      </c>
      <c r="AB22" s="64" t="n">
        <f aca="false">$D22</f>
        <v>0</v>
      </c>
      <c r="AC22" s="64" t="n">
        <f aca="false">$D22</f>
        <v>0</v>
      </c>
      <c r="AD22" s="64" t="n">
        <f aca="false">$D22</f>
        <v>0</v>
      </c>
      <c r="AE22" s="64" t="n">
        <f aca="false">$D22</f>
        <v>0</v>
      </c>
      <c r="AF22" s="64" t="n">
        <f aca="false">$D22</f>
        <v>0</v>
      </c>
    </row>
    <row r="23" customFormat="false" ht="15" hidden="false" customHeight="false" outlineLevel="0" collapsed="false">
      <c r="A23" s="24" t="s">
        <v>2111</v>
      </c>
      <c r="B23" s="5" t="s">
        <v>2112</v>
      </c>
      <c r="C23" s="24" t="s">
        <v>2113</v>
      </c>
      <c r="D23" s="97" t="n">
        <f aca="false">Hypothèses!$J$24</f>
        <v>7</v>
      </c>
      <c r="E23" s="83" t="n">
        <f aca="false">$D23</f>
        <v>7</v>
      </c>
      <c r="F23" s="83" t="n">
        <f aca="false">$D23</f>
        <v>7</v>
      </c>
      <c r="G23" s="83" t="n">
        <f aca="false">$D23</f>
        <v>7</v>
      </c>
      <c r="H23" s="83" t="n">
        <f aca="false">$D23</f>
        <v>7</v>
      </c>
      <c r="I23" s="83" t="n">
        <f aca="false">$D23</f>
        <v>7</v>
      </c>
      <c r="J23" s="83" t="n">
        <f aca="false">$D23</f>
        <v>7</v>
      </c>
      <c r="K23" s="83" t="n">
        <f aca="false">$D23</f>
        <v>7</v>
      </c>
      <c r="L23" s="83" t="n">
        <f aca="false">$D23</f>
        <v>7</v>
      </c>
      <c r="M23" s="83" t="n">
        <f aca="false">$D23</f>
        <v>7</v>
      </c>
      <c r="N23" s="83" t="n">
        <f aca="false">$D23</f>
        <v>7</v>
      </c>
      <c r="O23" s="83" t="n">
        <f aca="false">$D23</f>
        <v>7</v>
      </c>
      <c r="P23" s="83" t="n">
        <f aca="false">$D23</f>
        <v>7</v>
      </c>
      <c r="Q23" s="83" t="n">
        <f aca="false">$D23</f>
        <v>7</v>
      </c>
      <c r="R23" s="83" t="n">
        <f aca="false">$D23</f>
        <v>7</v>
      </c>
      <c r="S23" s="83" t="n">
        <f aca="false">$D23</f>
        <v>7</v>
      </c>
      <c r="T23" s="83" t="n">
        <f aca="false">$D23</f>
        <v>7</v>
      </c>
      <c r="U23" s="83" t="n">
        <f aca="false">$D23</f>
        <v>7</v>
      </c>
      <c r="V23" s="83" t="n">
        <f aca="false">$D23</f>
        <v>7</v>
      </c>
      <c r="W23" s="83" t="n">
        <f aca="false">$D23</f>
        <v>7</v>
      </c>
      <c r="X23" s="83" t="n">
        <f aca="false">$D23</f>
        <v>7</v>
      </c>
      <c r="Y23" s="83" t="n">
        <f aca="false">$D23</f>
        <v>7</v>
      </c>
      <c r="Z23" s="83" t="n">
        <f aca="false">$D23</f>
        <v>7</v>
      </c>
      <c r="AA23" s="83" t="n">
        <f aca="false">$D23</f>
        <v>7</v>
      </c>
      <c r="AB23" s="83" t="n">
        <f aca="false">$D23</f>
        <v>7</v>
      </c>
      <c r="AC23" s="83" t="n">
        <f aca="false">$D23</f>
        <v>7</v>
      </c>
      <c r="AD23" s="83" t="n">
        <f aca="false">$D23</f>
        <v>7</v>
      </c>
      <c r="AE23" s="83" t="n">
        <f aca="false">$D23</f>
        <v>7</v>
      </c>
      <c r="AF23" s="83" t="n">
        <f aca="false">$D23</f>
        <v>7</v>
      </c>
    </row>
    <row r="24" customFormat="false" ht="15" hidden="false" customHeight="false" outlineLevel="0" collapsed="false">
      <c r="A24" s="24" t="s">
        <v>2115</v>
      </c>
      <c r="B24" s="5" t="s">
        <v>2116</v>
      </c>
      <c r="C24" s="24" t="s">
        <v>249</v>
      </c>
      <c r="D24" s="98" t="n">
        <f aca="false">Hypothèses!$J$25</f>
        <v>22.5</v>
      </c>
      <c r="E24" s="99" t="n">
        <f aca="false">$D24</f>
        <v>22.5</v>
      </c>
      <c r="F24" s="99" t="n">
        <f aca="false">$D24</f>
        <v>22.5</v>
      </c>
      <c r="G24" s="99" t="n">
        <f aca="false">$D24</f>
        <v>22.5</v>
      </c>
      <c r="H24" s="99" t="n">
        <f aca="false">$D24</f>
        <v>22.5</v>
      </c>
      <c r="I24" s="99" t="n">
        <f aca="false">$D24</f>
        <v>22.5</v>
      </c>
      <c r="J24" s="99" t="n">
        <f aca="false">$D24</f>
        <v>22.5</v>
      </c>
      <c r="K24" s="99" t="n">
        <f aca="false">$D24</f>
        <v>22.5</v>
      </c>
      <c r="L24" s="99" t="n">
        <f aca="false">$D24</f>
        <v>22.5</v>
      </c>
      <c r="M24" s="99" t="n">
        <f aca="false">$D24</f>
        <v>22.5</v>
      </c>
      <c r="N24" s="99" t="n">
        <f aca="false">$D24</f>
        <v>22.5</v>
      </c>
      <c r="O24" s="99" t="n">
        <f aca="false">$D24</f>
        <v>22.5</v>
      </c>
      <c r="P24" s="99" t="n">
        <f aca="false">$D24</f>
        <v>22.5</v>
      </c>
      <c r="Q24" s="99" t="n">
        <f aca="false">$D24</f>
        <v>22.5</v>
      </c>
      <c r="R24" s="99" t="n">
        <f aca="false">$D24</f>
        <v>22.5</v>
      </c>
      <c r="S24" s="99" t="n">
        <f aca="false">$D24</f>
        <v>22.5</v>
      </c>
      <c r="T24" s="99" t="n">
        <f aca="false">$D24</f>
        <v>22.5</v>
      </c>
      <c r="U24" s="99" t="n">
        <f aca="false">$D24</f>
        <v>22.5</v>
      </c>
      <c r="V24" s="99" t="n">
        <f aca="false">$D24</f>
        <v>22.5</v>
      </c>
      <c r="W24" s="99" t="n">
        <f aca="false">$D24</f>
        <v>22.5</v>
      </c>
      <c r="X24" s="99" t="n">
        <f aca="false">$D24</f>
        <v>22.5</v>
      </c>
      <c r="Y24" s="99" t="n">
        <f aca="false">$D24</f>
        <v>22.5</v>
      </c>
      <c r="Z24" s="99" t="n">
        <f aca="false">$D24</f>
        <v>22.5</v>
      </c>
      <c r="AA24" s="99" t="n">
        <f aca="false">$D24</f>
        <v>22.5</v>
      </c>
      <c r="AB24" s="99" t="n">
        <f aca="false">$D24</f>
        <v>22.5</v>
      </c>
      <c r="AC24" s="99" t="n">
        <f aca="false">$D24</f>
        <v>22.5</v>
      </c>
      <c r="AD24" s="99" t="n">
        <f aca="false">$D24</f>
        <v>22.5</v>
      </c>
      <c r="AE24" s="99" t="n">
        <f aca="false">$D24</f>
        <v>22.5</v>
      </c>
      <c r="AF24" s="99" t="n">
        <f aca="false">$D24</f>
        <v>22.5</v>
      </c>
    </row>
    <row r="25" customFormat="false" ht="15" hidden="false" customHeight="false" outlineLevel="0" collapsed="false">
      <c r="A25" s="24" t="s">
        <v>2118</v>
      </c>
      <c r="B25" s="5" t="s">
        <v>2119</v>
      </c>
      <c r="C25" s="24" t="s">
        <v>133</v>
      </c>
      <c r="D25" s="89" t="n">
        <f aca="false">Hypothèses!$J$26</f>
        <v>3</v>
      </c>
      <c r="E25" s="90" t="n">
        <f aca="false">$D25</f>
        <v>3</v>
      </c>
      <c r="F25" s="90" t="n">
        <f aca="false">$D25</f>
        <v>3</v>
      </c>
      <c r="G25" s="90" t="n">
        <f aca="false">$D25</f>
        <v>3</v>
      </c>
      <c r="H25" s="90" t="n">
        <f aca="false">$D25</f>
        <v>3</v>
      </c>
      <c r="I25" s="90" t="n">
        <f aca="false">$D25</f>
        <v>3</v>
      </c>
      <c r="J25" s="90" t="n">
        <f aca="false">$D25</f>
        <v>3</v>
      </c>
      <c r="K25" s="90" t="n">
        <f aca="false">$D25</f>
        <v>3</v>
      </c>
      <c r="L25" s="90" t="n">
        <f aca="false">$D25</f>
        <v>3</v>
      </c>
      <c r="M25" s="90" t="n">
        <f aca="false">$D25</f>
        <v>3</v>
      </c>
      <c r="N25" s="90" t="n">
        <f aca="false">$D25</f>
        <v>3</v>
      </c>
      <c r="O25" s="90" t="n">
        <f aca="false">$D25</f>
        <v>3</v>
      </c>
      <c r="P25" s="90" t="n">
        <f aca="false">$D25</f>
        <v>3</v>
      </c>
      <c r="Q25" s="90" t="n">
        <f aca="false">$D25</f>
        <v>3</v>
      </c>
      <c r="R25" s="90" t="n">
        <f aca="false">$D25</f>
        <v>3</v>
      </c>
      <c r="S25" s="90" t="n">
        <f aca="false">$D25</f>
        <v>3</v>
      </c>
      <c r="T25" s="90" t="n">
        <f aca="false">$D25</f>
        <v>3</v>
      </c>
      <c r="U25" s="90" t="n">
        <f aca="false">$D25</f>
        <v>3</v>
      </c>
      <c r="V25" s="90" t="n">
        <f aca="false">$D25</f>
        <v>3</v>
      </c>
      <c r="W25" s="90" t="n">
        <f aca="false">$D25</f>
        <v>3</v>
      </c>
      <c r="X25" s="90" t="n">
        <f aca="false">$D25</f>
        <v>3</v>
      </c>
      <c r="Y25" s="90" t="n">
        <f aca="false">$D25</f>
        <v>3</v>
      </c>
      <c r="Z25" s="90" t="n">
        <f aca="false">$D25</f>
        <v>3</v>
      </c>
      <c r="AA25" s="90" t="n">
        <f aca="false">$D25</f>
        <v>3</v>
      </c>
      <c r="AB25" s="90" t="n">
        <f aca="false">$D25</f>
        <v>3</v>
      </c>
      <c r="AC25" s="90" t="n">
        <f aca="false">$D25</f>
        <v>3</v>
      </c>
      <c r="AD25" s="90" t="n">
        <f aca="false">$D25</f>
        <v>3</v>
      </c>
      <c r="AE25" s="90" t="n">
        <f aca="false">$D25</f>
        <v>3</v>
      </c>
      <c r="AF25" s="90" t="n">
        <f aca="false">$D25</f>
        <v>3</v>
      </c>
    </row>
    <row r="26" customFormat="false" ht="15" hidden="false" customHeight="false" outlineLevel="0" collapsed="false">
      <c r="A26" s="2"/>
      <c r="B26" s="22" t="s">
        <v>2598</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row>
    <row r="27" customFormat="false" ht="15" hidden="false" customHeight="false" outlineLevel="0" collapsed="false">
      <c r="A27" s="24" t="s">
        <v>2599</v>
      </c>
      <c r="B27" s="5" t="s">
        <v>2600</v>
      </c>
      <c r="C27" s="24" t="s">
        <v>103</v>
      </c>
      <c r="D27" s="64" t="n">
        <f aca="false">Entrées!$C$8*(1+D6)</f>
        <v>7437.75</v>
      </c>
      <c r="E27" s="64" t="n">
        <f aca="false">Entrées!$C$8*(1+E6)</f>
        <v>7402.5</v>
      </c>
      <c r="F27" s="64" t="n">
        <f aca="false">Entrées!$C$8*(1+F6)</f>
        <v>7473</v>
      </c>
      <c r="G27" s="64" t="n">
        <f aca="false">Entrées!$C$8*(1+G6)</f>
        <v>7437.75</v>
      </c>
      <c r="H27" s="64" t="n">
        <f aca="false">Entrées!$C$8*(1+H6)</f>
        <v>7437.75</v>
      </c>
      <c r="I27" s="64" t="n">
        <f aca="false">Entrées!$C$8*(1+I6)</f>
        <v>7437.75</v>
      </c>
      <c r="J27" s="64" t="n">
        <f aca="false">Entrées!$C$8*(1+J6)</f>
        <v>7437.75</v>
      </c>
      <c r="K27" s="64" t="n">
        <f aca="false">Entrées!$C$8*(1+K6)</f>
        <v>7437.75</v>
      </c>
      <c r="L27" s="64" t="n">
        <f aca="false">Entrées!$C$8*(1+L6)</f>
        <v>7437.75</v>
      </c>
      <c r="M27" s="64" t="n">
        <f aca="false">Entrées!$C$8*(1+M6)</f>
        <v>7437.75</v>
      </c>
      <c r="N27" s="64" t="n">
        <f aca="false">Entrées!$C$8*(1+N6)</f>
        <v>7437.75</v>
      </c>
      <c r="O27" s="64" t="n">
        <f aca="false">Entrées!$C$8*(1+O6)</f>
        <v>7437.75</v>
      </c>
      <c r="P27" s="64" t="n">
        <f aca="false">Entrées!$C$8*(1+P6)</f>
        <v>7437.75</v>
      </c>
      <c r="Q27" s="64" t="n">
        <f aca="false">Entrées!$C$8*(1+Q6)</f>
        <v>7437.75</v>
      </c>
      <c r="R27" s="64" t="n">
        <f aca="false">Entrées!$C$8*(1+R6)</f>
        <v>7437.75</v>
      </c>
      <c r="S27" s="64" t="n">
        <f aca="false">Entrées!$C$8*(1+S6)</f>
        <v>7437.75</v>
      </c>
      <c r="T27" s="64" t="n">
        <f aca="false">Entrées!$C$8*(1+T6)</f>
        <v>7437.75</v>
      </c>
      <c r="U27" s="64" t="n">
        <f aca="false">Entrées!$C$8*(1+U6)</f>
        <v>7437.75</v>
      </c>
      <c r="V27" s="64" t="n">
        <f aca="false">Entrées!$C$8*(1+V6)</f>
        <v>7437.75</v>
      </c>
      <c r="W27" s="64" t="n">
        <f aca="false">Entrées!$C$8*(1+W6)</f>
        <v>7437.75</v>
      </c>
      <c r="X27" s="64" t="n">
        <f aca="false">Entrées!$C$8*(1+X6)</f>
        <v>7437.75</v>
      </c>
      <c r="Y27" s="64" t="n">
        <f aca="false">Entrées!$C$8*(1+Y6)</f>
        <v>7437.75</v>
      </c>
      <c r="Z27" s="64" t="n">
        <f aca="false">Entrées!$C$8*(1+Z6)</f>
        <v>7437.75</v>
      </c>
      <c r="AA27" s="64" t="n">
        <f aca="false">Entrées!$C$8*(1+AA6)</f>
        <v>7437.75</v>
      </c>
      <c r="AB27" s="64" t="n">
        <f aca="false">Entrées!$C$8*(1+AB6)</f>
        <v>7437.75</v>
      </c>
      <c r="AC27" s="64" t="n">
        <f aca="false">Entrées!$C$8*(1+AC6)</f>
        <v>7437.75</v>
      </c>
      <c r="AD27" s="64" t="n">
        <f aca="false">Entrées!$C$8*(1+AD6)</f>
        <v>7437.75</v>
      </c>
      <c r="AE27" s="64" t="n">
        <f aca="false">Entrées!$C$8*(1+AE6)</f>
        <v>7402.5</v>
      </c>
      <c r="AF27" s="64" t="n">
        <f aca="false">Entrées!$C$8*(1+AF6)</f>
        <v>7473</v>
      </c>
    </row>
    <row r="28" customFormat="false" ht="15" hidden="false" customHeight="false" outlineLevel="0" collapsed="false">
      <c r="A28" s="24" t="s">
        <v>2601</v>
      </c>
      <c r="B28" s="5" t="s">
        <v>2602</v>
      </c>
      <c r="C28" s="24" t="s">
        <v>103</v>
      </c>
      <c r="D28" s="64" t="n">
        <f aca="false">D8*D23/12/D19</f>
        <v>99.2193598750976</v>
      </c>
      <c r="E28" s="64" t="n">
        <f aca="false">E8*E23/12/E19</f>
        <v>99.2193598750976</v>
      </c>
      <c r="F28" s="64" t="n">
        <f aca="false">F8*F23/12/F19</f>
        <v>99.2193598750976</v>
      </c>
      <c r="G28" s="64" t="n">
        <f aca="false">G8*G23/12/G19</f>
        <v>99.2193598750976</v>
      </c>
      <c r="H28" s="64" t="n">
        <f aca="false">H8*H23/12/H19</f>
        <v>99.2193598750976</v>
      </c>
      <c r="I28" s="64" t="n">
        <f aca="false">I8*I23/12/I19</f>
        <v>89.2974238875878</v>
      </c>
      <c r="J28" s="64" t="n">
        <f aca="false">J8*J23/12/J19</f>
        <v>109.141295862607</v>
      </c>
      <c r="K28" s="64" t="n">
        <f aca="false">K8*K23/12/K19</f>
        <v>99.2193598750976</v>
      </c>
      <c r="L28" s="64" t="n">
        <f aca="false">L8*L23/12/L19</f>
        <v>99.2193598750976</v>
      </c>
      <c r="M28" s="64" t="n">
        <f aca="false">M8*M23/12/M19</f>
        <v>99.2193598750976</v>
      </c>
      <c r="N28" s="64" t="n">
        <f aca="false">N8*N23/12/N19</f>
        <v>99.2193598750976</v>
      </c>
      <c r="O28" s="64" t="n">
        <f aca="false">O8*O23/12/O19</f>
        <v>99.2193598750976</v>
      </c>
      <c r="P28" s="64" t="n">
        <f aca="false">P8*P23/12/P19</f>
        <v>99.2193598750976</v>
      </c>
      <c r="Q28" s="64" t="n">
        <f aca="false">Q8*Q23/12/Q19</f>
        <v>99.2193598750976</v>
      </c>
      <c r="R28" s="64" t="n">
        <f aca="false">R8*R23/12/R19</f>
        <v>99.2193598750976</v>
      </c>
      <c r="S28" s="64" t="n">
        <f aca="false">S8*S23/12/S19</f>
        <v>99.2193598750976</v>
      </c>
      <c r="T28" s="64" t="n">
        <f aca="false">T8*T23/12/T19</f>
        <v>99.2193598750976</v>
      </c>
      <c r="U28" s="64" t="n">
        <f aca="false">U8*U23/12/U19</f>
        <v>99.2193598750976</v>
      </c>
      <c r="V28" s="64" t="n">
        <f aca="false">V8*V23/12/V19</f>
        <v>99.2193598750976</v>
      </c>
      <c r="W28" s="64" t="n">
        <f aca="false">W8*W23/12/W19</f>
        <v>99.2193598750976</v>
      </c>
      <c r="X28" s="64" t="n">
        <f aca="false">X8*X23/12/X19</f>
        <v>99.2193598750976</v>
      </c>
      <c r="Y28" s="64" t="n">
        <f aca="false">Y8*Y23/12/Y19</f>
        <v>99.2193598750976</v>
      </c>
      <c r="Z28" s="64" t="n">
        <f aca="false">Z8*Z23/12/Z19</f>
        <v>99.2193598750976</v>
      </c>
      <c r="AA28" s="64" t="n">
        <f aca="false">AA8*AA23/12/AA19</f>
        <v>99.2193598750976</v>
      </c>
      <c r="AB28" s="64" t="n">
        <f aca="false">AB8*AB23/12/AB19</f>
        <v>99.2193598750976</v>
      </c>
      <c r="AC28" s="64" t="n">
        <f aca="false">AC8*AC23/12/AC19</f>
        <v>99.2193598750976</v>
      </c>
      <c r="AD28" s="64" t="n">
        <f aca="false">AD8*AD23/12/AD19</f>
        <v>99.2193598750976</v>
      </c>
      <c r="AE28" s="64" t="n">
        <f aca="false">AE8*AE23/12/AE19</f>
        <v>89.2974238875878</v>
      </c>
      <c r="AF28" s="64" t="n">
        <f aca="false">AF8*AF23/12/AF19</f>
        <v>109.141295862607</v>
      </c>
    </row>
    <row r="29" customFormat="false" ht="15" hidden="false" customHeight="false" outlineLevel="0" collapsed="false">
      <c r="A29" s="24" t="s">
        <v>2603</v>
      </c>
      <c r="B29" s="5" t="s">
        <v>2604</v>
      </c>
      <c r="C29" s="24" t="s">
        <v>103</v>
      </c>
      <c r="D29" s="64" t="n">
        <f aca="false">Entrées!$C$36*D13*1000</f>
        <v>250</v>
      </c>
      <c r="E29" s="64" t="n">
        <f aca="false">Entrées!$C$36*E13*1000</f>
        <v>250</v>
      </c>
      <c r="F29" s="64" t="n">
        <f aca="false">Entrées!$C$36*F13*1000</f>
        <v>250</v>
      </c>
      <c r="G29" s="64" t="n">
        <f aca="false">Entrées!$C$36*G13*1000</f>
        <v>250</v>
      </c>
      <c r="H29" s="64" t="n">
        <f aca="false">Entrées!$C$36*H13*1000</f>
        <v>250</v>
      </c>
      <c r="I29" s="64" t="n">
        <f aca="false">Entrées!$C$36*I13*1000</f>
        <v>250</v>
      </c>
      <c r="J29" s="64" t="n">
        <f aca="false">Entrées!$C$36*J13*1000</f>
        <v>250</v>
      </c>
      <c r="K29" s="64" t="n">
        <f aca="false">Entrées!$C$36*K13*1000</f>
        <v>250</v>
      </c>
      <c r="L29" s="64" t="n">
        <f aca="false">Entrées!$C$36*L13*1000</f>
        <v>250</v>
      </c>
      <c r="M29" s="64" t="n">
        <f aca="false">Entrées!$C$36*M13*1000</f>
        <v>250</v>
      </c>
      <c r="N29" s="64" t="n">
        <f aca="false">Entrées!$C$36*N13*1000</f>
        <v>250</v>
      </c>
      <c r="O29" s="64" t="n">
        <f aca="false">Entrées!$C$36*O13*1000</f>
        <v>250</v>
      </c>
      <c r="P29" s="64" t="n">
        <f aca="false">Entrées!$C$36*P13*1000</f>
        <v>250</v>
      </c>
      <c r="Q29" s="64" t="n">
        <f aca="false">Entrées!$C$36*Q13*1000</f>
        <v>250</v>
      </c>
      <c r="R29" s="64" t="n">
        <f aca="false">Entrées!$C$36*R13*1000</f>
        <v>250</v>
      </c>
      <c r="S29" s="64" t="n">
        <f aca="false">Entrées!$C$36*S13*1000</f>
        <v>0</v>
      </c>
      <c r="T29" s="64" t="n">
        <f aca="false">Entrées!$C$36*T13*1000</f>
        <v>500</v>
      </c>
      <c r="U29" s="64" t="n">
        <f aca="false">Entrées!$C$36*U13*1000</f>
        <v>250</v>
      </c>
      <c r="V29" s="64" t="n">
        <f aca="false">Entrées!$C$36*V13*1000</f>
        <v>250</v>
      </c>
      <c r="W29" s="64" t="n">
        <f aca="false">Entrées!$C$36*W13*1000</f>
        <v>250</v>
      </c>
      <c r="X29" s="64" t="n">
        <f aca="false">Entrées!$C$36*X13*1000</f>
        <v>250</v>
      </c>
      <c r="Y29" s="64" t="n">
        <f aca="false">Entrées!$C$36*Y13*1000</f>
        <v>250</v>
      </c>
      <c r="Z29" s="64" t="n">
        <f aca="false">Entrées!$C$36*Z13*1000</f>
        <v>250</v>
      </c>
      <c r="AA29" s="64" t="n">
        <f aca="false">Entrées!$C$36*AA13*1000</f>
        <v>250</v>
      </c>
      <c r="AB29" s="64" t="n">
        <f aca="false">Entrées!$C$36*AB13*1000</f>
        <v>250</v>
      </c>
      <c r="AC29" s="64" t="n">
        <f aca="false">Entrées!$C$36*AC13*1000</f>
        <v>250</v>
      </c>
      <c r="AD29" s="64" t="n">
        <f aca="false">Entrées!$C$36*AD13*1000</f>
        <v>250</v>
      </c>
      <c r="AE29" s="64" t="n">
        <f aca="false">Entrées!$C$36*AE13*1000</f>
        <v>500</v>
      </c>
      <c r="AF29" s="64" t="n">
        <f aca="false">Entrées!$C$36*AF13*1000</f>
        <v>0</v>
      </c>
    </row>
    <row r="30" customFormat="false" ht="15" hidden="false" customHeight="false" outlineLevel="0" collapsed="false">
      <c r="A30" s="24" t="s">
        <v>2605</v>
      </c>
      <c r="B30" s="5" t="s">
        <v>2606</v>
      </c>
      <c r="C30" s="24" t="s">
        <v>103</v>
      </c>
      <c r="D30" s="64" t="n">
        <f aca="false">-D29/D15</f>
        <v>-25</v>
      </c>
      <c r="E30" s="64" t="n">
        <f aca="false">-E29/E15</f>
        <v>-25</v>
      </c>
      <c r="F30" s="64" t="n">
        <f aca="false">-F29/F15</f>
        <v>-25</v>
      </c>
      <c r="G30" s="64" t="n">
        <f aca="false">-G29/G15</f>
        <v>-25</v>
      </c>
      <c r="H30" s="64" t="n">
        <f aca="false">-H29/H15</f>
        <v>-25</v>
      </c>
      <c r="I30" s="64" t="n">
        <f aca="false">-I29/I15</f>
        <v>-25</v>
      </c>
      <c r="J30" s="64" t="n">
        <f aca="false">-J29/J15</f>
        <v>-25</v>
      </c>
      <c r="K30" s="64" t="n">
        <f aca="false">-K29/K15</f>
        <v>-25</v>
      </c>
      <c r="L30" s="64" t="n">
        <f aca="false">-L29/L15</f>
        <v>-25</v>
      </c>
      <c r="M30" s="64" t="n">
        <f aca="false">-M29/M15</f>
        <v>-25</v>
      </c>
      <c r="N30" s="64" t="n">
        <f aca="false">-N29/N15</f>
        <v>-25</v>
      </c>
      <c r="O30" s="64" t="n">
        <f aca="false">-O29/O15</f>
        <v>-25</v>
      </c>
      <c r="P30" s="64" t="n">
        <f aca="false">-P29/P15</f>
        <v>-25</v>
      </c>
      <c r="Q30" s="64" t="n">
        <f aca="false">-Q29/Q15</f>
        <v>-25</v>
      </c>
      <c r="R30" s="64" t="n">
        <f aca="false">-R29/R15</f>
        <v>-25</v>
      </c>
      <c r="S30" s="64" t="n">
        <f aca="false">-S29/S15</f>
        <v>-0</v>
      </c>
      <c r="T30" s="64" t="n">
        <f aca="false">-T29/T15</f>
        <v>-50</v>
      </c>
      <c r="U30" s="64" t="n">
        <f aca="false">-U29/U15</f>
        <v>-25</v>
      </c>
      <c r="V30" s="64" t="n">
        <f aca="false">-V29/V15</f>
        <v>-25</v>
      </c>
      <c r="W30" s="64" t="n">
        <f aca="false">-W29/W15</f>
        <v>-31.25</v>
      </c>
      <c r="X30" s="64" t="n">
        <f aca="false">-X29/X15</f>
        <v>-20.8333333333333</v>
      </c>
      <c r="Y30" s="64" t="n">
        <f aca="false">-Y29/Y15</f>
        <v>-25</v>
      </c>
      <c r="Z30" s="64" t="n">
        <f aca="false">-Z29/Z15</f>
        <v>-25</v>
      </c>
      <c r="AA30" s="64" t="n">
        <f aca="false">-AA29/AA15</f>
        <v>-25</v>
      </c>
      <c r="AB30" s="64" t="n">
        <f aca="false">-AB29/AB15</f>
        <v>-25</v>
      </c>
      <c r="AC30" s="64" t="n">
        <f aca="false">-AC29/AC15</f>
        <v>-25</v>
      </c>
      <c r="AD30" s="64" t="n">
        <f aca="false">-AD29/AD15</f>
        <v>-25</v>
      </c>
      <c r="AE30" s="64" t="n">
        <f aca="false">-AE29/AE15</f>
        <v>-62.5</v>
      </c>
      <c r="AF30" s="64" t="n">
        <f aca="false">-AF29/AF15</f>
        <v>-0</v>
      </c>
    </row>
    <row r="31" customFormat="false" ht="15" hidden="false" customHeight="false" outlineLevel="0" collapsed="false">
      <c r="A31" s="24" t="s">
        <v>2607</v>
      </c>
      <c r="B31" s="22" t="s">
        <v>2608</v>
      </c>
      <c r="C31" s="24" t="s">
        <v>103</v>
      </c>
      <c r="D31" s="70" t="n">
        <f aca="false">D27+D28+D30</f>
        <v>7511.9693598751</v>
      </c>
      <c r="E31" s="70" t="n">
        <f aca="false">E27+E28+E30</f>
        <v>7476.7193598751</v>
      </c>
      <c r="F31" s="70" t="n">
        <f aca="false">F27+F28+F30</f>
        <v>7547.2193598751</v>
      </c>
      <c r="G31" s="70" t="n">
        <f aca="false">G27+G28+G30</f>
        <v>7511.9693598751</v>
      </c>
      <c r="H31" s="70" t="n">
        <f aca="false">H27+H28+H30</f>
        <v>7511.9693598751</v>
      </c>
      <c r="I31" s="70" t="n">
        <f aca="false">I27+I28+I30</f>
        <v>7502.04742388759</v>
      </c>
      <c r="J31" s="70" t="n">
        <f aca="false">J27+J28+J30</f>
        <v>7521.89129586261</v>
      </c>
      <c r="K31" s="70" t="n">
        <f aca="false">K27+K28+K30</f>
        <v>7511.9693598751</v>
      </c>
      <c r="L31" s="70" t="n">
        <f aca="false">L27+L28+L30</f>
        <v>7511.9693598751</v>
      </c>
      <c r="M31" s="70" t="n">
        <f aca="false">M27+M28+M30</f>
        <v>7511.9693598751</v>
      </c>
      <c r="N31" s="70" t="n">
        <f aca="false">N27+N28+N30</f>
        <v>7511.9693598751</v>
      </c>
      <c r="O31" s="70" t="n">
        <f aca="false">O27+O28+O30</f>
        <v>7511.9693598751</v>
      </c>
      <c r="P31" s="70" t="n">
        <f aca="false">P27+P28+P30</f>
        <v>7511.9693598751</v>
      </c>
      <c r="Q31" s="70" t="n">
        <f aca="false">Q27+Q28+Q30</f>
        <v>7511.9693598751</v>
      </c>
      <c r="R31" s="70" t="n">
        <f aca="false">R27+R28+R30</f>
        <v>7511.9693598751</v>
      </c>
      <c r="S31" s="70" t="n">
        <f aca="false">S27+S28+S30</f>
        <v>7536.9693598751</v>
      </c>
      <c r="T31" s="70" t="n">
        <f aca="false">T27+T28+T30</f>
        <v>7486.9693598751</v>
      </c>
      <c r="U31" s="70" t="n">
        <f aca="false">U27+U28+U30</f>
        <v>7511.9693598751</v>
      </c>
      <c r="V31" s="70" t="n">
        <f aca="false">V27+V28+V30</f>
        <v>7511.9693598751</v>
      </c>
      <c r="W31" s="70" t="n">
        <f aca="false">W27+W28+W30</f>
        <v>7505.7193598751</v>
      </c>
      <c r="X31" s="70" t="n">
        <f aca="false">X27+X28+X30</f>
        <v>7516.13602654176</v>
      </c>
      <c r="Y31" s="70" t="n">
        <f aca="false">Y27+Y28+Y30</f>
        <v>7511.9693598751</v>
      </c>
      <c r="Z31" s="70" t="n">
        <f aca="false">Z27+Z28+Z30</f>
        <v>7511.9693598751</v>
      </c>
      <c r="AA31" s="70" t="n">
        <f aca="false">AA27+AA28+AA30</f>
        <v>7511.9693598751</v>
      </c>
      <c r="AB31" s="70" t="n">
        <f aca="false">AB27+AB28+AB30</f>
        <v>7511.9693598751</v>
      </c>
      <c r="AC31" s="70" t="n">
        <f aca="false">AC27+AC28+AC30</f>
        <v>7511.9693598751</v>
      </c>
      <c r="AD31" s="70" t="n">
        <f aca="false">AD27+AD28+AD30</f>
        <v>7511.9693598751</v>
      </c>
      <c r="AE31" s="70" t="n">
        <f aca="false">AE27+AE28+AE30</f>
        <v>7429.29742388759</v>
      </c>
      <c r="AF31" s="70" t="n">
        <f aca="false">AF27+AF28+AF30</f>
        <v>7582.14129586261</v>
      </c>
    </row>
    <row r="32" customFormat="false" ht="15" hidden="false" customHeight="false" outlineLevel="0" collapsed="false">
      <c r="A32" s="24" t="s">
        <v>2609</v>
      </c>
      <c r="B32" s="22" t="s">
        <v>2610</v>
      </c>
      <c r="C32" s="24" t="s">
        <v>103</v>
      </c>
      <c r="D32" s="100" t="n">
        <f aca="false">Entrées!$C$16-D10+D21*1000-D29+D22</f>
        <v>22669</v>
      </c>
      <c r="E32" s="100" t="n">
        <f aca="false">Entrées!$C$16-E10+E21*1000-E29+E22</f>
        <v>22669</v>
      </c>
      <c r="F32" s="100" t="n">
        <f aca="false">Entrées!$C$16-F10+F21*1000-F29+F22</f>
        <v>22669</v>
      </c>
      <c r="G32" s="100" t="n">
        <f aca="false">Entrées!$C$16-G10+G21*1000-G29+G22</f>
        <v>22669</v>
      </c>
      <c r="H32" s="100" t="n">
        <f aca="false">Entrées!$C$16-H10+H21*1000-H29+H22</f>
        <v>22669</v>
      </c>
      <c r="I32" s="100" t="n">
        <f aca="false">Entrées!$C$16-I10+I21*1000-I29+I22</f>
        <v>22669</v>
      </c>
      <c r="J32" s="100" t="n">
        <f aca="false">Entrées!$C$16-J10+J21*1000-J29+J22</f>
        <v>22669</v>
      </c>
      <c r="K32" s="100" t="n">
        <f aca="false">Entrées!$C$16-K10+K21*1000-K29+K22</f>
        <v>22669</v>
      </c>
      <c r="L32" s="100" t="n">
        <f aca="false">Entrées!$C$16-L10+L21*1000-L29+L22</f>
        <v>22669</v>
      </c>
      <c r="M32" s="100" t="n">
        <f aca="false">Entrées!$C$16-M10+M21*1000-M29+M22</f>
        <v>22994.8</v>
      </c>
      <c r="N32" s="100" t="n">
        <f aca="false">Entrées!$C$16-N10+N21*1000-N29+N22</f>
        <v>22506.1</v>
      </c>
      <c r="O32" s="100" t="n">
        <f aca="false">Entrées!$C$16-O10+O21*1000-O29+O22</f>
        <v>22669</v>
      </c>
      <c r="P32" s="100" t="n">
        <f aca="false">Entrées!$C$16-P10+P21*1000-P29+P22</f>
        <v>22669</v>
      </c>
      <c r="Q32" s="100" t="n">
        <f aca="false">Entrées!$C$16-Q10+Q21*1000-Q29+Q22</f>
        <v>22669</v>
      </c>
      <c r="R32" s="100" t="n">
        <f aca="false">Entrées!$C$16-R10+R21*1000-R29+R22</f>
        <v>22669</v>
      </c>
      <c r="S32" s="100" t="n">
        <f aca="false">Entrées!$C$16-S10+S21*1000-S29+S22</f>
        <v>22919</v>
      </c>
      <c r="T32" s="100" t="n">
        <f aca="false">Entrées!$C$16-T10+T21*1000-T29+T22</f>
        <v>22419</v>
      </c>
      <c r="U32" s="100" t="n">
        <f aca="false">Entrées!$C$16-U10+U21*1000-U29+U22</f>
        <v>22669</v>
      </c>
      <c r="V32" s="100" t="n">
        <f aca="false">Entrées!$C$16-V10+V21*1000-V29+V22</f>
        <v>22669</v>
      </c>
      <c r="W32" s="100" t="n">
        <f aca="false">Entrées!$C$16-W10+W21*1000-W29+W22</f>
        <v>22669</v>
      </c>
      <c r="X32" s="100" t="n">
        <f aca="false">Entrées!$C$16-X10+X21*1000-X29+X22</f>
        <v>22669</v>
      </c>
      <c r="Y32" s="100" t="n">
        <f aca="false">Entrées!$C$16-Y10+Y21*1000-Y29+Y22</f>
        <v>22669</v>
      </c>
      <c r="Z32" s="100" t="n">
        <f aca="false">Entrées!$C$16-Z10+Z21*1000-Z29+Z22</f>
        <v>22669</v>
      </c>
      <c r="AA32" s="100" t="n">
        <f aca="false">Entrées!$C$16-AA10+AA21*1000-AA29+AA22</f>
        <v>22669</v>
      </c>
      <c r="AB32" s="100" t="n">
        <f aca="false">Entrées!$C$16-AB10+AB21*1000-AB29+AB22</f>
        <v>22669</v>
      </c>
      <c r="AC32" s="100" t="n">
        <f aca="false">Entrées!$C$16-AC10+AC21*1000-AC29+AC22</f>
        <v>22669</v>
      </c>
      <c r="AD32" s="100" t="n">
        <f aca="false">Entrées!$C$16-AD10+AD21*1000-AD29+AD22</f>
        <v>22669</v>
      </c>
      <c r="AE32" s="100" t="n">
        <f aca="false">Entrées!$C$16-AE10+AE21*1000-AE29+AE22</f>
        <v>22744.8</v>
      </c>
      <c r="AF32" s="100" t="n">
        <f aca="false">Entrées!$C$16-AF10+AF21*1000-AF29+AF22</f>
        <v>22756.1</v>
      </c>
    </row>
    <row r="33" customFormat="false" ht="15" hidden="false" customHeight="false" outlineLevel="0" collapsed="false">
      <c r="A33" s="24" t="s">
        <v>2611</v>
      </c>
      <c r="B33" s="22" t="s">
        <v>2612</v>
      </c>
      <c r="C33" s="24" t="s">
        <v>133</v>
      </c>
      <c r="D33" s="101" t="n">
        <f aca="false">D32/D31</f>
        <v>3.01771731406222</v>
      </c>
      <c r="E33" s="101" t="n">
        <f aca="false">E32/E31</f>
        <v>3.03194474860946</v>
      </c>
      <c r="F33" s="101" t="n">
        <f aca="false">F32/F31</f>
        <v>3.00362278066543</v>
      </c>
      <c r="G33" s="101" t="n">
        <f aca="false">G32/G31</f>
        <v>3.01771731406222</v>
      </c>
      <c r="H33" s="101" t="n">
        <f aca="false">H32/H31</f>
        <v>3.01771731406222</v>
      </c>
      <c r="I33" s="101" t="n">
        <f aca="false">I32/I31</f>
        <v>3.02170843759514</v>
      </c>
      <c r="J33" s="101" t="n">
        <f aca="false">J32/J31</f>
        <v>3.01373671970891</v>
      </c>
      <c r="K33" s="101" t="n">
        <f aca="false">K32/K31</f>
        <v>3.01771731406222</v>
      </c>
      <c r="L33" s="101" t="n">
        <f aca="false">L32/L31</f>
        <v>3.01771731406222</v>
      </c>
      <c r="M33" s="101" t="n">
        <f aca="false">M32/M31</f>
        <v>3.06108809799277</v>
      </c>
      <c r="N33" s="101" t="n">
        <f aca="false">N32/N31</f>
        <v>2.99603192209695</v>
      </c>
      <c r="O33" s="101" t="n">
        <f aca="false">O32/O31</f>
        <v>3.01771731406222</v>
      </c>
      <c r="P33" s="101" t="n">
        <f aca="false">P32/P31</f>
        <v>3.01771731406222</v>
      </c>
      <c r="Q33" s="101" t="n">
        <f aca="false">Q32/Q31</f>
        <v>3.01771731406222</v>
      </c>
      <c r="R33" s="101" t="n">
        <f aca="false">R32/R31</f>
        <v>3.01771731406222</v>
      </c>
      <c r="S33" s="101" t="n">
        <f aca="false">S32/S31</f>
        <v>3.04087742773838</v>
      </c>
      <c r="T33" s="101" t="n">
        <f aca="false">T32/T31</f>
        <v>2.99440253090257</v>
      </c>
      <c r="U33" s="101" t="n">
        <f aca="false">U32/U31</f>
        <v>3.01771731406222</v>
      </c>
      <c r="V33" s="101" t="n">
        <f aca="false">V32/V31</f>
        <v>3.01771731406222</v>
      </c>
      <c r="W33" s="101" t="n">
        <f aca="false">W32/W31</f>
        <v>3.02023016223954</v>
      </c>
      <c r="X33" s="101" t="n">
        <f aca="false">X32/X31</f>
        <v>3.01604440366019</v>
      </c>
      <c r="Y33" s="101" t="n">
        <f aca="false">Y32/Y31</f>
        <v>3.01771731406222</v>
      </c>
      <c r="Z33" s="101" t="n">
        <f aca="false">Z32/Z31</f>
        <v>3.01771731406222</v>
      </c>
      <c r="AA33" s="101" t="n">
        <f aca="false">AA32/AA31</f>
        <v>3.01771731406222</v>
      </c>
      <c r="AB33" s="101" t="n">
        <f aca="false">AB32/AB31</f>
        <v>3.01771731406222</v>
      </c>
      <c r="AC33" s="101" t="n">
        <f aca="false">AC32/AC31</f>
        <v>3.01771731406222</v>
      </c>
      <c r="AD33" s="101" t="n">
        <f aca="false">AD32/AD31</f>
        <v>3.01771731406222</v>
      </c>
      <c r="AE33" s="101" t="n">
        <f aca="false">AE32/AE31</f>
        <v>3.06150079910223</v>
      </c>
      <c r="AF33" s="101" t="n">
        <f aca="false">AF32/AF31</f>
        <v>3.00127617147117</v>
      </c>
    </row>
    <row r="34" customFormat="false" ht="15" hidden="false" customHeight="false" outlineLevel="0" collapsed="false">
      <c r="A34" s="24" t="s">
        <v>2613</v>
      </c>
      <c r="B34" s="5" t="s">
        <v>2614</v>
      </c>
      <c r="C34" s="24" t="s">
        <v>133</v>
      </c>
      <c r="D34" s="75" t="n">
        <f aca="false">D32/(D31+D8*(12-D23)/12/D19)</f>
        <v>2.98951303335295</v>
      </c>
      <c r="E34" s="75" t="n">
        <f aca="false">E32/(E31+E8*(12-E23)/12/E19)</f>
        <v>3.00347514971078</v>
      </c>
      <c r="F34" s="75" t="n">
        <f aca="false">F32/(F31+F8*(12-F23)/12/F19)</f>
        <v>2.97568012643743</v>
      </c>
      <c r="G34" s="75" t="n">
        <f aca="false">G32/(G31+G8*(12-G23)/12/G19)</f>
        <v>2.98951303335295</v>
      </c>
      <c r="H34" s="75" t="n">
        <f aca="false">H32/(H31+H8*(12-H23)/12/H19)</f>
        <v>2.98951303335295</v>
      </c>
      <c r="I34" s="75" t="n">
        <f aca="false">I32/(I31+I8*(12-I23)/12/I19)</f>
        <v>2.99623387131481</v>
      </c>
      <c r="J34" s="75" t="n">
        <f aca="false">J32/(J31+J8*(12-J23)/12/J19)</f>
        <v>2.98282227887038</v>
      </c>
      <c r="K34" s="75" t="n">
        <f aca="false">K32/(K31+K8*(12-K23)/12/K19)</f>
        <v>2.98951303335295</v>
      </c>
      <c r="L34" s="75" t="n">
        <f aca="false">L32/(L31+L8*(12-L23)/12/L19)</f>
        <v>2.98951303335295</v>
      </c>
      <c r="M34" s="75" t="n">
        <f aca="false">M32/(M31+M8*(12-M23)/12/M19)</f>
        <v>3.03247846395273</v>
      </c>
      <c r="N34" s="75" t="n">
        <f aca="false">N32/(N31+N8*(12-N23)/12/N19)</f>
        <v>2.96803031805306</v>
      </c>
      <c r="O34" s="75" t="n">
        <f aca="false">O32/(O31+O8*(12-O23)/12/O19)</f>
        <v>2.98951303335295</v>
      </c>
      <c r="P34" s="75" t="n">
        <f aca="false">P32/(P31+P8*(12-P23)/12/P19)</f>
        <v>2.98951303335295</v>
      </c>
      <c r="Q34" s="75" t="n">
        <f aca="false">Q32/(Q31+Q8*(12-Q23)/12/Q19)</f>
        <v>2.98951303335295</v>
      </c>
      <c r="R34" s="75" t="n">
        <f aca="false">R32/(R31+R8*(12-R23)/12/R19)</f>
        <v>2.98951303335295</v>
      </c>
      <c r="S34" s="75" t="n">
        <f aca="false">S32/(S31+S8*(12-S23)/12/S19)</f>
        <v>3.01255008020672</v>
      </c>
      <c r="T34" s="75" t="n">
        <f aca="false">T32/(T31+T8*(12-T23)/12/T19)</f>
        <v>2.96632358154059</v>
      </c>
      <c r="U34" s="75" t="n">
        <f aca="false">U32/(U31+U8*(12-U23)/12/U19)</f>
        <v>2.98951303335295</v>
      </c>
      <c r="V34" s="75" t="n">
        <f aca="false">V32/(V31+V8*(12-V23)/12/V19)</f>
        <v>2.98951303335295</v>
      </c>
      <c r="W34" s="75" t="n">
        <f aca="false">W32/(W31+W8*(12-W23)/12/W19)</f>
        <v>2.99197911052509</v>
      </c>
      <c r="X34" s="75" t="n">
        <f aca="false">X32/(X31+X8*(12-X23)/12/X19)</f>
        <v>2.9878712391238</v>
      </c>
      <c r="Y34" s="75" t="n">
        <f aca="false">Y32/(Y31+Y8*(12-Y23)/12/Y19)</f>
        <v>2.98951303335295</v>
      </c>
      <c r="Z34" s="75" t="n">
        <f aca="false">Z32/(Z31+Z8*(12-Z23)/12/Z19)</f>
        <v>2.98951303335295</v>
      </c>
      <c r="AA34" s="75" t="n">
        <f aca="false">AA32/(AA31+AA8*(12-AA23)/12/AA19)</f>
        <v>2.98951303335295</v>
      </c>
      <c r="AB34" s="75" t="n">
        <f aca="false">AB32/(AB31+AB8*(12-AB23)/12/AB19)</f>
        <v>2.98951303335295</v>
      </c>
      <c r="AC34" s="75" t="n">
        <f aca="false">AC32/(AC31+AC8*(12-AC23)/12/AC19)</f>
        <v>2.98951303335295</v>
      </c>
      <c r="AD34" s="75" t="n">
        <f aca="false">AD32/(AD31+AD8*(12-AD23)/12/AD19)</f>
        <v>2.98951303335295</v>
      </c>
      <c r="AE34" s="75" t="n">
        <f aca="false">AE32/(AE31+AE8*(12-AE23)/12/AE19)</f>
        <v>3.03544017409614</v>
      </c>
      <c r="AF34" s="75" t="n">
        <f aca="false">AF32/(AF31+AF8*(12-AF23)/12/AF19)</f>
        <v>2.97073169911457</v>
      </c>
    </row>
    <row r="35" customFormat="false" ht="15" hidden="false" customHeight="false" outlineLevel="0" collapsed="false">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customFormat="false" ht="15" hidden="false" customHeight="false" outlineLevel="0" collapsed="false">
      <c r="A36" s="24" t="s">
        <v>2615</v>
      </c>
      <c r="B36" s="5" t="s">
        <v>2616</v>
      </c>
      <c r="C36" s="24" t="s">
        <v>103</v>
      </c>
      <c r="D36" s="64" t="n">
        <f aca="false">(D27+D30+D8/D19)*(1+D7)</f>
        <v>7999.89654943125</v>
      </c>
      <c r="E36" s="64" t="n">
        <f aca="false">(E27+E30+E8/E19)*(1+E7)</f>
        <v>7962.70779943125</v>
      </c>
      <c r="F36" s="64" t="n">
        <f aca="false">(F27+F30+F8/F19)*(1+F7)</f>
        <v>8037.08529943125</v>
      </c>
      <c r="G36" s="64" t="n">
        <f aca="false">(G27+G30+G8/G19)*(1+G7)</f>
        <v>7886.15394446303</v>
      </c>
      <c r="H36" s="64" t="n">
        <f aca="false">(H27+H30+H8/H19)*(1+H7)</f>
        <v>8113.63915439947</v>
      </c>
      <c r="I36" s="64" t="n">
        <f aca="false">(I27+I30+I8/I19)*(1+I7)</f>
        <v>7981.95201948812</v>
      </c>
      <c r="J36" s="64" t="n">
        <f aca="false">(J27+J30+J8/J19)*(1+J7)</f>
        <v>8017.84107937437</v>
      </c>
      <c r="K36" s="64" t="n">
        <f aca="false">(K27+K30+K8/K19)*(1+K7)</f>
        <v>7999.89654943125</v>
      </c>
      <c r="L36" s="64" t="n">
        <f aca="false">(L27+L30+L8/L19)*(1+L7)</f>
        <v>7999.89654943125</v>
      </c>
      <c r="M36" s="64" t="n">
        <f aca="false">(M27+M30+M8/M19)*(1+M7)</f>
        <v>7999.89654943125</v>
      </c>
      <c r="N36" s="64" t="n">
        <f aca="false">(N27+N30+N8/N19)*(1+N7)</f>
        <v>7999.89654943125</v>
      </c>
      <c r="O36" s="64" t="n">
        <f aca="false">(O27+O30+O8/O19)*(1+O7)</f>
        <v>7999.89654943125</v>
      </c>
      <c r="P36" s="64" t="n">
        <f aca="false">(P27+P30+P8/P19)*(1+P7)</f>
        <v>7999.89654943125</v>
      </c>
      <c r="Q36" s="64" t="n">
        <f aca="false">(Q27+Q30+Q8/Q19)*(1+Q7)</f>
        <v>7999.89654943125</v>
      </c>
      <c r="R36" s="64" t="n">
        <f aca="false">(R27+R30+R8/R19)*(1+R7)</f>
        <v>7999.89654943125</v>
      </c>
      <c r="S36" s="64" t="n">
        <f aca="false">(S27+S30+S8/S19)*(1+S7)</f>
        <v>8026.27154943125</v>
      </c>
      <c r="T36" s="64" t="n">
        <f aca="false">(T27+T30+T8/T19)*(1+T7)</f>
        <v>7973.52154943125</v>
      </c>
      <c r="U36" s="64" t="n">
        <f aca="false">(U27+U30+U8/U19)*(1+U7)</f>
        <v>7999.89654943125</v>
      </c>
      <c r="V36" s="64" t="n">
        <f aca="false">(V27+V30+V8/V19)*(1+V7)</f>
        <v>7999.89654943125</v>
      </c>
      <c r="W36" s="64" t="n">
        <f aca="false">(W27+W30+W8/W19)*(1+W7)</f>
        <v>7993.30279943125</v>
      </c>
      <c r="X36" s="64" t="n">
        <f aca="false">(X27+X30+X8/X19)*(1+X7)</f>
        <v>8004.29238276458</v>
      </c>
      <c r="Y36" s="64" t="n">
        <f aca="false">(Y27+Y30+Y8/Y19)*(1+Y7)</f>
        <v>7999.89654943125</v>
      </c>
      <c r="Z36" s="64" t="n">
        <f aca="false">(Z27+Z30+Z8/Z19)*(1+Z7)</f>
        <v>7999.89654943125</v>
      </c>
      <c r="AA36" s="64" t="n">
        <f aca="false">(AA27+AA30+AA8/AA19)*(1+AA7)</f>
        <v>7999.89654943125</v>
      </c>
      <c r="AB36" s="64" t="n">
        <f aca="false">(AB27+AB30+AB8/AB19)*(1+AB7)</f>
        <v>7999.89654943125</v>
      </c>
      <c r="AC36" s="64" t="n">
        <f aca="false">(AC27+AC30+AC8/AC19)*(1+AC7)</f>
        <v>7999.89654943125</v>
      </c>
      <c r="AD36" s="64" t="n">
        <f aca="false">(AD27+AD30+AD8/AD19)*(1+AD7)</f>
        <v>7999.89654943125</v>
      </c>
      <c r="AE36" s="64" t="n">
        <f aca="false">(AE27+AE30+AE8/AE19)*(1+AE7)</f>
        <v>7792.80455001673</v>
      </c>
      <c r="AF36" s="64" t="n">
        <f aca="false">(AF27+AF30+AF8/AF19)*(1+AF7)</f>
        <v>8196.30631983941</v>
      </c>
    </row>
    <row r="37" customFormat="false" ht="15" hidden="false" customHeight="false" outlineLevel="0" collapsed="false">
      <c r="A37" s="24" t="s">
        <v>2617</v>
      </c>
      <c r="B37" s="5" t="s">
        <v>2618</v>
      </c>
      <c r="C37" s="24" t="s">
        <v>103</v>
      </c>
      <c r="D37" s="64" t="n">
        <f aca="false">Entrées!$C$54*D9/D19</f>
        <v>25.513549682168</v>
      </c>
      <c r="E37" s="64" t="n">
        <f aca="false">Entrées!$C$54*E9/E19</f>
        <v>25.513549682168</v>
      </c>
      <c r="F37" s="64" t="n">
        <f aca="false">Entrées!$C$54*F9/F19</f>
        <v>25.513549682168</v>
      </c>
      <c r="G37" s="64" t="n">
        <f aca="false">Entrées!$C$54*G9/G19</f>
        <v>25.513549682168</v>
      </c>
      <c r="H37" s="64" t="n">
        <f aca="false">Entrées!$C$54*H9/H19</f>
        <v>25.513549682168</v>
      </c>
      <c r="I37" s="64" t="n">
        <f aca="false">Entrées!$C$54*I9/I19</f>
        <v>25.513549682168</v>
      </c>
      <c r="J37" s="64" t="n">
        <f aca="false">Entrées!$C$54*J9/J19</f>
        <v>25.513549682168</v>
      </c>
      <c r="K37" s="64" t="n">
        <f aca="false">Entrées!$C$54*K9/K19</f>
        <v>0</v>
      </c>
      <c r="L37" s="64" t="n">
        <f aca="false">Entrées!$C$54*L9/L19</f>
        <v>51.0270993643359</v>
      </c>
      <c r="M37" s="64" t="n">
        <f aca="false">Entrées!$C$54*M9/M19</f>
        <v>25.513549682168</v>
      </c>
      <c r="N37" s="64" t="n">
        <f aca="false">Entrées!$C$54*N9/N19</f>
        <v>25.513549682168</v>
      </c>
      <c r="O37" s="64" t="n">
        <f aca="false">Entrées!$C$54*O9/O19</f>
        <v>25.513549682168</v>
      </c>
      <c r="P37" s="64" t="n">
        <f aca="false">Entrées!$C$54*P9/P19</f>
        <v>25.513549682168</v>
      </c>
      <c r="Q37" s="64" t="n">
        <f aca="false">Entrées!$C$54*Q9/Q19</f>
        <v>25.513549682168</v>
      </c>
      <c r="R37" s="64" t="n">
        <f aca="false">Entrées!$C$54*R9/R19</f>
        <v>25.513549682168</v>
      </c>
      <c r="S37" s="64" t="n">
        <f aca="false">Entrées!$C$54*S9/S19</f>
        <v>25.513549682168</v>
      </c>
      <c r="T37" s="64" t="n">
        <f aca="false">Entrées!$C$54*T9/T19</f>
        <v>25.513549682168</v>
      </c>
      <c r="U37" s="64" t="n">
        <f aca="false">Entrées!$C$54*U9/U19</f>
        <v>25.513549682168</v>
      </c>
      <c r="V37" s="64" t="n">
        <f aca="false">Entrées!$C$54*V9/V19</f>
        <v>25.513549682168</v>
      </c>
      <c r="W37" s="64" t="n">
        <f aca="false">Entrées!$C$54*W9/W19</f>
        <v>25.513549682168</v>
      </c>
      <c r="X37" s="64" t="n">
        <f aca="false">Entrées!$C$54*X9/X19</f>
        <v>25.513549682168</v>
      </c>
      <c r="Y37" s="64" t="n">
        <f aca="false">Entrées!$C$54*Y9/Y19</f>
        <v>25.513549682168</v>
      </c>
      <c r="Z37" s="64" t="n">
        <f aca="false">Entrées!$C$54*Z9/Z19</f>
        <v>25.513549682168</v>
      </c>
      <c r="AA37" s="64" t="n">
        <f aca="false">Entrées!$C$54*AA9/AA19</f>
        <v>25.513549682168</v>
      </c>
      <c r="AB37" s="64" t="n">
        <f aca="false">Entrées!$C$54*AB9/AB19</f>
        <v>25.513549682168</v>
      </c>
      <c r="AC37" s="64" t="n">
        <f aca="false">Entrées!$C$54*AC9/AC19</f>
        <v>25.513549682168</v>
      </c>
      <c r="AD37" s="64" t="n">
        <f aca="false">Entrées!$C$54*AD9/AD19</f>
        <v>25.513549682168</v>
      </c>
      <c r="AE37" s="64" t="n">
        <f aca="false">Entrées!$C$54*AE9/AE19</f>
        <v>0</v>
      </c>
      <c r="AF37" s="64" t="n">
        <f aca="false">Entrées!$C$54*AF9/AF19</f>
        <v>51.0270993643359</v>
      </c>
    </row>
    <row r="38" customFormat="false" ht="15" hidden="false" customHeight="false" outlineLevel="0" collapsed="false">
      <c r="A38" s="24" t="s">
        <v>2619</v>
      </c>
      <c r="B38" s="5" t="s">
        <v>2620</v>
      </c>
      <c r="C38" s="24" t="s">
        <v>103</v>
      </c>
      <c r="D38" s="64" t="n">
        <f aca="false">D16*1000/D18</f>
        <v>51.0204081632653</v>
      </c>
      <c r="E38" s="64" t="n">
        <f aca="false">E16*1000/E18</f>
        <v>51.0204081632653</v>
      </c>
      <c r="F38" s="64" t="n">
        <f aca="false">F16*1000/F18</f>
        <v>51.0204081632653</v>
      </c>
      <c r="G38" s="64" t="n">
        <f aca="false">G16*1000/G18</f>
        <v>51.0204081632653</v>
      </c>
      <c r="H38" s="64" t="n">
        <f aca="false">H16*1000/H18</f>
        <v>51.0204081632653</v>
      </c>
      <c r="I38" s="64" t="n">
        <f aca="false">I16*1000/I18</f>
        <v>51.0204081632653</v>
      </c>
      <c r="J38" s="64" t="n">
        <f aca="false">J16*1000/J18</f>
        <v>51.0204081632653</v>
      </c>
      <c r="K38" s="64" t="n">
        <f aca="false">K16*1000/K18</f>
        <v>51.0204081632653</v>
      </c>
      <c r="L38" s="64" t="n">
        <f aca="false">L16*1000/L18</f>
        <v>51.0204081632653</v>
      </c>
      <c r="M38" s="64" t="n">
        <f aca="false">M16*1000/M18</f>
        <v>51.0204081632653</v>
      </c>
      <c r="N38" s="64" t="n">
        <f aca="false">N16*1000/N18</f>
        <v>51.0204081632653</v>
      </c>
      <c r="O38" s="64" t="n">
        <f aca="false">O16*1000/O18</f>
        <v>51.0204081632653</v>
      </c>
      <c r="P38" s="64" t="n">
        <f aca="false">P16*1000/P18</f>
        <v>51.0204081632653</v>
      </c>
      <c r="Q38" s="64" t="n">
        <f aca="false">Q16*1000/Q18</f>
        <v>51.0204081632653</v>
      </c>
      <c r="R38" s="64" t="n">
        <f aca="false">R16*1000/R18</f>
        <v>51.0204081632653</v>
      </c>
      <c r="S38" s="64" t="n">
        <f aca="false">S16*1000/S18</f>
        <v>51.0204081632653</v>
      </c>
      <c r="T38" s="64" t="n">
        <f aca="false">T16*1000/T18</f>
        <v>51.0204081632653</v>
      </c>
      <c r="U38" s="64" t="n">
        <f aca="false">U16*1000/U18</f>
        <v>51.0204081632653</v>
      </c>
      <c r="V38" s="64" t="n">
        <f aca="false">V16*1000/V18</f>
        <v>51.0204081632653</v>
      </c>
      <c r="W38" s="64" t="n">
        <f aca="false">W16*1000/W18</f>
        <v>51.0204081632653</v>
      </c>
      <c r="X38" s="64" t="n">
        <f aca="false">X16*1000/X18</f>
        <v>51.0204081632653</v>
      </c>
      <c r="Y38" s="64" t="n">
        <f aca="false">Y16*1000/Y18</f>
        <v>0</v>
      </c>
      <c r="Z38" s="64" t="n">
        <f aca="false">Z16*1000/Z18</f>
        <v>102.040816326531</v>
      </c>
      <c r="AA38" s="64" t="n">
        <f aca="false">AA16*1000/AA18</f>
        <v>51.0204081632653</v>
      </c>
      <c r="AB38" s="64" t="n">
        <f aca="false">AB16*1000/AB18</f>
        <v>51.0204081632653</v>
      </c>
      <c r="AC38" s="64" t="n">
        <f aca="false">AC16*1000/AC18</f>
        <v>67.5675675675676</v>
      </c>
      <c r="AD38" s="64" t="n">
        <f aca="false">AD16*1000/AD18</f>
        <v>45.4545454545455</v>
      </c>
      <c r="AE38" s="64" t="n">
        <f aca="false">AE16*1000/AE18</f>
        <v>90.9090909090909</v>
      </c>
      <c r="AF38" s="64" t="n">
        <f aca="false">AF16*1000/AF18</f>
        <v>0</v>
      </c>
    </row>
    <row r="39" customFormat="false" ht="15" hidden="false" customHeight="false" outlineLevel="0" collapsed="false">
      <c r="A39" s="24" t="s">
        <v>2621</v>
      </c>
      <c r="B39" s="5" t="s">
        <v>2622</v>
      </c>
      <c r="C39" s="24" t="s">
        <v>103</v>
      </c>
      <c r="D39" s="64" t="n">
        <f aca="false">(Entrées!$C$36*(1-D13)+MAX(0,Entrées!$C$30-Entrées!$C$35-Entrées!$C$36)*D14)*1000</f>
        <v>950</v>
      </c>
      <c r="E39" s="64" t="n">
        <f aca="false">(Entrées!$C$36*(1-E13)+MAX(0,Entrées!$C$30-Entrées!$C$35-Entrées!$C$36)*E14)*1000</f>
        <v>950</v>
      </c>
      <c r="F39" s="64" t="n">
        <f aca="false">(Entrées!$C$36*(1-F13)+MAX(0,Entrées!$C$30-Entrées!$C$35-Entrées!$C$36)*F14)*1000</f>
        <v>950</v>
      </c>
      <c r="G39" s="64" t="n">
        <f aca="false">(Entrées!$C$36*(1-G13)+MAX(0,Entrées!$C$30-Entrées!$C$35-Entrées!$C$36)*G14)*1000</f>
        <v>950</v>
      </c>
      <c r="H39" s="64" t="n">
        <f aca="false">(Entrées!$C$36*(1-H13)+MAX(0,Entrées!$C$30-Entrées!$C$35-Entrées!$C$36)*H14)*1000</f>
        <v>950</v>
      </c>
      <c r="I39" s="64" t="n">
        <f aca="false">(Entrées!$C$36*(1-I13)+MAX(0,Entrées!$C$30-Entrées!$C$35-Entrées!$C$36)*I14)*1000</f>
        <v>950</v>
      </c>
      <c r="J39" s="64" t="n">
        <f aca="false">(Entrées!$C$36*(1-J13)+MAX(0,Entrées!$C$30-Entrées!$C$35-Entrées!$C$36)*J14)*1000</f>
        <v>950</v>
      </c>
      <c r="K39" s="64" t="n">
        <f aca="false">(Entrées!$C$36*(1-K13)+MAX(0,Entrées!$C$30-Entrées!$C$35-Entrées!$C$36)*K14)*1000</f>
        <v>950</v>
      </c>
      <c r="L39" s="64" t="n">
        <f aca="false">(Entrées!$C$36*(1-L13)+MAX(0,Entrées!$C$30-Entrées!$C$35-Entrées!$C$36)*L14)*1000</f>
        <v>950</v>
      </c>
      <c r="M39" s="64" t="n">
        <f aca="false">(Entrées!$C$36*(1-M13)+MAX(0,Entrées!$C$30-Entrées!$C$35-Entrées!$C$36)*M14)*1000</f>
        <v>950</v>
      </c>
      <c r="N39" s="64" t="n">
        <f aca="false">(Entrées!$C$36*(1-N13)+MAX(0,Entrées!$C$30-Entrées!$C$35-Entrées!$C$36)*N14)*1000</f>
        <v>950</v>
      </c>
      <c r="O39" s="64" t="n">
        <f aca="false">(Entrées!$C$36*(1-O13)+MAX(0,Entrées!$C$30-Entrées!$C$35-Entrées!$C$36)*O14)*1000</f>
        <v>950</v>
      </c>
      <c r="P39" s="64" t="n">
        <f aca="false">(Entrées!$C$36*(1-P13)+MAX(0,Entrées!$C$30-Entrées!$C$35-Entrées!$C$36)*P14)*1000</f>
        <v>950</v>
      </c>
      <c r="Q39" s="64" t="n">
        <f aca="false">(Entrées!$C$36*(1-Q13)+MAX(0,Entrées!$C$30-Entrées!$C$35-Entrées!$C$36)*Q14)*1000</f>
        <v>950</v>
      </c>
      <c r="R39" s="64" t="n">
        <f aca="false">(Entrées!$C$36*(1-R13)+MAX(0,Entrées!$C$30-Entrées!$C$35-Entrées!$C$36)*R14)*1000</f>
        <v>950</v>
      </c>
      <c r="S39" s="64" t="n">
        <f aca="false">(Entrées!$C$36*(1-S13)+MAX(0,Entrées!$C$30-Entrées!$C$35-Entrées!$C$36)*S14)*1000</f>
        <v>1200</v>
      </c>
      <c r="T39" s="64" t="n">
        <f aca="false">(Entrées!$C$36*(1-T13)+MAX(0,Entrées!$C$30-Entrées!$C$35-Entrées!$C$36)*T14)*1000</f>
        <v>700</v>
      </c>
      <c r="U39" s="64" t="n">
        <f aca="false">(Entrées!$C$36*(1-U13)+MAX(0,Entrées!$C$30-Entrées!$C$35-Entrées!$C$36)*U14)*1000</f>
        <v>250</v>
      </c>
      <c r="V39" s="64" t="n">
        <f aca="false">(Entrées!$C$36*(1-V13)+MAX(0,Entrées!$C$30-Entrées!$C$35-Entrées!$C$36)*V14)*1000</f>
        <v>1650</v>
      </c>
      <c r="W39" s="64" t="n">
        <f aca="false">(Entrées!$C$36*(1-W13)+MAX(0,Entrées!$C$30-Entrées!$C$35-Entrées!$C$36)*W14)*1000</f>
        <v>950</v>
      </c>
      <c r="X39" s="64" t="n">
        <f aca="false">(Entrées!$C$36*(1-X13)+MAX(0,Entrées!$C$30-Entrées!$C$35-Entrées!$C$36)*X14)*1000</f>
        <v>950</v>
      </c>
      <c r="Y39" s="64" t="n">
        <f aca="false">(Entrées!$C$36*(1-Y13)+MAX(0,Entrées!$C$30-Entrées!$C$35-Entrées!$C$36)*Y14)*1000</f>
        <v>950</v>
      </c>
      <c r="Z39" s="64" t="n">
        <f aca="false">(Entrées!$C$36*(1-Z13)+MAX(0,Entrées!$C$30-Entrées!$C$35-Entrées!$C$36)*Z14)*1000</f>
        <v>950</v>
      </c>
      <c r="AA39" s="64" t="n">
        <f aca="false">(Entrées!$C$36*(1-AA13)+MAX(0,Entrées!$C$30-Entrées!$C$35-Entrées!$C$36)*AA14)*1000</f>
        <v>950</v>
      </c>
      <c r="AB39" s="64" t="n">
        <f aca="false">(Entrées!$C$36*(1-AB13)+MAX(0,Entrées!$C$30-Entrées!$C$35-Entrées!$C$36)*AB14)*1000</f>
        <v>950</v>
      </c>
      <c r="AC39" s="64" t="n">
        <f aca="false">(Entrées!$C$36*(1-AC13)+MAX(0,Entrées!$C$30-Entrées!$C$35-Entrées!$C$36)*AC14)*1000</f>
        <v>950</v>
      </c>
      <c r="AD39" s="64" t="n">
        <f aca="false">(Entrées!$C$36*(1-AD13)+MAX(0,Entrées!$C$30-Entrées!$C$35-Entrées!$C$36)*AD14)*1000</f>
        <v>950</v>
      </c>
      <c r="AE39" s="64" t="n">
        <f aca="false">(Entrées!$C$36*(1-AE13)+MAX(0,Entrées!$C$30-Entrées!$C$35-Entrées!$C$36)*AE14)*1000</f>
        <v>0</v>
      </c>
      <c r="AF39" s="64" t="n">
        <f aca="false">(Entrées!$C$36*(1-AF13)+MAX(0,Entrées!$C$30-Entrées!$C$35-Entrées!$C$36)*AF14)*1000</f>
        <v>1900</v>
      </c>
    </row>
    <row r="40" customFormat="false" ht="15" hidden="false" customHeight="false" outlineLevel="0" collapsed="false">
      <c r="A40" s="24" t="s">
        <v>2623</v>
      </c>
      <c r="B40" s="5" t="s">
        <v>2624</v>
      </c>
      <c r="C40" s="24" t="s">
        <v>103</v>
      </c>
      <c r="D40" s="64" t="n">
        <f aca="false">-D39/D15</f>
        <v>-95</v>
      </c>
      <c r="E40" s="64" t="n">
        <f aca="false">-E39/E15</f>
        <v>-95</v>
      </c>
      <c r="F40" s="64" t="n">
        <f aca="false">-F39/F15</f>
        <v>-95</v>
      </c>
      <c r="G40" s="64" t="n">
        <f aca="false">-G39/G15</f>
        <v>-95</v>
      </c>
      <c r="H40" s="64" t="n">
        <f aca="false">-H39/H15</f>
        <v>-95</v>
      </c>
      <c r="I40" s="64" t="n">
        <f aca="false">-I39/I15</f>
        <v>-95</v>
      </c>
      <c r="J40" s="64" t="n">
        <f aca="false">-J39/J15</f>
        <v>-95</v>
      </c>
      <c r="K40" s="64" t="n">
        <f aca="false">-K39/K15</f>
        <v>-95</v>
      </c>
      <c r="L40" s="64" t="n">
        <f aca="false">-L39/L15</f>
        <v>-95</v>
      </c>
      <c r="M40" s="64" t="n">
        <f aca="false">-M39/M15</f>
        <v>-95</v>
      </c>
      <c r="N40" s="64" t="n">
        <f aca="false">-N39/N15</f>
        <v>-95</v>
      </c>
      <c r="O40" s="64" t="n">
        <f aca="false">-O39/O15</f>
        <v>-95</v>
      </c>
      <c r="P40" s="64" t="n">
        <f aca="false">-P39/P15</f>
        <v>-95</v>
      </c>
      <c r="Q40" s="64" t="n">
        <f aca="false">-Q39/Q15</f>
        <v>-95</v>
      </c>
      <c r="R40" s="64" t="n">
        <f aca="false">-R39/R15</f>
        <v>-95</v>
      </c>
      <c r="S40" s="64" t="n">
        <f aca="false">-S39/S15</f>
        <v>-120</v>
      </c>
      <c r="T40" s="64" t="n">
        <f aca="false">-T39/T15</f>
        <v>-70</v>
      </c>
      <c r="U40" s="64" t="n">
        <f aca="false">-U39/U15</f>
        <v>-25</v>
      </c>
      <c r="V40" s="64" t="n">
        <f aca="false">-V39/V15</f>
        <v>-165</v>
      </c>
      <c r="W40" s="64" t="n">
        <f aca="false">-W39/W15</f>
        <v>-118.75</v>
      </c>
      <c r="X40" s="64" t="n">
        <f aca="false">-X39/X15</f>
        <v>-79.1666666666667</v>
      </c>
      <c r="Y40" s="64" t="n">
        <f aca="false">-Y39/Y15</f>
        <v>-95</v>
      </c>
      <c r="Z40" s="64" t="n">
        <f aca="false">-Z39/Z15</f>
        <v>-95</v>
      </c>
      <c r="AA40" s="64" t="n">
        <f aca="false">-AA39/AA15</f>
        <v>-95</v>
      </c>
      <c r="AB40" s="64" t="n">
        <f aca="false">-AB39/AB15</f>
        <v>-95</v>
      </c>
      <c r="AC40" s="64" t="n">
        <f aca="false">-AC39/AC15</f>
        <v>-95</v>
      </c>
      <c r="AD40" s="64" t="n">
        <f aca="false">-AD39/AD15</f>
        <v>-95</v>
      </c>
      <c r="AE40" s="64" t="n">
        <f aca="false">-AE39/AE15</f>
        <v>-0</v>
      </c>
      <c r="AF40" s="64" t="n">
        <f aca="false">-AF39/AF15</f>
        <v>-158.333333333333</v>
      </c>
    </row>
    <row r="41" customFormat="false" ht="15" hidden="false" customHeight="false" outlineLevel="0" collapsed="false">
      <c r="A41" s="24" t="s">
        <v>2625</v>
      </c>
      <c r="B41" s="22" t="s">
        <v>2626</v>
      </c>
      <c r="C41" s="24" t="s">
        <v>103</v>
      </c>
      <c r="D41" s="70" t="n">
        <f aca="false">D36+D37+D38+D40</f>
        <v>7981.43050727668</v>
      </c>
      <c r="E41" s="70" t="n">
        <f aca="false">E36+E37+E38+E40</f>
        <v>7944.24175727668</v>
      </c>
      <c r="F41" s="70" t="n">
        <f aca="false">F36+F37+F38+F40</f>
        <v>8018.61925727668</v>
      </c>
      <c r="G41" s="70" t="n">
        <f aca="false">G36+G37+G38+G40</f>
        <v>7867.68790230847</v>
      </c>
      <c r="H41" s="70" t="n">
        <f aca="false">H36+H37+H38+H40</f>
        <v>8095.1731122449</v>
      </c>
      <c r="I41" s="70" t="n">
        <f aca="false">I36+I37+I38+I40</f>
        <v>7963.48597733356</v>
      </c>
      <c r="J41" s="70" t="n">
        <f aca="false">J36+J37+J38+J40</f>
        <v>7999.37503721981</v>
      </c>
      <c r="K41" s="70" t="n">
        <f aca="false">K36+K37+K38+K40</f>
        <v>7955.91695759451</v>
      </c>
      <c r="L41" s="70" t="n">
        <f aca="false">L36+L37+L38+L40</f>
        <v>8006.94405695885</v>
      </c>
      <c r="M41" s="70" t="n">
        <f aca="false">M36+M37+M38+M40</f>
        <v>7981.43050727668</v>
      </c>
      <c r="N41" s="70" t="n">
        <f aca="false">N36+N37+N38+N40</f>
        <v>7981.43050727668</v>
      </c>
      <c r="O41" s="70" t="n">
        <f aca="false">O36+O37+O38+O40</f>
        <v>7981.43050727668</v>
      </c>
      <c r="P41" s="70" t="n">
        <f aca="false">P36+P37+P38+P40</f>
        <v>7981.43050727668</v>
      </c>
      <c r="Q41" s="70" t="n">
        <f aca="false">Q36+Q37+Q38+Q40</f>
        <v>7981.43050727668</v>
      </c>
      <c r="R41" s="70" t="n">
        <f aca="false">R36+R37+R38+R40</f>
        <v>7981.43050727668</v>
      </c>
      <c r="S41" s="70" t="n">
        <f aca="false">S36+S37+S38+S40</f>
        <v>7982.80550727668</v>
      </c>
      <c r="T41" s="70" t="n">
        <f aca="false">T36+T37+T38+T40</f>
        <v>7980.05550727668</v>
      </c>
      <c r="U41" s="70" t="n">
        <f aca="false">U36+U37+U38+U40</f>
        <v>8051.43050727668</v>
      </c>
      <c r="V41" s="70" t="n">
        <f aca="false">V36+V37+V38+V40</f>
        <v>7911.43050727668</v>
      </c>
      <c r="W41" s="70" t="n">
        <f aca="false">W36+W37+W38+W40</f>
        <v>7951.08675727668</v>
      </c>
      <c r="X41" s="70" t="n">
        <f aca="false">X36+X37+X38+X40</f>
        <v>8001.65967394335</v>
      </c>
      <c r="Y41" s="70" t="n">
        <f aca="false">Y36+Y37+Y38+Y40</f>
        <v>7930.41009911342</v>
      </c>
      <c r="Z41" s="70" t="n">
        <f aca="false">Z36+Z37+Z38+Z40</f>
        <v>8032.45091543995</v>
      </c>
      <c r="AA41" s="70" t="n">
        <f aca="false">AA36+AA37+AA38+AA40</f>
        <v>7981.43050727668</v>
      </c>
      <c r="AB41" s="70" t="n">
        <f aca="false">AB36+AB37+AB38+AB40</f>
        <v>7981.43050727668</v>
      </c>
      <c r="AC41" s="70" t="n">
        <f aca="false">AC36+AC37+AC38+AC40</f>
        <v>7997.97766668098</v>
      </c>
      <c r="AD41" s="70" t="n">
        <f aca="false">AD36+AD37+AD38+AD40</f>
        <v>7975.86464456796</v>
      </c>
      <c r="AE41" s="70" t="n">
        <f aca="false">AE36+AE37+AE38+AE40</f>
        <v>7883.71364092582</v>
      </c>
      <c r="AF41" s="70" t="n">
        <f aca="false">AF36+AF37+AF38+AF40</f>
        <v>8089.00008587041</v>
      </c>
    </row>
    <row r="42" customFormat="false" ht="15" hidden="false" customHeight="false" outlineLevel="0" collapsed="false">
      <c r="A42" s="24" t="s">
        <v>2627</v>
      </c>
      <c r="B42" s="5" t="s">
        <v>2628</v>
      </c>
      <c r="C42" s="24" t="s">
        <v>103</v>
      </c>
      <c r="D42" s="64" t="n">
        <f aca="false">D11*D41-D24/D19</f>
        <v>1327.30314754293</v>
      </c>
      <c r="E42" s="64" t="n">
        <f aca="false">E11*E41-E24/E19</f>
        <v>1321.02954061895</v>
      </c>
      <c r="F42" s="64" t="n">
        <f aca="false">F11*F41-F24/F19</f>
        <v>1333.57675446691</v>
      </c>
      <c r="G42" s="64" t="n">
        <f aca="false">G11*G41-G24/G19</f>
        <v>1308.11518360006</v>
      </c>
      <c r="H42" s="64" t="n">
        <f aca="false">H11*H41-H24/H19</f>
        <v>1346.4911114858</v>
      </c>
      <c r="I42" s="64" t="n">
        <f aca="false">I11*I41-I24/I19</f>
        <v>1324.2759705795</v>
      </c>
      <c r="J42" s="64" t="n">
        <f aca="false">J11*J41-J24/J19</f>
        <v>1330.33032450636</v>
      </c>
      <c r="K42" s="64" t="n">
        <f aca="false">K11*K41-K24/K19</f>
        <v>1322.99910446696</v>
      </c>
      <c r="L42" s="64" t="n">
        <f aca="false">L11*L41-L24/L19</f>
        <v>1331.6071906189</v>
      </c>
      <c r="M42" s="64" t="n">
        <f aca="false">M11*M41-M24/M19</f>
        <v>1327.30314754293</v>
      </c>
      <c r="N42" s="64" t="n">
        <f aca="false">N11*N41-N24/N19</f>
        <v>1327.30314754293</v>
      </c>
      <c r="O42" s="64" t="n">
        <f aca="false">O11*O41-O24/O19</f>
        <v>1098.26510875711</v>
      </c>
      <c r="P42" s="64" t="n">
        <f aca="false">P11*P41-P24/P19</f>
        <v>1497.33663412094</v>
      </c>
      <c r="Q42" s="64" t="n">
        <f aca="false">Q11*Q41-Q24/Q19</f>
        <v>1327.30314754293</v>
      </c>
      <c r="R42" s="64" t="n">
        <f aca="false">R11*R41-R24/R19</f>
        <v>1327.30314754293</v>
      </c>
      <c r="S42" s="64" t="n">
        <f aca="false">S11*S41-S24/S19</f>
        <v>1327.53510504407</v>
      </c>
      <c r="T42" s="64" t="n">
        <f aca="false">T11*T41-T24/T19</f>
        <v>1327.07119004179</v>
      </c>
      <c r="U42" s="64" t="n">
        <f aca="false">U11*U41-U24/U19</f>
        <v>1339.11189305545</v>
      </c>
      <c r="V42" s="64" t="n">
        <f aca="false">V11*V41-V24/V19</f>
        <v>1315.49440203041</v>
      </c>
      <c r="W42" s="64" t="n">
        <f aca="false">W11*W41-W24/W19</f>
        <v>1322.18426723371</v>
      </c>
      <c r="X42" s="64" t="n">
        <f aca="false">X11*X41-X24/X19</f>
        <v>1330.71573441574</v>
      </c>
      <c r="Y42" s="64" t="n">
        <f aca="false">Y11*Y41-Y24/Y19</f>
        <v>1318.69619017228</v>
      </c>
      <c r="Z42" s="64" t="n">
        <f aca="false">Z11*Z41-Z24/Z19</f>
        <v>1335.91010491357</v>
      </c>
      <c r="AA42" s="64" t="n">
        <f aca="false">AA11*AA41-AA24/AA19</f>
        <v>1327.30314754293</v>
      </c>
      <c r="AB42" s="64" t="n">
        <f aca="false">AB11*AB41-AB24/AB19</f>
        <v>1327.30314754293</v>
      </c>
      <c r="AC42" s="64" t="n">
        <f aca="false">AC11*AC41-AC24/AC19</f>
        <v>1330.09459317665</v>
      </c>
      <c r="AD42" s="64" t="n">
        <f aca="false">AD11*AD41-AD24/AD19</f>
        <v>1326.36420673886</v>
      </c>
      <c r="AE42" s="64" t="n">
        <f aca="false">AE11*AE41-AE24/AE19</f>
        <v>1084.58474746799</v>
      </c>
      <c r="AF42" s="64" t="n">
        <f aca="false">AF11*AF41-AF24/AF19</f>
        <v>1517.77485405375</v>
      </c>
    </row>
    <row r="43" customFormat="false" ht="15" hidden="false" customHeight="false" outlineLevel="0" collapsed="false">
      <c r="A43" s="24" t="s">
        <v>2629</v>
      </c>
      <c r="B43" s="5" t="s">
        <v>2630</v>
      </c>
      <c r="C43" s="24" t="s">
        <v>103</v>
      </c>
      <c r="D43" s="64" t="n">
        <f aca="false">Entrées!$C$79*(1+D12)+D20</f>
        <v>1481.92</v>
      </c>
      <c r="E43" s="64" t="n">
        <f aca="false">Entrées!$C$79*(1+E12)+E20</f>
        <v>1481.92</v>
      </c>
      <c r="F43" s="64" t="n">
        <f aca="false">Entrées!$C$79*(1+F12)+F20</f>
        <v>1481.92</v>
      </c>
      <c r="G43" s="64" t="n">
        <f aca="false">Entrées!$C$79*(1+G12)+G20</f>
        <v>1481.92</v>
      </c>
      <c r="H43" s="64" t="n">
        <f aca="false">Entrées!$C$79*(1+H12)+H20</f>
        <v>1481.92</v>
      </c>
      <c r="I43" s="64" t="n">
        <f aca="false">Entrées!$C$79*(1+I12)+I20</f>
        <v>1481.92</v>
      </c>
      <c r="J43" s="64" t="n">
        <f aca="false">Entrées!$C$79*(1+J12)+J20</f>
        <v>1481.92</v>
      </c>
      <c r="K43" s="64" t="n">
        <f aca="false">Entrées!$C$79*(1+K12)+K20</f>
        <v>1481.92</v>
      </c>
      <c r="L43" s="64" t="n">
        <f aca="false">Entrées!$C$79*(1+L12)+L20</f>
        <v>1481.92</v>
      </c>
      <c r="M43" s="64" t="n">
        <f aca="false">Entrées!$C$79*(1+M12)+M20</f>
        <v>1481.92</v>
      </c>
      <c r="N43" s="64" t="n">
        <f aca="false">Entrées!$C$79*(1+N12)+N20</f>
        <v>1481.92</v>
      </c>
      <c r="O43" s="64" t="n">
        <f aca="false">Entrées!$C$79*(1+O12)+O20</f>
        <v>1481.92</v>
      </c>
      <c r="P43" s="64" t="n">
        <f aca="false">Entrées!$C$79*(1+P12)+P20</f>
        <v>1481.92</v>
      </c>
      <c r="Q43" s="64" t="n">
        <f aca="false">Entrées!$C$79*(1+Q12)+Q20</f>
        <v>1437.96</v>
      </c>
      <c r="R43" s="64" t="n">
        <f aca="false">Entrées!$C$79*(1+R12)+R20</f>
        <v>1525.88</v>
      </c>
      <c r="S43" s="64" t="n">
        <f aca="false">Entrées!$C$79*(1+S12)+S20</f>
        <v>1481.92</v>
      </c>
      <c r="T43" s="64" t="n">
        <f aca="false">Entrées!$C$79*(1+T12)+T20</f>
        <v>1481.92</v>
      </c>
      <c r="U43" s="64" t="n">
        <f aca="false">Entrées!$C$79*(1+U12)+U20</f>
        <v>1481.92</v>
      </c>
      <c r="V43" s="64" t="n">
        <f aca="false">Entrées!$C$79*(1+V12)+V20</f>
        <v>1481.92</v>
      </c>
      <c r="W43" s="64" t="n">
        <f aca="false">Entrées!$C$79*(1+W12)+W20</f>
        <v>1481.92</v>
      </c>
      <c r="X43" s="64" t="n">
        <f aca="false">Entrées!$C$79*(1+X12)+X20</f>
        <v>1481.92</v>
      </c>
      <c r="Y43" s="64" t="n">
        <f aca="false">Entrées!$C$79*(1+Y12)+Y20</f>
        <v>1481.92</v>
      </c>
      <c r="Z43" s="64" t="n">
        <f aca="false">Entrées!$C$79*(1+Z12)+Z20</f>
        <v>1481.92</v>
      </c>
      <c r="AA43" s="64" t="n">
        <f aca="false">Entrées!$C$79*(1+AA12)+AA20</f>
        <v>1481.92</v>
      </c>
      <c r="AB43" s="64" t="n">
        <f aca="false">Entrées!$C$79*(1+AB12)+AB20</f>
        <v>1481.92</v>
      </c>
      <c r="AC43" s="64" t="n">
        <f aca="false">Entrées!$C$79*(1+AC12)+AC20</f>
        <v>1481.92</v>
      </c>
      <c r="AD43" s="64" t="n">
        <f aca="false">Entrées!$C$79*(1+AD12)+AD20</f>
        <v>1481.92</v>
      </c>
      <c r="AE43" s="64" t="n">
        <f aca="false">Entrées!$C$79*(1+AE12)+AE20</f>
        <v>1525.88</v>
      </c>
      <c r="AF43" s="64" t="n">
        <f aca="false">Entrées!$C$79*(1+AF12)+AF20</f>
        <v>1437.96</v>
      </c>
    </row>
    <row r="44" customFormat="false" ht="15" hidden="false" customHeight="false" outlineLevel="0" collapsed="false">
      <c r="A44" s="24" t="s">
        <v>2631</v>
      </c>
      <c r="B44" s="22" t="s">
        <v>2632</v>
      </c>
      <c r="C44" s="24" t="s">
        <v>103</v>
      </c>
      <c r="D44" s="70" t="n">
        <f aca="false">D32-D42+D43+D16*1000-D39+D22</f>
        <v>22373.6168524571</v>
      </c>
      <c r="E44" s="70" t="n">
        <f aca="false">E32-E42+E43+E16*1000-E39+E22</f>
        <v>22379.8904593811</v>
      </c>
      <c r="F44" s="70" t="n">
        <f aca="false">F32-F42+F43+F16*1000-F39+F22</f>
        <v>22367.3432455331</v>
      </c>
      <c r="G44" s="70" t="n">
        <f aca="false">G32-G42+G43+G16*1000-G39+G22</f>
        <v>22392.8048163999</v>
      </c>
      <c r="H44" s="70" t="n">
        <f aca="false">H32-H42+H43+H16*1000-H39+H22</f>
        <v>22354.4288885142</v>
      </c>
      <c r="I44" s="70" t="n">
        <f aca="false">I32-I42+I43+I16*1000-I39+I22</f>
        <v>22376.6440294205</v>
      </c>
      <c r="J44" s="70" t="n">
        <f aca="false">J32-J42+J43+J16*1000-J39+J22</f>
        <v>22370.5896754936</v>
      </c>
      <c r="K44" s="70" t="n">
        <f aca="false">K32-K42+K43+K16*1000-K39+K22</f>
        <v>22377.920895533</v>
      </c>
      <c r="L44" s="70" t="n">
        <f aca="false">L32-L42+L43+L16*1000-L39+L22</f>
        <v>22369.3128093811</v>
      </c>
      <c r="M44" s="70" t="n">
        <f aca="false">M32-M42+M43+M16*1000-M39+M22</f>
        <v>22699.4168524571</v>
      </c>
      <c r="N44" s="70" t="n">
        <f aca="false">N32-N42+N43+N16*1000-N39+N22</f>
        <v>22210.7168524571</v>
      </c>
      <c r="O44" s="70" t="n">
        <f aca="false">O32-O42+O43+O16*1000-O39+O22</f>
        <v>22602.6548912429</v>
      </c>
      <c r="P44" s="70" t="n">
        <f aca="false">P32-P42+P43+P16*1000-P39+P22</f>
        <v>22203.5833658791</v>
      </c>
      <c r="Q44" s="70" t="n">
        <f aca="false">Q32-Q42+Q43+Q16*1000-Q39+Q22</f>
        <v>22329.6568524571</v>
      </c>
      <c r="R44" s="70" t="n">
        <f aca="false">R32-R42+R43+R16*1000-R39+R22</f>
        <v>22417.5768524571</v>
      </c>
      <c r="S44" s="70" t="n">
        <f aca="false">S32-S42+S43+S16*1000-S39+S22</f>
        <v>22373.3848949559</v>
      </c>
      <c r="T44" s="70" t="n">
        <f aca="false">T32-T42+T43+T16*1000-T39+T22</f>
        <v>22373.8488099582</v>
      </c>
      <c r="U44" s="70" t="n">
        <f aca="false">U32-U42+U43+U16*1000-U39+U22</f>
        <v>23061.8081069445</v>
      </c>
      <c r="V44" s="70" t="n">
        <f aca="false">V32-V42+V43+V16*1000-V39+V22</f>
        <v>21685.4255979696</v>
      </c>
      <c r="W44" s="70" t="n">
        <f aca="false">W32-W42+W43+W16*1000-W39+W22</f>
        <v>22378.7357327663</v>
      </c>
      <c r="X44" s="70" t="n">
        <f aca="false">X32-X42+X43+X16*1000-X39+X22</f>
        <v>22370.2042655843</v>
      </c>
      <c r="Y44" s="70" t="n">
        <f aca="false">Y32-Y42+Y43+Y16*1000-Y39+Y22</f>
        <v>21882.2238098277</v>
      </c>
      <c r="Z44" s="70" t="n">
        <f aca="false">Z32-Z42+Z43+Z16*1000-Z39+Z22</f>
        <v>22865.0098950864</v>
      </c>
      <c r="AA44" s="70" t="n">
        <f aca="false">AA32-AA42+AA43+AA16*1000-AA39+AA22</f>
        <v>22373.6168524571</v>
      </c>
      <c r="AB44" s="70" t="n">
        <f aca="false">AB32-AB42+AB43+AB16*1000-AB39+AB22</f>
        <v>22373.6168524571</v>
      </c>
      <c r="AC44" s="70" t="n">
        <f aca="false">AC32-AC42+AC43+AC16*1000-AC39+AC22</f>
        <v>22370.8254068234</v>
      </c>
      <c r="AD44" s="70" t="n">
        <f aca="false">AD32-AD42+AD43+AD16*1000-AD39+AD22</f>
        <v>22374.5557932611</v>
      </c>
      <c r="AE44" s="70" t="n">
        <f aca="false">AE32-AE42+AE43+AE16*1000-AE39+AE22</f>
        <v>24186.095252532</v>
      </c>
      <c r="AF44" s="70" t="n">
        <f aca="false">AF32-AF42+AF43+AF16*1000-AF39+AF22</f>
        <v>20776.2851459462</v>
      </c>
    </row>
    <row r="45" customFormat="false" ht="15" hidden="false" customHeight="false" outlineLevel="0" collapsed="false">
      <c r="A45" s="24" t="s">
        <v>2633</v>
      </c>
      <c r="B45" s="22" t="s">
        <v>2634</v>
      </c>
      <c r="C45" s="24" t="s">
        <v>133</v>
      </c>
      <c r="D45" s="101" t="n">
        <f aca="false">D44/D41</f>
        <v>2.80320887741352</v>
      </c>
      <c r="E45" s="101" t="n">
        <f aca="false">E44/E41</f>
        <v>2.81712102213931</v>
      </c>
      <c r="F45" s="101" t="n">
        <f aca="false">F44/F41</f>
        <v>2.78942577616905</v>
      </c>
      <c r="G45" s="101" t="n">
        <f aca="false">G44/G41</f>
        <v>2.8461735003278</v>
      </c>
      <c r="H45" s="101" t="n">
        <f aca="false">H44/H41</f>
        <v>2.76145161796485</v>
      </c>
      <c r="I45" s="101" t="n">
        <f aca="false">I44/I41</f>
        <v>2.8099056233804</v>
      </c>
      <c r="J45" s="101" t="n">
        <f aca="false">J44/J41</f>
        <v>2.79654217628338</v>
      </c>
      <c r="K45" s="101" t="n">
        <f aca="false">K44/K41</f>
        <v>2.81273937558783</v>
      </c>
      <c r="L45" s="101" t="n">
        <f aca="false">L44/L41</f>
        <v>2.79373911572916</v>
      </c>
      <c r="M45" s="101" t="n">
        <f aca="false">M44/M41</f>
        <v>2.84402862767044</v>
      </c>
      <c r="N45" s="101" t="n">
        <f aca="false">N44/N41</f>
        <v>2.78279900228506</v>
      </c>
      <c r="O45" s="101" t="n">
        <f aca="false">O44/O41</f>
        <v>2.83190524187813</v>
      </c>
      <c r="P45" s="101" t="n">
        <f aca="false">P44/P41</f>
        <v>2.78190524187814</v>
      </c>
      <c r="Q45" s="101" t="n">
        <f aca="false">Q44/Q41</f>
        <v>2.79770109281777</v>
      </c>
      <c r="R45" s="101" t="n">
        <f aca="false">R44/R41</f>
        <v>2.80871666200927</v>
      </c>
      <c r="S45" s="101" t="n">
        <f aca="false">S44/S41</f>
        <v>2.80269698097512</v>
      </c>
      <c r="T45" s="101" t="n">
        <f aca="false">T44/T41</f>
        <v>2.8037209502561</v>
      </c>
      <c r="U45" s="101" t="n">
        <f aca="false">U44/U41</f>
        <v>2.86431188670161</v>
      </c>
      <c r="V45" s="101" t="n">
        <f aca="false">V44/V41</f>
        <v>2.74102459448061</v>
      </c>
      <c r="W45" s="101" t="n">
        <f aca="false">W44/W41</f>
        <v>2.81455056596958</v>
      </c>
      <c r="X45" s="101" t="n">
        <f aca="false">X44/X41</f>
        <v>2.79569554031781</v>
      </c>
      <c r="Y45" s="101" t="n">
        <f aca="false">Y44/Y41</f>
        <v>2.75928023095225</v>
      </c>
      <c r="Z45" s="101" t="n">
        <f aca="false">Z44/Z41</f>
        <v>2.84657947316371</v>
      </c>
      <c r="AA45" s="101" t="n">
        <f aca="false">AA44/AA41</f>
        <v>2.80320887741352</v>
      </c>
      <c r="AB45" s="101" t="n">
        <f aca="false">AB44/AB41</f>
        <v>2.80320887741352</v>
      </c>
      <c r="AC45" s="101" t="n">
        <f aca="false">AC44/AC41</f>
        <v>2.79706024937012</v>
      </c>
      <c r="AD45" s="101" t="n">
        <f aca="false">AD44/AD41</f>
        <v>2.80528278629948</v>
      </c>
      <c r="AE45" s="101" t="n">
        <f aca="false">AE44/AE41</f>
        <v>3.06785562669064</v>
      </c>
      <c r="AF45" s="101" t="n">
        <f aca="false">AF44/AF41</f>
        <v>2.56846148169012</v>
      </c>
    </row>
    <row r="46" customFormat="false" ht="15" hidden="false" customHeight="false" outlineLevel="0" collapsed="false">
      <c r="A46" s="24" t="s">
        <v>2635</v>
      </c>
      <c r="B46" s="22" t="s">
        <v>2636</v>
      </c>
      <c r="C46" s="24" t="s">
        <v>103</v>
      </c>
      <c r="D46" s="100" t="n">
        <f aca="false">D25*D41-D44</f>
        <v>1570.67466937297</v>
      </c>
      <c r="E46" s="100" t="n">
        <f aca="false">E25*E41-E44</f>
        <v>1452.83481244899</v>
      </c>
      <c r="F46" s="100" t="n">
        <f aca="false">F25*F41-F44</f>
        <v>1688.51452629695</v>
      </c>
      <c r="G46" s="100" t="n">
        <f aca="false">G25*G41-G44</f>
        <v>1210.25889052545</v>
      </c>
      <c r="H46" s="100" t="n">
        <f aca="false">H25*H41-H44</f>
        <v>1931.09044822049</v>
      </c>
      <c r="I46" s="100" t="n">
        <f aca="false">I25*I41-I44</f>
        <v>1513.81390258016</v>
      </c>
      <c r="J46" s="100" t="n">
        <f aca="false">J25*J41-J44</f>
        <v>1627.53543616577</v>
      </c>
      <c r="K46" s="100" t="n">
        <f aca="false">K25*K41-K44</f>
        <v>1489.8299772505</v>
      </c>
      <c r="L46" s="100" t="n">
        <f aca="false">L25*L41-L44</f>
        <v>1651.51936149544</v>
      </c>
      <c r="M46" s="100" t="n">
        <f aca="false">M25*M41-M44</f>
        <v>1244.87466937297</v>
      </c>
      <c r="N46" s="100" t="n">
        <f aca="false">N25*N41-N44</f>
        <v>1733.57466937297</v>
      </c>
      <c r="O46" s="100" t="n">
        <f aca="false">O25*O41-O44</f>
        <v>1341.63663058715</v>
      </c>
      <c r="P46" s="100" t="n">
        <f aca="false">P25*P41-P44</f>
        <v>1740.70815595098</v>
      </c>
      <c r="Q46" s="100" t="n">
        <f aca="false">Q25*Q41-Q44</f>
        <v>1614.63466937297</v>
      </c>
      <c r="R46" s="100" t="n">
        <f aca="false">R25*R41-R44</f>
        <v>1526.71466937297</v>
      </c>
      <c r="S46" s="100" t="n">
        <f aca="false">S25*S41-S44</f>
        <v>1575.03162687411</v>
      </c>
      <c r="T46" s="100" t="n">
        <f aca="false">T25*T41-T44</f>
        <v>1566.31771187183</v>
      </c>
      <c r="U46" s="100" t="n">
        <f aca="false">U25*U41-U44</f>
        <v>1092.48341488549</v>
      </c>
      <c r="V46" s="100" t="n">
        <f aca="false">V25*V41-V44</f>
        <v>2048.86592386045</v>
      </c>
      <c r="W46" s="100" t="n">
        <f aca="false">W25*W41-W44</f>
        <v>1474.52453906374</v>
      </c>
      <c r="X46" s="100" t="n">
        <f aca="false">X25*X41-X44</f>
        <v>1634.77475624579</v>
      </c>
      <c r="Y46" s="100" t="n">
        <f aca="false">Y25*Y41-Y44</f>
        <v>1909.00648751253</v>
      </c>
      <c r="Z46" s="100" t="n">
        <f aca="false">Z25*Z41-Z44</f>
        <v>1232.34285123341</v>
      </c>
      <c r="AA46" s="100" t="n">
        <f aca="false">AA25*AA41-AA44</f>
        <v>1570.67466937297</v>
      </c>
      <c r="AB46" s="100" t="n">
        <f aca="false">AB25*AB41-AB44</f>
        <v>1570.67466937297</v>
      </c>
      <c r="AC46" s="100" t="n">
        <f aca="false">AC25*AC41-AC44</f>
        <v>1623.1075932196</v>
      </c>
      <c r="AD46" s="100" t="n">
        <f aca="false">AD25*AD41-AD44</f>
        <v>1553.03814044274</v>
      </c>
      <c r="AE46" s="100" t="n">
        <f aca="false">AE25*AE41-AE44</f>
        <v>-534.954329754553</v>
      </c>
      <c r="AF46" s="100" t="n">
        <f aca="false">AF25*AF41-AF44</f>
        <v>3490.715111665</v>
      </c>
    </row>
    <row r="47" customFormat="false" ht="15" hidden="false" customHeight="false" outlineLevel="0" collapsed="false">
      <c r="A47" s="24" t="s">
        <v>2637</v>
      </c>
      <c r="B47" s="22" t="s">
        <v>2638</v>
      </c>
      <c r="C47" s="24" t="s">
        <v>103</v>
      </c>
      <c r="D47" s="100" t="n">
        <f aca="false">IF(D18&gt;D25,MAX(0,D46)/(1-D25/D18),0)</f>
        <v>2263.61937644927</v>
      </c>
      <c r="E47" s="100" t="n">
        <f aca="false">IF(E18&gt;E25,MAX(0,E46)/(1-E25/E18),0)</f>
        <v>2093.79134735295</v>
      </c>
      <c r="F47" s="100" t="n">
        <f aca="false">IF(F18&gt;F25,MAX(0,F46)/(1-F25/F18),0)</f>
        <v>2433.4474055456</v>
      </c>
      <c r="G47" s="100" t="n">
        <f aca="false">IF(G18&gt;G25,MAX(0,G46)/(1-G25/G18),0)</f>
        <v>1744.1966363455</v>
      </c>
      <c r="H47" s="100" t="n">
        <f aca="false">IF(H18&gt;H25,MAX(0,H46)/(1-H25/H18),0)</f>
        <v>2783.04211655306</v>
      </c>
      <c r="I47" s="100" t="n">
        <f aca="false">IF(I18&gt;I25,MAX(0,I46)/(1-I25/I18),0)</f>
        <v>2181.67297724788</v>
      </c>
      <c r="J47" s="100" t="n">
        <f aca="false">IF(J18&gt;J25,MAX(0,J46)/(1-J25/J18),0)</f>
        <v>2345.56577565067</v>
      </c>
      <c r="K47" s="100" t="n">
        <f aca="false">IF(K18&gt;K25,MAX(0,K46)/(1-K25/K18),0)</f>
        <v>2147.10790839042</v>
      </c>
      <c r="L47" s="100" t="n">
        <f aca="false">IF(L18&gt;L25,MAX(0,L46)/(1-L25/L18),0)</f>
        <v>2380.13084450814</v>
      </c>
      <c r="M47" s="100" t="n">
        <f aca="false">IF(M18&gt;M25,MAX(0,M46)/(1-M25/M18),0)</f>
        <v>1794.08408233163</v>
      </c>
      <c r="N47" s="100" t="n">
        <f aca="false">IF(N18&gt;N25,MAX(0,N46)/(1-N25/N18),0)</f>
        <v>2498.3870235081</v>
      </c>
      <c r="O47" s="100" t="n">
        <f aca="false">IF(O18&gt;O25,MAX(0,O46)/(1-O25/O18),0)</f>
        <v>1933.53514408148</v>
      </c>
      <c r="P47" s="100" t="n">
        <f aca="false">IF(P18&gt;P25,MAX(0,P46)/(1-P25/P18),0)</f>
        <v>2508.66763651759</v>
      </c>
      <c r="Q47" s="100" t="n">
        <f aca="false">IF(Q18&gt;Q25,MAX(0,Q46)/(1-Q25/Q18),0)</f>
        <v>2326.97349409634</v>
      </c>
      <c r="R47" s="100" t="n">
        <f aca="false">IF(R18&gt;R25,MAX(0,R46)/(1-R25/R18),0)</f>
        <v>2200.26525880222</v>
      </c>
      <c r="S47" s="100" t="n">
        <f aca="false">IF(S18&gt;S25,MAX(0,S46)/(1-S25/S18),0)</f>
        <v>2269.89852108327</v>
      </c>
      <c r="T47" s="100" t="n">
        <f aca="false">IF(T18&gt;T25,MAX(0,T46)/(1-T25/T18),0)</f>
        <v>2257.34023181529</v>
      </c>
      <c r="U47" s="100" t="n">
        <f aca="false">IF(U18&gt;U25,MAX(0,U46)/(1-U25/U18),0)</f>
        <v>1574.46139204086</v>
      </c>
      <c r="V47" s="100" t="n">
        <f aca="false">IF(V18&gt;V25,MAX(0,V46)/(1-V25/V18),0)</f>
        <v>2952.7773608577</v>
      </c>
      <c r="W47" s="100" t="n">
        <f aca="false">IF(W18&gt;W25,MAX(0,W46)/(1-W25/W18),0)</f>
        <v>2125.05007100363</v>
      </c>
      <c r="X47" s="100" t="n">
        <f aca="false">IF(X18&gt;X25,MAX(0,X46)/(1-X25/X18),0)</f>
        <v>2355.99891341305</v>
      </c>
      <c r="Y47" s="100" t="n">
        <f aca="false">IF(Y18&gt;Y25,MAX(0,Y46)/(1-Y25/Y18),0)</f>
        <v>2751.21523200335</v>
      </c>
      <c r="Z47" s="100" t="n">
        <f aca="false">IF(Z18&gt;Z25,MAX(0,Z46)/(1-Z25/Z18),0)</f>
        <v>1776.02352089521</v>
      </c>
      <c r="AA47" s="100" t="n">
        <f aca="false">IF(AA18&gt;AA25,MAX(0,AA46)/(1-AA25/AA18),0)</f>
        <v>2263.61937644927</v>
      </c>
      <c r="AB47" s="100" t="n">
        <f aca="false">IF(AB18&gt;AB25,MAX(0,AB46)/(1-AB25/AB18),0)</f>
        <v>2263.61937644927</v>
      </c>
      <c r="AC47" s="100" t="n">
        <f aca="false">IF(AC18&gt;AC25,MAX(0,AC46)/(1-AC25/AC18),0)</f>
        <v>2729.77186132387</v>
      </c>
      <c r="AD47" s="100" t="n">
        <f aca="false">IF(AD18&gt;AD25,MAX(0,AD46)/(1-AD25/AD18),0)</f>
        <v>2135.42744310877</v>
      </c>
      <c r="AE47" s="100" t="n">
        <f aca="false">IF(AE18&gt;AE25,MAX(0,AE46)/(1-AE25/AE18),0)</f>
        <v>0</v>
      </c>
      <c r="AF47" s="100" t="n">
        <f aca="false">IF(AF18&gt;AF25,MAX(0,AF46)/(1-AF25/AF18),0)</f>
        <v>5870.74814234568</v>
      </c>
    </row>
    <row r="48" customFormat="false" ht="15" hidden="false" customHeight="false" outlineLevel="0" collapsed="false">
      <c r="A48" s="24" t="s">
        <v>2639</v>
      </c>
      <c r="B48" s="5" t="s">
        <v>2640</v>
      </c>
      <c r="C48" s="24" t="s">
        <v>103</v>
      </c>
      <c r="D48" s="64" t="n">
        <f aca="false">D41-Entrées!$C$17*1000</f>
        <v>-18.5694927233199</v>
      </c>
      <c r="E48" s="64" t="n">
        <f aca="false">E41-Entrées!$C$17*1000</f>
        <v>-55.7582427233192</v>
      </c>
      <c r="F48" s="64" t="n">
        <f aca="false">F41-Entrées!$C$17*1000</f>
        <v>18.6192572766804</v>
      </c>
      <c r="G48" s="64" t="n">
        <f aca="false">G41-Entrées!$C$17*1000</f>
        <v>-132.312097691535</v>
      </c>
      <c r="H48" s="64" t="n">
        <f aca="false">H41-Entrées!$C$17*1000</f>
        <v>95.1731122448982</v>
      </c>
      <c r="I48" s="64" t="n">
        <f aca="false">I41-Entrées!$C$17*1000</f>
        <v>-36.5140226664444</v>
      </c>
      <c r="J48" s="64" t="n">
        <f aca="false">J41-Entrées!$C$17*1000</f>
        <v>-0.624962780195347</v>
      </c>
      <c r="K48" s="64" t="n">
        <f aca="false">K41-Entrées!$C$17*1000</f>
        <v>-44.0830424054875</v>
      </c>
      <c r="L48" s="64" t="n">
        <f aca="false">L41-Entrées!$C$17*1000</f>
        <v>6.94405695884871</v>
      </c>
      <c r="M48" s="64" t="n">
        <f aca="false">M41-Entrées!$C$17*1000</f>
        <v>-18.5694927233199</v>
      </c>
      <c r="N48" s="64" t="n">
        <f aca="false">N41-Entrées!$C$17*1000</f>
        <v>-18.5694927233199</v>
      </c>
      <c r="O48" s="64" t="n">
        <f aca="false">O41-Entrées!$C$17*1000</f>
        <v>-18.5694927233199</v>
      </c>
      <c r="P48" s="64" t="n">
        <f aca="false">P41-Entrées!$C$17*1000</f>
        <v>-18.5694927233199</v>
      </c>
      <c r="Q48" s="64" t="n">
        <f aca="false">Q41-Entrées!$C$17*1000</f>
        <v>-18.5694927233199</v>
      </c>
      <c r="R48" s="64" t="n">
        <f aca="false">R41-Entrées!$C$17*1000</f>
        <v>-18.5694927233199</v>
      </c>
      <c r="S48" s="64" t="n">
        <f aca="false">S41-Entrées!$C$17*1000</f>
        <v>-17.1944927233199</v>
      </c>
      <c r="T48" s="64" t="n">
        <f aca="false">T41-Entrées!$C$17*1000</f>
        <v>-19.9444927233199</v>
      </c>
      <c r="U48" s="64" t="n">
        <f aca="false">U41-Entrées!$C$17*1000</f>
        <v>51.4305072766801</v>
      </c>
      <c r="V48" s="64" t="n">
        <f aca="false">V41-Entrées!$C$17*1000</f>
        <v>-88.5694927233199</v>
      </c>
      <c r="W48" s="64" t="n">
        <f aca="false">W41-Entrées!$C$17*1000</f>
        <v>-48.9132427233199</v>
      </c>
      <c r="X48" s="64" t="n">
        <f aca="false">X41-Entrées!$C$17*1000</f>
        <v>1.65967394334712</v>
      </c>
      <c r="Y48" s="64" t="n">
        <f aca="false">Y41-Entrées!$C$17*1000</f>
        <v>-69.5899008865854</v>
      </c>
      <c r="Z48" s="64" t="n">
        <f aca="false">Z41-Entrées!$C$17*1000</f>
        <v>32.4509154399457</v>
      </c>
      <c r="AA48" s="64" t="n">
        <f aca="false">AA41-Entrées!$C$17*1000</f>
        <v>-18.5694927233199</v>
      </c>
      <c r="AB48" s="64" t="n">
        <f aca="false">AB41-Entrées!$C$17*1000</f>
        <v>-18.5694927233199</v>
      </c>
      <c r="AC48" s="64" t="n">
        <f aca="false">AC41-Entrées!$C$17*1000</f>
        <v>-2.02233331901789</v>
      </c>
      <c r="AD48" s="64" t="n">
        <f aca="false">AD41-Entrées!$C$17*1000</f>
        <v>-24.1353554320403</v>
      </c>
      <c r="AE48" s="64" t="n">
        <f aca="false">AE41-Entrées!$C$17*1000</f>
        <v>-116.286359074181</v>
      </c>
      <c r="AF48" s="64" t="n">
        <f aca="false">AF41-Entrées!$C$17*1000</f>
        <v>89.0000858704143</v>
      </c>
    </row>
    <row r="49" customFormat="false" ht="15" hidden="false" customHeight="false" outlineLevel="0" collapsed="false">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customFormat="false" ht="15" hidden="false" customHeight="false" outlineLevel="0" collapsed="false">
      <c r="A50" s="24" t="s">
        <v>2641</v>
      </c>
      <c r="B50" s="5" t="s">
        <v>2642</v>
      </c>
      <c r="C50" s="24" t="s">
        <v>103</v>
      </c>
      <c r="D50" s="64" t="n">
        <f aca="false">D32+(Entrées!$C$244-Entrées!$C$13)</f>
        <v>28416</v>
      </c>
      <c r="E50" s="64" t="n">
        <f aca="false">E32+(Entrées!$C$244-Entrées!$C$13)</f>
        <v>28416</v>
      </c>
      <c r="F50" s="64" t="n">
        <f aca="false">F32+(Entrées!$C$244-Entrées!$C$13)</f>
        <v>28416</v>
      </c>
      <c r="G50" s="64" t="n">
        <f aca="false">G32+(Entrées!$C$244-Entrées!$C$13)</f>
        <v>28416</v>
      </c>
      <c r="H50" s="64" t="n">
        <f aca="false">H32+(Entrées!$C$244-Entrées!$C$13)</f>
        <v>28416</v>
      </c>
      <c r="I50" s="64" t="n">
        <f aca="false">I32+(Entrées!$C$244-Entrées!$C$13)</f>
        <v>28416</v>
      </c>
      <c r="J50" s="64" t="n">
        <f aca="false">J32+(Entrées!$C$244-Entrées!$C$13)</f>
        <v>28416</v>
      </c>
      <c r="K50" s="64" t="n">
        <f aca="false">K32+(Entrées!$C$244-Entrées!$C$13)</f>
        <v>28416</v>
      </c>
      <c r="L50" s="64" t="n">
        <f aca="false">L32+(Entrées!$C$244-Entrées!$C$13)</f>
        <v>28416</v>
      </c>
      <c r="M50" s="64" t="n">
        <f aca="false">M32+(Entrées!$C$244-Entrées!$C$13)</f>
        <v>28741.8</v>
      </c>
      <c r="N50" s="64" t="n">
        <f aca="false">N32+(Entrées!$C$244-Entrées!$C$13)</f>
        <v>28253.1</v>
      </c>
      <c r="O50" s="64" t="n">
        <f aca="false">O32+(Entrées!$C$244-Entrées!$C$13)</f>
        <v>28416</v>
      </c>
      <c r="P50" s="64" t="n">
        <f aca="false">P32+(Entrées!$C$244-Entrées!$C$13)</f>
        <v>28416</v>
      </c>
      <c r="Q50" s="64" t="n">
        <f aca="false">Q32+(Entrées!$C$244-Entrées!$C$13)</f>
        <v>28416</v>
      </c>
      <c r="R50" s="64" t="n">
        <f aca="false">R32+(Entrées!$C$244-Entrées!$C$13)</f>
        <v>28416</v>
      </c>
      <c r="S50" s="64" t="n">
        <f aca="false">S32+(Entrées!$C$244-Entrées!$C$13)</f>
        <v>28666</v>
      </c>
      <c r="T50" s="64" t="n">
        <f aca="false">T32+(Entrées!$C$244-Entrées!$C$13)</f>
        <v>28166</v>
      </c>
      <c r="U50" s="64" t="n">
        <f aca="false">U32+(Entrées!$C$244-Entrées!$C$13)</f>
        <v>28416</v>
      </c>
      <c r="V50" s="64" t="n">
        <f aca="false">V32+(Entrées!$C$244-Entrées!$C$13)</f>
        <v>28416</v>
      </c>
      <c r="W50" s="64" t="n">
        <f aca="false">W32+(Entrées!$C$244-Entrées!$C$13)</f>
        <v>28416</v>
      </c>
      <c r="X50" s="64" t="n">
        <f aca="false">X32+(Entrées!$C$244-Entrées!$C$13)</f>
        <v>28416</v>
      </c>
      <c r="Y50" s="64" t="n">
        <f aca="false">Y32+(Entrées!$C$244-Entrées!$C$13)</f>
        <v>28416</v>
      </c>
      <c r="Z50" s="64" t="n">
        <f aca="false">Z32+(Entrées!$C$244-Entrées!$C$13)</f>
        <v>28416</v>
      </c>
      <c r="AA50" s="64" t="n">
        <f aca="false">AA32+(Entrées!$C$244-Entrées!$C$13)</f>
        <v>28416</v>
      </c>
      <c r="AB50" s="64" t="n">
        <f aca="false">AB32+(Entrées!$C$244-Entrées!$C$13)</f>
        <v>28416</v>
      </c>
      <c r="AC50" s="64" t="n">
        <f aca="false">AC32+(Entrées!$C$244-Entrées!$C$13)</f>
        <v>28416</v>
      </c>
      <c r="AD50" s="64" t="n">
        <f aca="false">AD32+(Entrées!$C$244-Entrées!$C$13)</f>
        <v>28416</v>
      </c>
      <c r="AE50" s="64" t="n">
        <f aca="false">AE32+(Entrées!$C$244-Entrées!$C$13)</f>
        <v>28491.8</v>
      </c>
      <c r="AF50" s="64" t="n">
        <f aca="false">AF32+(Entrées!$C$244-Entrées!$C$13)</f>
        <v>28503.1</v>
      </c>
    </row>
    <row r="51" customFormat="false" ht="15" hidden="false" customHeight="false" outlineLevel="0" collapsed="false">
      <c r="A51" s="24" t="s">
        <v>2643</v>
      </c>
      <c r="B51" s="5" t="s">
        <v>2644</v>
      </c>
      <c r="C51" s="24" t="s">
        <v>103</v>
      </c>
      <c r="D51" s="64" t="n">
        <f aca="false">D17*D31</f>
        <v>5498.12225488731</v>
      </c>
      <c r="E51" s="64" t="n">
        <f aca="false">E17*E31</f>
        <v>5472.32225488731</v>
      </c>
      <c r="F51" s="64" t="n">
        <f aca="false">F17*F31</f>
        <v>5523.92225488731</v>
      </c>
      <c r="G51" s="64" t="n">
        <f aca="false">G17*G31</f>
        <v>5498.12225488731</v>
      </c>
      <c r="H51" s="64" t="n">
        <f aca="false">H17*H31</f>
        <v>5498.12225488731</v>
      </c>
      <c r="I51" s="64" t="n">
        <f aca="false">I17*I31</f>
        <v>5490.86024216453</v>
      </c>
      <c r="J51" s="64" t="n">
        <f aca="false">J17*J31</f>
        <v>5505.38426761008</v>
      </c>
      <c r="K51" s="64" t="n">
        <f aca="false">K17*K31</f>
        <v>5498.12225488731</v>
      </c>
      <c r="L51" s="64" t="n">
        <f aca="false">L17*L31</f>
        <v>5498.12225488731</v>
      </c>
      <c r="M51" s="64" t="n">
        <f aca="false">M17*M31</f>
        <v>5498.12225488731</v>
      </c>
      <c r="N51" s="64" t="n">
        <f aca="false">N17*N31</f>
        <v>5498.12225488731</v>
      </c>
      <c r="O51" s="64" t="n">
        <f aca="false">O17*O31</f>
        <v>5498.12225488731</v>
      </c>
      <c r="P51" s="64" t="n">
        <f aca="false">P17*P31</f>
        <v>5498.12225488731</v>
      </c>
      <c r="Q51" s="64" t="n">
        <f aca="false">Q17*Q31</f>
        <v>5498.12225488731</v>
      </c>
      <c r="R51" s="64" t="n">
        <f aca="false">R17*R31</f>
        <v>5498.12225488731</v>
      </c>
      <c r="S51" s="64" t="n">
        <f aca="false">S17*S31</f>
        <v>5516.42012722773</v>
      </c>
      <c r="T51" s="64" t="n">
        <f aca="false">T17*T31</f>
        <v>5479.82438254688</v>
      </c>
      <c r="U51" s="64" t="n">
        <f aca="false">U17*U31</f>
        <v>5498.12225488731</v>
      </c>
      <c r="V51" s="64" t="n">
        <f aca="false">V17*V31</f>
        <v>5498.12225488731</v>
      </c>
      <c r="W51" s="64" t="n">
        <f aca="false">W17*W31</f>
        <v>5493.5477868022</v>
      </c>
      <c r="X51" s="64" t="n">
        <f aca="false">X17*X31</f>
        <v>5501.17190027738</v>
      </c>
      <c r="Y51" s="64" t="n">
        <f aca="false">Y17*Y31</f>
        <v>5498.12225488731</v>
      </c>
      <c r="Z51" s="64" t="n">
        <f aca="false">Z17*Z31</f>
        <v>5498.12225488731</v>
      </c>
      <c r="AA51" s="64" t="n">
        <f aca="false">AA17*AA31</f>
        <v>5223.21614214294</v>
      </c>
      <c r="AB51" s="64" t="n">
        <f aca="false">AB17*AB31</f>
        <v>5663.06592253392</v>
      </c>
      <c r="AC51" s="64" t="n">
        <f aca="false">AC17*AC31</f>
        <v>5498.12225488731</v>
      </c>
      <c r="AD51" s="64" t="n">
        <f aca="false">AD17*AD31</f>
        <v>5498.12225488731</v>
      </c>
      <c r="AE51" s="64" t="n">
        <f aca="false">AE17*AE31</f>
        <v>5165.7327619712</v>
      </c>
      <c r="AF51" s="64" t="n">
        <f aca="false">AF17*AF31</f>
        <v>5715.96660414902</v>
      </c>
    </row>
    <row r="52" customFormat="false" ht="15" hidden="false" customHeight="false" outlineLevel="0" collapsed="false">
      <c r="A52" s="24" t="s">
        <v>2645</v>
      </c>
      <c r="B52" s="22" t="s">
        <v>2646</v>
      </c>
      <c r="C52" s="24" t="s">
        <v>299</v>
      </c>
      <c r="D52" s="102" t="n">
        <f aca="false">D51/D50</f>
        <v>0.193486847370753</v>
      </c>
      <c r="E52" s="102" t="n">
        <f aca="false">E51/E50</f>
        <v>0.192578908181563</v>
      </c>
      <c r="F52" s="102" t="n">
        <f aca="false">F51/F50</f>
        <v>0.194394786559942</v>
      </c>
      <c r="G52" s="102" t="n">
        <f aca="false">G51/G50</f>
        <v>0.193486847370753</v>
      </c>
      <c r="H52" s="102" t="n">
        <f aca="false">H51/H50</f>
        <v>0.193486847370753</v>
      </c>
      <c r="I52" s="102" t="n">
        <f aca="false">I51/I50</f>
        <v>0.193231286675272</v>
      </c>
      <c r="J52" s="102" t="n">
        <f aca="false">J51/J50</f>
        <v>0.193742408066233</v>
      </c>
      <c r="K52" s="102" t="n">
        <f aca="false">K51/K50</f>
        <v>0.193486847370753</v>
      </c>
      <c r="L52" s="102" t="n">
        <f aca="false">L51/L50</f>
        <v>0.193486847370753</v>
      </c>
      <c r="M52" s="102" t="n">
        <f aca="false">M51/M50</f>
        <v>0.191293595212802</v>
      </c>
      <c r="N52" s="102" t="n">
        <f aca="false">N51/N50</f>
        <v>0.194602442028921</v>
      </c>
      <c r="O52" s="102" t="n">
        <f aca="false">O51/O50</f>
        <v>0.193486847370753</v>
      </c>
      <c r="P52" s="102" t="n">
        <f aca="false">P51/P50</f>
        <v>0.193486847370753</v>
      </c>
      <c r="Q52" s="102" t="n">
        <f aca="false">Q51/Q50</f>
        <v>0.193486847370753</v>
      </c>
      <c r="R52" s="102" t="n">
        <f aca="false">R51/R50</f>
        <v>0.193486847370753</v>
      </c>
      <c r="S52" s="102" t="n">
        <f aca="false">S51/S50</f>
        <v>0.192437735548306</v>
      </c>
      <c r="T52" s="102" t="n">
        <f aca="false">T51/T50</f>
        <v>0.194554582920787</v>
      </c>
      <c r="U52" s="102" t="n">
        <f aca="false">U51/U50</f>
        <v>0.193486847370753</v>
      </c>
      <c r="V52" s="102" t="n">
        <f aca="false">V51/V50</f>
        <v>0.193486847370753</v>
      </c>
      <c r="W52" s="102" t="n">
        <f aca="false">W51/W50</f>
        <v>0.19332586524501</v>
      </c>
      <c r="X52" s="102" t="n">
        <f aca="false">X51/X50</f>
        <v>0.193594168787914</v>
      </c>
      <c r="Y52" s="102" t="n">
        <f aca="false">Y51/Y50</f>
        <v>0.193486847370753</v>
      </c>
      <c r="Z52" s="102" t="n">
        <f aca="false">Z51/Z50</f>
        <v>0.193486847370753</v>
      </c>
      <c r="AA52" s="102" t="n">
        <f aca="false">AA51/AA50</f>
        <v>0.183812505002215</v>
      </c>
      <c r="AB52" s="102" t="n">
        <f aca="false">AB51/AB50</f>
        <v>0.199291452791875</v>
      </c>
      <c r="AC52" s="102" t="n">
        <f aca="false">AC51/AC50</f>
        <v>0.193486847370753</v>
      </c>
      <c r="AD52" s="102" t="n">
        <f aca="false">AD51/AD50</f>
        <v>0.193486847370753</v>
      </c>
      <c r="AE52" s="102" t="n">
        <f aca="false">AE51/AE50</f>
        <v>0.181305946341446</v>
      </c>
      <c r="AF52" s="102" t="n">
        <f aca="false">AF51/AF50</f>
        <v>0.200538418773713</v>
      </c>
    </row>
    <row r="53" customFormat="false" ht="15" hidden="false" customHeight="false" outlineLevel="0" collapsed="false">
      <c r="A53" s="24" t="s">
        <v>2647</v>
      </c>
      <c r="B53" s="22" t="s">
        <v>2648</v>
      </c>
      <c r="C53" s="24" t="s">
        <v>103</v>
      </c>
      <c r="D53" s="100" t="n">
        <f aca="false">D51/(Entrées!$C$151/100)-D50</f>
        <v>2129.12363826281</v>
      </c>
      <c r="E53" s="100" t="n">
        <f aca="false">E51/(Entrées!$C$151/100)-E50</f>
        <v>1985.79030492947</v>
      </c>
      <c r="F53" s="100" t="n">
        <f aca="false">F51/(Entrées!$C$151/100)-F50</f>
        <v>2272.45697159614</v>
      </c>
      <c r="G53" s="100" t="n">
        <f aca="false">G51/(Entrées!$C$151/100)-G50</f>
        <v>2129.12363826281</v>
      </c>
      <c r="H53" s="100" t="n">
        <f aca="false">H51/(Entrées!$C$151/100)-H50</f>
        <v>2129.12363826281</v>
      </c>
      <c r="I53" s="100" t="n">
        <f aca="false">I51/(Entrées!$C$151/100)-I50</f>
        <v>2088.77912313629</v>
      </c>
      <c r="J53" s="100" t="n">
        <f aca="false">J51/(Entrées!$C$151/100)-J50</f>
        <v>2169.46815338932</v>
      </c>
      <c r="K53" s="100" t="n">
        <f aca="false">K51/(Entrées!$C$151/100)-K50</f>
        <v>2129.12363826281</v>
      </c>
      <c r="L53" s="100" t="n">
        <f aca="false">L51/(Entrées!$C$151/100)-L50</f>
        <v>2129.12363826281</v>
      </c>
      <c r="M53" s="100" t="n">
        <f aca="false">M51/(Entrées!$C$151/100)-M50</f>
        <v>1803.32363826281</v>
      </c>
      <c r="N53" s="100" t="n">
        <f aca="false">N51/(Entrées!$C$151/100)-N50</f>
        <v>2292.02363826281</v>
      </c>
      <c r="O53" s="100" t="n">
        <f aca="false">O51/(Entrées!$C$151/100)-O50</f>
        <v>2129.12363826281</v>
      </c>
      <c r="P53" s="100" t="n">
        <f aca="false">P51/(Entrées!$C$151/100)-P50</f>
        <v>2129.12363826281</v>
      </c>
      <c r="Q53" s="100" t="n">
        <f aca="false">Q51/(Entrées!$C$151/100)-Q50</f>
        <v>2129.12363826281</v>
      </c>
      <c r="R53" s="100" t="n">
        <f aca="false">R51/(Entrées!$C$151/100)-R50</f>
        <v>2129.12363826281</v>
      </c>
      <c r="S53" s="100" t="n">
        <f aca="false">S51/(Entrées!$C$151/100)-S50</f>
        <v>1980.7784845985</v>
      </c>
      <c r="T53" s="100" t="n">
        <f aca="false">T51/(Entrées!$C$151/100)-T50</f>
        <v>2277.46879192711</v>
      </c>
      <c r="U53" s="100" t="n">
        <f aca="false">U51/(Entrées!$C$151/100)-U50</f>
        <v>2129.12363826281</v>
      </c>
      <c r="V53" s="100" t="n">
        <f aca="false">V51/(Entrées!$C$151/100)-V50</f>
        <v>2129.12363826281</v>
      </c>
      <c r="W53" s="100" t="n">
        <f aca="false">W51/(Entrées!$C$151/100)-W50</f>
        <v>2103.70992667888</v>
      </c>
      <c r="X53" s="100" t="n">
        <f aca="false">X51/(Entrées!$C$151/100)-X50</f>
        <v>2146.06611265209</v>
      </c>
      <c r="Y53" s="100" t="n">
        <f aca="false">Y51/(Entrées!$C$151/100)-Y50</f>
        <v>2129.12363826281</v>
      </c>
      <c r="Z53" s="100" t="n">
        <f aca="false">Z51/(Entrées!$C$151/100)-Z50</f>
        <v>2129.12363826281</v>
      </c>
      <c r="AA53" s="100" t="n">
        <f aca="false">AA51/(Entrées!$C$151/100)-AA50</f>
        <v>601.867456349664</v>
      </c>
      <c r="AB53" s="100" t="n">
        <f aca="false">AB51/(Entrées!$C$151/100)-AB50</f>
        <v>3045.47734741069</v>
      </c>
      <c r="AC53" s="100" t="n">
        <f aca="false">AC51/(Entrées!$C$151/100)-AC50</f>
        <v>2129.12363826281</v>
      </c>
      <c r="AD53" s="100" t="n">
        <f aca="false">AD51/(Entrées!$C$151/100)-AD50</f>
        <v>2129.12363826281</v>
      </c>
      <c r="AE53" s="100" t="n">
        <f aca="false">AE51/(Entrées!$C$151/100)-AE50</f>
        <v>206.715344284439</v>
      </c>
      <c r="AF53" s="100" t="n">
        <f aca="false">AF51/(Entrées!$C$151/100)-AF50</f>
        <v>3252.2700230501</v>
      </c>
    </row>
    <row r="54" customFormat="false" ht="15" hidden="false" customHeight="false" outlineLevel="0" collapsed="false">
      <c r="A54" s="24" t="s">
        <v>2649</v>
      </c>
      <c r="B54" s="5" t="s">
        <v>2650</v>
      </c>
      <c r="C54" s="24" t="s">
        <v>103</v>
      </c>
      <c r="D54" s="64" t="n">
        <f aca="false">D44+(Entrées!$C$244-Entrées!$C$13)</f>
        <v>28120.6168524571</v>
      </c>
      <c r="E54" s="64" t="n">
        <f aca="false">E44+(Entrées!$C$244-Entrées!$C$13)</f>
        <v>28126.8904593811</v>
      </c>
      <c r="F54" s="64" t="n">
        <f aca="false">F44+(Entrées!$C$244-Entrées!$C$13)</f>
        <v>28114.3432455331</v>
      </c>
      <c r="G54" s="64" t="n">
        <f aca="false">G44+(Entrées!$C$244-Entrées!$C$13)</f>
        <v>28139.8048163999</v>
      </c>
      <c r="H54" s="64" t="n">
        <f aca="false">H44+(Entrées!$C$244-Entrées!$C$13)</f>
        <v>28101.4288885142</v>
      </c>
      <c r="I54" s="64" t="n">
        <f aca="false">I44+(Entrées!$C$244-Entrées!$C$13)</f>
        <v>28123.6440294205</v>
      </c>
      <c r="J54" s="64" t="n">
        <f aca="false">J44+(Entrées!$C$244-Entrées!$C$13)</f>
        <v>28117.5896754936</v>
      </c>
      <c r="K54" s="64" t="n">
        <f aca="false">K44+(Entrées!$C$244-Entrées!$C$13)</f>
        <v>28124.920895533</v>
      </c>
      <c r="L54" s="64" t="n">
        <f aca="false">L44+(Entrées!$C$244-Entrées!$C$13)</f>
        <v>28116.3128093811</v>
      </c>
      <c r="M54" s="64" t="n">
        <f aca="false">M44+(Entrées!$C$244-Entrées!$C$13)</f>
        <v>28446.4168524571</v>
      </c>
      <c r="N54" s="64" t="n">
        <f aca="false">N44+(Entrées!$C$244-Entrées!$C$13)</f>
        <v>27957.7168524571</v>
      </c>
      <c r="O54" s="64" t="n">
        <f aca="false">O44+(Entrées!$C$244-Entrées!$C$13)</f>
        <v>28349.6548912429</v>
      </c>
      <c r="P54" s="64" t="n">
        <f aca="false">P44+(Entrées!$C$244-Entrées!$C$13)</f>
        <v>27950.5833658791</v>
      </c>
      <c r="Q54" s="64" t="n">
        <f aca="false">Q44+(Entrées!$C$244-Entrées!$C$13)</f>
        <v>28076.6568524571</v>
      </c>
      <c r="R54" s="64" t="n">
        <f aca="false">R44+(Entrées!$C$244-Entrées!$C$13)</f>
        <v>28164.5768524571</v>
      </c>
      <c r="S54" s="64" t="n">
        <f aca="false">S44+(Entrées!$C$244-Entrées!$C$13)</f>
        <v>28120.3848949559</v>
      </c>
      <c r="T54" s="64" t="n">
        <f aca="false">T44+(Entrées!$C$244-Entrées!$C$13)</f>
        <v>28120.8488099582</v>
      </c>
      <c r="U54" s="64" t="n">
        <f aca="false">U44+(Entrées!$C$244-Entrées!$C$13)</f>
        <v>28808.8081069445</v>
      </c>
      <c r="V54" s="64" t="n">
        <f aca="false">V44+(Entrées!$C$244-Entrées!$C$13)</f>
        <v>27432.4255979696</v>
      </c>
      <c r="W54" s="64" t="n">
        <f aca="false">W44+(Entrées!$C$244-Entrées!$C$13)</f>
        <v>28125.7357327663</v>
      </c>
      <c r="X54" s="64" t="n">
        <f aca="false">X44+(Entrées!$C$244-Entrées!$C$13)</f>
        <v>28117.2042655843</v>
      </c>
      <c r="Y54" s="64" t="n">
        <f aca="false">Y44+(Entrées!$C$244-Entrées!$C$13)</f>
        <v>27629.2238098277</v>
      </c>
      <c r="Z54" s="64" t="n">
        <f aca="false">Z44+(Entrées!$C$244-Entrées!$C$13)</f>
        <v>28612.0098950864</v>
      </c>
      <c r="AA54" s="64" t="n">
        <f aca="false">AA44+(Entrées!$C$244-Entrées!$C$13)</f>
        <v>28120.6168524571</v>
      </c>
      <c r="AB54" s="64" t="n">
        <f aca="false">AB44+(Entrées!$C$244-Entrées!$C$13)</f>
        <v>28120.6168524571</v>
      </c>
      <c r="AC54" s="64" t="n">
        <f aca="false">AC44+(Entrées!$C$244-Entrées!$C$13)</f>
        <v>28117.8254068234</v>
      </c>
      <c r="AD54" s="64" t="n">
        <f aca="false">AD44+(Entrées!$C$244-Entrées!$C$13)</f>
        <v>28121.5557932611</v>
      </c>
      <c r="AE54" s="64" t="n">
        <f aca="false">AE44+(Entrées!$C$244-Entrées!$C$13)</f>
        <v>29933.095252532</v>
      </c>
      <c r="AF54" s="64" t="n">
        <f aca="false">AF44+(Entrées!$C$244-Entrées!$C$13)</f>
        <v>26523.2851459462</v>
      </c>
    </row>
    <row r="55" customFormat="false" ht="15" hidden="false" customHeight="false" outlineLevel="0" collapsed="false">
      <c r="A55" s="24" t="s">
        <v>2651</v>
      </c>
      <c r="B55" s="5" t="s">
        <v>2652</v>
      </c>
      <c r="C55" s="24" t="s">
        <v>103</v>
      </c>
      <c r="D55" s="64" t="n">
        <f aca="false">D17*D41</f>
        <v>5841.72786064506</v>
      </c>
      <c r="E55" s="64" t="n">
        <f aca="false">E17*E41</f>
        <v>5814.50886064506</v>
      </c>
      <c r="F55" s="64" t="n">
        <f aca="false">F17*F41</f>
        <v>5868.94686064506</v>
      </c>
      <c r="G55" s="64" t="n">
        <f aca="false">G17*G41</f>
        <v>5758.47795403003</v>
      </c>
      <c r="H55" s="64" t="n">
        <f aca="false">H17*H41</f>
        <v>5924.9777672601</v>
      </c>
      <c r="I55" s="64" t="n">
        <f aca="false">I17*I41</f>
        <v>5828.59399192073</v>
      </c>
      <c r="J55" s="64" t="n">
        <f aca="false">J17*J41</f>
        <v>5854.86172936939</v>
      </c>
      <c r="K55" s="64" t="n">
        <f aca="false">K17*K41</f>
        <v>5823.05411364364</v>
      </c>
      <c r="L55" s="64" t="n">
        <f aca="false">L17*L41</f>
        <v>5860.40160764648</v>
      </c>
      <c r="M55" s="64" t="n">
        <f aca="false">M17*M41</f>
        <v>5841.72786064506</v>
      </c>
      <c r="N55" s="64" t="n">
        <f aca="false">N17*N41</f>
        <v>5841.72786064506</v>
      </c>
      <c r="O55" s="64" t="n">
        <f aca="false">O17*O41</f>
        <v>5841.72786064506</v>
      </c>
      <c r="P55" s="64" t="n">
        <f aca="false">P17*P41</f>
        <v>5841.72786064506</v>
      </c>
      <c r="Q55" s="64" t="n">
        <f aca="false">Q17*Q41</f>
        <v>5841.72786064506</v>
      </c>
      <c r="R55" s="64" t="n">
        <f aca="false">R17*R41</f>
        <v>5841.72786064506</v>
      </c>
      <c r="S55" s="64" t="n">
        <f aca="false">S17*S41</f>
        <v>5842.73424362378</v>
      </c>
      <c r="T55" s="64" t="n">
        <f aca="false">T17*T41</f>
        <v>5840.72147766634</v>
      </c>
      <c r="U55" s="64" t="n">
        <f aca="false">U17*U41</f>
        <v>5892.96190319825</v>
      </c>
      <c r="V55" s="64" t="n">
        <f aca="false">V17*V41</f>
        <v>5790.49381809187</v>
      </c>
      <c r="W55" s="64" t="n">
        <f aca="false">W17*W41</f>
        <v>5819.51881809187</v>
      </c>
      <c r="X55" s="64" t="n">
        <f aca="false">X17*X41</f>
        <v>5856.53388901385</v>
      </c>
      <c r="Y55" s="64" t="n">
        <f aca="false">Y17*Y41</f>
        <v>5804.38526403195</v>
      </c>
      <c r="Z55" s="64" t="n">
        <f aca="false">Z17*Z41</f>
        <v>5879.07045725817</v>
      </c>
      <c r="AA55" s="64" t="n">
        <f aca="false">AA17*AA41</f>
        <v>5549.64146761281</v>
      </c>
      <c r="AB55" s="64" t="n">
        <f aca="false">AB17*AB41</f>
        <v>6016.97969646441</v>
      </c>
      <c r="AC55" s="64" t="n">
        <f aca="false">AC17*AC41</f>
        <v>5853.83897306012</v>
      </c>
      <c r="AD55" s="64" t="n">
        <f aca="false">AD17*AD41</f>
        <v>5837.65412283272</v>
      </c>
      <c r="AE55" s="64" t="n">
        <f aca="false">AE17*AE41</f>
        <v>5481.69705926502</v>
      </c>
      <c r="AF55" s="64" t="n">
        <f aca="false">AF17*AF41</f>
        <v>6098.07342643746</v>
      </c>
    </row>
    <row r="56" customFormat="false" ht="15" hidden="false" customHeight="false" outlineLevel="0" collapsed="false">
      <c r="A56" s="24" t="s">
        <v>2653</v>
      </c>
      <c r="B56" s="22" t="s">
        <v>2654</v>
      </c>
      <c r="C56" s="24" t="s">
        <v>299</v>
      </c>
      <c r="D56" s="102" t="n">
        <f aca="false">D55/D54</f>
        <v>0.207738254508974</v>
      </c>
      <c r="E56" s="102" t="n">
        <f aca="false">E55/E54</f>
        <v>0.206724197580318</v>
      </c>
      <c r="F56" s="102" t="n">
        <f aca="false">F55/F54</f>
        <v>0.20875276400339</v>
      </c>
      <c r="G56" s="102" t="n">
        <f aca="false">G55/G54</f>
        <v>0.204638162617033</v>
      </c>
      <c r="H56" s="102" t="n">
        <f aca="false">H55/H54</f>
        <v>0.210842579954423</v>
      </c>
      <c r="I56" s="102" t="n">
        <f aca="false">I55/I54</f>
        <v>0.207248889433509</v>
      </c>
      <c r="J56" s="102" t="n">
        <f aca="false">J55/J54</f>
        <v>0.208227724955823</v>
      </c>
      <c r="K56" s="102" t="n">
        <f aca="false">K55/K54</f>
        <v>0.207042506369093</v>
      </c>
      <c r="L56" s="102" t="n">
        <f aca="false">L55/L54</f>
        <v>0.208434215659001</v>
      </c>
      <c r="M56" s="102" t="n">
        <f aca="false">M55/M54</f>
        <v>0.205359005000325</v>
      </c>
      <c r="N56" s="102" t="n">
        <f aca="false">N55/N54</f>
        <v>0.208948673866109</v>
      </c>
      <c r="O56" s="102" t="n">
        <f aca="false">O55/O54</f>
        <v>0.206059928526663</v>
      </c>
      <c r="P56" s="102" t="n">
        <f aca="false">P55/P54</f>
        <v>0.209002001288331</v>
      </c>
      <c r="Q56" s="102" t="n">
        <f aca="false">Q55/Q54</f>
        <v>0.208063513093577</v>
      </c>
      <c r="R56" s="102" t="n">
        <f aca="false">R55/R54</f>
        <v>0.207414011268393</v>
      </c>
      <c r="S56" s="102" t="n">
        <f aca="false">S55/S54</f>
        <v>0.20777575646455</v>
      </c>
      <c r="T56" s="102" t="n">
        <f aca="false">T55/T54</f>
        <v>0.207700753172074</v>
      </c>
      <c r="U56" s="102" t="n">
        <f aca="false">U55/U54</f>
        <v>0.204554172505933</v>
      </c>
      <c r="V56" s="102" t="n">
        <f aca="false">V55/V54</f>
        <v>0.211082093248089</v>
      </c>
      <c r="W56" s="102" t="n">
        <f aca="false">W55/W54</f>
        <v>0.20691081198321</v>
      </c>
      <c r="X56" s="102" t="n">
        <f aca="false">X55/X54</f>
        <v>0.208290050237403</v>
      </c>
      <c r="Y56" s="102" t="n">
        <f aca="false">Y55/Y54</f>
        <v>0.210081372679291</v>
      </c>
      <c r="Z56" s="102" t="n">
        <f aca="false">Z55/Z54</f>
        <v>0.205475619462434</v>
      </c>
      <c r="AA56" s="102" t="n">
        <f aca="false">AA55/AA54</f>
        <v>0.197351341783525</v>
      </c>
      <c r="AB56" s="102" t="n">
        <f aca="false">AB55/AB54</f>
        <v>0.213970402144243</v>
      </c>
      <c r="AC56" s="102" t="n">
        <f aca="false">AC55/AC54</f>
        <v>0.208189605290016</v>
      </c>
      <c r="AD56" s="102" t="n">
        <f aca="false">AD55/AD54</f>
        <v>0.207586456657978</v>
      </c>
      <c r="AE56" s="102" t="n">
        <f aca="false">AE55/AE54</f>
        <v>0.183131647863958</v>
      </c>
      <c r="AF56" s="102" t="n">
        <f aca="false">AF55/AF54</f>
        <v>0.229913956468152</v>
      </c>
    </row>
    <row r="57" customFormat="false" ht="15" hidden="false" customHeight="false" outlineLevel="0" collapsed="false">
      <c r="A57" s="24" t="s">
        <v>2655</v>
      </c>
      <c r="B57" s="22" t="s">
        <v>2656</v>
      </c>
      <c r="C57" s="24" t="s">
        <v>103</v>
      </c>
      <c r="D57" s="100" t="n">
        <f aca="false">D55/(Entrées!$C$151/100)-D54</f>
        <v>4333.42681779325</v>
      </c>
      <c r="E57" s="100" t="n">
        <f aca="false">E55/(Entrées!$C$151/100)-E54</f>
        <v>4175.93654420261</v>
      </c>
      <c r="F57" s="100" t="n">
        <f aca="false">F55/(Entrées!$C$151/100)-F54</f>
        <v>4490.9170913839</v>
      </c>
      <c r="G57" s="100" t="n">
        <f aca="false">G55/(Entrées!$C$151/100)-G54</f>
        <v>3851.73937265576</v>
      </c>
      <c r="H57" s="100" t="n">
        <f aca="false">H55/(Entrées!$C$151/100)-H54</f>
        <v>4815.11426293077</v>
      </c>
      <c r="I57" s="100" t="n">
        <f aca="false">I55/(Entrées!$C$151/100)-I54</f>
        <v>4257.43370347244</v>
      </c>
      <c r="J57" s="100" t="n">
        <f aca="false">J55/(Entrées!$C$151/100)-J54</f>
        <v>4409.41993211408</v>
      </c>
      <c r="K57" s="100" t="n">
        <f aca="false">K55/(Entrées!$C$151/100)-K54</f>
        <v>4225.37973582053</v>
      </c>
      <c r="L57" s="100" t="n">
        <f aca="false">L55/(Entrées!$C$151/100)-L54</f>
        <v>4441.47389976599</v>
      </c>
      <c r="M57" s="100" t="n">
        <f aca="false">M55/(Entrées!$C$151/100)-M54</f>
        <v>4007.62681779326</v>
      </c>
      <c r="N57" s="100" t="n">
        <f aca="false">N55/(Entrées!$C$151/100)-N54</f>
        <v>4496.32681779326</v>
      </c>
      <c r="O57" s="100" t="n">
        <f aca="false">O55/(Entrées!$C$151/100)-O54</f>
        <v>4104.38877900744</v>
      </c>
      <c r="P57" s="100" t="n">
        <f aca="false">P55/(Entrées!$C$151/100)-P54</f>
        <v>4503.46030437127</v>
      </c>
      <c r="Q57" s="100" t="n">
        <f aca="false">Q55/(Entrées!$C$151/100)-Q54</f>
        <v>4377.38681779326</v>
      </c>
      <c r="R57" s="100" t="n">
        <f aca="false">R55/(Entrées!$C$151/100)-R54</f>
        <v>4289.46681779325</v>
      </c>
      <c r="S57" s="100" t="n">
        <f aca="false">S55/(Entrées!$C$151/100)-S54</f>
        <v>4339.24979184286</v>
      </c>
      <c r="T57" s="100" t="n">
        <f aca="false">T55/(Entrées!$C$151/100)-T54</f>
        <v>4327.60384374366</v>
      </c>
      <c r="U57" s="100" t="n">
        <f aca="false">U55/(Entrées!$C$151/100)-U54</f>
        <v>3929.86913304573</v>
      </c>
      <c r="V57" s="100" t="n">
        <f aca="false">V55/(Entrées!$C$151/100)-V54</f>
        <v>4736.98450254079</v>
      </c>
      <c r="W57" s="100" t="n">
        <f aca="false">W55/(Entrées!$C$151/100)-W54</f>
        <v>4204.92436774408</v>
      </c>
      <c r="X57" s="100" t="n">
        <f aca="false">X55/(Entrées!$C$151/100)-X54</f>
        <v>4419.09511782605</v>
      </c>
      <c r="Y57" s="100" t="n">
        <f aca="false">Y55/(Entrées!$C$151/100)-Y54</f>
        <v>4617.36099034976</v>
      </c>
      <c r="Z57" s="100" t="n">
        <f aca="false">Z55/(Entrées!$C$151/100)-Z54</f>
        <v>4049.49264523675</v>
      </c>
      <c r="AA57" s="100" t="n">
        <f aca="false">AA55/(Entrées!$C$151/100)-AA54</f>
        <v>2710.72463428073</v>
      </c>
      <c r="AB57" s="100" t="n">
        <f aca="false">AB55/(Entrées!$C$151/100)-AB54</f>
        <v>5307.04812790077</v>
      </c>
      <c r="AC57" s="100" t="n">
        <f aca="false">AC55/(Entrées!$C$151/100)-AC54</f>
        <v>4403.50222128844</v>
      </c>
      <c r="AD57" s="100" t="n">
        <f aca="false">AD55/(Entrées!$C$151/100)-AD54</f>
        <v>4309.85600025396</v>
      </c>
      <c r="AE57" s="100" t="n">
        <f aca="false">AE55/(Entrées!$C$151/100)-AE54</f>
        <v>520.777298940298</v>
      </c>
      <c r="AF57" s="100" t="n">
        <f aca="false">AF55/(Entrées!$C$151/100)-AF54</f>
        <v>7354.90055648408</v>
      </c>
    </row>
    <row r="58" customFormat="false" ht="15" hidden="false" customHeight="false" outlineLevel="0" collapsed="false">
      <c r="A58" s="24" t="s">
        <v>2657</v>
      </c>
      <c r="B58" s="22" t="s">
        <v>2658</v>
      </c>
      <c r="C58" s="24" t="s">
        <v>103</v>
      </c>
      <c r="D58" s="100" t="n">
        <f aca="false">MIN(D46,D57)</f>
        <v>1570.67466937297</v>
      </c>
      <c r="E58" s="100" t="n">
        <f aca="false">MIN(E46,E57)</f>
        <v>1452.83481244899</v>
      </c>
      <c r="F58" s="100" t="n">
        <f aca="false">MIN(F46,F57)</f>
        <v>1688.51452629695</v>
      </c>
      <c r="G58" s="100" t="n">
        <f aca="false">MIN(G46,G57)</f>
        <v>1210.25889052545</v>
      </c>
      <c r="H58" s="100" t="n">
        <f aca="false">MIN(H46,H57)</f>
        <v>1931.09044822049</v>
      </c>
      <c r="I58" s="100" t="n">
        <f aca="false">MIN(I46,I57)</f>
        <v>1513.81390258016</v>
      </c>
      <c r="J58" s="100" t="n">
        <f aca="false">MIN(J46,J57)</f>
        <v>1627.53543616577</v>
      </c>
      <c r="K58" s="100" t="n">
        <f aca="false">MIN(K46,K57)</f>
        <v>1489.8299772505</v>
      </c>
      <c r="L58" s="100" t="n">
        <f aca="false">MIN(L46,L57)</f>
        <v>1651.51936149544</v>
      </c>
      <c r="M58" s="100" t="n">
        <f aca="false">MIN(M46,M57)</f>
        <v>1244.87466937297</v>
      </c>
      <c r="N58" s="100" t="n">
        <f aca="false">MIN(N46,N57)</f>
        <v>1733.57466937297</v>
      </c>
      <c r="O58" s="100" t="n">
        <f aca="false">MIN(O46,O57)</f>
        <v>1341.63663058715</v>
      </c>
      <c r="P58" s="100" t="n">
        <f aca="false">MIN(P46,P57)</f>
        <v>1740.70815595098</v>
      </c>
      <c r="Q58" s="100" t="n">
        <f aca="false">MIN(Q46,Q57)</f>
        <v>1614.63466937297</v>
      </c>
      <c r="R58" s="100" t="n">
        <f aca="false">MIN(R46,R57)</f>
        <v>1526.71466937297</v>
      </c>
      <c r="S58" s="100" t="n">
        <f aca="false">MIN(S46,S57)</f>
        <v>1575.03162687411</v>
      </c>
      <c r="T58" s="100" t="n">
        <f aca="false">MIN(T46,T57)</f>
        <v>1566.31771187183</v>
      </c>
      <c r="U58" s="100" t="n">
        <f aca="false">MIN(U46,U57)</f>
        <v>1092.48341488549</v>
      </c>
      <c r="V58" s="100" t="n">
        <f aca="false">MIN(V46,V57)</f>
        <v>2048.86592386045</v>
      </c>
      <c r="W58" s="100" t="n">
        <f aca="false">MIN(W46,W57)</f>
        <v>1474.52453906374</v>
      </c>
      <c r="X58" s="100" t="n">
        <f aca="false">MIN(X46,X57)</f>
        <v>1634.77475624579</v>
      </c>
      <c r="Y58" s="100" t="n">
        <f aca="false">MIN(Y46,Y57)</f>
        <v>1909.00648751253</v>
      </c>
      <c r="Z58" s="100" t="n">
        <f aca="false">MIN(Z46,Z57)</f>
        <v>1232.34285123341</v>
      </c>
      <c r="AA58" s="100" t="n">
        <f aca="false">MIN(AA46,AA57)</f>
        <v>1570.67466937297</v>
      </c>
      <c r="AB58" s="100" t="n">
        <f aca="false">MIN(AB46,AB57)</f>
        <v>1570.67466937297</v>
      </c>
      <c r="AC58" s="100" t="n">
        <f aca="false">MIN(AC46,AC57)</f>
        <v>1623.1075932196</v>
      </c>
      <c r="AD58" s="100" t="n">
        <f aca="false">MIN(AD46,AD57)</f>
        <v>1553.03814044274</v>
      </c>
      <c r="AE58" s="100" t="n">
        <f aca="false">MIN(AE46,AE57)</f>
        <v>-534.954329754553</v>
      </c>
      <c r="AF58" s="100" t="n">
        <f aca="false">MIN(AF46,AF57)</f>
        <v>3490.715111665</v>
      </c>
    </row>
    <row r="59" customFormat="false" ht="15" hidden="false" customHeight="false" outlineLevel="0" collapsed="false">
      <c r="A59" s="24" t="s">
        <v>2659</v>
      </c>
      <c r="B59" s="22" t="s">
        <v>2660</v>
      </c>
      <c r="C59" s="24"/>
      <c r="D59" s="103" t="str">
        <f aca="false">IF(D57&lt;D46,"agences : FFO / dette ≥ 18 %","Veolia : levier ≤ 3x")</f>
        <v>Veolia : levier ≤ 3x</v>
      </c>
      <c r="E59" s="103" t="str">
        <f aca="false">IF(E57&lt;E46,"agences : FFO / dette ≥ 18 %","Veolia : levier ≤ 3x")</f>
        <v>Veolia : levier ≤ 3x</v>
      </c>
      <c r="F59" s="103" t="str">
        <f aca="false">IF(F57&lt;F46,"agences : FFO / dette ≥ 18 %","Veolia : levier ≤ 3x")</f>
        <v>Veolia : levier ≤ 3x</v>
      </c>
      <c r="G59" s="103" t="str">
        <f aca="false">IF(G57&lt;G46,"agences : FFO / dette ≥ 18 %","Veolia : levier ≤ 3x")</f>
        <v>Veolia : levier ≤ 3x</v>
      </c>
      <c r="H59" s="103" t="str">
        <f aca="false">IF(H57&lt;H46,"agences : FFO / dette ≥ 18 %","Veolia : levier ≤ 3x")</f>
        <v>Veolia : levier ≤ 3x</v>
      </c>
      <c r="I59" s="103" t="str">
        <f aca="false">IF(I57&lt;I46,"agences : FFO / dette ≥ 18 %","Veolia : levier ≤ 3x")</f>
        <v>Veolia : levier ≤ 3x</v>
      </c>
      <c r="J59" s="103" t="str">
        <f aca="false">IF(J57&lt;J46,"agences : FFO / dette ≥ 18 %","Veolia : levier ≤ 3x")</f>
        <v>Veolia : levier ≤ 3x</v>
      </c>
      <c r="K59" s="103" t="str">
        <f aca="false">IF(K57&lt;K46,"agences : FFO / dette ≥ 18 %","Veolia : levier ≤ 3x")</f>
        <v>Veolia : levier ≤ 3x</v>
      </c>
      <c r="L59" s="103" t="str">
        <f aca="false">IF(L57&lt;L46,"agences : FFO / dette ≥ 18 %","Veolia : levier ≤ 3x")</f>
        <v>Veolia : levier ≤ 3x</v>
      </c>
      <c r="M59" s="103" t="str">
        <f aca="false">IF(M57&lt;M46,"agences : FFO / dette ≥ 18 %","Veolia : levier ≤ 3x")</f>
        <v>Veolia : levier ≤ 3x</v>
      </c>
      <c r="N59" s="103" t="str">
        <f aca="false">IF(N57&lt;N46,"agences : FFO / dette ≥ 18 %","Veolia : levier ≤ 3x")</f>
        <v>Veolia : levier ≤ 3x</v>
      </c>
      <c r="O59" s="103" t="str">
        <f aca="false">IF(O57&lt;O46,"agences : FFO / dette ≥ 18 %","Veolia : levier ≤ 3x")</f>
        <v>Veolia : levier ≤ 3x</v>
      </c>
      <c r="P59" s="103" t="str">
        <f aca="false">IF(P57&lt;P46,"agences : FFO / dette ≥ 18 %","Veolia : levier ≤ 3x")</f>
        <v>Veolia : levier ≤ 3x</v>
      </c>
      <c r="Q59" s="103" t="str">
        <f aca="false">IF(Q57&lt;Q46,"agences : FFO / dette ≥ 18 %","Veolia : levier ≤ 3x")</f>
        <v>Veolia : levier ≤ 3x</v>
      </c>
      <c r="R59" s="103" t="str">
        <f aca="false">IF(R57&lt;R46,"agences : FFO / dette ≥ 18 %","Veolia : levier ≤ 3x")</f>
        <v>Veolia : levier ≤ 3x</v>
      </c>
      <c r="S59" s="103" t="str">
        <f aca="false">IF(S57&lt;S46,"agences : FFO / dette ≥ 18 %","Veolia : levier ≤ 3x")</f>
        <v>Veolia : levier ≤ 3x</v>
      </c>
      <c r="T59" s="103" t="str">
        <f aca="false">IF(T57&lt;T46,"agences : FFO / dette ≥ 18 %","Veolia : levier ≤ 3x")</f>
        <v>Veolia : levier ≤ 3x</v>
      </c>
      <c r="U59" s="103" t="str">
        <f aca="false">IF(U57&lt;U46,"agences : FFO / dette ≥ 18 %","Veolia : levier ≤ 3x")</f>
        <v>Veolia : levier ≤ 3x</v>
      </c>
      <c r="V59" s="103" t="str">
        <f aca="false">IF(V57&lt;V46,"agences : FFO / dette ≥ 18 %","Veolia : levier ≤ 3x")</f>
        <v>Veolia : levier ≤ 3x</v>
      </c>
      <c r="W59" s="103" t="str">
        <f aca="false">IF(W57&lt;W46,"agences : FFO / dette ≥ 18 %","Veolia : levier ≤ 3x")</f>
        <v>Veolia : levier ≤ 3x</v>
      </c>
      <c r="X59" s="103" t="str">
        <f aca="false">IF(X57&lt;X46,"agences : FFO / dette ≥ 18 %","Veolia : levier ≤ 3x")</f>
        <v>Veolia : levier ≤ 3x</v>
      </c>
      <c r="Y59" s="103" t="str">
        <f aca="false">IF(Y57&lt;Y46,"agences : FFO / dette ≥ 18 %","Veolia : levier ≤ 3x")</f>
        <v>Veolia : levier ≤ 3x</v>
      </c>
      <c r="Z59" s="103" t="str">
        <f aca="false">IF(Z57&lt;Z46,"agences : FFO / dette ≥ 18 %","Veolia : levier ≤ 3x")</f>
        <v>Veolia : levier ≤ 3x</v>
      </c>
      <c r="AA59" s="103" t="str">
        <f aca="false">IF(AA57&lt;AA46,"agences : FFO / dette ≥ 18 %","Veolia : levier ≤ 3x")</f>
        <v>Veolia : levier ≤ 3x</v>
      </c>
      <c r="AB59" s="103" t="str">
        <f aca="false">IF(AB57&lt;AB46,"agences : FFO / dette ≥ 18 %","Veolia : levier ≤ 3x")</f>
        <v>Veolia : levier ≤ 3x</v>
      </c>
      <c r="AC59" s="103" t="str">
        <f aca="false">IF(AC57&lt;AC46,"agences : FFO / dette ≥ 18 %","Veolia : levier ≤ 3x")</f>
        <v>Veolia : levier ≤ 3x</v>
      </c>
      <c r="AD59" s="103" t="str">
        <f aca="false">IF(AD57&lt;AD46,"agences : FFO / dette ≥ 18 %","Veolia : levier ≤ 3x")</f>
        <v>Veolia : levier ≤ 3x</v>
      </c>
      <c r="AE59" s="103" t="str">
        <f aca="false">IF(AE57&lt;AE46,"agences : FFO / dette ≥ 18 %","Veolia : levier ≤ 3x")</f>
        <v>Veolia : levier ≤ 3x</v>
      </c>
      <c r="AF59" s="103" t="str">
        <f aca="false">IF(AF57&lt;AF46,"agences : FFO / dette ≥ 18 %","Veolia : levier ≤ 3x")</f>
        <v>Veolia : levier ≤ 3x</v>
      </c>
    </row>
    <row r="60" customFormat="false" ht="15" hidden="false" customHeight="false" outlineLevel="0" collapsed="false">
      <c r="A60" s="24" t="s">
        <v>2661</v>
      </c>
      <c r="B60" s="22" t="s">
        <v>2662</v>
      </c>
      <c r="C60" s="24" t="s">
        <v>103</v>
      </c>
      <c r="D60" s="100" t="n">
        <f aca="false">IF(D18&gt;D25,MAX(0,D58)/(1-D25/D18),0)</f>
        <v>2263.61937644927</v>
      </c>
      <c r="E60" s="100" t="n">
        <f aca="false">IF(E18&gt;E25,MAX(0,E58)/(1-E25/E18),0)</f>
        <v>2093.79134735295</v>
      </c>
      <c r="F60" s="100" t="n">
        <f aca="false">IF(F18&gt;F25,MAX(0,F58)/(1-F25/F18),0)</f>
        <v>2433.4474055456</v>
      </c>
      <c r="G60" s="100" t="n">
        <f aca="false">IF(G18&gt;G25,MAX(0,G58)/(1-G25/G18),0)</f>
        <v>1744.1966363455</v>
      </c>
      <c r="H60" s="100" t="n">
        <f aca="false">IF(H18&gt;H25,MAX(0,H58)/(1-H25/H18),0)</f>
        <v>2783.04211655306</v>
      </c>
      <c r="I60" s="100" t="n">
        <f aca="false">IF(I18&gt;I25,MAX(0,I58)/(1-I25/I18),0)</f>
        <v>2181.67297724788</v>
      </c>
      <c r="J60" s="100" t="n">
        <f aca="false">IF(J18&gt;J25,MAX(0,J58)/(1-J25/J18),0)</f>
        <v>2345.56577565067</v>
      </c>
      <c r="K60" s="100" t="n">
        <f aca="false">IF(K18&gt;K25,MAX(0,K58)/(1-K25/K18),0)</f>
        <v>2147.10790839042</v>
      </c>
      <c r="L60" s="100" t="n">
        <f aca="false">IF(L18&gt;L25,MAX(0,L58)/(1-L25/L18),0)</f>
        <v>2380.13084450814</v>
      </c>
      <c r="M60" s="100" t="n">
        <f aca="false">IF(M18&gt;M25,MAX(0,M58)/(1-M25/M18),0)</f>
        <v>1794.08408233163</v>
      </c>
      <c r="N60" s="100" t="n">
        <f aca="false">IF(N18&gt;N25,MAX(0,N58)/(1-N25/N18),0)</f>
        <v>2498.3870235081</v>
      </c>
      <c r="O60" s="100" t="n">
        <f aca="false">IF(O18&gt;O25,MAX(0,O58)/(1-O25/O18),0)</f>
        <v>1933.53514408148</v>
      </c>
      <c r="P60" s="100" t="n">
        <f aca="false">IF(P18&gt;P25,MAX(0,P58)/(1-P25/P18),0)</f>
        <v>2508.66763651759</v>
      </c>
      <c r="Q60" s="100" t="n">
        <f aca="false">IF(Q18&gt;Q25,MAX(0,Q58)/(1-Q25/Q18),0)</f>
        <v>2326.97349409634</v>
      </c>
      <c r="R60" s="100" t="n">
        <f aca="false">IF(R18&gt;R25,MAX(0,R58)/(1-R25/R18),0)</f>
        <v>2200.26525880222</v>
      </c>
      <c r="S60" s="100" t="n">
        <f aca="false">IF(S18&gt;S25,MAX(0,S58)/(1-S25/S18),0)</f>
        <v>2269.89852108327</v>
      </c>
      <c r="T60" s="100" t="n">
        <f aca="false">IF(T18&gt;T25,MAX(0,T58)/(1-T25/T18),0)</f>
        <v>2257.34023181529</v>
      </c>
      <c r="U60" s="100" t="n">
        <f aca="false">IF(U18&gt;U25,MAX(0,U58)/(1-U25/U18),0)</f>
        <v>1574.46139204086</v>
      </c>
      <c r="V60" s="100" t="n">
        <f aca="false">IF(V18&gt;V25,MAX(0,V58)/(1-V25/V18),0)</f>
        <v>2952.7773608577</v>
      </c>
      <c r="W60" s="100" t="n">
        <f aca="false">IF(W18&gt;W25,MAX(0,W58)/(1-W25/W18),0)</f>
        <v>2125.05007100363</v>
      </c>
      <c r="X60" s="100" t="n">
        <f aca="false">IF(X18&gt;X25,MAX(0,X58)/(1-X25/X18),0)</f>
        <v>2355.99891341305</v>
      </c>
      <c r="Y60" s="100" t="n">
        <f aca="false">IF(Y18&gt;Y25,MAX(0,Y58)/(1-Y25/Y18),0)</f>
        <v>2751.21523200335</v>
      </c>
      <c r="Z60" s="100" t="n">
        <f aca="false">IF(Z18&gt;Z25,MAX(0,Z58)/(1-Z25/Z18),0)</f>
        <v>1776.02352089521</v>
      </c>
      <c r="AA60" s="100" t="n">
        <f aca="false">IF(AA18&gt;AA25,MAX(0,AA58)/(1-AA25/AA18),0)</f>
        <v>2263.61937644927</v>
      </c>
      <c r="AB60" s="100" t="n">
        <f aca="false">IF(AB18&gt;AB25,MAX(0,AB58)/(1-AB25/AB18),0)</f>
        <v>2263.61937644927</v>
      </c>
      <c r="AC60" s="100" t="n">
        <f aca="false">IF(AC18&gt;AC25,MAX(0,AC58)/(1-AC25/AC18),0)</f>
        <v>2729.77186132387</v>
      </c>
      <c r="AD60" s="100" t="n">
        <f aca="false">IF(AD18&gt;AD25,MAX(0,AD58)/(1-AD25/AD18),0)</f>
        <v>2135.42744310877</v>
      </c>
      <c r="AE60" s="100" t="n">
        <f aca="false">IF(AE18&gt;AE25,MAX(0,AE58)/(1-AE25/AE18),0)</f>
        <v>0</v>
      </c>
      <c r="AF60" s="100" t="n">
        <f aca="false">IF(AF18&gt;AF25,MAX(0,AF58)/(1-AF25/AF18),0)</f>
        <v>5870.74814234568</v>
      </c>
    </row>
    <row r="61" customFormat="false" ht="15" hidden="false" customHeight="false" outlineLevel="0" collapsed="false">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customFormat="false" ht="15" hidden="false" customHeight="false" outlineLevel="0" collapsed="false">
      <c r="A62" s="2"/>
      <c r="B62" s="22" t="s">
        <v>2663</v>
      </c>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row>
    <row r="63" customFormat="false" ht="23.85" hidden="false" customHeight="false" outlineLevel="0" collapsed="false">
      <c r="A63" s="21"/>
      <c r="B63" s="21" t="s">
        <v>2387</v>
      </c>
      <c r="C63" s="21" t="s">
        <v>2568</v>
      </c>
      <c r="D63" s="21" t="s">
        <v>2595</v>
      </c>
      <c r="E63" s="21" t="s">
        <v>2596</v>
      </c>
      <c r="F63" s="2"/>
      <c r="G63" s="2"/>
      <c r="H63" s="2"/>
      <c r="I63" s="2"/>
      <c r="J63" s="2"/>
      <c r="K63" s="2"/>
      <c r="L63" s="2"/>
      <c r="M63" s="2"/>
      <c r="N63" s="2"/>
      <c r="O63" s="2"/>
      <c r="P63" s="2"/>
      <c r="Q63" s="2"/>
      <c r="R63" s="2"/>
      <c r="S63" s="2"/>
      <c r="T63" s="2"/>
      <c r="U63" s="2"/>
      <c r="V63" s="2"/>
      <c r="W63" s="2"/>
      <c r="X63" s="2"/>
      <c r="Y63" s="2"/>
      <c r="Z63" s="2"/>
      <c r="AA63" s="2"/>
      <c r="AB63" s="2"/>
      <c r="AC63" s="2"/>
      <c r="AD63" s="2"/>
      <c r="AE63" s="2"/>
      <c r="AF63" s="2"/>
    </row>
    <row r="64" customFormat="false" ht="15" hidden="false" customHeight="false" outlineLevel="0" collapsed="false">
      <c r="A64" s="2"/>
      <c r="B64" s="25" t="s">
        <v>225</v>
      </c>
      <c r="C64" s="63" t="n">
        <f aca="false">Entrées!$C$25</f>
        <v>2.63</v>
      </c>
      <c r="D64" s="63" t="n">
        <f aca="false">Entrées!$C$25</f>
        <v>2.63</v>
      </c>
      <c r="E64" s="63" t="n">
        <f aca="false">Entrées!$C$25</f>
        <v>2.63</v>
      </c>
      <c r="F64" s="2"/>
      <c r="G64" s="2"/>
      <c r="H64" s="2"/>
      <c r="I64" s="2"/>
      <c r="J64" s="2"/>
      <c r="K64" s="2"/>
      <c r="L64" s="2"/>
      <c r="M64" s="2"/>
      <c r="N64" s="2"/>
      <c r="O64" s="2"/>
      <c r="P64" s="2"/>
      <c r="Q64" s="2"/>
      <c r="R64" s="2"/>
      <c r="S64" s="2"/>
      <c r="T64" s="2"/>
      <c r="U64" s="2"/>
      <c r="V64" s="2"/>
      <c r="W64" s="2"/>
      <c r="X64" s="2"/>
      <c r="Y64" s="2"/>
      <c r="Z64" s="2"/>
      <c r="AA64" s="2"/>
      <c r="AB64" s="2"/>
      <c r="AC64" s="2"/>
      <c r="AD64" s="2"/>
      <c r="AE64" s="2"/>
      <c r="AF64" s="2"/>
    </row>
    <row r="65" customFormat="false" ht="15" hidden="false" customHeight="false" outlineLevel="0" collapsed="false">
      <c r="A65" s="2"/>
      <c r="B65" s="25" t="s">
        <v>170</v>
      </c>
      <c r="C65" s="63" t="n">
        <f aca="false">Entrées!$C$21</f>
        <v>2.79</v>
      </c>
      <c r="D65" s="63" t="n">
        <f aca="false">Entrées!$C$21</f>
        <v>2.79</v>
      </c>
      <c r="E65" s="63" t="n">
        <f aca="false">Entrées!$C$21</f>
        <v>2.79</v>
      </c>
      <c r="F65" s="2"/>
      <c r="G65" s="2"/>
      <c r="H65" s="2"/>
      <c r="I65" s="2"/>
      <c r="J65" s="2"/>
      <c r="K65" s="2"/>
      <c r="L65" s="2"/>
      <c r="M65" s="2"/>
      <c r="N65" s="2"/>
      <c r="O65" s="2"/>
      <c r="P65" s="2"/>
      <c r="Q65" s="2"/>
      <c r="R65" s="2"/>
      <c r="S65" s="2"/>
      <c r="T65" s="2"/>
      <c r="U65" s="2"/>
      <c r="V65" s="2"/>
      <c r="W65" s="2"/>
      <c r="X65" s="2"/>
      <c r="Y65" s="2"/>
      <c r="Z65" s="2"/>
      <c r="AA65" s="2"/>
      <c r="AB65" s="2"/>
      <c r="AC65" s="2"/>
      <c r="AD65" s="2"/>
      <c r="AE65" s="2"/>
      <c r="AF65" s="2"/>
    </row>
    <row r="66" customFormat="false" ht="15" hidden="false" customHeight="false" outlineLevel="0" collapsed="false">
      <c r="A66" s="2"/>
      <c r="B66" s="25" t="s">
        <v>191</v>
      </c>
      <c r="C66" s="75" t="n">
        <f aca="false">$D$33</f>
        <v>3.01771731406222</v>
      </c>
      <c r="D66" s="75" t="n">
        <f aca="false">$AE$33</f>
        <v>3.06150079910223</v>
      </c>
      <c r="E66" s="75" t="n">
        <f aca="false">$AF$33</f>
        <v>3.00127617147117</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row>
    <row r="67" customFormat="false" ht="15" hidden="false" customHeight="false" outlineLevel="0" collapsed="false">
      <c r="A67" s="2"/>
      <c r="B67" s="25" t="s">
        <v>156</v>
      </c>
      <c r="C67" s="75" t="n">
        <f aca="false">$D$45</f>
        <v>2.80320887741352</v>
      </c>
      <c r="D67" s="75" t="n">
        <f aca="false">$AE$45</f>
        <v>3.06785562669064</v>
      </c>
      <c r="E67" s="75" t="n">
        <f aca="false">$AF$45</f>
        <v>2.56846148169012</v>
      </c>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customHeight="true" zeroHeight="false" outlineLevelRow="0" outlineLevelCol="0"/>
  <cols>
    <col collapsed="false" customWidth="true" hidden="false" outlineLevel="0" max="1" min="1" style="0" width="7"/>
    <col collapsed="false" customWidth="true" hidden="false" outlineLevel="0" max="2" min="2" style="0" width="50"/>
    <col collapsed="false" customWidth="true" hidden="false" outlineLevel="0" max="6" min="3" style="0" width="12"/>
    <col collapsed="false" customWidth="true" hidden="false" outlineLevel="0" max="8" min="7" style="0" width="10"/>
    <col collapsed="false" customWidth="true" hidden="false" outlineLevel="0" max="11" min="9" style="0" width="11"/>
    <col collapsed="false" customWidth="true" hidden="true" outlineLevel="0" max="12" min="12" style="0" width="11"/>
    <col collapsed="false" customWidth="true" hidden="false" outlineLevel="0" max="14" min="13" style="0" width="13"/>
    <col collapsed="false" customWidth="true" hidden="false" outlineLevel="0" max="15" min="15" style="0" width="12"/>
  </cols>
  <sheetData>
    <row r="1" customFormat="false" ht="17.35" hidden="false" customHeight="false" outlineLevel="0" collapsed="false">
      <c r="A1" s="1" t="s">
        <v>2664</v>
      </c>
      <c r="B1" s="2"/>
      <c r="C1" s="2"/>
      <c r="D1" s="2"/>
      <c r="E1" s="2"/>
      <c r="F1" s="2"/>
      <c r="G1" s="2"/>
      <c r="H1" s="2"/>
      <c r="I1" s="2"/>
      <c r="J1" s="2"/>
      <c r="K1" s="2"/>
      <c r="L1" s="2"/>
      <c r="M1" s="2"/>
      <c r="N1" s="2"/>
      <c r="O1" s="2"/>
    </row>
    <row r="2" customFormat="false" ht="15" hidden="false" customHeight="false" outlineLevel="0" collapsed="false">
      <c r="A2" s="3" t="s">
        <v>2665</v>
      </c>
      <c r="B2" s="2"/>
      <c r="C2" s="2"/>
      <c r="D2" s="2"/>
      <c r="E2" s="2"/>
      <c r="F2" s="2"/>
      <c r="G2" s="2"/>
      <c r="H2" s="2"/>
      <c r="I2" s="2"/>
      <c r="J2" s="2"/>
      <c r="K2" s="2"/>
      <c r="L2" s="2"/>
      <c r="M2" s="2"/>
      <c r="N2" s="2"/>
      <c r="O2" s="2"/>
    </row>
    <row r="3" customFormat="false" ht="15" hidden="false" customHeight="false" outlineLevel="0" collapsed="false">
      <c r="A3" s="2"/>
      <c r="B3" s="2"/>
      <c r="C3" s="2"/>
      <c r="D3" s="2"/>
      <c r="E3" s="2"/>
      <c r="F3" s="2"/>
      <c r="G3" s="2"/>
      <c r="H3" s="2"/>
      <c r="I3" s="2"/>
      <c r="J3" s="2"/>
      <c r="K3" s="2"/>
      <c r="L3" s="2"/>
      <c r="M3" s="2"/>
      <c r="N3" s="2"/>
      <c r="O3" s="2"/>
    </row>
    <row r="4" customFormat="false" ht="23.85" hidden="false" customHeight="false" outlineLevel="0" collapsed="false">
      <c r="A4" s="21" t="s">
        <v>2042</v>
      </c>
      <c r="B4" s="21" t="s">
        <v>2043</v>
      </c>
      <c r="C4" s="21" t="s">
        <v>2666</v>
      </c>
      <c r="D4" s="21" t="s">
        <v>2667</v>
      </c>
      <c r="E4" s="21" t="s">
        <v>2668</v>
      </c>
      <c r="F4" s="21" t="s">
        <v>2669</v>
      </c>
      <c r="G4" s="21" t="s">
        <v>2670</v>
      </c>
      <c r="H4" s="21" t="s">
        <v>2671</v>
      </c>
      <c r="I4" s="21" t="s">
        <v>2672</v>
      </c>
      <c r="J4" s="21" t="s">
        <v>2673</v>
      </c>
      <c r="K4" s="21" t="s">
        <v>2674</v>
      </c>
      <c r="L4" s="21" t="s">
        <v>2675</v>
      </c>
      <c r="M4" s="21" t="s">
        <v>2676</v>
      </c>
      <c r="N4" s="21" t="s">
        <v>2677</v>
      </c>
      <c r="O4" s="21" t="s">
        <v>2678</v>
      </c>
    </row>
    <row r="5" customFormat="false" ht="15" hidden="false" customHeight="false" outlineLevel="0" collapsed="false">
      <c r="A5" s="24" t="s">
        <v>2050</v>
      </c>
      <c r="B5" s="104" t="str">
        <f aca="false">Hypothèses!$B$5</f>
        <v>Croissance organique de l'EBITDA en 2026</v>
      </c>
      <c r="C5" s="72" t="n">
        <f aca="false">Hypothèses!$D$5</f>
        <v>0.05</v>
      </c>
      <c r="D5" s="72" t="n">
        <f aca="false">Hypothèses!$E$5</f>
        <v>0.06</v>
      </c>
      <c r="E5" s="61" t="n">
        <f aca="false">Trajectoire!$E$46</f>
        <v>1452.83481244899</v>
      </c>
      <c r="F5" s="61" t="n">
        <f aca="false">Trajectoire!$F$46</f>
        <v>1688.51452629695</v>
      </c>
      <c r="G5" s="64" t="n">
        <f aca="false">E5-Trajectoire!$D$46</f>
        <v>-117.83985692398</v>
      </c>
      <c r="H5" s="64" t="n">
        <f aca="false">F5-Trajectoire!$D$46</f>
        <v>117.839856923983</v>
      </c>
      <c r="I5" s="45" t="n">
        <f aca="false">ABS(F5-E5)</f>
        <v>235.679713847963</v>
      </c>
      <c r="J5" s="63" t="n">
        <f aca="false">Trajectoire!$E$33</f>
        <v>3.03194474860946</v>
      </c>
      <c r="K5" s="63" t="n">
        <f aca="false">Trajectoire!$F$33</f>
        <v>3.00362278066543</v>
      </c>
      <c r="L5" s="105" t="n">
        <f aca="false">I5+ROW()/1000000</f>
        <v>235.679718847963</v>
      </c>
      <c r="M5" s="61" t="n">
        <f aca="false">Trajectoire!$E$57</f>
        <v>4175.93654420261</v>
      </c>
      <c r="N5" s="61" t="n">
        <f aca="false">Trajectoire!$F$57</f>
        <v>4490.9170913839</v>
      </c>
      <c r="O5" s="45" t="n">
        <f aca="false">ABS(N5-M5)</f>
        <v>314.980547181294</v>
      </c>
    </row>
    <row r="6" customFormat="false" ht="15" hidden="false" customHeight="false" outlineLevel="0" collapsed="false">
      <c r="A6" s="24" t="s">
        <v>2054</v>
      </c>
      <c r="B6" s="104" t="str">
        <f aca="false">Hypothèses!$B$6</f>
        <v>Croissance organique de l'EBITDA en 2027</v>
      </c>
      <c r="C6" s="72" t="n">
        <f aca="false">Hypothèses!$D$6</f>
        <v>0.04</v>
      </c>
      <c r="D6" s="72" t="n">
        <f aca="false">Hypothèses!$E$6</f>
        <v>0.07</v>
      </c>
      <c r="E6" s="61" t="n">
        <f aca="false">Trajectoire!$G$46</f>
        <v>1210.25889052545</v>
      </c>
      <c r="F6" s="61" t="n">
        <f aca="false">Trajectoire!$H$46</f>
        <v>1931.09044822049</v>
      </c>
      <c r="G6" s="64" t="n">
        <f aca="false">E6-Trajectoire!$D$46</f>
        <v>-360.415778847513</v>
      </c>
      <c r="H6" s="64" t="n">
        <f aca="false">F6-Trajectoire!$D$46</f>
        <v>360.415778847528</v>
      </c>
      <c r="I6" s="45" t="n">
        <f aca="false">ABS(F6-E6)</f>
        <v>720.831557695041</v>
      </c>
      <c r="J6" s="63" t="n">
        <f aca="false">Trajectoire!$G$33</f>
        <v>3.01771731406222</v>
      </c>
      <c r="K6" s="63" t="n">
        <f aca="false">Trajectoire!$H$33</f>
        <v>3.01771731406222</v>
      </c>
      <c r="L6" s="105" t="n">
        <f aca="false">I6+ROW()/1000000</f>
        <v>720.831563695041</v>
      </c>
      <c r="M6" s="61" t="n">
        <f aca="false">Trajectoire!$G$57</f>
        <v>3851.73937265576</v>
      </c>
      <c r="N6" s="61" t="n">
        <f aca="false">Trajectoire!$H$57</f>
        <v>4815.11426293077</v>
      </c>
      <c r="O6" s="45" t="n">
        <f aca="false">ABS(N6-M6)</f>
        <v>963.374890275016</v>
      </c>
    </row>
    <row r="7" customFormat="false" ht="15" hidden="false" customHeight="false" outlineLevel="0" collapsed="false">
      <c r="A7" s="24" t="s">
        <v>2058</v>
      </c>
      <c r="B7" s="104" t="str">
        <f aca="false">Hypothèses!$B$7</f>
        <v>EBITDA de Clean Earth en année pleine</v>
      </c>
      <c r="C7" s="61" t="n">
        <f aca="false">Hypothèses!$D$7</f>
        <v>180</v>
      </c>
      <c r="D7" s="61" t="n">
        <f aca="false">Hypothèses!$E$7</f>
        <v>220</v>
      </c>
      <c r="E7" s="61" t="n">
        <f aca="false">Trajectoire!$I$46</f>
        <v>1513.81390258016</v>
      </c>
      <c r="F7" s="61" t="n">
        <f aca="false">Trajectoire!$J$46</f>
        <v>1627.53543616577</v>
      </c>
      <c r="G7" s="64" t="n">
        <f aca="false">E7-Trajectoire!$D$46</f>
        <v>-56.8607667928009</v>
      </c>
      <c r="H7" s="64" t="n">
        <f aca="false">F7-Trajectoire!$D$46</f>
        <v>56.8607667928081</v>
      </c>
      <c r="I7" s="45" t="n">
        <f aca="false">ABS(F7-E7)</f>
        <v>113.721533585609</v>
      </c>
      <c r="J7" s="63" t="n">
        <f aca="false">Trajectoire!$I$33</f>
        <v>3.02170843759514</v>
      </c>
      <c r="K7" s="63" t="n">
        <f aca="false">Trajectoire!$J$33</f>
        <v>3.01373671970891</v>
      </c>
      <c r="L7" s="105" t="n">
        <f aca="false">I7+ROW()/1000000</f>
        <v>113.721540585609</v>
      </c>
      <c r="M7" s="61" t="n">
        <f aca="false">Trajectoire!$I$57</f>
        <v>4257.43370347244</v>
      </c>
      <c r="N7" s="61" t="n">
        <f aca="false">Trajectoire!$J$57</f>
        <v>4409.41993211408</v>
      </c>
      <c r="O7" s="45" t="n">
        <f aca="false">ABS(N7-M7)</f>
        <v>151.986228641636</v>
      </c>
    </row>
    <row r="8" customFormat="false" ht="15" hidden="false" customHeight="false" outlineLevel="0" collapsed="false">
      <c r="A8" s="24" t="s">
        <v>2061</v>
      </c>
      <c r="B8" s="104" t="str">
        <f aca="false">Hypothèses!$B$8</f>
        <v>Part des synergies réalisée en 2027</v>
      </c>
      <c r="C8" s="72" t="n">
        <f aca="false">Hypothèses!$D$8</f>
        <v>0</v>
      </c>
      <c r="D8" s="72" t="n">
        <f aca="false">Hypothèses!$E$8</f>
        <v>0.5</v>
      </c>
      <c r="E8" s="61" t="n">
        <f aca="false">Trajectoire!$K$46</f>
        <v>1489.8299772505</v>
      </c>
      <c r="F8" s="61" t="n">
        <f aca="false">Trajectoire!$L$46</f>
        <v>1651.51936149544</v>
      </c>
      <c r="G8" s="64" t="n">
        <f aca="false">E8-Trajectoire!$D$46</f>
        <v>-80.8446921224677</v>
      </c>
      <c r="H8" s="64" t="n">
        <f aca="false">F8-Trajectoire!$D$46</f>
        <v>80.8446921224786</v>
      </c>
      <c r="I8" s="45" t="n">
        <f aca="false">ABS(F8-E8)</f>
        <v>161.689384244946</v>
      </c>
      <c r="J8" s="63" t="n">
        <f aca="false">Trajectoire!$K$33</f>
        <v>3.01771731406222</v>
      </c>
      <c r="K8" s="63" t="n">
        <f aca="false">Trajectoire!$L$33</f>
        <v>3.01771731406222</v>
      </c>
      <c r="L8" s="105" t="n">
        <f aca="false">I8+ROW()/1000000</f>
        <v>161.689392244946</v>
      </c>
      <c r="M8" s="61" t="n">
        <f aca="false">Trajectoire!$K$57</f>
        <v>4225.37973582053</v>
      </c>
      <c r="N8" s="61" t="n">
        <f aca="false">Trajectoire!$L$57</f>
        <v>4441.47389976599</v>
      </c>
      <c r="O8" s="45" t="n">
        <f aca="false">ABS(N8-M8)</f>
        <v>216.094163945454</v>
      </c>
    </row>
    <row r="9" customFormat="false" ht="15" hidden="false" customHeight="false" outlineLevel="0" collapsed="false">
      <c r="A9" s="24" t="s">
        <v>2064</v>
      </c>
      <c r="B9" s="104" t="str">
        <f aca="false">Hypothèses!$B$9</f>
        <v>Cash-flow libre net du S2 2026</v>
      </c>
      <c r="C9" s="61" t="n">
        <f aca="false">Hypothèses!$D$9</f>
        <v>1303.2</v>
      </c>
      <c r="D9" s="61" t="n">
        <f aca="false">Hypothèses!$E$9</f>
        <v>1791.9</v>
      </c>
      <c r="E9" s="61" t="n">
        <f aca="false">Trajectoire!$M$46</f>
        <v>1244.87466937297</v>
      </c>
      <c r="F9" s="61" t="n">
        <f aca="false">Trajectoire!$N$46</f>
        <v>1733.57466937297</v>
      </c>
      <c r="G9" s="64" t="n">
        <f aca="false">E9-Trajectoire!$D$46</f>
        <v>-325.799999999996</v>
      </c>
      <c r="H9" s="64" t="n">
        <f aca="false">F9-Trajectoire!$D$46</f>
        <v>162.900000000001</v>
      </c>
      <c r="I9" s="45" t="n">
        <f aca="false">ABS(F9-E9)</f>
        <v>488.699999999997</v>
      </c>
      <c r="J9" s="63" t="n">
        <f aca="false">Trajectoire!$M$33</f>
        <v>3.06108809799277</v>
      </c>
      <c r="K9" s="63" t="n">
        <f aca="false">Trajectoire!$N$33</f>
        <v>2.99603192209695</v>
      </c>
      <c r="L9" s="105" t="n">
        <f aca="false">I9+ROW()/1000000</f>
        <v>488.700008999997</v>
      </c>
      <c r="M9" s="61" t="n">
        <f aca="false">Trajectoire!$M$57</f>
        <v>4007.62681779326</v>
      </c>
      <c r="N9" s="61" t="n">
        <f aca="false">Trajectoire!$N$57</f>
        <v>4496.32681779326</v>
      </c>
      <c r="O9" s="45" t="n">
        <f aca="false">ABS(N9-M9)</f>
        <v>488.699999999997</v>
      </c>
    </row>
    <row r="10" customFormat="false" ht="15" hidden="false" customHeight="false" outlineLevel="0" collapsed="false">
      <c r="A10" s="24" t="s">
        <v>2068</v>
      </c>
      <c r="B10" s="104" t="str">
        <f aca="false">Hypothèses!$B$10</f>
        <v>Conversion cash-flow libre net / EBITDA en 2027</v>
      </c>
      <c r="C10" s="72" t="n">
        <f aca="false">Hypothèses!$D$10</f>
        <v>0.14</v>
      </c>
      <c r="D10" s="72" t="n">
        <f aca="false">Hypothèses!$E$10</f>
        <v>0.19</v>
      </c>
      <c r="E10" s="61" t="n">
        <f aca="false">Trajectoire!$O$46</f>
        <v>1341.63663058715</v>
      </c>
      <c r="F10" s="61" t="n">
        <f aca="false">Trajectoire!$P$46</f>
        <v>1740.70815595098</v>
      </c>
      <c r="G10" s="64" t="n">
        <f aca="false">E10-Trajectoire!$D$46</f>
        <v>-229.038038785817</v>
      </c>
      <c r="H10" s="64" t="n">
        <f aca="false">F10-Trajectoire!$D$46</f>
        <v>170.033486578017</v>
      </c>
      <c r="I10" s="45" t="n">
        <f aca="false">ABS(F10-E10)</f>
        <v>399.071525363834</v>
      </c>
      <c r="J10" s="63" t="n">
        <f aca="false">Trajectoire!$O$33</f>
        <v>3.01771731406222</v>
      </c>
      <c r="K10" s="63" t="n">
        <f aca="false">Trajectoire!$P$33</f>
        <v>3.01771731406222</v>
      </c>
      <c r="L10" s="105" t="n">
        <f aca="false">I10+ROW()/1000000</f>
        <v>399.071535363834</v>
      </c>
      <c r="M10" s="61" t="n">
        <f aca="false">Trajectoire!$O$57</f>
        <v>4104.38877900744</v>
      </c>
      <c r="N10" s="61" t="n">
        <f aca="false">Trajectoire!$P$57</f>
        <v>4503.46030437127</v>
      </c>
      <c r="O10" s="45" t="n">
        <f aca="false">ABS(N10-M10)</f>
        <v>399.071525363834</v>
      </c>
    </row>
    <row r="11" customFormat="false" ht="15" hidden="false" customHeight="false" outlineLevel="0" collapsed="false">
      <c r="A11" s="24" t="s">
        <v>2072</v>
      </c>
      <c r="B11" s="104" t="str">
        <f aca="false">Hypothèses!$B$11</f>
        <v>Croissance du dividende versé en 2027</v>
      </c>
      <c r="C11" s="72" t="n">
        <f aca="false">Hypothèses!$D$11</f>
        <v>0.04</v>
      </c>
      <c r="D11" s="72" t="n">
        <f aca="false">Hypothèses!$E$11</f>
        <v>0.12</v>
      </c>
      <c r="E11" s="61" t="n">
        <f aca="false">Trajectoire!$Q$46</f>
        <v>1614.63466937297</v>
      </c>
      <c r="F11" s="61" t="n">
        <f aca="false">Trajectoire!$R$46</f>
        <v>1526.71466937297</v>
      </c>
      <c r="G11" s="64" t="n">
        <f aca="false">E11-Trajectoire!$D$46</f>
        <v>43.9600000000028</v>
      </c>
      <c r="H11" s="64" t="n">
        <f aca="false">F11-Trajectoire!$D$46</f>
        <v>-43.9599999999991</v>
      </c>
      <c r="I11" s="45" t="n">
        <f aca="false">ABS(F11-E11)</f>
        <v>87.9200000000019</v>
      </c>
      <c r="J11" s="63" t="n">
        <f aca="false">Trajectoire!$Q$33</f>
        <v>3.01771731406222</v>
      </c>
      <c r="K11" s="63" t="n">
        <f aca="false">Trajectoire!$R$33</f>
        <v>3.01771731406222</v>
      </c>
      <c r="L11" s="105" t="n">
        <f aca="false">I11+ROW()/1000000</f>
        <v>87.9200110000019</v>
      </c>
      <c r="M11" s="61" t="n">
        <f aca="false">Trajectoire!$Q$57</f>
        <v>4377.38681779326</v>
      </c>
      <c r="N11" s="61" t="n">
        <f aca="false">Trajectoire!$R$57</f>
        <v>4289.46681779325</v>
      </c>
      <c r="O11" s="45" t="n">
        <f aca="false">ABS(N11-M11)</f>
        <v>87.9200000000019</v>
      </c>
    </row>
    <row r="12" customFormat="false" ht="15" hidden="false" customHeight="false" outlineLevel="0" collapsed="false">
      <c r="A12" s="24" t="s">
        <v>2075</v>
      </c>
      <c r="B12" s="104" t="str">
        <f aca="false">Hypothèses!$B$12</f>
        <v>Part des signatures 2026 encaissée avant le 31/12/2026</v>
      </c>
      <c r="C12" s="72" t="n">
        <f aca="false">Hypothèses!$D$12</f>
        <v>0</v>
      </c>
      <c r="D12" s="72" t="n">
        <f aca="false">Hypothèses!$E$12</f>
        <v>1</v>
      </c>
      <c r="E12" s="61" t="n">
        <f aca="false">Trajectoire!$S$46</f>
        <v>1575.03162687411</v>
      </c>
      <c r="F12" s="61" t="n">
        <f aca="false">Trajectoire!$T$46</f>
        <v>1566.31771187183</v>
      </c>
      <c r="G12" s="64" t="n">
        <f aca="false">E12-Trajectoire!$D$46</f>
        <v>4.35695750114246</v>
      </c>
      <c r="H12" s="64" t="n">
        <f aca="false">F12-Trajectoire!$D$46</f>
        <v>-4.35695750113518</v>
      </c>
      <c r="I12" s="45" t="n">
        <f aca="false">ABS(F12-E12)</f>
        <v>8.71391500227765</v>
      </c>
      <c r="J12" s="63" t="n">
        <f aca="false">Trajectoire!$S$33</f>
        <v>3.04087742773838</v>
      </c>
      <c r="K12" s="63" t="n">
        <f aca="false">Trajectoire!$T$33</f>
        <v>2.99440253090257</v>
      </c>
      <c r="L12" s="105" t="n">
        <f aca="false">I12+ROW()/1000000</f>
        <v>8.71392700227765</v>
      </c>
      <c r="M12" s="61" t="n">
        <f aca="false">Trajectoire!$S$57</f>
        <v>4339.24979184286</v>
      </c>
      <c r="N12" s="61" t="n">
        <f aca="false">Trajectoire!$T$57</f>
        <v>4327.60384374366</v>
      </c>
      <c r="O12" s="45" t="n">
        <f aca="false">ABS(N12-M12)</f>
        <v>11.6459480992016</v>
      </c>
    </row>
    <row r="13" customFormat="false" ht="15" hidden="false" customHeight="false" outlineLevel="0" collapsed="false">
      <c r="A13" s="24" t="s">
        <v>2078</v>
      </c>
      <c r="B13" s="104" t="str">
        <f aca="false">Hypothèses!$B$13</f>
        <v>Part du reste du programme encaissée en 2027</v>
      </c>
      <c r="C13" s="72" t="n">
        <f aca="false">Hypothèses!$D$13</f>
        <v>0</v>
      </c>
      <c r="D13" s="72" t="n">
        <f aca="false">Hypothèses!$E$13</f>
        <v>1</v>
      </c>
      <c r="E13" s="61" t="n">
        <f aca="false">Trajectoire!$U$46</f>
        <v>1092.48341488549</v>
      </c>
      <c r="F13" s="61" t="n">
        <f aca="false">Trajectoire!$V$46</f>
        <v>2048.86592386045</v>
      </c>
      <c r="G13" s="64" t="n">
        <f aca="false">E13-Trajectoire!$D$46</f>
        <v>-478.191254487472</v>
      </c>
      <c r="H13" s="64" t="n">
        <f aca="false">F13-Trajectoire!$D$46</f>
        <v>478.191254487479</v>
      </c>
      <c r="I13" s="45" t="n">
        <f aca="false">ABS(F13-E13)</f>
        <v>956.382508974952</v>
      </c>
      <c r="J13" s="63" t="n">
        <f aca="false">Trajectoire!$U$33</f>
        <v>3.01771731406222</v>
      </c>
      <c r="K13" s="63" t="n">
        <f aca="false">Trajectoire!$V$33</f>
        <v>3.01771731406222</v>
      </c>
      <c r="L13" s="105" t="n">
        <f aca="false">I13+ROW()/1000000</f>
        <v>956.382521974952</v>
      </c>
      <c r="M13" s="61" t="n">
        <f aca="false">Trajectoire!$U$57</f>
        <v>3929.86913304573</v>
      </c>
      <c r="N13" s="61" t="n">
        <f aca="false">Trajectoire!$V$57</f>
        <v>4736.98450254079</v>
      </c>
      <c r="O13" s="45" t="n">
        <f aca="false">ABS(N13-M13)</f>
        <v>807.115369495052</v>
      </c>
    </row>
    <row r="14" customFormat="false" ht="15" hidden="false" customHeight="false" outlineLevel="0" collapsed="false">
      <c r="A14" s="24" t="s">
        <v>2081</v>
      </c>
      <c r="B14" s="104" t="str">
        <f aca="false">Hypothèses!$B$14</f>
        <v>Multiple VE / EBITDA des actifs cédés</v>
      </c>
      <c r="C14" s="89" t="n">
        <f aca="false">Hypothèses!$D$14</f>
        <v>8</v>
      </c>
      <c r="D14" s="89" t="n">
        <f aca="false">Hypothèses!$E$14</f>
        <v>12</v>
      </c>
      <c r="E14" s="61" t="n">
        <f aca="false">Trajectoire!$W$46</f>
        <v>1474.52453906374</v>
      </c>
      <c r="F14" s="61" t="n">
        <f aca="false">Trajectoire!$X$46</f>
        <v>1634.77475624579</v>
      </c>
      <c r="G14" s="64" t="n">
        <f aca="false">E14-Trajectoire!$D$46</f>
        <v>-96.1501303092227</v>
      </c>
      <c r="H14" s="64" t="n">
        <f aca="false">F14-Trajectoire!$D$46</f>
        <v>64.1000868728224</v>
      </c>
      <c r="I14" s="45" t="n">
        <f aca="false">ABS(F14-E14)</f>
        <v>160.250217182045</v>
      </c>
      <c r="J14" s="63" t="n">
        <f aca="false">Trajectoire!$W$33</f>
        <v>3.02023016223954</v>
      </c>
      <c r="K14" s="63" t="n">
        <f aca="false">Trajectoire!$X$33</f>
        <v>3.01604440366019</v>
      </c>
      <c r="L14" s="105" t="n">
        <f aca="false">I14+ROW()/1000000</f>
        <v>160.250231182045</v>
      </c>
      <c r="M14" s="61" t="n">
        <f aca="false">Trajectoire!$W$57</f>
        <v>4204.92436774408</v>
      </c>
      <c r="N14" s="61" t="n">
        <f aca="false">Trajectoire!$X$57</f>
        <v>4419.09511782605</v>
      </c>
      <c r="O14" s="45" t="n">
        <f aca="false">ABS(N14-M14)</f>
        <v>214.170750081968</v>
      </c>
    </row>
    <row r="15" customFormat="false" ht="15" hidden="false" customHeight="false" outlineLevel="0" collapsed="false">
      <c r="A15" s="24" t="s">
        <v>2084</v>
      </c>
      <c r="B15" s="104" t="str">
        <f aca="false">Hypothèses!$B$15</f>
        <v>Tuck-ins payés en 2027</v>
      </c>
      <c r="C15" s="78" t="n">
        <f aca="false">Hypothèses!$D$15</f>
        <v>0</v>
      </c>
      <c r="D15" s="78" t="n">
        <f aca="false">Hypothèses!$E$15</f>
        <v>1</v>
      </c>
      <c r="E15" s="61" t="n">
        <f aca="false">Trajectoire!$Y$46</f>
        <v>1909.00648751253</v>
      </c>
      <c r="F15" s="61" t="n">
        <f aca="false">Trajectoire!$Z$46</f>
        <v>1232.34285123341</v>
      </c>
      <c r="G15" s="64" t="n">
        <f aca="false">E15-Trajectoire!$D$46</f>
        <v>338.331818139563</v>
      </c>
      <c r="H15" s="64" t="n">
        <f aca="false">F15-Trajectoire!$D$46</f>
        <v>-338.331818139555</v>
      </c>
      <c r="I15" s="45" t="n">
        <f aca="false">ABS(F15-E15)</f>
        <v>676.663636279118</v>
      </c>
      <c r="J15" s="63" t="n">
        <f aca="false">Trajectoire!$Y$33</f>
        <v>3.01771731406222</v>
      </c>
      <c r="K15" s="63" t="n">
        <f aca="false">Trajectoire!$Z$33</f>
        <v>3.01771731406222</v>
      </c>
      <c r="L15" s="105" t="n">
        <f aca="false">I15+ROW()/1000000</f>
        <v>676.663651279118</v>
      </c>
      <c r="M15" s="61" t="n">
        <f aca="false">Trajectoire!$Y$57</f>
        <v>4617.36099034976</v>
      </c>
      <c r="N15" s="61" t="n">
        <f aca="false">Trajectoire!$Z$57</f>
        <v>4049.49264523675</v>
      </c>
      <c r="O15" s="45" t="n">
        <f aca="false">ABS(N15-M15)</f>
        <v>567.868345113006</v>
      </c>
    </row>
    <row r="16" customFormat="false" ht="15" hidden="false" customHeight="false" outlineLevel="0" collapsed="false">
      <c r="A16" s="24" t="s">
        <v>2088</v>
      </c>
      <c r="B16" s="104" t="str">
        <f aca="false">Hypothèses!$B$16</f>
        <v>FFO (mesure des agences) en % de l'EBITDA</v>
      </c>
      <c r="C16" s="72" t="n">
        <f aca="false">Hypothèses!$D$16</f>
        <v>0.69531914893617</v>
      </c>
      <c r="D16" s="72" t="n">
        <f aca="false">Hypothèses!$E$16</f>
        <v>0.753872340425532</v>
      </c>
      <c r="E16" s="61" t="n">
        <f aca="false">Trajectoire!$AA$46</f>
        <v>1570.67466937297</v>
      </c>
      <c r="F16" s="61" t="n">
        <f aca="false">Trajectoire!$AB$46</f>
        <v>1570.67466937297</v>
      </c>
      <c r="G16" s="64" t="n">
        <f aca="false">E16-Trajectoire!$D$46</f>
        <v>0</v>
      </c>
      <c r="H16" s="64" t="n">
        <f aca="false">F16-Trajectoire!$D$46</f>
        <v>0</v>
      </c>
      <c r="I16" s="45" t="n">
        <f aca="false">ABS(F16-E16)</f>
        <v>0</v>
      </c>
      <c r="J16" s="63" t="n">
        <f aca="false">Trajectoire!$AA$33</f>
        <v>3.01771731406222</v>
      </c>
      <c r="K16" s="63" t="n">
        <f aca="false">Trajectoire!$AB$33</f>
        <v>3.01771731406222</v>
      </c>
      <c r="L16" s="105" t="n">
        <f aca="false">I16+ROW()/1000000</f>
        <v>1.6E-005</v>
      </c>
      <c r="M16" s="61" t="n">
        <f aca="false">Trajectoire!$AA$57</f>
        <v>2710.72463428073</v>
      </c>
      <c r="N16" s="61" t="n">
        <f aca="false">Trajectoire!$AB$57</f>
        <v>5307.04812790077</v>
      </c>
      <c r="O16" s="45" t="n">
        <f aca="false">ABS(N16-M16)</f>
        <v>2596.32349362003</v>
      </c>
    </row>
    <row r="17" customFormat="false" ht="15" hidden="false" customHeight="false" outlineLevel="0" collapsed="false">
      <c r="A17" s="24" t="s">
        <v>2102</v>
      </c>
      <c r="B17" s="104" t="str">
        <f aca="false">Hypothèses!$B$21</f>
        <v>Multiple VE / EBITDA des tuck-ins</v>
      </c>
      <c r="C17" s="89" t="n">
        <f aca="false">Hypothèses!$D$21</f>
        <v>7.4</v>
      </c>
      <c r="D17" s="89" t="n">
        <f aca="false">Hypothèses!$E$21</f>
        <v>11</v>
      </c>
      <c r="E17" s="61" t="n">
        <f aca="false">Trajectoire!$AC$46</f>
        <v>1623.1075932196</v>
      </c>
      <c r="F17" s="61" t="n">
        <f aca="false">Trajectoire!$AD$46</f>
        <v>1553.03814044274</v>
      </c>
      <c r="G17" s="64" t="n">
        <f aca="false">E17-Trajectoire!$D$46</f>
        <v>52.4329238466307</v>
      </c>
      <c r="H17" s="64" t="n">
        <f aca="false">F17-Trajectoire!$D$46</f>
        <v>-17.6365289302266</v>
      </c>
      <c r="I17" s="45" t="n">
        <f aca="false">ABS(F17-E17)</f>
        <v>70.0694527768574</v>
      </c>
      <c r="J17" s="63" t="n">
        <f aca="false">Trajectoire!$AC$33</f>
        <v>3.01771731406222</v>
      </c>
      <c r="K17" s="63" t="n">
        <f aca="false">Trajectoire!$AD$33</f>
        <v>3.01771731406222</v>
      </c>
      <c r="L17" s="105" t="n">
        <f aca="false">I17+ROW()/1000000</f>
        <v>70.0694697768574</v>
      </c>
      <c r="M17" s="61" t="n">
        <f aca="false">Trajectoire!$AC$57</f>
        <v>4403.50222128844</v>
      </c>
      <c r="N17" s="61" t="n">
        <f aca="false">Trajectoire!$AD$57</f>
        <v>4309.85600025396</v>
      </c>
      <c r="O17" s="45" t="n">
        <f aca="false">ABS(N17-M17)</f>
        <v>93.6462210344798</v>
      </c>
    </row>
    <row r="18" customFormat="false" ht="15" hidden="false" customHeight="false" outlineLevel="0" collapsed="false">
      <c r="A18" s="2"/>
      <c r="B18" s="2"/>
      <c r="C18" s="2"/>
      <c r="D18" s="2"/>
      <c r="E18" s="2"/>
      <c r="F18" s="2"/>
      <c r="G18" s="2"/>
      <c r="H18" s="2"/>
      <c r="I18" s="2"/>
      <c r="J18" s="2"/>
      <c r="K18" s="2"/>
      <c r="L18" s="2"/>
      <c r="M18" s="2"/>
      <c r="N18" s="2"/>
      <c r="O18" s="2"/>
    </row>
    <row r="19" customFormat="false" ht="15" hidden="false" customHeight="false" outlineLevel="0" collapsed="false">
      <c r="A19" s="2"/>
      <c r="B19" s="22" t="s">
        <v>2679</v>
      </c>
      <c r="C19" s="2"/>
      <c r="D19" s="2"/>
      <c r="E19" s="68" t="n">
        <f aca="false">Trajectoire!$D$46</f>
        <v>1570.67466937297</v>
      </c>
      <c r="F19" s="2"/>
      <c r="G19" s="2"/>
      <c r="H19" s="2"/>
      <c r="I19" s="2"/>
      <c r="J19" s="2"/>
      <c r="K19" s="2"/>
      <c r="L19" s="2"/>
      <c r="M19" s="68" t="n">
        <f aca="false">Trajectoire!$D$57</f>
        <v>4333.42681779325</v>
      </c>
      <c r="N19" s="2"/>
      <c r="O19" s="2"/>
    </row>
    <row r="20" customFormat="false" ht="15" hidden="false" customHeight="false" outlineLevel="0" collapsed="false">
      <c r="A20" s="2"/>
      <c r="B20" s="2"/>
      <c r="C20" s="2"/>
      <c r="D20" s="2"/>
      <c r="E20" s="2"/>
      <c r="F20" s="2"/>
      <c r="G20" s="2"/>
      <c r="H20" s="2"/>
      <c r="I20" s="2"/>
      <c r="J20" s="2"/>
      <c r="K20" s="2"/>
      <c r="L20" s="2"/>
      <c r="M20" s="2"/>
      <c r="N20" s="2"/>
      <c r="O20" s="2"/>
    </row>
    <row r="21" customFormat="false" ht="15" hidden="false" customHeight="false" outlineLevel="0" collapsed="false">
      <c r="A21" s="22" t="s">
        <v>2680</v>
      </c>
      <c r="B21" s="2"/>
      <c r="C21" s="2"/>
      <c r="D21" s="2"/>
      <c r="E21" s="2"/>
      <c r="F21" s="2"/>
      <c r="G21" s="2"/>
      <c r="H21" s="2"/>
      <c r="I21" s="2"/>
      <c r="J21" s="2"/>
      <c r="K21" s="2"/>
      <c r="L21" s="2"/>
      <c r="M21" s="2"/>
      <c r="N21" s="2"/>
      <c r="O21" s="2"/>
    </row>
    <row r="22" customFormat="false" ht="15" hidden="false" customHeight="false" outlineLevel="0" collapsed="false">
      <c r="A22" s="21" t="s">
        <v>2681</v>
      </c>
      <c r="B22" s="21" t="s">
        <v>2043</v>
      </c>
      <c r="C22" s="21" t="s">
        <v>2670</v>
      </c>
      <c r="D22" s="21" t="s">
        <v>2671</v>
      </c>
      <c r="E22" s="21" t="s">
        <v>2672</v>
      </c>
      <c r="F22" s="2"/>
      <c r="G22" s="2"/>
      <c r="H22" s="2"/>
      <c r="I22" s="2"/>
      <c r="J22" s="2"/>
      <c r="K22" s="2"/>
      <c r="L22" s="2"/>
      <c r="M22" s="2"/>
      <c r="N22" s="2"/>
      <c r="O22" s="2"/>
    </row>
    <row r="23" customFormat="false" ht="15" hidden="false" customHeight="false" outlineLevel="0" collapsed="false">
      <c r="A23" s="25" t="n">
        <v>1</v>
      </c>
      <c r="B23" s="5" t="str">
        <f aca="false">INDEX($B$5:$B$17,MATCH(LARGE($L$5:$L$17,A23),$L$5:$L$17,0))</f>
        <v>Part du reste du programme encaissée en 2027</v>
      </c>
      <c r="C23" s="64" t="n">
        <f aca="false">INDEX($G$5:$G$17,MATCH(LARGE($L$5:$L$17,A23),$L$5:$L$17,0))</f>
        <v>-478.191254487472</v>
      </c>
      <c r="D23" s="64" t="n">
        <f aca="false">INDEX($H$5:$H$17,MATCH(LARGE($L$5:$L$17,A23),$L$5:$L$17,0))</f>
        <v>478.191254487479</v>
      </c>
      <c r="E23" s="45" t="n">
        <f aca="false">INDEX($I$5:$I$17,MATCH(LARGE($L$5:$L$17,A23),$L$5:$L$17,0))</f>
        <v>956.382508974952</v>
      </c>
      <c r="F23" s="2"/>
      <c r="G23" s="2"/>
      <c r="H23" s="2"/>
      <c r="I23" s="2"/>
      <c r="J23" s="2"/>
      <c r="K23" s="2"/>
      <c r="L23" s="2"/>
      <c r="M23" s="2"/>
      <c r="N23" s="2"/>
      <c r="O23" s="2"/>
    </row>
    <row r="24" customFormat="false" ht="15" hidden="false" customHeight="false" outlineLevel="0" collapsed="false">
      <c r="A24" s="25" t="n">
        <v>2</v>
      </c>
      <c r="B24" s="5" t="str">
        <f aca="false">INDEX($B$5:$B$17,MATCH(LARGE($L$5:$L$17,A24),$L$5:$L$17,0))</f>
        <v>Croissance organique de l'EBITDA en 2027</v>
      </c>
      <c r="C24" s="64" t="n">
        <f aca="false">INDEX($G$5:$G$17,MATCH(LARGE($L$5:$L$17,A24),$L$5:$L$17,0))</f>
        <v>-360.415778847513</v>
      </c>
      <c r="D24" s="64" t="n">
        <f aca="false">INDEX($H$5:$H$17,MATCH(LARGE($L$5:$L$17,A24),$L$5:$L$17,0))</f>
        <v>360.415778847528</v>
      </c>
      <c r="E24" s="45" t="n">
        <f aca="false">INDEX($I$5:$I$17,MATCH(LARGE($L$5:$L$17,A24),$L$5:$L$17,0))</f>
        <v>720.831557695041</v>
      </c>
      <c r="F24" s="2"/>
      <c r="G24" s="2"/>
      <c r="H24" s="2"/>
      <c r="I24" s="2"/>
      <c r="J24" s="2"/>
      <c r="K24" s="2"/>
      <c r="L24" s="2"/>
      <c r="M24" s="2"/>
      <c r="N24" s="2"/>
      <c r="O24" s="2"/>
    </row>
    <row r="25" customFormat="false" ht="15" hidden="false" customHeight="false" outlineLevel="0" collapsed="false">
      <c r="A25" s="25" t="n">
        <v>3</v>
      </c>
      <c r="B25" s="5" t="str">
        <f aca="false">INDEX($B$5:$B$17,MATCH(LARGE($L$5:$L$17,A25),$L$5:$L$17,0))</f>
        <v>Tuck-ins payés en 2027</v>
      </c>
      <c r="C25" s="64" t="n">
        <f aca="false">INDEX($G$5:$G$17,MATCH(LARGE($L$5:$L$17,A25),$L$5:$L$17,0))</f>
        <v>338.331818139563</v>
      </c>
      <c r="D25" s="64" t="n">
        <f aca="false">INDEX($H$5:$H$17,MATCH(LARGE($L$5:$L$17,A25),$L$5:$L$17,0))</f>
        <v>-338.331818139555</v>
      </c>
      <c r="E25" s="45" t="n">
        <f aca="false">INDEX($I$5:$I$17,MATCH(LARGE($L$5:$L$17,A25),$L$5:$L$17,0))</f>
        <v>676.663636279118</v>
      </c>
      <c r="F25" s="2"/>
      <c r="G25" s="2"/>
      <c r="H25" s="2"/>
      <c r="I25" s="2"/>
      <c r="J25" s="2"/>
      <c r="K25" s="2"/>
      <c r="L25" s="2"/>
      <c r="M25" s="2"/>
      <c r="N25" s="2"/>
      <c r="O25" s="2"/>
    </row>
    <row r="26" customFormat="false" ht="15" hidden="false" customHeight="false" outlineLevel="0" collapsed="false">
      <c r="A26" s="25" t="n">
        <v>4</v>
      </c>
      <c r="B26" s="5" t="str">
        <f aca="false">INDEX($B$5:$B$17,MATCH(LARGE($L$5:$L$17,A26),$L$5:$L$17,0))</f>
        <v>Cash-flow libre net du S2 2026</v>
      </c>
      <c r="C26" s="64" t="n">
        <f aca="false">INDEX($G$5:$G$17,MATCH(LARGE($L$5:$L$17,A26),$L$5:$L$17,0))</f>
        <v>-325.799999999996</v>
      </c>
      <c r="D26" s="64" t="n">
        <f aca="false">INDEX($H$5:$H$17,MATCH(LARGE($L$5:$L$17,A26),$L$5:$L$17,0))</f>
        <v>162.900000000001</v>
      </c>
      <c r="E26" s="45" t="n">
        <f aca="false">INDEX($I$5:$I$17,MATCH(LARGE($L$5:$L$17,A26),$L$5:$L$17,0))</f>
        <v>488.699999999997</v>
      </c>
      <c r="F26" s="2"/>
      <c r="G26" s="2"/>
      <c r="H26" s="2"/>
      <c r="I26" s="2"/>
      <c r="J26" s="2"/>
      <c r="K26" s="2"/>
      <c r="L26" s="2"/>
      <c r="M26" s="2"/>
      <c r="N26" s="2"/>
      <c r="O26" s="2"/>
    </row>
    <row r="27" customFormat="false" ht="15" hidden="false" customHeight="false" outlineLevel="0" collapsed="false">
      <c r="A27" s="25" t="n">
        <v>5</v>
      </c>
      <c r="B27" s="5" t="str">
        <f aca="false">INDEX($B$5:$B$17,MATCH(LARGE($L$5:$L$17,A27),$L$5:$L$17,0))</f>
        <v>Conversion cash-flow libre net / EBITDA en 2027</v>
      </c>
      <c r="C27" s="64" t="n">
        <f aca="false">INDEX($G$5:$G$17,MATCH(LARGE($L$5:$L$17,A27),$L$5:$L$17,0))</f>
        <v>-229.038038785817</v>
      </c>
      <c r="D27" s="64" t="n">
        <f aca="false">INDEX($H$5:$H$17,MATCH(LARGE($L$5:$L$17,A27),$L$5:$L$17,0))</f>
        <v>170.033486578017</v>
      </c>
      <c r="E27" s="45" t="n">
        <f aca="false">INDEX($I$5:$I$17,MATCH(LARGE($L$5:$L$17,A27),$L$5:$L$17,0))</f>
        <v>399.071525363834</v>
      </c>
      <c r="F27" s="2"/>
      <c r="G27" s="2"/>
      <c r="H27" s="2"/>
      <c r="I27" s="2"/>
      <c r="J27" s="2"/>
      <c r="K27" s="2"/>
      <c r="L27" s="2"/>
      <c r="M27" s="2"/>
      <c r="N27" s="2"/>
      <c r="O27" s="2"/>
    </row>
    <row r="28" customFormat="false" ht="15" hidden="false" customHeight="false" outlineLevel="0" collapsed="false">
      <c r="A28" s="25" t="n">
        <v>6</v>
      </c>
      <c r="B28" s="5" t="str">
        <f aca="false">INDEX($B$5:$B$17,MATCH(LARGE($L$5:$L$17,A28),$L$5:$L$17,0))</f>
        <v>Croissance organique de l'EBITDA en 2026</v>
      </c>
      <c r="C28" s="64" t="n">
        <f aca="false">INDEX($G$5:$G$17,MATCH(LARGE($L$5:$L$17,A28),$L$5:$L$17,0))</f>
        <v>-117.83985692398</v>
      </c>
      <c r="D28" s="64" t="n">
        <f aca="false">INDEX($H$5:$H$17,MATCH(LARGE($L$5:$L$17,A28),$L$5:$L$17,0))</f>
        <v>117.839856923983</v>
      </c>
      <c r="E28" s="45" t="n">
        <f aca="false">INDEX($I$5:$I$17,MATCH(LARGE($L$5:$L$17,A28),$L$5:$L$17,0))</f>
        <v>235.679713847963</v>
      </c>
      <c r="F28" s="2"/>
      <c r="G28" s="2"/>
      <c r="H28" s="2"/>
      <c r="I28" s="2"/>
      <c r="J28" s="2"/>
      <c r="K28" s="2"/>
      <c r="L28" s="2"/>
      <c r="M28" s="2"/>
      <c r="N28" s="2"/>
      <c r="O28" s="2"/>
    </row>
    <row r="29" customFormat="false" ht="15" hidden="false" customHeight="false" outlineLevel="0" collapsed="false">
      <c r="A29" s="25" t="n">
        <v>7</v>
      </c>
      <c r="B29" s="5" t="str">
        <f aca="false">INDEX($B$5:$B$17,MATCH(LARGE($L$5:$L$17,A29),$L$5:$L$17,0))</f>
        <v>Part des synergies réalisée en 2027</v>
      </c>
      <c r="C29" s="64" t="n">
        <f aca="false">INDEX($G$5:$G$17,MATCH(LARGE($L$5:$L$17,A29),$L$5:$L$17,0))</f>
        <v>-80.8446921224677</v>
      </c>
      <c r="D29" s="64" t="n">
        <f aca="false">INDEX($H$5:$H$17,MATCH(LARGE($L$5:$L$17,A29),$L$5:$L$17,0))</f>
        <v>80.8446921224786</v>
      </c>
      <c r="E29" s="45" t="n">
        <f aca="false">INDEX($I$5:$I$17,MATCH(LARGE($L$5:$L$17,A29),$L$5:$L$17,0))</f>
        <v>161.689384244946</v>
      </c>
      <c r="F29" s="2"/>
      <c r="G29" s="2"/>
      <c r="H29" s="2"/>
      <c r="I29" s="2"/>
      <c r="J29" s="2"/>
      <c r="K29" s="2"/>
      <c r="L29" s="2"/>
      <c r="M29" s="2"/>
      <c r="N29" s="2"/>
      <c r="O29" s="2"/>
    </row>
    <row r="30" customFormat="false" ht="15" hidden="false" customHeight="false" outlineLevel="0" collapsed="false">
      <c r="A30" s="25" t="n">
        <v>8</v>
      </c>
      <c r="B30" s="5" t="str">
        <f aca="false">INDEX($B$5:$B$17,MATCH(LARGE($L$5:$L$17,A30),$L$5:$L$17,0))</f>
        <v>Multiple VE / EBITDA des actifs cédés</v>
      </c>
      <c r="C30" s="64" t="n">
        <f aca="false">INDEX($G$5:$G$17,MATCH(LARGE($L$5:$L$17,A30),$L$5:$L$17,0))</f>
        <v>-96.1501303092227</v>
      </c>
      <c r="D30" s="64" t="n">
        <f aca="false">INDEX($H$5:$H$17,MATCH(LARGE($L$5:$L$17,A30),$L$5:$L$17,0))</f>
        <v>64.1000868728224</v>
      </c>
      <c r="E30" s="45" t="n">
        <f aca="false">INDEX($I$5:$I$17,MATCH(LARGE($L$5:$L$17,A30),$L$5:$L$17,0))</f>
        <v>160.250217182045</v>
      </c>
      <c r="F30" s="2"/>
      <c r="G30" s="2"/>
      <c r="H30" s="2"/>
      <c r="I30" s="2"/>
      <c r="J30" s="2"/>
      <c r="K30" s="2"/>
      <c r="L30" s="2"/>
      <c r="M30" s="2"/>
      <c r="N30" s="2"/>
      <c r="O30" s="2"/>
    </row>
    <row r="31" customFormat="false" ht="15" hidden="false" customHeight="false" outlineLevel="0" collapsed="false">
      <c r="A31" s="25" t="n">
        <v>9</v>
      </c>
      <c r="B31" s="5" t="str">
        <f aca="false">INDEX($B$5:$B$17,MATCH(LARGE($L$5:$L$17,A31),$L$5:$L$17,0))</f>
        <v>EBITDA de Clean Earth en année pleine</v>
      </c>
      <c r="C31" s="64" t="n">
        <f aca="false">INDEX($G$5:$G$17,MATCH(LARGE($L$5:$L$17,A31),$L$5:$L$17,0))</f>
        <v>-56.8607667928009</v>
      </c>
      <c r="D31" s="64" t="n">
        <f aca="false">INDEX($H$5:$H$17,MATCH(LARGE($L$5:$L$17,A31),$L$5:$L$17,0))</f>
        <v>56.8607667928081</v>
      </c>
      <c r="E31" s="45" t="n">
        <f aca="false">INDEX($I$5:$I$17,MATCH(LARGE($L$5:$L$17,A31),$L$5:$L$17,0))</f>
        <v>113.721533585609</v>
      </c>
      <c r="F31" s="2"/>
      <c r="G31" s="2"/>
      <c r="H31" s="2"/>
      <c r="I31" s="2"/>
      <c r="J31" s="2"/>
      <c r="K31" s="2"/>
      <c r="L31" s="2"/>
      <c r="M31" s="2"/>
      <c r="N31" s="2"/>
      <c r="O31" s="2"/>
    </row>
    <row r="32" customFormat="false" ht="15" hidden="false" customHeight="false" outlineLevel="0" collapsed="false">
      <c r="A32" s="25" t="n">
        <v>10</v>
      </c>
      <c r="B32" s="5" t="str">
        <f aca="false">INDEX($B$5:$B$17,MATCH(LARGE($L$5:$L$17,A32),$L$5:$L$17,0))</f>
        <v>Croissance du dividende versé en 2027</v>
      </c>
      <c r="C32" s="64" t="n">
        <f aca="false">INDEX($G$5:$G$17,MATCH(LARGE($L$5:$L$17,A32),$L$5:$L$17,0))</f>
        <v>43.9600000000028</v>
      </c>
      <c r="D32" s="64" t="n">
        <f aca="false">INDEX($H$5:$H$17,MATCH(LARGE($L$5:$L$17,A32),$L$5:$L$17,0))</f>
        <v>-43.9599999999991</v>
      </c>
      <c r="E32" s="45" t="n">
        <f aca="false">INDEX($I$5:$I$17,MATCH(LARGE($L$5:$L$17,A32),$L$5:$L$17,0))</f>
        <v>87.9200000000019</v>
      </c>
      <c r="F32" s="2"/>
      <c r="G32" s="2"/>
      <c r="H32" s="2"/>
      <c r="I32" s="2"/>
      <c r="J32" s="2"/>
      <c r="K32" s="2"/>
      <c r="L32" s="2"/>
      <c r="M32" s="2"/>
      <c r="N32" s="2"/>
      <c r="O32" s="2"/>
    </row>
    <row r="33" customFormat="false" ht="15" hidden="false" customHeight="false" outlineLevel="0" collapsed="false">
      <c r="A33" s="25" t="n">
        <v>11</v>
      </c>
      <c r="B33" s="5" t="str">
        <f aca="false">INDEX($B$5:$B$17,MATCH(LARGE($L$5:$L$17,A33),$L$5:$L$17,0))</f>
        <v>Multiple VE / EBITDA des tuck-ins</v>
      </c>
      <c r="C33" s="64" t="n">
        <f aca="false">INDEX($G$5:$G$17,MATCH(LARGE($L$5:$L$17,A33),$L$5:$L$17,0))</f>
        <v>52.4329238466307</v>
      </c>
      <c r="D33" s="64" t="n">
        <f aca="false">INDEX($H$5:$H$17,MATCH(LARGE($L$5:$L$17,A33),$L$5:$L$17,0))</f>
        <v>-17.6365289302266</v>
      </c>
      <c r="E33" s="45" t="n">
        <f aca="false">INDEX($I$5:$I$17,MATCH(LARGE($L$5:$L$17,A33),$L$5:$L$17,0))</f>
        <v>70.0694527768574</v>
      </c>
      <c r="F33" s="2"/>
      <c r="G33" s="2"/>
      <c r="H33" s="2"/>
      <c r="I33" s="2"/>
      <c r="J33" s="2"/>
      <c r="K33" s="2"/>
      <c r="L33" s="2"/>
      <c r="M33" s="2"/>
      <c r="N33" s="2"/>
      <c r="O33" s="2"/>
    </row>
    <row r="34" customFormat="false" ht="15" hidden="false" customHeight="false" outlineLevel="0" collapsed="false">
      <c r="A34" s="25" t="n">
        <v>12</v>
      </c>
      <c r="B34" s="5" t="str">
        <f aca="false">INDEX($B$5:$B$17,MATCH(LARGE($L$5:$L$17,A34),$L$5:$L$17,0))</f>
        <v>Part des signatures 2026 encaissée avant le 31/12/2026</v>
      </c>
      <c r="C34" s="64" t="n">
        <f aca="false">INDEX($G$5:$G$17,MATCH(LARGE($L$5:$L$17,A34),$L$5:$L$17,0))</f>
        <v>4.35695750114246</v>
      </c>
      <c r="D34" s="64" t="n">
        <f aca="false">INDEX($H$5:$H$17,MATCH(LARGE($L$5:$L$17,A34),$L$5:$L$17,0))</f>
        <v>-4.35695750113518</v>
      </c>
      <c r="E34" s="45" t="n">
        <f aca="false">INDEX($I$5:$I$17,MATCH(LARGE($L$5:$L$17,A34),$L$5:$L$17,0))</f>
        <v>8.71391500227765</v>
      </c>
      <c r="F34" s="2"/>
      <c r="G34" s="2"/>
      <c r="H34" s="2"/>
      <c r="I34" s="2"/>
      <c r="J34" s="2"/>
      <c r="K34" s="2"/>
      <c r="L34" s="2"/>
      <c r="M34" s="2"/>
      <c r="N34" s="2"/>
      <c r="O34" s="2"/>
    </row>
    <row r="35" customFormat="false" ht="15" hidden="false" customHeight="false" outlineLevel="0" collapsed="false">
      <c r="A35" s="25" t="n">
        <v>13</v>
      </c>
      <c r="B35" s="5" t="str">
        <f aca="false">INDEX($B$5:$B$17,MATCH(LARGE($L$5:$L$17,A35),$L$5:$L$17,0))</f>
        <v>FFO (mesure des agences) en % de l'EBITDA</v>
      </c>
      <c r="C35" s="64" t="n">
        <f aca="false">INDEX($G$5:$G$17,MATCH(LARGE($L$5:$L$17,A35),$L$5:$L$17,0))</f>
        <v>0</v>
      </c>
      <c r="D35" s="64" t="n">
        <f aca="false">INDEX($H$5:$H$17,MATCH(LARGE($L$5:$L$17,A35),$L$5:$L$17,0))</f>
        <v>0</v>
      </c>
      <c r="E35" s="45" t="n">
        <f aca="false">INDEX($I$5:$I$17,MATCH(LARGE($L$5:$L$17,A35),$L$5:$L$17,0))</f>
        <v>0</v>
      </c>
      <c r="F35" s="2"/>
      <c r="G35" s="2"/>
      <c r="H35" s="2"/>
      <c r="I35" s="2"/>
      <c r="J35" s="2"/>
      <c r="K35" s="2"/>
      <c r="L35" s="2"/>
      <c r="M35" s="2"/>
      <c r="N35" s="2"/>
      <c r="O35" s="2"/>
    </row>
    <row r="36" customFormat="false" ht="15" hidden="false" customHeight="false" outlineLevel="0" collapsed="false">
      <c r="A36" s="2"/>
      <c r="B36" s="2"/>
      <c r="C36" s="2"/>
      <c r="D36" s="2"/>
      <c r="E36" s="2"/>
      <c r="F36" s="2"/>
      <c r="G36" s="2"/>
      <c r="H36" s="2"/>
      <c r="I36" s="2"/>
      <c r="J36" s="2"/>
      <c r="K36" s="2"/>
      <c r="L36" s="2"/>
      <c r="M36" s="2"/>
      <c r="N36" s="2"/>
      <c r="O36" s="2"/>
    </row>
    <row r="37" customFormat="false" ht="15" hidden="false" customHeight="false" outlineLevel="0" collapsed="false">
      <c r="A37" s="22" t="s">
        <v>2682</v>
      </c>
      <c r="B37" s="2"/>
      <c r="C37" s="2"/>
      <c r="D37" s="2"/>
      <c r="E37" s="2"/>
      <c r="F37" s="2"/>
      <c r="G37" s="2"/>
      <c r="H37" s="2"/>
      <c r="I37" s="2"/>
      <c r="J37" s="2"/>
      <c r="K37" s="2"/>
      <c r="L37" s="2"/>
      <c r="M37" s="2"/>
      <c r="N37" s="2"/>
      <c r="O37" s="2"/>
    </row>
    <row r="38" customFormat="false" ht="15" hidden="false" customHeight="false" outlineLevel="0" collapsed="false">
      <c r="A38" s="21"/>
      <c r="B38" s="21" t="s">
        <v>2683</v>
      </c>
      <c r="C38" s="21" t="s">
        <v>2684</v>
      </c>
      <c r="D38" s="21"/>
      <c r="E38" s="21" t="s">
        <v>2685</v>
      </c>
      <c r="F38" s="2"/>
      <c r="G38" s="2"/>
      <c r="H38" s="2"/>
      <c r="I38" s="2"/>
      <c r="J38" s="2"/>
      <c r="K38" s="2"/>
      <c r="L38" s="2"/>
      <c r="M38" s="2"/>
      <c r="N38" s="2"/>
      <c r="O38" s="2"/>
    </row>
    <row r="39" customFormat="false" ht="15" hidden="false" customHeight="false" outlineLevel="0" collapsed="false">
      <c r="A39" s="2"/>
      <c r="B39" s="5" t="s">
        <v>2626</v>
      </c>
      <c r="C39" s="64" t="n">
        <f aca="false">100*(Hypothèses!$J$26+Hypothèses!$J$10)</f>
        <v>316.869636446462</v>
      </c>
      <c r="D39" s="2"/>
      <c r="E39" s="24" t="s">
        <v>2686</v>
      </c>
      <c r="F39" s="2"/>
      <c r="G39" s="2"/>
      <c r="H39" s="2"/>
      <c r="I39" s="2"/>
      <c r="J39" s="2"/>
      <c r="K39" s="2"/>
      <c r="L39" s="2"/>
      <c r="M39" s="2"/>
      <c r="N39" s="2"/>
      <c r="O39" s="2"/>
    </row>
    <row r="40" customFormat="false" ht="15" hidden="false" customHeight="false" outlineLevel="0" collapsed="false">
      <c r="A40" s="2"/>
      <c r="B40" s="5" t="s">
        <v>2687</v>
      </c>
      <c r="C40" s="64" t="n">
        <f aca="false">100</f>
        <v>100</v>
      </c>
      <c r="D40" s="2"/>
      <c r="E40" s="24" t="s">
        <v>2688</v>
      </c>
      <c r="F40" s="2"/>
      <c r="G40" s="2"/>
      <c r="H40" s="2"/>
      <c r="I40" s="2"/>
      <c r="J40" s="2"/>
      <c r="K40" s="2"/>
      <c r="L40" s="2"/>
      <c r="M40" s="2"/>
      <c r="N40" s="2"/>
      <c r="O40" s="2"/>
    </row>
    <row r="41" customFormat="false" ht="15" hidden="false" customHeight="false" outlineLevel="0" collapsed="false">
      <c r="A41" s="2"/>
      <c r="B41" s="5" t="s">
        <v>2689</v>
      </c>
      <c r="C41" s="64" t="n">
        <f aca="false">100*(1-Hypothèses!$J$26/Hypothèses!$J$14)</f>
        <v>70</v>
      </c>
      <c r="D41" s="2"/>
      <c r="E41" s="24" t="s">
        <v>2690</v>
      </c>
      <c r="F41" s="2"/>
      <c r="G41" s="2"/>
      <c r="H41" s="2"/>
      <c r="I41" s="2"/>
      <c r="J41" s="2"/>
      <c r="K41" s="2"/>
      <c r="L41" s="2"/>
      <c r="M41" s="2"/>
      <c r="N41" s="2"/>
      <c r="O41" s="2"/>
    </row>
    <row r="42" customFormat="false" ht="15" hidden="false" customHeight="false" outlineLevel="0" collapsed="false">
      <c r="A42" s="2"/>
      <c r="B42" s="5" t="s">
        <v>2691</v>
      </c>
      <c r="C42" s="64" t="n">
        <f aca="false">-100*(1-Hypothèses!$J$26/Hypothèses!$J$21)</f>
        <v>-69.3877551020408</v>
      </c>
      <c r="D42" s="2"/>
      <c r="E42" s="24" t="s">
        <v>2692</v>
      </c>
      <c r="F42" s="2"/>
      <c r="G42" s="2"/>
      <c r="H42" s="2"/>
      <c r="I42" s="2"/>
      <c r="J42" s="2"/>
      <c r="K42" s="2"/>
      <c r="L42" s="2"/>
      <c r="M42" s="2"/>
      <c r="N42" s="2"/>
      <c r="O42" s="2"/>
    </row>
    <row r="43" customFormat="false" ht="15" hidden="false" customHeight="false" outlineLevel="0" collapsed="false">
      <c r="A43" s="2"/>
      <c r="B43" s="5" t="s">
        <v>2693</v>
      </c>
      <c r="C43" s="64" t="n">
        <f aca="false">-100</f>
        <v>-100</v>
      </c>
      <c r="D43" s="2"/>
      <c r="E43" s="24" t="s">
        <v>2688</v>
      </c>
      <c r="F43" s="2"/>
      <c r="G43" s="2"/>
      <c r="H43" s="2"/>
      <c r="I43" s="2"/>
      <c r="J43" s="2"/>
      <c r="K43" s="2"/>
      <c r="L43" s="2"/>
      <c r="M43" s="2"/>
      <c r="N43" s="2"/>
      <c r="O43" s="2"/>
    </row>
    <row r="44" customFormat="false" ht="15" hidden="false" customHeight="false" outlineLevel="0" collapsed="false">
      <c r="A44" s="2"/>
      <c r="B44" s="5" t="s">
        <v>2694</v>
      </c>
      <c r="C44" s="64" t="n">
        <f aca="false">-100</f>
        <v>-100</v>
      </c>
      <c r="D44" s="2"/>
      <c r="E44" s="24" t="s">
        <v>2695</v>
      </c>
      <c r="F44" s="2"/>
      <c r="G44" s="2"/>
      <c r="H44" s="2"/>
      <c r="I44" s="2"/>
      <c r="J44" s="2"/>
      <c r="K44" s="2"/>
      <c r="L44" s="2"/>
      <c r="M44" s="2"/>
      <c r="N44" s="2"/>
      <c r="O44" s="2"/>
    </row>
    <row r="45" customFormat="false" ht="15" hidden="false" customHeight="false" outlineLevel="0" collapsed="false">
      <c r="A45" s="2"/>
      <c r="B45" s="2"/>
      <c r="C45" s="2"/>
      <c r="D45" s="2"/>
      <c r="E45" s="2"/>
      <c r="F45" s="2"/>
      <c r="G45" s="2"/>
      <c r="H45" s="2"/>
      <c r="I45" s="2"/>
      <c r="J45" s="2"/>
      <c r="K45" s="2"/>
      <c r="L45" s="2"/>
      <c r="M45" s="2"/>
      <c r="N45" s="2"/>
      <c r="O45" s="2"/>
    </row>
    <row r="46" customFormat="false" ht="15" hidden="false" customHeight="false" outlineLevel="0" collapsed="false">
      <c r="A46" s="22" t="s">
        <v>2696</v>
      </c>
      <c r="B46" s="2"/>
      <c r="C46" s="2"/>
      <c r="D46" s="2"/>
      <c r="E46" s="2"/>
      <c r="F46" s="2"/>
      <c r="G46" s="2"/>
      <c r="H46" s="2"/>
      <c r="I46" s="2"/>
      <c r="J46" s="2"/>
      <c r="K46" s="2"/>
      <c r="L46" s="2"/>
      <c r="M46" s="2"/>
      <c r="N46" s="2"/>
      <c r="O46" s="2"/>
    </row>
    <row r="47" customFormat="false" ht="35.05" hidden="false" customHeight="false" outlineLevel="0" collapsed="false">
      <c r="A47" s="21"/>
      <c r="B47" s="21" t="s">
        <v>2697</v>
      </c>
      <c r="C47" s="21" t="s">
        <v>2698</v>
      </c>
      <c r="D47" s="21" t="s">
        <v>93</v>
      </c>
      <c r="E47" s="21" t="s">
        <v>2699</v>
      </c>
      <c r="F47" s="21" t="s">
        <v>2700</v>
      </c>
      <c r="G47" s="2"/>
      <c r="H47" s="2"/>
      <c r="I47" s="2"/>
      <c r="J47" s="2"/>
      <c r="K47" s="2"/>
      <c r="L47" s="2"/>
      <c r="M47" s="2"/>
      <c r="N47" s="2"/>
      <c r="O47" s="2"/>
    </row>
    <row r="48" customFormat="false" ht="15" hidden="false" customHeight="false" outlineLevel="0" collapsed="false">
      <c r="A48" s="24" t="s">
        <v>2701</v>
      </c>
      <c r="B48" s="5" t="s">
        <v>2702</v>
      </c>
      <c r="C48" s="61" t="n">
        <f aca="false">Entrées!$C$565</f>
        <v>-30</v>
      </c>
      <c r="D48" s="24" t="s">
        <v>103</v>
      </c>
      <c r="E48" s="45" t="n">
        <f aca="false">C48*Hypothèses!$J$26</f>
        <v>-90</v>
      </c>
      <c r="F48" s="24" t="s">
        <v>2703</v>
      </c>
      <c r="G48" s="2"/>
      <c r="H48" s="2"/>
      <c r="I48" s="2"/>
      <c r="J48" s="2"/>
      <c r="K48" s="2"/>
      <c r="L48" s="2"/>
      <c r="M48" s="2"/>
      <c r="N48" s="2"/>
      <c r="O48" s="2"/>
    </row>
    <row r="49" customFormat="false" ht="15" hidden="false" customHeight="false" outlineLevel="0" collapsed="false">
      <c r="A49" s="24" t="s">
        <v>2704</v>
      </c>
      <c r="B49" s="5" t="s">
        <v>2705</v>
      </c>
      <c r="C49" s="61" t="n">
        <f aca="false">Entrées!$C$566</f>
        <v>-60</v>
      </c>
      <c r="D49" s="24" t="s">
        <v>103</v>
      </c>
      <c r="E49" s="45" t="n">
        <f aca="false">C49*2*Hypothèses!$J$26</f>
        <v>-360</v>
      </c>
      <c r="F49" s="24" t="s">
        <v>2706</v>
      </c>
      <c r="G49" s="2"/>
      <c r="H49" s="2"/>
      <c r="I49" s="2"/>
      <c r="J49" s="2"/>
      <c r="K49" s="2"/>
      <c r="L49" s="2"/>
      <c r="M49" s="2"/>
      <c r="N49" s="2"/>
      <c r="O49" s="2"/>
    </row>
    <row r="50" customFormat="false" ht="15" hidden="false" customHeight="false" outlineLevel="0" collapsed="false">
      <c r="A50" s="24" t="s">
        <v>2707</v>
      </c>
      <c r="B50" s="5" t="s">
        <v>2708</v>
      </c>
      <c r="C50" s="61" t="n">
        <f aca="false">Entrées!$C$562</f>
        <v>2455</v>
      </c>
      <c r="D50" s="24" t="s">
        <v>2709</v>
      </c>
      <c r="E50" s="45" t="n">
        <f aca="false">-C50*0.1</f>
        <v>-245.5</v>
      </c>
      <c r="F50" s="24" t="s">
        <v>2710</v>
      </c>
      <c r="G50" s="2"/>
      <c r="H50" s="2"/>
      <c r="I50" s="2"/>
      <c r="J50" s="2"/>
      <c r="K50" s="2"/>
      <c r="L50" s="2"/>
      <c r="M50" s="2"/>
      <c r="N50" s="2"/>
      <c r="O50" s="2"/>
    </row>
    <row r="51" customFormat="false" ht="15" hidden="false" customHeight="false" outlineLevel="0" collapsed="false">
      <c r="A51" s="24" t="s">
        <v>2711</v>
      </c>
      <c r="B51" s="5" t="s">
        <v>2712</v>
      </c>
      <c r="C51" s="61" t="n">
        <f aca="false">Entrées!$C$564</f>
        <v>-190</v>
      </c>
      <c r="D51" s="24" t="s">
        <v>103</v>
      </c>
      <c r="E51" s="45" t="n">
        <f aca="false">-C51</f>
        <v>190</v>
      </c>
      <c r="F51" s="24" t="s">
        <v>2713</v>
      </c>
      <c r="G51" s="2"/>
      <c r="H51" s="2"/>
      <c r="I51" s="2"/>
      <c r="J51" s="2"/>
      <c r="K51" s="2"/>
      <c r="L51" s="2"/>
      <c r="M51" s="2"/>
      <c r="N51" s="2"/>
      <c r="O51" s="2"/>
    </row>
    <row r="52" customFormat="false" ht="15" hidden="false" customHeight="false" outlineLevel="0" collapsed="false">
      <c r="A52" s="24" t="s">
        <v>2714</v>
      </c>
      <c r="B52" s="5" t="s">
        <v>2715</v>
      </c>
      <c r="C52" s="61" t="n">
        <f aca="false">Entrées!$C$554</f>
        <v>-223</v>
      </c>
      <c r="D52" s="24" t="s">
        <v>103</v>
      </c>
      <c r="E52" s="45" t="n">
        <f aca="false">C52*Hypothèses!$J$26</f>
        <v>-669</v>
      </c>
      <c r="F52" s="24" t="s">
        <v>2716</v>
      </c>
      <c r="G52" s="2"/>
      <c r="H52" s="2"/>
      <c r="I52" s="2"/>
      <c r="J52" s="2"/>
      <c r="K52" s="2"/>
      <c r="L52" s="2"/>
      <c r="M52" s="2"/>
      <c r="N52" s="2"/>
      <c r="O52" s="2"/>
    </row>
    <row r="53" customFormat="false" ht="15" hidden="false" customHeight="false" outlineLevel="0" collapsed="false">
      <c r="A53" s="24" t="s">
        <v>2717</v>
      </c>
      <c r="B53" s="5" t="s">
        <v>2718</v>
      </c>
      <c r="C53" s="61" t="n">
        <f aca="false">Entrées!$C$561</f>
        <v>-2992</v>
      </c>
      <c r="D53" s="24" t="s">
        <v>103</v>
      </c>
      <c r="E53" s="45" t="n">
        <f aca="false">C53*0.01</f>
        <v>-29.92</v>
      </c>
      <c r="F53" s="24" t="s">
        <v>2719</v>
      </c>
      <c r="G53" s="2"/>
      <c r="H53" s="2"/>
      <c r="I53" s="2"/>
      <c r="J53" s="2"/>
      <c r="K53" s="2"/>
      <c r="L53" s="2"/>
      <c r="M53" s="2"/>
      <c r="N53" s="2"/>
      <c r="O53" s="2"/>
    </row>
    <row r="54" customFormat="false" ht="15" hidden="false" customHeight="false" outlineLevel="0" collapsed="false">
      <c r="A54" s="24" t="s">
        <v>2720</v>
      </c>
      <c r="B54" s="5" t="s">
        <v>2721</v>
      </c>
      <c r="C54" s="72" t="n">
        <f aca="false">Entrées!$C$559/100</f>
        <v>0.561</v>
      </c>
      <c r="D54" s="24" t="s">
        <v>299</v>
      </c>
      <c r="E54" s="2"/>
      <c r="F54" s="24" t="s">
        <v>2722</v>
      </c>
      <c r="G54" s="2"/>
      <c r="H54" s="2"/>
      <c r="I54" s="2"/>
      <c r="J54" s="2"/>
      <c r="K54" s="2"/>
      <c r="L54" s="2"/>
      <c r="M54" s="2"/>
      <c r="N54" s="2"/>
      <c r="O54" s="2"/>
    </row>
    <row r="55" customFormat="false" ht="43.5" hidden="false" customHeight="true" outlineLevel="0" collapsed="false">
      <c r="A55" s="2"/>
      <c r="B55" s="69" t="str">
        <f aca="false">"Lecture : aucune de ces entrées ne déplace la marge autant que les cessions ou l'efficacité, mais elles s'additionnent : une année d'énergie comme le S1 2026 ("&amp;SUBSTITUTE(SUBSTITUTE(FIXED(2*Sensibilité!$C$49,0,FALSE()),","," "),"-","−")&amp;" M€"&amp;" d'EBITDA) coûte "&amp;SUBSTITUTE(SUBSTITUTE(FIXED(-Sensibilité!$E$49,0,FALSE()),","," "),"-","−")&amp;" M€"&amp;" de marge, un dollar 10 % plus fort "&amp;SUBSTITUTE(SUBSTITUTE(FIXED(-Sensibilité!$E$50,0,FALSE()),","," "),"-","−")&amp;" M€"&amp;" de dette. Le DEU ne donne pas d'élasticité de l'EBITDA au prix de l'énergie : c'est l'effet réalisé qui sert de borne."</f>
        <v>Lecture : aucune de ces entrées ne déplace la marge autant que les cessions ou l'efficacité, mais elles s'additionnent : une année d'énergie comme le S1 2026 (−120 M€ d'EBITDA) coûte 360 M€ de marge, un dollar 10 % plus fort 246 M€ de dette. Le DEU ne donne pas d'élasticité de l'EBITDA au prix de l'énergie : c'est l'effet réalisé qui sert de borne.</v>
      </c>
      <c r="C55" s="69"/>
      <c r="D55" s="69"/>
      <c r="E55" s="69"/>
      <c r="F55" s="69"/>
      <c r="G55" s="2"/>
      <c r="H55" s="2"/>
      <c r="I55" s="2"/>
      <c r="J55" s="2"/>
      <c r="K55" s="2"/>
      <c r="L55" s="2"/>
      <c r="M55" s="2"/>
      <c r="N55" s="2"/>
      <c r="O55" s="2"/>
    </row>
  </sheetData>
  <mergeCells count="1">
    <mergeCell ref="B55:F55"/>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5390625" defaultRowHeight="15" customHeight="true" zeroHeight="false" outlineLevelRow="0" outlineLevelCol="0"/>
  <cols>
    <col collapsed="false" customWidth="true" hidden="false" outlineLevel="0" max="1" min="1" style="0" width="8"/>
    <col collapsed="false" customWidth="true" hidden="false" outlineLevel="0" max="2" min="2" style="0" width="62"/>
    <col collapsed="false" customWidth="true" hidden="false" outlineLevel="0" max="9" min="3" style="0" width="12"/>
    <col collapsed="false" customWidth="true" hidden="false" outlineLevel="0" max="10" min="10" style="0" width="14"/>
  </cols>
  <sheetData>
    <row r="1" customFormat="false" ht="17.35" hidden="false" customHeight="false" outlineLevel="0" collapsed="false">
      <c r="A1" s="1" t="s">
        <v>2723</v>
      </c>
      <c r="B1" s="2"/>
      <c r="C1" s="2"/>
      <c r="D1" s="2"/>
      <c r="E1" s="2"/>
      <c r="F1" s="2"/>
      <c r="G1" s="2"/>
      <c r="H1" s="2"/>
      <c r="I1" s="2"/>
      <c r="J1" s="2"/>
    </row>
    <row r="2" customFormat="false" ht="15" hidden="false" customHeight="false" outlineLevel="0" collapsed="false">
      <c r="A2" s="3" t="s">
        <v>2724</v>
      </c>
      <c r="B2" s="2"/>
      <c r="C2" s="2"/>
      <c r="D2" s="2"/>
      <c r="E2" s="2"/>
      <c r="F2" s="2"/>
      <c r="G2" s="2"/>
      <c r="H2" s="2"/>
      <c r="I2" s="2"/>
      <c r="J2" s="2"/>
    </row>
    <row r="3" customFormat="false" ht="15" hidden="false" customHeight="false" outlineLevel="0" collapsed="false">
      <c r="A3" s="2"/>
      <c r="B3" s="2"/>
      <c r="C3" s="2"/>
      <c r="D3" s="2"/>
      <c r="E3" s="2"/>
      <c r="F3" s="2"/>
      <c r="G3" s="2"/>
      <c r="H3" s="2"/>
      <c r="I3" s="2"/>
      <c r="J3" s="2"/>
    </row>
    <row r="4" customFormat="false" ht="15" hidden="false" customHeight="false" outlineLevel="0" collapsed="false">
      <c r="A4" s="22" t="s">
        <v>2130</v>
      </c>
      <c r="B4" s="22" t="s">
        <v>2725</v>
      </c>
      <c r="C4" s="2"/>
      <c r="D4" s="2"/>
      <c r="E4" s="2"/>
      <c r="F4" s="2"/>
      <c r="G4" s="2"/>
      <c r="H4" s="2"/>
      <c r="I4" s="2"/>
      <c r="J4" s="2"/>
    </row>
    <row r="5" customFormat="false" ht="15" hidden="false" customHeight="false" outlineLevel="0" collapsed="false">
      <c r="A5" s="21"/>
      <c r="B5" s="21" t="s">
        <v>2726</v>
      </c>
      <c r="C5" s="21" t="s">
        <v>2727</v>
      </c>
      <c r="D5" s="21" t="s">
        <v>2728</v>
      </c>
      <c r="E5" s="21" t="s">
        <v>2729</v>
      </c>
      <c r="F5" s="21" t="s">
        <v>2730</v>
      </c>
      <c r="G5" s="21" t="s">
        <v>2731</v>
      </c>
      <c r="H5" s="21" t="s">
        <v>2732</v>
      </c>
      <c r="I5" s="21" t="s">
        <v>2733</v>
      </c>
      <c r="J5" s="21" t="s">
        <v>2734</v>
      </c>
    </row>
    <row r="6" customFormat="false" ht="15" hidden="false" customHeight="false" outlineLevel="0" collapsed="false">
      <c r="A6" s="24" t="s">
        <v>2611</v>
      </c>
      <c r="B6" s="5" t="s">
        <v>2612</v>
      </c>
      <c r="C6" s="75" t="n">
        <f aca="false">AVERAGE(Simulation!$AJ$16:$AJ$1015)</f>
        <v>3.02541486954606</v>
      </c>
      <c r="D6" s="75" t="n">
        <f aca="false">PERCENTILE(Simulation!$AJ$16:$AJ$1015,0.05)</f>
        <v>2.98560605300501</v>
      </c>
      <c r="E6" s="75" t="n">
        <f aca="false">PERCENTILE(Simulation!$AJ$16:$AJ$1015,0.1)</f>
        <v>2.99350186301195</v>
      </c>
      <c r="F6" s="62" t="n">
        <f aca="false">PERCENTILE(Simulation!$AJ$16:$AJ$1015,0.5)</f>
        <v>3.02389474701088</v>
      </c>
      <c r="G6" s="75" t="n">
        <f aca="false">PERCENTILE(Simulation!$AJ$16:$AJ$1015,0.9)</f>
        <v>3.05847171369862</v>
      </c>
      <c r="H6" s="75" t="n">
        <f aca="false">PERCENTILE(Simulation!$AJ$16:$AJ$1015,0.95)</f>
        <v>3.06618297455357</v>
      </c>
      <c r="I6" s="63" t="n">
        <f aca="false">Simulation!$AJ$15</f>
        <v>3.01771731406222</v>
      </c>
      <c r="J6" s="63" t="n">
        <f aca="false">Trajectoire!$D$33</f>
        <v>3.01771731406222</v>
      </c>
    </row>
    <row r="7" customFormat="false" ht="15" hidden="false" customHeight="false" outlineLevel="0" collapsed="false">
      <c r="A7" s="24" t="s">
        <v>2633</v>
      </c>
      <c r="B7" s="5" t="s">
        <v>2634</v>
      </c>
      <c r="C7" s="75" t="n">
        <f aca="false">AVERAGE(Simulation!$AU$16:$AU$1015)</f>
        <v>2.81400217517686</v>
      </c>
      <c r="D7" s="75" t="n">
        <f aca="false">PERCENTILE(Simulation!$AU$16:$AU$1015,0.05)</f>
        <v>2.71227428414364</v>
      </c>
      <c r="E7" s="75" t="n">
        <f aca="false">PERCENTILE(Simulation!$AU$16:$AU$1015,0.1)</f>
        <v>2.73249996306606</v>
      </c>
      <c r="F7" s="62" t="n">
        <f aca="false">PERCENTILE(Simulation!$AU$16:$AU$1015,0.5)</f>
        <v>2.81664604153481</v>
      </c>
      <c r="G7" s="75" t="n">
        <f aca="false">PERCENTILE(Simulation!$AU$16:$AU$1015,0.9)</f>
        <v>2.88806102363927</v>
      </c>
      <c r="H7" s="75" t="n">
        <f aca="false">PERCENTILE(Simulation!$AU$16:$AU$1015,0.95)</f>
        <v>2.90735147721393</v>
      </c>
      <c r="I7" s="63" t="n">
        <f aca="false">Simulation!$AU$15</f>
        <v>2.80320887741352</v>
      </c>
      <c r="J7" s="63" t="n">
        <f aca="false">Trajectoire!$D$45</f>
        <v>2.80320887741352</v>
      </c>
    </row>
    <row r="8" customFormat="false" ht="15" hidden="false" customHeight="false" outlineLevel="0" collapsed="false">
      <c r="A8" s="24" t="s">
        <v>2635</v>
      </c>
      <c r="B8" s="5" t="s">
        <v>2735</v>
      </c>
      <c r="C8" s="64" t="n">
        <f aca="false">AVERAGE(Simulation!$AV$16:$AV$1015)</f>
        <v>1486.92015693278</v>
      </c>
      <c r="D8" s="64" t="n">
        <f aca="false">PERCENTILE(Simulation!$AV$16:$AV$1015,0.05)</f>
        <v>730.158771623523</v>
      </c>
      <c r="E8" s="64" t="n">
        <f aca="false">PERCENTILE(Simulation!$AV$16:$AV$1015,0.1)</f>
        <v>887.566969869381</v>
      </c>
      <c r="F8" s="45" t="n">
        <f aca="false">PERCENTILE(Simulation!$AV$16:$AV$1015,0.5)</f>
        <v>1459.91587062942</v>
      </c>
      <c r="G8" s="64" t="n">
        <f aca="false">PERCENTILE(Simulation!$AV$16:$AV$1015,0.9)</f>
        <v>2150.3269074649</v>
      </c>
      <c r="H8" s="64" t="n">
        <f aca="false">PERCENTILE(Simulation!$AV$16:$AV$1015,0.95)</f>
        <v>2306.90093117418</v>
      </c>
      <c r="I8" s="61" t="n">
        <f aca="false">Simulation!$AV$15</f>
        <v>1570.67466937297</v>
      </c>
      <c r="J8" s="61" t="n">
        <f aca="false">Trajectoire!$D$46</f>
        <v>1570.67466937297</v>
      </c>
    </row>
    <row r="9" customFormat="false" ht="15" hidden="false" customHeight="false" outlineLevel="0" collapsed="false">
      <c r="A9" s="24" t="s">
        <v>2645</v>
      </c>
      <c r="B9" s="5" t="s">
        <v>2646</v>
      </c>
      <c r="C9" s="66" t="n">
        <f aca="false">AVERAGE(Simulation!$BA$16:$BA$1015)</f>
        <v>0.19187297410579</v>
      </c>
      <c r="D9" s="66" t="n">
        <f aca="false">PERCENTILE(Simulation!$BA$16:$BA$1015,0.05)</f>
        <v>0.184929151532796</v>
      </c>
      <c r="E9" s="66" t="n">
        <f aca="false">PERCENTILE(Simulation!$BA$16:$BA$1015,0.1)</f>
        <v>0.1863103734174</v>
      </c>
      <c r="F9" s="41" t="n">
        <f aca="false">PERCENTILE(Simulation!$BA$16:$BA$1015,0.5)</f>
        <v>0.192026607078716</v>
      </c>
      <c r="G9" s="66" t="n">
        <f aca="false">PERCENTILE(Simulation!$BA$16:$BA$1015,0.9)</f>
        <v>0.196964931399211</v>
      </c>
      <c r="H9" s="66" t="n">
        <f aca="false">PERCENTILE(Simulation!$BA$16:$BA$1015,0.95)</f>
        <v>0.198272091948085</v>
      </c>
      <c r="I9" s="72" t="n">
        <f aca="false">Simulation!$BA$15</f>
        <v>0.193486847370753</v>
      </c>
      <c r="J9" s="72" t="n">
        <f aca="false">Trajectoire!$D$52</f>
        <v>0.193486847370753</v>
      </c>
    </row>
    <row r="10" customFormat="false" ht="15" hidden="false" customHeight="false" outlineLevel="0" collapsed="false">
      <c r="A10" s="24" t="s">
        <v>2647</v>
      </c>
      <c r="B10" s="5" t="s">
        <v>2736</v>
      </c>
      <c r="C10" s="64" t="n">
        <f aca="false">AVERAGE(Simulation!$BB$16:$BB$1015)</f>
        <v>1875.42396384048</v>
      </c>
      <c r="D10" s="64" t="n">
        <f aca="false">PERCENTILE(Simulation!$BB$16:$BB$1015,0.05)</f>
        <v>783.283684697727</v>
      </c>
      <c r="E10" s="64" t="n">
        <f aca="false">PERCENTILE(Simulation!$BB$16:$BB$1015,0.1)</f>
        <v>1003.26230949171</v>
      </c>
      <c r="F10" s="45" t="n">
        <f aca="false">PERCENTILE(Simulation!$BB$16:$BB$1015,0.5)</f>
        <v>1904.05194857165</v>
      </c>
      <c r="G10" s="64" t="n">
        <f aca="false">PERCENTILE(Simulation!$BB$16:$BB$1015,0.9)</f>
        <v>2674.68576836058</v>
      </c>
      <c r="H10" s="64" t="n">
        <f aca="false">PERCENTILE(Simulation!$BB$16:$BB$1015,0.95)</f>
        <v>2874.93037813253</v>
      </c>
      <c r="I10" s="61" t="n">
        <f aca="false">Simulation!$BB$15</f>
        <v>2129.12363826281</v>
      </c>
      <c r="J10" s="61" t="n">
        <f aca="false">Trajectoire!$D$53</f>
        <v>2129.12363826281</v>
      </c>
    </row>
    <row r="11" customFormat="false" ht="15" hidden="false" customHeight="false" outlineLevel="0" collapsed="false">
      <c r="A11" s="24" t="s">
        <v>2655</v>
      </c>
      <c r="B11" s="5" t="s">
        <v>2737</v>
      </c>
      <c r="C11" s="64" t="n">
        <f aca="false">AVERAGE(Simulation!$BF$16:$BF$1015)</f>
        <v>4047.28420670654</v>
      </c>
      <c r="D11" s="64" t="n">
        <f aca="false">PERCENTILE(Simulation!$BF$16:$BF$1015,0.05)</f>
        <v>2502.8540527832</v>
      </c>
      <c r="E11" s="64" t="n">
        <f aca="false">PERCENTILE(Simulation!$BF$16:$BF$1015,0.1)</f>
        <v>2851.0034358683</v>
      </c>
      <c r="F11" s="45" t="n">
        <f aca="false">PERCENTILE(Simulation!$BF$16:$BF$1015,0.5)</f>
        <v>4033.53867277265</v>
      </c>
      <c r="G11" s="64" t="n">
        <f aca="false">PERCENTILE(Simulation!$BF$16:$BF$1015,0.9)</f>
        <v>5293.46603438696</v>
      </c>
      <c r="H11" s="64" t="n">
        <f aca="false">PERCENTILE(Simulation!$BF$16:$BF$1015,0.95)</f>
        <v>5537.91842928113</v>
      </c>
      <c r="I11" s="61" t="n">
        <f aca="false">Simulation!$BF$15</f>
        <v>4333.42681779325</v>
      </c>
      <c r="J11" s="61" t="n">
        <f aca="false">Trajectoire!$D$57</f>
        <v>4333.42681779325</v>
      </c>
    </row>
    <row r="12" customFormat="false" ht="15" hidden="false" customHeight="false" outlineLevel="0" collapsed="false">
      <c r="A12" s="24" t="s">
        <v>2657</v>
      </c>
      <c r="B12" s="5" t="s">
        <v>2738</v>
      </c>
      <c r="C12" s="64" t="n">
        <f aca="false">AVERAGE(Simulation!$BG$16:$BG$1015)</f>
        <v>1486.92015693278</v>
      </c>
      <c r="D12" s="64" t="n">
        <f aca="false">PERCENTILE(Simulation!$BG$16:$BG$1015,0.05)</f>
        <v>730.158771623523</v>
      </c>
      <c r="E12" s="64" t="n">
        <f aca="false">PERCENTILE(Simulation!$BG$16:$BG$1015,0.1)</f>
        <v>887.566969869381</v>
      </c>
      <c r="F12" s="45" t="n">
        <f aca="false">PERCENTILE(Simulation!$BG$16:$BG$1015,0.5)</f>
        <v>1459.91587062942</v>
      </c>
      <c r="G12" s="64" t="n">
        <f aca="false">PERCENTILE(Simulation!$BG$16:$BG$1015,0.9)</f>
        <v>2150.3269074649</v>
      </c>
      <c r="H12" s="64" t="n">
        <f aca="false">PERCENTILE(Simulation!$BG$16:$BG$1015,0.95)</f>
        <v>2306.90093117418</v>
      </c>
      <c r="I12" s="61" t="n">
        <f aca="false">Simulation!$BG$15</f>
        <v>1570.67466937297</v>
      </c>
      <c r="J12" s="61" t="n">
        <f aca="false">Trajectoire!$D$58</f>
        <v>1570.67466937297</v>
      </c>
    </row>
    <row r="13" customFormat="false" ht="15" hidden="false" customHeight="false" outlineLevel="0" collapsed="false">
      <c r="A13" s="24" t="s">
        <v>2661</v>
      </c>
      <c r="B13" s="5" t="s">
        <v>2739</v>
      </c>
      <c r="C13" s="64" t="n">
        <f aca="false">AVERAGE(Simulation!$BH$16:$BH$1015)</f>
        <v>2178.80756955295</v>
      </c>
      <c r="D13" s="64" t="n">
        <f aca="false">PERCENTILE(Simulation!$BH$16:$BH$1015,0.05)</f>
        <v>1125.48416801359</v>
      </c>
      <c r="E13" s="64" t="n">
        <f aca="false">PERCENTILE(Simulation!$BH$16:$BH$1015,0.1)</f>
        <v>1332.54834465473</v>
      </c>
      <c r="F13" s="45" t="n">
        <f aca="false">PERCENTILE(Simulation!$BH$16:$BH$1015,0.5)</f>
        <v>2145.19975866013</v>
      </c>
      <c r="G13" s="64" t="n">
        <f aca="false">PERCENTILE(Simulation!$BH$16:$BH$1015,0.9)</f>
        <v>3070.76229467988</v>
      </c>
      <c r="H13" s="64" t="n">
        <f aca="false">PERCENTILE(Simulation!$BH$16:$BH$1015,0.95)</f>
        <v>3326.32270106531</v>
      </c>
      <c r="I13" s="61" t="n">
        <f aca="false">Simulation!$BH$15</f>
        <v>2263.61937644927</v>
      </c>
      <c r="J13" s="61" t="n">
        <f aca="false">Trajectoire!$D$60</f>
        <v>2263.61937644927</v>
      </c>
    </row>
    <row r="14" customFormat="false" ht="15" hidden="false" customHeight="false" outlineLevel="0" collapsed="false">
      <c r="A14" s="24" t="s">
        <v>2625</v>
      </c>
      <c r="B14" s="5" t="s">
        <v>2626</v>
      </c>
      <c r="C14" s="64" t="n">
        <f aca="false">AVERAGE(Simulation!$AQ$16:$AQ$1015)</f>
        <v>7985.50577423019</v>
      </c>
      <c r="D14" s="64" t="n">
        <f aca="false">PERCENTILE(Simulation!$AQ$16:$AQ$1015,0.05)</f>
        <v>7882.30805284258</v>
      </c>
      <c r="E14" s="64" t="n">
        <f aca="false">PERCENTILE(Simulation!$AQ$16:$AQ$1015,0.1)</f>
        <v>7904.86349077081</v>
      </c>
      <c r="F14" s="45" t="n">
        <f aca="false">PERCENTILE(Simulation!$AQ$16:$AQ$1015,0.5)</f>
        <v>7984.03691178095</v>
      </c>
      <c r="G14" s="64" t="n">
        <f aca="false">PERCENTILE(Simulation!$AQ$16:$AQ$1015,0.9)</f>
        <v>8067.3707017587</v>
      </c>
      <c r="H14" s="64" t="n">
        <f aca="false">PERCENTILE(Simulation!$AQ$16:$AQ$1015,0.95)</f>
        <v>8092.33986015959</v>
      </c>
      <c r="I14" s="61" t="n">
        <f aca="false">Simulation!$AQ$15</f>
        <v>7981.43050727668</v>
      </c>
      <c r="J14" s="61" t="n">
        <f aca="false">Trajectoire!$D$41</f>
        <v>7981.43050727668</v>
      </c>
    </row>
    <row r="15" customFormat="false" ht="15" hidden="false" customHeight="false" outlineLevel="0" collapsed="false">
      <c r="A15" s="24" t="s">
        <v>2631</v>
      </c>
      <c r="B15" s="5" t="s">
        <v>2740</v>
      </c>
      <c r="C15" s="64" t="n">
        <f aca="false">AVERAGE(Simulation!$AT$16:$AT$1015)</f>
        <v>22469.5971657578</v>
      </c>
      <c r="D15" s="64" t="n">
        <f aca="false">PERCENTILE(Simulation!$AT$16:$AT$1015,0.05)</f>
        <v>21745.7203156736</v>
      </c>
      <c r="E15" s="64" t="n">
        <f aca="false">PERCENTILE(Simulation!$AT$16:$AT$1015,0.1)</f>
        <v>21921.1102790135</v>
      </c>
      <c r="F15" s="45" t="n">
        <f aca="false">PERCENTILE(Simulation!$AT$16:$AT$1015,0.5)</f>
        <v>22486.7659930779</v>
      </c>
      <c r="G15" s="64" t="n">
        <f aca="false">PERCENTILE(Simulation!$AT$16:$AT$1015,0.9)</f>
        <v>23002.4595532757</v>
      </c>
      <c r="H15" s="64" t="n">
        <f aca="false">PERCENTILE(Simulation!$AT$16:$AT$1015,0.95)</f>
        <v>23141.1739570629</v>
      </c>
      <c r="I15" s="61" t="n">
        <f aca="false">Simulation!$AT$15</f>
        <v>22373.6168524571</v>
      </c>
      <c r="J15" s="61" t="n">
        <f aca="false">Trajectoire!$D$44</f>
        <v>22373.6168524571</v>
      </c>
    </row>
    <row r="16" customFormat="false" ht="15" hidden="false" customHeight="false" outlineLevel="0" collapsed="false">
      <c r="A16" s="2"/>
      <c r="B16" s="2"/>
      <c r="C16" s="2"/>
      <c r="D16" s="2"/>
      <c r="E16" s="2"/>
      <c r="F16" s="2"/>
      <c r="G16" s="2"/>
      <c r="H16" s="2"/>
      <c r="I16" s="2"/>
      <c r="J16" s="2"/>
    </row>
    <row r="17" customFormat="false" ht="15" hidden="false" customHeight="false" outlineLevel="0" collapsed="false">
      <c r="A17" s="22" t="s">
        <v>2143</v>
      </c>
      <c r="B17" s="22" t="s">
        <v>2741</v>
      </c>
      <c r="C17" s="2"/>
      <c r="D17" s="2"/>
      <c r="E17" s="2"/>
      <c r="F17" s="2"/>
      <c r="G17" s="2"/>
      <c r="H17" s="2"/>
      <c r="I17" s="2"/>
      <c r="J17" s="2"/>
    </row>
    <row r="18" customFormat="false" ht="23.85" hidden="false" customHeight="false" outlineLevel="0" collapsed="false">
      <c r="A18" s="21"/>
      <c r="B18" s="21" t="s">
        <v>2742</v>
      </c>
      <c r="C18" s="21" t="s">
        <v>2743</v>
      </c>
      <c r="D18" s="21"/>
      <c r="E18" s="21" t="s">
        <v>2744</v>
      </c>
      <c r="F18" s="2"/>
      <c r="G18" s="2"/>
      <c r="H18" s="2"/>
      <c r="I18" s="2"/>
      <c r="J18" s="2"/>
    </row>
    <row r="19" customFormat="false" ht="15" hidden="false" customHeight="false" outlineLevel="0" collapsed="false">
      <c r="A19" s="2"/>
      <c r="B19" s="22" t="s">
        <v>2745</v>
      </c>
      <c r="C19" s="106" t="n">
        <f aca="false">COUNTIF(Simulation!$BG$16:$BG$1015,"&gt;0")/1000</f>
        <v>1</v>
      </c>
      <c r="D19" s="2"/>
      <c r="E19" s="24" t="s">
        <v>2746</v>
      </c>
      <c r="F19" s="2"/>
      <c r="G19" s="2"/>
      <c r="H19" s="2"/>
      <c r="I19" s="2"/>
      <c r="J19" s="2"/>
    </row>
    <row r="20" customFormat="false" ht="15" hidden="false" customHeight="false" outlineLevel="0" collapsed="false">
      <c r="A20" s="2"/>
      <c r="B20" s="5" t="s">
        <v>2747</v>
      </c>
      <c r="C20" s="106" t="n">
        <f aca="false">COUNTIF(Simulation!$AV$16:$AV$1015,"&gt;0")/1000</f>
        <v>1</v>
      </c>
      <c r="D20" s="2"/>
      <c r="E20" s="24"/>
      <c r="F20" s="2"/>
      <c r="G20" s="2"/>
      <c r="H20" s="2"/>
      <c r="I20" s="2"/>
      <c r="J20" s="2"/>
    </row>
    <row r="21" customFormat="false" ht="15" hidden="false" customHeight="false" outlineLevel="0" collapsed="false">
      <c r="A21" s="2"/>
      <c r="B21" s="5" t="s">
        <v>2748</v>
      </c>
      <c r="C21" s="106" t="n">
        <f aca="false">COUNTIF(Simulation!$BF$16:$BF$1015,"&gt;0")/1000</f>
        <v>1</v>
      </c>
      <c r="D21" s="2"/>
      <c r="E21" s="24"/>
      <c r="F21" s="2"/>
      <c r="G21" s="2"/>
      <c r="H21" s="2"/>
      <c r="I21" s="2"/>
      <c r="J21" s="2"/>
    </row>
    <row r="22" customFormat="false" ht="15" hidden="false" customHeight="false" outlineLevel="0" collapsed="false">
      <c r="A22" s="2"/>
      <c r="B22" s="5" t="s">
        <v>2749</v>
      </c>
      <c r="C22" s="106" t="n">
        <f aca="false">COUNTIF(Simulation!$BA$16:$BA$1015,"&lt;"&amp;Entrées!$C$151/100)/1000</f>
        <v>0</v>
      </c>
      <c r="D22" s="2"/>
      <c r="E22" s="24" t="s">
        <v>2750</v>
      </c>
      <c r="F22" s="2"/>
      <c r="G22" s="2"/>
      <c r="H22" s="2"/>
      <c r="I22" s="2"/>
      <c r="J22" s="2"/>
    </row>
    <row r="23" customFormat="false" ht="15" hidden="false" customHeight="false" outlineLevel="0" collapsed="false">
      <c r="A23" s="2"/>
      <c r="B23" s="5" t="s">
        <v>2751</v>
      </c>
      <c r="C23" s="106" t="n">
        <f aca="false">SUMPRODUCT((Simulation!$BF$16:$BF$1015&lt;Simulation!$AV$16:$AV$1015)*1)/1000</f>
        <v>0</v>
      </c>
      <c r="D23" s="2"/>
      <c r="E23" s="24"/>
      <c r="F23" s="2"/>
      <c r="G23" s="2"/>
      <c r="H23" s="2"/>
      <c r="I23" s="2"/>
      <c r="J23" s="2"/>
    </row>
    <row r="24" customFormat="false" ht="15" hidden="false" customHeight="false" outlineLevel="0" collapsed="false">
      <c r="A24" s="2"/>
      <c r="B24" s="5" t="s">
        <v>2752</v>
      </c>
      <c r="C24" s="106" t="n">
        <f aca="false">COUNTIF(Simulation!$AJ$16:$AJ$1015,"&gt;3.1")/1000</f>
        <v>0</v>
      </c>
      <c r="D24" s="2"/>
      <c r="E24" s="24" t="s">
        <v>2753</v>
      </c>
      <c r="F24" s="2"/>
      <c r="G24" s="2"/>
      <c r="H24" s="2"/>
      <c r="I24" s="2"/>
      <c r="J24" s="2"/>
    </row>
    <row r="25" customFormat="false" ht="15" hidden="false" customHeight="false" outlineLevel="0" collapsed="false">
      <c r="A25" s="2"/>
      <c r="B25" s="22" t="s">
        <v>2754</v>
      </c>
      <c r="C25" s="106" t="n">
        <f aca="false">COUNTIF(Simulation!$BH$16:$BH$1015,"&gt;=1000")/1000</f>
        <v>0.968</v>
      </c>
      <c r="D25" s="2"/>
      <c r="E25" s="24" t="s">
        <v>2755</v>
      </c>
      <c r="F25" s="2"/>
      <c r="G25" s="2"/>
      <c r="H25" s="2"/>
      <c r="I25" s="2"/>
      <c r="J25" s="2"/>
    </row>
    <row r="26" customFormat="false" ht="15" hidden="false" customHeight="false" outlineLevel="0" collapsed="false">
      <c r="A26" s="2"/>
      <c r="B26" s="5" t="s">
        <v>2756</v>
      </c>
      <c r="C26" s="106" t="n">
        <f aca="false">COUNTIF(Simulation!$BH$16:$BH$1015,"&gt;=2000")/1000</f>
        <v>0.604</v>
      </c>
      <c r="D26" s="2"/>
      <c r="E26" s="24"/>
      <c r="F26" s="2"/>
      <c r="G26" s="2"/>
      <c r="H26" s="2"/>
      <c r="I26" s="2"/>
      <c r="J26" s="2"/>
    </row>
    <row r="27" customFormat="false" ht="15" hidden="false" customHeight="false" outlineLevel="0" collapsed="false">
      <c r="A27" s="2"/>
      <c r="B27" s="5" t="s">
        <v>2757</v>
      </c>
      <c r="C27" s="106" t="n">
        <f aca="false">COUNTIF(Simulation!$BH$16:$BH$1015,"&gt;=3000")/1000</f>
        <v>0.118</v>
      </c>
      <c r="D27" s="2"/>
      <c r="E27" s="24"/>
      <c r="F27" s="2"/>
      <c r="G27" s="2"/>
      <c r="H27" s="2"/>
      <c r="I27" s="2"/>
      <c r="J27" s="2"/>
    </row>
    <row r="28" customFormat="false" ht="15" hidden="false" customHeight="false" outlineLevel="0" collapsed="false">
      <c r="A28" s="2"/>
      <c r="B28" s="5" t="s">
        <v>2758</v>
      </c>
      <c r="C28" s="106" t="n">
        <f aca="false">COUNTIF(Simulation!$AX$16:$AX$1015,"&gt;=0")/1000</f>
        <v>0.402</v>
      </c>
      <c r="D28" s="2"/>
      <c r="E28" s="24"/>
      <c r="F28" s="2"/>
      <c r="G28" s="2"/>
      <c r="H28" s="2"/>
      <c r="I28" s="2"/>
      <c r="J28" s="2"/>
    </row>
    <row r="29" customFormat="false" ht="15" hidden="false" customHeight="false" outlineLevel="0" collapsed="false">
      <c r="A29" s="2"/>
      <c r="B29" s="5" t="s">
        <v>2759</v>
      </c>
      <c r="C29" s="58" t="n">
        <f aca="false">COUNTIF(Simulation!$BG$16:$BG$1015,"&lt;0")</f>
        <v>0</v>
      </c>
      <c r="D29" s="2"/>
      <c r="E29" s="24" t="s">
        <v>2760</v>
      </c>
      <c r="F29" s="2"/>
      <c r="G29" s="2"/>
      <c r="H29" s="2"/>
      <c r="I29" s="2"/>
      <c r="J29" s="2"/>
    </row>
    <row r="30" customFormat="false" ht="15" hidden="false" customHeight="false" outlineLevel="0" collapsed="false">
      <c r="A30" s="2"/>
      <c r="B30" s="2"/>
      <c r="C30" s="2"/>
      <c r="D30" s="2"/>
      <c r="E30" s="2"/>
      <c r="F30" s="2"/>
      <c r="G30" s="2"/>
      <c r="H30" s="2"/>
      <c r="I30" s="2"/>
      <c r="J30" s="2"/>
    </row>
    <row r="31" customFormat="false" ht="15" hidden="false" customHeight="false" outlineLevel="0" collapsed="false">
      <c r="A31" s="22" t="s">
        <v>2308</v>
      </c>
      <c r="B31" s="22" t="s">
        <v>2761</v>
      </c>
      <c r="C31" s="2"/>
      <c r="D31" s="2"/>
      <c r="E31" s="2"/>
      <c r="F31" s="2"/>
      <c r="G31" s="2"/>
      <c r="H31" s="2"/>
      <c r="I31" s="2"/>
      <c r="J31" s="2"/>
    </row>
    <row r="32" customFormat="false" ht="15" hidden="false" customHeight="false" outlineLevel="0" collapsed="false">
      <c r="A32" s="21"/>
      <c r="B32" s="21" t="s">
        <v>2762</v>
      </c>
      <c r="C32" s="21" t="s">
        <v>2763</v>
      </c>
      <c r="D32" s="21" t="s">
        <v>2764</v>
      </c>
      <c r="E32" s="21" t="s">
        <v>2765</v>
      </c>
      <c r="F32" s="2"/>
      <c r="G32" s="2"/>
      <c r="H32" s="2"/>
      <c r="I32" s="2"/>
      <c r="J32" s="2"/>
    </row>
    <row r="33" customFormat="false" ht="15" hidden="false" customHeight="false" outlineLevel="0" collapsed="false">
      <c r="A33" s="2"/>
      <c r="B33" s="5" t="str">
        <f aca="false">TEXT(C33,"# ##0")&amp;" à "&amp;TEXT(D33,"# ##0")</f>
        <v> 198 à  381</v>
      </c>
      <c r="C33" s="64" t="n">
        <f aca="false">MIN(Simulation!$BG$16:$BG$1015)+(MAX(Simulation!$BG$16:$BG$1015)-MIN(Simulation!$BG$16:$BG$1015))*0/14</f>
        <v>197.530987414004</v>
      </c>
      <c r="D33" s="64" t="n">
        <f aca="false">MIN(Simulation!$BG$16:$BG$1015)+(MAX(Simulation!$BG$16:$BG$1015)-MIN(Simulation!$BG$16:$BG$1015))*1/14</f>
        <v>380.562962152346</v>
      </c>
      <c r="E33" s="83" t="n">
        <f aca="false">COUNTIFS(Simulation!$BG$16:$BG$1015,"&gt;="&amp;C33,Simulation!$BG$16:$BG$1015,"&lt;"&amp;D33)</f>
        <v>4</v>
      </c>
      <c r="F33" s="2"/>
      <c r="G33" s="2"/>
      <c r="H33" s="2"/>
      <c r="I33" s="2"/>
      <c r="J33" s="2"/>
    </row>
    <row r="34" customFormat="false" ht="15" hidden="false" customHeight="false" outlineLevel="0" collapsed="false">
      <c r="A34" s="2"/>
      <c r="B34" s="5" t="str">
        <f aca="false">TEXT(C34,"# ##0")&amp;" à "&amp;TEXT(D34,"# ##0")</f>
        <v> 381 à  564</v>
      </c>
      <c r="C34" s="64" t="n">
        <f aca="false">MIN(Simulation!$BG$16:$BG$1015)+(MAX(Simulation!$BG$16:$BG$1015)-MIN(Simulation!$BG$16:$BG$1015))*1/14</f>
        <v>380.562962152346</v>
      </c>
      <c r="D34" s="64" t="n">
        <f aca="false">MIN(Simulation!$BG$16:$BG$1015)+(MAX(Simulation!$BG$16:$BG$1015)-MIN(Simulation!$BG$16:$BG$1015))*2/14</f>
        <v>563.594936890689</v>
      </c>
      <c r="E34" s="83" t="n">
        <f aca="false">COUNTIFS(Simulation!$BG$16:$BG$1015,"&gt;="&amp;C34,Simulation!$BG$16:$BG$1015,"&lt;"&amp;D34)</f>
        <v>14</v>
      </c>
      <c r="F34" s="2"/>
      <c r="G34" s="2"/>
      <c r="H34" s="2"/>
      <c r="I34" s="2"/>
      <c r="J34" s="2"/>
    </row>
    <row r="35" customFormat="false" ht="15" hidden="false" customHeight="false" outlineLevel="0" collapsed="false">
      <c r="A35" s="2"/>
      <c r="B35" s="5" t="str">
        <f aca="false">TEXT(C35,"# ##0")&amp;" à "&amp;TEXT(D35,"# ##0")</f>
        <v> 564 à  747</v>
      </c>
      <c r="C35" s="64" t="n">
        <f aca="false">MIN(Simulation!$BG$16:$BG$1015)+(MAX(Simulation!$BG$16:$BG$1015)-MIN(Simulation!$BG$16:$BG$1015))*2/14</f>
        <v>563.594936890689</v>
      </c>
      <c r="D35" s="64" t="n">
        <f aca="false">MIN(Simulation!$BG$16:$BG$1015)+(MAX(Simulation!$BG$16:$BG$1015)-MIN(Simulation!$BG$16:$BG$1015))*3/14</f>
        <v>746.626911629031</v>
      </c>
      <c r="E35" s="83" t="n">
        <f aca="false">COUNTIFS(Simulation!$BG$16:$BG$1015,"&gt;="&amp;C35,Simulation!$BG$16:$BG$1015,"&lt;"&amp;D35)</f>
        <v>36</v>
      </c>
      <c r="F35" s="2"/>
      <c r="G35" s="2"/>
      <c r="H35" s="2"/>
      <c r="I35" s="2"/>
      <c r="J35" s="2"/>
    </row>
    <row r="36" customFormat="false" ht="15" hidden="false" customHeight="false" outlineLevel="0" collapsed="false">
      <c r="A36" s="2"/>
      <c r="B36" s="5" t="str">
        <f aca="false">TEXT(C36,"# ##0")&amp;" à "&amp;TEXT(D36,"# ##0")</f>
        <v> 747 à  930</v>
      </c>
      <c r="C36" s="64" t="n">
        <f aca="false">MIN(Simulation!$BG$16:$BG$1015)+(MAX(Simulation!$BG$16:$BG$1015)-MIN(Simulation!$BG$16:$BG$1015))*3/14</f>
        <v>746.626911629031</v>
      </c>
      <c r="D36" s="64" t="n">
        <f aca="false">MIN(Simulation!$BG$16:$BG$1015)+(MAX(Simulation!$BG$16:$BG$1015)-MIN(Simulation!$BG$16:$BG$1015))*4/14</f>
        <v>929.658886367374</v>
      </c>
      <c r="E36" s="83" t="n">
        <f aca="false">COUNTIFS(Simulation!$BG$16:$BG$1015,"&gt;="&amp;C36,Simulation!$BG$16:$BG$1015,"&lt;"&amp;D36)</f>
        <v>60</v>
      </c>
      <c r="F36" s="2"/>
      <c r="G36" s="2"/>
      <c r="H36" s="2"/>
      <c r="I36" s="2"/>
      <c r="J36" s="2"/>
    </row>
    <row r="37" customFormat="false" ht="15" hidden="false" customHeight="false" outlineLevel="0" collapsed="false">
      <c r="A37" s="2"/>
      <c r="B37" s="5" t="str">
        <f aca="false">TEXT(C37,"# ##0")&amp;" à "&amp;TEXT(D37,"# ##0")</f>
        <v> 930 à 1 113</v>
      </c>
      <c r="C37" s="64" t="n">
        <f aca="false">MIN(Simulation!$BG$16:$BG$1015)+(MAX(Simulation!$BG$16:$BG$1015)-MIN(Simulation!$BG$16:$BG$1015))*4/14</f>
        <v>929.658886367374</v>
      </c>
      <c r="D37" s="64" t="n">
        <f aca="false">MIN(Simulation!$BG$16:$BG$1015)+(MAX(Simulation!$BG$16:$BG$1015)-MIN(Simulation!$BG$16:$BG$1015))*5/14</f>
        <v>1112.69086110572</v>
      </c>
      <c r="E37" s="83" t="n">
        <f aca="false">COUNTIFS(Simulation!$BG$16:$BG$1015,"&gt;="&amp;C37,Simulation!$BG$16:$BG$1015,"&lt;"&amp;D37)</f>
        <v>100</v>
      </c>
      <c r="F37" s="2"/>
      <c r="G37" s="2"/>
      <c r="H37" s="2"/>
      <c r="I37" s="2"/>
      <c r="J37" s="2"/>
    </row>
    <row r="38" customFormat="false" ht="15" hidden="false" customHeight="false" outlineLevel="0" collapsed="false">
      <c r="A38" s="2"/>
      <c r="B38" s="5" t="str">
        <f aca="false">TEXT(C38,"# ##0")&amp;" à "&amp;TEXT(D38,"# ##0")</f>
        <v>1 113 à 1 296</v>
      </c>
      <c r="C38" s="64" t="n">
        <f aca="false">MIN(Simulation!$BG$16:$BG$1015)+(MAX(Simulation!$BG$16:$BG$1015)-MIN(Simulation!$BG$16:$BG$1015))*5/14</f>
        <v>1112.69086110572</v>
      </c>
      <c r="D38" s="64" t="n">
        <f aca="false">MIN(Simulation!$BG$16:$BG$1015)+(MAX(Simulation!$BG$16:$BG$1015)-MIN(Simulation!$BG$16:$BG$1015))*6/14</f>
        <v>1295.72283584406</v>
      </c>
      <c r="E38" s="83" t="n">
        <f aca="false">COUNTIFS(Simulation!$BG$16:$BG$1015,"&gt;="&amp;C38,Simulation!$BG$16:$BG$1015,"&lt;"&amp;D38)</f>
        <v>146</v>
      </c>
      <c r="F38" s="2"/>
      <c r="G38" s="2"/>
      <c r="H38" s="2"/>
      <c r="I38" s="2"/>
      <c r="J38" s="2"/>
    </row>
    <row r="39" customFormat="false" ht="15" hidden="false" customHeight="false" outlineLevel="0" collapsed="false">
      <c r="A39" s="2"/>
      <c r="B39" s="5" t="str">
        <f aca="false">TEXT(C39,"# ##0")&amp;" à "&amp;TEXT(D39,"# ##0")</f>
        <v>1 296 à 1 479</v>
      </c>
      <c r="C39" s="64" t="n">
        <f aca="false">MIN(Simulation!$BG$16:$BG$1015)+(MAX(Simulation!$BG$16:$BG$1015)-MIN(Simulation!$BG$16:$BG$1015))*6/14</f>
        <v>1295.72283584406</v>
      </c>
      <c r="D39" s="64" t="n">
        <f aca="false">MIN(Simulation!$BG$16:$BG$1015)+(MAX(Simulation!$BG$16:$BG$1015)-MIN(Simulation!$BG$16:$BG$1015))*7/14</f>
        <v>1478.7548105824</v>
      </c>
      <c r="E39" s="83" t="n">
        <f aca="false">COUNTIFS(Simulation!$BG$16:$BG$1015,"&gt;="&amp;C39,Simulation!$BG$16:$BG$1015,"&lt;"&amp;D39)</f>
        <v>156</v>
      </c>
      <c r="F39" s="2"/>
      <c r="G39" s="2"/>
      <c r="H39" s="2"/>
      <c r="I39" s="2"/>
      <c r="J39" s="2"/>
    </row>
    <row r="40" customFormat="false" ht="15" hidden="false" customHeight="false" outlineLevel="0" collapsed="false">
      <c r="A40" s="2"/>
      <c r="B40" s="5" t="str">
        <f aca="false">TEXT(C40,"# ##0")&amp;" à "&amp;TEXT(D40,"# ##0")</f>
        <v>1 479 à 1 662</v>
      </c>
      <c r="C40" s="64" t="n">
        <f aca="false">MIN(Simulation!$BG$16:$BG$1015)+(MAX(Simulation!$BG$16:$BG$1015)-MIN(Simulation!$BG$16:$BG$1015))*7/14</f>
        <v>1478.7548105824</v>
      </c>
      <c r="D40" s="64" t="n">
        <f aca="false">MIN(Simulation!$BG$16:$BG$1015)+(MAX(Simulation!$BG$16:$BG$1015)-MIN(Simulation!$BG$16:$BG$1015))*8/14</f>
        <v>1661.78678532074</v>
      </c>
      <c r="E40" s="83" t="n">
        <f aca="false">COUNTIFS(Simulation!$BG$16:$BG$1015,"&gt;="&amp;C40,Simulation!$BG$16:$BG$1015,"&lt;"&amp;D40)</f>
        <v>142</v>
      </c>
      <c r="F40" s="2"/>
      <c r="G40" s="2"/>
      <c r="H40" s="2"/>
      <c r="I40" s="2"/>
      <c r="J40" s="2"/>
    </row>
    <row r="41" customFormat="false" ht="15" hidden="false" customHeight="false" outlineLevel="0" collapsed="false">
      <c r="A41" s="2"/>
      <c r="B41" s="5" t="str">
        <f aca="false">TEXT(C41,"# ##0")&amp;" à "&amp;TEXT(D41,"# ##0")</f>
        <v>1 662 à 1 845</v>
      </c>
      <c r="C41" s="64" t="n">
        <f aca="false">MIN(Simulation!$BG$16:$BG$1015)+(MAX(Simulation!$BG$16:$BG$1015)-MIN(Simulation!$BG$16:$BG$1015))*8/14</f>
        <v>1661.78678532074</v>
      </c>
      <c r="D41" s="64" t="n">
        <f aca="false">MIN(Simulation!$BG$16:$BG$1015)+(MAX(Simulation!$BG$16:$BG$1015)-MIN(Simulation!$BG$16:$BG$1015))*9/14</f>
        <v>1844.81876005909</v>
      </c>
      <c r="E41" s="83" t="n">
        <f aca="false">COUNTIFS(Simulation!$BG$16:$BG$1015,"&gt;="&amp;C41,Simulation!$BG$16:$BG$1015,"&lt;"&amp;D41)</f>
        <v>114</v>
      </c>
      <c r="F41" s="2"/>
      <c r="G41" s="2"/>
      <c r="H41" s="2"/>
      <c r="I41" s="2"/>
      <c r="J41" s="2"/>
    </row>
    <row r="42" customFormat="false" ht="15" hidden="false" customHeight="false" outlineLevel="0" collapsed="false">
      <c r="A42" s="2"/>
      <c r="B42" s="5" t="str">
        <f aca="false">TEXT(C42,"# ##0")&amp;" à "&amp;TEXT(D42,"# ##0")</f>
        <v>1 845 à 2 028</v>
      </c>
      <c r="C42" s="64" t="n">
        <f aca="false">MIN(Simulation!$BG$16:$BG$1015)+(MAX(Simulation!$BG$16:$BG$1015)-MIN(Simulation!$BG$16:$BG$1015))*9/14</f>
        <v>1844.81876005909</v>
      </c>
      <c r="D42" s="64" t="n">
        <f aca="false">MIN(Simulation!$BG$16:$BG$1015)+(MAX(Simulation!$BG$16:$BG$1015)-MIN(Simulation!$BG$16:$BG$1015))*10/14</f>
        <v>2027.85073479743</v>
      </c>
      <c r="E42" s="83" t="n">
        <f aca="false">COUNTIFS(Simulation!$BG$16:$BG$1015,"&gt;="&amp;C42,Simulation!$BG$16:$BG$1015,"&lt;"&amp;D42)</f>
        <v>87</v>
      </c>
      <c r="F42" s="2"/>
      <c r="G42" s="2"/>
      <c r="H42" s="2"/>
      <c r="I42" s="2"/>
      <c r="J42" s="2"/>
    </row>
    <row r="43" customFormat="false" ht="15" hidden="false" customHeight="false" outlineLevel="0" collapsed="false">
      <c r="A43" s="2"/>
      <c r="B43" s="5" t="str">
        <f aca="false">TEXT(C43,"# ##0")&amp;" à "&amp;TEXT(D43,"# ##0")</f>
        <v>2 028 à 2 211</v>
      </c>
      <c r="C43" s="64" t="n">
        <f aca="false">MIN(Simulation!$BG$16:$BG$1015)+(MAX(Simulation!$BG$16:$BG$1015)-MIN(Simulation!$BG$16:$BG$1015))*10/14</f>
        <v>2027.85073479743</v>
      </c>
      <c r="D43" s="64" t="n">
        <f aca="false">MIN(Simulation!$BG$16:$BG$1015)+(MAX(Simulation!$BG$16:$BG$1015)-MIN(Simulation!$BG$16:$BG$1015))*11/14</f>
        <v>2210.88270953577</v>
      </c>
      <c r="E43" s="83" t="n">
        <f aca="false">COUNTIFS(Simulation!$BG$16:$BG$1015,"&gt;="&amp;C43,Simulation!$BG$16:$BG$1015,"&lt;"&amp;D43)</f>
        <v>64</v>
      </c>
      <c r="F43" s="2"/>
      <c r="G43" s="2"/>
      <c r="H43" s="2"/>
      <c r="I43" s="2"/>
      <c r="J43" s="2"/>
    </row>
    <row r="44" customFormat="false" ht="15" hidden="false" customHeight="false" outlineLevel="0" collapsed="false">
      <c r="A44" s="2"/>
      <c r="B44" s="5" t="str">
        <f aca="false">TEXT(C44,"# ##0")&amp;" à "&amp;TEXT(D44,"# ##0")</f>
        <v>2 211 à 2 394</v>
      </c>
      <c r="C44" s="64" t="n">
        <f aca="false">MIN(Simulation!$BG$16:$BG$1015)+(MAX(Simulation!$BG$16:$BG$1015)-MIN(Simulation!$BG$16:$BG$1015))*11/14</f>
        <v>2210.88270953577</v>
      </c>
      <c r="D44" s="64" t="n">
        <f aca="false">MIN(Simulation!$BG$16:$BG$1015)+(MAX(Simulation!$BG$16:$BG$1015)-MIN(Simulation!$BG$16:$BG$1015))*12/14</f>
        <v>2393.91468427411</v>
      </c>
      <c r="E44" s="83" t="n">
        <f aca="false">COUNTIFS(Simulation!$BG$16:$BG$1015,"&gt;="&amp;C44,Simulation!$BG$16:$BG$1015,"&lt;"&amp;D44)</f>
        <v>42</v>
      </c>
      <c r="F44" s="2"/>
      <c r="G44" s="2"/>
      <c r="H44" s="2"/>
      <c r="I44" s="2"/>
      <c r="J44" s="2"/>
    </row>
    <row r="45" customFormat="false" ht="15" hidden="false" customHeight="false" outlineLevel="0" collapsed="false">
      <c r="A45" s="2"/>
      <c r="B45" s="5" t="str">
        <f aca="false">TEXT(C45,"# ##0")&amp;" à "&amp;TEXT(D45,"# ##0")</f>
        <v>2 394 à 2 577</v>
      </c>
      <c r="C45" s="64" t="n">
        <f aca="false">MIN(Simulation!$BG$16:$BG$1015)+(MAX(Simulation!$BG$16:$BG$1015)-MIN(Simulation!$BG$16:$BG$1015))*12/14</f>
        <v>2393.91468427411</v>
      </c>
      <c r="D45" s="64" t="n">
        <f aca="false">MIN(Simulation!$BG$16:$BG$1015)+(MAX(Simulation!$BG$16:$BG$1015)-MIN(Simulation!$BG$16:$BG$1015))*13/14</f>
        <v>2576.94665901246</v>
      </c>
      <c r="E45" s="83" t="n">
        <f aca="false">COUNTIFS(Simulation!$BG$16:$BG$1015,"&gt;="&amp;C45,Simulation!$BG$16:$BG$1015,"&lt;"&amp;D45)</f>
        <v>25</v>
      </c>
      <c r="F45" s="2"/>
      <c r="G45" s="2"/>
      <c r="H45" s="2"/>
      <c r="I45" s="2"/>
      <c r="J45" s="2"/>
    </row>
    <row r="46" customFormat="false" ht="15" hidden="false" customHeight="false" outlineLevel="0" collapsed="false">
      <c r="A46" s="2"/>
      <c r="B46" s="5" t="str">
        <f aca="false">TEXT(C46,"# ##0")&amp;" à "&amp;TEXT(D46,"# ##0")</f>
        <v>2 577 à 2 760</v>
      </c>
      <c r="C46" s="64" t="n">
        <f aca="false">MIN(Simulation!$BG$16:$BG$1015)+(MAX(Simulation!$BG$16:$BG$1015)-MIN(Simulation!$BG$16:$BG$1015))*13/14</f>
        <v>2576.94665901246</v>
      </c>
      <c r="D46" s="64" t="n">
        <f aca="false">MIN(Simulation!$BG$16:$BG$1015)+(MAX(Simulation!$BG$16:$BG$1015)-MIN(Simulation!$BG$16:$BG$1015))*14/14</f>
        <v>2759.9786337508</v>
      </c>
      <c r="E46" s="83" t="n">
        <f aca="false">COUNTIFS(Simulation!$BG$16:$BG$1015,"&gt;="&amp;C46,Simulation!$BG$16:$BG$1015,"&lt;="&amp;D46)</f>
        <v>10</v>
      </c>
      <c r="F46" s="2"/>
      <c r="G46" s="2"/>
      <c r="H46" s="2"/>
      <c r="I46" s="2"/>
      <c r="J46" s="2"/>
    </row>
    <row r="47" customFormat="false" ht="15" hidden="false" customHeight="false" outlineLevel="0" collapsed="false">
      <c r="A47" s="2"/>
      <c r="B47" s="2"/>
      <c r="C47" s="2"/>
      <c r="D47" s="2"/>
      <c r="E47" s="2"/>
      <c r="F47" s="2"/>
      <c r="G47" s="2"/>
      <c r="H47" s="2"/>
      <c r="I47" s="2"/>
      <c r="J47" s="2"/>
    </row>
    <row r="48" customFormat="false" ht="15" hidden="false" customHeight="false" outlineLevel="0" collapsed="false">
      <c r="A48" s="22" t="s">
        <v>2457</v>
      </c>
      <c r="B48" s="22" t="s">
        <v>2766</v>
      </c>
      <c r="C48" s="2"/>
      <c r="D48" s="2"/>
      <c r="E48" s="2"/>
      <c r="F48" s="2"/>
      <c r="G48" s="2"/>
      <c r="H48" s="2"/>
      <c r="I48" s="2"/>
      <c r="J48" s="2"/>
    </row>
    <row r="49" customFormat="false" ht="15" hidden="false" customHeight="false" outlineLevel="0" collapsed="false">
      <c r="A49" s="21"/>
      <c r="B49" s="21" t="s">
        <v>2387</v>
      </c>
      <c r="C49" s="21" t="s">
        <v>2729</v>
      </c>
      <c r="D49" s="21" t="s">
        <v>2730</v>
      </c>
      <c r="E49" s="21" t="s">
        <v>2731</v>
      </c>
      <c r="F49" s="2"/>
      <c r="G49" s="2"/>
      <c r="H49" s="2"/>
      <c r="I49" s="2"/>
      <c r="J49" s="2"/>
    </row>
    <row r="50" customFormat="false" ht="15" hidden="false" customHeight="false" outlineLevel="0" collapsed="false">
      <c r="A50" s="2"/>
      <c r="B50" s="25" t="s">
        <v>225</v>
      </c>
      <c r="C50" s="63" t="n">
        <f aca="false">Entrées!$C$25</f>
        <v>2.63</v>
      </c>
      <c r="D50" s="63" t="n">
        <f aca="false">Entrées!$C$25</f>
        <v>2.63</v>
      </c>
      <c r="E50" s="63" t="n">
        <f aca="false">Entrées!$C$25</f>
        <v>2.63</v>
      </c>
      <c r="F50" s="2"/>
      <c r="G50" s="2"/>
      <c r="H50" s="2"/>
      <c r="I50" s="2"/>
      <c r="J50" s="2"/>
    </row>
    <row r="51" customFormat="false" ht="15" hidden="false" customHeight="false" outlineLevel="0" collapsed="false">
      <c r="A51" s="2"/>
      <c r="B51" s="25" t="s">
        <v>170</v>
      </c>
      <c r="C51" s="63" t="n">
        <f aca="false">Entrées!$C$21</f>
        <v>2.79</v>
      </c>
      <c r="D51" s="63" t="n">
        <f aca="false">Entrées!$C$21</f>
        <v>2.79</v>
      </c>
      <c r="E51" s="63" t="n">
        <f aca="false">Entrées!$C$21</f>
        <v>2.79</v>
      </c>
      <c r="F51" s="2"/>
      <c r="G51" s="2"/>
      <c r="H51" s="2"/>
      <c r="I51" s="2"/>
      <c r="J51" s="2"/>
    </row>
    <row r="52" customFormat="false" ht="15" hidden="false" customHeight="false" outlineLevel="0" collapsed="false">
      <c r="A52" s="2"/>
      <c r="B52" s="25" t="s">
        <v>191</v>
      </c>
      <c r="C52" s="75" t="n">
        <f aca="false">PERCENTILE(Simulation!$AJ$16:$AJ$1015,0.1)</f>
        <v>2.99350186301195</v>
      </c>
      <c r="D52" s="75" t="n">
        <f aca="false">PERCENTILE(Simulation!$AJ$16:$AJ$1015,0.5)</f>
        <v>3.02389474701088</v>
      </c>
      <c r="E52" s="75" t="n">
        <f aca="false">PERCENTILE(Simulation!$AJ$16:$AJ$1015,0.9)</f>
        <v>3.05847171369862</v>
      </c>
      <c r="F52" s="2"/>
      <c r="G52" s="2"/>
      <c r="H52" s="2"/>
      <c r="I52" s="2"/>
      <c r="J52" s="2"/>
    </row>
    <row r="53" customFormat="false" ht="15" hidden="false" customHeight="false" outlineLevel="0" collapsed="false">
      <c r="A53" s="2"/>
      <c r="B53" s="25" t="s">
        <v>156</v>
      </c>
      <c r="C53" s="75" t="n">
        <f aca="false">PERCENTILE(Simulation!$AU$16:$AU$1015,0.1)</f>
        <v>2.73249996306606</v>
      </c>
      <c r="D53" s="75" t="n">
        <f aca="false">PERCENTILE(Simulation!$AU$16:$AU$1015,0.5)</f>
        <v>2.81664604153481</v>
      </c>
      <c r="E53" s="75" t="n">
        <f aca="false">PERCENTILE(Simulation!$AU$16:$AU$1015,0.9)</f>
        <v>2.88806102363927</v>
      </c>
      <c r="F53" s="2"/>
      <c r="G53" s="2"/>
      <c r="H53" s="2"/>
      <c r="I53" s="2"/>
      <c r="J53" s="2"/>
    </row>
    <row r="54" customFormat="false" ht="15" hidden="false" customHeight="false" outlineLevel="0" collapsed="false">
      <c r="A54" s="2"/>
      <c r="B54" s="2"/>
      <c r="C54" s="2"/>
      <c r="D54" s="2"/>
      <c r="E54" s="2"/>
      <c r="F54" s="2"/>
      <c r="G54" s="2"/>
      <c r="H54" s="2"/>
      <c r="I54" s="2"/>
      <c r="J54" s="2"/>
    </row>
    <row r="55" customFormat="false" ht="43.5" hidden="false" customHeight="true" outlineLevel="0" collapsed="false">
      <c r="A55" s="2"/>
      <c r="B55" s="69" t="s">
        <v>2767</v>
      </c>
      <c r="C55" s="69"/>
      <c r="D55" s="69"/>
      <c r="E55" s="69"/>
      <c r="F55" s="69"/>
      <c r="G55" s="69"/>
      <c r="H55" s="69"/>
      <c r="I55" s="69"/>
      <c r="J55" s="69"/>
    </row>
  </sheetData>
  <mergeCells count="1">
    <mergeCell ref="B55:J55"/>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customHeight="true" zeroHeight="false" outlineLevelRow="0" outlineLevelCol="0"/>
  <cols>
    <col collapsed="false" customWidth="true" hidden="false" outlineLevel="0" max="1" min="1" style="0" width="4"/>
    <col collapsed="false" customWidth="true" hidden="false" outlineLevel="0" max="2" min="2" style="0" width="58"/>
    <col collapsed="false" customWidth="true" hidden="false" outlineLevel="0" max="6" min="3" style="0" width="11"/>
    <col collapsed="false" customWidth="true" hidden="false" outlineLevel="0" max="7" min="7" style="0" width="10"/>
    <col collapsed="false" customWidth="true" hidden="false" outlineLevel="0" max="8" min="8" style="0" width="12"/>
    <col collapsed="false" customWidth="true" hidden="false" outlineLevel="0" max="9" min="9" style="0" width="13"/>
    <col collapsed="false" customWidth="true" hidden="false" outlineLevel="0" max="11" min="10" style="0" width="11"/>
    <col collapsed="false" customWidth="true" hidden="false" outlineLevel="0" max="12" min="12" style="0" width="46"/>
  </cols>
  <sheetData>
    <row r="1" customFormat="false" ht="17.35" hidden="false" customHeight="false" outlineLevel="0" collapsed="false">
      <c r="A1" s="1" t="s">
        <v>2768</v>
      </c>
      <c r="B1" s="2"/>
      <c r="C1" s="2"/>
      <c r="D1" s="2"/>
      <c r="E1" s="2"/>
      <c r="F1" s="2"/>
      <c r="G1" s="2"/>
      <c r="H1" s="2"/>
      <c r="I1" s="2"/>
      <c r="J1" s="2"/>
      <c r="K1" s="2"/>
      <c r="L1" s="2"/>
    </row>
    <row r="2" customFormat="false" ht="15" hidden="false" customHeight="false" outlineLevel="0" collapsed="false">
      <c r="A2" s="3" t="s">
        <v>2769</v>
      </c>
      <c r="B2" s="2"/>
      <c r="C2" s="2"/>
      <c r="D2" s="2"/>
      <c r="E2" s="2"/>
      <c r="F2" s="2"/>
      <c r="G2" s="2"/>
      <c r="H2" s="2"/>
      <c r="I2" s="2"/>
      <c r="J2" s="2"/>
      <c r="K2" s="2"/>
      <c r="L2" s="2"/>
    </row>
    <row r="3" customFormat="false" ht="15" hidden="false" customHeight="false" outlineLevel="0" collapsed="false">
      <c r="A3" s="2"/>
      <c r="B3" s="2"/>
      <c r="C3" s="2"/>
      <c r="D3" s="2"/>
      <c r="E3" s="2"/>
      <c r="F3" s="2"/>
      <c r="G3" s="2"/>
      <c r="H3" s="2"/>
      <c r="I3" s="2"/>
      <c r="J3" s="2"/>
      <c r="K3" s="2"/>
      <c r="L3" s="2"/>
    </row>
    <row r="4" customFormat="false" ht="15" hidden="false" customHeight="false" outlineLevel="0" collapsed="false">
      <c r="A4" s="22" t="s">
        <v>2130</v>
      </c>
      <c r="B4" s="22" t="s">
        <v>2770</v>
      </c>
      <c r="C4" s="2"/>
      <c r="D4" s="2"/>
      <c r="E4" s="2"/>
      <c r="F4" s="2"/>
      <c r="G4" s="2"/>
      <c r="H4" s="2"/>
      <c r="I4" s="2"/>
      <c r="J4" s="2"/>
      <c r="K4" s="2"/>
      <c r="L4" s="2"/>
    </row>
    <row r="5" customFormat="false" ht="23.85" hidden="false" customHeight="false" outlineLevel="0" collapsed="false">
      <c r="A5" s="21"/>
      <c r="B5" s="21" t="s">
        <v>2771</v>
      </c>
      <c r="C5" s="21" t="s">
        <v>2772</v>
      </c>
      <c r="D5" s="21" t="s">
        <v>2479</v>
      </c>
      <c r="E5" s="21" t="s">
        <v>2133</v>
      </c>
      <c r="F5" s="21" t="s">
        <v>2138</v>
      </c>
      <c r="G5" s="21" t="s">
        <v>2773</v>
      </c>
      <c r="H5" s="21" t="s">
        <v>2774</v>
      </c>
      <c r="I5" s="21" t="s">
        <v>2775</v>
      </c>
      <c r="J5" s="21" t="s">
        <v>2776</v>
      </c>
      <c r="K5" s="21" t="s">
        <v>2777</v>
      </c>
      <c r="L5" s="21" t="s">
        <v>2048</v>
      </c>
    </row>
    <row r="6" customFormat="false" ht="15" hidden="false" customHeight="false" outlineLevel="0" collapsed="false">
      <c r="A6" s="2"/>
      <c r="B6" s="5" t="s">
        <v>2778</v>
      </c>
      <c r="C6" s="5"/>
      <c r="D6" s="61" t="n">
        <f aca="false">Entrées!$C$156</f>
        <v>4954</v>
      </c>
      <c r="E6" s="5"/>
      <c r="F6" s="61" t="n">
        <f aca="false">Entrées!$C$158</f>
        <v>669</v>
      </c>
      <c r="G6" s="66" t="n">
        <f aca="false">IF(AND(ISNUMBER(D6),ISNUMBER(F6),D6&lt;&gt;0),F6/D6,"")</f>
        <v>0.135042389987889</v>
      </c>
      <c r="H6" s="66" t="str">
        <f aca="false">IF(AND(ISNUMBER(E6),ISNUMBER(F6),E6&lt;&gt;0),F6/E6-1,"")</f>
        <v/>
      </c>
      <c r="I6" s="72" t="n">
        <f aca="false">Entrées!$C$159/100</f>
        <v>0.141</v>
      </c>
      <c r="J6" s="61" t="n">
        <f aca="false">Entrées!$C$182</f>
        <v>2213</v>
      </c>
      <c r="K6" s="61" t="n">
        <f aca="false">Entrées!$C$184</f>
        <v>294</v>
      </c>
      <c r="L6" s="24" t="s">
        <v>2779</v>
      </c>
    </row>
    <row r="7" customFormat="false" ht="15" hidden="false" customHeight="false" outlineLevel="0" collapsed="false">
      <c r="A7" s="2"/>
      <c r="B7" s="5" t="s">
        <v>2780</v>
      </c>
      <c r="C7" s="61" t="n">
        <f aca="false">Entrées!$C$170</f>
        <v>11945</v>
      </c>
      <c r="D7" s="61" t="n">
        <f aca="false">Entrées!$C$160</f>
        <v>11316</v>
      </c>
      <c r="E7" s="61" t="n">
        <f aca="false">Entrées!$C$172</f>
        <v>2025</v>
      </c>
      <c r="F7" s="61" t="n">
        <f aca="false">Entrées!$C$162</f>
        <v>2009</v>
      </c>
      <c r="G7" s="66" t="n">
        <f aca="false">IF(AND(ISNUMBER(D7),ISNUMBER(F7),D7&lt;&gt;0),F7/D7,"")</f>
        <v>0.177536231884058</v>
      </c>
      <c r="H7" s="66" t="n">
        <f aca="false">IF(AND(ISNUMBER(E7),ISNUMBER(F7),E7&lt;&gt;0),F7/E7-1,"")</f>
        <v>-0.00790123456790126</v>
      </c>
      <c r="I7" s="72" t="n">
        <f aca="false">Entrées!$C$163/100</f>
        <v>0.093</v>
      </c>
      <c r="J7" s="61" t="n">
        <f aca="false">Entrées!$C$215</f>
        <v>5747</v>
      </c>
      <c r="K7" s="61" t="n">
        <f aca="false">Entrées!$C$102</f>
        <v>991</v>
      </c>
      <c r="L7" s="24" t="s">
        <v>2781</v>
      </c>
    </row>
    <row r="8" customFormat="false" ht="15" hidden="false" customHeight="false" outlineLevel="0" collapsed="false">
      <c r="A8" s="2"/>
      <c r="B8" s="5" t="s">
        <v>2782</v>
      </c>
      <c r="C8" s="61" t="n">
        <f aca="false">Entrées!$C$169</f>
        <v>18619</v>
      </c>
      <c r="D8" s="61" t="n">
        <f aca="false">Entrées!$C$164</f>
        <v>19206</v>
      </c>
      <c r="E8" s="61" t="n">
        <f aca="false">Entrées!$C$171</f>
        <v>2642</v>
      </c>
      <c r="F8" s="61" t="n">
        <f aca="false">Entrées!$C$165</f>
        <v>2758</v>
      </c>
      <c r="G8" s="66" t="n">
        <f aca="false">IF(AND(ISNUMBER(D8),ISNUMBER(F8),D8&lt;&gt;0),F8/D8,"")</f>
        <v>0.143600958033948</v>
      </c>
      <c r="H8" s="66" t="n">
        <f aca="false">IF(AND(ISNUMBER(E8),ISNUMBER(F8),E8&lt;&gt;0),F8/E8-1,"")</f>
        <v>0.0439061317183951</v>
      </c>
      <c r="I8" s="72" t="n">
        <f aca="false">Entrées!$C$166/100</f>
        <v>0.018</v>
      </c>
      <c r="J8" s="61" t="n">
        <f aca="false">Entrées!$C$216</f>
        <v>9905</v>
      </c>
      <c r="K8" s="5"/>
      <c r="L8" s="24" t="s">
        <v>2783</v>
      </c>
    </row>
    <row r="9" customFormat="false" ht="15" hidden="false" customHeight="false" outlineLevel="0" collapsed="false">
      <c r="A9" s="2"/>
      <c r="B9" s="5" t="s">
        <v>2784</v>
      </c>
      <c r="C9" s="61" t="n">
        <f aca="false">Entrées!$C$168</f>
        <v>9145</v>
      </c>
      <c r="D9" s="61" t="n">
        <f aca="false">Entrées!$C$167</f>
        <v>8914</v>
      </c>
      <c r="E9" s="61" t="n">
        <f aca="false">Entrées!$C$42</f>
        <v>1392</v>
      </c>
      <c r="F9" s="61" t="n">
        <f aca="false">Entrées!$C$43</f>
        <v>1475</v>
      </c>
      <c r="G9" s="66" t="n">
        <f aca="false">IF(AND(ISNUMBER(D9),ISNUMBER(F9),D9&lt;&gt;0),F9/D9,"")</f>
        <v>0.165470047116895</v>
      </c>
      <c r="H9" s="66" t="n">
        <f aca="false">IF(AND(ISNUMBER(E9),ISNUMBER(F9),E9&lt;&gt;0),F9/E9-1,"")</f>
        <v>0.0596264367816093</v>
      </c>
      <c r="I9" s="5"/>
      <c r="J9" s="5"/>
      <c r="K9" s="61" t="n">
        <f aca="false">Entrées!$C$100</f>
        <v>676</v>
      </c>
      <c r="L9" s="24" t="s">
        <v>2785</v>
      </c>
    </row>
    <row r="10" customFormat="false" ht="15" hidden="false" customHeight="false" outlineLevel="0" collapsed="false">
      <c r="A10" s="2"/>
      <c r="B10" s="22" t="s">
        <v>2786</v>
      </c>
      <c r="C10" s="45" t="n">
        <f aca="false">SUM(C6:C9)</f>
        <v>39709</v>
      </c>
      <c r="D10" s="45" t="n">
        <f aca="false">SUM(D6:D9)</f>
        <v>44390</v>
      </c>
      <c r="E10" s="45" t="n">
        <f aca="false">SUM(E6:E9)</f>
        <v>6059</v>
      </c>
      <c r="F10" s="45" t="n">
        <f aca="false">SUM(F6:F9)</f>
        <v>6911</v>
      </c>
      <c r="G10" s="2"/>
      <c r="H10" s="2"/>
      <c r="I10" s="2"/>
      <c r="J10" s="2"/>
      <c r="K10" s="2"/>
      <c r="L10" s="2"/>
    </row>
    <row r="11" customFormat="false" ht="15" hidden="false" customHeight="false" outlineLevel="0" collapsed="false">
      <c r="A11" s="2"/>
      <c r="B11" s="5" t="s">
        <v>2787</v>
      </c>
      <c r="C11" s="2"/>
      <c r="D11" s="2"/>
      <c r="E11" s="61" t="n">
        <f aca="false">Entrées!$C$22</f>
        <v>6788</v>
      </c>
      <c r="F11" s="61" t="n">
        <f aca="false">Entrées!$C$8</f>
        <v>7050</v>
      </c>
      <c r="G11" s="2"/>
      <c r="H11" s="2"/>
      <c r="I11" s="2"/>
      <c r="J11" s="2"/>
      <c r="K11" s="2"/>
      <c r="L11" s="24" t="s">
        <v>2788</v>
      </c>
    </row>
    <row r="12" customFormat="false" ht="15" hidden="false" customHeight="false" outlineLevel="0" collapsed="false">
      <c r="A12" s="2"/>
      <c r="B12" s="5" t="s">
        <v>2789</v>
      </c>
      <c r="C12" s="2"/>
      <c r="D12" s="2"/>
      <c r="E12" s="107" t="s">
        <v>2519</v>
      </c>
      <c r="F12" s="64" t="n">
        <f aca="false">F11-F10</f>
        <v>139</v>
      </c>
      <c r="G12" s="2"/>
      <c r="H12" s="2"/>
      <c r="I12" s="2"/>
      <c r="J12" s="2"/>
      <c r="K12" s="2"/>
      <c r="L12" s="24" t="s">
        <v>2790</v>
      </c>
    </row>
    <row r="13" customFormat="false" ht="15" hidden="false" customHeight="false" outlineLevel="0" collapsed="false">
      <c r="A13" s="2"/>
      <c r="B13" s="2"/>
      <c r="C13" s="2"/>
      <c r="D13" s="2"/>
      <c r="E13" s="2"/>
      <c r="F13" s="2"/>
      <c r="G13" s="2"/>
      <c r="H13" s="2"/>
      <c r="I13" s="2"/>
      <c r="J13" s="2"/>
      <c r="K13" s="2"/>
      <c r="L13" s="2"/>
    </row>
    <row r="14" customFormat="false" ht="15" hidden="false" customHeight="false" outlineLevel="0" collapsed="false">
      <c r="A14" s="22" t="s">
        <v>2143</v>
      </c>
      <c r="B14" s="22" t="s">
        <v>2791</v>
      </c>
      <c r="C14" s="2"/>
      <c r="D14" s="2"/>
      <c r="E14" s="2"/>
      <c r="F14" s="2"/>
      <c r="G14" s="2"/>
      <c r="H14" s="2"/>
      <c r="I14" s="2"/>
      <c r="J14" s="2"/>
      <c r="K14" s="2"/>
      <c r="L14" s="2"/>
    </row>
    <row r="15" customFormat="false" ht="35.05" hidden="false" customHeight="false" outlineLevel="0" collapsed="false">
      <c r="A15" s="21"/>
      <c r="B15" s="21" t="s">
        <v>2792</v>
      </c>
      <c r="C15" s="21" t="s">
        <v>2772</v>
      </c>
      <c r="D15" s="21" t="s">
        <v>2479</v>
      </c>
      <c r="E15" s="21" t="s">
        <v>2133</v>
      </c>
      <c r="F15" s="21" t="s">
        <v>2138</v>
      </c>
      <c r="G15" s="21" t="s">
        <v>2773</v>
      </c>
      <c r="H15" s="21" t="s">
        <v>2793</v>
      </c>
      <c r="I15" s="21" t="s">
        <v>2775</v>
      </c>
      <c r="J15" s="21" t="s">
        <v>2776</v>
      </c>
      <c r="K15" s="21" t="s">
        <v>2777</v>
      </c>
      <c r="L15" s="21" t="s">
        <v>2048</v>
      </c>
    </row>
    <row r="16" customFormat="false" ht="15" hidden="false" customHeight="false" outlineLevel="0" collapsed="false">
      <c r="A16" s="2"/>
      <c r="B16" s="5" t="s">
        <v>2794</v>
      </c>
      <c r="C16" s="5"/>
      <c r="D16" s="61" t="n">
        <f aca="false">Entrées!$C$173</f>
        <v>13191</v>
      </c>
      <c r="E16" s="5"/>
      <c r="F16" s="61" t="n">
        <f aca="false">Entrées!$C$176</f>
        <v>1668</v>
      </c>
      <c r="G16" s="66" t="n">
        <f aca="false">IF(AND(ISNUMBER(D16),ISNUMBER(F16),D16&lt;&gt;0),F16/D16,"")</f>
        <v>0.126449852171935</v>
      </c>
      <c r="H16" s="72" t="n">
        <f aca="false">Entrées!$C$174/100</f>
        <v>0.043</v>
      </c>
      <c r="I16" s="72" t="n">
        <f aca="false">Entrées!$C$175/100</f>
        <v>0.121</v>
      </c>
      <c r="J16" s="61" t="n">
        <f aca="false">Entrées!$C$217</f>
        <v>6201</v>
      </c>
      <c r="K16" s="61" t="n">
        <f aca="false">Entrées!$C$219</f>
        <v>797</v>
      </c>
      <c r="L16" s="24" t="s">
        <v>2795</v>
      </c>
    </row>
    <row r="17" customFormat="false" ht="15" hidden="false" customHeight="false" outlineLevel="0" collapsed="false">
      <c r="A17" s="2"/>
      <c r="B17" s="5" t="s">
        <v>2796</v>
      </c>
      <c r="C17" s="61" t="n">
        <f aca="false">Entrées!$C$180</f>
        <v>3471</v>
      </c>
      <c r="D17" s="61" t="n">
        <f aca="false">Entrées!$C$178</f>
        <v>4021</v>
      </c>
      <c r="E17" s="61" t="n">
        <f aca="false">Entrées!$C$181</f>
        <v>246</v>
      </c>
      <c r="F17" s="61" t="n">
        <f aca="false">Entrées!$C$179</f>
        <v>312</v>
      </c>
      <c r="G17" s="66" t="n">
        <f aca="false">IF(AND(ISNUMBER(D17),ISNUMBER(F17),D17&lt;&gt;0),F17/D17,"")</f>
        <v>0.0775926386471027</v>
      </c>
      <c r="H17" s="5"/>
      <c r="I17" s="72" t="n">
        <f aca="false">Entrées!$C$222/100</f>
        <v>0.113</v>
      </c>
      <c r="J17" s="61" t="n">
        <f aca="false">Entrées!$C$221</f>
        <v>1759</v>
      </c>
      <c r="K17" s="5"/>
      <c r="L17" s="24" t="s">
        <v>2797</v>
      </c>
    </row>
    <row r="18" customFormat="false" ht="15" hidden="false" customHeight="false" outlineLevel="0" collapsed="false">
      <c r="A18" s="2"/>
      <c r="B18" s="5" t="s">
        <v>2798</v>
      </c>
      <c r="C18" s="2"/>
      <c r="D18" s="61" t="n">
        <f aca="false">Entrées!$C$64*1000</f>
        <v>5200</v>
      </c>
      <c r="E18" s="2"/>
      <c r="F18" s="61" t="n">
        <f aca="false">Entrées!$C$65*1000</f>
        <v>900</v>
      </c>
      <c r="G18" s="66" t="n">
        <f aca="false">F18/D18</f>
        <v>0.173076923076923</v>
      </c>
      <c r="H18" s="2"/>
      <c r="I18" s="2"/>
      <c r="J18" s="2"/>
      <c r="K18" s="2"/>
      <c r="L18" s="24" t="s">
        <v>2799</v>
      </c>
    </row>
    <row r="19" customFormat="false" ht="15" hidden="false" customHeight="false" outlineLevel="0" collapsed="false">
      <c r="A19" s="2"/>
      <c r="B19" s="5" t="s">
        <v>2800</v>
      </c>
      <c r="C19" s="2"/>
      <c r="D19" s="2"/>
      <c r="E19" s="2"/>
      <c r="F19" s="2"/>
      <c r="G19" s="72" t="n">
        <f aca="false">Entrées!$C$177/100</f>
        <v>0.126</v>
      </c>
      <c r="H19" s="2"/>
      <c r="I19" s="2"/>
      <c r="J19" s="2"/>
      <c r="K19" s="2"/>
      <c r="L19" s="24" t="s">
        <v>644</v>
      </c>
    </row>
    <row r="20" customFormat="false" ht="15" hidden="false" customHeight="false" outlineLevel="0" collapsed="false">
      <c r="A20" s="2"/>
      <c r="B20" s="5" t="s">
        <v>2801</v>
      </c>
      <c r="C20" s="78" t="n">
        <f aca="false">Entrées!$C$223</f>
        <v>3</v>
      </c>
      <c r="D20" s="78" t="n">
        <f aca="false">Entrées!$C$224</f>
        <v>4.9</v>
      </c>
      <c r="E20" s="2"/>
      <c r="F20" s="2"/>
      <c r="G20" s="2"/>
      <c r="H20" s="66" t="n">
        <f aca="false">(D20/C20)^(1/4)-1</f>
        <v>0.1304951573737</v>
      </c>
      <c r="I20" s="2"/>
      <c r="J20" s="2"/>
      <c r="K20" s="2"/>
      <c r="L20" s="24" t="s">
        <v>2802</v>
      </c>
    </row>
    <row r="21" customFormat="false" ht="15" hidden="false" customHeight="false" outlineLevel="0" collapsed="false">
      <c r="A21" s="2"/>
      <c r="B21" s="5" t="s">
        <v>2803</v>
      </c>
      <c r="C21" s="2"/>
      <c r="D21" s="2"/>
      <c r="E21" s="2"/>
      <c r="F21" s="2"/>
      <c r="G21" s="2"/>
      <c r="H21" s="66" t="n">
        <f aca="false">(D17/1000/C20)^(1/2)-1</f>
        <v>0.157727659397206</v>
      </c>
      <c r="I21" s="2"/>
      <c r="J21" s="2"/>
      <c r="K21" s="2"/>
      <c r="L21" s="24" t="s">
        <v>2804</v>
      </c>
    </row>
    <row r="22" customFormat="false" ht="15" hidden="false" customHeight="false" outlineLevel="0" collapsed="false">
      <c r="A22" s="2"/>
      <c r="B22" s="2"/>
      <c r="C22" s="2"/>
      <c r="D22" s="2"/>
      <c r="E22" s="2"/>
      <c r="F22" s="2"/>
      <c r="G22" s="2"/>
      <c r="H22" s="2"/>
      <c r="I22" s="2"/>
      <c r="J22" s="2"/>
      <c r="K22" s="2"/>
      <c r="L22" s="2"/>
    </row>
    <row r="23" customFormat="false" ht="15" hidden="false" customHeight="false" outlineLevel="0" collapsed="false">
      <c r="A23" s="22" t="s">
        <v>2308</v>
      </c>
      <c r="B23" s="22" t="s">
        <v>2805</v>
      </c>
      <c r="C23" s="2"/>
      <c r="D23" s="2"/>
      <c r="E23" s="2"/>
      <c r="F23" s="2"/>
      <c r="G23" s="2"/>
      <c r="H23" s="2"/>
      <c r="I23" s="2"/>
      <c r="J23" s="2"/>
      <c r="K23" s="2"/>
      <c r="L23" s="2"/>
    </row>
    <row r="24" customFormat="false" ht="35.05" hidden="false" customHeight="false" outlineLevel="0" collapsed="false">
      <c r="A24" s="21"/>
      <c r="B24" s="21" t="s">
        <v>2771</v>
      </c>
      <c r="C24" s="21" t="s">
        <v>2138</v>
      </c>
      <c r="D24" s="21" t="s">
        <v>2806</v>
      </c>
      <c r="E24" s="21" t="s">
        <v>2807</v>
      </c>
      <c r="F24" s="21"/>
      <c r="G24" s="21"/>
      <c r="H24" s="21"/>
      <c r="I24" s="21"/>
      <c r="J24" s="21"/>
      <c r="K24" s="21"/>
      <c r="L24" s="21" t="s">
        <v>2808</v>
      </c>
    </row>
    <row r="25" customFormat="false" ht="15" hidden="false" customHeight="false" outlineLevel="0" collapsed="false">
      <c r="A25" s="2"/>
      <c r="B25" s="5" t="str">
        <f aca="false">B6</f>
        <v>Water Technologies</v>
      </c>
      <c r="C25" s="64" t="n">
        <f aca="false">F6</f>
        <v>669</v>
      </c>
      <c r="D25" s="66" t="n">
        <f aca="false">IF(ISNUMBER(I6),I6,H6)</f>
        <v>0.141</v>
      </c>
      <c r="E25" s="64" t="n">
        <f aca="false">IF(AND(ISNUMBER(C25),ISNUMBER(D25)),C25*(1+D25)^2,"")</f>
        <v>870.958389</v>
      </c>
      <c r="F25" s="2"/>
      <c r="G25" s="2"/>
      <c r="H25" s="2"/>
      <c r="I25" s="2"/>
      <c r="J25" s="2"/>
      <c r="K25" s="2"/>
      <c r="L25" s="24"/>
    </row>
    <row r="26" customFormat="false" ht="15" hidden="false" customHeight="false" outlineLevel="0" collapsed="false">
      <c r="A26" s="2"/>
      <c r="B26" s="5" t="str">
        <f aca="false">B7</f>
        <v>Amériques, Asie-Pacifique, Afrique Moyen-Orient</v>
      </c>
      <c r="C26" s="64" t="n">
        <f aca="false">F7</f>
        <v>2009</v>
      </c>
      <c r="D26" s="66" t="n">
        <f aca="false">IF(ISNUMBER(I7),I7,H7)</f>
        <v>0.093</v>
      </c>
      <c r="E26" s="64" t="n">
        <f aca="false">IF(AND(ISNUMBER(C26),ISNUMBER(D26)),C26*(1+D26)^2,"")</f>
        <v>2400.049841</v>
      </c>
      <c r="F26" s="2"/>
      <c r="G26" s="2"/>
      <c r="H26" s="2"/>
      <c r="I26" s="2"/>
      <c r="J26" s="2"/>
      <c r="K26" s="2"/>
      <c r="L26" s="24"/>
    </row>
    <row r="27" customFormat="false" ht="15" hidden="false" customHeight="false" outlineLevel="0" collapsed="false">
      <c r="A27" s="2"/>
      <c r="B27" s="5" t="str">
        <f aca="false">B8</f>
        <v>Europe</v>
      </c>
      <c r="C27" s="64" t="n">
        <f aca="false">F8</f>
        <v>2758</v>
      </c>
      <c r="D27" s="66" t="n">
        <f aca="false">IF(ISNUMBER(I8),I8,H8)</f>
        <v>0.018</v>
      </c>
      <c r="E27" s="64" t="n">
        <f aca="false">IF(AND(ISNUMBER(C27),ISNUMBER(D27)),C27*(1+D27)^2,"")</f>
        <v>2858.181592</v>
      </c>
      <c r="F27" s="2"/>
      <c r="G27" s="2"/>
      <c r="H27" s="2"/>
      <c r="I27" s="2"/>
      <c r="J27" s="2"/>
      <c r="K27" s="2"/>
      <c r="L27" s="24"/>
    </row>
    <row r="28" customFormat="false" ht="15" hidden="false" customHeight="false" outlineLevel="0" collapsed="false">
      <c r="A28" s="2"/>
      <c r="B28" s="5" t="str">
        <f aca="false">B9</f>
        <v>France et Déchets dangereux Europe</v>
      </c>
      <c r="C28" s="64" t="n">
        <f aca="false">F9</f>
        <v>1475</v>
      </c>
      <c r="D28" s="66" t="n">
        <f aca="false">IF(ISNUMBER(I9),I9,H9)</f>
        <v>0.0596264367816093</v>
      </c>
      <c r="E28" s="64" t="n">
        <f aca="false">IF(AND(ISNUMBER(C28),ISNUMBER(D28)),C28*(1+D28)^2,"")</f>
        <v>1656.14207365157</v>
      </c>
      <c r="F28" s="2"/>
      <c r="G28" s="2"/>
      <c r="H28" s="2"/>
      <c r="I28" s="2"/>
      <c r="J28" s="2"/>
      <c r="K28" s="2"/>
      <c r="L28" s="24" t="s">
        <v>2809</v>
      </c>
    </row>
    <row r="29" customFormat="false" ht="15" hidden="false" customHeight="false" outlineLevel="0" collapsed="false">
      <c r="A29" s="2"/>
      <c r="B29" s="5" t="s">
        <v>2810</v>
      </c>
      <c r="C29" s="64" t="n">
        <f aca="false">Segments!$F$12</f>
        <v>139</v>
      </c>
      <c r="D29" s="2"/>
      <c r="E29" s="64" t="n">
        <f aca="false">C29</f>
        <v>139</v>
      </c>
      <c r="F29" s="2"/>
      <c r="G29" s="2"/>
      <c r="H29" s="2"/>
      <c r="I29" s="2"/>
      <c r="J29" s="2"/>
      <c r="K29" s="2"/>
      <c r="L29" s="2"/>
    </row>
    <row r="30" customFormat="false" ht="15" hidden="false" customHeight="false" outlineLevel="0" collapsed="false">
      <c r="A30" s="2"/>
      <c r="B30" s="5" t="s">
        <v>2811</v>
      </c>
      <c r="C30" s="2"/>
      <c r="D30" s="2"/>
      <c r="E30" s="61" t="n">
        <f aca="false">Hypothèses!$J$7/Hypothèses!$J$19</f>
        <v>170.090331214453</v>
      </c>
      <c r="F30" s="2"/>
      <c r="G30" s="2"/>
      <c r="H30" s="2"/>
      <c r="I30" s="2"/>
      <c r="J30" s="2"/>
      <c r="K30" s="2"/>
      <c r="L30" s="2"/>
    </row>
    <row r="31" customFormat="false" ht="15" hidden="false" customHeight="false" outlineLevel="0" collapsed="false">
      <c r="A31" s="2"/>
      <c r="B31" s="22" t="s">
        <v>2812</v>
      </c>
      <c r="C31" s="2"/>
      <c r="D31" s="2"/>
      <c r="E31" s="45" t="n">
        <f aca="false">SUM(E25:E30)</f>
        <v>8094.42222686603</v>
      </c>
      <c r="F31" s="2"/>
      <c r="G31" s="2"/>
      <c r="H31" s="2"/>
      <c r="I31" s="2"/>
      <c r="J31" s="2"/>
      <c r="K31" s="2"/>
      <c r="L31" s="2"/>
    </row>
    <row r="32" customFormat="false" ht="15" hidden="false" customHeight="false" outlineLevel="0" collapsed="false">
      <c r="A32" s="2"/>
      <c r="B32" s="5" t="s">
        <v>2813</v>
      </c>
      <c r="C32" s="2"/>
      <c r="D32" s="2"/>
      <c r="E32" s="61" t="n">
        <f aca="false">Entrées!$C$17*1000</f>
        <v>8000</v>
      </c>
      <c r="F32" s="2"/>
      <c r="G32" s="2"/>
      <c r="H32" s="2"/>
      <c r="I32" s="2"/>
      <c r="J32" s="2"/>
      <c r="K32" s="2"/>
      <c r="L32" s="2"/>
    </row>
    <row r="33" customFormat="false" ht="15" hidden="false" customHeight="false" outlineLevel="0" collapsed="false">
      <c r="A33" s="2"/>
      <c r="B33" s="5" t="s">
        <v>2814</v>
      </c>
      <c r="C33" s="2"/>
      <c r="D33" s="2"/>
      <c r="E33" s="61" t="n">
        <f aca="false">Trajectoire!$D$41</f>
        <v>7981.43050727668</v>
      </c>
      <c r="F33" s="2"/>
      <c r="G33" s="2"/>
      <c r="H33" s="2"/>
      <c r="I33" s="2"/>
      <c r="J33" s="2"/>
      <c r="K33" s="2"/>
      <c r="L33" s="2"/>
    </row>
    <row r="34" customFormat="false" ht="30" hidden="false" customHeight="true" outlineLevel="0" collapsed="false">
      <c r="A34" s="2"/>
      <c r="B34" s="69" t="str">
        <f aca="false">"Lecture : les Amériques ("&amp;SUBSTITUTE(SUBSTITUTE(FIXED((D26)*100,0,FALSE()),","," "),"-","−")&amp;" %"&amp;") et Water Technologies ("&amp;SUBSTITUTE(SUBSTITUTE(FIXED((D25)*100,0,FALSE()),","," "),"-","−")&amp;" %"&amp;") portent la croissance organique ; l'Europe ("&amp;SUBSTITUTE(SUBSTITUTE(FIXED((D27)*100,0,FALSE()),","," "),"-","−")&amp;" %"&amp;") et la France-DD ("&amp;SUBSTITUTE(SUBSTITUTE(FIXED((D28)*100,0,FALSE()),","," "),"-","−")&amp;" %"&amp;", croissance publiée) moins. Prolonger 2025 deux ans mène "&amp;IF(ABS(Segments!$E$31/(Entrées!$C$17*1000)-1)&lt;0.03,"près de",IF(Segments!$E$31&gt;Entrées!$C$17*1000,"au-delà de","en deçà de"))&amp;" l'objectif ("&amp;SUBSTITUTE(SUBSTITUTE(FIXED((Segments!$E$31)/1000,2,TRUE()),".",","),"-","−")&amp;" Md€"&amp;" contre "&amp;SUBSTITUTE(SUBSTITUTE(FIXED(Entrées!$C$17,0,FALSE()),","," "),"-","−")&amp;" Md€), avant cessions : c'est ce qui fonde l'hypothèse g27 du modèle."</f>
        <v>Lecture : les Amériques (9 %) et Water Technologies (14 %) portent la croissance organique ; l'Europe (2 %) et la France-DD (6 %, croissance publiée) moins. Prolonger 2025 deux ans mène près de l'objectif (8,09 Md€ contre 8 Md€), avant cessions : c'est ce qui fonde l'hypothèse g27 du modèle.</v>
      </c>
      <c r="C34" s="69"/>
      <c r="D34" s="69"/>
      <c r="E34" s="69"/>
      <c r="F34" s="69"/>
      <c r="G34" s="69"/>
      <c r="H34" s="69"/>
      <c r="I34" s="69"/>
      <c r="J34" s="69"/>
      <c r="K34" s="69"/>
      <c r="L34" s="69"/>
    </row>
    <row r="35" customFormat="false" ht="15" hidden="false" customHeight="false" outlineLevel="0" collapsed="false">
      <c r="A35" s="2"/>
      <c r="B35" s="2"/>
      <c r="C35" s="2"/>
      <c r="D35" s="2"/>
      <c r="E35" s="2"/>
      <c r="F35" s="2"/>
      <c r="G35" s="2"/>
      <c r="H35" s="2"/>
      <c r="I35" s="2"/>
      <c r="J35" s="2"/>
      <c r="K35" s="2"/>
      <c r="L35" s="2"/>
    </row>
    <row r="36" customFormat="false" ht="15" hidden="false" customHeight="false" outlineLevel="0" collapsed="false">
      <c r="A36" s="22" t="s">
        <v>2457</v>
      </c>
      <c r="B36" s="22" t="s">
        <v>2815</v>
      </c>
      <c r="C36" s="2"/>
      <c r="D36" s="2"/>
      <c r="E36" s="2"/>
      <c r="F36" s="2"/>
      <c r="G36" s="2"/>
      <c r="H36" s="2"/>
      <c r="I36" s="2"/>
      <c r="J36" s="2"/>
      <c r="K36" s="2"/>
      <c r="L36" s="2"/>
    </row>
    <row r="37" customFormat="false" ht="23.85" hidden="false" customHeight="false" outlineLevel="0" collapsed="false">
      <c r="A37" s="21"/>
      <c r="B37" s="21" t="s">
        <v>2816</v>
      </c>
      <c r="C37" s="21" t="s">
        <v>2817</v>
      </c>
      <c r="D37" s="21" t="s">
        <v>225</v>
      </c>
      <c r="E37" s="21" t="s">
        <v>170</v>
      </c>
      <c r="F37" s="21" t="s">
        <v>2818</v>
      </c>
      <c r="G37" s="21" t="s">
        <v>2819</v>
      </c>
      <c r="H37" s="21"/>
      <c r="I37" s="21"/>
      <c r="J37" s="21"/>
      <c r="K37" s="21"/>
      <c r="L37" s="21" t="s">
        <v>2048</v>
      </c>
    </row>
    <row r="38" customFormat="false" ht="15" hidden="false" customHeight="false" outlineLevel="0" collapsed="false">
      <c r="A38" s="2"/>
      <c r="B38" s="5" t="s">
        <v>2820</v>
      </c>
      <c r="C38" s="78" t="n">
        <f aca="false">Entrées!$C$185</f>
        <v>13.45</v>
      </c>
      <c r="D38" s="79" t="n">
        <f aca="false">C38*(1+Entrées!$C$186/100)</f>
        <v>15.1985</v>
      </c>
      <c r="E38" s="79" t="n">
        <f aca="false">C38*(1+Entrées!$C$187/100)</f>
        <v>16.6242</v>
      </c>
      <c r="F38" s="79" t="n">
        <f aca="false">C38*(1+Entrées!$C$188/100)</f>
        <v>17.485</v>
      </c>
      <c r="G38" s="79" t="n">
        <f aca="false">F38-E38</f>
        <v>0.860800000000001</v>
      </c>
      <c r="H38" s="2"/>
      <c r="I38" s="2"/>
      <c r="J38" s="2"/>
      <c r="K38" s="2"/>
      <c r="L38" s="24" t="s">
        <v>2821</v>
      </c>
    </row>
    <row r="39" customFormat="false" ht="15" hidden="false" customHeight="false" outlineLevel="0" collapsed="false">
      <c r="A39" s="2"/>
      <c r="B39" s="5" t="s">
        <v>2822</v>
      </c>
      <c r="C39" s="2"/>
      <c r="D39" s="2"/>
      <c r="E39" s="2"/>
      <c r="F39" s="78" t="n">
        <f aca="false">Entrées!$C$192</f>
        <v>18</v>
      </c>
      <c r="G39" s="2"/>
      <c r="H39" s="2"/>
      <c r="I39" s="2"/>
      <c r="J39" s="2"/>
      <c r="K39" s="2"/>
      <c r="L39" s="24" t="s">
        <v>2823</v>
      </c>
    </row>
    <row r="40" customFormat="false" ht="15" hidden="false" customHeight="false" outlineLevel="0" collapsed="false">
      <c r="A40" s="2"/>
      <c r="B40" s="5" t="s">
        <v>2824</v>
      </c>
      <c r="C40" s="2"/>
      <c r="D40" s="108" t="n">
        <f aca="false">Entrées!$C$189</f>
        <v>1.45</v>
      </c>
      <c r="E40" s="108" t="n">
        <f aca="false">Entrées!$C$190</f>
        <v>1.574</v>
      </c>
      <c r="F40" s="108" t="n">
        <f aca="false">Entrées!$C$191</f>
        <v>1.5</v>
      </c>
      <c r="G40" s="109" t="n">
        <f aca="false">F40-E40</f>
        <v>-0.0740000000000001</v>
      </c>
      <c r="H40" s="2"/>
      <c r="I40" s="2"/>
      <c r="J40" s="2"/>
      <c r="K40" s="2"/>
      <c r="L40" s="24" t="s">
        <v>2825</v>
      </c>
    </row>
    <row r="41" customFormat="false" ht="15" hidden="false" customHeight="false" outlineLevel="0" collapsed="false">
      <c r="A41" s="2"/>
      <c r="B41" s="5" t="s">
        <v>2826</v>
      </c>
      <c r="C41" s="2"/>
      <c r="D41" s="61" t="n">
        <f aca="false">Entrées!$C$38</f>
        <v>9196</v>
      </c>
      <c r="E41" s="61" t="n">
        <f aca="false">Entrées!$C$39</f>
        <v>9181</v>
      </c>
      <c r="F41" s="61" t="n">
        <f aca="false">Entrées!$C$40*1000</f>
        <v>9000</v>
      </c>
      <c r="G41" s="64" t="n">
        <f aca="false">F41-E41</f>
        <v>-181</v>
      </c>
      <c r="H41" s="2"/>
      <c r="I41" s="2"/>
      <c r="J41" s="2"/>
      <c r="K41" s="2"/>
      <c r="L41" s="24" t="s">
        <v>2827</v>
      </c>
    </row>
    <row r="42" customFormat="false" ht="30" hidden="false" customHeight="true" outlineLevel="0" collapsed="false">
      <c r="A42" s="2"/>
      <c r="B42" s="69" t="str">
        <f aca="false">"Lecture : "&amp;(G38&lt;=0)+(G40&lt;=0)+(G41&lt;=0)&amp;" KPI sur trois sont déjà atteints ; "&amp;IF(G38&gt;0,"le CO2 évité reste en chemin ("&amp;SUBSTITUTE(SUBSTITUTE(FIXED(E38,1,TRUE()),".",","),"-","−")&amp;" → "&amp;SUBSTITUTE(SUBSTITUTE(FIXED(F38,1,TRUE()),".",","),"-","−")&amp;"-"&amp;SUBSTITUTE(SUBSTITUTE(FIXED(F39,0,FALSE()),","," "),"-","−")&amp;" Mt).","le CO2 évité aussi.")&amp;" Pour le périmètre capacité, la question 1 se réduit à l'EBITDA."</f>
        <v>Lecture : 2 KPI sur trois sont déjà atteints ; le CO2 évité reste en chemin (16,6 → 17,5-18 Mt). Pour le périmètre capacité, la question 1 se réduit à l'EBITDA.</v>
      </c>
      <c r="C42" s="69"/>
      <c r="D42" s="69"/>
      <c r="E42" s="69"/>
      <c r="F42" s="69"/>
      <c r="G42" s="69"/>
      <c r="H42" s="69"/>
      <c r="I42" s="69"/>
      <c r="J42" s="69"/>
      <c r="K42" s="69"/>
      <c r="L42" s="69"/>
    </row>
  </sheetData>
  <mergeCells count="2">
    <mergeCell ref="B34:L34"/>
    <mergeCell ref="B42:L42"/>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9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5390625" defaultRowHeight="15" customHeight="true" zeroHeight="false" outlineLevelRow="0" outlineLevelCol="0"/>
  <cols>
    <col collapsed="false" customWidth="true" hidden="false" outlineLevel="0" max="1" min="1" style="0" width="4"/>
    <col collapsed="false" customWidth="true" hidden="false" outlineLevel="0" max="2" min="2" style="0" width="76"/>
    <col collapsed="false" customWidth="true" hidden="false" outlineLevel="0" max="5" min="3" style="0" width="15"/>
    <col collapsed="false" customWidth="true" hidden="false" outlineLevel="0" max="6" min="6" style="0" width="30"/>
  </cols>
  <sheetData>
    <row r="1" customFormat="false" ht="17.35" hidden="false" customHeight="false" outlineLevel="0" collapsed="false">
      <c r="A1" s="1" t="s">
        <v>2828</v>
      </c>
      <c r="B1" s="2"/>
      <c r="C1" s="2"/>
      <c r="D1" s="2"/>
      <c r="E1" s="2"/>
      <c r="F1" s="2"/>
    </row>
    <row r="2" customFormat="false" ht="15" hidden="false" customHeight="false" outlineLevel="0" collapsed="false">
      <c r="A2" s="3" t="s">
        <v>2829</v>
      </c>
      <c r="B2" s="2"/>
      <c r="C2" s="2"/>
      <c r="D2" s="2"/>
      <c r="E2" s="2"/>
      <c r="F2" s="2"/>
    </row>
    <row r="3" customFormat="false" ht="15" hidden="false" customHeight="false" outlineLevel="0" collapsed="false">
      <c r="A3" s="2"/>
      <c r="B3" s="2"/>
      <c r="C3" s="2"/>
      <c r="D3" s="2"/>
      <c r="E3" s="2"/>
      <c r="F3" s="2"/>
    </row>
    <row r="4" customFormat="false" ht="15" hidden="false" customHeight="false" outlineLevel="0" collapsed="false">
      <c r="A4" s="22" t="s">
        <v>2130</v>
      </c>
      <c r="B4" s="22" t="s">
        <v>2830</v>
      </c>
      <c r="C4" s="2"/>
      <c r="D4" s="2"/>
      <c r="E4" s="2"/>
      <c r="F4" s="2"/>
    </row>
    <row r="5" customFormat="false" ht="15" hidden="false" customHeight="false" outlineLevel="0" collapsed="false">
      <c r="A5" s="21"/>
      <c r="B5" s="21" t="s">
        <v>91</v>
      </c>
      <c r="C5" s="21" t="s">
        <v>92</v>
      </c>
      <c r="D5" s="21" t="s">
        <v>93</v>
      </c>
      <c r="E5" s="21" t="s">
        <v>2129</v>
      </c>
      <c r="F5" s="2"/>
    </row>
    <row r="6" customFormat="false" ht="15" hidden="false" customHeight="false" outlineLevel="0" collapsed="false">
      <c r="A6" s="2"/>
      <c r="B6" s="5" t="s">
        <v>2831</v>
      </c>
      <c r="C6" s="64" t="n">
        <f aca="false">Entrées!$C$423*1000</f>
        <v>6500</v>
      </c>
      <c r="D6" s="24" t="s">
        <v>103</v>
      </c>
      <c r="E6" s="24" t="s">
        <v>1319</v>
      </c>
      <c r="F6" s="2"/>
    </row>
    <row r="7" customFormat="false" ht="15" hidden="false" customHeight="false" outlineLevel="0" collapsed="false">
      <c r="A7" s="2"/>
      <c r="B7" s="5" t="s">
        <v>2832</v>
      </c>
      <c r="C7" s="64" t="n">
        <f aca="false">Entrées!$C$17*1000</f>
        <v>8000</v>
      </c>
      <c r="D7" s="24" t="s">
        <v>103</v>
      </c>
      <c r="E7" s="24" t="s">
        <v>154</v>
      </c>
      <c r="F7" s="2"/>
    </row>
    <row r="8" customFormat="false" ht="15" hidden="false" customHeight="false" outlineLevel="0" collapsed="false">
      <c r="A8" s="2"/>
      <c r="B8" s="22" t="s">
        <v>2833</v>
      </c>
      <c r="C8" s="45" t="n">
        <f aca="false">C7-C6</f>
        <v>1500</v>
      </c>
      <c r="D8" s="24" t="s">
        <v>103</v>
      </c>
      <c r="E8" s="24" t="s">
        <v>2834</v>
      </c>
      <c r="F8" s="2"/>
    </row>
    <row r="9" customFormat="false" ht="15" hidden="false" customHeight="false" outlineLevel="0" collapsed="false">
      <c r="A9" s="2"/>
      <c r="B9" s="5" t="s">
        <v>2835</v>
      </c>
      <c r="C9" s="66" t="n">
        <f aca="false">(C7/C6)^(1/4)-1</f>
        <v>0.0532807756958533</v>
      </c>
      <c r="D9" s="24" t="s">
        <v>299</v>
      </c>
      <c r="E9" s="24" t="s">
        <v>2836</v>
      </c>
      <c r="F9" s="2"/>
    </row>
    <row r="10" customFormat="false" ht="15" hidden="false" customHeight="false" outlineLevel="0" collapsed="false">
      <c r="A10" s="2"/>
      <c r="B10" s="5" t="s">
        <v>2837</v>
      </c>
      <c r="C10" s="66" t="n">
        <f aca="false">Entrées!$C$424/100</f>
        <v>0.05</v>
      </c>
      <c r="D10" s="24" t="s">
        <v>299</v>
      </c>
      <c r="E10" s="24" t="s">
        <v>1321</v>
      </c>
      <c r="F10" s="2"/>
    </row>
    <row r="11" customFormat="false" ht="15" hidden="false" customHeight="false" outlineLevel="0" collapsed="false">
      <c r="A11" s="2"/>
      <c r="B11" s="5" t="s">
        <v>2838</v>
      </c>
      <c r="C11" s="61" t="n">
        <f aca="false">Entrées!$C$425</f>
        <v>350</v>
      </c>
      <c r="D11" s="24" t="s">
        <v>103</v>
      </c>
      <c r="E11" s="24" t="s">
        <v>1324</v>
      </c>
      <c r="F11" s="2"/>
    </row>
    <row r="12" customFormat="false" ht="15" hidden="false" customHeight="false" outlineLevel="0" collapsed="false">
      <c r="A12" s="2"/>
      <c r="B12" s="22" t="s">
        <v>2839</v>
      </c>
      <c r="C12" s="45" t="n">
        <f aca="false">4*C11</f>
        <v>1400</v>
      </c>
      <c r="D12" s="24" t="s">
        <v>103</v>
      </c>
      <c r="E12" s="24" t="s">
        <v>2840</v>
      </c>
      <c r="F12" s="2"/>
    </row>
    <row r="13" customFormat="false" ht="15" hidden="false" customHeight="false" outlineLevel="0" collapsed="false">
      <c r="A13" s="2"/>
      <c r="B13" s="22" t="s">
        <v>2841</v>
      </c>
      <c r="C13" s="41" t="n">
        <f aca="false">C12/'Pont EBITDA'!$C$8</f>
        <v>0.933333333333333</v>
      </c>
      <c r="D13" s="24" t="s">
        <v>299</v>
      </c>
      <c r="E13" s="24" t="s">
        <v>2842</v>
      </c>
      <c r="F13" s="2"/>
    </row>
    <row r="14" customFormat="false" ht="15" hidden="false" customHeight="false" outlineLevel="0" collapsed="false">
      <c r="A14" s="2"/>
      <c r="B14" s="5" t="s">
        <v>2843</v>
      </c>
      <c r="C14" s="61" t="n">
        <f aca="false">Entrées!$C$426</f>
        <v>200</v>
      </c>
      <c r="D14" s="24" t="s">
        <v>103</v>
      </c>
      <c r="E14" s="24" t="s">
        <v>1327</v>
      </c>
      <c r="F14" s="2"/>
    </row>
    <row r="15" customFormat="false" ht="15" hidden="false" customHeight="false" outlineLevel="0" collapsed="false">
      <c r="A15" s="2"/>
      <c r="B15" s="5" t="s">
        <v>2844</v>
      </c>
      <c r="C15" s="61" t="n">
        <f aca="false">Entrées!$C$427</f>
        <v>500</v>
      </c>
      <c r="D15" s="24" t="s">
        <v>103</v>
      </c>
      <c r="E15" s="24" t="s">
        <v>2845</v>
      </c>
      <c r="F15" s="2"/>
    </row>
    <row r="16" customFormat="false" ht="15" hidden="false" customHeight="false" outlineLevel="0" collapsed="false">
      <c r="A16" s="2"/>
      <c r="B16" s="22" t="s">
        <v>2846</v>
      </c>
      <c r="C16" s="41" t="n">
        <f aca="false">('Pont EBITDA'!$C$12+'Pont EBITDA'!$C$14)/'Pont EBITDA'!$C$8</f>
        <v>1.06666666666667</v>
      </c>
      <c r="D16" s="24" t="s">
        <v>299</v>
      </c>
      <c r="E16" s="24"/>
      <c r="F16" s="2"/>
    </row>
    <row r="17" customFormat="false" ht="43.5" hidden="false" customHeight="true" outlineLevel="0" collapsed="false">
      <c r="A17" s="2"/>
      <c r="B17" s="69" t="str">
        <f aca="false">"Lecture : GreenUp est d'abord un plan de coûts. L'efficacité promise ("&amp;SUBSTITUTE(SUBSTITUTE(FIXED('Pont EBITDA'!$C$11,0,FALSE()),","," "),"-","−")&amp;" M€"&amp;" par an) couvre à elle seule "&amp;SUBSTITUTE(SUBSTITUTE(FIXED(('Pont EBITDA'!$C$13)*100,0,FALSE()),","," "),"-","−")&amp;" %"&amp;" des "&amp;SUBSTITUTE(SUBSTITUTE(FIXED(('Pont EBITDA'!$C$8)/1000,1,TRUE()),".",","),"-","−")&amp;" Md€"&amp;" d'écart entre 2023 et 2027 ; la croissance du chiffre d'affaires et les boosters apportent le reste. Un plan de coûts se vérifie année par année (§B)."</f>
        <v>Lecture : GreenUp est d'abord un plan de coûts. L'efficacité promise (350 M€ par an) couvre à elle seule 93 % des 1,5 Md€ d'écart entre 2023 et 2027 ; la croissance du chiffre d'affaires et les boosters apportent le reste. Un plan de coûts se vérifie année par année (§B).</v>
      </c>
      <c r="C17" s="69"/>
      <c r="D17" s="69"/>
      <c r="E17" s="69"/>
      <c r="F17" s="2"/>
    </row>
    <row r="18" customFormat="false" ht="15" hidden="false" customHeight="false" outlineLevel="0" collapsed="false">
      <c r="A18" s="2"/>
      <c r="B18" s="2"/>
      <c r="C18" s="2"/>
      <c r="D18" s="2"/>
      <c r="E18" s="2"/>
      <c r="F18" s="2"/>
    </row>
    <row r="19" customFormat="false" ht="15" hidden="false" customHeight="false" outlineLevel="0" collapsed="false">
      <c r="A19" s="22" t="s">
        <v>2143</v>
      </c>
      <c r="B19" s="22" t="s">
        <v>2847</v>
      </c>
      <c r="C19" s="2"/>
      <c r="D19" s="2"/>
      <c r="E19" s="2"/>
      <c r="F19" s="2"/>
    </row>
    <row r="20" customFormat="false" ht="15" hidden="false" customHeight="false" outlineLevel="0" collapsed="false">
      <c r="A20" s="21"/>
      <c r="B20" s="21" t="s">
        <v>91</v>
      </c>
      <c r="C20" s="21" t="s">
        <v>170</v>
      </c>
      <c r="D20" s="21" t="s">
        <v>225</v>
      </c>
      <c r="E20" s="21" t="s">
        <v>2129</v>
      </c>
      <c r="F20" s="2"/>
    </row>
    <row r="21" customFormat="false" ht="15" hidden="false" customHeight="false" outlineLevel="0" collapsed="false">
      <c r="A21" s="2"/>
      <c r="B21" s="5" t="s">
        <v>2848</v>
      </c>
      <c r="C21" s="61" t="n">
        <f aca="false">Entrées!$C$8</f>
        <v>7050</v>
      </c>
      <c r="D21" s="61" t="n">
        <f aca="false">Entrées!$C$22</f>
        <v>6788</v>
      </c>
      <c r="E21" s="24" t="s">
        <v>2247</v>
      </c>
      <c r="F21" s="2"/>
    </row>
    <row r="22" customFormat="false" ht="15" hidden="false" customHeight="false" outlineLevel="0" collapsed="false">
      <c r="A22" s="2"/>
      <c r="B22" s="5" t="s">
        <v>2849</v>
      </c>
      <c r="C22" s="61" t="n">
        <f aca="false">Entrées!$C$22</f>
        <v>6788</v>
      </c>
      <c r="D22" s="61" t="n">
        <f aca="false">'Pont EBITDA'!$C$6</f>
        <v>6500</v>
      </c>
      <c r="E22" s="24" t="s">
        <v>2850</v>
      </c>
      <c r="F22" s="2"/>
    </row>
    <row r="23" customFormat="false" ht="15" hidden="false" customHeight="false" outlineLevel="0" collapsed="false">
      <c r="A23" s="2"/>
      <c r="B23" s="5" t="s">
        <v>2851</v>
      </c>
      <c r="C23" s="72" t="n">
        <f aca="false">Entrées!$C$430/100</f>
        <v>0.063</v>
      </c>
      <c r="D23" s="107" t="s">
        <v>2519</v>
      </c>
      <c r="E23" s="24" t="s">
        <v>1338</v>
      </c>
      <c r="F23" s="2"/>
    </row>
    <row r="24" customFormat="false" ht="15" hidden="false" customHeight="false" outlineLevel="0" collapsed="false">
      <c r="A24" s="2"/>
      <c r="B24" s="22" t="s">
        <v>2852</v>
      </c>
      <c r="C24" s="45" t="n">
        <f aca="false">C23*D21</f>
        <v>427.644</v>
      </c>
      <c r="D24" s="107" t="s">
        <v>2519</v>
      </c>
      <c r="E24" s="24" t="s">
        <v>2853</v>
      </c>
      <c r="F24" s="2"/>
    </row>
    <row r="25" customFormat="false" ht="15" hidden="false" customHeight="false" outlineLevel="0" collapsed="false">
      <c r="A25" s="2"/>
      <c r="B25" s="5" t="s">
        <v>2854</v>
      </c>
      <c r="C25" s="61" t="n">
        <f aca="false">Entrées!$C$429</f>
        <v>399</v>
      </c>
      <c r="D25" s="61" t="n">
        <f aca="false">Entrées!$C$193</f>
        <v>398</v>
      </c>
      <c r="E25" s="24" t="s">
        <v>2855</v>
      </c>
      <c r="F25" s="2"/>
    </row>
    <row r="26" customFormat="false" ht="15" hidden="false" customHeight="false" outlineLevel="0" collapsed="false">
      <c r="A26" s="2"/>
      <c r="B26" s="5" t="s">
        <v>2856</v>
      </c>
      <c r="C26" s="64" t="n">
        <f aca="false">Entrées!$C$196-Entrées!$C$194</f>
        <v>99</v>
      </c>
      <c r="D26" s="107" t="s">
        <v>2519</v>
      </c>
      <c r="E26" s="24" t="s">
        <v>2857</v>
      </c>
      <c r="F26" s="2"/>
    </row>
    <row r="27" customFormat="false" ht="15" hidden="false" customHeight="false" outlineLevel="0" collapsed="false">
      <c r="A27" s="2"/>
      <c r="B27" s="22" t="s">
        <v>2858</v>
      </c>
      <c r="C27" s="45" t="n">
        <f aca="false">C25+C26</f>
        <v>498</v>
      </c>
      <c r="D27" s="107" t="s">
        <v>2519</v>
      </c>
      <c r="E27" s="24"/>
      <c r="F27" s="2"/>
    </row>
    <row r="28" customFormat="false" ht="15" hidden="false" customHeight="false" outlineLevel="0" collapsed="false">
      <c r="A28" s="2"/>
      <c r="B28" s="22" t="s">
        <v>2859</v>
      </c>
      <c r="C28" s="41" t="n">
        <f aca="false">C25/'Pont EBITDA'!$C$24</f>
        <v>0.933019053231192</v>
      </c>
      <c r="D28" s="107" t="s">
        <v>2519</v>
      </c>
      <c r="E28" s="24" t="s">
        <v>2860</v>
      </c>
      <c r="F28" s="2"/>
    </row>
    <row r="29" customFormat="false" ht="15" hidden="false" customHeight="false" outlineLevel="0" collapsed="false">
      <c r="A29" s="2"/>
      <c r="B29" s="22" t="s">
        <v>2861</v>
      </c>
      <c r="C29" s="45" t="n">
        <f aca="false">'Pont EBITDA'!$C$24-C27</f>
        <v>-70.356</v>
      </c>
      <c r="D29" s="107" t="s">
        <v>2519</v>
      </c>
      <c r="E29" s="24" t="s">
        <v>2862</v>
      </c>
      <c r="F29" s="2"/>
    </row>
    <row r="30" customFormat="false" ht="15" hidden="false" customHeight="false" outlineLevel="0" collapsed="false">
      <c r="A30" s="2"/>
      <c r="B30" s="5" t="s">
        <v>2863</v>
      </c>
      <c r="C30" s="72" t="n">
        <f aca="false">Entrées!$C$431/100</f>
        <v>0.159</v>
      </c>
      <c r="D30" s="107" t="s">
        <v>2519</v>
      </c>
      <c r="E30" s="24" t="s">
        <v>1341</v>
      </c>
      <c r="F30" s="2"/>
    </row>
    <row r="31" customFormat="false" ht="15" hidden="false" customHeight="false" outlineLevel="0" collapsed="false">
      <c r="A31" s="2"/>
      <c r="B31" s="22" t="s">
        <v>2864</v>
      </c>
      <c r="C31" s="2"/>
      <c r="D31" s="2"/>
      <c r="E31" s="2"/>
      <c r="F31" s="2"/>
    </row>
    <row r="32" customFormat="false" ht="15" hidden="false" customHeight="false" outlineLevel="0" collapsed="false">
      <c r="A32" s="2"/>
      <c r="B32" s="5" t="s">
        <v>2865</v>
      </c>
      <c r="C32" s="64" t="n">
        <f aca="false">Entrées!$C$436*Entrées!$C$437/100</f>
        <v>258.384</v>
      </c>
      <c r="D32" s="107" t="s">
        <v>2519</v>
      </c>
      <c r="E32" s="24" t="s">
        <v>2866</v>
      </c>
      <c r="F32" s="2"/>
    </row>
    <row r="33" customFormat="false" ht="15" hidden="false" customHeight="false" outlineLevel="0" collapsed="false">
      <c r="A33" s="2"/>
      <c r="B33" s="5" t="s">
        <v>2867</v>
      </c>
      <c r="C33" s="64" t="n">
        <f aca="false">Entrées!$C$176*Entrées!$C$175/100</f>
        <v>201.828</v>
      </c>
      <c r="D33" s="107" t="s">
        <v>2519</v>
      </c>
      <c r="E33" s="24" t="s">
        <v>2868</v>
      </c>
      <c r="F33" s="2"/>
    </row>
    <row r="34" customFormat="false" ht="15" hidden="false" customHeight="false" outlineLevel="0" collapsed="false">
      <c r="A34" s="2"/>
      <c r="B34" s="22" t="s">
        <v>2869</v>
      </c>
      <c r="C34" s="45" t="n">
        <f aca="false">C32+C33</f>
        <v>460.212</v>
      </c>
      <c r="D34" s="107" t="s">
        <v>2519</v>
      </c>
      <c r="E34" s="24" t="s">
        <v>2870</v>
      </c>
      <c r="F34" s="2"/>
    </row>
    <row r="35" customFormat="false" ht="57.75" hidden="false" customHeight="true" outlineLevel="0" collapsed="false">
      <c r="A35" s="2"/>
      <c r="B35" s="69" t="str">
        <f aca="false">"Lecture : en 2025, les gains d'efficacité ("&amp;SUBSTITUTE(SUBSTITUTE(FIXED('Pont EBITDA'!$C$25,0,FALSE()),","," "),"-","−")&amp;" M€"&amp;") représentent "&amp;SUBSTITUTE(SUBSTITUTE(FIXED(('Pont EBITDA'!$C$28)*100,0,FALSE()),","," "),"-","−")&amp;" %"&amp;" de la croissance organique de l'EBITDA ; avec les synergies Suez, ils "&amp;IF('Pont EBITDA'!$C$27&gt;'Pont EBITDA'!$C$24,"la dépassent","n'en couvrent qu'une partie")&amp;". Hors ces deux programmes, l'EBITDA organique "&amp;IF('Pont EBITDA'!$C$29&lt;0,"recule d'environ "&amp;SUBSTITUTE(SUBSTITUTE(FIXED(-'Pont EBITDA'!$C$29,0,FALSE()),","," "),"-","−")&amp;" M€","progresse d'environ "&amp;SUBSTITUTE(SUBSTITUTE(FIXED('Pont EBITDA'!$C$29,0,FALSE()),","," "),"-","−")&amp;" M€")&amp;" : volumes, prix et énergie absorbent l'inflation des coûts. La capacité d'acquisition de 2027 repose donc sur un programme de coûts qui doit être livré deux années de plus (§D)."</f>
        <v>Lecture : en 2025, les gains d'efficacité (399 M€) représentent 93 % de la croissance organique de l'EBITDA ; avec les synergies Suez, ils la dépassent. Hors ces deux programmes, l'EBITDA organique recule d'environ 70 M€ : volumes, prix et énergie absorbent l'inflation des coûts. La capacité d'acquisition de 2027 repose donc sur un programme de coûts qui doit être livré deux années de plus (§D).</v>
      </c>
      <c r="C35" s="69"/>
      <c r="D35" s="69"/>
      <c r="E35" s="69"/>
      <c r="F35" s="2"/>
    </row>
    <row r="36" customFormat="false" ht="15" hidden="false" customHeight="false" outlineLevel="0" collapsed="false">
      <c r="A36" s="2"/>
      <c r="B36" s="2"/>
      <c r="C36" s="2"/>
      <c r="D36" s="2"/>
      <c r="E36" s="2"/>
      <c r="F36" s="2"/>
    </row>
    <row r="37" customFormat="false" ht="15" hidden="false" customHeight="false" outlineLevel="0" collapsed="false">
      <c r="A37" s="22" t="s">
        <v>2308</v>
      </c>
      <c r="B37" s="22" t="s">
        <v>2871</v>
      </c>
      <c r="C37" s="2"/>
      <c r="D37" s="2"/>
      <c r="E37" s="2"/>
      <c r="F37" s="2"/>
    </row>
    <row r="38" customFormat="false" ht="15" hidden="false" customHeight="false" outlineLevel="0" collapsed="false">
      <c r="A38" s="21"/>
      <c r="B38" s="21" t="s">
        <v>2872</v>
      </c>
      <c r="C38" s="21" t="s">
        <v>2568</v>
      </c>
      <c r="D38" s="21" t="s">
        <v>2595</v>
      </c>
      <c r="E38" s="21" t="s">
        <v>2596</v>
      </c>
      <c r="F38" s="21" t="s">
        <v>2873</v>
      </c>
    </row>
    <row r="39" customFormat="false" ht="15" hidden="false" customHeight="false" outlineLevel="0" collapsed="false">
      <c r="A39" s="2"/>
      <c r="B39" s="22" t="s">
        <v>2874</v>
      </c>
      <c r="C39" s="68" t="n">
        <f aca="false">Entrées!$C$8</f>
        <v>7050</v>
      </c>
      <c r="D39" s="68" t="n">
        <f aca="false">Entrées!$C$8</f>
        <v>7050</v>
      </c>
      <c r="E39" s="68" t="n">
        <f aca="false">Entrées!$C$8</f>
        <v>7050</v>
      </c>
      <c r="F39" s="24" t="s">
        <v>119</v>
      </c>
    </row>
    <row r="40" customFormat="false" ht="15" hidden="false" customHeight="false" outlineLevel="0" collapsed="false">
      <c r="A40" s="2"/>
      <c r="B40" s="5" t="s">
        <v>2875</v>
      </c>
      <c r="C40" s="64" t="n">
        <f aca="false">Trajectoire!$D$27-Entrées!$C$8</f>
        <v>387.75</v>
      </c>
      <c r="D40" s="64" t="n">
        <f aca="false">Trajectoire!$AE$27-Entrées!$C$8</f>
        <v>352.5</v>
      </c>
      <c r="E40" s="64" t="n">
        <f aca="false">Trajectoire!$AF$27-Entrées!$C$8</f>
        <v>423</v>
      </c>
      <c r="F40" s="24" t="s">
        <v>2876</v>
      </c>
    </row>
    <row r="41" customFormat="false" ht="15" hidden="false" customHeight="false" outlineLevel="0" collapsed="false">
      <c r="A41" s="2"/>
      <c r="B41" s="5" t="s">
        <v>2877</v>
      </c>
      <c r="C41" s="61" t="n">
        <f aca="false">Trajectoire!$D$28</f>
        <v>99.2193598750976</v>
      </c>
      <c r="D41" s="61" t="n">
        <f aca="false">Trajectoire!$AE$28</f>
        <v>89.2974238875878</v>
      </c>
      <c r="E41" s="61" t="n">
        <f aca="false">Trajectoire!$AF$28</f>
        <v>109.141295862607</v>
      </c>
      <c r="F41" s="24" t="s">
        <v>2601</v>
      </c>
    </row>
    <row r="42" customFormat="false" ht="15" hidden="false" customHeight="false" outlineLevel="0" collapsed="false">
      <c r="A42" s="2"/>
      <c r="B42" s="5" t="s">
        <v>2878</v>
      </c>
      <c r="C42" s="61" t="n">
        <f aca="false">Trajectoire!$D$30</f>
        <v>-25</v>
      </c>
      <c r="D42" s="61" t="n">
        <f aca="false">Trajectoire!$AE$30</f>
        <v>-62.5</v>
      </c>
      <c r="E42" s="61" t="n">
        <f aca="false">Trajectoire!$AF$30</f>
        <v>-0</v>
      </c>
      <c r="F42" s="24" t="s">
        <v>2605</v>
      </c>
    </row>
    <row r="43" customFormat="false" ht="15" hidden="false" customHeight="false" outlineLevel="0" collapsed="false">
      <c r="A43" s="2"/>
      <c r="B43" s="22" t="s">
        <v>2879</v>
      </c>
      <c r="C43" s="68" t="n">
        <f aca="false">Trajectoire!$D$31</f>
        <v>7511.9693598751</v>
      </c>
      <c r="D43" s="68" t="n">
        <f aca="false">Trajectoire!$AE$31</f>
        <v>7429.29742388759</v>
      </c>
      <c r="E43" s="68" t="n">
        <f aca="false">Trajectoire!$AF$31</f>
        <v>7582.14129586261</v>
      </c>
      <c r="F43" s="24" t="s">
        <v>2607</v>
      </c>
    </row>
    <row r="44" customFormat="false" ht="15" hidden="false" customHeight="false" outlineLevel="0" collapsed="false">
      <c r="A44" s="2"/>
      <c r="B44" s="5" t="s">
        <v>2880</v>
      </c>
      <c r="C44" s="64" t="n">
        <f aca="false">Trajectoire!$D$36-(Trajectoire!$D$27+Trajectoire!$D$30+Trajectoire!$D$8/Trajectoire!$D$19)</f>
        <v>417.056218216794</v>
      </c>
      <c r="D44" s="64" t="n">
        <f aca="false">Trajectoire!$AE$36-(Trajectoire!$AE$27+Trajectoire!$AE$30+Trajectoire!$AE$8/Trajectoire!$AE$19)</f>
        <v>299.72325192372</v>
      </c>
      <c r="E44" s="64" t="n">
        <f aca="false">Trajectoire!$AF$36-(Trajectoire!$AF$27+Trajectoire!$AF$30+Trajectoire!$AF$8/Trajectoire!$AF$19)</f>
        <v>536.206955503514</v>
      </c>
      <c r="F44" s="24" t="s">
        <v>2881</v>
      </c>
    </row>
    <row r="45" customFormat="false" ht="15" hidden="false" customHeight="false" outlineLevel="0" collapsed="false">
      <c r="A45" s="2"/>
      <c r="B45" s="5" t="s">
        <v>2882</v>
      </c>
      <c r="C45" s="64" t="n">
        <f aca="false">Trajectoire!$D$8/Trajectoire!$D$19-Trajectoire!$D$28</f>
        <v>70.8709713393554</v>
      </c>
      <c r="D45" s="64" t="n">
        <f aca="false">Trajectoire!$AE$8/Trajectoire!$AE$19-Trajectoire!$AE$28</f>
        <v>63.7838742054199</v>
      </c>
      <c r="E45" s="64" t="n">
        <f aca="false">Trajectoire!$AF$8/Trajectoire!$AF$19-Trajectoire!$AF$28</f>
        <v>77.958068473291</v>
      </c>
      <c r="F45" s="24" t="s">
        <v>2883</v>
      </c>
    </row>
    <row r="46" customFormat="false" ht="15" hidden="false" customHeight="false" outlineLevel="0" collapsed="false">
      <c r="A46" s="2"/>
      <c r="B46" s="5" t="s">
        <v>2884</v>
      </c>
      <c r="C46" s="61" t="n">
        <f aca="false">Trajectoire!$D$37</f>
        <v>25.513549682168</v>
      </c>
      <c r="D46" s="61" t="n">
        <f aca="false">Trajectoire!$AE$37</f>
        <v>0</v>
      </c>
      <c r="E46" s="61" t="n">
        <f aca="false">Trajectoire!$AF$37</f>
        <v>51.0270993643359</v>
      </c>
      <c r="F46" s="24" t="s">
        <v>2617</v>
      </c>
    </row>
    <row r="47" customFormat="false" ht="15" hidden="false" customHeight="false" outlineLevel="0" collapsed="false">
      <c r="A47" s="2"/>
      <c r="B47" s="5" t="s">
        <v>2885</v>
      </c>
      <c r="C47" s="61" t="n">
        <f aca="false">Trajectoire!$D$38</f>
        <v>51.0204081632653</v>
      </c>
      <c r="D47" s="61" t="n">
        <f aca="false">Trajectoire!$AE$38</f>
        <v>90.9090909090909</v>
      </c>
      <c r="E47" s="61" t="n">
        <f aca="false">Trajectoire!$AF$38</f>
        <v>0</v>
      </c>
      <c r="F47" s="24" t="s">
        <v>2619</v>
      </c>
    </row>
    <row r="48" customFormat="false" ht="15" hidden="false" customHeight="false" outlineLevel="0" collapsed="false">
      <c r="A48" s="2"/>
      <c r="B48" s="5" t="s">
        <v>2886</v>
      </c>
      <c r="C48" s="61" t="n">
        <f aca="false">Trajectoire!$D$40</f>
        <v>-95</v>
      </c>
      <c r="D48" s="61" t="n">
        <f aca="false">Trajectoire!$AE$40</f>
        <v>-0</v>
      </c>
      <c r="E48" s="61" t="n">
        <f aca="false">Trajectoire!$AF$40</f>
        <v>-158.333333333333</v>
      </c>
      <c r="F48" s="24" t="s">
        <v>2623</v>
      </c>
    </row>
    <row r="49" customFormat="false" ht="15" hidden="false" customHeight="false" outlineLevel="0" collapsed="false">
      <c r="A49" s="2"/>
      <c r="B49" s="22" t="s">
        <v>2887</v>
      </c>
      <c r="C49" s="45" t="n">
        <f aca="false">C39+SUM(C40:C42)+SUM(C44:C48)</f>
        <v>7981.43050727668</v>
      </c>
      <c r="D49" s="45" t="n">
        <f aca="false">D39+SUM(D40:D42)+SUM(D44:D48)</f>
        <v>7883.71364092582</v>
      </c>
      <c r="E49" s="45" t="n">
        <f aca="false">E39+SUM(E40:E42)+SUM(E44:E48)</f>
        <v>8089.00008587041</v>
      </c>
      <c r="F49" s="24" t="s">
        <v>2199</v>
      </c>
    </row>
    <row r="50" customFormat="false" ht="15" hidden="false" customHeight="false" outlineLevel="0" collapsed="false">
      <c r="A50" s="2"/>
      <c r="B50" s="5" t="s">
        <v>2888</v>
      </c>
      <c r="C50" s="61" t="n">
        <f aca="false">Trajectoire!$D$41</f>
        <v>7981.43050727668</v>
      </c>
      <c r="D50" s="61" t="n">
        <f aca="false">Trajectoire!$AE$41</f>
        <v>7883.71364092582</v>
      </c>
      <c r="E50" s="61" t="n">
        <f aca="false">Trajectoire!$AF$41</f>
        <v>8089.00008587041</v>
      </c>
      <c r="F50" s="24" t="s">
        <v>2625</v>
      </c>
    </row>
    <row r="51" customFormat="false" ht="15" hidden="false" customHeight="false" outlineLevel="0" collapsed="false">
      <c r="A51" s="2"/>
      <c r="B51" s="5" t="s">
        <v>2889</v>
      </c>
      <c r="C51" s="64" t="n">
        <f aca="false">Entrées!$C$17*1000</f>
        <v>8000</v>
      </c>
      <c r="D51" s="64" t="n">
        <f aca="false">Entrées!$C$17*1000</f>
        <v>8000</v>
      </c>
      <c r="E51" s="64" t="n">
        <f aca="false">Entrées!$C$17*1000</f>
        <v>8000</v>
      </c>
      <c r="F51" s="24" t="s">
        <v>154</v>
      </c>
    </row>
    <row r="52" customFormat="false" ht="15" hidden="false" customHeight="false" outlineLevel="0" collapsed="false">
      <c r="A52" s="2"/>
      <c r="B52" s="22" t="s">
        <v>2890</v>
      </c>
      <c r="C52" s="68" t="n">
        <f aca="false">Trajectoire!$D$48</f>
        <v>-18.5694927233199</v>
      </c>
      <c r="D52" s="68" t="n">
        <f aca="false">Trajectoire!$AE$48</f>
        <v>-116.286359074181</v>
      </c>
      <c r="E52" s="68" t="n">
        <f aca="false">Trajectoire!$AF$48</f>
        <v>89.0000858704143</v>
      </c>
      <c r="F52" s="24" t="s">
        <v>2639</v>
      </c>
    </row>
    <row r="53" customFormat="false" ht="30" hidden="false" customHeight="true" outlineLevel="0" collapsed="false">
      <c r="A53" s="2"/>
      <c r="B53" s="69" t="s">
        <v>2891</v>
      </c>
      <c r="C53" s="69"/>
      <c r="D53" s="69"/>
      <c r="E53" s="69"/>
      <c r="F53" s="69"/>
    </row>
    <row r="54" customFormat="false" ht="15" hidden="false" customHeight="false" outlineLevel="0" collapsed="false">
      <c r="A54" s="2"/>
      <c r="B54" s="2"/>
      <c r="C54" s="2"/>
      <c r="D54" s="2"/>
      <c r="E54" s="2"/>
      <c r="F54" s="2"/>
    </row>
    <row r="55" customFormat="false" ht="15" hidden="false" customHeight="false" outlineLevel="0" collapsed="false">
      <c r="A55" s="22" t="s">
        <v>2457</v>
      </c>
      <c r="B55" s="22" t="s">
        <v>2892</v>
      </c>
      <c r="C55" s="2"/>
      <c r="D55" s="2"/>
      <c r="E55" s="2"/>
      <c r="F55" s="2"/>
    </row>
    <row r="56" customFormat="false" ht="15" hidden="false" customHeight="false" outlineLevel="0" collapsed="false">
      <c r="A56" s="21"/>
      <c r="B56" s="21" t="s">
        <v>91</v>
      </c>
      <c r="C56" s="21" t="s">
        <v>92</v>
      </c>
      <c r="D56" s="21" t="s">
        <v>93</v>
      </c>
      <c r="E56" s="21" t="s">
        <v>2129</v>
      </c>
      <c r="F56" s="2"/>
    </row>
    <row r="57" customFormat="false" ht="15" hidden="false" customHeight="false" outlineLevel="0" collapsed="false">
      <c r="A57" s="2"/>
      <c r="B57" s="5" t="s">
        <v>2893</v>
      </c>
      <c r="C57" s="61" t="n">
        <f aca="false">Entrées!$C$425</f>
        <v>350</v>
      </c>
      <c r="D57" s="24" t="s">
        <v>103</v>
      </c>
      <c r="E57" s="24" t="s">
        <v>1324</v>
      </c>
      <c r="F57" s="2"/>
    </row>
    <row r="58" customFormat="false" ht="15" hidden="false" customHeight="false" outlineLevel="0" collapsed="false">
      <c r="A58" s="2"/>
      <c r="B58" s="5" t="s">
        <v>2894</v>
      </c>
      <c r="C58" s="64" t="n">
        <f aca="false">'Pont EBITDA'!$C$40</f>
        <v>387.75</v>
      </c>
      <c r="D58" s="24" t="s">
        <v>103</v>
      </c>
      <c r="E58" s="24" t="s">
        <v>2895</v>
      </c>
      <c r="F58" s="2"/>
    </row>
    <row r="59" customFormat="false" ht="15" hidden="false" customHeight="false" outlineLevel="0" collapsed="false">
      <c r="A59" s="2"/>
      <c r="B59" s="22" t="s">
        <v>2896</v>
      </c>
      <c r="C59" s="41" t="n">
        <f aca="false">'Pont EBITDA'!$C$57/'Pont EBITDA'!$C$58</f>
        <v>0.902643455834945</v>
      </c>
      <c r="D59" s="24" t="s">
        <v>299</v>
      </c>
      <c r="E59" s="24" t="s">
        <v>2897</v>
      </c>
      <c r="F59" s="2"/>
    </row>
    <row r="60" customFormat="false" ht="15" hidden="false" customHeight="false" outlineLevel="0" collapsed="false">
      <c r="A60" s="2"/>
      <c r="B60" s="5" t="s">
        <v>2898</v>
      </c>
      <c r="C60" s="64" t="n">
        <f aca="false">'Pont EBITDA'!$C$44</f>
        <v>417.056218216794</v>
      </c>
      <c r="D60" s="24" t="s">
        <v>103</v>
      </c>
      <c r="E60" s="24" t="s">
        <v>2895</v>
      </c>
      <c r="F60" s="2"/>
    </row>
    <row r="61" customFormat="false" ht="15" hidden="false" customHeight="false" outlineLevel="0" collapsed="false">
      <c r="A61" s="2"/>
      <c r="B61" s="22" t="s">
        <v>2899</v>
      </c>
      <c r="C61" s="41" t="n">
        <f aca="false">'Pont EBITDA'!$C$57/'Pont EBITDA'!$C$60</f>
        <v>0.839215397618321</v>
      </c>
      <c r="D61" s="24" t="s">
        <v>299</v>
      </c>
      <c r="E61" s="24" t="s">
        <v>2900</v>
      </c>
      <c r="F61" s="2"/>
    </row>
    <row r="62" customFormat="false" ht="15" hidden="false" customHeight="false" outlineLevel="0" collapsed="false">
      <c r="A62" s="2"/>
      <c r="B62" s="22" t="s">
        <v>2901</v>
      </c>
      <c r="C62" s="43" t="n">
        <v>1</v>
      </c>
      <c r="D62" s="24" t="s">
        <v>299</v>
      </c>
      <c r="E62" s="24" t="s">
        <v>2902</v>
      </c>
      <c r="F62" s="2"/>
    </row>
    <row r="63" customFormat="false" ht="15" hidden="false" customHeight="false" outlineLevel="0" collapsed="false">
      <c r="A63" s="2"/>
      <c r="B63" s="22" t="s">
        <v>2903</v>
      </c>
      <c r="C63" s="45" t="n">
        <f aca="false">-(1-'Pont EBITDA'!$C$62)*2*'Pont EBITDA'!$C$57</f>
        <v>-0</v>
      </c>
      <c r="D63" s="24" t="s">
        <v>103</v>
      </c>
      <c r="E63" s="24" t="s">
        <v>2904</v>
      </c>
      <c r="F63" s="2"/>
    </row>
    <row r="64" customFormat="false" ht="15" hidden="false" customHeight="false" outlineLevel="0" collapsed="false">
      <c r="A64" s="2"/>
      <c r="B64" s="22" t="s">
        <v>2905</v>
      </c>
      <c r="C64" s="45" t="n">
        <f aca="false">Trajectoire!$D$41+'Pont EBITDA'!$C$63</f>
        <v>7981.43050727668</v>
      </c>
      <c r="D64" s="24" t="s">
        <v>103</v>
      </c>
      <c r="E64" s="24" t="s">
        <v>2906</v>
      </c>
      <c r="F64" s="2"/>
    </row>
    <row r="65" customFormat="false" ht="15" hidden="false" customHeight="false" outlineLevel="0" collapsed="false">
      <c r="A65" s="2"/>
      <c r="B65" s="22" t="s">
        <v>2907</v>
      </c>
      <c r="C65" s="62" t="n">
        <f aca="false">Trajectoire!$D$44/'Pont EBITDA'!$C$64</f>
        <v>2.80320887741352</v>
      </c>
      <c r="D65" s="24" t="s">
        <v>133</v>
      </c>
      <c r="E65" s="24" t="s">
        <v>2908</v>
      </c>
      <c r="F65" s="2"/>
    </row>
    <row r="66" customFormat="false" ht="15" hidden="false" customHeight="false" outlineLevel="0" collapsed="false">
      <c r="A66" s="2"/>
      <c r="B66" s="22" t="s">
        <v>2909</v>
      </c>
      <c r="C66" s="45" t="n">
        <f aca="false">Hypothèses!$J$26*'Pont EBITDA'!$C$64-Trajectoire!$D$44</f>
        <v>1570.67466937297</v>
      </c>
      <c r="D66" s="24" t="s">
        <v>103</v>
      </c>
      <c r="E66" s="24" t="s">
        <v>2910</v>
      </c>
      <c r="F66" s="2"/>
    </row>
    <row r="67" customFormat="false" ht="15" hidden="false" customHeight="false" outlineLevel="0" collapsed="false">
      <c r="A67" s="2"/>
      <c r="B67" s="5" t="s">
        <v>2911</v>
      </c>
      <c r="C67" s="61" t="n">
        <f aca="false">Trajectoire!$D$46</f>
        <v>1570.67466937297</v>
      </c>
      <c r="D67" s="24" t="s">
        <v>103</v>
      </c>
      <c r="E67" s="24" t="s">
        <v>2912</v>
      </c>
      <c r="F67" s="2"/>
    </row>
    <row r="68" customFormat="false" ht="15" hidden="false" customHeight="false" outlineLevel="0" collapsed="false">
      <c r="A68" s="2"/>
      <c r="B68" s="22" t="s">
        <v>2913</v>
      </c>
      <c r="C68" s="2"/>
      <c r="D68" s="2"/>
      <c r="E68" s="2"/>
      <c r="F68" s="2"/>
    </row>
    <row r="69" customFormat="false" ht="23.85" hidden="false" customHeight="false" outlineLevel="0" collapsed="false">
      <c r="A69" s="21"/>
      <c r="B69" s="21" t="s">
        <v>2914</v>
      </c>
      <c r="C69" s="21" t="s">
        <v>2626</v>
      </c>
      <c r="D69" s="21" t="s">
        <v>2311</v>
      </c>
      <c r="E69" s="21" t="s">
        <v>2915</v>
      </c>
      <c r="F69" s="2"/>
    </row>
    <row r="70" customFormat="false" ht="15" hidden="false" customHeight="false" outlineLevel="0" collapsed="false">
      <c r="A70" s="2"/>
      <c r="B70" s="110" t="n">
        <v>0</v>
      </c>
      <c r="C70" s="64" t="n">
        <f aca="false">Trajectoire!$D$41-(1-B70)*2*'Pont EBITDA'!$C$57</f>
        <v>7281.43050727668</v>
      </c>
      <c r="D70" s="75" t="n">
        <f aca="false">Trajectoire!$D$44/C70</f>
        <v>3.07269523895038</v>
      </c>
      <c r="E70" s="45" t="n">
        <f aca="false">Hypothèses!$J$26*C70-Trajectoire!$D$44</f>
        <v>-529.325330627034</v>
      </c>
      <c r="F70" s="2"/>
    </row>
    <row r="71" customFormat="false" ht="15" hidden="false" customHeight="false" outlineLevel="0" collapsed="false">
      <c r="A71" s="2"/>
      <c r="B71" s="110" t="n">
        <v>0.25</v>
      </c>
      <c r="C71" s="64" t="n">
        <f aca="false">Trajectoire!$D$41-(1-B71)*2*'Pont EBITDA'!$C$57</f>
        <v>7456.43050727668</v>
      </c>
      <c r="D71" s="75" t="n">
        <f aca="false">Trajectoire!$D$44/C71</f>
        <v>3.00058008059256</v>
      </c>
      <c r="E71" s="45" t="n">
        <f aca="false">Hypothèses!$J$26*C71-Trajectoire!$D$44</f>
        <v>-4.32533062703442</v>
      </c>
      <c r="F71" s="2"/>
    </row>
    <row r="72" customFormat="false" ht="15" hidden="false" customHeight="false" outlineLevel="0" collapsed="false">
      <c r="A72" s="2"/>
      <c r="B72" s="110" t="n">
        <v>0.5</v>
      </c>
      <c r="C72" s="64" t="n">
        <f aca="false">Trajectoire!$D$41-(1-B72)*2*'Pont EBITDA'!$C$57</f>
        <v>7631.43050727668</v>
      </c>
      <c r="D72" s="75" t="n">
        <f aca="false">Trajectoire!$D$44/C72</f>
        <v>2.93177233693257</v>
      </c>
      <c r="E72" s="45" t="n">
        <f aca="false">Hypothèses!$J$26*C72-Trajectoire!$D$44</f>
        <v>520.674669372966</v>
      </c>
      <c r="F72" s="2"/>
    </row>
    <row r="73" customFormat="false" ht="15" hidden="false" customHeight="false" outlineLevel="0" collapsed="false">
      <c r="A73" s="2"/>
      <c r="B73" s="110" t="n">
        <v>0.75</v>
      </c>
      <c r="C73" s="64" t="n">
        <f aca="false">Trajectoire!$D$41-(1-B73)*2*'Pont EBITDA'!$C$57</f>
        <v>7806.43050727668</v>
      </c>
      <c r="D73" s="75" t="n">
        <f aca="false">Trajectoire!$D$44/C73</f>
        <v>2.86604957689712</v>
      </c>
      <c r="E73" s="45" t="n">
        <f aca="false">Hypothèses!$J$26*C73-Trajectoire!$D$44</f>
        <v>1045.67466937297</v>
      </c>
      <c r="F73" s="2"/>
    </row>
    <row r="74" customFormat="false" ht="15" hidden="false" customHeight="false" outlineLevel="0" collapsed="false">
      <c r="A74" s="2"/>
      <c r="B74" s="110" t="n">
        <v>1</v>
      </c>
      <c r="C74" s="64" t="n">
        <f aca="false">Trajectoire!$D$41-(1-B74)*2*'Pont EBITDA'!$C$57</f>
        <v>7981.43050727668</v>
      </c>
      <c r="D74" s="75" t="n">
        <f aca="false">Trajectoire!$D$44/C74</f>
        <v>2.80320887741352</v>
      </c>
      <c r="E74" s="45" t="n">
        <f aca="false">Hypothèses!$J$26*C74-Trajectoire!$D$44</f>
        <v>1570.67466937297</v>
      </c>
      <c r="F74" s="2"/>
    </row>
    <row r="75" customFormat="false" ht="43.5" hidden="false" customHeight="true" outlineLevel="0" collapsed="false">
      <c r="A75" s="2"/>
      <c r="B75" s="69" t="str">
        <f aca="false">"Lecture : chaque euro d'efficacité non livré coûte "&amp;SUBSTITUTE(SUBSTITUTE(FIXED(Hypothèses!$J$26,0,FALSE()),","," "),"-","−")&amp;" euros de capacité d'endettement (plafond × EBITDA) et ne rapporte rien en cash-flow en face. Sans efficacité en 2026-2027, la marge sous 3x "&amp;IF('Pont EBITDA'!$E$70&lt;0,"disparaît ("&amp;SUBSTITUTE(SUBSTITUTE(FIXED('Pont EBITDA'!$E$70,0,FALSE()),","," "),"-","−")&amp;" M€"&amp;")","tombe à "&amp;SUBSTITUTE(SUBSTITUTE(FIXED('Pont EBITDA'!$E$70,0,FALSE()),","," "),"-","−")&amp;" M€")&amp;" : la question à poser à Veolia le 16 octobre est moins « combien achèterez-vous ? » que « les "&amp;SUBSTITUTE(SUBSTITUTE(FIXED('Pont EBITDA'!$C$57,0,FALSE()),","," "),"-","−")&amp;" M€"&amp;" d'efficacité par an sont-ils sécurisés ? »."</f>
        <v>Lecture : chaque euro d'efficacité non livré coûte 3 euros de capacité d'endettement (plafond × EBITDA) et ne rapporte rien en cash-flow en face. Sans efficacité en 2026-2027, la marge sous 3x disparaît (−529 M€) : la question à poser à Veolia le 16 octobre est moins « combien achèterez-vous ? » que « les 350 M€ d'efficacité par an sont-ils sécurisés ? ».</v>
      </c>
      <c r="C75" s="69"/>
      <c r="D75" s="69"/>
      <c r="E75" s="69"/>
      <c r="F75" s="69"/>
    </row>
    <row r="76" customFormat="false" ht="15" hidden="false" customHeight="false" outlineLevel="0" collapsed="false">
      <c r="A76" s="2"/>
      <c r="B76" s="2"/>
      <c r="C76" s="2"/>
      <c r="D76" s="2"/>
      <c r="E76" s="2"/>
      <c r="F76" s="2"/>
    </row>
    <row r="77" customFormat="false" ht="15" hidden="false" customHeight="false" outlineLevel="0" collapsed="false">
      <c r="A77" s="22" t="s">
        <v>2475</v>
      </c>
      <c r="B77" s="22" t="s">
        <v>2916</v>
      </c>
      <c r="C77" s="2"/>
      <c r="D77" s="2"/>
      <c r="E77" s="2"/>
      <c r="F77" s="2"/>
    </row>
    <row r="78" customFormat="false" ht="15" hidden="false" customHeight="false" outlineLevel="0" collapsed="false">
      <c r="A78" s="21"/>
      <c r="B78" s="21" t="s">
        <v>2917</v>
      </c>
      <c r="C78" s="21" t="s">
        <v>2918</v>
      </c>
      <c r="D78" s="21" t="s">
        <v>2919</v>
      </c>
      <c r="E78" s="21" t="s">
        <v>2920</v>
      </c>
      <c r="F78" s="21" t="s">
        <v>2048</v>
      </c>
    </row>
    <row r="79" customFormat="false" ht="15" hidden="false" customHeight="false" outlineLevel="0" collapsed="false">
      <c r="A79" s="2"/>
      <c r="B79" s="5" t="s">
        <v>2921</v>
      </c>
      <c r="C79" s="78" t="n">
        <f aca="false">Entrées!$C$581</f>
        <v>4.7</v>
      </c>
      <c r="D79" s="78" t="n">
        <f aca="false">Entrées!$C$583</f>
        <v>6.5</v>
      </c>
      <c r="E79" s="111" t="str">
        <f aca="false">IF(D79&gt;=C79,"oui","non")</f>
        <v>oui</v>
      </c>
      <c r="F79" s="24" t="s">
        <v>2922</v>
      </c>
    </row>
    <row r="80" customFormat="false" ht="15" hidden="false" customHeight="false" outlineLevel="0" collapsed="false">
      <c r="A80" s="2"/>
      <c r="B80" s="5" t="s">
        <v>2923</v>
      </c>
      <c r="C80" s="61" t="n">
        <f aca="false">Entrées!$C$584*1000</f>
        <v>1000</v>
      </c>
      <c r="D80" s="78" t="n">
        <f aca="false">Entrées!$C$585</f>
        <v>1335</v>
      </c>
      <c r="E80" s="111" t="str">
        <f aca="false">IF(D80&gt;=C80,"oui","non")</f>
        <v>oui</v>
      </c>
      <c r="F80" s="24" t="s">
        <v>2924</v>
      </c>
    </row>
    <row r="81" customFormat="false" ht="15" hidden="false" customHeight="false" outlineLevel="0" collapsed="false">
      <c r="A81" s="2"/>
      <c r="B81" s="5" t="s">
        <v>2925</v>
      </c>
      <c r="C81" s="78" t="n">
        <f aca="false">Entrées!$C$587</f>
        <v>4</v>
      </c>
      <c r="D81" s="78" t="n">
        <f aca="false">Entrées!$C$588</f>
        <v>4.2</v>
      </c>
      <c r="E81" s="111" t="str">
        <f aca="false">IF(D81&gt;=C81,"oui","non")</f>
        <v>oui</v>
      </c>
      <c r="F81" s="24" t="s">
        <v>2926</v>
      </c>
    </row>
    <row r="82" customFormat="false" ht="15" hidden="false" customHeight="false" outlineLevel="0" collapsed="false">
      <c r="A82" s="2"/>
      <c r="B82" s="5" t="s">
        <v>2927</v>
      </c>
      <c r="C82" s="78" t="n">
        <f aca="false">Entrées!$C$589</f>
        <v>15</v>
      </c>
      <c r="D82" s="78" t="n">
        <f aca="false">Entrées!$C$590</f>
        <v>15.5</v>
      </c>
      <c r="E82" s="111" t="str">
        <f aca="false">IF(D82&gt;=C82,"oui","non")</f>
        <v>oui</v>
      </c>
      <c r="F82" s="24" t="s">
        <v>2928</v>
      </c>
    </row>
    <row r="83" customFormat="false" ht="15" hidden="false" customHeight="false" outlineLevel="0" collapsed="false">
      <c r="A83" s="2"/>
      <c r="B83" s="5" t="s">
        <v>2929</v>
      </c>
      <c r="C83" s="78" t="n">
        <f aca="false">Entrées!$C$591</f>
        <v>610</v>
      </c>
      <c r="D83" s="78" t="n">
        <f aca="false">Entrées!$C$592</f>
        <v>465</v>
      </c>
      <c r="E83" s="111" t="str">
        <f aca="false">IF(D83&gt;=C83,"oui","non")</f>
        <v>non</v>
      </c>
      <c r="F83" s="24" t="s">
        <v>2930</v>
      </c>
    </row>
    <row r="84" customFormat="false" ht="15" hidden="false" customHeight="false" outlineLevel="0" collapsed="false">
      <c r="A84" s="2"/>
      <c r="B84" s="5" t="s">
        <v>2931</v>
      </c>
      <c r="C84" s="78" t="n">
        <f aca="false">Entrées!$C$593</f>
        <v>50</v>
      </c>
      <c r="D84" s="78" t="n">
        <f aca="false">Entrées!$C$594</f>
        <v>30.7</v>
      </c>
      <c r="E84" s="111" t="str">
        <f aca="false">IF(D84&gt;=C84,"oui","non")</f>
        <v>non</v>
      </c>
      <c r="F84" s="24" t="s">
        <v>2932</v>
      </c>
    </row>
    <row r="85" customFormat="false" ht="15" hidden="false" customHeight="false" outlineLevel="0" collapsed="false">
      <c r="A85" s="2"/>
      <c r="B85" s="5" t="s">
        <v>2933</v>
      </c>
      <c r="C85" s="78" t="n">
        <f aca="false">Entrées!$C$595</f>
        <v>5</v>
      </c>
      <c r="D85" s="78" t="n">
        <f aca="false">Entrées!$C$430</f>
        <v>6.3</v>
      </c>
      <c r="E85" s="111" t="str">
        <f aca="false">IF(D85&gt;=C85,"oui","non")</f>
        <v>oui</v>
      </c>
      <c r="F85" s="24" t="s">
        <v>2934</v>
      </c>
    </row>
    <row r="86" customFormat="false" ht="15" hidden="false" customHeight="false" outlineLevel="0" collapsed="false">
      <c r="A86" s="2"/>
      <c r="B86" s="5" t="s">
        <v>2935</v>
      </c>
      <c r="C86" s="78" t="n">
        <f aca="false">Entrées!$C$597</f>
        <v>350</v>
      </c>
      <c r="D86" s="78" t="n">
        <f aca="false">Entrées!$C$429</f>
        <v>399</v>
      </c>
      <c r="E86" s="111" t="str">
        <f aca="false">IF(D86&gt;=C86,"oui","non")</f>
        <v>oui</v>
      </c>
      <c r="F86" s="24" t="s">
        <v>2936</v>
      </c>
    </row>
    <row r="87" customFormat="false" ht="15" hidden="false" customHeight="false" outlineLevel="0" collapsed="false">
      <c r="A87" s="2"/>
      <c r="B87" s="5" t="s">
        <v>2937</v>
      </c>
      <c r="C87" s="78" t="n">
        <f aca="false">Entrées!$C$598</f>
        <v>530</v>
      </c>
      <c r="D87" s="78" t="n">
        <f aca="false">Entrées!$C$196</f>
        <v>534</v>
      </c>
      <c r="E87" s="111" t="str">
        <f aca="false">IF(D87&gt;=C87,"oui","non")</f>
        <v>oui</v>
      </c>
      <c r="F87" s="24" t="s">
        <v>2938</v>
      </c>
    </row>
    <row r="88" customFormat="false" ht="15" hidden="false" customHeight="false" outlineLevel="0" collapsed="false">
      <c r="A88" s="2"/>
      <c r="B88" s="5" t="s">
        <v>2939</v>
      </c>
      <c r="C88" s="78" t="n">
        <f aca="false">Entrées!$C$600</f>
        <v>9</v>
      </c>
      <c r="D88" s="78" t="n">
        <f aca="false">Entrées!$C$601</f>
        <v>9.1</v>
      </c>
      <c r="E88" s="111" t="str">
        <f aca="false">IF(D88&gt;=C88,"oui","non")</f>
        <v>oui</v>
      </c>
      <c r="F88" s="24" t="s">
        <v>2940</v>
      </c>
    </row>
    <row r="89" customFormat="false" ht="15" hidden="false" customHeight="false" outlineLevel="0" collapsed="false">
      <c r="A89" s="2"/>
      <c r="B89" s="5" t="s">
        <v>2941</v>
      </c>
      <c r="C89" s="78" t="n">
        <f aca="false">Entrées!$C$61</f>
        <v>3</v>
      </c>
      <c r="D89" s="78" t="n">
        <f aca="false">Entrées!$C$21</f>
        <v>2.79</v>
      </c>
      <c r="E89" s="111" t="str">
        <f aca="false">IF(D89&lt;=C89,"oui","non")</f>
        <v>oui</v>
      </c>
      <c r="F89" s="24" t="s">
        <v>2942</v>
      </c>
    </row>
    <row r="90" customFormat="false" ht="15" hidden="false" customHeight="false" outlineLevel="0" collapsed="false">
      <c r="A90" s="2"/>
      <c r="B90" s="22" t="s">
        <v>2943</v>
      </c>
      <c r="C90" s="112" t="str">
        <f aca="false">COUNTIF(E79:E89,"oui")&amp;" / "&amp;COUNTA(E79:E89)</f>
        <v>9 / 11</v>
      </c>
      <c r="D90" s="24"/>
      <c r="E90" s="24"/>
      <c r="F90" s="2"/>
    </row>
    <row r="91" customFormat="false" ht="15" hidden="false" customHeight="false" outlineLevel="0" collapsed="false">
      <c r="A91" s="2"/>
      <c r="B91" s="22" t="s">
        <v>2944</v>
      </c>
      <c r="C91" s="112" t="str">
        <f aca="false">COUNTIF(E79:E81,"oui")+COUNTIF(E85:E89,"oui")&amp;" / "&amp;(COUNTA(E79:E81)+COUNTA(E85:E89))</f>
        <v>8 / 8</v>
      </c>
      <c r="D91" s="24"/>
      <c r="E91" s="24" t="s">
        <v>2945</v>
      </c>
      <c r="F91" s="2"/>
    </row>
    <row r="92" customFormat="false" ht="43.5" hidden="false" customHeight="true" outlineLevel="0" collapsed="false">
      <c r="A92" s="2"/>
      <c r="B92" s="69" t="str">
        <f aca="false">"Lecture : sur les objectifs financiers annoncés depuis 2020 (Impact 2023, guidance 2025), Veolia en a tenu "&amp;'Pont EBITDA'!$C$91&amp;" ("&amp;'Pont EBITDA'!$C$90&amp;" tous objectifs confondus) ; les objectifs manqués sont non financiers (plastiques, mixité). Cela fonde le poids du scénario central sur le favorable pour la guidance 2026 — et n'enlève rien à la frag"&amp;"ilité propre à l'efficacité (§D) : un plan tenu cinq ans de suite n'est pas tenu la sixième par décret."</f>
        <v>Lecture : sur les objectifs financiers annoncés depuis 2020 (Impact 2023, guidance 2025), Veolia en a tenu 8 / 8 (9 / 11 tous objectifs confondus) ; les objectifs manqués sont non financiers (plastiques, mixité). Cela fonde le poids du scénario central sur le favorable pour la guidance 2026 — et n'enlève rien à la fragilité propre à l'efficacité (§D) : un plan tenu cinq ans de suite n'est pas tenu la sixième par décret.</v>
      </c>
      <c r="C92" s="69"/>
      <c r="D92" s="69"/>
      <c r="E92" s="69"/>
      <c r="F92" s="69"/>
    </row>
  </sheetData>
  <mergeCells count="5">
    <mergeCell ref="B17:E17"/>
    <mergeCell ref="B35:E35"/>
    <mergeCell ref="B53:F53"/>
    <mergeCell ref="B75:F75"/>
    <mergeCell ref="B92:F92"/>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customHeight="true" zeroHeight="false" outlineLevelRow="0" outlineLevelCol="0"/>
  <cols>
    <col collapsed="false" customWidth="true" hidden="false" outlineLevel="0" max="1" min="1" style="0" width="4"/>
    <col collapsed="false" customWidth="true" hidden="false" outlineLevel="0" max="2" min="2" style="0" width="60"/>
    <col collapsed="false" customWidth="true" hidden="false" outlineLevel="0" max="3" min="3" style="0" width="13"/>
    <col collapsed="false" customWidth="true" hidden="false" outlineLevel="0" max="4" min="4" style="0" width="12"/>
    <col collapsed="false" customWidth="true" hidden="false" outlineLevel="0" max="5" min="5" style="0" width="40"/>
    <col collapsed="false" customWidth="true" hidden="false" outlineLevel="0" max="6" min="6" style="0" width="11"/>
    <col collapsed="false" customWidth="true" hidden="false" outlineLevel="0" max="7" min="7" style="0" width="9"/>
    <col collapsed="false" customWidth="true" hidden="false" outlineLevel="0" max="8" min="8" style="0" width="11"/>
    <col collapsed="false" customWidth="true" hidden="false" outlineLevel="0" max="9" min="9" style="0" width="20"/>
    <col collapsed="false" customWidth="true" hidden="false" outlineLevel="0" max="10" min="10" style="0" width="7"/>
    <col collapsed="false" customWidth="true" hidden="false" outlineLevel="0" max="11" min="11" style="0" width="60"/>
  </cols>
  <sheetData>
    <row r="1" customFormat="false" ht="17.35" hidden="false" customHeight="false" outlineLevel="0" collapsed="false">
      <c r="A1" s="1" t="s">
        <v>2946</v>
      </c>
      <c r="B1" s="2"/>
      <c r="C1" s="2"/>
      <c r="D1" s="2"/>
      <c r="E1" s="2"/>
      <c r="F1" s="2"/>
      <c r="G1" s="2"/>
      <c r="H1" s="2"/>
      <c r="I1" s="2"/>
      <c r="J1" s="2"/>
      <c r="K1" s="2"/>
    </row>
    <row r="2" customFormat="false" ht="15" hidden="false" customHeight="false" outlineLevel="0" collapsed="false">
      <c r="A2" s="3" t="s">
        <v>2947</v>
      </c>
      <c r="B2" s="2"/>
      <c r="C2" s="2"/>
      <c r="D2" s="2"/>
      <c r="E2" s="2"/>
      <c r="F2" s="2"/>
      <c r="G2" s="2"/>
      <c r="H2" s="2"/>
      <c r="I2" s="2"/>
      <c r="J2" s="2"/>
      <c r="K2" s="2"/>
    </row>
    <row r="3" customFormat="false" ht="15" hidden="false" customHeight="false" outlineLevel="0" collapsed="false">
      <c r="A3" s="2"/>
      <c r="B3" s="2"/>
      <c r="C3" s="2"/>
      <c r="D3" s="2"/>
      <c r="E3" s="2"/>
      <c r="F3" s="2"/>
      <c r="G3" s="2"/>
      <c r="H3" s="2"/>
      <c r="I3" s="2"/>
      <c r="J3" s="2"/>
      <c r="K3" s="2"/>
    </row>
    <row r="4" customFormat="false" ht="15" hidden="false" customHeight="false" outlineLevel="0" collapsed="false">
      <c r="A4" s="22" t="s">
        <v>2130</v>
      </c>
      <c r="B4" s="22" t="s">
        <v>2948</v>
      </c>
      <c r="C4" s="2"/>
      <c r="D4" s="2"/>
      <c r="E4" s="2"/>
      <c r="F4" s="2"/>
      <c r="G4" s="2"/>
      <c r="H4" s="2"/>
      <c r="I4" s="2"/>
      <c r="J4" s="2"/>
      <c r="K4" s="2"/>
    </row>
    <row r="5" customFormat="false" ht="15" hidden="false" customHeight="false" outlineLevel="0" collapsed="false">
      <c r="A5" s="2"/>
      <c r="B5" s="5" t="s">
        <v>2949</v>
      </c>
      <c r="C5" s="61" t="n">
        <f aca="false">Entrées!$C$38</f>
        <v>9196</v>
      </c>
      <c r="D5" s="24" t="s">
        <v>224</v>
      </c>
      <c r="E5" s="24" t="s">
        <v>222</v>
      </c>
      <c r="F5" s="2"/>
      <c r="G5" s="2"/>
      <c r="H5" s="2"/>
      <c r="I5" s="2"/>
      <c r="J5" s="2"/>
      <c r="K5" s="2"/>
    </row>
    <row r="6" customFormat="false" ht="15" hidden="false" customHeight="false" outlineLevel="0" collapsed="false">
      <c r="A6" s="2"/>
      <c r="B6" s="5" t="s">
        <v>2950</v>
      </c>
      <c r="C6" s="61" t="n">
        <f aca="false">Entrées!$C$39</f>
        <v>9181</v>
      </c>
      <c r="D6" s="24" t="s">
        <v>224</v>
      </c>
      <c r="E6" s="24" t="s">
        <v>228</v>
      </c>
      <c r="F6" s="2"/>
      <c r="G6" s="2"/>
      <c r="H6" s="2"/>
      <c r="I6" s="2"/>
      <c r="J6" s="2"/>
      <c r="K6" s="2"/>
    </row>
    <row r="7" customFormat="false" ht="15" hidden="false" customHeight="false" outlineLevel="0" collapsed="false">
      <c r="A7" s="2"/>
      <c r="B7" s="5" t="s">
        <v>2951</v>
      </c>
      <c r="C7" s="66" t="n">
        <f aca="false">C6/C5-1</f>
        <v>-0.00163114397564157</v>
      </c>
      <c r="D7" s="24" t="s">
        <v>299</v>
      </c>
      <c r="E7" s="24"/>
      <c r="F7" s="2"/>
      <c r="G7" s="2"/>
      <c r="H7" s="2"/>
      <c r="I7" s="2"/>
      <c r="J7" s="2"/>
      <c r="K7" s="2"/>
    </row>
    <row r="8" customFormat="false" ht="15" hidden="false" customHeight="false" outlineLevel="0" collapsed="false">
      <c r="A8" s="2"/>
      <c r="B8" s="5" t="s">
        <v>2952</v>
      </c>
      <c r="C8" s="64" t="n">
        <f aca="false">Entrées!$C$40*1000</f>
        <v>9000</v>
      </c>
      <c r="D8" s="24" t="s">
        <v>224</v>
      </c>
      <c r="E8" s="24" t="s">
        <v>230</v>
      </c>
      <c r="F8" s="2"/>
      <c r="G8" s="2"/>
      <c r="H8" s="2"/>
      <c r="I8" s="2"/>
      <c r="J8" s="2"/>
      <c r="K8" s="2"/>
    </row>
    <row r="9" customFormat="false" ht="15" hidden="false" customHeight="false" outlineLevel="0" collapsed="false">
      <c r="A9" s="2"/>
      <c r="B9" s="5" t="s">
        <v>2953</v>
      </c>
      <c r="C9" s="64" t="n">
        <f aca="false">Entrées!$C$41*1000</f>
        <v>10000</v>
      </c>
      <c r="D9" s="24" t="s">
        <v>224</v>
      </c>
      <c r="E9" s="24" t="s">
        <v>234</v>
      </c>
      <c r="F9" s="2"/>
      <c r="G9" s="2"/>
      <c r="H9" s="2"/>
      <c r="I9" s="2"/>
      <c r="J9" s="2"/>
      <c r="K9" s="2"/>
    </row>
    <row r="10" customFormat="false" ht="15" hidden="false" customHeight="false" outlineLevel="0" collapsed="false">
      <c r="A10" s="2"/>
      <c r="B10" s="22" t="s">
        <v>2954</v>
      </c>
      <c r="C10" s="45" t="n">
        <f aca="false">C6-C8</f>
        <v>181</v>
      </c>
      <c r="D10" s="24" t="s">
        <v>224</v>
      </c>
      <c r="E10" s="24" t="s">
        <v>2955</v>
      </c>
      <c r="F10" s="2"/>
      <c r="G10" s="2"/>
      <c r="H10" s="2"/>
      <c r="I10" s="2"/>
      <c r="J10" s="2"/>
      <c r="K10" s="2"/>
    </row>
    <row r="11" customFormat="false" ht="15" hidden="false" customHeight="false" outlineLevel="0" collapsed="false">
      <c r="A11" s="2"/>
      <c r="B11" s="22" t="s">
        <v>2956</v>
      </c>
      <c r="C11" s="45" t="n">
        <f aca="false">C6-C9</f>
        <v>-819</v>
      </c>
      <c r="D11" s="24" t="s">
        <v>224</v>
      </c>
      <c r="E11" s="24"/>
      <c r="F11" s="2"/>
      <c r="G11" s="2"/>
      <c r="H11" s="2"/>
      <c r="I11" s="2"/>
      <c r="J11" s="2"/>
      <c r="K11" s="2"/>
    </row>
    <row r="12" customFormat="false" ht="15" hidden="false" customHeight="false" outlineLevel="0" collapsed="false">
      <c r="A12" s="2"/>
      <c r="B12" s="5" t="s">
        <v>2957</v>
      </c>
      <c r="C12" s="61" t="n">
        <f aca="false">Entrées!$C$68</f>
        <v>430</v>
      </c>
      <c r="D12" s="24" t="s">
        <v>224</v>
      </c>
      <c r="E12" s="24" t="s">
        <v>326</v>
      </c>
      <c r="F12" s="2"/>
      <c r="G12" s="2"/>
      <c r="H12" s="2"/>
      <c r="I12" s="2"/>
      <c r="J12" s="2"/>
      <c r="K12" s="2"/>
    </row>
    <row r="13" customFormat="false" ht="15" hidden="false" customHeight="false" outlineLevel="0" collapsed="false">
      <c r="A13" s="2"/>
      <c r="B13" s="5" t="s">
        <v>2958</v>
      </c>
      <c r="C13" s="64" t="n">
        <f aca="false">C11+C12</f>
        <v>-389</v>
      </c>
      <c r="D13" s="24" t="s">
        <v>224</v>
      </c>
      <c r="E13" s="24"/>
      <c r="F13" s="2"/>
      <c r="G13" s="2"/>
      <c r="H13" s="2"/>
      <c r="I13" s="2"/>
      <c r="J13" s="2"/>
      <c r="K13" s="2"/>
    </row>
    <row r="14" customFormat="false" ht="30" hidden="false" customHeight="true" outlineLevel="0" collapsed="false">
      <c r="A14" s="2"/>
      <c r="B14" s="69" t="str">
        <f aca="false">"Lecture : l'objectif de volume a été "&amp;IF(Booster!$C$8&lt;Booster!$C$9,"ramené","porté")&amp;" de "&amp;SUBSTITUTE(SUBSTITUTE(FIXED(Booster!$C$9/1000,0,FALSE()),","," "),"-","−")&amp;" Mt à "&amp;SUBSTITUTE(SUBSTITUTE(FIXED(Booster!$C$8/1000,0,FALSE()),","," "),"-","−")&amp;" Mt, et le périmètre a changé (« et polluants » a disparu). À expliquer à l'oral avant toute comparaison."</f>
        <v>Lecture : l'objectif de volume a été ramené de 10 Mt à 9 Mt, et le périmètre a changé (« et polluants » a disparu). À expliquer à l'oral avant toute comparaison.</v>
      </c>
      <c r="C14" s="69"/>
      <c r="D14" s="69"/>
      <c r="E14" s="69"/>
      <c r="F14" s="2"/>
      <c r="G14" s="2"/>
      <c r="H14" s="2"/>
      <c r="I14" s="2"/>
      <c r="J14" s="2"/>
      <c r="K14" s="2"/>
    </row>
    <row r="15" customFormat="false" ht="15" hidden="false" customHeight="false" outlineLevel="0" collapsed="false">
      <c r="A15" s="2"/>
      <c r="B15" s="2"/>
      <c r="C15" s="2"/>
      <c r="D15" s="2"/>
      <c r="E15" s="2"/>
      <c r="F15" s="2"/>
      <c r="G15" s="2"/>
      <c r="H15" s="2"/>
      <c r="I15" s="2"/>
      <c r="J15" s="2"/>
      <c r="K15" s="2"/>
    </row>
    <row r="16" customFormat="false" ht="15" hidden="false" customHeight="false" outlineLevel="0" collapsed="false">
      <c r="A16" s="22" t="s">
        <v>2143</v>
      </c>
      <c r="B16" s="22" t="s">
        <v>2959</v>
      </c>
      <c r="C16" s="2"/>
      <c r="D16" s="2"/>
      <c r="E16" s="2"/>
      <c r="F16" s="2"/>
      <c r="G16" s="2"/>
      <c r="H16" s="2"/>
      <c r="I16" s="2"/>
      <c r="J16" s="2"/>
      <c r="K16" s="2"/>
    </row>
    <row r="17" customFormat="false" ht="15" hidden="false" customHeight="false" outlineLevel="0" collapsed="false">
      <c r="A17" s="2"/>
      <c r="B17" s="5" t="s">
        <v>2960</v>
      </c>
      <c r="C17" s="78" t="n">
        <f aca="false">Entrées!$C$63</f>
        <v>4.3</v>
      </c>
      <c r="D17" s="24" t="s">
        <v>130</v>
      </c>
      <c r="E17" s="24" t="s">
        <v>311</v>
      </c>
      <c r="F17" s="2"/>
      <c r="G17" s="2"/>
      <c r="H17" s="2"/>
      <c r="I17" s="2"/>
      <c r="J17" s="2"/>
      <c r="K17" s="2"/>
    </row>
    <row r="18" customFormat="false" ht="15" hidden="false" customHeight="false" outlineLevel="0" collapsed="false">
      <c r="A18" s="2"/>
      <c r="B18" s="5" t="s">
        <v>2961</v>
      </c>
      <c r="C18" s="78" t="n">
        <f aca="false">Entrées!$C$64</f>
        <v>5.2</v>
      </c>
      <c r="D18" s="24" t="s">
        <v>130</v>
      </c>
      <c r="E18" s="24" t="s">
        <v>314</v>
      </c>
      <c r="F18" s="2"/>
      <c r="G18" s="2"/>
      <c r="H18" s="2"/>
      <c r="I18" s="2"/>
      <c r="J18" s="2"/>
      <c r="K18" s="2"/>
    </row>
    <row r="19" customFormat="false" ht="15" hidden="false" customHeight="false" outlineLevel="0" collapsed="false">
      <c r="A19" s="2"/>
      <c r="B19" s="5" t="s">
        <v>2962</v>
      </c>
      <c r="C19" s="78" t="n">
        <f aca="false">Entrées!$C$65</f>
        <v>0.9</v>
      </c>
      <c r="D19" s="24" t="s">
        <v>130</v>
      </c>
      <c r="E19" s="24" t="s">
        <v>317</v>
      </c>
      <c r="F19" s="2"/>
      <c r="G19" s="2"/>
      <c r="H19" s="2"/>
      <c r="I19" s="2"/>
      <c r="J19" s="2"/>
      <c r="K19" s="2"/>
    </row>
    <row r="20" customFormat="false" ht="15" hidden="false" customHeight="false" outlineLevel="0" collapsed="false">
      <c r="A20" s="2"/>
      <c r="B20" s="5" t="s">
        <v>2963</v>
      </c>
      <c r="C20" s="66" t="n">
        <f aca="false">C19/C18</f>
        <v>0.173076923076923</v>
      </c>
      <c r="D20" s="24" t="s">
        <v>299</v>
      </c>
      <c r="E20" s="24" t="s">
        <v>2964</v>
      </c>
      <c r="F20" s="2"/>
      <c r="G20" s="2"/>
      <c r="H20" s="2"/>
      <c r="I20" s="2"/>
      <c r="J20" s="2"/>
      <c r="K20" s="2"/>
    </row>
    <row r="21" customFormat="false" ht="15" hidden="false" customHeight="false" outlineLevel="0" collapsed="false">
      <c r="A21" s="2"/>
      <c r="B21" s="5" t="s">
        <v>2965</v>
      </c>
      <c r="C21" s="66" t="n">
        <f aca="false">Entrées!$C$67/100</f>
        <v>0.1</v>
      </c>
      <c r="D21" s="24" t="s">
        <v>299</v>
      </c>
      <c r="E21" s="24" t="s">
        <v>323</v>
      </c>
      <c r="F21" s="2"/>
      <c r="G21" s="2"/>
      <c r="H21" s="2"/>
      <c r="I21" s="2"/>
      <c r="J21" s="2"/>
      <c r="K21" s="2"/>
    </row>
    <row r="22" customFormat="false" ht="15" hidden="false" customHeight="false" outlineLevel="0" collapsed="false">
      <c r="A22" s="2"/>
      <c r="B22" s="22" t="s">
        <v>2966</v>
      </c>
      <c r="C22" s="51" t="n">
        <f aca="false">C19*(1+C21)^2</f>
        <v>1.089</v>
      </c>
      <c r="D22" s="24" t="s">
        <v>130</v>
      </c>
      <c r="E22" s="24" t="s">
        <v>2967</v>
      </c>
      <c r="F22" s="2"/>
      <c r="G22" s="2"/>
      <c r="H22" s="2"/>
      <c r="I22" s="2"/>
      <c r="J22" s="2"/>
      <c r="K22" s="2"/>
    </row>
    <row r="23" customFormat="false" ht="15" hidden="false" customHeight="false" outlineLevel="0" collapsed="false">
      <c r="A23" s="2"/>
      <c r="B23" s="5" t="s">
        <v>2968</v>
      </c>
      <c r="C23" s="66" t="n">
        <f aca="false">Entrées!$C$57/Entrées!$C$59-1</f>
        <v>0.0510204081632653</v>
      </c>
      <c r="D23" s="24" t="s">
        <v>299</v>
      </c>
      <c r="E23" s="24" t="s">
        <v>2969</v>
      </c>
      <c r="F23" s="2"/>
      <c r="G23" s="2"/>
      <c r="H23" s="2"/>
      <c r="I23" s="2"/>
      <c r="J23" s="2"/>
      <c r="K23" s="2"/>
    </row>
    <row r="24" customFormat="false" ht="15" hidden="false" customHeight="false" outlineLevel="0" collapsed="false">
      <c r="A24" s="2"/>
      <c r="B24" s="5" t="s">
        <v>2970</v>
      </c>
      <c r="C24" s="66" t="n">
        <f aca="false">Entrées!$C$56/Entrées!$C$57</f>
        <v>0.194174757281553</v>
      </c>
      <c r="D24" s="24" t="s">
        <v>299</v>
      </c>
      <c r="E24" s="24" t="s">
        <v>2971</v>
      </c>
      <c r="F24" s="2"/>
      <c r="G24" s="2"/>
      <c r="H24" s="2"/>
      <c r="I24" s="2"/>
      <c r="J24" s="2"/>
      <c r="K24" s="2"/>
    </row>
    <row r="25" customFormat="false" ht="15" hidden="false" customHeight="false" outlineLevel="0" collapsed="false">
      <c r="A25" s="2"/>
      <c r="B25" s="2"/>
      <c r="C25" s="2"/>
      <c r="D25" s="2"/>
      <c r="E25" s="2"/>
      <c r="F25" s="2"/>
      <c r="G25" s="2"/>
      <c r="H25" s="2"/>
      <c r="I25" s="2"/>
      <c r="J25" s="2"/>
      <c r="K25" s="2"/>
    </row>
    <row r="26" customFormat="false" ht="15" hidden="false" customHeight="false" outlineLevel="0" collapsed="false">
      <c r="A26" s="22" t="s">
        <v>2308</v>
      </c>
      <c r="B26" s="22" t="s">
        <v>2972</v>
      </c>
      <c r="C26" s="2"/>
      <c r="D26" s="2"/>
      <c r="E26" s="2"/>
      <c r="F26" s="2"/>
      <c r="G26" s="2"/>
      <c r="H26" s="2"/>
      <c r="I26" s="2"/>
      <c r="J26" s="2"/>
      <c r="K26" s="2"/>
    </row>
    <row r="27" customFormat="false" ht="15" hidden="false" customHeight="false" outlineLevel="0" collapsed="false">
      <c r="A27" s="2"/>
      <c r="B27" s="5" t="s">
        <v>2973</v>
      </c>
      <c r="C27" s="61" t="n">
        <f aca="false">Entrées!$C$44</f>
        <v>1189</v>
      </c>
      <c r="D27" s="24" t="s">
        <v>103</v>
      </c>
      <c r="E27" s="24" t="s">
        <v>242</v>
      </c>
      <c r="F27" s="2"/>
      <c r="G27" s="2"/>
      <c r="H27" s="2"/>
      <c r="I27" s="2"/>
      <c r="J27" s="2"/>
      <c r="K27" s="2"/>
    </row>
    <row r="28" customFormat="false" ht="15" hidden="false" customHeight="false" outlineLevel="0" collapsed="false">
      <c r="A28" s="2"/>
      <c r="B28" s="22" t="s">
        <v>2974</v>
      </c>
      <c r="C28" s="41" t="n">
        <f aca="false">Entrées!$C$98/100</f>
        <v>-0.002</v>
      </c>
      <c r="D28" s="24" t="s">
        <v>299</v>
      </c>
      <c r="E28" s="24" t="s">
        <v>413</v>
      </c>
      <c r="F28" s="2"/>
      <c r="G28" s="2"/>
      <c r="H28" s="2"/>
      <c r="I28" s="2"/>
      <c r="J28" s="2"/>
      <c r="K28" s="2"/>
    </row>
    <row r="29" customFormat="false" ht="15" hidden="false" customHeight="false" outlineLevel="0" collapsed="false">
      <c r="A29" s="2"/>
      <c r="B29" s="5" t="s">
        <v>2975</v>
      </c>
      <c r="C29" s="66" t="n">
        <f aca="false">Entrées!$C$100/Entrées!$C$99-1</f>
        <v>0.0352220520673814</v>
      </c>
      <c r="D29" s="24" t="s">
        <v>299</v>
      </c>
      <c r="E29" s="24" t="s">
        <v>2976</v>
      </c>
      <c r="F29" s="2"/>
      <c r="G29" s="2"/>
      <c r="H29" s="2"/>
      <c r="I29" s="2"/>
      <c r="J29" s="2"/>
      <c r="K29" s="2"/>
    </row>
    <row r="30" customFormat="false" ht="15" hidden="false" customHeight="false" outlineLevel="0" collapsed="false">
      <c r="A30" s="2"/>
      <c r="B30" s="5" t="s">
        <v>2977</v>
      </c>
      <c r="C30" s="66" t="n">
        <f aca="false">Entrées!$C$102/Entrées!$C$101-1</f>
        <v>0.108501118568233</v>
      </c>
      <c r="D30" s="24" t="s">
        <v>299</v>
      </c>
      <c r="E30" s="24" t="s">
        <v>2978</v>
      </c>
      <c r="F30" s="2"/>
      <c r="G30" s="2"/>
      <c r="H30" s="2"/>
      <c r="I30" s="2"/>
      <c r="J30" s="2"/>
      <c r="K30" s="2"/>
    </row>
    <row r="31" customFormat="false" ht="30" hidden="false" customHeight="true" outlineLevel="0" collapsed="false">
      <c r="A31" s="2"/>
      <c r="B31" s="69" t="str">
        <f aca="false">"Lecture : en Europe le booster est "&amp;IF(ABS(Booster!$C$28)&lt;0.01,"à l'arrêt",IF(Booster!$C$28&gt;0,"en croissance","en recul"))&amp;" en organique ("&amp;SUBSTITUTE(SUBSTITUTE(FIXED((Booster!$C$28)*100,1,TRUE()),".",","),"-","−")&amp;" %"&amp;"). L'ambition de "&amp;SUBSTITUTE(SUBSTITUTE(FIXED((Booster!$C$21)*100,0,FALSE()),","," "),"-","−")&amp;" %"&amp;" par an repose sur Clean Earth et les États-Unis : c'est de la croissance achetée."</f>
        <v>Lecture : en Europe le booster est à l'arrêt en organique (−0,2 %). L'ambition de 10 % par an repose sur Clean Earth et les États-Unis : c'est de la croissance achetée.</v>
      </c>
      <c r="C31" s="69"/>
      <c r="D31" s="69"/>
      <c r="E31" s="69"/>
      <c r="F31" s="2"/>
      <c r="G31" s="2"/>
      <c r="H31" s="2"/>
      <c r="I31" s="2"/>
      <c r="J31" s="2"/>
      <c r="K31" s="2"/>
    </row>
    <row r="32" customFormat="false" ht="15" hidden="false" customHeight="false" outlineLevel="0" collapsed="false">
      <c r="A32" s="2"/>
      <c r="B32" s="2"/>
      <c r="C32" s="2"/>
      <c r="D32" s="2"/>
      <c r="E32" s="2"/>
      <c r="F32" s="2"/>
      <c r="G32" s="2"/>
      <c r="H32" s="2"/>
      <c r="I32" s="2"/>
      <c r="J32" s="2"/>
      <c r="K32" s="2"/>
    </row>
    <row r="33" customFormat="false" ht="15" hidden="false" customHeight="false" outlineLevel="0" collapsed="false">
      <c r="A33" s="22" t="s">
        <v>2457</v>
      </c>
      <c r="B33" s="22" t="s">
        <v>2979</v>
      </c>
      <c r="C33" s="2"/>
      <c r="D33" s="2"/>
      <c r="E33" s="2"/>
      <c r="F33" s="2"/>
      <c r="G33" s="2"/>
      <c r="H33" s="2"/>
      <c r="I33" s="2"/>
      <c r="J33" s="2"/>
      <c r="K33" s="2"/>
    </row>
    <row r="34" customFormat="false" ht="15" hidden="false" customHeight="false" outlineLevel="0" collapsed="false">
      <c r="A34" s="21"/>
      <c r="B34" s="21" t="s">
        <v>2252</v>
      </c>
      <c r="C34" s="21" t="s">
        <v>2980</v>
      </c>
      <c r="D34" s="21" t="s">
        <v>2981</v>
      </c>
      <c r="E34" s="21" t="s">
        <v>2982</v>
      </c>
      <c r="F34" s="21" t="s">
        <v>2983</v>
      </c>
      <c r="G34" s="21" t="s">
        <v>2984</v>
      </c>
      <c r="H34" s="21" t="s">
        <v>2985</v>
      </c>
      <c r="I34" s="21" t="s">
        <v>96</v>
      </c>
      <c r="J34" s="21" t="s">
        <v>97</v>
      </c>
      <c r="K34" s="21" t="s">
        <v>2986</v>
      </c>
    </row>
    <row r="35" customFormat="false" ht="15" hidden="false" customHeight="false" outlineLevel="0" collapsed="false">
      <c r="A35" s="2"/>
      <c r="B35" s="5" t="s">
        <v>2987</v>
      </c>
      <c r="C35" s="5" t="s">
        <v>2482</v>
      </c>
      <c r="D35" s="113" t="s">
        <v>2988</v>
      </c>
      <c r="E35" s="59" t="n">
        <f aca="false">Entrées!$C$212</f>
        <v>6030.8</v>
      </c>
      <c r="F35" s="59" t="n">
        <f aca="false">Entrées!$C$213/1000</f>
        <v>1169.939</v>
      </c>
      <c r="G35" s="66" t="n">
        <f aca="false">IF(AND(ISNUMBER(E35),ISNUMBER(F35),E35&lt;&gt;0),F35/E35,"")</f>
        <v>0.193993997479605</v>
      </c>
      <c r="H35" s="114"/>
      <c r="I35" s="113" t="s">
        <v>739</v>
      </c>
      <c r="J35" s="113" t="s">
        <v>2989</v>
      </c>
      <c r="K35" s="24" t="s">
        <v>2990</v>
      </c>
    </row>
    <row r="36" customFormat="false" ht="15" hidden="false" customHeight="false" outlineLevel="0" collapsed="false">
      <c r="A36" s="2"/>
      <c r="B36" s="5" t="s">
        <v>2991</v>
      </c>
      <c r="C36" s="5" t="s">
        <v>2482</v>
      </c>
      <c r="D36" s="113" t="s">
        <v>2992</v>
      </c>
      <c r="E36" s="59" t="n">
        <f aca="false">Entrées!$C$197</f>
        <v>973.9</v>
      </c>
      <c r="F36" s="115" t="n">
        <f aca="false">Entrées!$C$199+(Entrées!$C$201+Entrées!$C$202)/1000</f>
        <v>155.122</v>
      </c>
      <c r="G36" s="66" t="n">
        <f aca="false">IF(AND(ISNUMBER(E36),ISNUMBER(F36),E36&lt;&gt;0),F36/E36,"")</f>
        <v>0.159279186774823</v>
      </c>
      <c r="H36" s="114"/>
      <c r="I36" s="113" t="s">
        <v>706</v>
      </c>
      <c r="J36" s="113" t="s">
        <v>2993</v>
      </c>
      <c r="K36" s="24" t="s">
        <v>2994</v>
      </c>
    </row>
    <row r="37" customFormat="false" ht="15" hidden="false" customHeight="false" outlineLevel="0" collapsed="false">
      <c r="A37" s="2"/>
      <c r="B37" s="5" t="s">
        <v>2995</v>
      </c>
      <c r="C37" s="5" t="s">
        <v>2482</v>
      </c>
      <c r="D37" s="114"/>
      <c r="E37" s="114"/>
      <c r="F37" s="114"/>
      <c r="G37" s="66" t="str">
        <f aca="false">IF(AND(ISNUMBER(E37),ISNUMBER(F37),E37&lt;&gt;0),F37/E37,"")</f>
        <v/>
      </c>
      <c r="H37" s="114"/>
      <c r="I37" s="114"/>
      <c r="J37" s="114"/>
      <c r="K37" s="24" t="s">
        <v>2996</v>
      </c>
    </row>
    <row r="38" customFormat="false" ht="15" hidden="false" customHeight="false" outlineLevel="0" collapsed="false">
      <c r="A38" s="2"/>
      <c r="B38" s="5" t="s">
        <v>2997</v>
      </c>
      <c r="C38" s="5" t="s">
        <v>2483</v>
      </c>
      <c r="D38" s="114"/>
      <c r="E38" s="114"/>
      <c r="F38" s="114"/>
      <c r="G38" s="66" t="str">
        <f aca="false">IF(AND(ISNUMBER(E38),ISNUMBER(F38),E38&lt;&gt;0),F38/E38,"")</f>
        <v/>
      </c>
      <c r="H38" s="114"/>
      <c r="I38" s="114"/>
      <c r="J38" s="114"/>
      <c r="K38" s="24" t="s">
        <v>2998</v>
      </c>
    </row>
    <row r="39" customFormat="false" ht="15" hidden="false" customHeight="false" outlineLevel="0" collapsed="false">
      <c r="A39" s="2"/>
      <c r="B39" s="5" t="s">
        <v>2999</v>
      </c>
      <c r="C39" s="2"/>
      <c r="D39" s="2"/>
      <c r="E39" s="2"/>
      <c r="F39" s="2"/>
      <c r="G39" s="66" t="n">
        <f aca="false">Entrées!$C$214/100</f>
        <v>0.194</v>
      </c>
      <c r="H39" s="2"/>
      <c r="I39" s="2"/>
      <c r="J39" s="2"/>
      <c r="K39" s="24" t="s">
        <v>756</v>
      </c>
    </row>
    <row r="40" customFormat="false" ht="15" hidden="false" customHeight="false" outlineLevel="0" collapsed="false">
      <c r="A40" s="2"/>
      <c r="B40" s="2"/>
      <c r="C40" s="2"/>
      <c r="D40" s="2"/>
      <c r="E40" s="2"/>
      <c r="F40" s="2"/>
      <c r="G40" s="2"/>
      <c r="H40" s="2"/>
      <c r="I40" s="2"/>
      <c r="J40" s="2"/>
      <c r="K40" s="2"/>
    </row>
    <row r="41" customFormat="false" ht="15" hidden="false" customHeight="false" outlineLevel="0" collapsed="false">
      <c r="A41" s="22" t="s">
        <v>2475</v>
      </c>
      <c r="B41" s="22" t="s">
        <v>3000</v>
      </c>
      <c r="C41" s="2"/>
      <c r="D41" s="2"/>
      <c r="E41" s="2"/>
      <c r="F41" s="2"/>
      <c r="G41" s="2"/>
      <c r="H41" s="2"/>
      <c r="I41" s="2"/>
      <c r="J41" s="2"/>
      <c r="K41" s="2"/>
    </row>
    <row r="42" customFormat="false" ht="15" hidden="false" customHeight="false" outlineLevel="0" collapsed="false">
      <c r="A42" s="2"/>
      <c r="B42" s="5" t="s">
        <v>3001</v>
      </c>
      <c r="C42" s="98" t="n">
        <f aca="false">Entrées!$C$198</f>
        <v>940.3</v>
      </c>
      <c r="D42" s="24" t="s">
        <v>249</v>
      </c>
      <c r="E42" s="24" t="s">
        <v>3002</v>
      </c>
      <c r="F42" s="2"/>
      <c r="G42" s="2"/>
      <c r="H42" s="2"/>
      <c r="I42" s="2"/>
      <c r="J42" s="2"/>
      <c r="K42" s="2"/>
    </row>
    <row r="43" customFormat="false" ht="15" hidden="false" customHeight="false" outlineLevel="0" collapsed="false">
      <c r="A43" s="2"/>
      <c r="B43" s="5" t="s">
        <v>3001</v>
      </c>
      <c r="C43" s="98" t="n">
        <f aca="false">Entrées!$C$197</f>
        <v>973.9</v>
      </c>
      <c r="D43" s="24" t="s">
        <v>249</v>
      </c>
      <c r="E43" s="24" t="s">
        <v>3003</v>
      </c>
      <c r="F43" s="2"/>
      <c r="G43" s="2"/>
      <c r="H43" s="2"/>
      <c r="I43" s="2"/>
      <c r="J43" s="2"/>
      <c r="K43" s="2"/>
    </row>
    <row r="44" customFormat="false" ht="15" hidden="false" customHeight="false" outlineLevel="0" collapsed="false">
      <c r="A44" s="2"/>
      <c r="B44" s="5" t="s">
        <v>3004</v>
      </c>
      <c r="C44" s="66" t="n">
        <f aca="false">C43/C42-1</f>
        <v>0.0357332766138467</v>
      </c>
      <c r="D44" s="24" t="s">
        <v>299</v>
      </c>
      <c r="E44" s="24"/>
      <c r="F44" s="2"/>
      <c r="G44" s="2"/>
      <c r="H44" s="2"/>
      <c r="I44" s="2"/>
      <c r="J44" s="2"/>
      <c r="K44" s="2"/>
    </row>
    <row r="45" customFormat="false" ht="15" hidden="false" customHeight="false" outlineLevel="0" collapsed="false">
      <c r="A45" s="2"/>
      <c r="B45" s="5" t="s">
        <v>3005</v>
      </c>
      <c r="C45" s="98" t="n">
        <f aca="false">Entrées!$C$200</f>
        <v>92.6</v>
      </c>
      <c r="D45" s="24" t="s">
        <v>249</v>
      </c>
      <c r="E45" s="24" t="s">
        <v>3006</v>
      </c>
      <c r="F45" s="2"/>
      <c r="G45" s="2"/>
      <c r="H45" s="2"/>
      <c r="I45" s="2"/>
      <c r="J45" s="2"/>
      <c r="K45" s="2"/>
    </row>
    <row r="46" customFormat="false" ht="15" hidden="false" customHeight="false" outlineLevel="0" collapsed="false">
      <c r="A46" s="2"/>
      <c r="B46" s="5" t="s">
        <v>3005</v>
      </c>
      <c r="C46" s="98" t="n">
        <f aca="false">Entrées!$C$199</f>
        <v>91.7</v>
      </c>
      <c r="D46" s="24" t="s">
        <v>249</v>
      </c>
      <c r="E46" s="24" t="s">
        <v>3007</v>
      </c>
      <c r="F46" s="2"/>
      <c r="G46" s="2"/>
      <c r="H46" s="2"/>
      <c r="I46" s="2"/>
      <c r="J46" s="2"/>
      <c r="K46" s="2"/>
    </row>
    <row r="47" customFormat="false" ht="15" hidden="false" customHeight="false" outlineLevel="0" collapsed="false">
      <c r="A47" s="2"/>
      <c r="B47" s="5" t="s">
        <v>3008</v>
      </c>
      <c r="C47" s="99" t="n">
        <f aca="false">(Entrées!$C$201+Entrées!$C$202)/1000</f>
        <v>63.422</v>
      </c>
      <c r="D47" s="24" t="s">
        <v>249</v>
      </c>
      <c r="E47" s="24" t="s">
        <v>3009</v>
      </c>
      <c r="F47" s="2"/>
      <c r="G47" s="2"/>
      <c r="H47" s="2"/>
      <c r="I47" s="2"/>
      <c r="J47" s="2"/>
      <c r="K47" s="2"/>
    </row>
    <row r="48" customFormat="false" ht="15" hidden="false" customHeight="false" outlineLevel="0" collapsed="false">
      <c r="A48" s="2"/>
      <c r="B48" s="22" t="s">
        <v>3010</v>
      </c>
      <c r="C48" s="60" t="n">
        <f aca="false">C46+C47</f>
        <v>155.122</v>
      </c>
      <c r="D48" s="24" t="s">
        <v>249</v>
      </c>
      <c r="E48" s="24" t="s">
        <v>3011</v>
      </c>
      <c r="F48" s="2"/>
      <c r="G48" s="2"/>
      <c r="H48" s="2"/>
      <c r="I48" s="2"/>
      <c r="J48" s="2"/>
      <c r="K48" s="2"/>
    </row>
    <row r="49" customFormat="false" ht="15" hidden="false" customHeight="false" outlineLevel="0" collapsed="false">
      <c r="A49" s="2"/>
      <c r="B49" s="5" t="s">
        <v>3012</v>
      </c>
      <c r="C49" s="66" t="n">
        <f aca="false">C48/C43</f>
        <v>0.159279186774823</v>
      </c>
      <c r="D49" s="24" t="s">
        <v>299</v>
      </c>
      <c r="E49" s="24"/>
      <c r="F49" s="2"/>
      <c r="G49" s="2"/>
      <c r="H49" s="2"/>
      <c r="I49" s="2"/>
      <c r="J49" s="2"/>
      <c r="K49" s="2"/>
    </row>
    <row r="50" customFormat="false" ht="15" hidden="false" customHeight="false" outlineLevel="0" collapsed="false">
      <c r="A50" s="2"/>
      <c r="B50" s="5" t="s">
        <v>3013</v>
      </c>
      <c r="C50" s="98" t="n">
        <f aca="false">Entrées!$C$56</f>
        <v>200</v>
      </c>
      <c r="D50" s="24" t="s">
        <v>249</v>
      </c>
      <c r="E50" s="24" t="s">
        <v>290</v>
      </c>
      <c r="F50" s="2"/>
      <c r="G50" s="2"/>
      <c r="H50" s="2"/>
      <c r="I50" s="2"/>
      <c r="J50" s="2"/>
      <c r="K50" s="2"/>
    </row>
    <row r="51" customFormat="false" ht="15" hidden="false" customHeight="false" outlineLevel="0" collapsed="false">
      <c r="A51" s="2"/>
      <c r="B51" s="22" t="s">
        <v>3014</v>
      </c>
      <c r="C51" s="41" t="n">
        <f aca="false">C50/C48-1</f>
        <v>0.289307770657934</v>
      </c>
      <c r="D51" s="24" t="s">
        <v>299</v>
      </c>
      <c r="E51" s="24" t="s">
        <v>3015</v>
      </c>
      <c r="F51" s="2"/>
      <c r="G51" s="2"/>
      <c r="H51" s="2"/>
      <c r="I51" s="2"/>
      <c r="J51" s="2"/>
      <c r="K51" s="2"/>
    </row>
    <row r="52" customFormat="false" ht="15" hidden="false" customHeight="false" outlineLevel="0" collapsed="false">
      <c r="A52" s="2"/>
      <c r="B52" s="22" t="s">
        <v>3016</v>
      </c>
      <c r="C52" s="48" t="n">
        <f aca="false">Entrées!$C$51*1000/C48</f>
        <v>19.339616559869</v>
      </c>
      <c r="D52" s="24" t="s">
        <v>133</v>
      </c>
      <c r="E52" s="24" t="s">
        <v>3017</v>
      </c>
      <c r="F52" s="2"/>
      <c r="G52" s="2"/>
      <c r="H52" s="2"/>
      <c r="I52" s="2"/>
      <c r="J52" s="2"/>
      <c r="K52" s="2"/>
    </row>
    <row r="53" customFormat="false" ht="15" hidden="false" customHeight="false" outlineLevel="0" collapsed="false">
      <c r="A53" s="2"/>
      <c r="B53" s="5" t="s">
        <v>3018</v>
      </c>
      <c r="C53" s="89" t="n">
        <f aca="false">Entrées!$C$53</f>
        <v>9.8</v>
      </c>
      <c r="D53" s="24" t="s">
        <v>133</v>
      </c>
      <c r="E53" s="24" t="s">
        <v>278</v>
      </c>
      <c r="F53" s="2"/>
      <c r="G53" s="2"/>
      <c r="H53" s="2"/>
      <c r="I53" s="2"/>
      <c r="J53" s="2"/>
      <c r="K53" s="2"/>
    </row>
    <row r="54" customFormat="false" ht="15" hidden="false" customHeight="false" outlineLevel="0" collapsed="false">
      <c r="A54" s="2"/>
      <c r="B54" s="5" t="s">
        <v>3019</v>
      </c>
      <c r="C54" s="99" t="n">
        <f aca="false">Entrées!$C$203/1000</f>
        <v>1036.916</v>
      </c>
      <c r="D54" s="24" t="s">
        <v>249</v>
      </c>
      <c r="E54" s="24" t="s">
        <v>722</v>
      </c>
      <c r="F54" s="2"/>
      <c r="G54" s="2"/>
      <c r="H54" s="2"/>
      <c r="I54" s="2"/>
      <c r="J54" s="2"/>
      <c r="K54" s="2"/>
    </row>
    <row r="55" customFormat="false" ht="30" hidden="false" customHeight="true" outlineLevel="0" collapsed="false">
      <c r="A55" s="2"/>
      <c r="B55" s="69" t="str">
        <f aca="false">"Lecture : sur l'EBITDA que le vendeur publie, le prix ressort à "&amp;SUBSTITUTE(SUBSTITUTE(FIXED(Booster!$C$52,1,TRUE()),".",","),"-","−")&amp;"x"&amp;" ; le "&amp;SUBSTITUTE(SUBSTITUTE(FIXED(Entrées!$C$53,1,TRUE()),".",","),"-","−")&amp;"x"&amp;" de Veolia repose sur un EBITDA 2026E "&amp;SUBSTITUTE(SUBSTITUTE(FIXED((Booster!$C$51)*100,0,FALSE()),","," "),"-","−")&amp;" %"&amp;" plus haut, plus "&amp;SUBSTITUTE(SUBSTITUTE(FIXED(Entrées!$C$54,0,FALSE()),","," "),"-","−")&amp;" M$"&amp;" de synergies. C'est le pont à faire expliquer le 16 octobre."</f>
        <v>Lecture : sur l'EBITDA que le vendeur publie, le prix ressort à 19,3x ; le 9,8x de Veolia repose sur un EBITDA 2026E 29 % plus haut, plus 120 M$ de synergies. C'est le pont à faire expliquer le 16 octobre.</v>
      </c>
      <c r="C55" s="69"/>
      <c r="D55" s="69"/>
      <c r="E55" s="69"/>
      <c r="F55" s="2"/>
      <c r="G55" s="2"/>
      <c r="H55" s="2"/>
      <c r="I55" s="2"/>
      <c r="J55" s="2"/>
      <c r="K55" s="2"/>
    </row>
    <row r="56" customFormat="false" ht="15" hidden="false" customHeight="false" outlineLevel="0" collapsed="false">
      <c r="A56" s="2"/>
      <c r="B56" s="3" t="s">
        <v>3020</v>
      </c>
      <c r="C56" s="2"/>
      <c r="D56" s="2"/>
      <c r="E56" s="2"/>
      <c r="F56" s="2"/>
      <c r="G56" s="2"/>
      <c r="H56" s="2"/>
      <c r="I56" s="2"/>
      <c r="J56" s="2"/>
      <c r="K56" s="2"/>
    </row>
  </sheetData>
  <mergeCells count="3">
    <mergeCell ref="B14:E14"/>
    <mergeCell ref="B31:E31"/>
    <mergeCell ref="B55:E55"/>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customHeight="true" zeroHeight="false" outlineLevelRow="0" outlineLevelCol="0"/>
  <cols>
    <col collapsed="false" customWidth="true" hidden="false" outlineLevel="0" max="1" min="1" style="0" width="4"/>
    <col collapsed="false" customWidth="true" hidden="false" outlineLevel="0" max="2" min="2" style="0" width="62"/>
    <col collapsed="false" customWidth="true" hidden="false" outlineLevel="0" max="3" min="3" style="0" width="14"/>
    <col collapsed="false" customWidth="true" hidden="false" outlineLevel="0" max="4" min="4" style="0" width="16"/>
    <col collapsed="false" customWidth="true" hidden="false" outlineLevel="0" max="5" min="5" style="0" width="14"/>
    <col collapsed="false" customWidth="true" hidden="false" outlineLevel="0" max="6" min="6" style="0" width="16"/>
    <col collapsed="false" customWidth="true" hidden="false" outlineLevel="0" max="7" min="7" style="0" width="14"/>
    <col collapsed="false" customWidth="true" hidden="false" outlineLevel="0" max="8" min="8" style="0" width="16"/>
    <col collapsed="false" customWidth="true" hidden="false" outlineLevel="0" max="9" min="9" style="0" width="40"/>
  </cols>
  <sheetData>
    <row r="1" customFormat="false" ht="17.35" hidden="false" customHeight="false" outlineLevel="0" collapsed="false">
      <c r="A1" s="1" t="s">
        <v>3021</v>
      </c>
      <c r="B1" s="2"/>
      <c r="C1" s="2"/>
      <c r="D1" s="2"/>
      <c r="E1" s="2"/>
      <c r="F1" s="2"/>
      <c r="G1" s="2"/>
      <c r="H1" s="2"/>
      <c r="I1" s="2"/>
    </row>
    <row r="2" customFormat="false" ht="15" hidden="false" customHeight="false" outlineLevel="0" collapsed="false">
      <c r="A2" s="3" t="s">
        <v>3022</v>
      </c>
      <c r="B2" s="2"/>
      <c r="C2" s="2"/>
      <c r="D2" s="2"/>
      <c r="E2" s="2"/>
      <c r="F2" s="2"/>
      <c r="G2" s="2"/>
      <c r="H2" s="2"/>
      <c r="I2" s="2"/>
    </row>
    <row r="3" customFormat="false" ht="15" hidden="false" customHeight="false" outlineLevel="0" collapsed="false">
      <c r="A3" s="2"/>
      <c r="B3" s="2"/>
      <c r="C3" s="2"/>
      <c r="D3" s="2"/>
      <c r="E3" s="2"/>
      <c r="F3" s="2"/>
      <c r="G3" s="2"/>
      <c r="H3" s="2"/>
      <c r="I3" s="2"/>
    </row>
    <row r="4" customFormat="false" ht="15" hidden="false" customHeight="false" outlineLevel="0" collapsed="false">
      <c r="A4" s="22" t="s">
        <v>2130</v>
      </c>
      <c r="B4" s="22" t="s">
        <v>3023</v>
      </c>
      <c r="C4" s="2"/>
      <c r="D4" s="2"/>
      <c r="E4" s="2"/>
      <c r="F4" s="2"/>
      <c r="G4" s="2"/>
      <c r="H4" s="2"/>
      <c r="I4" s="2"/>
    </row>
    <row r="5" customFormat="false" ht="15" hidden="false" customHeight="false" outlineLevel="0" collapsed="false">
      <c r="A5" s="21"/>
      <c r="B5" s="21" t="s">
        <v>3024</v>
      </c>
      <c r="C5" s="21" t="s">
        <v>193</v>
      </c>
      <c r="D5" s="21" t="s">
        <v>140</v>
      </c>
      <c r="E5" s="21" t="s">
        <v>147</v>
      </c>
      <c r="F5" s="21" t="s">
        <v>2048</v>
      </c>
      <c r="G5" s="116" t="s">
        <v>3025</v>
      </c>
      <c r="H5" s="2"/>
      <c r="I5" s="2"/>
    </row>
    <row r="6" customFormat="false" ht="15" hidden="false" customHeight="false" outlineLevel="0" collapsed="false">
      <c r="A6" s="2"/>
      <c r="B6" s="22" t="s">
        <v>3026</v>
      </c>
      <c r="C6" s="61" t="n">
        <f aca="false">Entrées!$C$104</f>
        <v>1220</v>
      </c>
      <c r="D6" s="61" t="n">
        <f aca="false">Entrées!$C$105</f>
        <v>1214</v>
      </c>
      <c r="E6" s="61" t="n">
        <f aca="false">Entrées!$C$49</f>
        <v>1290</v>
      </c>
      <c r="F6" s="24" t="s">
        <v>3027</v>
      </c>
      <c r="G6" s="45" t="n">
        <f aca="false">E6-D6</f>
        <v>76</v>
      </c>
      <c r="H6" s="2"/>
      <c r="I6" s="2"/>
    </row>
    <row r="7" customFormat="false" ht="15" hidden="false" customHeight="false" outlineLevel="0" collapsed="false">
      <c r="A7" s="2"/>
      <c r="B7" s="5" t="s">
        <v>3028</v>
      </c>
      <c r="C7" s="2"/>
      <c r="D7" s="61" t="n">
        <f aca="false">Entrées!$C$106</f>
        <v>418</v>
      </c>
      <c r="E7" s="61" t="n">
        <f aca="false">Entrées!$C$107</f>
        <v>472</v>
      </c>
      <c r="F7" s="24" t="s">
        <v>3029</v>
      </c>
      <c r="G7" s="64" t="n">
        <f aca="false">E7-D7</f>
        <v>54</v>
      </c>
      <c r="H7" s="2"/>
      <c r="I7" s="2"/>
    </row>
    <row r="8" customFormat="false" ht="15" hidden="false" customHeight="false" outlineLevel="0" collapsed="false">
      <c r="A8" s="2"/>
      <c r="B8" s="5" t="s">
        <v>3030</v>
      </c>
      <c r="C8" s="2"/>
      <c r="D8" s="61" t="n">
        <f aca="false">Entrées!$C$108</f>
        <v>454</v>
      </c>
      <c r="E8" s="61" t="n">
        <f aca="false">Entrées!$C$50</f>
        <v>461</v>
      </c>
      <c r="F8" s="24" t="s">
        <v>3031</v>
      </c>
      <c r="G8" s="64" t="n">
        <f aca="false">E8-D8</f>
        <v>7</v>
      </c>
      <c r="H8" s="2"/>
      <c r="I8" s="2"/>
    </row>
    <row r="9" customFormat="false" ht="15" hidden="false" customHeight="false" outlineLevel="0" collapsed="false">
      <c r="A9" s="2"/>
      <c r="B9" s="5" t="s">
        <v>3032</v>
      </c>
      <c r="C9" s="2"/>
      <c r="D9" s="61" t="n">
        <f aca="false">Entrées!$C$109</f>
        <v>315</v>
      </c>
      <c r="E9" s="61" t="n">
        <f aca="false">Entrées!$C$110</f>
        <v>328</v>
      </c>
      <c r="F9" s="24" t="s">
        <v>3033</v>
      </c>
      <c r="G9" s="64" t="n">
        <f aca="false">E9-D9</f>
        <v>13</v>
      </c>
      <c r="H9" s="2"/>
      <c r="I9" s="2"/>
    </row>
    <row r="10" customFormat="false" ht="15" hidden="false" customHeight="false" outlineLevel="0" collapsed="false">
      <c r="A10" s="2"/>
      <c r="B10" s="2"/>
      <c r="C10" s="2"/>
      <c r="D10" s="2"/>
      <c r="E10" s="2"/>
      <c r="F10" s="2"/>
      <c r="G10" s="2"/>
      <c r="H10" s="2"/>
      <c r="I10" s="2"/>
    </row>
    <row r="11" customFormat="false" ht="15" hidden="false" customHeight="false" outlineLevel="0" collapsed="false">
      <c r="A11" s="2"/>
      <c r="B11" s="5" t="s">
        <v>3034</v>
      </c>
      <c r="C11" s="61" t="n">
        <f aca="false">Entrées!$C$47</f>
        <v>1106</v>
      </c>
      <c r="D11" s="24" t="s">
        <v>103</v>
      </c>
      <c r="E11" s="24" t="s">
        <v>254</v>
      </c>
      <c r="F11" s="2"/>
      <c r="G11" s="2"/>
      <c r="H11" s="2"/>
      <c r="I11" s="2"/>
    </row>
    <row r="12" customFormat="false" ht="15" hidden="false" customHeight="false" outlineLevel="0" collapsed="false">
      <c r="A12" s="2"/>
      <c r="B12" s="5" t="s">
        <v>3035</v>
      </c>
      <c r="C12" s="61" t="n">
        <f aca="false">Entrées!$C$48</f>
        <v>53</v>
      </c>
      <c r="D12" s="24" t="s">
        <v>103</v>
      </c>
      <c r="E12" s="24" t="s">
        <v>258</v>
      </c>
      <c r="F12" s="2"/>
      <c r="G12" s="2"/>
      <c r="H12" s="2"/>
      <c r="I12" s="2"/>
    </row>
    <row r="13" customFormat="false" ht="15" hidden="false" customHeight="false" outlineLevel="0" collapsed="false">
      <c r="A13" s="2"/>
      <c r="B13" s="5" t="s">
        <v>3036</v>
      </c>
      <c r="C13" s="61" t="n">
        <f aca="false">Entrées!$C$111</f>
        <v>55</v>
      </c>
      <c r="D13" s="24" t="s">
        <v>103</v>
      </c>
      <c r="E13" s="24" t="s">
        <v>446</v>
      </c>
      <c r="F13" s="2"/>
      <c r="G13" s="2"/>
      <c r="H13" s="2"/>
      <c r="I13" s="2"/>
    </row>
    <row r="14" customFormat="false" ht="15" hidden="false" customHeight="false" outlineLevel="0" collapsed="false">
      <c r="A14" s="2"/>
      <c r="B14" s="22" t="s">
        <v>3037</v>
      </c>
      <c r="C14" s="45" t="n">
        <f aca="false">SUM(C11:C13)</f>
        <v>1214</v>
      </c>
      <c r="D14" s="24" t="s">
        <v>103</v>
      </c>
      <c r="E14" s="24" t="s">
        <v>3038</v>
      </c>
      <c r="F14" s="2"/>
      <c r="G14" s="2"/>
      <c r="H14" s="2"/>
      <c r="I14" s="2"/>
    </row>
    <row r="15" customFormat="false" ht="15" hidden="false" customHeight="false" outlineLevel="0" collapsed="false">
      <c r="A15" s="2"/>
      <c r="B15" s="5" t="s">
        <v>3039</v>
      </c>
      <c r="C15" s="61" t="n">
        <f aca="false">Entrées!$C$112</f>
        <v>72</v>
      </c>
      <c r="D15" s="24" t="s">
        <v>103</v>
      </c>
      <c r="E15" s="24" t="s">
        <v>449</v>
      </c>
      <c r="F15" s="2"/>
      <c r="G15" s="2"/>
      <c r="H15" s="2"/>
      <c r="I15" s="2"/>
    </row>
    <row r="16" customFormat="false" ht="15" hidden="false" customHeight="false" outlineLevel="0" collapsed="false">
      <c r="A16" s="2"/>
      <c r="B16" s="5" t="s">
        <v>3040</v>
      </c>
      <c r="C16" s="75" t="n">
        <f aca="false">Entrées!$C$105/Entrées!$C$8</f>
        <v>0.172198581560284</v>
      </c>
      <c r="D16" s="24" t="s">
        <v>133</v>
      </c>
      <c r="E16" s="24"/>
      <c r="F16" s="2"/>
      <c r="G16" s="2"/>
      <c r="H16" s="2"/>
      <c r="I16" s="2"/>
    </row>
    <row r="17" customFormat="false" ht="15" hidden="false" customHeight="false" outlineLevel="0" collapsed="false">
      <c r="A17" s="2"/>
      <c r="B17" s="2"/>
      <c r="C17" s="2"/>
      <c r="D17" s="2"/>
      <c r="E17" s="2"/>
      <c r="F17" s="2"/>
      <c r="G17" s="2"/>
      <c r="H17" s="2"/>
      <c r="I17" s="2"/>
    </row>
    <row r="18" customFormat="false" ht="15" hidden="false" customHeight="false" outlineLevel="0" collapsed="false">
      <c r="A18" s="22" t="s">
        <v>2143</v>
      </c>
      <c r="B18" s="22" t="s">
        <v>3041</v>
      </c>
      <c r="C18" s="2"/>
      <c r="D18" s="2"/>
      <c r="E18" s="2"/>
      <c r="F18" s="2"/>
      <c r="G18" s="2"/>
      <c r="H18" s="2"/>
      <c r="I18" s="2"/>
    </row>
    <row r="19" customFormat="false" ht="15" hidden="false" customHeight="false" outlineLevel="0" collapsed="false">
      <c r="A19" s="2"/>
      <c r="B19" s="5" t="s">
        <v>3042</v>
      </c>
      <c r="C19" s="61" t="n">
        <f aca="false">Entrées!$C$46</f>
        <v>2542</v>
      </c>
      <c r="D19" s="24" t="s">
        <v>103</v>
      </c>
      <c r="E19" s="24" t="s">
        <v>252</v>
      </c>
      <c r="F19" s="2"/>
      <c r="G19" s="2"/>
      <c r="H19" s="2"/>
      <c r="I19" s="2"/>
    </row>
    <row r="20" customFormat="false" ht="15" hidden="false" customHeight="false" outlineLevel="0" collapsed="false">
      <c r="A20" s="2"/>
      <c r="B20" s="5" t="s">
        <v>3043</v>
      </c>
      <c r="C20" s="61" t="n">
        <f aca="false">Entrées!$C$103</f>
        <v>2066</v>
      </c>
      <c r="D20" s="24" t="s">
        <v>103</v>
      </c>
      <c r="E20" s="24" t="s">
        <v>425</v>
      </c>
      <c r="F20" s="2"/>
      <c r="G20" s="2"/>
      <c r="H20" s="2"/>
      <c r="I20" s="2"/>
    </row>
    <row r="21" customFormat="false" ht="15" hidden="false" customHeight="false" outlineLevel="0" collapsed="false">
      <c r="A21" s="2"/>
      <c r="B21" s="22" t="s">
        <v>3044</v>
      </c>
      <c r="C21" s="41" t="n">
        <f aca="false">C20/C19</f>
        <v>0.812745869394178</v>
      </c>
      <c r="D21" s="24" t="s">
        <v>299</v>
      </c>
      <c r="E21" s="24" t="s">
        <v>3045</v>
      </c>
      <c r="F21" s="2"/>
      <c r="G21" s="2"/>
      <c r="H21" s="2"/>
      <c r="I21" s="2"/>
    </row>
    <row r="22" customFormat="false" ht="15" hidden="false" customHeight="false" outlineLevel="0" collapsed="false">
      <c r="A22" s="2"/>
      <c r="B22" s="5" t="s">
        <v>3046</v>
      </c>
      <c r="C22" s="64" t="n">
        <f aca="false">G7</f>
        <v>54</v>
      </c>
      <c r="D22" s="24" t="s">
        <v>103</v>
      </c>
      <c r="E22" s="24" t="s">
        <v>3047</v>
      </c>
      <c r="F22" s="2"/>
      <c r="G22" s="2"/>
      <c r="H22" s="2"/>
      <c r="I22" s="2"/>
    </row>
    <row r="23" customFormat="false" ht="15" hidden="false" customHeight="false" outlineLevel="0" collapsed="false">
      <c r="A23" s="2"/>
      <c r="B23" s="5" t="s">
        <v>3048</v>
      </c>
      <c r="C23" s="64" t="n">
        <f aca="false">Entrées!$C$114-Entrées!$C$113</f>
        <v>30</v>
      </c>
      <c r="D23" s="24" t="s">
        <v>103</v>
      </c>
      <c r="E23" s="24" t="s">
        <v>3049</v>
      </c>
      <c r="F23" s="2"/>
      <c r="G23" s="2"/>
      <c r="H23" s="2"/>
      <c r="I23" s="2"/>
    </row>
    <row r="24" customFormat="false" ht="15" hidden="false" customHeight="false" outlineLevel="0" collapsed="false">
      <c r="A24" s="2"/>
      <c r="B24" s="5" t="s">
        <v>3050</v>
      </c>
      <c r="C24" s="66" t="n">
        <f aca="false">Entrées!$C$227/1000/Entrées!$C$212</f>
        <v>0.0382531339125821</v>
      </c>
      <c r="D24" s="24" t="s">
        <v>299</v>
      </c>
      <c r="E24" s="24" t="s">
        <v>3051</v>
      </c>
      <c r="F24" s="2"/>
      <c r="G24" s="2"/>
      <c r="H24" s="2"/>
      <c r="I24" s="2"/>
    </row>
    <row r="25" customFormat="false" ht="15" hidden="false" customHeight="false" outlineLevel="0" collapsed="false">
      <c r="A25" s="2"/>
      <c r="B25" s="5" t="s">
        <v>3052</v>
      </c>
      <c r="C25" s="99" t="n">
        <f aca="false">(Entrées!$C$206+Entrées!$C$207)/1000</f>
        <v>50.992</v>
      </c>
      <c r="D25" s="24" t="s">
        <v>249</v>
      </c>
      <c r="E25" s="24" t="s">
        <v>3053</v>
      </c>
      <c r="F25" s="2"/>
      <c r="G25" s="2"/>
      <c r="H25" s="2"/>
      <c r="I25" s="2"/>
    </row>
    <row r="26" customFormat="false" ht="15" hidden="false" customHeight="false" outlineLevel="0" collapsed="false">
      <c r="A26" s="2"/>
      <c r="B26" s="5" t="s">
        <v>3054</v>
      </c>
      <c r="C26" s="66" t="n">
        <f aca="false">C25/Entrées!$C$197</f>
        <v>0.0523585583735496</v>
      </c>
      <c r="D26" s="24" t="s">
        <v>299</v>
      </c>
      <c r="E26" s="24" t="s">
        <v>703</v>
      </c>
      <c r="F26" s="2"/>
      <c r="G26" s="2"/>
      <c r="H26" s="2"/>
      <c r="I26" s="2"/>
    </row>
    <row r="27" customFormat="false" ht="15" hidden="false" customHeight="false" outlineLevel="0" collapsed="false">
      <c r="A27" s="2"/>
      <c r="B27" s="5" t="s">
        <v>3055</v>
      </c>
      <c r="C27" s="99" t="n">
        <f aca="false">C24*Entrées!$C$197</f>
        <v>37.2547271174637</v>
      </c>
      <c r="D27" s="24" t="s">
        <v>249</v>
      </c>
      <c r="E27" s="24" t="s">
        <v>3056</v>
      </c>
      <c r="F27" s="2"/>
      <c r="G27" s="2"/>
      <c r="H27" s="2"/>
      <c r="I27" s="2"/>
    </row>
    <row r="28" customFormat="false" ht="15" hidden="false" customHeight="false" outlineLevel="0" collapsed="false">
      <c r="A28" s="2"/>
      <c r="B28" s="22" t="s">
        <v>3057</v>
      </c>
      <c r="C28" s="46"/>
      <c r="D28" s="24" t="s">
        <v>103</v>
      </c>
      <c r="E28" s="24" t="s">
        <v>3058</v>
      </c>
      <c r="F28" s="2"/>
      <c r="G28" s="2"/>
      <c r="H28" s="2"/>
      <c r="I28" s="2"/>
    </row>
    <row r="29" customFormat="false" ht="15" hidden="false" customHeight="false" outlineLevel="0" collapsed="false">
      <c r="A29" s="2"/>
      <c r="B29" s="22" t="s">
        <v>3059</v>
      </c>
      <c r="C29" s="51" t="n">
        <f aca="false">IF(ISNUMBER(C28),C28/Trajectoire!$D$41,0)</f>
        <v>0</v>
      </c>
      <c r="D29" s="24" t="s">
        <v>133</v>
      </c>
      <c r="E29" s="24" t="s">
        <v>3060</v>
      </c>
      <c r="F29" s="2"/>
      <c r="G29" s="2"/>
      <c r="H29" s="2"/>
      <c r="I29" s="2"/>
    </row>
    <row r="30" customFormat="false" ht="43.5" hidden="false" customHeight="true" outlineLevel="0" collapsed="false">
      <c r="A30" s="2"/>
      <c r="B30" s="69" t="str">
        <f aca="false">"Lecture : "&amp;SUBSTITUTE(SUBSTITUTE(FIXED((ESG!$C$21)*100,0,FALSE()),","," "),"-","−")&amp;" %"&amp;" du prix est encore du goodwill. Tant que l'affectation n'est pas faite (au plus tard aux comptes 2026), la juste valeur des passifs environnementaux de Clean Earth n'est pas visible chez Veolia. C'es"&amp;"t l'angle mort du rôle 5."</f>
        <v>Lecture : 81 % du prix est encore du goodwill. Tant que l'affectation n'est pas faite (au plus tard aux comptes 2026), la juste valeur des passifs environnementaux de Clean Earth n'est pas visible chez Veolia. C'est l'angle mort du rôle 5.</v>
      </c>
      <c r="C30" s="69"/>
      <c r="D30" s="69"/>
      <c r="E30" s="69"/>
      <c r="F30" s="69"/>
      <c r="G30" s="2"/>
      <c r="H30" s="2"/>
      <c r="I30" s="2"/>
    </row>
    <row r="31" customFormat="false" ht="15" hidden="false" customHeight="false" outlineLevel="0" collapsed="false">
      <c r="A31" s="2"/>
      <c r="B31" s="2"/>
      <c r="C31" s="2"/>
      <c r="D31" s="2"/>
      <c r="E31" s="2"/>
      <c r="F31" s="2"/>
      <c r="G31" s="2"/>
      <c r="H31" s="2"/>
      <c r="I31" s="2"/>
    </row>
    <row r="32" customFormat="false" ht="15" hidden="false" customHeight="false" outlineLevel="0" collapsed="false">
      <c r="A32" s="22" t="s">
        <v>3061</v>
      </c>
      <c r="B32" s="22" t="s">
        <v>3062</v>
      </c>
      <c r="C32" s="2"/>
      <c r="D32" s="2"/>
      <c r="E32" s="2"/>
      <c r="F32" s="2"/>
      <c r="G32" s="2"/>
      <c r="H32" s="2"/>
      <c r="I32" s="2"/>
    </row>
    <row r="33" customFormat="false" ht="23.85" hidden="false" customHeight="false" outlineLevel="0" collapsed="false">
      <c r="A33" s="21"/>
      <c r="B33" s="21" t="s">
        <v>3063</v>
      </c>
      <c r="C33" s="21" t="s">
        <v>3064</v>
      </c>
      <c r="D33" s="21" t="s">
        <v>3065</v>
      </c>
      <c r="E33" s="21" t="s">
        <v>3066</v>
      </c>
      <c r="F33" s="21" t="s">
        <v>3067</v>
      </c>
      <c r="G33" s="21" t="s">
        <v>3068</v>
      </c>
      <c r="H33" s="21" t="s">
        <v>3069</v>
      </c>
      <c r="I33" s="21" t="s">
        <v>2048</v>
      </c>
    </row>
    <row r="34" customFormat="false" ht="15" hidden="false" customHeight="false" outlineLevel="0" collapsed="false">
      <c r="A34" s="2"/>
      <c r="B34" s="5" t="s">
        <v>3070</v>
      </c>
      <c r="C34" s="61" t="n">
        <f aca="false">Entrées!$C$506*1000</f>
        <v>11400</v>
      </c>
      <c r="D34" s="61" t="n">
        <f aca="false">Entrées!$C$507*1000</f>
        <v>6900</v>
      </c>
      <c r="E34" s="61" t="n">
        <f aca="false">Entrées!$C$508*1000</f>
        <v>1400</v>
      </c>
      <c r="F34" s="61" t="n">
        <f aca="false">Entrées!$C$509*1000</f>
        <v>800</v>
      </c>
      <c r="G34" s="66" t="n">
        <f aca="false">IF(E34&gt;0,F34/E34,"")</f>
        <v>0.571428571428571</v>
      </c>
      <c r="H34" s="66" t="n">
        <f aca="false">F34/$F$41</f>
        <v>0.380952380952381</v>
      </c>
      <c r="I34" s="24" t="s">
        <v>3071</v>
      </c>
    </row>
    <row r="35" customFormat="false" ht="15" hidden="false" customHeight="false" outlineLevel="0" collapsed="false">
      <c r="A35" s="2"/>
      <c r="B35" s="5" t="s">
        <v>3072</v>
      </c>
      <c r="C35" s="61" t="n">
        <f aca="false">Entrées!$C$510*1000</f>
        <v>4200</v>
      </c>
      <c r="D35" s="61" t="n">
        <f aca="false">Entrées!$C$511*1000</f>
        <v>3600</v>
      </c>
      <c r="E35" s="61" t="n">
        <f aca="false">Entrées!$C$512*1000</f>
        <v>400</v>
      </c>
      <c r="F35" s="61" t="n">
        <f aca="false">Entrées!$C$513*1000</f>
        <v>400</v>
      </c>
      <c r="G35" s="66" t="n">
        <f aca="false">IF(E35&gt;0,F35/E35,"")</f>
        <v>1</v>
      </c>
      <c r="H35" s="66" t="n">
        <f aca="false">F35/$F$41</f>
        <v>0.19047619047619</v>
      </c>
      <c r="I35" s="24" t="s">
        <v>3073</v>
      </c>
    </row>
    <row r="36" customFormat="false" ht="15" hidden="false" customHeight="false" outlineLevel="0" collapsed="false">
      <c r="A36" s="2"/>
      <c r="B36" s="5" t="s">
        <v>3074</v>
      </c>
      <c r="C36" s="61" t="n">
        <f aca="false">Entrées!$C$514*1000</f>
        <v>2300</v>
      </c>
      <c r="D36" s="61" t="n">
        <f aca="false">Entrées!$C$515*1000</f>
        <v>1500</v>
      </c>
      <c r="E36" s="61" t="n">
        <f aca="false">Entrées!$C$516*1000</f>
        <v>400</v>
      </c>
      <c r="F36" s="61" t="n">
        <f aca="false">Entrées!$C$517*1000</f>
        <v>300</v>
      </c>
      <c r="G36" s="66" t="n">
        <f aca="false">IF(E36&gt;0,F36/E36,"")</f>
        <v>0.75</v>
      </c>
      <c r="H36" s="66" t="n">
        <f aca="false">F36/$F$41</f>
        <v>0.142857142857143</v>
      </c>
      <c r="I36" s="24" t="s">
        <v>3075</v>
      </c>
    </row>
    <row r="37" customFormat="false" ht="15" hidden="false" customHeight="false" outlineLevel="0" collapsed="false">
      <c r="A37" s="2"/>
      <c r="B37" s="5" t="s">
        <v>3076</v>
      </c>
      <c r="C37" s="61" t="n">
        <f aca="false">Entrées!$C$518*1000</f>
        <v>6100</v>
      </c>
      <c r="D37" s="61" t="n">
        <f aca="false">Entrées!$C$519*1000</f>
        <v>5100</v>
      </c>
      <c r="E37" s="61" t="n">
        <f aca="false">Entrées!$C$520*1000</f>
        <v>600</v>
      </c>
      <c r="F37" s="61" t="n">
        <f aca="false">Entrées!$C$521*1000</f>
        <v>500</v>
      </c>
      <c r="G37" s="66" t="n">
        <f aca="false">IF(E37&gt;0,F37/E37,"")</f>
        <v>0.833333333333333</v>
      </c>
      <c r="H37" s="66" t="n">
        <f aca="false">F37/$F$41</f>
        <v>0.238095238095238</v>
      </c>
      <c r="I37" s="24" t="s">
        <v>3077</v>
      </c>
    </row>
    <row r="38" customFormat="false" ht="15" hidden="false" customHeight="false" outlineLevel="0" collapsed="false">
      <c r="A38" s="2"/>
      <c r="B38" s="5" t="s">
        <v>3078</v>
      </c>
      <c r="C38" s="61" t="n">
        <f aca="false">Entrées!$C$522*1000</f>
        <v>3500</v>
      </c>
      <c r="D38" s="61" t="n">
        <f aca="false">Entrées!$C$523*1000</f>
        <v>2800</v>
      </c>
      <c r="E38" s="61" t="n">
        <f aca="false">Entrées!$C$524*1000</f>
        <v>200</v>
      </c>
      <c r="F38" s="61" t="n">
        <f aca="false">Entrées!$C$525*1000</f>
        <v>100</v>
      </c>
      <c r="G38" s="66" t="n">
        <f aca="false">IF(E38&gt;0,F38/E38,"")</f>
        <v>0.5</v>
      </c>
      <c r="H38" s="66" t="n">
        <f aca="false">F38/$F$41</f>
        <v>0.0476190476190476</v>
      </c>
      <c r="I38" s="24" t="s">
        <v>3079</v>
      </c>
    </row>
    <row r="39" customFormat="false" ht="15" hidden="false" customHeight="false" outlineLevel="0" collapsed="false">
      <c r="A39" s="2"/>
      <c r="B39" s="5" t="s">
        <v>3080</v>
      </c>
      <c r="C39" s="61" t="n">
        <f aca="false">Entrées!$C$526*1000</f>
        <v>400</v>
      </c>
      <c r="D39" s="61" t="n">
        <f aca="false">Entrées!$C$527*1000</f>
        <v>300</v>
      </c>
      <c r="E39" s="61" t="n">
        <f aca="false">Entrées!$C$528*1000</f>
        <v>100</v>
      </c>
      <c r="F39" s="61" t="n">
        <f aca="false">Entrées!$C$529*1000</f>
        <v>0</v>
      </c>
      <c r="G39" s="66" t="n">
        <f aca="false">IF(E39&gt;0,F39/E39,"")</f>
        <v>0</v>
      </c>
      <c r="H39" s="66" t="n">
        <f aca="false">F39/$F$41</f>
        <v>0</v>
      </c>
      <c r="I39" s="24" t="s">
        <v>3081</v>
      </c>
    </row>
    <row r="40" customFormat="false" ht="15" hidden="false" customHeight="false" outlineLevel="0" collapsed="false">
      <c r="A40" s="2"/>
      <c r="B40" s="22" t="s">
        <v>3082</v>
      </c>
      <c r="C40" s="45" t="n">
        <f aca="false">SUM(C34:C39)</f>
        <v>27900</v>
      </c>
      <c r="D40" s="45" t="n">
        <f aca="false">SUM(D34:D39)</f>
        <v>20200</v>
      </c>
      <c r="E40" s="45" t="n">
        <f aca="false">SUM(E34:E39)</f>
        <v>3100</v>
      </c>
      <c r="F40" s="45" t="n">
        <f aca="false">SUM(F34:F39)</f>
        <v>2100</v>
      </c>
      <c r="G40" s="2"/>
      <c r="H40" s="2"/>
      <c r="I40" s="2"/>
    </row>
    <row r="41" customFormat="false" ht="15" hidden="false" customHeight="false" outlineLevel="0" collapsed="false">
      <c r="A41" s="2"/>
      <c r="B41" s="22" t="s">
        <v>3083</v>
      </c>
      <c r="C41" s="68" t="n">
        <f aca="false">Entrées!$C$494*1000</f>
        <v>27800</v>
      </c>
      <c r="D41" s="68" t="n">
        <f aca="false">Entrées!$C$495*1000</f>
        <v>20300</v>
      </c>
      <c r="E41" s="68" t="n">
        <f aca="false">Entrées!$C$497*1000</f>
        <v>3000</v>
      </c>
      <c r="F41" s="68" t="n">
        <f aca="false">Entrées!$C$498*1000</f>
        <v>2100</v>
      </c>
      <c r="G41" s="2"/>
      <c r="H41" s="2"/>
      <c r="I41" s="2"/>
    </row>
    <row r="42" customFormat="false" ht="15" hidden="false" customHeight="false" outlineLevel="0" collapsed="false">
      <c r="A42" s="2"/>
      <c r="B42" s="5" t="s">
        <v>3084</v>
      </c>
      <c r="C42" s="64" t="n">
        <f aca="false">Entrées!$C$496*1000</f>
        <v>4500</v>
      </c>
      <c r="D42" s="24" t="s">
        <v>103</v>
      </c>
      <c r="E42" s="24" t="s">
        <v>1545</v>
      </c>
      <c r="F42" s="2"/>
      <c r="G42" s="2"/>
      <c r="H42" s="2"/>
      <c r="I42" s="2"/>
    </row>
    <row r="43" customFormat="false" ht="15" hidden="false" customHeight="false" outlineLevel="0" collapsed="false">
      <c r="A43" s="2"/>
      <c r="B43" s="22" t="s">
        <v>3085</v>
      </c>
      <c r="C43" s="41" t="n">
        <f aca="false">F41/C42</f>
        <v>0.466666666666667</v>
      </c>
      <c r="D43" s="24" t="s">
        <v>299</v>
      </c>
      <c r="E43" s="24" t="s">
        <v>3086</v>
      </c>
      <c r="F43" s="2"/>
      <c r="G43" s="2"/>
      <c r="H43" s="2"/>
      <c r="I43" s="2"/>
    </row>
    <row r="44" customFormat="false" ht="15" hidden="false" customHeight="false" outlineLevel="0" collapsed="false">
      <c r="A44" s="2"/>
      <c r="B44" s="5" t="s">
        <v>3087</v>
      </c>
      <c r="C44" s="66" t="n">
        <f aca="false">Entrées!$C$504/100</f>
        <v>0.472</v>
      </c>
      <c r="D44" s="24" t="s">
        <v>299</v>
      </c>
      <c r="E44" s="24" t="s">
        <v>1566</v>
      </c>
      <c r="F44" s="2"/>
      <c r="G44" s="2"/>
      <c r="H44" s="2"/>
      <c r="I44" s="2"/>
    </row>
    <row r="45" customFormat="false" ht="15" hidden="false" customHeight="false" outlineLevel="0" collapsed="false">
      <c r="A45" s="2"/>
      <c r="B45" s="5" t="s">
        <v>3088</v>
      </c>
      <c r="C45" s="64" t="n">
        <f aca="false">Entrées!$C$501*1000</f>
        <v>1800</v>
      </c>
      <c r="D45" s="24" t="s">
        <v>103</v>
      </c>
      <c r="E45" s="24" t="s">
        <v>3089</v>
      </c>
      <c r="F45" s="2"/>
      <c r="G45" s="2"/>
      <c r="H45" s="2"/>
      <c r="I45" s="2"/>
    </row>
    <row r="46" customFormat="false" ht="15" hidden="false" customHeight="false" outlineLevel="0" collapsed="false">
      <c r="A46" s="2"/>
      <c r="B46" s="22" t="s">
        <v>3090</v>
      </c>
      <c r="C46" s="41" t="n">
        <f aca="false">F36/F41</f>
        <v>0.142857142857143</v>
      </c>
      <c r="D46" s="24" t="s">
        <v>299</v>
      </c>
      <c r="E46" s="24"/>
      <c r="F46" s="2"/>
      <c r="G46" s="2"/>
      <c r="H46" s="2"/>
      <c r="I46" s="2"/>
    </row>
    <row r="47" customFormat="false" ht="15" hidden="false" customHeight="false" outlineLevel="0" collapsed="false">
      <c r="A47" s="2"/>
      <c r="B47" s="22" t="s">
        <v>3091</v>
      </c>
      <c r="C47" s="41" t="n">
        <f aca="false">G36</f>
        <v>0.75</v>
      </c>
      <c r="D47" s="24" t="s">
        <v>299</v>
      </c>
      <c r="E47" s="24"/>
      <c r="F47" s="2"/>
      <c r="G47" s="2"/>
      <c r="H47" s="2"/>
      <c r="I47" s="2"/>
    </row>
    <row r="48" customFormat="false" ht="15" hidden="false" customHeight="false" outlineLevel="0" collapsed="false">
      <c r="A48" s="2"/>
      <c r="B48" s="5" t="s">
        <v>3092</v>
      </c>
      <c r="C48" s="64" t="n">
        <f aca="false">C42-E41</f>
        <v>1500</v>
      </c>
      <c r="D48" s="24" t="s">
        <v>103</v>
      </c>
      <c r="E48" s="24" t="s">
        <v>3093</v>
      </c>
      <c r="F48" s="2"/>
      <c r="G48" s="2"/>
      <c r="H48" s="2"/>
      <c r="I48" s="2"/>
    </row>
    <row r="49" customFormat="false" ht="57.75" hidden="false" customHeight="true" outlineLevel="0" collapsed="false">
      <c r="A49" s="2"/>
      <c r="B49" s="69" t="str">
        <f aca="false">"Lecture : "&amp;SUBSTITUTE(SUBSTITUTE(FIXED((ESG!$C$43)*100,0,FALSE()),","," "),"-","−")&amp;" %"&amp;" du capex du groupe est « vert » au sens de la taxonomie, et l'eau en porte la plus grande part. Les déchets dangereux sont une petite ligne ("&amp;SUBSTITUTE(SUBSTITUTE(FIXED((F36)/1000,1,TRUE()),".",","),"-","−")&amp;" Md€"&amp;" alignés) mais "&amp;IF(G36&gt;=MAX(G34:G39),"la mieux alignée de toutes","alignée à "&amp;SUBSTITUTE(SUBSTITUTE(FIXED((G36)*100,0,FALSE()),","," "),"-","−")&amp;" %")&amp;". Ce que la taxonomie ne dit pas, et que la question 3 du cours demande : l'impact par euro (tonnes traitées, CO2 évité, m³ économisés par M€ investi). Veolia publie ses KPI au niveau du groupe, pas p"&amp;"ar booster : c'est une question pour le 16 octobre, pas un calcul."</f>
        <v>Lecture : 47 % du capex du groupe est « vert » au sens de la taxonomie, et l'eau en porte la plus grande part. Les déchets dangereux sont une petite ligne (0,3 Md€ alignés) mais alignée à 75 %. Ce que la taxonomie ne dit pas, et que la question 3 du cours demande : l'impact par euro (tonnes traitées, CO2 évité, m³ économisés par M€ investi). Veolia publie ses KPI au niveau du groupe, pas par booster : c'est une question pour le 16 octobre, pas un calcul.</v>
      </c>
      <c r="C49" s="69"/>
      <c r="D49" s="69"/>
      <c r="E49" s="69"/>
      <c r="F49" s="69"/>
      <c r="G49" s="69"/>
      <c r="H49" s="69"/>
      <c r="I49" s="69"/>
    </row>
  </sheetData>
  <mergeCells count="2">
    <mergeCell ref="B30:F30"/>
    <mergeCell ref="B49:I49"/>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9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customHeight="true" zeroHeight="false" outlineLevelRow="0" outlineLevelCol="0"/>
  <cols>
    <col collapsed="false" customWidth="true" hidden="false" outlineLevel="0" max="1" min="1" style="0" width="4"/>
    <col collapsed="false" customWidth="true" hidden="false" outlineLevel="0" max="2" min="2" style="0" width="46"/>
    <col collapsed="false" customWidth="true" hidden="false" outlineLevel="0" max="3" min="3" style="0" width="16"/>
    <col collapsed="false" customWidth="true" hidden="false" outlineLevel="0" max="5" min="4" style="0" width="30"/>
    <col collapsed="false" customWidth="true" hidden="false" outlineLevel="0" max="6" min="6" style="0" width="14"/>
    <col collapsed="false" customWidth="true" hidden="false" outlineLevel="0" max="7" min="7" style="0" width="9"/>
    <col collapsed="false" customWidth="true" hidden="false" outlineLevel="0" max="11" min="8" style="0" width="12"/>
    <col collapsed="false" customWidth="true" hidden="false" outlineLevel="0" max="12" min="12" style="0" width="14"/>
    <col collapsed="false" customWidth="true" hidden="false" outlineLevel="0" max="13" min="13" style="0" width="12"/>
    <col collapsed="false" customWidth="true" hidden="false" outlineLevel="0" max="18" min="14" style="0" width="11"/>
    <col collapsed="false" customWidth="true" hidden="false" outlineLevel="0" max="19" min="19" style="0" width="10"/>
    <col collapsed="false" customWidth="true" hidden="false" outlineLevel="0" max="20" min="20" style="0" width="40"/>
  </cols>
  <sheetData>
    <row r="1" customFormat="false" ht="17.35" hidden="false" customHeight="false" outlineLevel="0" collapsed="false">
      <c r="A1" s="1" t="s">
        <v>3094</v>
      </c>
      <c r="B1" s="2"/>
      <c r="C1" s="2"/>
      <c r="D1" s="2"/>
      <c r="E1" s="2"/>
      <c r="F1" s="2"/>
      <c r="G1" s="2"/>
      <c r="H1" s="2"/>
      <c r="I1" s="2"/>
      <c r="J1" s="2"/>
      <c r="K1" s="2"/>
      <c r="L1" s="2"/>
      <c r="M1" s="2"/>
      <c r="N1" s="2"/>
      <c r="O1" s="2"/>
      <c r="P1" s="2"/>
      <c r="Q1" s="2"/>
      <c r="R1" s="2"/>
      <c r="S1" s="2"/>
      <c r="T1" s="2"/>
    </row>
    <row r="2" customFormat="false" ht="15" hidden="false" customHeight="false" outlineLevel="0" collapsed="false">
      <c r="A2" s="3" t="s">
        <v>3095</v>
      </c>
      <c r="B2" s="2"/>
      <c r="C2" s="2"/>
      <c r="D2" s="2"/>
      <c r="E2" s="2"/>
      <c r="F2" s="2"/>
      <c r="G2" s="2"/>
      <c r="H2" s="2"/>
      <c r="I2" s="2"/>
      <c r="J2" s="2"/>
      <c r="K2" s="2"/>
      <c r="L2" s="2"/>
      <c r="M2" s="2"/>
      <c r="N2" s="2"/>
      <c r="O2" s="2"/>
      <c r="P2" s="2"/>
      <c r="Q2" s="2"/>
      <c r="R2" s="2"/>
      <c r="S2" s="2"/>
      <c r="T2" s="2"/>
    </row>
    <row r="3" customFormat="false" ht="15" hidden="false" customHeight="false" outlineLevel="0" collapsed="false">
      <c r="A3" s="2"/>
      <c r="B3" s="2"/>
      <c r="C3" s="2"/>
      <c r="D3" s="2"/>
      <c r="E3" s="2"/>
      <c r="F3" s="2"/>
      <c r="G3" s="2"/>
      <c r="H3" s="2"/>
      <c r="I3" s="2"/>
      <c r="J3" s="2"/>
      <c r="K3" s="2"/>
      <c r="L3" s="2"/>
      <c r="M3" s="2"/>
      <c r="N3" s="2"/>
      <c r="O3" s="2"/>
      <c r="P3" s="2"/>
      <c r="Q3" s="2"/>
      <c r="R3" s="2"/>
      <c r="S3" s="2"/>
      <c r="T3" s="2"/>
    </row>
    <row r="4" customFormat="false" ht="15" hidden="false" customHeight="false" outlineLevel="0" collapsed="false">
      <c r="A4" s="22" t="s">
        <v>2130</v>
      </c>
      <c r="B4" s="22" t="s">
        <v>3096</v>
      </c>
      <c r="C4" s="2"/>
      <c r="D4" s="2"/>
      <c r="E4" s="2"/>
      <c r="F4" s="2"/>
      <c r="G4" s="2"/>
      <c r="H4" s="2"/>
      <c r="I4" s="2"/>
      <c r="J4" s="2"/>
      <c r="K4" s="2"/>
      <c r="L4" s="2"/>
      <c r="M4" s="2"/>
      <c r="N4" s="2"/>
      <c r="O4" s="2"/>
      <c r="P4" s="2"/>
      <c r="Q4" s="2"/>
      <c r="R4" s="2"/>
      <c r="S4" s="2"/>
      <c r="T4" s="2"/>
    </row>
    <row r="5" customFormat="false" ht="15" hidden="false" customHeight="false" outlineLevel="0" collapsed="false">
      <c r="A5" s="21"/>
      <c r="B5" s="21" t="s">
        <v>3097</v>
      </c>
      <c r="C5" s="21" t="s">
        <v>3098</v>
      </c>
      <c r="D5" s="21" t="s">
        <v>3099</v>
      </c>
      <c r="E5" s="21" t="s">
        <v>3100</v>
      </c>
      <c r="F5" s="21" t="s">
        <v>2808</v>
      </c>
      <c r="G5" s="2"/>
      <c r="H5" s="2"/>
      <c r="I5" s="2"/>
      <c r="J5" s="2"/>
      <c r="K5" s="2"/>
      <c r="L5" s="2"/>
      <c r="M5" s="2"/>
      <c r="N5" s="2"/>
      <c r="O5" s="2"/>
      <c r="P5" s="2"/>
      <c r="Q5" s="2"/>
      <c r="R5" s="2"/>
      <c r="S5" s="2"/>
      <c r="T5" s="2"/>
    </row>
    <row r="6" customFormat="false" ht="15" hidden="false" customHeight="false" outlineLevel="0" collapsed="false">
      <c r="A6" s="2"/>
      <c r="B6" s="5" t="s">
        <v>3101</v>
      </c>
      <c r="C6" s="61" t="n">
        <f aca="false">Trajectoire!$AE$46</f>
        <v>-534.954329754553</v>
      </c>
      <c r="D6" s="61" t="n">
        <f aca="false">Trajectoire!$D$46</f>
        <v>1570.67466937297</v>
      </c>
      <c r="E6" s="61" t="n">
        <f aca="false">Trajectoire!$AF$46</f>
        <v>3490.715111665</v>
      </c>
      <c r="F6" s="24"/>
      <c r="G6" s="2"/>
      <c r="H6" s="2"/>
      <c r="I6" s="2"/>
      <c r="J6" s="2"/>
      <c r="K6" s="2"/>
      <c r="L6" s="2"/>
      <c r="M6" s="2"/>
      <c r="N6" s="2"/>
      <c r="O6" s="2"/>
      <c r="P6" s="2"/>
      <c r="Q6" s="2"/>
      <c r="R6" s="2"/>
      <c r="S6" s="2"/>
      <c r="T6" s="2"/>
    </row>
    <row r="7" customFormat="false" ht="15" hidden="false" customHeight="false" outlineLevel="0" collapsed="false">
      <c r="A7" s="2"/>
      <c r="B7" s="5" t="s">
        <v>3102</v>
      </c>
      <c r="C7" s="61" t="n">
        <f aca="false">Trajectoire!$AE$57</f>
        <v>520.777298940298</v>
      </c>
      <c r="D7" s="61" t="n">
        <f aca="false">Trajectoire!$D$57</f>
        <v>4333.42681779325</v>
      </c>
      <c r="E7" s="61" t="n">
        <f aca="false">Trajectoire!$AF$57</f>
        <v>7354.90055648408</v>
      </c>
      <c r="F7" s="24"/>
      <c r="G7" s="2"/>
      <c r="H7" s="2"/>
      <c r="I7" s="2"/>
      <c r="J7" s="2"/>
      <c r="K7" s="2"/>
      <c r="L7" s="2"/>
      <c r="M7" s="2"/>
      <c r="N7" s="2"/>
      <c r="O7" s="2"/>
      <c r="P7" s="2"/>
      <c r="Q7" s="2"/>
      <c r="R7" s="2"/>
      <c r="S7" s="2"/>
      <c r="T7" s="2"/>
    </row>
    <row r="8" customFormat="false" ht="15" hidden="false" customHeight="false" outlineLevel="0" collapsed="false">
      <c r="A8" s="2"/>
      <c r="B8" s="22" t="s">
        <v>2658</v>
      </c>
      <c r="C8" s="68" t="n">
        <f aca="false">Trajectoire!$AE$58</f>
        <v>-534.954329754553</v>
      </c>
      <c r="D8" s="68" t="n">
        <f aca="false">Trajectoire!$D$58</f>
        <v>1570.67466937297</v>
      </c>
      <c r="E8" s="68" t="n">
        <f aca="false">Trajectoire!$AF$58</f>
        <v>3490.715111665</v>
      </c>
      <c r="F8" s="24" t="s">
        <v>3103</v>
      </c>
      <c r="G8" s="2"/>
      <c r="H8" s="2"/>
      <c r="I8" s="2"/>
      <c r="J8" s="2"/>
      <c r="K8" s="2"/>
      <c r="L8" s="2"/>
      <c r="M8" s="2"/>
      <c r="N8" s="2"/>
      <c r="O8" s="2"/>
      <c r="P8" s="2"/>
      <c r="Q8" s="2"/>
      <c r="R8" s="2"/>
      <c r="S8" s="2"/>
      <c r="T8" s="2"/>
    </row>
    <row r="9" customFormat="false" ht="15" hidden="false" customHeight="false" outlineLevel="0" collapsed="false">
      <c r="A9" s="2"/>
      <c r="B9" s="47" t="n">
        <v>8</v>
      </c>
      <c r="C9" s="64" t="n">
        <f aca="false">IF($B9&gt;Hypothèses!$J$26,MAX(0,C$8)/(1-Hypothèses!$J$26/$B9),0)</f>
        <v>0</v>
      </c>
      <c r="D9" s="64" t="n">
        <f aca="false">IF($B9&gt;Hypothèses!$J$26,MAX(0,D$8)/(1-Hypothèses!$J$26/$B9),0)</f>
        <v>2513.07947099675</v>
      </c>
      <c r="E9" s="64" t="n">
        <f aca="false">IF($B9&gt;Hypothèses!$J$26,MAX(0,E$8)/(1-Hypothèses!$J$26/$B9),0)</f>
        <v>5585.144178664</v>
      </c>
      <c r="F9" s="24" t="s">
        <v>3104</v>
      </c>
      <c r="G9" s="2"/>
      <c r="H9" s="2"/>
      <c r="I9" s="2"/>
      <c r="J9" s="2"/>
      <c r="K9" s="2"/>
      <c r="L9" s="2"/>
      <c r="M9" s="2"/>
      <c r="N9" s="2"/>
      <c r="O9" s="2"/>
      <c r="P9" s="2"/>
      <c r="Q9" s="2"/>
      <c r="R9" s="2"/>
      <c r="S9" s="2"/>
      <c r="T9" s="2"/>
    </row>
    <row r="10" customFormat="false" ht="15" hidden="false" customHeight="false" outlineLevel="0" collapsed="false">
      <c r="A10" s="2"/>
      <c r="B10" s="89" t="n">
        <f aca="false">Entrées!$C$53</f>
        <v>9.8</v>
      </c>
      <c r="C10" s="64" t="n">
        <f aca="false">IF($B10&gt;Hypothèses!$J$26,MAX(0,C$8)/(1-Hypothèses!$J$26/$B10),0)</f>
        <v>0</v>
      </c>
      <c r="D10" s="64" t="n">
        <f aca="false">IF($B10&gt;Hypothèses!$J$26,MAX(0,D$8)/(1-Hypothèses!$J$26/$B10),0)</f>
        <v>2263.61937644927</v>
      </c>
      <c r="E10" s="64" t="n">
        <f aca="false">IF($B10&gt;Hypothèses!$J$26,MAX(0,E$8)/(1-Hypothèses!$J$26/$B10),0)</f>
        <v>5030.73648445838</v>
      </c>
      <c r="F10" s="24" t="s">
        <v>3105</v>
      </c>
      <c r="G10" s="2"/>
      <c r="H10" s="2"/>
      <c r="I10" s="2"/>
      <c r="J10" s="2"/>
      <c r="K10" s="2"/>
      <c r="L10" s="2"/>
      <c r="M10" s="2"/>
      <c r="N10" s="2"/>
      <c r="O10" s="2"/>
      <c r="P10" s="2"/>
      <c r="Q10" s="2"/>
      <c r="R10" s="2"/>
      <c r="S10" s="2"/>
      <c r="T10" s="2"/>
    </row>
    <row r="11" customFormat="false" ht="15" hidden="false" customHeight="false" outlineLevel="0" collapsed="false">
      <c r="A11" s="2"/>
      <c r="B11" s="47" t="n">
        <v>12</v>
      </c>
      <c r="C11" s="64" t="n">
        <f aca="false">IF($B11&gt;Hypothèses!$J$26,MAX(0,C$8)/(1-Hypothèses!$J$26/$B11),0)</f>
        <v>0</v>
      </c>
      <c r="D11" s="64" t="n">
        <f aca="false">IF($B11&gt;Hypothèses!$J$26,MAX(0,D$8)/(1-Hypothèses!$J$26/$B11),0)</f>
        <v>2094.23289249729</v>
      </c>
      <c r="E11" s="64" t="n">
        <f aca="false">IF($B11&gt;Hypothèses!$J$26,MAX(0,E$8)/(1-Hypothèses!$J$26/$B11),0)</f>
        <v>4654.28681555333</v>
      </c>
      <c r="F11" s="24" t="s">
        <v>3106</v>
      </c>
      <c r="G11" s="2"/>
      <c r="H11" s="2"/>
      <c r="I11" s="2"/>
      <c r="J11" s="2"/>
      <c r="K11" s="2"/>
      <c r="L11" s="2"/>
      <c r="M11" s="2"/>
      <c r="N11" s="2"/>
      <c r="O11" s="2"/>
      <c r="P11" s="2"/>
      <c r="Q11" s="2"/>
      <c r="R11" s="2"/>
      <c r="S11" s="2"/>
      <c r="T11" s="2"/>
    </row>
    <row r="12" customFormat="false" ht="15" hidden="false" customHeight="false" outlineLevel="0" collapsed="false">
      <c r="A12" s="2"/>
      <c r="B12" s="89" t="n">
        <f aca="false">Entrées!$C$51*1000/Entrées!$C$56</f>
        <v>15</v>
      </c>
      <c r="C12" s="64" t="n">
        <f aca="false">IF($B12&gt;Hypothèses!$J$26,MAX(0,C$8)/(1-Hypothèses!$J$26/$B12),0)</f>
        <v>0</v>
      </c>
      <c r="D12" s="64" t="n">
        <f aca="false">IF($B12&gt;Hypothèses!$J$26,MAX(0,D$8)/(1-Hypothèses!$J$26/$B12),0)</f>
        <v>1963.34333671621</v>
      </c>
      <c r="E12" s="64" t="n">
        <f aca="false">IF($B12&gt;Hypothèses!$J$26,MAX(0,E$8)/(1-Hypothèses!$J$26/$B12),0)</f>
        <v>4363.39388958125</v>
      </c>
      <c r="F12" s="24" t="s">
        <v>3107</v>
      </c>
      <c r="G12" s="2"/>
      <c r="H12" s="2"/>
      <c r="I12" s="2"/>
      <c r="J12" s="2"/>
      <c r="K12" s="2"/>
      <c r="L12" s="2"/>
      <c r="M12" s="2"/>
      <c r="N12" s="2"/>
      <c r="O12" s="2"/>
      <c r="P12" s="2"/>
      <c r="Q12" s="2"/>
      <c r="R12" s="2"/>
      <c r="S12" s="2"/>
      <c r="T12" s="2"/>
    </row>
    <row r="13" customFormat="false" ht="15" hidden="false" customHeight="false" outlineLevel="0" collapsed="false">
      <c r="A13" s="2"/>
      <c r="B13" s="3" t="s">
        <v>3108</v>
      </c>
      <c r="C13" s="2"/>
      <c r="D13" s="2"/>
      <c r="E13" s="2"/>
      <c r="F13" s="2"/>
      <c r="G13" s="2"/>
      <c r="H13" s="2"/>
      <c r="I13" s="2"/>
      <c r="J13" s="2"/>
      <c r="K13" s="2"/>
      <c r="L13" s="2"/>
      <c r="M13" s="2"/>
      <c r="N13" s="2"/>
      <c r="O13" s="2"/>
      <c r="P13" s="2"/>
      <c r="Q13" s="2"/>
      <c r="R13" s="2"/>
      <c r="S13" s="2"/>
      <c r="T13" s="2"/>
    </row>
    <row r="14" customFormat="false" ht="15" hidden="false" customHeight="false" outlineLevel="0" collapsed="false">
      <c r="A14" s="2"/>
      <c r="B14" s="2"/>
      <c r="C14" s="2"/>
      <c r="D14" s="2"/>
      <c r="E14" s="2"/>
      <c r="F14" s="2"/>
      <c r="G14" s="2"/>
      <c r="H14" s="2"/>
      <c r="I14" s="2"/>
      <c r="J14" s="2"/>
      <c r="K14" s="2"/>
      <c r="L14" s="2"/>
      <c r="M14" s="2"/>
      <c r="N14" s="2"/>
      <c r="O14" s="2"/>
      <c r="P14" s="2"/>
      <c r="Q14" s="2"/>
      <c r="R14" s="2"/>
      <c r="S14" s="2"/>
      <c r="T14" s="2"/>
    </row>
    <row r="15" customFormat="false" ht="15" hidden="false" customHeight="false" outlineLevel="0" collapsed="false">
      <c r="A15" s="22" t="s">
        <v>2143</v>
      </c>
      <c r="B15" s="22" t="s">
        <v>3109</v>
      </c>
      <c r="C15" s="2"/>
      <c r="D15" s="2"/>
      <c r="E15" s="2"/>
      <c r="F15" s="2"/>
      <c r="G15" s="2"/>
      <c r="H15" s="2"/>
      <c r="I15" s="2"/>
      <c r="J15" s="2"/>
      <c r="K15" s="2"/>
      <c r="L15" s="2"/>
      <c r="M15" s="2"/>
      <c r="N15" s="2"/>
      <c r="O15" s="2"/>
      <c r="P15" s="2"/>
      <c r="Q15" s="2"/>
      <c r="R15" s="2"/>
      <c r="S15" s="2"/>
      <c r="T15" s="2"/>
    </row>
    <row r="16" customFormat="false" ht="15" hidden="false" customHeight="false" outlineLevel="0" collapsed="false">
      <c r="A16" s="2"/>
      <c r="B16" s="5" t="s">
        <v>3110</v>
      </c>
      <c r="C16" s="64" t="n">
        <f aca="false">Entrées!$C$51*1000</f>
        <v>3000</v>
      </c>
      <c r="D16" s="24" t="s">
        <v>249</v>
      </c>
      <c r="E16" s="24" t="s">
        <v>267</v>
      </c>
      <c r="F16" s="2"/>
      <c r="G16" s="2"/>
      <c r="H16" s="2"/>
      <c r="I16" s="2"/>
      <c r="J16" s="2"/>
      <c r="K16" s="2"/>
      <c r="L16" s="2"/>
      <c r="M16" s="2"/>
      <c r="N16" s="2"/>
      <c r="O16" s="2"/>
      <c r="P16" s="2"/>
      <c r="Q16" s="2"/>
      <c r="R16" s="2"/>
      <c r="S16" s="2"/>
      <c r="T16" s="2"/>
    </row>
    <row r="17" customFormat="false" ht="15" hidden="false" customHeight="false" outlineLevel="0" collapsed="false">
      <c r="A17" s="2"/>
      <c r="B17" s="5" t="s">
        <v>3111</v>
      </c>
      <c r="C17" s="61" t="n">
        <f aca="false">Entrées!$C$56</f>
        <v>200</v>
      </c>
      <c r="D17" s="24" t="s">
        <v>249</v>
      </c>
      <c r="E17" s="24" t="s">
        <v>290</v>
      </c>
      <c r="F17" s="2"/>
      <c r="G17" s="2"/>
      <c r="H17" s="2"/>
      <c r="I17" s="2"/>
      <c r="J17" s="2"/>
      <c r="K17" s="2"/>
      <c r="L17" s="2"/>
      <c r="M17" s="2"/>
      <c r="N17" s="2"/>
      <c r="O17" s="2"/>
      <c r="P17" s="2"/>
      <c r="Q17" s="2"/>
      <c r="R17" s="2"/>
      <c r="S17" s="2"/>
      <c r="T17" s="2"/>
    </row>
    <row r="18" customFormat="false" ht="15" hidden="false" customHeight="false" outlineLevel="0" collapsed="false">
      <c r="A18" s="2"/>
      <c r="B18" s="5" t="s">
        <v>3112</v>
      </c>
      <c r="C18" s="61" t="n">
        <f aca="false">Entrées!$C$54</f>
        <v>120</v>
      </c>
      <c r="D18" s="24" t="s">
        <v>249</v>
      </c>
      <c r="E18" s="24" t="s">
        <v>282</v>
      </c>
      <c r="F18" s="2"/>
      <c r="G18" s="2"/>
      <c r="H18" s="2"/>
      <c r="I18" s="2"/>
      <c r="J18" s="2"/>
      <c r="K18" s="2"/>
      <c r="L18" s="2"/>
      <c r="M18" s="2"/>
      <c r="N18" s="2"/>
      <c r="O18" s="2"/>
      <c r="P18" s="2"/>
      <c r="Q18" s="2"/>
      <c r="R18" s="2"/>
      <c r="S18" s="2"/>
      <c r="T18" s="2"/>
    </row>
    <row r="19" customFormat="false" ht="15" hidden="false" customHeight="false" outlineLevel="0" collapsed="false">
      <c r="A19" s="2"/>
      <c r="B19" s="22" t="s">
        <v>3113</v>
      </c>
      <c r="C19" s="48" t="n">
        <f aca="false">C16/C17</f>
        <v>15</v>
      </c>
      <c r="D19" s="24" t="s">
        <v>133</v>
      </c>
      <c r="E19" s="24"/>
      <c r="F19" s="2"/>
      <c r="G19" s="2"/>
      <c r="H19" s="2"/>
      <c r="I19" s="2"/>
      <c r="J19" s="2"/>
      <c r="K19" s="2"/>
      <c r="L19" s="2"/>
      <c r="M19" s="2"/>
      <c r="N19" s="2"/>
      <c r="O19" s="2"/>
      <c r="P19" s="2"/>
      <c r="Q19" s="2"/>
      <c r="R19" s="2"/>
      <c r="S19" s="2"/>
      <c r="T19" s="2"/>
    </row>
    <row r="20" customFormat="false" ht="15" hidden="false" customHeight="false" outlineLevel="0" collapsed="false">
      <c r="A20" s="2"/>
      <c r="B20" s="22" t="s">
        <v>3114</v>
      </c>
      <c r="C20" s="48" t="n">
        <f aca="false">C16/(C17+C18)</f>
        <v>9.375</v>
      </c>
      <c r="D20" s="24" t="s">
        <v>133</v>
      </c>
      <c r="E20" s="24"/>
      <c r="F20" s="2"/>
      <c r="G20" s="2"/>
      <c r="H20" s="2"/>
      <c r="I20" s="2"/>
      <c r="J20" s="2"/>
      <c r="K20" s="2"/>
      <c r="L20" s="2"/>
      <c r="M20" s="2"/>
      <c r="N20" s="2"/>
      <c r="O20" s="2"/>
      <c r="P20" s="2"/>
      <c r="Q20" s="2"/>
      <c r="R20" s="2"/>
      <c r="S20" s="2"/>
      <c r="T20" s="2"/>
    </row>
    <row r="21" customFormat="false" ht="15" hidden="false" customHeight="false" outlineLevel="0" collapsed="false">
      <c r="A21" s="2"/>
      <c r="B21" s="5" t="s">
        <v>3115</v>
      </c>
      <c r="C21" s="89" t="n">
        <f aca="false">Entrées!$C$53</f>
        <v>9.8</v>
      </c>
      <c r="D21" s="24" t="s">
        <v>133</v>
      </c>
      <c r="E21" s="24" t="s">
        <v>278</v>
      </c>
      <c r="F21" s="2"/>
      <c r="G21" s="2"/>
      <c r="H21" s="2"/>
      <c r="I21" s="2"/>
      <c r="J21" s="2"/>
      <c r="K21" s="2"/>
      <c r="L21" s="2"/>
      <c r="M21" s="2"/>
      <c r="N21" s="2"/>
      <c r="O21" s="2"/>
      <c r="P21" s="2"/>
      <c r="Q21" s="2"/>
      <c r="R21" s="2"/>
      <c r="S21" s="2"/>
      <c r="T21" s="2"/>
    </row>
    <row r="22" customFormat="false" ht="30" hidden="false" customHeight="true" outlineLevel="0" collapsed="false">
      <c r="A22" s="2"/>
      <c r="B22" s="69" t="s">
        <v>3116</v>
      </c>
      <c r="C22" s="69"/>
      <c r="D22" s="69"/>
      <c r="E22" s="69"/>
      <c r="F22" s="69"/>
      <c r="G22" s="2"/>
      <c r="H22" s="2"/>
      <c r="I22" s="2"/>
      <c r="J22" s="2"/>
      <c r="K22" s="2"/>
      <c r="L22" s="2"/>
      <c r="M22" s="2"/>
      <c r="N22" s="2"/>
      <c r="O22" s="2"/>
      <c r="P22" s="2"/>
      <c r="Q22" s="2"/>
      <c r="R22" s="2"/>
      <c r="S22" s="2"/>
      <c r="T22" s="2"/>
    </row>
    <row r="23" customFormat="false" ht="15" hidden="false" customHeight="false" outlineLevel="0" collapsed="false">
      <c r="A23" s="2"/>
      <c r="B23" s="2"/>
      <c r="C23" s="2"/>
      <c r="D23" s="2"/>
      <c r="E23" s="2"/>
      <c r="F23" s="2"/>
      <c r="G23" s="2"/>
      <c r="H23" s="2"/>
      <c r="I23" s="2"/>
      <c r="J23" s="2"/>
      <c r="K23" s="2"/>
      <c r="L23" s="2"/>
      <c r="M23" s="2"/>
      <c r="N23" s="2"/>
      <c r="O23" s="2"/>
      <c r="P23" s="2"/>
      <c r="Q23" s="2"/>
      <c r="R23" s="2"/>
      <c r="S23" s="2"/>
      <c r="T23" s="2"/>
    </row>
    <row r="24" customFormat="false" ht="15" hidden="false" customHeight="false" outlineLevel="0" collapsed="false">
      <c r="A24" s="22" t="s">
        <v>2457</v>
      </c>
      <c r="B24" s="22" t="s">
        <v>3117</v>
      </c>
      <c r="C24" s="2"/>
      <c r="D24" s="2"/>
      <c r="E24" s="2"/>
      <c r="F24" s="2"/>
      <c r="G24" s="2"/>
      <c r="H24" s="2"/>
      <c r="I24" s="2"/>
      <c r="J24" s="2"/>
      <c r="K24" s="2"/>
      <c r="L24" s="2"/>
      <c r="M24" s="2"/>
      <c r="N24" s="2"/>
      <c r="O24" s="2"/>
      <c r="P24" s="2"/>
      <c r="Q24" s="2"/>
      <c r="R24" s="2"/>
      <c r="S24" s="2"/>
      <c r="T24" s="2"/>
    </row>
    <row r="25" customFormat="false" ht="15" hidden="false" customHeight="false" outlineLevel="0" collapsed="false">
      <c r="A25" s="21"/>
      <c r="B25" s="21" t="s">
        <v>3118</v>
      </c>
      <c r="C25" s="21" t="s">
        <v>3119</v>
      </c>
      <c r="D25" s="21" t="s">
        <v>2044</v>
      </c>
      <c r="E25" s="21" t="s">
        <v>2048</v>
      </c>
      <c r="F25" s="21" t="s">
        <v>3120</v>
      </c>
      <c r="G25" s="2"/>
      <c r="H25" s="2"/>
      <c r="I25" s="2"/>
      <c r="J25" s="2"/>
      <c r="K25" s="2"/>
      <c r="L25" s="2"/>
      <c r="M25" s="2"/>
      <c r="N25" s="2"/>
      <c r="O25" s="2"/>
      <c r="P25" s="2"/>
      <c r="Q25" s="2"/>
      <c r="R25" s="2"/>
      <c r="S25" s="2"/>
      <c r="T25" s="2"/>
    </row>
    <row r="26" customFormat="false" ht="15" hidden="false" customHeight="false" outlineLevel="0" collapsed="false">
      <c r="A26" s="2"/>
      <c r="B26" s="5" t="s">
        <v>3121</v>
      </c>
      <c r="C26" s="89" t="n">
        <f aca="false">Entrées!$C$450</f>
        <v>7.4</v>
      </c>
      <c r="D26" s="24" t="s">
        <v>3122</v>
      </c>
      <c r="E26" s="24" t="s">
        <v>1399</v>
      </c>
      <c r="F26" s="24" t="s">
        <v>3123</v>
      </c>
      <c r="G26" s="2"/>
      <c r="H26" s="2"/>
      <c r="I26" s="2"/>
      <c r="J26" s="2"/>
      <c r="K26" s="2"/>
      <c r="L26" s="2"/>
      <c r="M26" s="2"/>
      <c r="N26" s="2"/>
      <c r="O26" s="2"/>
      <c r="P26" s="2"/>
      <c r="Q26" s="2"/>
      <c r="R26" s="2"/>
      <c r="S26" s="2"/>
      <c r="T26" s="2"/>
    </row>
    <row r="27" customFormat="false" ht="15" hidden="false" customHeight="false" outlineLevel="0" collapsed="false">
      <c r="A27" s="2"/>
      <c r="B27" s="5" t="s">
        <v>3124</v>
      </c>
      <c r="C27" s="89" t="n">
        <f aca="false">Entrées!$C$477</f>
        <v>9</v>
      </c>
      <c r="D27" s="24" t="s">
        <v>3125</v>
      </c>
      <c r="E27" s="24" t="s">
        <v>1475</v>
      </c>
      <c r="F27" s="24" t="s">
        <v>3126</v>
      </c>
      <c r="G27" s="2"/>
      <c r="H27" s="2"/>
      <c r="I27" s="2"/>
      <c r="J27" s="2"/>
      <c r="K27" s="2"/>
      <c r="L27" s="2"/>
      <c r="M27" s="2"/>
      <c r="N27" s="2"/>
      <c r="O27" s="2"/>
      <c r="P27" s="2"/>
      <c r="Q27" s="2"/>
      <c r="R27" s="2"/>
      <c r="S27" s="2"/>
      <c r="T27" s="2"/>
    </row>
    <row r="28" customFormat="false" ht="15" hidden="false" customHeight="false" outlineLevel="0" collapsed="false">
      <c r="A28" s="2"/>
      <c r="B28" s="5" t="s">
        <v>3127</v>
      </c>
      <c r="C28" s="89" t="n">
        <f aca="false">Entrées!$C$53</f>
        <v>9.8</v>
      </c>
      <c r="D28" s="24" t="s">
        <v>3128</v>
      </c>
      <c r="E28" s="24" t="s">
        <v>278</v>
      </c>
      <c r="F28" s="24" t="s">
        <v>3129</v>
      </c>
      <c r="G28" s="2"/>
      <c r="H28" s="2"/>
      <c r="I28" s="2"/>
      <c r="J28" s="2"/>
      <c r="K28" s="2"/>
      <c r="L28" s="2"/>
      <c r="M28" s="2"/>
      <c r="N28" s="2"/>
      <c r="O28" s="2"/>
      <c r="P28" s="2"/>
      <c r="Q28" s="2"/>
      <c r="R28" s="2"/>
      <c r="S28" s="2"/>
      <c r="T28" s="2"/>
    </row>
    <row r="29" customFormat="false" ht="15" hidden="false" customHeight="false" outlineLevel="0" collapsed="false">
      <c r="A29" s="2"/>
      <c r="B29" s="5" t="s">
        <v>3130</v>
      </c>
      <c r="C29" s="89" t="n">
        <f aca="false">Entrées!$C$478</f>
        <v>11</v>
      </c>
      <c r="D29" s="24" t="s">
        <v>3131</v>
      </c>
      <c r="E29" s="24" t="s">
        <v>1477</v>
      </c>
      <c r="F29" s="24" t="s">
        <v>3132</v>
      </c>
      <c r="G29" s="2"/>
      <c r="H29" s="2"/>
      <c r="I29" s="2"/>
      <c r="J29" s="2"/>
      <c r="K29" s="2"/>
      <c r="L29" s="2"/>
      <c r="M29" s="2"/>
      <c r="N29" s="2"/>
      <c r="O29" s="2"/>
      <c r="P29" s="2"/>
      <c r="Q29" s="2"/>
      <c r="R29" s="2"/>
      <c r="S29" s="2"/>
      <c r="T29" s="2"/>
    </row>
    <row r="30" customFormat="false" ht="15" hidden="false" customHeight="false" outlineLevel="0" collapsed="false">
      <c r="A30" s="2"/>
      <c r="B30" s="5" t="s">
        <v>3133</v>
      </c>
      <c r="C30" s="89" t="n">
        <f aca="false">Cibles!$C$19</f>
        <v>15</v>
      </c>
      <c r="D30" s="24" t="s">
        <v>3134</v>
      </c>
      <c r="E30" s="24" t="s">
        <v>3135</v>
      </c>
      <c r="F30" s="24" t="s">
        <v>3136</v>
      </c>
      <c r="G30" s="2"/>
      <c r="H30" s="2"/>
      <c r="I30" s="2"/>
      <c r="J30" s="2"/>
      <c r="K30" s="2"/>
      <c r="L30" s="2"/>
      <c r="M30" s="2"/>
      <c r="N30" s="2"/>
      <c r="O30" s="2"/>
      <c r="P30" s="2"/>
      <c r="Q30" s="2"/>
      <c r="R30" s="2"/>
      <c r="S30" s="2"/>
      <c r="T30" s="2"/>
    </row>
    <row r="31" customFormat="false" ht="15" hidden="false" customHeight="false" outlineLevel="0" collapsed="false">
      <c r="A31" s="2"/>
      <c r="B31" s="5" t="s">
        <v>3137</v>
      </c>
      <c r="C31" s="89" t="n">
        <f aca="false">Booster!$C$52</f>
        <v>19.339616559869</v>
      </c>
      <c r="D31" s="24" t="s">
        <v>3138</v>
      </c>
      <c r="E31" s="24" t="s">
        <v>3139</v>
      </c>
      <c r="F31" s="24" t="s">
        <v>3136</v>
      </c>
      <c r="G31" s="2"/>
      <c r="H31" s="2"/>
      <c r="I31" s="2"/>
      <c r="J31" s="2"/>
      <c r="K31" s="2"/>
      <c r="L31" s="2"/>
      <c r="M31" s="2"/>
      <c r="N31" s="2"/>
      <c r="O31" s="2"/>
      <c r="P31" s="2"/>
      <c r="Q31" s="2"/>
      <c r="R31" s="2"/>
      <c r="S31" s="2"/>
      <c r="T31" s="2"/>
    </row>
    <row r="32" customFormat="false" ht="15" hidden="false" customHeight="false" outlineLevel="0" collapsed="false">
      <c r="A32" s="2"/>
      <c r="B32" s="22" t="s">
        <v>3140</v>
      </c>
      <c r="C32" s="48" t="n">
        <f aca="false">MIN(C26:C29)</f>
        <v>7.4</v>
      </c>
      <c r="D32" s="24" t="s">
        <v>133</v>
      </c>
      <c r="E32" s="24" t="s">
        <v>3141</v>
      </c>
      <c r="F32" s="2"/>
      <c r="G32" s="2"/>
      <c r="H32" s="2"/>
      <c r="I32" s="2"/>
      <c r="J32" s="2"/>
      <c r="K32" s="2"/>
      <c r="L32" s="2"/>
      <c r="M32" s="2"/>
      <c r="N32" s="2"/>
      <c r="O32" s="2"/>
      <c r="P32" s="2"/>
      <c r="Q32" s="2"/>
      <c r="R32" s="2"/>
      <c r="S32" s="2"/>
      <c r="T32" s="2"/>
    </row>
    <row r="33" customFormat="false" ht="15" hidden="false" customHeight="false" outlineLevel="0" collapsed="false">
      <c r="A33" s="2"/>
      <c r="B33" s="5" t="s">
        <v>3142</v>
      </c>
      <c r="C33" s="90" t="n">
        <f aca="false">MEDIAN(C26:C29)</f>
        <v>9.4</v>
      </c>
      <c r="D33" s="24" t="s">
        <v>133</v>
      </c>
      <c r="E33" s="24"/>
      <c r="F33" s="2"/>
      <c r="G33" s="2"/>
      <c r="H33" s="2"/>
      <c r="I33" s="2"/>
      <c r="J33" s="2"/>
      <c r="K33" s="2"/>
      <c r="L33" s="2"/>
      <c r="M33" s="2"/>
      <c r="N33" s="2"/>
      <c r="O33" s="2"/>
      <c r="P33" s="2"/>
      <c r="Q33" s="2"/>
      <c r="R33" s="2"/>
      <c r="S33" s="2"/>
      <c r="T33" s="2"/>
    </row>
    <row r="34" customFormat="false" ht="15" hidden="false" customHeight="false" outlineLevel="0" collapsed="false">
      <c r="A34" s="2"/>
      <c r="B34" s="22" t="s">
        <v>3143</v>
      </c>
      <c r="C34" s="48" t="n">
        <f aca="false">MAX(C26:C29)</f>
        <v>11</v>
      </c>
      <c r="D34" s="24" t="s">
        <v>133</v>
      </c>
      <c r="E34" s="24" t="s">
        <v>3144</v>
      </c>
      <c r="F34" s="2"/>
      <c r="G34" s="2"/>
      <c r="H34" s="2"/>
      <c r="I34" s="2"/>
      <c r="J34" s="2"/>
      <c r="K34" s="2"/>
      <c r="L34" s="2"/>
      <c r="M34" s="2"/>
      <c r="N34" s="2"/>
      <c r="O34" s="2"/>
      <c r="P34" s="2"/>
      <c r="Q34" s="2"/>
      <c r="R34" s="2"/>
      <c r="S34" s="2"/>
      <c r="T34" s="2"/>
    </row>
    <row r="35" customFormat="false" ht="15" hidden="false" customHeight="false" outlineLevel="0" collapsed="false">
      <c r="A35" s="2"/>
      <c r="B35" s="5" t="s">
        <v>3145</v>
      </c>
      <c r="C35" s="90" t="n">
        <f aca="false">C30-C28</f>
        <v>5.2</v>
      </c>
      <c r="D35" s="24" t="s">
        <v>133</v>
      </c>
      <c r="E35" s="24" t="s">
        <v>3146</v>
      </c>
      <c r="F35" s="2"/>
      <c r="G35" s="2"/>
      <c r="H35" s="2"/>
      <c r="I35" s="2"/>
      <c r="J35" s="2"/>
      <c r="K35" s="2"/>
      <c r="L35" s="2"/>
      <c r="M35" s="2"/>
      <c r="N35" s="2"/>
      <c r="O35" s="2"/>
      <c r="P35" s="2"/>
      <c r="Q35" s="2"/>
      <c r="R35" s="2"/>
      <c r="S35" s="2"/>
      <c r="T35" s="2"/>
    </row>
    <row r="36" customFormat="false" ht="43.5" hidden="false" customHeight="true" outlineLevel="0" collapsed="false">
      <c r="A36" s="2"/>
      <c r="B36" s="69" t="str">
        <f aca="false">"Lecture : Veolia publie ses multiples après synergies, entre "&amp;SUBSTITUTE(SUBSTITUTE(FIXED(Cibles!$C$32,1,TRUE()),".",","),"-","−")&amp;"x"&amp;" et "&amp;SUBSTITUTE(SUBSTITUTE(FIXED(Cibles!$C$34,1,TRUE()),".",","),"-","−")&amp;"x"&amp;" ; l'hypothèse mTuck (Hypothèses) est bornée par ces deux points, Clean Earth au centre. Avant synergies, le même Clean Earth coûte "&amp;SUBSTITUTE(SUBSTITUTE(FIXED(Cibles!$C$19/Cibles!$C$21,1,TRUE()),".",","),"-","−")&amp;" fois plus : c'est la base qu'il faut préciser à chaque comparaison — et la question à poser pour toute cible."</f>
        <v>Lecture : Veolia publie ses multiples après synergies, entre 7,4x et 11,0x ; l'hypothèse mTuck (Hypothèses) est bornée par ces deux points, Clean Earth au centre. Avant synergies, le même Clean Earth coûte 1,5 fois plus : c'est la base qu'il faut préciser à chaque comparaison — et la question à poser pour toute cible.</v>
      </c>
      <c r="C36" s="69"/>
      <c r="D36" s="69"/>
      <c r="E36" s="69"/>
      <c r="F36" s="69"/>
      <c r="G36" s="2"/>
      <c r="H36" s="2"/>
      <c r="I36" s="2"/>
      <c r="J36" s="2"/>
      <c r="K36" s="2"/>
      <c r="L36" s="2"/>
      <c r="M36" s="2"/>
      <c r="N36" s="2"/>
      <c r="O36" s="2"/>
      <c r="P36" s="2"/>
      <c r="Q36" s="2"/>
      <c r="R36" s="2"/>
      <c r="S36" s="2"/>
      <c r="T36" s="2"/>
    </row>
    <row r="37" customFormat="false" ht="15" hidden="false" customHeight="false" outlineLevel="0" collapsed="false">
      <c r="A37" s="2"/>
      <c r="B37" s="2"/>
      <c r="C37" s="2"/>
      <c r="D37" s="2"/>
      <c r="E37" s="2"/>
      <c r="F37" s="2"/>
      <c r="G37" s="2"/>
      <c r="H37" s="2"/>
      <c r="I37" s="2"/>
      <c r="J37" s="2"/>
      <c r="K37" s="2"/>
      <c r="L37" s="2"/>
      <c r="M37" s="2"/>
      <c r="N37" s="2"/>
      <c r="O37" s="2"/>
      <c r="P37" s="2"/>
      <c r="Q37" s="2"/>
      <c r="R37" s="2"/>
      <c r="S37" s="2"/>
      <c r="T37" s="2"/>
    </row>
    <row r="38" customFormat="false" ht="15" hidden="false" customHeight="false" outlineLevel="0" collapsed="false">
      <c r="A38" s="22" t="s">
        <v>2475</v>
      </c>
      <c r="B38" s="22" t="s">
        <v>3147</v>
      </c>
      <c r="C38" s="2"/>
      <c r="D38" s="2"/>
      <c r="E38" s="2"/>
      <c r="F38" s="2"/>
      <c r="G38" s="2"/>
      <c r="H38" s="2"/>
      <c r="I38" s="2"/>
      <c r="J38" s="2"/>
      <c r="K38" s="2"/>
      <c r="L38" s="2"/>
      <c r="M38" s="2"/>
      <c r="N38" s="2"/>
      <c r="O38" s="2"/>
      <c r="P38" s="2"/>
      <c r="Q38" s="2"/>
      <c r="R38" s="2"/>
      <c r="S38" s="2"/>
      <c r="T38" s="2"/>
    </row>
    <row r="39" customFormat="false" ht="23.85" hidden="false" customHeight="false" outlineLevel="0" collapsed="false">
      <c r="A39" s="21"/>
      <c r="B39" s="21" t="s">
        <v>3148</v>
      </c>
      <c r="C39" s="21" t="s">
        <v>3149</v>
      </c>
      <c r="D39" s="21" t="s">
        <v>3150</v>
      </c>
      <c r="E39" s="21" t="s">
        <v>3151</v>
      </c>
      <c r="F39" s="21" t="s">
        <v>3115</v>
      </c>
      <c r="G39" s="21" t="s">
        <v>3152</v>
      </c>
      <c r="H39" s="21" t="s">
        <v>2048</v>
      </c>
      <c r="I39" s="2"/>
      <c r="J39" s="2"/>
      <c r="K39" s="2"/>
      <c r="L39" s="2"/>
      <c r="M39" s="2"/>
      <c r="N39" s="2"/>
      <c r="O39" s="2"/>
      <c r="P39" s="2"/>
      <c r="Q39" s="2"/>
      <c r="R39" s="2"/>
      <c r="S39" s="2"/>
      <c r="T39" s="2"/>
    </row>
    <row r="40" customFormat="false" ht="15" hidden="false" customHeight="false" outlineLevel="0" collapsed="false">
      <c r="A40" s="2"/>
      <c r="B40" s="5" t="s">
        <v>3153</v>
      </c>
      <c r="C40" s="61" t="n">
        <f aca="false">Entrées!$C$606</f>
        <v>470</v>
      </c>
      <c r="D40" s="61" t="n">
        <f aca="false">Entrées!$C$607</f>
        <v>27</v>
      </c>
      <c r="E40" s="48" t="n">
        <f aca="false">C40/D40</f>
        <v>17.4074074074074</v>
      </c>
      <c r="F40" s="89" t="n">
        <f aca="false">Entrées!$C$612</f>
        <v>8.9</v>
      </c>
      <c r="G40" s="24" t="s">
        <v>3154</v>
      </c>
      <c r="H40" s="24" t="s">
        <v>3155</v>
      </c>
      <c r="I40" s="2"/>
      <c r="J40" s="2"/>
      <c r="K40" s="2"/>
      <c r="L40" s="2"/>
      <c r="M40" s="2"/>
      <c r="N40" s="2"/>
      <c r="O40" s="2"/>
      <c r="P40" s="2"/>
      <c r="Q40" s="2"/>
      <c r="R40" s="2"/>
      <c r="S40" s="2"/>
      <c r="T40" s="2"/>
    </row>
    <row r="41" customFormat="false" ht="15" hidden="false" customHeight="false" outlineLevel="0" collapsed="false">
      <c r="A41" s="2"/>
      <c r="B41" s="5" t="s">
        <v>3156</v>
      </c>
      <c r="C41" s="61" t="n">
        <f aca="false">Entrées!$C$483</f>
        <v>400</v>
      </c>
      <c r="D41" s="61" t="n">
        <f aca="false">Entrées!$C$484</f>
        <v>36</v>
      </c>
      <c r="E41" s="48" t="n">
        <f aca="false">C41/D41</f>
        <v>11.1111111111111</v>
      </c>
      <c r="F41" s="89" t="n">
        <f aca="false">Entrées!$C$488</f>
        <v>7.1</v>
      </c>
      <c r="G41" s="24" t="s">
        <v>3157</v>
      </c>
      <c r="H41" s="24" t="s">
        <v>3158</v>
      </c>
      <c r="I41" s="2"/>
      <c r="J41" s="2"/>
      <c r="K41" s="2"/>
      <c r="L41" s="2"/>
      <c r="M41" s="2"/>
      <c r="N41" s="2"/>
      <c r="O41" s="2"/>
      <c r="P41" s="2"/>
      <c r="Q41" s="2"/>
      <c r="R41" s="2"/>
      <c r="S41" s="2"/>
      <c r="T41" s="2"/>
    </row>
    <row r="42" customFormat="false" ht="15" hidden="false" customHeight="false" outlineLevel="0" collapsed="false">
      <c r="A42" s="2"/>
      <c r="B42" s="5" t="s">
        <v>3159</v>
      </c>
      <c r="C42" s="61" t="n">
        <f aca="false">Entrées!$C$489*1000</f>
        <v>5300</v>
      </c>
      <c r="D42" s="61" t="n">
        <f aca="false">Entrées!$C$491</f>
        <v>460</v>
      </c>
      <c r="E42" s="48" t="n">
        <f aca="false">C42/D42</f>
        <v>11.5217391304348</v>
      </c>
      <c r="F42" s="53" t="s">
        <v>2057</v>
      </c>
      <c r="G42" s="24" t="s">
        <v>3160</v>
      </c>
      <c r="H42" s="24" t="s">
        <v>3161</v>
      </c>
      <c r="I42" s="2"/>
      <c r="J42" s="2"/>
      <c r="K42" s="2"/>
      <c r="L42" s="2"/>
      <c r="M42" s="2"/>
      <c r="N42" s="2"/>
      <c r="O42" s="2"/>
      <c r="P42" s="2"/>
      <c r="Q42" s="2"/>
      <c r="R42" s="2"/>
      <c r="S42" s="2"/>
      <c r="T42" s="2"/>
    </row>
    <row r="43" customFormat="false" ht="15" hidden="false" customHeight="false" outlineLevel="0" collapsed="false">
      <c r="A43" s="2"/>
      <c r="B43" s="5" t="s">
        <v>3162</v>
      </c>
      <c r="C43" s="61" t="n">
        <f aca="false">Entrées!$C$479*1000</f>
        <v>7200</v>
      </c>
      <c r="D43" s="107" t="s">
        <v>2519</v>
      </c>
      <c r="E43" s="53" t="s">
        <v>2057</v>
      </c>
      <c r="F43" s="53" t="s">
        <v>2057</v>
      </c>
      <c r="G43" s="24" t="s">
        <v>3163</v>
      </c>
      <c r="H43" s="24" t="s">
        <v>1483</v>
      </c>
      <c r="I43" s="2"/>
      <c r="J43" s="2"/>
      <c r="K43" s="2"/>
      <c r="L43" s="2"/>
      <c r="M43" s="2"/>
      <c r="N43" s="2"/>
      <c r="O43" s="2"/>
      <c r="P43" s="2"/>
      <c r="Q43" s="2"/>
      <c r="R43" s="2"/>
      <c r="S43" s="2"/>
      <c r="T43" s="2"/>
    </row>
    <row r="44" customFormat="false" ht="15" hidden="false" customHeight="false" outlineLevel="0" collapsed="false">
      <c r="A44" s="2"/>
      <c r="B44" s="5" t="s">
        <v>3164</v>
      </c>
      <c r="C44" s="61" t="n">
        <f aca="false">Entrées!$C$530*1000</f>
        <v>2200</v>
      </c>
      <c r="D44" s="61" t="n">
        <f aca="false">Entrées!$C$532</f>
        <v>156</v>
      </c>
      <c r="E44" s="48" t="n">
        <f aca="false">C44/D44</f>
        <v>14.1025641025641</v>
      </c>
      <c r="F44" s="53" t="s">
        <v>2057</v>
      </c>
      <c r="G44" s="24" t="s">
        <v>3165</v>
      </c>
      <c r="H44" s="24" t="s">
        <v>3166</v>
      </c>
      <c r="I44" s="2"/>
      <c r="J44" s="2"/>
      <c r="K44" s="2"/>
      <c r="L44" s="2"/>
      <c r="M44" s="2"/>
      <c r="N44" s="2"/>
      <c r="O44" s="2"/>
      <c r="P44" s="2"/>
      <c r="Q44" s="2"/>
      <c r="R44" s="2"/>
      <c r="S44" s="2"/>
      <c r="T44" s="2"/>
    </row>
    <row r="45" customFormat="false" ht="15" hidden="false" customHeight="false" outlineLevel="0" collapsed="false">
      <c r="A45" s="2"/>
      <c r="B45" s="22" t="s">
        <v>3167</v>
      </c>
      <c r="C45" s="48" t="n">
        <f aca="false">MIN(E40:E44)</f>
        <v>11.1111111111111</v>
      </c>
      <c r="D45" s="24" t="s">
        <v>133</v>
      </c>
      <c r="E45" s="24"/>
      <c r="F45" s="2"/>
      <c r="G45" s="2"/>
      <c r="H45" s="2"/>
      <c r="I45" s="2"/>
      <c r="J45" s="2"/>
      <c r="K45" s="2"/>
      <c r="L45" s="2"/>
      <c r="M45" s="2"/>
      <c r="N45" s="2"/>
      <c r="O45" s="2"/>
      <c r="P45" s="2"/>
      <c r="Q45" s="2"/>
      <c r="R45" s="2"/>
      <c r="S45" s="2"/>
      <c r="T45" s="2"/>
    </row>
    <row r="46" customFormat="false" ht="15" hidden="false" customHeight="false" outlineLevel="0" collapsed="false">
      <c r="A46" s="2"/>
      <c r="B46" s="22" t="s">
        <v>3168</v>
      </c>
      <c r="C46" s="48" t="n">
        <f aca="false">MAX(E40:E44)</f>
        <v>17.4074074074074</v>
      </c>
      <c r="D46" s="24" t="s">
        <v>133</v>
      </c>
      <c r="E46" s="24"/>
      <c r="F46" s="2"/>
      <c r="G46" s="2"/>
      <c r="H46" s="2"/>
      <c r="I46" s="2"/>
      <c r="J46" s="2"/>
      <c r="K46" s="2"/>
      <c r="L46" s="2"/>
      <c r="M46" s="2"/>
      <c r="N46" s="2"/>
      <c r="O46" s="2"/>
      <c r="P46" s="2"/>
      <c r="Q46" s="2"/>
      <c r="R46" s="2"/>
      <c r="S46" s="2"/>
      <c r="T46" s="2"/>
    </row>
    <row r="47" customFormat="false" ht="15" hidden="false" customHeight="false" outlineLevel="0" collapsed="false">
      <c r="A47" s="2"/>
      <c r="B47" s="22" t="s">
        <v>3169</v>
      </c>
      <c r="C47" s="48" t="n">
        <f aca="false">MEDIAN(E40:E44)</f>
        <v>12.8121516164994</v>
      </c>
      <c r="D47" s="24" t="s">
        <v>133</v>
      </c>
      <c r="E47" s="24" t="s">
        <v>3170</v>
      </c>
      <c r="F47" s="2"/>
      <c r="G47" s="2"/>
      <c r="H47" s="2"/>
      <c r="I47" s="2"/>
      <c r="J47" s="2"/>
      <c r="K47" s="2"/>
      <c r="L47" s="2"/>
      <c r="M47" s="2"/>
      <c r="N47" s="2"/>
      <c r="O47" s="2"/>
      <c r="P47" s="2"/>
      <c r="Q47" s="2"/>
      <c r="R47" s="2"/>
      <c r="S47" s="2"/>
      <c r="T47" s="2"/>
    </row>
    <row r="48" customFormat="false" ht="15" hidden="false" customHeight="false" outlineLevel="0" collapsed="false">
      <c r="A48" s="2"/>
      <c r="B48" s="5" t="s">
        <v>3171</v>
      </c>
      <c r="C48" s="90" t="n">
        <f aca="false">MIN(F40:F44)</f>
        <v>7.1</v>
      </c>
      <c r="D48" s="24" t="s">
        <v>133</v>
      </c>
      <c r="E48" s="24"/>
      <c r="F48" s="2"/>
      <c r="G48" s="2"/>
      <c r="H48" s="2"/>
      <c r="I48" s="2"/>
      <c r="J48" s="2"/>
      <c r="K48" s="2"/>
      <c r="L48" s="2"/>
      <c r="M48" s="2"/>
      <c r="N48" s="2"/>
      <c r="O48" s="2"/>
      <c r="P48" s="2"/>
      <c r="Q48" s="2"/>
      <c r="R48" s="2"/>
      <c r="S48" s="2"/>
      <c r="T48" s="2"/>
    </row>
    <row r="49" customFormat="false" ht="15" hidden="false" customHeight="false" outlineLevel="0" collapsed="false">
      <c r="A49" s="2"/>
      <c r="B49" s="5" t="s">
        <v>3172</v>
      </c>
      <c r="C49" s="90" t="n">
        <f aca="false">MAX(F40:F44)</f>
        <v>8.9</v>
      </c>
      <c r="D49" s="24" t="s">
        <v>133</v>
      </c>
      <c r="E49" s="24"/>
      <c r="F49" s="2"/>
      <c r="G49" s="2"/>
      <c r="H49" s="2"/>
      <c r="I49" s="2"/>
      <c r="J49" s="2"/>
      <c r="K49" s="2"/>
      <c r="L49" s="2"/>
      <c r="M49" s="2"/>
      <c r="N49" s="2"/>
      <c r="O49" s="2"/>
      <c r="P49" s="2"/>
      <c r="Q49" s="2"/>
      <c r="R49" s="2"/>
      <c r="S49" s="2"/>
      <c r="T49" s="2"/>
    </row>
    <row r="50" customFormat="false" ht="15" hidden="false" customHeight="false" outlineLevel="0" collapsed="false">
      <c r="A50" s="2"/>
      <c r="B50" s="22" t="s">
        <v>3173</v>
      </c>
      <c r="C50" s="48" t="n">
        <f aca="false">Cibles!$C$19-Cibles!$C$46</f>
        <v>-2.40740740740741</v>
      </c>
      <c r="D50" s="24" t="s">
        <v>133</v>
      </c>
      <c r="E50" s="24" t="s">
        <v>3174</v>
      </c>
      <c r="F50" s="2"/>
      <c r="G50" s="2"/>
      <c r="H50" s="2"/>
      <c r="I50" s="2"/>
      <c r="J50" s="2"/>
      <c r="K50" s="2"/>
      <c r="L50" s="2"/>
      <c r="M50" s="2"/>
      <c r="N50" s="2"/>
      <c r="O50" s="2"/>
      <c r="P50" s="2"/>
      <c r="Q50" s="2"/>
      <c r="R50" s="2"/>
      <c r="S50" s="2"/>
      <c r="T50" s="2"/>
    </row>
    <row r="51" customFormat="false" ht="57.75" hidden="false" customHeight="true" outlineLevel="0" collapsed="false">
      <c r="A51" s="2"/>
      <c r="B51" s="69" t="str">
        <f aca="false">"Lecture : avant synergies, le secteur paie de "&amp;SUBSTITUTE(SUBSTITUTE(FIXED(Cibles!$C$45,1,TRUE()),".",","),"-","−")&amp;"x"&amp;" à "&amp;SUBSTITUTE(SUBSTITUTE(FIXED(Cibles!$C$46,1,TRUE()),".",","),"-","−")&amp;"x"&amp;" (le plus cher : "&amp;INDEX(B40:B44,MATCH(Cibles!$C$46,E40:E44,0))&amp;") ; après synergies, les acquéreurs publient "&amp;SUBSTITUTE(SUBSTITUTE(FIXED(Cibles!$C$48,1,TRUE()),".",","),"-","−")&amp;"x"&amp;" à "&amp;SUBSTITUTE(SUBSTITUTE(FIXED(Cibles!$C$49,1,TRUE()),".",","),"-","−")&amp;"x"&amp;". Clean Earth, "&amp;SUBSTITUTE(SUBSTITUTE(FIXED(Cibles!$C$19,1,TRUE()),".",","),"-","−")&amp;"x"&amp;" avant synergies sur l'EBITDA 2026E de Veolia, "&amp;IF(Cibles!$C$50&gt;0,"est au-dessus de tout ce que le secteur a payé","reste sous le plus cher du secteur, de "&amp;SUBSTITUTE(SUBSTITUTE(FIXED(-Cibles!$C$50,1,TRUE()),".",","),"-","−")&amp;"x")&amp;" ; à "&amp;SUBSTITUTE(SUBSTITUTE(FIXED(Cibles!$C$21,1,TRUE()),".",","),"-","−")&amp;"x"&amp;" après synergies, il est dans la norme. Une petite cible se paie cher avant synergies : ce sont les synergies qui ramènent le prix sous 10x. Stericycle n'a pas d'EBITDA publié dans son communiqué."</f>
        <v>Lecture : avant synergies, le secteur paie de 11,1x à 17,4x (le plus cher : Clean Harbors → EnviroServe (2026)) ; après synergies, les acquéreurs publient 7,1x à 8,9x. Clean Earth, 15,0x avant synergies sur l'EBITDA 2026E de Veolia, reste sous le plus cher du secteur, de 2,4x ; à 9,8x après synergies, il est dans la norme. Une petite cible se paie cher avant synergies : ce sont les synergies qui ramènent le prix sous 10x. Stericycle n'a pas d'EBITDA publié dans son communiqué.</v>
      </c>
      <c r="C51" s="69"/>
      <c r="D51" s="69"/>
      <c r="E51" s="69"/>
      <c r="F51" s="69"/>
      <c r="G51" s="69"/>
      <c r="H51" s="69"/>
      <c r="I51" s="2"/>
      <c r="J51" s="2"/>
      <c r="K51" s="2"/>
      <c r="L51" s="2"/>
      <c r="M51" s="2"/>
      <c r="N51" s="2"/>
      <c r="O51" s="2"/>
      <c r="P51" s="2"/>
      <c r="Q51" s="2"/>
      <c r="R51" s="2"/>
      <c r="S51" s="2"/>
      <c r="T51" s="2"/>
    </row>
    <row r="52" customFormat="false" ht="15" hidden="false" customHeight="false" outlineLevel="0" collapsed="false">
      <c r="A52" s="2"/>
      <c r="B52" s="2"/>
      <c r="C52" s="2"/>
      <c r="D52" s="2"/>
      <c r="E52" s="2"/>
      <c r="F52" s="2"/>
      <c r="G52" s="2"/>
      <c r="H52" s="2"/>
      <c r="I52" s="2"/>
      <c r="J52" s="2"/>
      <c r="K52" s="2"/>
      <c r="L52" s="2"/>
      <c r="M52" s="2"/>
      <c r="N52" s="2"/>
      <c r="O52" s="2"/>
      <c r="P52" s="2"/>
      <c r="Q52" s="2"/>
      <c r="R52" s="2"/>
      <c r="S52" s="2"/>
      <c r="T52" s="2"/>
    </row>
    <row r="53" customFormat="false" ht="15" hidden="false" customHeight="false" outlineLevel="0" collapsed="false">
      <c r="A53" s="22" t="s">
        <v>2308</v>
      </c>
      <c r="B53" s="22" t="s">
        <v>3175</v>
      </c>
      <c r="C53" s="2"/>
      <c r="D53" s="2"/>
      <c r="E53" s="2"/>
      <c r="F53" s="2"/>
      <c r="G53" s="2"/>
      <c r="H53" s="2"/>
      <c r="I53" s="2"/>
      <c r="J53" s="2"/>
      <c r="K53" s="2"/>
      <c r="L53" s="2"/>
      <c r="M53" s="2"/>
      <c r="N53" s="2"/>
      <c r="O53" s="2"/>
      <c r="P53" s="2"/>
      <c r="Q53" s="2"/>
      <c r="R53" s="2"/>
      <c r="S53" s="2"/>
      <c r="T53" s="2"/>
    </row>
    <row r="54" customFormat="false" ht="15" hidden="false" customHeight="false" outlineLevel="0" collapsed="false">
      <c r="A54" s="2"/>
      <c r="B54" s="3" t="s">
        <v>3176</v>
      </c>
      <c r="C54" s="2"/>
      <c r="D54" s="2"/>
      <c r="E54" s="2"/>
      <c r="F54" s="2"/>
      <c r="G54" s="2"/>
      <c r="H54" s="2"/>
      <c r="I54" s="2"/>
      <c r="J54" s="2"/>
      <c r="K54" s="2"/>
      <c r="L54" s="2"/>
      <c r="M54" s="2"/>
      <c r="N54" s="2"/>
      <c r="O54" s="2"/>
      <c r="P54" s="2"/>
      <c r="Q54" s="2"/>
      <c r="R54" s="2"/>
      <c r="S54" s="2"/>
      <c r="T54" s="2"/>
    </row>
    <row r="55" customFormat="false" ht="15" hidden="false" customHeight="false" outlineLevel="0" collapsed="false">
      <c r="A55" s="2"/>
      <c r="B55" s="22" t="s">
        <v>3177</v>
      </c>
      <c r="C55" s="117" t="n">
        <f aca="false">Cibles!$C$47</f>
        <v>12.8121516164994</v>
      </c>
      <c r="D55" s="24" t="s">
        <v>133</v>
      </c>
      <c r="E55" s="24" t="s">
        <v>3178</v>
      </c>
      <c r="F55" s="2"/>
      <c r="G55" s="2"/>
      <c r="H55" s="2"/>
      <c r="I55" s="2"/>
      <c r="J55" s="2"/>
      <c r="K55" s="2"/>
      <c r="L55" s="2"/>
      <c r="M55" s="2"/>
      <c r="N55" s="2"/>
      <c r="O55" s="2"/>
      <c r="P55" s="2"/>
      <c r="Q55" s="2"/>
      <c r="R55" s="2"/>
      <c r="S55" s="2"/>
      <c r="T55" s="2"/>
    </row>
    <row r="56" customFormat="false" ht="15" hidden="false" customHeight="false" outlineLevel="0" collapsed="false">
      <c r="A56" s="2"/>
      <c r="B56" s="5" t="s">
        <v>3179</v>
      </c>
      <c r="C56" s="95" t="n">
        <f aca="false">Entrées!$C$620</f>
        <v>1.6058</v>
      </c>
      <c r="D56" s="24" t="s">
        <v>3180</v>
      </c>
      <c r="E56" s="24" t="s">
        <v>1907</v>
      </c>
      <c r="F56" s="2"/>
      <c r="G56" s="2"/>
      <c r="H56" s="2"/>
      <c r="I56" s="2"/>
      <c r="J56" s="2"/>
      <c r="K56" s="2"/>
      <c r="L56" s="2"/>
      <c r="M56" s="2"/>
      <c r="N56" s="2"/>
      <c r="O56" s="2"/>
      <c r="P56" s="2"/>
      <c r="Q56" s="2"/>
      <c r="R56" s="2"/>
      <c r="S56" s="2"/>
      <c r="T56" s="2"/>
    </row>
    <row r="57" customFormat="false" ht="15" hidden="false" customHeight="false" outlineLevel="0" collapsed="false">
      <c r="A57" s="2"/>
      <c r="B57" s="3" t="s">
        <v>3181</v>
      </c>
      <c r="C57" s="2"/>
      <c r="D57" s="2"/>
      <c r="E57" s="2"/>
      <c r="F57" s="2"/>
      <c r="G57" s="2"/>
      <c r="H57" s="2"/>
      <c r="I57" s="2"/>
      <c r="J57" s="2"/>
      <c r="K57" s="2"/>
      <c r="L57" s="2"/>
      <c r="M57" s="2"/>
      <c r="N57" s="2"/>
      <c r="O57" s="2"/>
      <c r="P57" s="2"/>
      <c r="Q57" s="2"/>
      <c r="R57" s="2"/>
      <c r="S57" s="2"/>
      <c r="T57" s="2"/>
    </row>
    <row r="58" customFormat="false" ht="15" hidden="false" customHeight="false" outlineLevel="0" collapsed="false">
      <c r="A58" s="2"/>
      <c r="B58" s="2"/>
      <c r="C58" s="2"/>
      <c r="D58" s="2"/>
      <c r="E58" s="2"/>
      <c r="F58" s="2"/>
      <c r="G58" s="2"/>
      <c r="H58" s="2"/>
      <c r="I58" s="2"/>
      <c r="J58" s="2"/>
      <c r="K58" s="2"/>
      <c r="L58" s="2"/>
      <c r="M58" s="2"/>
      <c r="N58" s="2"/>
      <c r="O58" s="2"/>
      <c r="P58" s="2"/>
      <c r="Q58" s="2"/>
      <c r="R58" s="2"/>
      <c r="S58" s="2"/>
      <c r="T58" s="2"/>
    </row>
    <row r="59" customFormat="false" ht="15" hidden="false" customHeight="false" outlineLevel="0" collapsed="false">
      <c r="A59" s="2"/>
      <c r="B59" s="2"/>
      <c r="C59" s="2"/>
      <c r="D59" s="2"/>
      <c r="E59" s="2"/>
      <c r="F59" s="2"/>
      <c r="G59" s="2"/>
      <c r="H59" s="2"/>
      <c r="I59" s="2"/>
      <c r="J59" s="2"/>
      <c r="K59" s="2"/>
      <c r="L59" s="2"/>
      <c r="M59" s="118" t="s">
        <v>3182</v>
      </c>
      <c r="N59" s="119" t="n">
        <v>1</v>
      </c>
      <c r="O59" s="119" t="n">
        <v>1</v>
      </c>
      <c r="P59" s="119" t="n">
        <v>1</v>
      </c>
      <c r="Q59" s="119" t="n">
        <v>1</v>
      </c>
      <c r="R59" s="119" t="n">
        <v>1</v>
      </c>
      <c r="S59" s="2"/>
      <c r="T59" s="2"/>
    </row>
    <row r="60" customFormat="false" ht="35.05" hidden="false" customHeight="false" outlineLevel="0" collapsed="false">
      <c r="A60" s="21"/>
      <c r="B60" s="21" t="s">
        <v>3183</v>
      </c>
      <c r="C60" s="21" t="s">
        <v>2980</v>
      </c>
      <c r="D60" s="21" t="s">
        <v>3184</v>
      </c>
      <c r="E60" s="21" t="s">
        <v>3185</v>
      </c>
      <c r="F60" s="21" t="s">
        <v>3186</v>
      </c>
      <c r="G60" s="21" t="s">
        <v>93</v>
      </c>
      <c r="H60" s="21" t="s">
        <v>2044</v>
      </c>
      <c r="I60" s="21" t="s">
        <v>3187</v>
      </c>
      <c r="J60" s="21" t="s">
        <v>3188</v>
      </c>
      <c r="K60" s="21" t="s">
        <v>3189</v>
      </c>
      <c r="L60" s="21" t="s">
        <v>3190</v>
      </c>
      <c r="M60" s="21" t="s">
        <v>3191</v>
      </c>
      <c r="N60" s="21" t="s">
        <v>3192</v>
      </c>
      <c r="O60" s="21" t="s">
        <v>3193</v>
      </c>
      <c r="P60" s="21" t="s">
        <v>3194</v>
      </c>
      <c r="Q60" s="21" t="s">
        <v>3195</v>
      </c>
      <c r="R60" s="21" t="s">
        <v>3196</v>
      </c>
      <c r="S60" s="21" t="s">
        <v>3197</v>
      </c>
      <c r="T60" s="21" t="s">
        <v>2048</v>
      </c>
    </row>
    <row r="61" customFormat="false" ht="15" hidden="false" customHeight="false" outlineLevel="0" collapsed="false">
      <c r="A61" s="2"/>
      <c r="B61" s="120" t="s">
        <v>3198</v>
      </c>
      <c r="C61" s="120" t="s">
        <v>2482</v>
      </c>
      <c r="D61" s="120" t="s">
        <v>3199</v>
      </c>
      <c r="E61" s="120" t="s">
        <v>3200</v>
      </c>
      <c r="F61" s="61" t="n">
        <f aca="false">-Entrées!$C$81</f>
        <v>2778</v>
      </c>
      <c r="G61" s="24" t="s">
        <v>103</v>
      </c>
      <c r="H61" s="24" t="s">
        <v>3201</v>
      </c>
      <c r="I61" s="64" t="n">
        <f aca="false">F61</f>
        <v>2778</v>
      </c>
      <c r="J61" s="89" t="n">
        <f aca="false">Entrées!$C$53</f>
        <v>9.8</v>
      </c>
      <c r="K61" s="5" t="str">
        <f aca="false">IF(AND(ISNUMBER(I61),ISNUMBER(J61)),IF(I61&lt;=IF(J61&gt;Hypothèses!$J$26,MAX(0,$D$8)/(1-Hypothèses!$J$26/J61),0),"oui","non"),"")</f>
        <v>non</v>
      </c>
      <c r="L61" s="106" t="n">
        <f aca="false">IF(AND(ISNUMBER(I61),ISNUMBER(J61)),IF(J61&gt;Hypothèses!$J$26,COUNTIF(Simulation!$BG$16:$BG$1015,"&gt;="&amp;I61*(1-Hypothèses!$J$26/J61))/1000,0),"")</f>
        <v>0.18</v>
      </c>
      <c r="M61" s="2"/>
      <c r="N61" s="2"/>
      <c r="O61" s="2"/>
      <c r="P61" s="2"/>
      <c r="Q61" s="2"/>
      <c r="R61" s="2"/>
      <c r="S61" s="2"/>
      <c r="T61" s="24" t="s">
        <v>3202</v>
      </c>
    </row>
    <row r="62" customFormat="false" ht="15" hidden="false" customHeight="false" outlineLevel="0" collapsed="false">
      <c r="A62" s="2"/>
      <c r="B62" s="5" t="s">
        <v>3203</v>
      </c>
      <c r="C62" s="5" t="s">
        <v>2482</v>
      </c>
      <c r="D62" s="5" t="s">
        <v>3204</v>
      </c>
      <c r="E62" s="5" t="s">
        <v>3205</v>
      </c>
      <c r="F62" s="121" t="n">
        <v>1.2</v>
      </c>
      <c r="G62" s="24" t="s">
        <v>269</v>
      </c>
      <c r="H62" s="24" t="s">
        <v>3206</v>
      </c>
      <c r="I62" s="64" t="n">
        <f aca="false">F62*1000/Hypothèses!$J$19</f>
        <v>1020.54198728672</v>
      </c>
      <c r="J62" s="122" t="n">
        <f aca="false">Cibles!$C$55</f>
        <v>12.8121516164994</v>
      </c>
      <c r="K62" s="5" t="str">
        <f aca="false">IF(AND(ISNUMBER(I62),ISNUMBER(J62)),IF(I62&lt;=IF(J62&gt;Hypothèses!$J$26,MAX(0,$D$8)/(1-Hypothèses!$J$26/J62),0),"oui","non"),"")</f>
        <v>oui</v>
      </c>
      <c r="L62" s="106" t="n">
        <f aca="false">IF(AND(ISNUMBER(I62),ISNUMBER(J62)),IF(J62&gt;Hypothèses!$J$26,COUNTIF(Simulation!$BG$16:$BG$1015,"&gt;="&amp;I62*(1-Hypothèses!$J$26/J62))/1000,0),"")</f>
        <v>0.937</v>
      </c>
      <c r="M62" s="123" t="n">
        <f aca="false">2027-2023</f>
        <v>4</v>
      </c>
      <c r="N62" s="124"/>
      <c r="O62" s="124"/>
      <c r="P62" s="124"/>
      <c r="Q62" s="124"/>
      <c r="R62" s="124"/>
      <c r="S62" s="80" t="str">
        <f aca="false">IF(COUNT(N62:R62)=0,"",SUMPRODUCT($N$59:$R$59,N62:R62)/SUMPRODUCT($N$59:$R$59*(N62:R62&lt;&gt;"")))</f>
        <v/>
      </c>
      <c r="T62" s="24" t="s">
        <v>3207</v>
      </c>
    </row>
    <row r="63" customFormat="false" ht="15" hidden="false" customHeight="false" outlineLevel="0" collapsed="false">
      <c r="A63" s="2"/>
      <c r="B63" s="5" t="s">
        <v>3208</v>
      </c>
      <c r="C63" s="5" t="s">
        <v>2482</v>
      </c>
      <c r="D63" s="5" t="s">
        <v>3209</v>
      </c>
      <c r="E63" s="5" t="s">
        <v>3210</v>
      </c>
      <c r="F63" s="107" t="s">
        <v>3211</v>
      </c>
      <c r="G63" s="2"/>
      <c r="H63" s="2"/>
      <c r="I63" s="107" t="s">
        <v>2519</v>
      </c>
      <c r="J63" s="122" t="n">
        <f aca="false">Cibles!$C$55</f>
        <v>12.8121516164994</v>
      </c>
      <c r="K63" s="5" t="str">
        <f aca="false">IF(AND(ISNUMBER(I63),ISNUMBER(J63)),IF(I63&lt;=IF(J63&gt;Hypothèses!$J$26,MAX(0,$D$8)/(1-Hypothèses!$J$26/J63),0),"oui","non"),"")</f>
        <v/>
      </c>
      <c r="L63" s="106" t="str">
        <f aca="false">IF(AND(ISNUMBER(I63),ISNUMBER(J63)),IF(J63&gt;Hypothèses!$J$26,COUNTIF(Simulation!$BG$16:$BG$1015,"&gt;="&amp;I63*(1-Hypothèses!$J$26/J63))/1000,0),"")</f>
        <v/>
      </c>
      <c r="M63" s="123" t="n">
        <f aca="false">2027-2024</f>
        <v>3</v>
      </c>
      <c r="N63" s="124"/>
      <c r="O63" s="124"/>
      <c r="P63" s="124"/>
      <c r="Q63" s="124"/>
      <c r="R63" s="124"/>
      <c r="S63" s="80" t="str">
        <f aca="false">IF(COUNT(N63:R63)=0,"",SUMPRODUCT($N$59:$R$59,N63:R63)/SUMPRODUCT($N$59:$R$59*(N63:R63&lt;&gt;"")))</f>
        <v/>
      </c>
      <c r="T63" s="24" t="s">
        <v>3212</v>
      </c>
    </row>
    <row r="64" customFormat="false" ht="15" hidden="false" customHeight="false" outlineLevel="0" collapsed="false">
      <c r="A64" s="2"/>
      <c r="B64" s="5" t="s">
        <v>3213</v>
      </c>
      <c r="C64" s="5" t="s">
        <v>2482</v>
      </c>
      <c r="D64" s="5" t="s">
        <v>3214</v>
      </c>
      <c r="E64" s="5" t="s">
        <v>3215</v>
      </c>
      <c r="F64" s="121" t="n">
        <v>1.8</v>
      </c>
      <c r="G64" s="24" t="s">
        <v>269</v>
      </c>
      <c r="H64" s="24" t="s">
        <v>3206</v>
      </c>
      <c r="I64" s="64" t="n">
        <f aca="false">F64*1000/Hypothèses!$J$19</f>
        <v>1530.81298093008</v>
      </c>
      <c r="J64" s="122" t="n">
        <f aca="false">Cibles!$C$55</f>
        <v>12.8121516164994</v>
      </c>
      <c r="K64" s="5" t="str">
        <f aca="false">IF(AND(ISNUMBER(I64),ISNUMBER(J64)),IF(I64&lt;=IF(J64&gt;Hypothèses!$J$26,MAX(0,$D$8)/(1-Hypothèses!$J$26/J64),0),"oui","non"),"")</f>
        <v>oui</v>
      </c>
      <c r="L64" s="106" t="n">
        <f aca="false">IF(AND(ISNUMBER(I64),ISNUMBER(J64)),IF(J64&gt;Hypothèses!$J$26,COUNTIF(Simulation!$BG$16:$BG$1015,"&gt;="&amp;I64*(1-Hypothèses!$J$26/J64))/1000,0),"")</f>
        <v>0.734</v>
      </c>
      <c r="M64" s="123" t="n">
        <f aca="false">2027-2025</f>
        <v>2</v>
      </c>
      <c r="N64" s="124"/>
      <c r="O64" s="124"/>
      <c r="P64" s="124"/>
      <c r="Q64" s="124"/>
      <c r="R64" s="124"/>
      <c r="S64" s="80" t="str">
        <f aca="false">IF(COUNT(N64:R64)=0,"",SUMPRODUCT($N$59:$R$59,N64:R64)/SUMPRODUCT($N$59:$R$59*(N64:R64&lt;&gt;"")))</f>
        <v/>
      </c>
      <c r="T64" s="24" t="s">
        <v>3216</v>
      </c>
    </row>
    <row r="65" customFormat="false" ht="15" hidden="false" customHeight="false" outlineLevel="0" collapsed="false">
      <c r="A65" s="2"/>
      <c r="B65" s="5" t="s">
        <v>3217</v>
      </c>
      <c r="C65" s="5" t="s">
        <v>3218</v>
      </c>
      <c r="D65" s="5" t="s">
        <v>3219</v>
      </c>
      <c r="E65" s="5" t="s">
        <v>3220</v>
      </c>
      <c r="F65" s="121" t="n">
        <v>8</v>
      </c>
      <c r="G65" s="24" t="s">
        <v>1899</v>
      </c>
      <c r="H65" s="24" t="s">
        <v>3221</v>
      </c>
      <c r="I65" s="64" t="n">
        <f aca="false">F65*1000/Cibles!$C$56</f>
        <v>4981.94046581143</v>
      </c>
      <c r="J65" s="122" t="n">
        <f aca="false">Cibles!$C$55</f>
        <v>12.8121516164994</v>
      </c>
      <c r="K65" s="5" t="str">
        <f aca="false">IF(AND(ISNUMBER(I65),ISNUMBER(J65)),IF(I65&lt;=IF(J65&gt;Hypothèses!$J$26,MAX(0,$D$8)/(1-Hypothèses!$J$26/J65),0),"oui","non"),"")</f>
        <v>non</v>
      </c>
      <c r="L65" s="106" t="n">
        <f aca="false">IF(AND(ISNUMBER(I65),ISNUMBER(J65)),IF(J65&gt;Hypothèses!$J$26,COUNTIF(Simulation!$BG$16:$BG$1015,"&gt;="&amp;I65*(1-Hypothèses!$J$26/J65))/1000,0),"")</f>
        <v>0</v>
      </c>
      <c r="M65" s="123" t="n">
        <f aca="false">2027-2025</f>
        <v>2</v>
      </c>
      <c r="N65" s="124"/>
      <c r="O65" s="124"/>
      <c r="P65" s="124"/>
      <c r="Q65" s="124"/>
      <c r="R65" s="124"/>
      <c r="S65" s="80" t="str">
        <f aca="false">IF(COUNT(N65:R65)=0,"",SUMPRODUCT($N$59:$R$59,N65:R65)/SUMPRODUCT($N$59:$R$59*(N65:R65&lt;&gt;"")))</f>
        <v/>
      </c>
      <c r="T65" s="24" t="s">
        <v>3222</v>
      </c>
    </row>
    <row r="66" customFormat="false" ht="15" hidden="false" customHeight="false" outlineLevel="0" collapsed="false">
      <c r="A66" s="2"/>
      <c r="B66" s="5" t="s">
        <v>3223</v>
      </c>
      <c r="C66" s="5" t="s">
        <v>3224</v>
      </c>
      <c r="D66" s="5" t="s">
        <v>3225</v>
      </c>
      <c r="E66" s="5" t="s">
        <v>3226</v>
      </c>
      <c r="F66" s="121" t="n">
        <v>800</v>
      </c>
      <c r="G66" s="24" t="s">
        <v>103</v>
      </c>
      <c r="H66" s="24" t="s">
        <v>3221</v>
      </c>
      <c r="I66" s="64" t="n">
        <f aca="false">F66*1/1</f>
        <v>800</v>
      </c>
      <c r="J66" s="122" t="n">
        <f aca="false">Cibles!$C$55</f>
        <v>12.8121516164994</v>
      </c>
      <c r="K66" s="5" t="str">
        <f aca="false">IF(AND(ISNUMBER(I66),ISNUMBER(J66)),IF(I66&lt;=IF(J66&gt;Hypothèses!$J$26,MAX(0,$D$8)/(1-Hypothèses!$J$26/J66),0),"oui","non"),"")</f>
        <v>oui</v>
      </c>
      <c r="L66" s="106" t="n">
        <f aca="false">IF(AND(ISNUMBER(I66),ISNUMBER(J66)),IF(J66&gt;Hypothèses!$J$26,COUNTIF(Simulation!$BG$16:$BG$1015,"&gt;="&amp;I66*(1-Hypothèses!$J$26/J66))/1000,0),"")</f>
        <v>0.97</v>
      </c>
      <c r="M66" s="123" t="n">
        <f aca="false">2027-2024</f>
        <v>3</v>
      </c>
      <c r="N66" s="124"/>
      <c r="O66" s="124"/>
      <c r="P66" s="124"/>
      <c r="Q66" s="124"/>
      <c r="R66" s="124"/>
      <c r="S66" s="80" t="str">
        <f aca="false">IF(COUNT(N66:R66)=0,"",SUMPRODUCT($N$59:$R$59,N66:R66)/SUMPRODUCT($N$59:$R$59*(N66:R66&lt;&gt;"")))</f>
        <v/>
      </c>
      <c r="T66" s="24" t="s">
        <v>3227</v>
      </c>
    </row>
    <row r="67" customFormat="false" ht="15" hidden="false" customHeight="false" outlineLevel="0" collapsed="false">
      <c r="A67" s="2"/>
      <c r="B67" s="5" t="s">
        <v>3228</v>
      </c>
      <c r="C67" s="5" t="s">
        <v>2482</v>
      </c>
      <c r="D67" s="5" t="s">
        <v>3229</v>
      </c>
      <c r="E67" s="5" t="s">
        <v>3230</v>
      </c>
      <c r="F67" s="107" t="s">
        <v>3211</v>
      </c>
      <c r="G67" s="2"/>
      <c r="H67" s="2"/>
      <c r="I67" s="107" t="s">
        <v>2519</v>
      </c>
      <c r="J67" s="122" t="n">
        <f aca="false">Cibles!$C$55</f>
        <v>12.8121516164994</v>
      </c>
      <c r="K67" s="5" t="str">
        <f aca="false">IF(AND(ISNUMBER(I67),ISNUMBER(J67)),IF(I67&lt;=IF(J67&gt;Hypothèses!$J$26,MAX(0,$D$8)/(1-Hypothèses!$J$26/J67),0),"oui","non"),"")</f>
        <v/>
      </c>
      <c r="L67" s="106" t="str">
        <f aca="false">IF(AND(ISNUMBER(I67),ISNUMBER(J67)),IF(J67&gt;Hypothèses!$J$26,COUNTIF(Simulation!$BG$16:$BG$1015,"&gt;="&amp;I67*(1-Hypothèses!$J$26/J67))/1000,0),"")</f>
        <v/>
      </c>
      <c r="M67" s="123" t="n">
        <f aca="false">2027-2024</f>
        <v>3</v>
      </c>
      <c r="N67" s="124"/>
      <c r="O67" s="124"/>
      <c r="P67" s="124"/>
      <c r="Q67" s="124"/>
      <c r="R67" s="124"/>
      <c r="S67" s="80" t="str">
        <f aca="false">IF(COUNT(N67:R67)=0,"",SUMPRODUCT($N$59:$R$59,N67:R67)/SUMPRODUCT($N$59:$R$59*(N67:R67&lt;&gt;"")))</f>
        <v/>
      </c>
      <c r="T67" s="24" t="s">
        <v>3231</v>
      </c>
    </row>
    <row r="68" customFormat="false" ht="15" hidden="false" customHeight="false" outlineLevel="0" collapsed="false">
      <c r="A68" s="2"/>
      <c r="B68" s="5" t="s">
        <v>3228</v>
      </c>
      <c r="C68" s="5" t="s">
        <v>3232</v>
      </c>
      <c r="D68" s="5" t="s">
        <v>3233</v>
      </c>
      <c r="E68" s="5" t="s">
        <v>3234</v>
      </c>
      <c r="F68" s="107" t="s">
        <v>3211</v>
      </c>
      <c r="G68" s="2"/>
      <c r="H68" s="2"/>
      <c r="I68" s="107" t="s">
        <v>2519</v>
      </c>
      <c r="J68" s="122" t="n">
        <f aca="false">Cibles!$C$55</f>
        <v>12.8121516164994</v>
      </c>
      <c r="K68" s="5" t="str">
        <f aca="false">IF(AND(ISNUMBER(I68),ISNUMBER(J68)),IF(I68&lt;=IF(J68&gt;Hypothèses!$J$26,MAX(0,$D$8)/(1-Hypothèses!$J$26/J68),0),"oui","non"),"")</f>
        <v/>
      </c>
      <c r="L68" s="106" t="str">
        <f aca="false">IF(AND(ISNUMBER(I68),ISNUMBER(J68)),IF(J68&gt;Hypothèses!$J$26,COUNTIF(Simulation!$BG$16:$BG$1015,"&gt;="&amp;I68*(1-Hypothèses!$J$26/J68))/1000,0),"")</f>
        <v/>
      </c>
      <c r="M68" s="123" t="n">
        <f aca="false">2027-2025</f>
        <v>2</v>
      </c>
      <c r="N68" s="124"/>
      <c r="O68" s="124"/>
      <c r="P68" s="124"/>
      <c r="Q68" s="124"/>
      <c r="R68" s="124"/>
      <c r="S68" s="80" t="str">
        <f aca="false">IF(COUNT(N68:R68)=0,"",SUMPRODUCT($N$59:$R$59,N68:R68)/SUMPRODUCT($N$59:$R$59*(N68:R68&lt;&gt;"")))</f>
        <v/>
      </c>
      <c r="T68" s="24" t="s">
        <v>3235</v>
      </c>
    </row>
    <row r="69" customFormat="false" ht="15" hidden="false" customHeight="false" outlineLevel="0" collapsed="false">
      <c r="A69" s="2"/>
      <c r="B69" s="5" t="s">
        <v>3236</v>
      </c>
      <c r="C69" s="5" t="s">
        <v>3237</v>
      </c>
      <c r="D69" s="5" t="s">
        <v>3238</v>
      </c>
      <c r="E69" s="5" t="s">
        <v>3239</v>
      </c>
      <c r="F69" s="107" t="s">
        <v>3211</v>
      </c>
      <c r="G69" s="2"/>
      <c r="H69" s="2"/>
      <c r="I69" s="107" t="s">
        <v>2519</v>
      </c>
      <c r="J69" s="122" t="n">
        <f aca="false">Cibles!$C$55</f>
        <v>12.8121516164994</v>
      </c>
      <c r="K69" s="5" t="str">
        <f aca="false">IF(AND(ISNUMBER(I69),ISNUMBER(J69)),IF(I69&lt;=IF(J69&gt;Hypothèses!$J$26,MAX(0,$D$8)/(1-Hypothèses!$J$26/J69),0),"oui","non"),"")</f>
        <v/>
      </c>
      <c r="L69" s="106" t="str">
        <f aca="false">IF(AND(ISNUMBER(I69),ISNUMBER(J69)),IF(J69&gt;Hypothèses!$J$26,COUNTIF(Simulation!$BG$16:$BG$1015,"&gt;="&amp;I69*(1-Hypothèses!$J$26/J69))/1000,0),"")</f>
        <v/>
      </c>
      <c r="M69" s="123" t="n">
        <f aca="false">2027-2025</f>
        <v>2</v>
      </c>
      <c r="N69" s="124"/>
      <c r="O69" s="124"/>
      <c r="P69" s="124"/>
      <c r="Q69" s="124"/>
      <c r="R69" s="124"/>
      <c r="S69" s="80" t="str">
        <f aca="false">IF(COUNT(N69:R69)=0,"",SUMPRODUCT($N$59:$R$59,N69:R69)/SUMPRODUCT($N$59:$R$59*(N69:R69&lt;&gt;"")))</f>
        <v/>
      </c>
      <c r="T69" s="24" t="s">
        <v>3240</v>
      </c>
    </row>
    <row r="70" customFormat="false" ht="15" hidden="false" customHeight="false" outlineLevel="0" collapsed="false">
      <c r="A70" s="2"/>
      <c r="B70" s="5" t="s">
        <v>3241</v>
      </c>
      <c r="C70" s="5" t="s">
        <v>3242</v>
      </c>
      <c r="D70" s="5" t="s">
        <v>3243</v>
      </c>
      <c r="E70" s="5" t="s">
        <v>3244</v>
      </c>
      <c r="F70" s="107" t="s">
        <v>3211</v>
      </c>
      <c r="G70" s="2"/>
      <c r="H70" s="2"/>
      <c r="I70" s="107" t="s">
        <v>2519</v>
      </c>
      <c r="J70" s="122" t="n">
        <f aca="false">Cibles!$C$55</f>
        <v>12.8121516164994</v>
      </c>
      <c r="K70" s="5" t="str">
        <f aca="false">IF(AND(ISNUMBER(I70),ISNUMBER(J70)),IF(I70&lt;=IF(J70&gt;Hypothèses!$J$26,MAX(0,$D$8)/(1-Hypothèses!$J$26/J70),0),"oui","non"),"")</f>
        <v/>
      </c>
      <c r="L70" s="106" t="str">
        <f aca="false">IF(AND(ISNUMBER(I70),ISNUMBER(J70)),IF(J70&gt;Hypothèses!$J$26,COUNTIF(Simulation!$BG$16:$BG$1015,"&gt;="&amp;I70*(1-Hypothèses!$J$26/J70))/1000,0),"")</f>
        <v/>
      </c>
      <c r="M70" s="2"/>
      <c r="N70" s="124"/>
      <c r="O70" s="124"/>
      <c r="P70" s="124"/>
      <c r="Q70" s="124"/>
      <c r="R70" s="124"/>
      <c r="S70" s="80" t="str">
        <f aca="false">IF(COUNT(N70:R70)=0,"",SUMPRODUCT($N$59:$R$59,N70:R70)/SUMPRODUCT($N$59:$R$59*(N70:R70&lt;&gt;"")))</f>
        <v/>
      </c>
      <c r="T70" s="24" t="s">
        <v>3245</v>
      </c>
    </row>
    <row r="71" customFormat="false" ht="15" hidden="false" customHeight="false" outlineLevel="0" collapsed="false">
      <c r="A71" s="2"/>
      <c r="B71" s="5" t="s">
        <v>3246</v>
      </c>
      <c r="C71" s="5" t="s">
        <v>3247</v>
      </c>
      <c r="D71" s="5" t="s">
        <v>3248</v>
      </c>
      <c r="E71" s="5" t="s">
        <v>3249</v>
      </c>
      <c r="F71" s="107" t="s">
        <v>3211</v>
      </c>
      <c r="G71" s="2"/>
      <c r="H71" s="2"/>
      <c r="I71" s="107" t="s">
        <v>2519</v>
      </c>
      <c r="J71" s="122" t="n">
        <f aca="false">Cibles!$C$55</f>
        <v>12.8121516164994</v>
      </c>
      <c r="K71" s="5" t="str">
        <f aca="false">IF(AND(ISNUMBER(I71),ISNUMBER(J71)),IF(I71&lt;=IF(J71&gt;Hypothèses!$J$26,MAX(0,$D$8)/(1-Hypothèses!$J$26/J71),0),"oui","non"),"")</f>
        <v/>
      </c>
      <c r="L71" s="106" t="str">
        <f aca="false">IF(AND(ISNUMBER(I71),ISNUMBER(J71)),IF(J71&gt;Hypothèses!$J$26,COUNTIF(Simulation!$BG$16:$BG$1015,"&gt;="&amp;I71*(1-Hypothèses!$J$26/J71))/1000,0),"")</f>
        <v/>
      </c>
      <c r="M71" s="2"/>
      <c r="N71" s="124"/>
      <c r="O71" s="124"/>
      <c r="P71" s="124"/>
      <c r="Q71" s="124"/>
      <c r="R71" s="124"/>
      <c r="S71" s="80" t="str">
        <f aca="false">IF(COUNT(N71:R71)=0,"",SUMPRODUCT($N$59:$R$59,N71:R71)/SUMPRODUCT($N$59:$R$59*(N71:R71&lt;&gt;"")))</f>
        <v/>
      </c>
      <c r="T71" s="24" t="s">
        <v>3250</v>
      </c>
    </row>
    <row r="72" customFormat="false" ht="15" hidden="false" customHeight="false" outlineLevel="0" collapsed="false">
      <c r="A72" s="2"/>
      <c r="B72" s="5" t="s">
        <v>3251</v>
      </c>
      <c r="C72" s="5" t="s">
        <v>3252</v>
      </c>
      <c r="D72" s="5" t="s">
        <v>3253</v>
      </c>
      <c r="E72" s="5" t="s">
        <v>3254</v>
      </c>
      <c r="F72" s="107" t="s">
        <v>3211</v>
      </c>
      <c r="G72" s="2"/>
      <c r="H72" s="2"/>
      <c r="I72" s="107" t="s">
        <v>2519</v>
      </c>
      <c r="J72" s="122" t="n">
        <f aca="false">Cibles!$C$55</f>
        <v>12.8121516164994</v>
      </c>
      <c r="K72" s="5" t="str">
        <f aca="false">IF(AND(ISNUMBER(I72),ISNUMBER(J72)),IF(I72&lt;=IF(J72&gt;Hypothèses!$J$26,MAX(0,$D$8)/(1-Hypothèses!$J$26/J72),0),"oui","non"),"")</f>
        <v/>
      </c>
      <c r="L72" s="106" t="str">
        <f aca="false">IF(AND(ISNUMBER(I72),ISNUMBER(J72)),IF(J72&gt;Hypothèses!$J$26,COUNTIF(Simulation!$BG$16:$BG$1015,"&gt;="&amp;I72*(1-Hypothèses!$J$26/J72))/1000,0),"")</f>
        <v/>
      </c>
      <c r="M72" s="2"/>
      <c r="N72" s="124"/>
      <c r="O72" s="124"/>
      <c r="P72" s="124"/>
      <c r="Q72" s="124"/>
      <c r="R72" s="124"/>
      <c r="S72" s="80" t="str">
        <f aca="false">IF(COUNT(N72:R72)=0,"",SUMPRODUCT($N$59:$R$59,N72:R72)/SUMPRODUCT($N$59:$R$59*(N72:R72&lt;&gt;"")))</f>
        <v/>
      </c>
      <c r="T72" s="24" t="s">
        <v>3255</v>
      </c>
    </row>
    <row r="73" customFormat="false" ht="15" hidden="false" customHeight="false" outlineLevel="0" collapsed="false">
      <c r="A73" s="2"/>
      <c r="B73" s="5" t="s">
        <v>3256</v>
      </c>
      <c r="C73" s="5" t="s">
        <v>3257</v>
      </c>
      <c r="D73" s="5" t="s">
        <v>3258</v>
      </c>
      <c r="E73" s="5" t="s">
        <v>3259</v>
      </c>
      <c r="F73" s="107" t="s">
        <v>3211</v>
      </c>
      <c r="G73" s="2"/>
      <c r="H73" s="2"/>
      <c r="I73" s="107" t="s">
        <v>2519</v>
      </c>
      <c r="J73" s="122" t="n">
        <f aca="false">Cibles!$C$55</f>
        <v>12.8121516164994</v>
      </c>
      <c r="K73" s="5" t="str">
        <f aca="false">IF(AND(ISNUMBER(I73),ISNUMBER(J73)),IF(I73&lt;=IF(J73&gt;Hypothèses!$J$26,MAX(0,$D$8)/(1-Hypothèses!$J$26/J73),0),"oui","non"),"")</f>
        <v/>
      </c>
      <c r="L73" s="106" t="str">
        <f aca="false">IF(AND(ISNUMBER(I73),ISNUMBER(J73)),IF(J73&gt;Hypothèses!$J$26,COUNTIF(Simulation!$BG$16:$BG$1015,"&gt;="&amp;I73*(1-Hypothèses!$J$26/J73))/1000,0),"")</f>
        <v/>
      </c>
      <c r="M73" s="2"/>
      <c r="N73" s="124"/>
      <c r="O73" s="124"/>
      <c r="P73" s="124"/>
      <c r="Q73" s="124"/>
      <c r="R73" s="124"/>
      <c r="S73" s="80" t="str">
        <f aca="false">IF(COUNT(N73:R73)=0,"",SUMPRODUCT($N$59:$R$59,N73:R73)/SUMPRODUCT($N$59:$R$59*(N73:R73&lt;&gt;"")))</f>
        <v/>
      </c>
      <c r="T73" s="24" t="s">
        <v>3260</v>
      </c>
    </row>
    <row r="74" customFormat="false" ht="15" hidden="false" customHeight="false" outlineLevel="0" collapsed="false">
      <c r="A74" s="2"/>
      <c r="B74" s="5" t="s">
        <v>3261</v>
      </c>
      <c r="C74" s="5" t="s">
        <v>3262</v>
      </c>
      <c r="D74" s="5" t="s">
        <v>3263</v>
      </c>
      <c r="E74" s="5" t="s">
        <v>3264</v>
      </c>
      <c r="F74" s="107" t="s">
        <v>3211</v>
      </c>
      <c r="G74" s="2"/>
      <c r="H74" s="2"/>
      <c r="I74" s="107" t="s">
        <v>2519</v>
      </c>
      <c r="J74" s="122" t="n">
        <f aca="false">Cibles!$C$55</f>
        <v>12.8121516164994</v>
      </c>
      <c r="K74" s="5" t="str">
        <f aca="false">IF(AND(ISNUMBER(I74),ISNUMBER(J74)),IF(I74&lt;=IF(J74&gt;Hypothèses!$J$26,MAX(0,$D$8)/(1-Hypothèses!$J$26/J74),0),"oui","non"),"")</f>
        <v/>
      </c>
      <c r="L74" s="106" t="str">
        <f aca="false">IF(AND(ISNUMBER(I74),ISNUMBER(J74)),IF(J74&gt;Hypothèses!$J$26,COUNTIF(Simulation!$BG$16:$BG$1015,"&gt;="&amp;I74*(1-Hypothèses!$J$26/J74))/1000,0),"")</f>
        <v/>
      </c>
      <c r="M74" s="2"/>
      <c r="N74" s="124"/>
      <c r="O74" s="124"/>
      <c r="P74" s="124"/>
      <c r="Q74" s="124"/>
      <c r="R74" s="124"/>
      <c r="S74" s="80" t="str">
        <f aca="false">IF(COUNT(N74:R74)=0,"",SUMPRODUCT($N$59:$R$59,N74:R74)/SUMPRODUCT($N$59:$R$59*(N74:R74&lt;&gt;"")))</f>
        <v/>
      </c>
      <c r="T74" s="24" t="s">
        <v>3265</v>
      </c>
    </row>
    <row r="75" customFormat="false" ht="15" hidden="false" customHeight="false" outlineLevel="0" collapsed="false">
      <c r="A75" s="2"/>
      <c r="B75" s="5" t="s">
        <v>3266</v>
      </c>
      <c r="C75" s="5" t="s">
        <v>3247</v>
      </c>
      <c r="D75" s="5" t="s">
        <v>3267</v>
      </c>
      <c r="E75" s="5" t="s">
        <v>3268</v>
      </c>
      <c r="F75" s="107" t="s">
        <v>3211</v>
      </c>
      <c r="G75" s="2"/>
      <c r="H75" s="2"/>
      <c r="I75" s="107" t="s">
        <v>2519</v>
      </c>
      <c r="J75" s="122" t="n">
        <f aca="false">Cibles!$C$55</f>
        <v>12.8121516164994</v>
      </c>
      <c r="K75" s="5" t="str">
        <f aca="false">IF(AND(ISNUMBER(I75),ISNUMBER(J75)),IF(I75&lt;=IF(J75&gt;Hypothèses!$J$26,MAX(0,$D$8)/(1-Hypothèses!$J$26/J75),0),"oui","non"),"")</f>
        <v/>
      </c>
      <c r="L75" s="106" t="str">
        <f aca="false">IF(AND(ISNUMBER(I75),ISNUMBER(J75)),IF(J75&gt;Hypothèses!$J$26,COUNTIF(Simulation!$BG$16:$BG$1015,"&gt;="&amp;I75*(1-Hypothèses!$J$26/J75))/1000,0),"")</f>
        <v/>
      </c>
      <c r="M75" s="2"/>
      <c r="N75" s="124"/>
      <c r="O75" s="124"/>
      <c r="P75" s="124"/>
      <c r="Q75" s="124"/>
      <c r="R75" s="124"/>
      <c r="S75" s="80" t="str">
        <f aca="false">IF(COUNT(N75:R75)=0,"",SUMPRODUCT($N$59:$R$59,N75:R75)/SUMPRODUCT($N$59:$R$59*(N75:R75&lt;&gt;"")))</f>
        <v/>
      </c>
      <c r="T75" s="24" t="s">
        <v>3269</v>
      </c>
    </row>
    <row r="76" customFormat="false" ht="15" hidden="false" customHeight="false" outlineLevel="0" collapsed="false">
      <c r="A76" s="2"/>
      <c r="B76" s="5" t="s">
        <v>3270</v>
      </c>
      <c r="C76" s="5" t="s">
        <v>3271</v>
      </c>
      <c r="D76" s="5" t="s">
        <v>3272</v>
      </c>
      <c r="E76" s="5" t="s">
        <v>3273</v>
      </c>
      <c r="F76" s="107" t="s">
        <v>3211</v>
      </c>
      <c r="G76" s="2"/>
      <c r="H76" s="2"/>
      <c r="I76" s="107" t="s">
        <v>2519</v>
      </c>
      <c r="J76" s="122" t="n">
        <f aca="false">Cibles!$C$55</f>
        <v>12.8121516164994</v>
      </c>
      <c r="K76" s="5" t="str">
        <f aca="false">IF(AND(ISNUMBER(I76),ISNUMBER(J76)),IF(I76&lt;=IF(J76&gt;Hypothèses!$J$26,MAX(0,$D$8)/(1-Hypothèses!$J$26/J76),0),"oui","non"),"")</f>
        <v/>
      </c>
      <c r="L76" s="106" t="str">
        <f aca="false">IF(AND(ISNUMBER(I76),ISNUMBER(J76)),IF(J76&gt;Hypothèses!$J$26,COUNTIF(Simulation!$BG$16:$BG$1015,"&gt;="&amp;I76*(1-Hypothèses!$J$26/J76))/1000,0),"")</f>
        <v/>
      </c>
      <c r="M76" s="2"/>
      <c r="N76" s="124"/>
      <c r="O76" s="124"/>
      <c r="P76" s="124"/>
      <c r="Q76" s="124"/>
      <c r="R76" s="124"/>
      <c r="S76" s="80" t="str">
        <f aca="false">IF(COUNT(N76:R76)=0,"",SUMPRODUCT($N$59:$R$59,N76:R76)/SUMPRODUCT($N$59:$R$59*(N76:R76&lt;&gt;"")))</f>
        <v/>
      </c>
      <c r="T76" s="24" t="s">
        <v>3274</v>
      </c>
    </row>
    <row r="77" customFormat="false" ht="15" hidden="false" customHeight="false" outlineLevel="0" collapsed="false">
      <c r="A77" s="2"/>
      <c r="B77" s="5" t="s">
        <v>3275</v>
      </c>
      <c r="C77" s="5" t="s">
        <v>3276</v>
      </c>
      <c r="D77" s="5" t="s">
        <v>3277</v>
      </c>
      <c r="E77" s="5" t="s">
        <v>3278</v>
      </c>
      <c r="F77" s="107" t="s">
        <v>3211</v>
      </c>
      <c r="G77" s="2"/>
      <c r="H77" s="2"/>
      <c r="I77" s="107" t="s">
        <v>2519</v>
      </c>
      <c r="J77" s="122" t="n">
        <f aca="false">Cibles!$C$55</f>
        <v>12.8121516164994</v>
      </c>
      <c r="K77" s="5" t="str">
        <f aca="false">IF(AND(ISNUMBER(I77),ISNUMBER(J77)),IF(I77&lt;=IF(J77&gt;Hypothèses!$J$26,MAX(0,$D$8)/(1-Hypothèses!$J$26/J77),0),"oui","non"),"")</f>
        <v/>
      </c>
      <c r="L77" s="106" t="str">
        <f aca="false">IF(AND(ISNUMBER(I77),ISNUMBER(J77)),IF(J77&gt;Hypothèses!$J$26,COUNTIF(Simulation!$BG$16:$BG$1015,"&gt;="&amp;I77*(1-Hypothèses!$J$26/J77))/1000,0),"")</f>
        <v/>
      </c>
      <c r="M77" s="2"/>
      <c r="N77" s="124"/>
      <c r="O77" s="124"/>
      <c r="P77" s="124"/>
      <c r="Q77" s="124"/>
      <c r="R77" s="124"/>
      <c r="S77" s="80" t="str">
        <f aca="false">IF(COUNT(N77:R77)=0,"",SUMPRODUCT($N$59:$R$59,N77:R77)/SUMPRODUCT($N$59:$R$59*(N77:R77&lt;&gt;"")))</f>
        <v/>
      </c>
      <c r="T77" s="24" t="s">
        <v>3279</v>
      </c>
    </row>
    <row r="78" customFormat="false" ht="15" hidden="false" customHeight="false" outlineLevel="0" collapsed="false">
      <c r="A78" s="2"/>
      <c r="B78" s="5" t="s">
        <v>3280</v>
      </c>
      <c r="C78" s="5" t="s">
        <v>2486</v>
      </c>
      <c r="D78" s="5" t="s">
        <v>3281</v>
      </c>
      <c r="E78" s="5" t="s">
        <v>3282</v>
      </c>
      <c r="F78" s="107" t="s">
        <v>3211</v>
      </c>
      <c r="G78" s="2"/>
      <c r="H78" s="2"/>
      <c r="I78" s="107" t="s">
        <v>2519</v>
      </c>
      <c r="J78" s="122" t="n">
        <f aca="false">Cibles!$C$55</f>
        <v>12.8121516164994</v>
      </c>
      <c r="K78" s="5" t="str">
        <f aca="false">IF(AND(ISNUMBER(I78),ISNUMBER(J78)),IF(I78&lt;=IF(J78&gt;Hypothèses!$J$26,MAX(0,$D$8)/(1-Hypothèses!$J$26/J78),0),"oui","non"),"")</f>
        <v/>
      </c>
      <c r="L78" s="106" t="str">
        <f aca="false">IF(AND(ISNUMBER(I78),ISNUMBER(J78)),IF(J78&gt;Hypothèses!$J$26,COUNTIF(Simulation!$BG$16:$BG$1015,"&gt;="&amp;I78*(1-Hypothèses!$J$26/J78))/1000,0),"")</f>
        <v/>
      </c>
      <c r="M78" s="123" t="n">
        <f aca="false">2027-2021</f>
        <v>6</v>
      </c>
      <c r="N78" s="124"/>
      <c r="O78" s="124"/>
      <c r="P78" s="124"/>
      <c r="Q78" s="124"/>
      <c r="R78" s="124"/>
      <c r="S78" s="80" t="str">
        <f aca="false">IF(COUNT(N78:R78)=0,"",SUMPRODUCT($N$59:$R$59,N78:R78)/SUMPRODUCT($N$59:$R$59*(N78:R78&lt;&gt;"")))</f>
        <v/>
      </c>
      <c r="T78" s="24" t="s">
        <v>3283</v>
      </c>
    </row>
    <row r="79" customFormat="false" ht="15" hidden="false" customHeight="false" outlineLevel="0" collapsed="false">
      <c r="A79" s="2"/>
      <c r="B79" s="5" t="s">
        <v>3284</v>
      </c>
      <c r="C79" s="5" t="s">
        <v>3285</v>
      </c>
      <c r="D79" s="5" t="s">
        <v>3286</v>
      </c>
      <c r="E79" s="5" t="s">
        <v>3287</v>
      </c>
      <c r="F79" s="107" t="s">
        <v>3211</v>
      </c>
      <c r="G79" s="2"/>
      <c r="H79" s="2"/>
      <c r="I79" s="107" t="s">
        <v>2519</v>
      </c>
      <c r="J79" s="122" t="n">
        <f aca="false">Cibles!$C$55</f>
        <v>12.8121516164994</v>
      </c>
      <c r="K79" s="5" t="str">
        <f aca="false">IF(AND(ISNUMBER(I79),ISNUMBER(J79)),IF(I79&lt;=IF(J79&gt;Hypothèses!$J$26,MAX(0,$D$8)/(1-Hypothèses!$J$26/J79),0),"oui","non"),"")</f>
        <v/>
      </c>
      <c r="L79" s="106" t="str">
        <f aca="false">IF(AND(ISNUMBER(I79),ISNUMBER(J79)),IF(J79&gt;Hypothèses!$J$26,COUNTIF(Simulation!$BG$16:$BG$1015,"&gt;="&amp;I79*(1-Hypothèses!$J$26/J79))/1000,0),"")</f>
        <v/>
      </c>
      <c r="M79" s="123" t="n">
        <f aca="false">2027-2023</f>
        <v>4</v>
      </c>
      <c r="N79" s="124"/>
      <c r="O79" s="124"/>
      <c r="P79" s="124"/>
      <c r="Q79" s="124"/>
      <c r="R79" s="124"/>
      <c r="S79" s="80" t="str">
        <f aca="false">IF(COUNT(N79:R79)=0,"",SUMPRODUCT($N$59:$R$59,N79:R79)/SUMPRODUCT($N$59:$R$59*(N79:R79&lt;&gt;"")))</f>
        <v/>
      </c>
      <c r="T79" s="24" t="s">
        <v>3288</v>
      </c>
    </row>
    <row r="80" customFormat="false" ht="15" hidden="false" customHeight="false" outlineLevel="0" collapsed="false">
      <c r="A80" s="2"/>
      <c r="B80" s="5" t="s">
        <v>3289</v>
      </c>
      <c r="C80" s="5" t="s">
        <v>3290</v>
      </c>
      <c r="D80" s="5" t="s">
        <v>3291</v>
      </c>
      <c r="E80" s="5" t="s">
        <v>3292</v>
      </c>
      <c r="F80" s="107" t="s">
        <v>3211</v>
      </c>
      <c r="G80" s="2"/>
      <c r="H80" s="2"/>
      <c r="I80" s="107" t="s">
        <v>2519</v>
      </c>
      <c r="J80" s="122" t="n">
        <f aca="false">Cibles!$C$55</f>
        <v>12.8121516164994</v>
      </c>
      <c r="K80" s="5" t="str">
        <f aca="false">IF(AND(ISNUMBER(I80),ISNUMBER(J80)),IF(I80&lt;=IF(J80&gt;Hypothèses!$J$26,MAX(0,$D$8)/(1-Hypothèses!$J$26/J80),0),"oui","non"),"")</f>
        <v/>
      </c>
      <c r="L80" s="106" t="str">
        <f aca="false">IF(AND(ISNUMBER(I80),ISNUMBER(J80)),IF(J80&gt;Hypothèses!$J$26,COUNTIF(Simulation!$BG$16:$BG$1015,"&gt;="&amp;I80*(1-Hypothèses!$J$26/J80))/1000,0),"")</f>
        <v/>
      </c>
      <c r="M80" s="123" t="n">
        <f aca="false">2027-2013</f>
        <v>14</v>
      </c>
      <c r="N80" s="124"/>
      <c r="O80" s="124"/>
      <c r="P80" s="124"/>
      <c r="Q80" s="124"/>
      <c r="R80" s="124"/>
      <c r="S80" s="80" t="str">
        <f aca="false">IF(COUNT(N80:R80)=0,"",SUMPRODUCT($N$59:$R$59,N80:R80)/SUMPRODUCT($N$59:$R$59*(N80:R80&lt;&gt;"")))</f>
        <v/>
      </c>
      <c r="T80" s="24" t="s">
        <v>3293</v>
      </c>
    </row>
    <row r="81" customFormat="false" ht="15" hidden="false" customHeight="false" outlineLevel="0" collapsed="false">
      <c r="A81" s="2"/>
      <c r="B81" s="5" t="s">
        <v>3294</v>
      </c>
      <c r="C81" s="5" t="s">
        <v>3295</v>
      </c>
      <c r="D81" s="5" t="s">
        <v>3296</v>
      </c>
      <c r="E81" s="5" t="s">
        <v>3297</v>
      </c>
      <c r="F81" s="107" t="s">
        <v>3211</v>
      </c>
      <c r="G81" s="2"/>
      <c r="H81" s="2"/>
      <c r="I81" s="107" t="s">
        <v>2519</v>
      </c>
      <c r="J81" s="122" t="n">
        <f aca="false">Cibles!$C$55</f>
        <v>12.8121516164994</v>
      </c>
      <c r="K81" s="5" t="str">
        <f aca="false">IF(AND(ISNUMBER(I81),ISNUMBER(J81)),IF(I81&lt;=IF(J81&gt;Hypothèses!$J$26,MAX(0,$D$8)/(1-Hypothèses!$J$26/J81),0),"oui","non"),"")</f>
        <v/>
      </c>
      <c r="L81" s="106" t="str">
        <f aca="false">IF(AND(ISNUMBER(I81),ISNUMBER(J81)),IF(J81&gt;Hypothèses!$J$26,COUNTIF(Simulation!$BG$16:$BG$1015,"&gt;="&amp;I81*(1-Hypothèses!$J$26/J81))/1000,0),"")</f>
        <v/>
      </c>
      <c r="M81" s="2"/>
      <c r="N81" s="124"/>
      <c r="O81" s="124"/>
      <c r="P81" s="124"/>
      <c r="Q81" s="124"/>
      <c r="R81" s="124"/>
      <c r="S81" s="80" t="str">
        <f aca="false">IF(COUNT(N81:R81)=0,"",SUMPRODUCT($N$59:$R$59,N81:R81)/SUMPRODUCT($N$59:$R$59*(N81:R81&lt;&gt;"")))</f>
        <v/>
      </c>
      <c r="T81" s="24" t="s">
        <v>3298</v>
      </c>
    </row>
    <row r="82" customFormat="false" ht="15" hidden="false" customHeight="false" outlineLevel="0" collapsed="false">
      <c r="A82" s="2"/>
      <c r="B82" s="5" t="s">
        <v>3299</v>
      </c>
      <c r="C82" s="5" t="s">
        <v>2481</v>
      </c>
      <c r="D82" s="5" t="s">
        <v>3300</v>
      </c>
      <c r="E82" s="5" t="s">
        <v>3301</v>
      </c>
      <c r="F82" s="107" t="s">
        <v>3211</v>
      </c>
      <c r="G82" s="2"/>
      <c r="H82" s="2"/>
      <c r="I82" s="107" t="s">
        <v>2519</v>
      </c>
      <c r="J82" s="122" t="n">
        <f aca="false">Cibles!$C$55</f>
        <v>12.8121516164994</v>
      </c>
      <c r="K82" s="5" t="str">
        <f aca="false">IF(AND(ISNUMBER(I82),ISNUMBER(J82)),IF(I82&lt;=IF(J82&gt;Hypothèses!$J$26,MAX(0,$D$8)/(1-Hypothèses!$J$26/J82),0),"oui","non"),"")</f>
        <v/>
      </c>
      <c r="L82" s="106" t="str">
        <f aca="false">IF(AND(ISNUMBER(I82),ISNUMBER(J82)),IF(J82&gt;Hypothèses!$J$26,COUNTIF(Simulation!$BG$16:$BG$1015,"&gt;="&amp;I82*(1-Hypothèses!$J$26/J82))/1000,0),"")</f>
        <v/>
      </c>
      <c r="M82" s="123" t="n">
        <f aca="false">2027-2022</f>
        <v>5</v>
      </c>
      <c r="N82" s="124"/>
      <c r="O82" s="124"/>
      <c r="P82" s="124"/>
      <c r="Q82" s="124"/>
      <c r="R82" s="124"/>
      <c r="S82" s="80" t="str">
        <f aca="false">IF(COUNT(N82:R82)=0,"",SUMPRODUCT($N$59:$R$59,N82:R82)/SUMPRODUCT($N$59:$R$59*(N82:R82&lt;&gt;"")))</f>
        <v/>
      </c>
      <c r="T82" s="24" t="s">
        <v>3302</v>
      </c>
    </row>
    <row r="83" customFormat="false" ht="15" hidden="false" customHeight="false" outlineLevel="0" collapsed="false">
      <c r="A83" s="2"/>
      <c r="B83" s="5" t="s">
        <v>3303</v>
      </c>
      <c r="C83" s="5" t="s">
        <v>3304</v>
      </c>
      <c r="D83" s="5" t="s">
        <v>3305</v>
      </c>
      <c r="E83" s="5" t="s">
        <v>3306</v>
      </c>
      <c r="F83" s="107" t="s">
        <v>3211</v>
      </c>
      <c r="G83" s="2"/>
      <c r="H83" s="2"/>
      <c r="I83" s="107" t="s">
        <v>2519</v>
      </c>
      <c r="J83" s="122" t="n">
        <f aca="false">Cibles!$C$55</f>
        <v>12.8121516164994</v>
      </c>
      <c r="K83" s="5" t="str">
        <f aca="false">IF(AND(ISNUMBER(I83),ISNUMBER(J83)),IF(I83&lt;=IF(J83&gt;Hypothèses!$J$26,MAX(0,$D$8)/(1-Hypothèses!$J$26/J83),0),"oui","non"),"")</f>
        <v/>
      </c>
      <c r="L83" s="106" t="str">
        <f aca="false">IF(AND(ISNUMBER(I83),ISNUMBER(J83)),IF(J83&gt;Hypothèses!$J$26,COUNTIF(Simulation!$BG$16:$BG$1015,"&gt;="&amp;I83*(1-Hypothèses!$J$26/J83))/1000,0),"")</f>
        <v/>
      </c>
      <c r="M83" s="2"/>
      <c r="N83" s="124"/>
      <c r="O83" s="124"/>
      <c r="P83" s="124"/>
      <c r="Q83" s="124"/>
      <c r="R83" s="124"/>
      <c r="S83" s="80" t="str">
        <f aca="false">IF(COUNT(N83:R83)=0,"",SUMPRODUCT($N$59:$R$59,N83:R83)/SUMPRODUCT($N$59:$R$59*(N83:R83&lt;&gt;"")))</f>
        <v/>
      </c>
      <c r="T83" s="24" t="s">
        <v>3307</v>
      </c>
    </row>
    <row r="84" customFormat="false" ht="15" hidden="false" customHeight="false" outlineLevel="0" collapsed="false">
      <c r="A84" s="2"/>
      <c r="B84" s="5" t="s">
        <v>3308</v>
      </c>
      <c r="C84" s="5" t="s">
        <v>3309</v>
      </c>
      <c r="D84" s="5" t="s">
        <v>3310</v>
      </c>
      <c r="E84" s="5" t="s">
        <v>3311</v>
      </c>
      <c r="F84" s="107" t="s">
        <v>3211</v>
      </c>
      <c r="G84" s="2"/>
      <c r="H84" s="2"/>
      <c r="I84" s="107" t="s">
        <v>2519</v>
      </c>
      <c r="J84" s="122" t="n">
        <f aca="false">Cibles!$C$55</f>
        <v>12.8121516164994</v>
      </c>
      <c r="K84" s="5" t="str">
        <f aca="false">IF(AND(ISNUMBER(I84),ISNUMBER(J84)),IF(I84&lt;=IF(J84&gt;Hypothèses!$J$26,MAX(0,$D$8)/(1-Hypothèses!$J$26/J84),0),"oui","non"),"")</f>
        <v/>
      </c>
      <c r="L84" s="106" t="str">
        <f aca="false">IF(AND(ISNUMBER(I84),ISNUMBER(J84)),IF(J84&gt;Hypothèses!$J$26,COUNTIF(Simulation!$BG$16:$BG$1015,"&gt;="&amp;I84*(1-Hypothèses!$J$26/J84))/1000,0),"")</f>
        <v/>
      </c>
      <c r="M84" s="123" t="n">
        <f aca="false">2027-2020</f>
        <v>7</v>
      </c>
      <c r="N84" s="124"/>
      <c r="O84" s="124"/>
      <c r="P84" s="124"/>
      <c r="Q84" s="124"/>
      <c r="R84" s="124"/>
      <c r="S84" s="80" t="str">
        <f aca="false">IF(COUNT(N84:R84)=0,"",SUMPRODUCT($N$59:$R$59,N84:R84)/SUMPRODUCT($N$59:$R$59*(N84:R84&lt;&gt;"")))</f>
        <v/>
      </c>
      <c r="T84" s="24" t="s">
        <v>3312</v>
      </c>
    </row>
    <row r="85" customFormat="false" ht="15" hidden="false" customHeight="false" outlineLevel="0" collapsed="false">
      <c r="A85" s="2"/>
      <c r="B85" s="5" t="s">
        <v>3313</v>
      </c>
      <c r="C85" s="5" t="s">
        <v>3314</v>
      </c>
      <c r="D85" s="5" t="s">
        <v>3315</v>
      </c>
      <c r="E85" s="5"/>
      <c r="F85" s="107" t="s">
        <v>3211</v>
      </c>
      <c r="G85" s="2"/>
      <c r="H85" s="2"/>
      <c r="I85" s="107" t="s">
        <v>2519</v>
      </c>
      <c r="J85" s="122" t="n">
        <f aca="false">Cibles!$C$55</f>
        <v>12.8121516164994</v>
      </c>
      <c r="K85" s="5" t="str">
        <f aca="false">IF(AND(ISNUMBER(I85),ISNUMBER(J85)),IF(I85&lt;=IF(J85&gt;Hypothèses!$J$26,MAX(0,$D$8)/(1-Hypothèses!$J$26/J85),0),"oui","non"),"")</f>
        <v/>
      </c>
      <c r="L85" s="106" t="str">
        <f aca="false">IF(AND(ISNUMBER(I85),ISNUMBER(J85)),IF(J85&gt;Hypothèses!$J$26,COUNTIF(Simulation!$BG$16:$BG$1015,"&gt;="&amp;I85*(1-Hypothèses!$J$26/J85))/1000,0),"")</f>
        <v/>
      </c>
      <c r="M85" s="2"/>
      <c r="N85" s="124"/>
      <c r="O85" s="124"/>
      <c r="P85" s="124"/>
      <c r="Q85" s="124"/>
      <c r="R85" s="124"/>
      <c r="S85" s="80" t="str">
        <f aca="false">IF(COUNT(N85:R85)=0,"",SUMPRODUCT($N$59:$R$59,N85:R85)/SUMPRODUCT($N$59:$R$59*(N85:R85&lt;&gt;"")))</f>
        <v/>
      </c>
      <c r="T85" s="24" t="s">
        <v>3316</v>
      </c>
    </row>
    <row r="86" customFormat="false" ht="15" hidden="false" customHeight="false" outlineLevel="0" collapsed="false">
      <c r="A86" s="2"/>
      <c r="B86" s="5" t="s">
        <v>3317</v>
      </c>
      <c r="C86" s="5" t="s">
        <v>3318</v>
      </c>
      <c r="D86" s="5" t="s">
        <v>3319</v>
      </c>
      <c r="E86" s="5" t="s">
        <v>3320</v>
      </c>
      <c r="F86" s="107" t="s">
        <v>3211</v>
      </c>
      <c r="G86" s="2"/>
      <c r="H86" s="2"/>
      <c r="I86" s="107" t="s">
        <v>2519</v>
      </c>
      <c r="J86" s="122" t="n">
        <f aca="false">Cibles!$C$55</f>
        <v>12.8121516164994</v>
      </c>
      <c r="K86" s="5" t="str">
        <f aca="false">IF(AND(ISNUMBER(I86),ISNUMBER(J86)),IF(I86&lt;=IF(J86&gt;Hypothèses!$J$26,MAX(0,$D$8)/(1-Hypothèses!$J$26/J86),0),"oui","non"),"")</f>
        <v/>
      </c>
      <c r="L86" s="106" t="str">
        <f aca="false">IF(AND(ISNUMBER(I86),ISNUMBER(J86)),IF(J86&gt;Hypothèses!$J$26,COUNTIF(Simulation!$BG$16:$BG$1015,"&gt;="&amp;I86*(1-Hypothèses!$J$26/J86))/1000,0),"")</f>
        <v/>
      </c>
      <c r="M86" s="2"/>
      <c r="N86" s="124"/>
      <c r="O86" s="124"/>
      <c r="P86" s="124"/>
      <c r="Q86" s="124"/>
      <c r="R86" s="124"/>
      <c r="S86" s="80" t="str">
        <f aca="false">IF(COUNT(N86:R86)=0,"",SUMPRODUCT($N$59:$R$59,N86:R86)/SUMPRODUCT($N$59:$R$59*(N86:R86&lt;&gt;"")))</f>
        <v/>
      </c>
      <c r="T86" s="24" t="s">
        <v>3321</v>
      </c>
    </row>
    <row r="87" customFormat="false" ht="15" hidden="false" customHeight="false" outlineLevel="0" collapsed="false">
      <c r="A87" s="2"/>
      <c r="B87" s="5" t="s">
        <v>3322</v>
      </c>
      <c r="C87" s="5" t="s">
        <v>3323</v>
      </c>
      <c r="D87" s="5" t="s">
        <v>3324</v>
      </c>
      <c r="E87" s="5" t="s">
        <v>3325</v>
      </c>
      <c r="F87" s="107" t="s">
        <v>3211</v>
      </c>
      <c r="G87" s="2"/>
      <c r="H87" s="2"/>
      <c r="I87" s="107" t="s">
        <v>2519</v>
      </c>
      <c r="J87" s="122" t="n">
        <f aca="false">Cibles!$C$55</f>
        <v>12.8121516164994</v>
      </c>
      <c r="K87" s="5" t="str">
        <f aca="false">IF(AND(ISNUMBER(I87),ISNUMBER(J87)),IF(I87&lt;=IF(J87&gt;Hypothèses!$J$26,MAX(0,$D$8)/(1-Hypothèses!$J$26/J87),0),"oui","non"),"")</f>
        <v/>
      </c>
      <c r="L87" s="106" t="str">
        <f aca="false">IF(AND(ISNUMBER(I87),ISNUMBER(J87)),IF(J87&gt;Hypothèses!$J$26,COUNTIF(Simulation!$BG$16:$BG$1015,"&gt;="&amp;I87*(1-Hypothèses!$J$26/J87))/1000,0),"")</f>
        <v/>
      </c>
      <c r="M87" s="2"/>
      <c r="N87" s="124"/>
      <c r="O87" s="124"/>
      <c r="P87" s="124"/>
      <c r="Q87" s="124"/>
      <c r="R87" s="124"/>
      <c r="S87" s="80" t="str">
        <f aca="false">IF(COUNT(N87:R87)=0,"",SUMPRODUCT($N$59:$R$59,N87:R87)/SUMPRODUCT($N$59:$R$59*(N87:R87&lt;&gt;"")))</f>
        <v/>
      </c>
      <c r="T87" s="24" t="s">
        <v>3326</v>
      </c>
    </row>
    <row r="88" customFormat="false" ht="15" hidden="false" customHeight="false" outlineLevel="0" collapsed="false">
      <c r="A88" s="2"/>
      <c r="B88" s="2"/>
      <c r="C88" s="2"/>
      <c r="D88" s="2"/>
      <c r="E88" s="2"/>
      <c r="F88" s="2"/>
      <c r="G88" s="2"/>
      <c r="H88" s="2"/>
      <c r="I88" s="2"/>
      <c r="J88" s="2"/>
      <c r="K88" s="2"/>
      <c r="L88" s="2"/>
      <c r="M88" s="2"/>
      <c r="N88" s="2"/>
      <c r="O88" s="2"/>
      <c r="P88" s="2"/>
      <c r="Q88" s="2"/>
      <c r="R88" s="2"/>
      <c r="S88" s="2"/>
      <c r="T88" s="2"/>
    </row>
    <row r="89" customFormat="false" ht="15" hidden="false" customHeight="false" outlineLevel="0" collapsed="false">
      <c r="A89" s="2"/>
      <c r="B89" s="5" t="s">
        <v>3327</v>
      </c>
      <c r="C89" s="83" t="n">
        <f aca="false">COUNTA(B62:B87)</f>
        <v>26</v>
      </c>
      <c r="D89" s="24"/>
      <c r="E89" s="24" t="s">
        <v>3328</v>
      </c>
      <c r="F89" s="2"/>
      <c r="G89" s="2"/>
      <c r="H89" s="2"/>
      <c r="I89" s="2"/>
      <c r="J89" s="2"/>
      <c r="K89" s="2"/>
      <c r="L89" s="2"/>
      <c r="M89" s="2"/>
      <c r="N89" s="2"/>
      <c r="O89" s="2"/>
      <c r="P89" s="2"/>
      <c r="Q89" s="2"/>
      <c r="R89" s="2"/>
      <c r="S89" s="2"/>
      <c r="T89" s="2"/>
    </row>
    <row r="90" customFormat="false" ht="15" hidden="false" customHeight="false" outlineLevel="0" collapsed="false">
      <c r="A90" s="2"/>
      <c r="B90" s="5" t="s">
        <v>3329</v>
      </c>
      <c r="C90" s="83" t="n">
        <f aca="false">COUNT(I62:I87)</f>
        <v>4</v>
      </c>
      <c r="D90" s="24"/>
      <c r="E90" s="24"/>
      <c r="F90" s="2"/>
      <c r="G90" s="2"/>
      <c r="H90" s="2"/>
      <c r="I90" s="2"/>
      <c r="J90" s="2"/>
      <c r="K90" s="2"/>
      <c r="L90" s="2"/>
      <c r="M90" s="2"/>
      <c r="N90" s="2"/>
      <c r="O90" s="2"/>
      <c r="P90" s="2"/>
      <c r="Q90" s="2"/>
      <c r="R90" s="2"/>
      <c r="S90" s="2"/>
      <c r="T90" s="2"/>
    </row>
    <row r="91" customFormat="false" ht="15" hidden="false" customHeight="false" outlineLevel="0" collapsed="false">
      <c r="A91" s="2"/>
      <c r="B91" s="22" t="s">
        <v>3330</v>
      </c>
      <c r="C91" s="58" t="n">
        <f aca="false">COUNTIF(K62:K87,"oui")</f>
        <v>3</v>
      </c>
      <c r="D91" s="24"/>
      <c r="E91" s="24"/>
      <c r="F91" s="2"/>
      <c r="G91" s="2"/>
      <c r="H91" s="2"/>
      <c r="I91" s="2"/>
      <c r="J91" s="2"/>
      <c r="K91" s="2"/>
      <c r="L91" s="2"/>
      <c r="M91" s="2"/>
      <c r="N91" s="2"/>
      <c r="O91" s="2"/>
      <c r="P91" s="2"/>
      <c r="Q91" s="2"/>
      <c r="R91" s="2"/>
      <c r="S91" s="2"/>
      <c r="T91" s="2"/>
    </row>
    <row r="92" customFormat="false" ht="15" hidden="false" customHeight="false" outlineLevel="0" collapsed="false">
      <c r="A92" s="2"/>
      <c r="B92" s="5" t="s">
        <v>3331</v>
      </c>
      <c r="C92" s="125" t="n">
        <f aca="false">MAX(L62:L87)</f>
        <v>0.97</v>
      </c>
      <c r="D92" s="24"/>
      <c r="E92" s="24"/>
      <c r="F92" s="2"/>
      <c r="G92" s="2"/>
      <c r="H92" s="2"/>
      <c r="I92" s="2"/>
      <c r="J92" s="2"/>
      <c r="K92" s="2"/>
      <c r="L92" s="2"/>
      <c r="M92" s="2"/>
      <c r="N92" s="2"/>
      <c r="O92" s="2"/>
      <c r="P92" s="2"/>
      <c r="Q92" s="2"/>
      <c r="R92" s="2"/>
      <c r="S92" s="2"/>
      <c r="T92" s="2"/>
    </row>
    <row r="93" customFormat="false" ht="15" hidden="false" customHeight="false" outlineLevel="0" collapsed="false">
      <c r="A93" s="2"/>
      <c r="B93" s="5" t="s">
        <v>3332</v>
      </c>
      <c r="C93" s="64" t="n">
        <f aca="false">_xlfn.MAXIFS(I62:I87,K62:K87,"oui")</f>
        <v>1530.81298093008</v>
      </c>
      <c r="D93" s="24" t="s">
        <v>103</v>
      </c>
      <c r="E93" s="24"/>
      <c r="F93" s="2"/>
      <c r="G93" s="2"/>
      <c r="H93" s="2"/>
      <c r="I93" s="2"/>
      <c r="J93" s="2"/>
      <c r="K93" s="2"/>
      <c r="L93" s="2"/>
      <c r="M93" s="2"/>
      <c r="N93" s="2"/>
      <c r="O93" s="2"/>
      <c r="P93" s="2"/>
      <c r="Q93" s="2"/>
      <c r="R93" s="2"/>
      <c r="S93" s="2"/>
      <c r="T93" s="2"/>
    </row>
    <row r="94" customFormat="false" ht="30" hidden="false" customHeight="true" outlineLevel="0" collapsed="false">
      <c r="A94" s="2"/>
      <c r="B94" s="69" t="s">
        <v>3333</v>
      </c>
      <c r="C94" s="69"/>
      <c r="D94" s="69"/>
      <c r="E94" s="69"/>
      <c r="F94" s="69"/>
      <c r="G94" s="69"/>
      <c r="H94" s="69"/>
      <c r="I94" s="69"/>
      <c r="J94" s="69"/>
      <c r="K94" s="69"/>
      <c r="L94" s="69"/>
      <c r="M94" s="2"/>
      <c r="N94" s="2"/>
      <c r="O94" s="2"/>
      <c r="P94" s="2"/>
      <c r="Q94" s="2"/>
      <c r="R94" s="2"/>
      <c r="S94" s="2"/>
      <c r="T94" s="2"/>
    </row>
    <row r="95" customFormat="false" ht="15" hidden="false" customHeight="false" outlineLevel="0" collapsed="false">
      <c r="A95" s="2"/>
      <c r="B95" s="24" t="s">
        <v>3334</v>
      </c>
      <c r="C95" s="2"/>
      <c r="D95" s="2"/>
      <c r="E95" s="2"/>
      <c r="F95" s="2"/>
      <c r="G95" s="2"/>
      <c r="H95" s="2"/>
      <c r="I95" s="2"/>
      <c r="J95" s="2"/>
      <c r="K95" s="2"/>
      <c r="L95" s="2"/>
      <c r="M95" s="2"/>
      <c r="N95" s="2"/>
      <c r="O95" s="2"/>
      <c r="P95" s="2"/>
      <c r="Q95" s="2"/>
      <c r="R95" s="2"/>
      <c r="S95" s="2"/>
      <c r="T95" s="2"/>
    </row>
    <row r="96" customFormat="false" ht="15" hidden="false" customHeight="false" outlineLevel="0" collapsed="false">
      <c r="A96" s="2"/>
      <c r="B96" s="24" t="s">
        <v>3335</v>
      </c>
      <c r="C96" s="2"/>
      <c r="D96" s="2"/>
      <c r="E96" s="2"/>
      <c r="F96" s="2"/>
      <c r="G96" s="2"/>
      <c r="H96" s="2"/>
      <c r="I96" s="2"/>
      <c r="J96" s="2"/>
      <c r="K96" s="2"/>
      <c r="L96" s="2"/>
      <c r="M96" s="2"/>
      <c r="N96" s="2"/>
      <c r="O96" s="2"/>
      <c r="P96" s="2"/>
      <c r="Q96" s="2"/>
      <c r="R96" s="2"/>
      <c r="S96" s="2"/>
      <c r="T96" s="2"/>
    </row>
    <row r="97" customFormat="false" ht="15" hidden="false" customHeight="false" outlineLevel="0" collapsed="false">
      <c r="A97" s="2"/>
      <c r="B97" s="24" t="s">
        <v>3336</v>
      </c>
      <c r="C97" s="2"/>
      <c r="D97" s="2"/>
      <c r="E97" s="2"/>
      <c r="F97" s="2"/>
      <c r="G97" s="2"/>
      <c r="H97" s="2"/>
      <c r="I97" s="2"/>
      <c r="J97" s="2"/>
      <c r="K97" s="2"/>
      <c r="L97" s="2"/>
      <c r="M97" s="2"/>
      <c r="N97" s="2"/>
      <c r="O97" s="2"/>
      <c r="P97" s="2"/>
      <c r="Q97" s="2"/>
      <c r="R97" s="2"/>
      <c r="S97" s="2"/>
      <c r="T97" s="2"/>
    </row>
    <row r="98" customFormat="false" ht="15" hidden="false" customHeight="false" outlineLevel="0" collapsed="false">
      <c r="A98" s="2"/>
      <c r="B98" s="24" t="s">
        <v>3337</v>
      </c>
      <c r="C98" s="2"/>
      <c r="D98" s="2"/>
      <c r="E98" s="2"/>
      <c r="F98" s="2"/>
      <c r="G98" s="2"/>
      <c r="H98" s="2"/>
      <c r="I98" s="2"/>
      <c r="J98" s="2"/>
      <c r="K98" s="2"/>
      <c r="L98" s="2"/>
      <c r="M98" s="2"/>
      <c r="N98" s="2"/>
      <c r="O98" s="2"/>
      <c r="P98" s="2"/>
      <c r="Q98" s="2"/>
      <c r="R98" s="2"/>
      <c r="S98" s="2"/>
      <c r="T98" s="2"/>
    </row>
    <row r="99" customFormat="false" ht="15" hidden="false" customHeight="false" outlineLevel="0" collapsed="false">
      <c r="A99" s="2"/>
      <c r="B99" s="24" t="s">
        <v>3338</v>
      </c>
      <c r="C99" s="2"/>
      <c r="D99" s="2"/>
      <c r="E99" s="2"/>
      <c r="F99" s="2"/>
      <c r="G99" s="2"/>
      <c r="H99" s="2"/>
      <c r="I99" s="2"/>
      <c r="J99" s="2"/>
      <c r="K99" s="2"/>
      <c r="L99" s="2"/>
      <c r="M99" s="2"/>
      <c r="N99" s="2"/>
      <c r="O99" s="2"/>
      <c r="P99" s="2"/>
      <c r="Q99" s="2"/>
      <c r="R99" s="2"/>
      <c r="S99" s="2"/>
      <c r="T99" s="2"/>
    </row>
  </sheetData>
  <mergeCells count="4">
    <mergeCell ref="B22:F22"/>
    <mergeCell ref="B36:F36"/>
    <mergeCell ref="B51:H51"/>
    <mergeCell ref="B94:L94"/>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5390625" defaultRowHeight="15" customHeight="true" zeroHeight="false" outlineLevelRow="0" outlineLevelCol="0"/>
  <cols>
    <col collapsed="false" customWidth="true" hidden="false" outlineLevel="0" max="1" min="1" style="0" width="8"/>
    <col collapsed="false" customWidth="true" hidden="false" outlineLevel="0" max="2" min="2" style="0" width="58"/>
    <col collapsed="false" customWidth="true" hidden="false" outlineLevel="0" max="3" min="3" style="0" width="16"/>
    <col collapsed="false" customWidth="true" hidden="false" outlineLevel="0" max="7" min="4" style="0" width="26"/>
    <col collapsed="false" customWidth="true" hidden="false" outlineLevel="0" max="8" min="8" style="0" width="46"/>
    <col collapsed="false" customWidth="true" hidden="false" outlineLevel="0" max="9" min="9" style="0" width="16"/>
    <col collapsed="false" customWidth="true" hidden="false" outlineLevel="0" max="14" min="11" style="0" width="11"/>
  </cols>
  <sheetData>
    <row r="1" customFormat="false" ht="17.35" hidden="false" customHeight="false" outlineLevel="0" collapsed="false">
      <c r="A1" s="1" t="s">
        <v>3339</v>
      </c>
      <c r="B1" s="2"/>
      <c r="C1" s="2"/>
      <c r="D1" s="2"/>
      <c r="E1" s="2"/>
      <c r="F1" s="2"/>
      <c r="G1" s="2"/>
      <c r="H1" s="2"/>
      <c r="I1" s="2"/>
      <c r="J1" s="2"/>
      <c r="K1" s="2"/>
      <c r="L1" s="2"/>
      <c r="M1" s="2"/>
      <c r="N1" s="2"/>
    </row>
    <row r="2" customFormat="false" ht="15" hidden="false" customHeight="false" outlineLevel="0" collapsed="false">
      <c r="A2" s="3" t="s">
        <v>3340</v>
      </c>
      <c r="B2" s="2"/>
      <c r="C2" s="2"/>
      <c r="D2" s="2"/>
      <c r="E2" s="2"/>
      <c r="F2" s="2"/>
      <c r="G2" s="2"/>
      <c r="H2" s="2"/>
      <c r="I2" s="2"/>
      <c r="J2" s="2"/>
      <c r="K2" s="2"/>
      <c r="L2" s="2"/>
      <c r="M2" s="2"/>
      <c r="N2" s="2"/>
    </row>
    <row r="3" customFormat="false" ht="15" hidden="false" customHeight="false" outlineLevel="0" collapsed="false">
      <c r="A3" s="2"/>
      <c r="B3" s="2"/>
      <c r="C3" s="2"/>
      <c r="D3" s="2"/>
      <c r="E3" s="2"/>
      <c r="F3" s="2"/>
      <c r="G3" s="2"/>
      <c r="H3" s="2"/>
      <c r="I3" s="2"/>
      <c r="J3" s="2"/>
      <c r="K3" s="2"/>
      <c r="L3" s="2"/>
      <c r="M3" s="2"/>
      <c r="N3" s="2"/>
    </row>
    <row r="4" customFormat="false" ht="15" hidden="false" customHeight="false" outlineLevel="0" collapsed="false">
      <c r="A4" s="22" t="s">
        <v>2130</v>
      </c>
      <c r="B4" s="22" t="s">
        <v>3341</v>
      </c>
      <c r="C4" s="2"/>
      <c r="D4" s="2"/>
      <c r="E4" s="2"/>
      <c r="F4" s="2"/>
      <c r="G4" s="2"/>
      <c r="H4" s="2"/>
      <c r="I4" s="2"/>
      <c r="J4" s="2"/>
      <c r="K4" s="2"/>
      <c r="L4" s="2"/>
      <c r="M4" s="2"/>
      <c r="N4" s="2"/>
    </row>
    <row r="5" customFormat="false" ht="15" hidden="false" customHeight="false" outlineLevel="0" collapsed="false">
      <c r="A5" s="21"/>
      <c r="B5" s="21" t="s">
        <v>91</v>
      </c>
      <c r="C5" s="21" t="s">
        <v>92</v>
      </c>
      <c r="D5" s="21" t="s">
        <v>93</v>
      </c>
      <c r="E5" s="21" t="s">
        <v>2129</v>
      </c>
      <c r="F5" s="2"/>
      <c r="G5" s="2"/>
      <c r="H5" s="2"/>
      <c r="I5" s="2"/>
      <c r="J5" s="2"/>
      <c r="K5" s="2"/>
      <c r="L5" s="2"/>
      <c r="M5" s="2"/>
      <c r="N5" s="2"/>
    </row>
    <row r="6" customFormat="false" ht="15" hidden="false" customHeight="false" outlineLevel="0" collapsed="false">
      <c r="A6" s="2"/>
      <c r="B6" s="22" t="s">
        <v>3342</v>
      </c>
      <c r="C6" s="56" t="n">
        <v>3000</v>
      </c>
      <c r="D6" s="24" t="s">
        <v>103</v>
      </c>
      <c r="E6" s="24" t="s">
        <v>3343</v>
      </c>
      <c r="F6" s="2"/>
      <c r="G6" s="2"/>
      <c r="H6" s="2"/>
      <c r="I6" s="2"/>
      <c r="J6" s="2"/>
      <c r="K6" s="2"/>
      <c r="L6" s="2"/>
      <c r="M6" s="2"/>
      <c r="N6" s="2"/>
    </row>
    <row r="7" customFormat="false" ht="15" hidden="false" customHeight="false" outlineLevel="0" collapsed="false">
      <c r="A7" s="2"/>
      <c r="B7" s="22" t="s">
        <v>3097</v>
      </c>
      <c r="C7" s="55" t="n">
        <f aca="false">Hypothèses!$J$21</f>
        <v>9.8</v>
      </c>
      <c r="D7" s="24" t="s">
        <v>133</v>
      </c>
      <c r="E7" s="24" t="s">
        <v>3344</v>
      </c>
      <c r="F7" s="2"/>
      <c r="G7" s="2"/>
      <c r="H7" s="2"/>
      <c r="I7" s="2"/>
      <c r="J7" s="2"/>
      <c r="K7" s="2"/>
      <c r="L7" s="2"/>
      <c r="M7" s="2"/>
      <c r="N7" s="2"/>
    </row>
    <row r="8" customFormat="false" ht="15" hidden="false" customHeight="false" outlineLevel="0" collapsed="false">
      <c r="A8" s="2"/>
      <c r="B8" s="5" t="s">
        <v>3345</v>
      </c>
      <c r="C8" s="64" t="n">
        <f aca="false">$C$6/$C$7</f>
        <v>306.122448979592</v>
      </c>
      <c r="D8" s="24" t="s">
        <v>103</v>
      </c>
      <c r="E8" s="24" t="s">
        <v>3346</v>
      </c>
      <c r="F8" s="2"/>
      <c r="G8" s="2"/>
      <c r="H8" s="2"/>
      <c r="I8" s="2"/>
      <c r="J8" s="2"/>
      <c r="K8" s="2"/>
      <c r="L8" s="2"/>
      <c r="M8" s="2"/>
      <c r="N8" s="2"/>
    </row>
    <row r="9" customFormat="false" ht="15" hidden="false" customHeight="false" outlineLevel="0" collapsed="false">
      <c r="A9" s="2"/>
      <c r="B9" s="5" t="s">
        <v>3347</v>
      </c>
      <c r="C9" s="61" t="n">
        <f aca="false">Trajectoire!$D$46</f>
        <v>1570.67466937297</v>
      </c>
      <c r="D9" s="24" t="s">
        <v>103</v>
      </c>
      <c r="E9" s="24" t="s">
        <v>2912</v>
      </c>
      <c r="F9" s="2"/>
      <c r="G9" s="2"/>
      <c r="H9" s="2"/>
      <c r="I9" s="2"/>
      <c r="J9" s="2"/>
      <c r="K9" s="2"/>
      <c r="L9" s="2"/>
      <c r="M9" s="2"/>
      <c r="N9" s="2"/>
    </row>
    <row r="10" customFormat="false" ht="15" hidden="false" customHeight="false" outlineLevel="0" collapsed="false">
      <c r="A10" s="2"/>
      <c r="B10" s="5" t="s">
        <v>3348</v>
      </c>
      <c r="C10" s="61" t="n">
        <f aca="false">Trajectoire!$D$57</f>
        <v>4333.42681779325</v>
      </c>
      <c r="D10" s="24" t="s">
        <v>103</v>
      </c>
      <c r="E10" s="24" t="s">
        <v>2912</v>
      </c>
      <c r="F10" s="2"/>
      <c r="G10" s="2"/>
      <c r="H10" s="2"/>
      <c r="I10" s="2"/>
      <c r="J10" s="2"/>
      <c r="K10" s="2"/>
      <c r="L10" s="2"/>
      <c r="M10" s="2"/>
      <c r="N10" s="2"/>
    </row>
    <row r="11" customFormat="false" ht="15" hidden="false" customHeight="false" outlineLevel="0" collapsed="false">
      <c r="A11" s="2"/>
      <c r="B11" s="22" t="s">
        <v>3349</v>
      </c>
      <c r="C11" s="45" t="n">
        <f aca="false">Financement!$C$9-$C$6+Hypothèses!$J$26*Financement!$C$8</f>
        <v>-510.957983688259</v>
      </c>
      <c r="D11" s="24" t="s">
        <v>103</v>
      </c>
      <c r="E11" s="24" t="s">
        <v>3350</v>
      </c>
      <c r="F11" s="2"/>
      <c r="G11" s="2"/>
      <c r="H11" s="2"/>
      <c r="I11" s="2"/>
      <c r="J11" s="2"/>
      <c r="K11" s="2"/>
      <c r="L11" s="2"/>
      <c r="M11" s="2"/>
      <c r="N11" s="2"/>
    </row>
    <row r="12" customFormat="false" ht="15" hidden="false" customHeight="false" outlineLevel="0" collapsed="false">
      <c r="A12" s="2"/>
      <c r="B12" s="22" t="s">
        <v>3351</v>
      </c>
      <c r="C12" s="45" t="n">
        <f aca="false">Financement!$C$10-$C$6+Hypothèses!$J$16*Financement!$C$8/(Entrées!$C$151/100)</f>
        <v>2578.18003823036</v>
      </c>
      <c r="D12" s="24" t="s">
        <v>103</v>
      </c>
      <c r="E12" s="24" t="s">
        <v>3352</v>
      </c>
      <c r="F12" s="2"/>
      <c r="G12" s="2"/>
      <c r="H12" s="2"/>
      <c r="I12" s="2"/>
      <c r="J12" s="2"/>
      <c r="K12" s="2"/>
      <c r="L12" s="2"/>
      <c r="M12" s="2"/>
      <c r="N12" s="2"/>
    </row>
    <row r="13" customFormat="false" ht="15" hidden="false" customHeight="false" outlineLevel="0" collapsed="false">
      <c r="A13" s="2"/>
      <c r="B13" s="22" t="s">
        <v>3353</v>
      </c>
      <c r="C13" s="45" t="n">
        <f aca="false">MAX(0,-Financement!$C$11)</f>
        <v>510.957983688259</v>
      </c>
      <c r="D13" s="24" t="s">
        <v>103</v>
      </c>
      <c r="E13" s="24"/>
      <c r="F13" s="2"/>
      <c r="G13" s="2"/>
      <c r="H13" s="2"/>
      <c r="I13" s="2"/>
      <c r="J13" s="2"/>
      <c r="K13" s="2"/>
      <c r="L13" s="2"/>
      <c r="M13" s="2"/>
      <c r="N13" s="2"/>
    </row>
    <row r="14" customFormat="false" ht="15" hidden="false" customHeight="false" outlineLevel="0" collapsed="false">
      <c r="A14" s="2"/>
      <c r="B14" s="22" t="s">
        <v>3354</v>
      </c>
      <c r="C14" s="45" t="n">
        <f aca="false">MAX(0,-Financement!$C$12)</f>
        <v>0</v>
      </c>
      <c r="D14" s="24" t="s">
        <v>103</v>
      </c>
      <c r="E14" s="24"/>
      <c r="F14" s="2"/>
      <c r="G14" s="2"/>
      <c r="H14" s="2"/>
      <c r="I14" s="2"/>
      <c r="J14" s="2"/>
      <c r="K14" s="2"/>
      <c r="L14" s="2"/>
      <c r="M14" s="2"/>
      <c r="N14" s="2"/>
    </row>
    <row r="15" customFormat="false" ht="15" hidden="false" customHeight="false" outlineLevel="0" collapsed="false">
      <c r="A15" s="2"/>
      <c r="B15" s="2"/>
      <c r="C15" s="2"/>
      <c r="D15" s="2"/>
      <c r="E15" s="2"/>
      <c r="F15" s="2"/>
      <c r="G15" s="2"/>
      <c r="H15" s="2"/>
      <c r="I15" s="2"/>
      <c r="J15" s="2"/>
      <c r="K15" s="2"/>
      <c r="L15" s="2"/>
      <c r="M15" s="2"/>
      <c r="N15" s="2"/>
    </row>
    <row r="16" customFormat="false" ht="15" hidden="false" customHeight="false" outlineLevel="0" collapsed="false">
      <c r="A16" s="22" t="s">
        <v>2143</v>
      </c>
      <c r="B16" s="22" t="s">
        <v>3355</v>
      </c>
      <c r="C16" s="2"/>
      <c r="D16" s="2"/>
      <c r="E16" s="2"/>
      <c r="F16" s="2"/>
      <c r="G16" s="2"/>
      <c r="H16" s="2"/>
      <c r="I16" s="2"/>
      <c r="J16" s="2"/>
      <c r="K16" s="2"/>
      <c r="L16" s="2"/>
      <c r="M16" s="2"/>
      <c r="N16" s="2"/>
    </row>
    <row r="17" customFormat="false" ht="15" hidden="false" customHeight="false" outlineLevel="0" collapsed="false">
      <c r="A17" s="21"/>
      <c r="B17" s="21" t="s">
        <v>3356</v>
      </c>
      <c r="C17" s="21" t="s">
        <v>3357</v>
      </c>
      <c r="D17" s="21" t="s">
        <v>3358</v>
      </c>
      <c r="E17" s="21" t="s">
        <v>3359</v>
      </c>
      <c r="F17" s="21" t="s">
        <v>3360</v>
      </c>
      <c r="G17" s="21" t="s">
        <v>3361</v>
      </c>
      <c r="H17" s="21" t="s">
        <v>3362</v>
      </c>
      <c r="I17" s="2"/>
      <c r="J17" s="2"/>
      <c r="K17" s="2"/>
      <c r="L17" s="2"/>
      <c r="M17" s="2"/>
      <c r="N17" s="2"/>
    </row>
    <row r="18" customFormat="false" ht="30" hidden="false" customHeight="true" outlineLevel="0" collapsed="false">
      <c r="A18" s="24" t="s">
        <v>3363</v>
      </c>
      <c r="B18" s="38" t="s">
        <v>3364</v>
      </c>
      <c r="C18" s="126" t="n">
        <f aca="false">1</f>
        <v>1</v>
      </c>
      <c r="D18" s="126" t="n">
        <f aca="false">1-Hypothèses!$J$27</f>
        <v>0.5</v>
      </c>
      <c r="E18" s="45" t="n">
        <f aca="false">IF(OR(C18&lt;=0,D18&lt;=0),"sans effet",MAX(Financement!$C$13/C18,Financement!$C$14/D18))</f>
        <v>510.957983688259</v>
      </c>
      <c r="F18" s="64" t="n">
        <f aca="false">E18*Entrées!$C$579/100</f>
        <v>22.0836040550066</v>
      </c>
      <c r="G18" s="24" t="s">
        <v>3365</v>
      </c>
      <c r="H18" s="127" t="s">
        <v>3366</v>
      </c>
      <c r="I18" s="2"/>
      <c r="J18" s="2"/>
      <c r="K18" s="2"/>
      <c r="L18" s="2"/>
      <c r="M18" s="2"/>
      <c r="N18" s="2"/>
    </row>
    <row r="19" customFormat="false" ht="30" hidden="false" customHeight="true" outlineLevel="0" collapsed="false">
      <c r="A19" s="24" t="s">
        <v>3367</v>
      </c>
      <c r="B19" s="38" t="s">
        <v>3368</v>
      </c>
      <c r="C19" s="126" t="n">
        <f aca="false">1-Hypothèses!$J$26/Hypothèses!$J$14</f>
        <v>0.7</v>
      </c>
      <c r="D19" s="126" t="n">
        <f aca="false">1-Hypothèses!$J$16/(Entrées!$C$151/100)/Hypothèses!$J$14</f>
        <v>0.593380614657211</v>
      </c>
      <c r="E19" s="45" t="n">
        <f aca="false">IF(OR(C19&lt;=0,D19&lt;=0),"sans effet",MAX(Financement!$C$13/C19,Financement!$C$14/D19))</f>
        <v>729.939976697513</v>
      </c>
      <c r="F19" s="64" t="n">
        <f aca="false">E19/Hypothèses!$J$14</f>
        <v>72.9939976697513</v>
      </c>
      <c r="G19" s="24" t="s">
        <v>3369</v>
      </c>
      <c r="H19" s="127" t="s">
        <v>3370</v>
      </c>
      <c r="I19" s="2"/>
      <c r="J19" s="2"/>
      <c r="K19" s="2"/>
      <c r="L19" s="2"/>
      <c r="M19" s="2"/>
      <c r="N19" s="2"/>
    </row>
    <row r="20" customFormat="false" ht="30" hidden="false" customHeight="true" outlineLevel="0" collapsed="false">
      <c r="A20" s="24" t="s">
        <v>3371</v>
      </c>
      <c r="B20" s="38" t="s">
        <v>3372</v>
      </c>
      <c r="C20" s="126" t="n">
        <f aca="false">1</f>
        <v>1</v>
      </c>
      <c r="D20" s="126" t="n">
        <f aca="false">1</f>
        <v>1</v>
      </c>
      <c r="E20" s="45" t="n">
        <f aca="false">IF(OR(C20&lt;=0,D20&lt;=0),"sans effet",MAX(Financement!$C$13/C20,Financement!$C$14/D20))</f>
        <v>510.957983688259</v>
      </c>
      <c r="F20" s="66" t="n">
        <f aca="false">E20*1000000/Entrées!$C$602/(Entrées!$C$603-Entrées!$C$605)</f>
        <v>0.0237819196017144</v>
      </c>
      <c r="G20" s="24" t="s">
        <v>3373</v>
      </c>
      <c r="H20" s="127" t="s">
        <v>3374</v>
      </c>
      <c r="I20" s="2"/>
      <c r="J20" s="2"/>
      <c r="K20" s="2"/>
      <c r="L20" s="2"/>
      <c r="M20" s="2"/>
      <c r="N20" s="2"/>
    </row>
    <row r="21" customFormat="false" ht="30" hidden="false" customHeight="true" outlineLevel="0" collapsed="false">
      <c r="A21" s="24" t="s">
        <v>3375</v>
      </c>
      <c r="B21" s="38" t="s">
        <v>3376</v>
      </c>
      <c r="C21" s="126" t="n">
        <f aca="false">1</f>
        <v>1</v>
      </c>
      <c r="D21" s="126" t="n">
        <f aca="false">1</f>
        <v>1</v>
      </c>
      <c r="E21" s="45" t="n">
        <f aca="false">IF(OR(C21&lt;=0,D21&lt;=0),"sans effet",MAX(Financement!$C$13/C21,Financement!$C$14/D21))</f>
        <v>510.957983688259</v>
      </c>
      <c r="F21" s="66" t="n">
        <f aca="false">IF(E21&gt;(Entrées!$C$79*(1+Hypothèses!$J$11)),"au-delà du dividende",E21*1000000/Entrées!$C$602/(Entrées!$C$603-Entrées!$C$605))</f>
        <v>0.0237819196017144</v>
      </c>
      <c r="G21" s="24" t="s">
        <v>3373</v>
      </c>
      <c r="H21" s="127" t="s">
        <v>3377</v>
      </c>
      <c r="I21" s="2"/>
      <c r="J21" s="2"/>
      <c r="K21" s="2"/>
      <c r="L21" s="2"/>
      <c r="M21" s="2"/>
      <c r="N21" s="2"/>
    </row>
    <row r="22" customFormat="false" ht="30" hidden="false" customHeight="true" outlineLevel="0" collapsed="false">
      <c r="A22" s="24" t="s">
        <v>3378</v>
      </c>
      <c r="B22" s="38" t="s">
        <v>3379</v>
      </c>
      <c r="C22" s="126" t="n">
        <f aca="false">1</f>
        <v>1</v>
      </c>
      <c r="D22" s="126" t="n">
        <f aca="false">1</f>
        <v>1</v>
      </c>
      <c r="E22" s="45" t="n">
        <f aca="false">IF(MAX(Financement!$C$13/C22,Financement!$C$14/D22)&gt;0.49*$C$6,"au-delà de 49 %",MAX(Financement!$C$13/C22,Financement!$C$14/D22))</f>
        <v>510.957983688259</v>
      </c>
      <c r="F22" s="64" t="n">
        <f aca="false">E22/$C$7</f>
        <v>52.1385697641081</v>
      </c>
      <c r="G22" s="24" t="s">
        <v>3380</v>
      </c>
      <c r="H22" s="127" t="s">
        <v>3381</v>
      </c>
      <c r="I22" s="2"/>
      <c r="J22" s="2"/>
      <c r="K22" s="2"/>
      <c r="L22" s="2"/>
      <c r="M22" s="2"/>
      <c r="N22" s="2"/>
    </row>
    <row r="23" customFormat="false" ht="15" hidden="false" customHeight="false" outlineLevel="0" collapsed="false">
      <c r="A23" s="2"/>
      <c r="B23" s="2"/>
      <c r="C23" s="2"/>
      <c r="D23" s="2"/>
      <c r="E23" s="2"/>
      <c r="F23" s="2"/>
      <c r="G23" s="2"/>
      <c r="H23" s="2"/>
      <c r="I23" s="2"/>
      <c r="J23" s="2"/>
      <c r="K23" s="2"/>
      <c r="L23" s="2"/>
      <c r="M23" s="2"/>
      <c r="N23" s="2"/>
    </row>
    <row r="24" customFormat="false" ht="15" hidden="false" customHeight="false" outlineLevel="0" collapsed="false">
      <c r="A24" s="22" t="s">
        <v>2308</v>
      </c>
      <c r="B24" s="22" t="s">
        <v>3382</v>
      </c>
      <c r="C24" s="2"/>
      <c r="D24" s="2"/>
      <c r="E24" s="2"/>
      <c r="F24" s="2"/>
      <c r="G24" s="2"/>
      <c r="H24" s="2"/>
      <c r="I24" s="2"/>
      <c r="J24" s="2"/>
      <c r="K24" s="2"/>
      <c r="L24" s="2"/>
      <c r="M24" s="2"/>
      <c r="N24" s="2"/>
    </row>
    <row r="25" customFormat="false" ht="23.85" hidden="false" customHeight="false" outlineLevel="0" collapsed="false">
      <c r="A25" s="21"/>
      <c r="B25" s="21" t="s">
        <v>3356</v>
      </c>
      <c r="C25" s="21" t="s">
        <v>3383</v>
      </c>
      <c r="D25" s="21" t="s">
        <v>3384</v>
      </c>
      <c r="E25" s="21" t="s">
        <v>3385</v>
      </c>
      <c r="F25" s="21" t="s">
        <v>3360</v>
      </c>
      <c r="G25" s="2"/>
      <c r="H25" s="2"/>
      <c r="I25" s="2"/>
      <c r="J25" s="2"/>
      <c r="K25" s="2"/>
      <c r="L25" s="2"/>
      <c r="M25" s="2"/>
      <c r="N25" s="2"/>
    </row>
    <row r="26" customFormat="false" ht="15" hidden="false" customHeight="false" outlineLevel="0" collapsed="false">
      <c r="A26" s="2"/>
      <c r="B26" s="5" t="str">
        <f aca="false">B18</f>
        <v>Émission d'hybrides (capitaux propres pour Veolia, 50 % en dette pour les agences)</v>
      </c>
      <c r="C26" s="56" t="n">
        <v>0</v>
      </c>
      <c r="D26" s="64" t="n">
        <f aca="false">C26*C18</f>
        <v>0</v>
      </c>
      <c r="E26" s="64" t="n">
        <f aca="false">C26*D18</f>
        <v>0</v>
      </c>
      <c r="F26" s="64" t="n">
        <f aca="false">C26*Entrées!$C$579/100</f>
        <v>0</v>
      </c>
      <c r="G26" s="2"/>
      <c r="H26" s="2"/>
      <c r="I26" s="2"/>
      <c r="J26" s="2"/>
      <c r="K26" s="2"/>
      <c r="L26" s="2"/>
      <c r="M26" s="2"/>
      <c r="N26" s="2"/>
    </row>
    <row r="27" customFormat="false" ht="15" hidden="false" customHeight="false" outlineLevel="0" collapsed="false">
      <c r="A27" s="2"/>
      <c r="B27" s="5" t="str">
        <f aca="false">B19</f>
        <v>Cessions accélérées (au multiple mDisp)</v>
      </c>
      <c r="C27" s="56" t="n">
        <v>0</v>
      </c>
      <c r="D27" s="64" t="n">
        <f aca="false">C27*C19</f>
        <v>0</v>
      </c>
      <c r="E27" s="64" t="n">
        <f aca="false">C27*D19</f>
        <v>0</v>
      </c>
      <c r="F27" s="64" t="n">
        <f aca="false">C27/Hypothèses!$J$14</f>
        <v>0</v>
      </c>
      <c r="G27" s="2"/>
      <c r="H27" s="2"/>
      <c r="I27" s="2"/>
      <c r="J27" s="2"/>
      <c r="K27" s="2"/>
      <c r="L27" s="2"/>
      <c r="M27" s="2"/>
      <c r="N27" s="2"/>
    </row>
    <row r="28" customFormat="false" ht="15" hidden="false" customHeight="false" outlineLevel="0" collapsed="false">
      <c r="A28" s="2"/>
      <c r="B28" s="5" t="str">
        <f aca="false">B20</f>
        <v>Augmentation de capital (au cours du 31/12/2025)</v>
      </c>
      <c r="C28" s="56" t="n">
        <v>0</v>
      </c>
      <c r="D28" s="64" t="n">
        <f aca="false">C28*C20</f>
        <v>0</v>
      </c>
      <c r="E28" s="64" t="n">
        <f aca="false">C28*D20</f>
        <v>0</v>
      </c>
      <c r="F28" s="66" t="n">
        <f aca="false">C28*1000000/Entrées!$C$602/(Entrées!$C$603-Entrées!$C$605)</f>
        <v>0</v>
      </c>
      <c r="G28" s="2"/>
      <c r="H28" s="2"/>
      <c r="I28" s="2"/>
      <c r="J28" s="2"/>
      <c r="K28" s="2"/>
      <c r="L28" s="2"/>
      <c r="M28" s="2"/>
      <c r="N28" s="2"/>
    </row>
    <row r="29" customFormat="false" ht="15" hidden="false" customHeight="false" outlineLevel="0" collapsed="false">
      <c r="A29" s="2"/>
      <c r="B29" s="5" t="str">
        <f aca="false">B21</f>
        <v>Dividende 2027 payé en actions (au plus le dividende)</v>
      </c>
      <c r="C29" s="56" t="n">
        <v>0</v>
      </c>
      <c r="D29" s="64" t="n">
        <f aca="false">C29*C21</f>
        <v>0</v>
      </c>
      <c r="E29" s="64" t="n">
        <f aca="false">C29*D21</f>
        <v>0</v>
      </c>
      <c r="F29" s="66" t="n">
        <f aca="false">IF(C29&gt;(Entrées!$C$79*(1+Hypothèses!$J$11)),"au-delà du dividende",C29*1000000/Entrées!$C$602/(Entrées!$C$603-Entrées!$C$605))</f>
        <v>0</v>
      </c>
      <c r="G29" s="2"/>
      <c r="H29" s="2"/>
      <c r="I29" s="2"/>
      <c r="J29" s="2"/>
      <c r="K29" s="2"/>
      <c r="L29" s="2"/>
      <c r="M29" s="2"/>
      <c r="N29" s="2"/>
    </row>
    <row r="30" customFormat="false" ht="15" hidden="false" customHeight="false" outlineLevel="0" collapsed="false">
      <c r="A30" s="2"/>
      <c r="B30" s="5" t="str">
        <f aca="false">B22</f>
        <v>Partenaire minoritaire dans la cible (part cédée au prix payé)</v>
      </c>
      <c r="C30" s="56" t="n">
        <v>0</v>
      </c>
      <c r="D30" s="64" t="n">
        <f aca="false">C30*C22</f>
        <v>0</v>
      </c>
      <c r="E30" s="64" t="n">
        <f aca="false">C30*D22</f>
        <v>0</v>
      </c>
      <c r="F30" s="64" t="n">
        <f aca="false">C30/$C$7</f>
        <v>0</v>
      </c>
      <c r="G30" s="2"/>
      <c r="H30" s="2"/>
      <c r="I30" s="2"/>
      <c r="J30" s="2"/>
      <c r="K30" s="2"/>
      <c r="L30" s="2"/>
      <c r="M30" s="2"/>
      <c r="N30" s="2"/>
    </row>
    <row r="31" customFormat="false" ht="15" hidden="false" customHeight="false" outlineLevel="0" collapsed="false">
      <c r="A31" s="2"/>
      <c r="B31" s="22" t="s">
        <v>3386</v>
      </c>
      <c r="C31" s="45" t="n">
        <f aca="false">Financement!$C$11+SUM(D26:D30)</f>
        <v>-510.957983688259</v>
      </c>
      <c r="D31" s="24" t="s">
        <v>103</v>
      </c>
      <c r="E31" s="24"/>
      <c r="F31" s="2"/>
      <c r="G31" s="2"/>
      <c r="H31" s="2"/>
      <c r="I31" s="2"/>
      <c r="J31" s="2"/>
      <c r="K31" s="2"/>
      <c r="L31" s="2"/>
      <c r="M31" s="2"/>
      <c r="N31" s="2"/>
    </row>
    <row r="32" customFormat="false" ht="15" hidden="false" customHeight="false" outlineLevel="0" collapsed="false">
      <c r="A32" s="2"/>
      <c r="B32" s="22" t="s">
        <v>3387</v>
      </c>
      <c r="C32" s="45" t="n">
        <f aca="false">Financement!$C$12+SUM(E26:E30)</f>
        <v>2578.18003823036</v>
      </c>
      <c r="D32" s="24" t="s">
        <v>103</v>
      </c>
      <c r="E32" s="24"/>
      <c r="F32" s="2"/>
      <c r="G32" s="2"/>
      <c r="H32" s="2"/>
      <c r="I32" s="2"/>
      <c r="J32" s="2"/>
      <c r="K32" s="2"/>
      <c r="L32" s="2"/>
      <c r="M32" s="2"/>
      <c r="N32" s="2"/>
    </row>
    <row r="33" customFormat="false" ht="15" hidden="false" customHeight="false" outlineLevel="0" collapsed="false">
      <c r="A33" s="2"/>
      <c r="B33" s="22" t="s">
        <v>3388</v>
      </c>
      <c r="C33" s="111" t="str">
        <f aca="false">IF(AND(Financement!$C$31&gt;=0,Financement!$C$32&gt;=0),"oui","non")</f>
        <v>non</v>
      </c>
      <c r="D33" s="2"/>
      <c r="E33" s="2"/>
      <c r="F33" s="2"/>
      <c r="G33" s="2"/>
      <c r="H33" s="2"/>
      <c r="I33" s="2"/>
      <c r="J33" s="2"/>
      <c r="K33" s="2"/>
      <c r="L33" s="2"/>
      <c r="M33" s="2"/>
      <c r="N33" s="2"/>
    </row>
    <row r="34" customFormat="false" ht="15" hidden="false" customHeight="false" outlineLevel="0" collapsed="false">
      <c r="A34" s="2"/>
      <c r="B34" s="2"/>
      <c r="C34" s="2"/>
      <c r="D34" s="2"/>
      <c r="E34" s="2"/>
      <c r="F34" s="2"/>
      <c r="G34" s="2"/>
      <c r="H34" s="2"/>
      <c r="I34" s="2"/>
      <c r="J34" s="2"/>
      <c r="K34" s="2"/>
      <c r="L34" s="2"/>
      <c r="M34" s="2"/>
      <c r="N34" s="2"/>
    </row>
    <row r="35" customFormat="false" ht="43.5" hidden="false" customHeight="true" outlineLevel="0" collapsed="false">
      <c r="A35" s="2"/>
      <c r="B35" s="69" t="str">
        <f aca="false">"Lecture : au multiple de "&amp;SUBSTITUTE(SUBSTITUTE(FIXED($C$7,1,TRUE()),".",","),"-","−")&amp;"x"&amp;", une cible de "&amp;SUBSTITUTE(SUBSTITUTE(FIXED(($C$6)/1000,0,FALSE()),","," "),"-","−")&amp;" Md€"&amp;" fin 2027 "&amp;IF(Financement!$C$13&gt;0,"manque "&amp;SUBSTITUTE(SUBSTITUTE(FIXED(Financement!$C$13,0,FALSE()),","," "),"-","−")&amp;" M€"&amp;" de marge sous 3x ; la combler par des hybrides coûte un coupon de "&amp;SUBSTITUTE(SUBSTITUTE(FIXED((Entrées!$C$579/100)*100,1,TRUE()),".",","),"-","−")&amp;" %"&amp;", par des cessions un EBITDA récurrent, par du capital une dilution.","tient sous 3x sans financement.")&amp;" La ligne de partage n'est pas technique : c'est le prix que Veolia accepte de payer pour la taille. Les agences, elles, ne retiennent qu'à moitié les hybrides."</f>
        <v>Lecture : au multiple de 9,8x, une cible de 3 Md€ fin 2027 manque 511 M€ de marge sous 3x ; la combler par des hybrides coûte un coupon de 4,3 %, par des cessions un EBITDA récurrent, par du capital une dilution. La ligne de partage n'est pas technique : c'est le prix que Veolia accepte de payer pour la taille. Les agences, elles, ne retiennent qu'à moitié les hybrides.</v>
      </c>
      <c r="C35" s="69"/>
      <c r="D35" s="69"/>
      <c r="E35" s="69"/>
      <c r="F35" s="69"/>
      <c r="G35" s="69"/>
      <c r="H35" s="69"/>
      <c r="I35" s="2"/>
      <c r="J35" s="2"/>
      <c r="K35" s="2"/>
      <c r="L35" s="2"/>
      <c r="M35" s="2"/>
      <c r="N35" s="2"/>
    </row>
    <row r="36" customFormat="false" ht="15" hidden="false" customHeight="false" outlineLevel="0" collapsed="false">
      <c r="A36" s="2"/>
      <c r="B36" s="2"/>
      <c r="C36" s="2"/>
      <c r="D36" s="2"/>
      <c r="E36" s="2"/>
      <c r="F36" s="2"/>
      <c r="G36" s="2"/>
      <c r="H36" s="2"/>
      <c r="I36" s="2"/>
      <c r="J36" s="2"/>
      <c r="K36" s="2"/>
      <c r="L36" s="2"/>
      <c r="M36" s="2"/>
      <c r="N36" s="2"/>
    </row>
    <row r="37" customFormat="false" ht="15" hidden="false" customHeight="false" outlineLevel="0" collapsed="false">
      <c r="A37" s="22" t="s">
        <v>2457</v>
      </c>
      <c r="B37" s="22" t="s">
        <v>3389</v>
      </c>
      <c r="C37" s="2"/>
      <c r="D37" s="2"/>
      <c r="E37" s="2"/>
      <c r="F37" s="2"/>
      <c r="G37" s="2"/>
      <c r="H37" s="2"/>
      <c r="I37" s="2"/>
      <c r="J37" s="2"/>
      <c r="K37" s="2"/>
      <c r="L37" s="2"/>
      <c r="M37" s="2"/>
      <c r="N37" s="2"/>
    </row>
    <row r="38" customFormat="false" ht="30" hidden="false" customHeight="true" outlineLevel="0" collapsed="false">
      <c r="A38" s="2"/>
      <c r="B38" s="69" t="s">
        <v>3390</v>
      </c>
      <c r="C38" s="69"/>
      <c r="D38" s="69"/>
      <c r="E38" s="69"/>
      <c r="F38" s="69"/>
      <c r="G38" s="69"/>
      <c r="H38" s="69"/>
      <c r="I38" s="2"/>
      <c r="J38" s="2"/>
      <c r="K38" s="2"/>
      <c r="L38" s="2"/>
      <c r="M38" s="2"/>
      <c r="N38" s="2"/>
    </row>
    <row r="39" customFormat="false" ht="15" hidden="false" customHeight="false" outlineLevel="0" collapsed="false">
      <c r="A39" s="2"/>
      <c r="B39" s="5" t="s">
        <v>3391</v>
      </c>
      <c r="C39" s="128" t="n">
        <v>3.1</v>
      </c>
      <c r="D39" s="2"/>
      <c r="E39" s="2"/>
      <c r="F39" s="2"/>
      <c r="G39" s="2"/>
      <c r="H39" s="2"/>
      <c r="I39" s="2"/>
      <c r="J39" s="2"/>
      <c r="K39" s="2"/>
      <c r="L39" s="2"/>
      <c r="M39" s="2"/>
      <c r="N39" s="2"/>
    </row>
    <row r="40" customFormat="false" ht="23.85" hidden="false" customHeight="false" outlineLevel="0" collapsed="false">
      <c r="A40" s="21"/>
      <c r="B40" s="21" t="s">
        <v>2043</v>
      </c>
      <c r="C40" s="21" t="s">
        <v>2044</v>
      </c>
      <c r="D40" s="21" t="s">
        <v>3392</v>
      </c>
      <c r="E40" s="21" t="s">
        <v>3393</v>
      </c>
      <c r="F40" s="21" t="s">
        <v>3394</v>
      </c>
      <c r="G40" s="21" t="s">
        <v>3395</v>
      </c>
      <c r="H40" s="21"/>
      <c r="I40" s="21" t="s">
        <v>2048</v>
      </c>
      <c r="J40" s="2"/>
      <c r="K40" s="129" t="s">
        <v>3396</v>
      </c>
      <c r="L40" s="129" t="s">
        <v>3397</v>
      </c>
      <c r="M40" s="129" t="s">
        <v>3398</v>
      </c>
      <c r="N40" s="129" t="s">
        <v>3399</v>
      </c>
    </row>
    <row r="41" customFormat="false" ht="15" hidden="false" customHeight="false" outlineLevel="0" collapsed="false">
      <c r="A41" s="24" t="s">
        <v>2050</v>
      </c>
      <c r="B41" s="104" t="str">
        <f aca="false">Hypothèses!$B$5</f>
        <v>Croissance organique de l'EBITDA en 2026</v>
      </c>
      <c r="C41" s="72" t="n">
        <f aca="false">Hypothèses!$C$5</f>
        <v>0.055</v>
      </c>
      <c r="D41" s="5" t="str">
        <f aca="false">IF(K41="","sans effet",IF(AND(($C$39*Trajectoire!E31-Trajectoire!E32)&gt;=0,($C$39*Trajectoire!F31-Trajectoire!F32)&gt;=0),"tient partout (seuil "&amp;SUBSTITUTE(SUBSTITUTE(FIXED((K41)*100,1,TRUE()),".",","),"-","−")&amp;" %"&amp;")",IF(AND(($C$39*Trajectoire!E31-Trajectoire!E32)&lt;0,($C$39*Trajectoire!F31-Trajectoire!F32)&lt;0),"faux partout (il faudrait "&amp;SUBSTITUTE(SUBSTITUTE(FIXED((K41)*100,1,TRUE()),".",","),"-","−")&amp;" %"&amp;")","bascule à "&amp;SUBSTITUTE(SUBSTITUTE(FIXED((K41)*100,1,TRUE()),".",","),"-","−")&amp;" %")))</f>
        <v>tient partout (seuil 2,7 %)</v>
      </c>
      <c r="E41" s="5" t="str">
        <f aca="false">IF(L41="","sans effet",IF(AND((Trajectoire!E46)&gt;=0,(Trajectoire!F46)&gt;=0),"tient partout (seuil "&amp;SUBSTITUTE(SUBSTITUTE(FIXED((L41)*100,1,TRUE()),".",","),"-","−")&amp;" %"&amp;")",IF(AND((Trajectoire!E46)&lt;0,(Trajectoire!F46)&lt;0),"faux partout (il faudrait "&amp;SUBSTITUTE(SUBSTITUTE(FIXED((L41)*100,1,TRUE()),".",","),"-","−")&amp;" %"&amp;")","bascule à "&amp;SUBSTITUTE(SUBSTITUTE(FIXED((L41)*100,1,TRUE()),".",","),"-","−")&amp;" %")))</f>
        <v>tient partout (seuil −1,2 %)</v>
      </c>
      <c r="F41" s="5" t="str">
        <f aca="false">IF(M41="","sans effet",IF(AND((Trajectoire!E57-Trajectoire!E46)&gt;=0,(Trajectoire!F57-Trajectoire!F46)&gt;=0),"tient partout (seuil "&amp;SUBSTITUTE(SUBSTITUTE(FIXED((M41)*100,1,TRUE()),".",","),"-","−")&amp;" %"&amp;")",IF(AND((Trajectoire!E57-Trajectoire!E46)&lt;0,(Trajectoire!F57-Trajectoire!F46)&lt;0),"faux partout (il faudrait "&amp;SUBSTITUTE(SUBSTITUTE(FIXED((M41)*100,1,TRUE()),".",","),"-","−")&amp;" %"&amp;")","bascule à "&amp;SUBSTITUTE(SUBSTITUTE(FIXED((M41)*100,1,TRUE()),".",","),"-","−")&amp;" %")))</f>
        <v>tient partout (seuil −29,3 %)</v>
      </c>
      <c r="G41" s="5" t="str">
        <f aca="false">IF(N41="","sans effet",IF(AND((Trajectoire!E46-$C$6*(1-Hypothèses!$J$26/Trajectoire!E18))&gt;=0,(Trajectoire!F46-$C$6*(1-Hypothèses!$J$26/Trajectoire!F18))&gt;=0),"tient partout (seuil "&amp;SUBSTITUTE(SUBSTITUTE(FIXED((N41)*100,1,TRUE()),".",","),"-","−")&amp;" %"&amp;")",IF(AND((Trajectoire!E46-$C$6*(1-Hypothèses!$J$26/Trajectoire!E18))&lt;0,(Trajectoire!F46-$C$6*(1-Hypothèses!$J$26/Trajectoire!F18))&lt;0),"faux partout (il faudrait "&amp;SUBSTITUTE(SUBSTITUTE(FIXED((N41)*100,1,TRUE()),".",","),"-","−")&amp;" %"&amp;")","bascule à "&amp;SUBSTITUTE(SUBSTITUTE(FIXED((N41)*100,1,TRUE()),".",","),"-","−")&amp;" %")))</f>
        <v>faux partout (il faudrait 7,7 %)</v>
      </c>
      <c r="H41" s="2"/>
      <c r="I41" s="24"/>
      <c r="J41" s="130" t="n">
        <f aca="false">IF(COUNTIF(D41:G41,"bascule*")&gt;0,1,0)</f>
        <v>0</v>
      </c>
      <c r="K41" s="131" t="n">
        <f aca="false">IF(ABS(($C$39*Trajectoire!F31-Trajectoire!F32)-($C$39*Trajectoire!E31-Trajectoire!E32))&lt;0.000000001,"",(Trajectoire!E6+(0-($C$39*Trajectoire!E31-Trajectoire!E32))*(Trajectoire!F6-Trajectoire!E6)/(($C$39*Trajectoire!F31-Trajectoire!F32)-($C$39*Trajectoire!E31-Trajectoire!E32))))</f>
        <v>0.0267179128065521</v>
      </c>
      <c r="L41" s="131" t="n">
        <f aca="false">IF(ABS((Trajectoire!F46)-(Trajectoire!E46))&lt;0.000000001,"",(Trajectoire!E6+(0-(Trajectoire!E46))*(Trajectoire!F6-Trajectoire!E6)/((Trajectoire!F46)-(Trajectoire!E46))))</f>
        <v>-0.0116444575873088</v>
      </c>
      <c r="M41" s="131" t="n">
        <f aca="false">IF(ABS((Trajectoire!F57-Trajectoire!F46)-(Trajectoire!E57-Trajectoire!E46))&lt;0.000000001,"",(Trajectoire!E6+(0-(Trajectoire!E57-Trajectoire!E46))*(Trajectoire!F6-Trajectoire!E6)/((Trajectoire!F57-Trajectoire!F46)-(Trajectoire!E57-Trajectoire!E46))))</f>
        <v>-0.293388791427627</v>
      </c>
      <c r="N41" s="131" t="n">
        <f aca="false">IF(ABS((Trajectoire!F46-$C$6*(1-Hypothèses!$J$26/Trajectoire!F18))-(Trajectoire!E46-$C$6*(1-Hypothèses!$J$26/Trajectoire!E18)))&lt;0.000000001,"",(Trajectoire!E6+(0-(Trajectoire!E46-$C$6*(1-Hypothèses!$J$26/Trajectoire!E18)))*(Trajectoire!F6-Trajectoire!E6)/((Trajectoire!F46-$C$6*(1-Hypothèses!$J$26/Trajectoire!F18))-(Trajectoire!E46-$C$6*(1-Hypothèses!$J$26/Trajectoire!E18)))))</f>
        <v>0.0766801851693471</v>
      </c>
    </row>
    <row r="42" customFormat="false" ht="15" hidden="false" customHeight="false" outlineLevel="0" collapsed="false">
      <c r="A42" s="24" t="s">
        <v>2054</v>
      </c>
      <c r="B42" s="104" t="str">
        <f aca="false">Hypothèses!$B$6</f>
        <v>Croissance organique de l'EBITDA en 2027</v>
      </c>
      <c r="C42" s="72" t="n">
        <f aca="false">Hypothèses!$C$6</f>
        <v>0.055</v>
      </c>
      <c r="D42" s="5" t="str">
        <f aca="false">IF(K42="","sans effet",IF(AND(($C$39*Trajectoire!G31-Trajectoire!G32)&gt;=0,($C$39*Trajectoire!H31-Trajectoire!H32)&gt;=0),"tient partout (seuil "&amp;SUBSTITUTE(SUBSTITUTE(FIXED((K42)*100,1,TRUE()),".",","),"-","−")&amp;" %"&amp;")",IF(AND(($C$39*Trajectoire!G31-Trajectoire!G32)&lt;0,($C$39*Trajectoire!H31-Trajectoire!H32)&lt;0),"faux partout (il faudrait "&amp;SUBSTITUTE(SUBSTITUTE(FIXED((K42)*100,1,TRUE()),".",","),"-","−")&amp;" %"&amp;")","bascule à "&amp;SUBSTITUTE(SUBSTITUTE(FIXED((K42)*100,1,TRUE()),".",","),"-","−")&amp;" %")))</f>
        <v>sans effet</v>
      </c>
      <c r="E42" s="5" t="str">
        <f aca="false">IF(L42="","sans effet",IF(AND((Trajectoire!G46)&gt;=0,(Trajectoire!H46)&gt;=0),"tient partout (seuil "&amp;SUBSTITUTE(SUBSTITUTE(FIXED((L42)*100,1,TRUE()),".",","),"-","−")&amp;" %"&amp;")",IF(AND((Trajectoire!G46)&lt;0,(Trajectoire!H46)&lt;0),"faux partout (il faudrait "&amp;SUBSTITUTE(SUBSTITUTE(FIXED((L42)*100,1,TRUE()),".",","),"-","−")&amp;" %"&amp;")","bascule à "&amp;SUBSTITUTE(SUBSTITUTE(FIXED((L42)*100,1,TRUE()),".",","),"-","−")&amp;" %")))</f>
        <v>tient partout (seuil −1,0 %)</v>
      </c>
      <c r="F42" s="5" t="str">
        <f aca="false">IF(M42="","sans effet",IF(AND((Trajectoire!G57-Trajectoire!G46)&gt;=0,(Trajectoire!H57-Trajectoire!H46)&gt;=0),"tient partout (seuil "&amp;SUBSTITUTE(SUBSTITUTE(FIXED((M42)*100,1,TRUE()),".",","),"-","−")&amp;" %"&amp;")",IF(AND((Trajectoire!G57-Trajectoire!G46)&lt;0,(Trajectoire!H57-Trajectoire!H46)&lt;0),"faux partout (il faudrait "&amp;SUBSTITUTE(SUBSTITUTE(FIXED((M42)*100,1,TRUE()),".",","),"-","−")&amp;" %"&amp;")","bascule à "&amp;SUBSTITUTE(SUBSTITUTE(FIXED((M42)*100,1,TRUE()),".",","),"-","−")&amp;" %")))</f>
        <v>tient partout (seuil −28,7 %)</v>
      </c>
      <c r="G42" s="5" t="str">
        <f aca="false">IF(N42="","sans effet",IF(AND((Trajectoire!G46-$C$6*(1-Hypothèses!$J$26/Trajectoire!G18))&gt;=0,(Trajectoire!H46-$C$6*(1-Hypothèses!$J$26/Trajectoire!H18))&gt;=0),"tient partout (seuil "&amp;SUBSTITUTE(SUBSTITUTE(FIXED((N42)*100,1,TRUE()),".",","),"-","−")&amp;" %"&amp;")",IF(AND((Trajectoire!G46-$C$6*(1-Hypothèses!$J$26/Trajectoire!G18))&lt;0,(Trajectoire!H46-$C$6*(1-Hypothèses!$J$26/Trajectoire!H18))&lt;0),"faux partout (il faudrait "&amp;SUBSTITUTE(SUBSTITUTE(FIXED((N42)*100,1,TRUE()),".",","),"-","−")&amp;" %"&amp;")","bascule à "&amp;SUBSTITUTE(SUBSTITUTE(FIXED((N42)*100,1,TRUE()),".",","),"-","−")&amp;" %")))</f>
        <v>faux partout (il faudrait 7,6 %)</v>
      </c>
      <c r="H42" s="2"/>
      <c r="I42" s="24"/>
      <c r="J42" s="130" t="n">
        <f aca="false">IF(COUNTIF(D42:G42,"bascule*")&gt;0,1,0)</f>
        <v>0</v>
      </c>
      <c r="K42" s="131" t="str">
        <f aca="false">IF(ABS(($C$39*Trajectoire!H31-Trajectoire!H32)-($C$39*Trajectoire!G31-Trajectoire!G32))&lt;0.000000001,"",(Trajectoire!G7+(0-($C$39*Trajectoire!G31-Trajectoire!G32))*(Trajectoire!H7-Trajectoire!G7)/(($C$39*Trajectoire!H31-Trajectoire!H32)-($C$39*Trajectoire!G31-Trajectoire!G32))))</f>
        <v/>
      </c>
      <c r="L42" s="131" t="n">
        <f aca="false">IF(ABS((Trajectoire!H46)-(Trajectoire!G46))&lt;0.000000001,"",(Trajectoire!G7+(0-(Trajectoire!G46))*(Trajectoire!H7-Trajectoire!G7)/((Trajectoire!H46)-(Trajectoire!G46))))</f>
        <v>-0.0103692802127902</v>
      </c>
      <c r="M42" s="131" t="n">
        <f aca="false">IF(ABS((Trajectoire!H57-Trajectoire!H46)-(Trajectoire!G57-Trajectoire!G46))&lt;0.000000001,"",(Trajectoire!G7+(0-(Trajectoire!G57-Trajectoire!G46))*(Trajectoire!H7-Trajectoire!G7)/((Trajectoire!H57-Trajectoire!H46)-(Trajectoire!G57-Trajectoire!G46))))</f>
        <v>-0.286722708148572</v>
      </c>
      <c r="N42" s="131" t="n">
        <f aca="false">IF(ABS((Trajectoire!H46-$C$6*(1-Hypothèses!$J$26/Trajectoire!H18))-(Trajectoire!G46-$C$6*(1-Hypothèses!$J$26/Trajectoire!G18)))&lt;0.000000001,"",(Trajectoire!G7+(0-(Trajectoire!G46-$C$6*(1-Hypothèses!$J$26/Trajectoire!G18)))*(Trajectoire!H7-Trajectoire!G7)/((Trajectoire!H46-$C$6*(1-Hypothèses!$J$26/Trajectoire!H18))-(Trajectoire!G46-$C$6*(1-Hypothèses!$J$26/Trajectoire!G18)))))</f>
        <v>0.0762653557506047</v>
      </c>
    </row>
    <row r="43" customFormat="false" ht="15" hidden="false" customHeight="false" outlineLevel="0" collapsed="false">
      <c r="A43" s="24" t="s">
        <v>2058</v>
      </c>
      <c r="B43" s="104" t="str">
        <f aca="false">Hypothèses!$B$7</f>
        <v>EBITDA de Clean Earth en année pleine</v>
      </c>
      <c r="C43" s="61" t="n">
        <f aca="false">Hypothèses!$C$7</f>
        <v>200</v>
      </c>
      <c r="D43" s="5" t="str">
        <f aca="false">IF(K43="","sans effet",IF(AND(($C$39*Trajectoire!I31-Trajectoire!I32)&gt;=0,($C$39*Trajectoire!J31-Trajectoire!J32)&gt;=0),"tient partout (seuil "&amp;SUBSTITUTE(SUBSTITUTE(FIXED(K43,0,FALSE()),","," "),"-","−")&amp;")",IF(AND(($C$39*Trajectoire!I31-Trajectoire!I32)&lt;0,($C$39*Trajectoire!J31-Trajectoire!J32)&lt;0),"faux partout (il faudrait "&amp;SUBSTITUTE(SUBSTITUTE(FIXED(K43,0,FALSE()),","," "),"-","−")&amp;")","bascule à "&amp;SUBSTITUTE(SUBSTITUTE(FIXED(K43,0,FALSE()),","," "),"-","−"))))</f>
        <v>tient partout (seuil −202)</v>
      </c>
      <c r="E43" s="5" t="str">
        <f aca="false">IF(L43="","sans effet",IF(AND((Trajectoire!I46)&gt;=0,(Trajectoire!J46)&gt;=0),"tient partout (seuil "&amp;SUBSTITUTE(SUBSTITUTE(FIXED(L43,0,FALSE()),","," "),"-","−")&amp;")",IF(AND((Trajectoire!I46)&lt;0,(Trajectoire!J46)&lt;0),"faux partout (il faudrait "&amp;SUBSTITUTE(SUBSTITUTE(FIXED(L43,0,FALSE()),","," "),"-","−")&amp;")","bascule à "&amp;SUBSTITUTE(SUBSTITUTE(FIXED(L43,0,FALSE()),","," "),"-","−"))))</f>
        <v>tient partout (seuil −352)</v>
      </c>
      <c r="F43" s="5" t="str">
        <f aca="false">IF(M43="","sans effet",IF(AND((Trajectoire!I57-Trajectoire!I46)&gt;=0,(Trajectoire!J57-Trajectoire!J46)&gt;=0),"tient partout (seuil "&amp;SUBSTITUTE(SUBSTITUTE(FIXED(M43,0,FALSE()),","," "),"-","−")&amp;")",IF(AND((Trajectoire!I57-Trajectoire!I46)&lt;0,(Trajectoire!J57-Trajectoire!J46)&lt;0),"faux partout (il faudrait "&amp;SUBSTITUTE(SUBSTITUTE(FIXED(M43,0,FALSE()),","," "),"-","−")&amp;")","bascule à "&amp;SUBSTITUTE(SUBSTITUTE(FIXED(M43,0,FALSE()),","," "),"-","−"))))</f>
        <v>tient partout (seuil −2 688)</v>
      </c>
      <c r="G43" s="5" t="str">
        <f aca="false">IF(N43="","sans effet",IF(AND((Trajectoire!I46-$C$6*(1-Hypothèses!$J$26/Trajectoire!I18))&gt;=0,(Trajectoire!J46-$C$6*(1-Hypothèses!$J$26/Trajectoire!J18))&gt;=0),"tient partout (seuil "&amp;SUBSTITUTE(SUBSTITUTE(FIXED(N43,0,FALSE()),","," "),"-","−")&amp;")",IF(AND((Trajectoire!I46-$C$6*(1-Hypothèses!$J$26/Trajectoire!I18))&lt;0,(Trajectoire!J46-$C$6*(1-Hypothèses!$J$26/Trajectoire!J18))&lt;0),"faux partout (il faudrait "&amp;SUBSTITUTE(SUBSTITUTE(FIXED(N43,0,FALSE()),","," "),"-","−")&amp;")","bascule à "&amp;SUBSTITUTE(SUBSTITUTE(FIXED(N43,0,FALSE()),","," "),"-","−"))))</f>
        <v>faux partout (il faudrait 380)</v>
      </c>
      <c r="H43" s="2"/>
      <c r="I43" s="24"/>
      <c r="J43" s="130" t="n">
        <f aca="false">IF(COUNTIF(D43:G43,"bascule*")&gt;0,1,0)</f>
        <v>0</v>
      </c>
      <c r="K43" s="131" t="n">
        <f aca="false">IF(ABS(($C$39*Trajectoire!J31-Trajectoire!J32)-($C$39*Trajectoire!I31-Trajectoire!I32))&lt;0.000000001,"",(Trajectoire!I8+(0-($C$39*Trajectoire!I31-Trajectoire!I32))*(Trajectoire!J8-Trajectoire!I8)/(($C$39*Trajectoire!J31-Trajectoire!J32)-($C$39*Trajectoire!I31-Trajectoire!I32))))</f>
        <v>-201.914938707163</v>
      </c>
      <c r="L43" s="131" t="n">
        <f aca="false">IF(ABS((Trajectoire!J46)-(Trajectoire!I46))&lt;0.000000001,"",(Trajectoire!I8+(0-(Trajectoire!I46))*(Trajectoire!J8-Trajectoire!I8)/((Trajectoire!J46)-(Trajectoire!I46))))</f>
        <v>-352.463414746539</v>
      </c>
      <c r="M43" s="131" t="n">
        <f aca="false">IF(ABS((Trajectoire!J57-Trajectoire!J46)-(Trajectoire!I57-Trajectoire!I46))&lt;0.000000001,"",(Trajectoire!I8+(0-(Trajectoire!I57-Trajectoire!I46))*(Trajectoire!J8-Trajectoire!I8)/((Trajectoire!J57-Trajectoire!J46)-(Trajectoire!I57-Trajectoire!I46))))</f>
        <v>-2688.04303222604</v>
      </c>
      <c r="N43" s="131" t="n">
        <f aca="false">IF(ABS((Trajectoire!J46-$C$6*(1-Hypothèses!$J$26/Trajectoire!J18))-(Trajectoire!I46-$C$6*(1-Hypothèses!$J$26/Trajectoire!I18)))&lt;0.000000001,"",(Trajectoire!I8+(0-(Trajectoire!I46-$C$6*(1-Hypothèses!$J$26/Trajectoire!I18)))*(Trajectoire!J8-Trajectoire!I8)/((Trajectoire!J46-$C$6*(1-Hypothèses!$J$26/Trajectoire!J18))-(Trajectoire!I46-$C$6*(1-Hypothèses!$J$26/Trajectoire!I18)))))</f>
        <v>379.722509036904</v>
      </c>
    </row>
    <row r="44" customFormat="false" ht="15" hidden="false" customHeight="false" outlineLevel="0" collapsed="false">
      <c r="A44" s="24" t="s">
        <v>2061</v>
      </c>
      <c r="B44" s="104" t="str">
        <f aca="false">Hypothèses!$B$8</f>
        <v>Part des synergies réalisée en 2027</v>
      </c>
      <c r="C44" s="72" t="n">
        <f aca="false">Hypothèses!$C$8</f>
        <v>0.25</v>
      </c>
      <c r="D44" s="5" t="str">
        <f aca="false">IF(K44="","sans effet",IF(AND(($C$39*Trajectoire!K31-Trajectoire!K32)&gt;=0,($C$39*Trajectoire!L31-Trajectoire!L32)&gt;=0),"tient partout (seuil "&amp;SUBSTITUTE(SUBSTITUTE(FIXED((K44)*100,1,TRUE()),".",","),"-","−")&amp;" %"&amp;")",IF(AND(($C$39*Trajectoire!K31-Trajectoire!K32)&lt;0,($C$39*Trajectoire!L31-Trajectoire!L32)&lt;0),"faux partout (il faudrait "&amp;SUBSTITUTE(SUBSTITUTE(FIXED((K44)*100,1,TRUE()),".",","),"-","−")&amp;" %"&amp;")","bascule à "&amp;SUBSTITUTE(SUBSTITUTE(FIXED((K44)*100,1,TRUE()),".",","),"-","−")&amp;" %")))</f>
        <v>sans effet</v>
      </c>
      <c r="E44" s="5" t="str">
        <f aca="false">IF(L44="","sans effet",IF(AND((Trajectoire!K46)&gt;=0,(Trajectoire!L46)&gt;=0),"tient partout (seuil "&amp;SUBSTITUTE(SUBSTITUTE(FIXED((L44)*100,1,TRUE()),".",","),"-","−")&amp;" %"&amp;")",IF(AND((Trajectoire!K46)&lt;0,(Trajectoire!L46)&lt;0),"faux partout (il faudrait "&amp;SUBSTITUTE(SUBSTITUTE(FIXED((L44)*100,1,TRUE()),".",","),"-","−")&amp;" %"&amp;")","bascule à "&amp;SUBSTITUTE(SUBSTITUTE(FIXED((L44)*100,1,TRUE()),".",","),"-","−")&amp;" %")))</f>
        <v>tient partout (seuil −460,7 %)</v>
      </c>
      <c r="F44" s="5" t="str">
        <f aca="false">IF(M44="","sans effet",IF(AND((Trajectoire!K57-Trajectoire!K46)&gt;=0,(Trajectoire!L57-Trajectoire!L46)&gt;=0),"tient partout (seuil "&amp;SUBSTITUTE(SUBSTITUTE(FIXED((M44)*100,1,TRUE()),".",","),"-","−")&amp;" %"&amp;")",IF(AND((Trajectoire!K57-Trajectoire!K46)&lt;0,(Trajectoire!L57-Trajectoire!L46)&lt;0),"faux partout (il faudrait "&amp;SUBSTITUTE(SUBSTITUTE(FIXED((M44)*100,1,TRUE()),".",","),"-","−")&amp;" %"&amp;")","bascule à "&amp;SUBSTITUTE(SUBSTITUTE(FIXED((M44)*100,1,TRUE()),".",","),"-","−")&amp;" %")))</f>
        <v>tient partout (seuil −2514,1 %)</v>
      </c>
      <c r="G44" s="5" t="str">
        <f aca="false">IF(N44="","sans effet",IF(AND((Trajectoire!K46-$C$6*(1-Hypothèses!$J$26/Trajectoire!K18))&gt;=0,(Trajectoire!L46-$C$6*(1-Hypothèses!$J$26/Trajectoire!L18))&gt;=0),"tient partout (seuil "&amp;SUBSTITUTE(SUBSTITUTE(FIXED((N44)*100,1,TRUE()),".",","),"-","−")&amp;" %"&amp;")",IF(AND((Trajectoire!K46-$C$6*(1-Hypothèses!$J$26/Trajectoire!K18))&lt;0,(Trajectoire!L46-$C$6*(1-Hypothèses!$J$26/Trajectoire!L18))&lt;0),"faux partout (il faudrait "&amp;SUBSTITUTE(SUBSTITUTE(FIXED((N44)*100,1,TRUE()),".",","),"-","−")&amp;" %"&amp;")","bascule à "&amp;SUBSTITUTE(SUBSTITUTE(FIXED((N44)*100,1,TRUE()),".",","),"-","−")&amp;" %")))</f>
        <v>faux partout (il faudrait 183,0 %)</v>
      </c>
      <c r="H44" s="2"/>
      <c r="I44" s="24"/>
      <c r="J44" s="130" t="n">
        <f aca="false">IF(COUNTIF(D44:G44,"bascule*")&gt;0,1,0)</f>
        <v>0</v>
      </c>
      <c r="K44" s="131" t="str">
        <f aca="false">IF(ABS(($C$39*Trajectoire!L31-Trajectoire!L32)-($C$39*Trajectoire!K31-Trajectoire!K32))&lt;0.000000001,"",(Trajectoire!K9+(0-($C$39*Trajectoire!K31-Trajectoire!K32))*(Trajectoire!L9-Trajectoire!K9)/(($C$39*Trajectoire!L31-Trajectoire!L32)-($C$39*Trajectoire!K31-Trajectoire!K32))))</f>
        <v/>
      </c>
      <c r="L44" s="131" t="n">
        <f aca="false">IF(ABS((Trajectoire!L46)-(Trajectoire!K46))&lt;0.000000001,"",(Trajectoire!K9+(0-(Trajectoire!K46))*(Trajectoire!L9-Trajectoire!K9)/((Trajectoire!L46)-(Trajectoire!K46))))</f>
        <v>-4.60707418797986</v>
      </c>
      <c r="M44" s="131" t="n">
        <f aca="false">IF(ABS((Trajectoire!L57-Trajectoire!L46)-(Trajectoire!K57-Trajectoire!K46))&lt;0.000000001,"",(Trajectoire!K9+(0-(Trajectoire!K57-Trajectoire!K46))*(Trajectoire!L9-Trajectoire!K9)/((Trajectoire!L57-Trajectoire!L46)-(Trajectoire!K57-Trajectoire!K46))))</f>
        <v>-25.1407116583224</v>
      </c>
      <c r="N44" s="131" t="n">
        <f aca="false">IF(ABS((Trajectoire!L46-$C$6*(1-Hypothèses!$J$26/Trajectoire!L18))-(Trajectoire!K46-$C$6*(1-Hypothèses!$J$26/Trajectoire!K18)))&lt;0.000000001,"",(Trajectoire!K9+(0-(Trajectoire!K46-$C$6*(1-Hypothèses!$J$26/Trajectoire!K18)))*(Trajectoire!L9-Trajectoire!K9)/((Trajectoire!L46-$C$6*(1-Hypothèses!$J$26/Trajectoire!L18))-(Trajectoire!K46-$C$6*(1-Hypothèses!$J$26/Trajectoire!K18)))))</f>
        <v>1.8300603919494</v>
      </c>
    </row>
    <row r="45" customFormat="false" ht="15" hidden="false" customHeight="false" outlineLevel="0" collapsed="false">
      <c r="A45" s="24" t="s">
        <v>2064</v>
      </c>
      <c r="B45" s="104" t="str">
        <f aca="false">Hypothèses!$B$9</f>
        <v>Cash-flow libre net du S2 2026</v>
      </c>
      <c r="C45" s="61" t="n">
        <f aca="false">Hypothèses!$C$9</f>
        <v>1629</v>
      </c>
      <c r="D45" s="5" t="str">
        <f aca="false">IF(K45="","sans effet",IF(AND(($C$39*Trajectoire!M31-Trajectoire!M32)&gt;=0,($C$39*Trajectoire!N31-Trajectoire!N32)&gt;=0),"tient partout (seuil "&amp;SUBSTITUTE(SUBSTITUTE(FIXED(K45,0,FALSE()),","," "),"-","−")&amp;")",IF(AND(($C$39*Trajectoire!M31-Trajectoire!M32)&lt;0,($C$39*Trajectoire!N31-Trajectoire!N32)&lt;0),"faux partout (il faudrait "&amp;SUBSTITUTE(SUBSTITUTE(FIXED(K45,0,FALSE()),","," "),"-","−")&amp;")","bascule à "&amp;SUBSTITUTE(SUBSTITUTE(FIXED(K45,0,FALSE()),","," "),"-","−"))))</f>
        <v>tient partout (seuil 1 011)</v>
      </c>
      <c r="E45" s="5" t="str">
        <f aca="false">IF(L45="","sans effet",IF(AND((Trajectoire!M46)&gt;=0,(Trajectoire!N46)&gt;=0),"tient partout (seuil "&amp;SUBSTITUTE(SUBSTITUTE(FIXED(L45,0,FALSE()),","," "),"-","−")&amp;")",IF(AND((Trajectoire!M46)&lt;0,(Trajectoire!N46)&lt;0),"faux partout (il faudrait "&amp;SUBSTITUTE(SUBSTITUTE(FIXED(L45,0,FALSE()),","," "),"-","−")&amp;")","bascule à "&amp;SUBSTITUTE(SUBSTITUTE(FIXED(L45,0,FALSE()),","," "),"-","−"))))</f>
        <v>tient partout (seuil 58)</v>
      </c>
      <c r="F45" s="5" t="str">
        <f aca="false">IF(M45="","sans effet",IF(AND((Trajectoire!M57-Trajectoire!M46)&gt;=0,(Trajectoire!N57-Trajectoire!N46)&gt;=0),"tient partout (seuil "&amp;SUBSTITUTE(SUBSTITUTE(FIXED(M45,0,FALSE()),","," "),"-","−")&amp;")",IF(AND((Trajectoire!M57-Trajectoire!M46)&lt;0,(Trajectoire!N57-Trajectoire!N46)&lt;0),"faux partout (il faudrait "&amp;SUBSTITUTE(SUBSTITUTE(FIXED(M45,0,FALSE()),","," "),"-","−")&amp;")","bascule à "&amp;SUBSTITUTE(SUBSTITUTE(FIXED(M45,0,FALSE()),","," "),"-","−"))))</f>
        <v>sans effet</v>
      </c>
      <c r="G45" s="5" t="str">
        <f aca="false">IF(N45="","sans effet",IF(AND((Trajectoire!M46-$C$6*(1-Hypothèses!$J$26/Trajectoire!M18))&gt;=0,(Trajectoire!N46-$C$6*(1-Hypothèses!$J$26/Trajectoire!N18))&gt;=0),"tient partout (seuil "&amp;SUBSTITUTE(SUBSTITUTE(FIXED(N45,0,FALSE()),","," "),"-","−")&amp;")",IF(AND((Trajectoire!M46-$C$6*(1-Hypothèses!$J$26/Trajectoire!M18))&lt;0,(Trajectoire!N46-$C$6*(1-Hypothèses!$J$26/Trajectoire!N18))&lt;0),"faux partout (il faudrait "&amp;SUBSTITUTE(SUBSTITUTE(FIXED(N45,0,FALSE()),","," "),"-","−")&amp;")","bascule à "&amp;SUBSTITUTE(SUBSTITUTE(FIXED(N45,0,FALSE()),","," "),"-","−"))))</f>
        <v>faux partout (il faudrait 2 140)</v>
      </c>
      <c r="H45" s="2"/>
      <c r="I45" s="24"/>
      <c r="J45" s="130" t="n">
        <f aca="false">IF(COUNTIF(D45:G45,"bascule*")&gt;0,1,0)</f>
        <v>0</v>
      </c>
      <c r="K45" s="131" t="n">
        <f aca="false">IF(ABS(($C$39*Trajectoire!N31-Trajectoire!N32)-($C$39*Trajectoire!M31-Trajectoire!M32))&lt;0.000000001,"",(Trajectoire!M10+(0-($C$39*Trajectoire!M31-Trajectoire!M32))*(Trajectoire!N10-Trajectoire!M10)/(($C$39*Trajectoire!N31-Trajectoire!N32)-($C$39*Trajectoire!M31-Trajectoire!M32))))</f>
        <v>1010.8949843872</v>
      </c>
      <c r="L45" s="131" t="n">
        <f aca="false">IF(ABS((Trajectoire!N46)-(Trajectoire!M46))&lt;0.000000001,"",(Trajectoire!M10+(0-(Trajectoire!M46))*(Trajectoire!N10-Trajectoire!M10)/((Trajectoire!N46)-(Trajectoire!M46))))</f>
        <v>58.3253306270226</v>
      </c>
      <c r="M45" s="131" t="str">
        <f aca="false">IF(ABS((Trajectoire!N57-Trajectoire!N46)-(Trajectoire!M57-Trajectoire!M46))&lt;0.000000001,"",(Trajectoire!M10+(0-(Trajectoire!M57-Trajectoire!M46))*(Trajectoire!N10-Trajectoire!M10)/((Trajectoire!N57-Trajectoire!N46)-(Trajectoire!M57-Trajectoire!M46))))</f>
        <v/>
      </c>
      <c r="N45" s="131" t="n">
        <f aca="false">IF(ABS((Trajectoire!N46-$C$6*(1-Hypothèses!$J$26/Trajectoire!N18))-(Trajectoire!M46-$C$6*(1-Hypothèses!$J$26/Trajectoire!M18)))&lt;0.000000001,"",(Trajectoire!M10+(0-(Trajectoire!M46-$C$6*(1-Hypothèses!$J$26/Trajectoire!M18)))*(Trajectoire!N10-Trajectoire!M10)/((Trajectoire!N46-$C$6*(1-Hypothèses!$J$26/Trajectoire!N18))-(Trajectoire!M46-$C$6*(1-Hypothèses!$J$26/Trajectoire!M18)))))</f>
        <v>2139.95798368826</v>
      </c>
    </row>
    <row r="46" customFormat="false" ht="15" hidden="false" customHeight="false" outlineLevel="0" collapsed="false">
      <c r="A46" s="24" t="s">
        <v>2068</v>
      </c>
      <c r="B46" s="104" t="str">
        <f aca="false">Hypothèses!$B$10</f>
        <v>Conversion cash-flow libre net / EBITDA en 2027</v>
      </c>
      <c r="C46" s="72" t="n">
        <f aca="false">Hypothèses!$C$10</f>
        <v>0.168696364464616</v>
      </c>
      <c r="D46" s="5" t="str">
        <f aca="false">IF(K46="","sans effet",IF(AND(($C$39*Trajectoire!O31-Trajectoire!O32)&gt;=0,($C$39*Trajectoire!P31-Trajectoire!P32)&gt;=0),"tient partout (seuil "&amp;SUBSTITUTE(SUBSTITUTE(FIXED((K46)*100,1,TRUE()),".",","),"-","−")&amp;" %"&amp;")",IF(AND(($C$39*Trajectoire!O31-Trajectoire!O32)&lt;0,($C$39*Trajectoire!P31-Trajectoire!P32)&lt;0),"faux partout (il faudrait "&amp;SUBSTITUTE(SUBSTITUTE(FIXED((K46)*100,1,TRUE()),".",","),"-","−")&amp;" %"&amp;")","bascule à "&amp;SUBSTITUTE(SUBSTITUTE(FIXED((K46)*100,1,TRUE()),".",","),"-","−")&amp;" %")))</f>
        <v>sans effet</v>
      </c>
      <c r="E46" s="5" t="str">
        <f aca="false">IF(L46="","sans effet",IF(AND((Trajectoire!O46)&gt;=0,(Trajectoire!P46)&gt;=0),"tient partout (seuil "&amp;SUBSTITUTE(SUBSTITUTE(FIXED((L46)*100,1,TRUE()),".",","),"-","−")&amp;" %"&amp;")",IF(AND((Trajectoire!O46)&lt;0,(Trajectoire!P46)&lt;0),"faux partout (il faudrait "&amp;SUBSTITUTE(SUBSTITUTE(FIXED((L46)*100,1,TRUE()),".",","),"-","−")&amp;" %"&amp;")","bascule à "&amp;SUBSTITUTE(SUBSTITUTE(FIXED((L46)*100,1,TRUE()),".",","),"-","−")&amp;" %")))</f>
        <v>tient partout (seuil −2,8 %)</v>
      </c>
      <c r="F46" s="5" t="str">
        <f aca="false">IF(M46="","sans effet",IF(AND((Trajectoire!O57-Trajectoire!O46)&gt;=0,(Trajectoire!P57-Trajectoire!P46)&gt;=0),"tient partout (seuil "&amp;SUBSTITUTE(SUBSTITUTE(FIXED((M46)*100,1,TRUE()),".",","),"-","−")&amp;" %"&amp;")",IF(AND((Trajectoire!O57-Trajectoire!O46)&lt;0,(Trajectoire!P57-Trajectoire!P46)&lt;0),"faux partout (il faudrait "&amp;SUBSTITUTE(SUBSTITUTE(FIXED((M46)*100,1,TRUE()),".",","),"-","−")&amp;" %"&amp;")","bascule à "&amp;SUBSTITUTE(SUBSTITUTE(FIXED((M46)*100,1,TRUE()),".",","),"-","−")&amp;" %")))</f>
        <v>sans effet</v>
      </c>
      <c r="G46" s="5" t="str">
        <f aca="false">IF(N46="","sans effet",IF(AND((Trajectoire!O46-$C$6*(1-Hypothèses!$J$26/Trajectoire!O18))&gt;=0,(Trajectoire!P46-$C$6*(1-Hypothèses!$J$26/Trajectoire!P18))&gt;=0),"tient partout (seuil "&amp;SUBSTITUTE(SUBSTITUTE(FIXED((N46)*100,1,TRUE()),".",","),"-","−")&amp;" %"&amp;")",IF(AND((Trajectoire!O46-$C$6*(1-Hypothèses!$J$26/Trajectoire!O18))&lt;0,(Trajectoire!P46-$C$6*(1-Hypothèses!$J$26/Trajectoire!P18))&lt;0),"faux partout (il faudrait "&amp;SUBSTITUTE(SUBSTITUTE(FIXED((N46)*100,1,TRUE()),".",","),"-","−")&amp;" %"&amp;")","bascule à "&amp;SUBSTITUTE(SUBSTITUTE(FIXED((N46)*100,1,TRUE()),".",","),"-","−")&amp;" %")))</f>
        <v>faux partout (il faudrait 23,3 %)</v>
      </c>
      <c r="H46" s="2"/>
      <c r="I46" s="24"/>
      <c r="J46" s="130" t="n">
        <f aca="false">IF(COUNTIF(D46:G46,"bascule*")&gt;0,1,0)</f>
        <v>0</v>
      </c>
      <c r="K46" s="131" t="str">
        <f aca="false">IF(ABS(($C$39*Trajectoire!P31-Trajectoire!P32)-($C$39*Trajectoire!O31-Trajectoire!O32))&lt;0.000000001,"",(Trajectoire!O11+(0-($C$39*Trajectoire!O31-Trajectoire!O32))*(Trajectoire!P11-Trajectoire!O11)/(($C$39*Trajectoire!P31-Trajectoire!P32)-($C$39*Trajectoire!O31-Trajectoire!O32))))</f>
        <v/>
      </c>
      <c r="L46" s="131" t="n">
        <f aca="false">IF(ABS((Trajectoire!P46)-(Trajectoire!O46))&lt;0.000000001,"",(Trajectoire!O11+(0-(Trajectoire!O46))*(Trajectoire!P11-Trajectoire!O11)/((Trajectoire!P46)-(Trajectoire!O46))))</f>
        <v>-0.0280947581218652</v>
      </c>
      <c r="M46" s="131" t="str">
        <f aca="false">IF(ABS((Trajectoire!P57-Trajectoire!P46)-(Trajectoire!O57-Trajectoire!O46))&lt;0.000000001,"",(Trajectoire!O11+(0-(Trajectoire!O57-Trajectoire!O46))*(Trajectoire!P11-Trajectoire!O11)/((Trajectoire!P57-Trajectoire!P46)-(Trajectoire!O57-Trajectoire!O46))))</f>
        <v/>
      </c>
      <c r="N46" s="131" t="n">
        <f aca="false">IF(ABS((Trajectoire!P46-$C$6*(1-Hypothèses!$J$26/Trajectoire!P18))-(Trajectoire!O46-$C$6*(1-Hypothèses!$J$26/Trajectoire!O18)))&lt;0.000000001,"",(Trajectoire!O11+(0-(Trajectoire!O46-$C$6*(1-Hypothèses!$J$26/Trajectoire!O18)))*(Trajectoire!P11-Trajectoire!O11)/((Trajectoire!P46-$C$6*(1-Hypothèses!$J$26/Trajectoire!P18))-(Trajectoire!O46-$C$6*(1-Hypothèses!$J$26/Trajectoire!O18)))))</f>
        <v>0.232714710953058</v>
      </c>
    </row>
    <row r="47" customFormat="false" ht="15" hidden="false" customHeight="false" outlineLevel="0" collapsed="false">
      <c r="A47" s="24" t="s">
        <v>2072</v>
      </c>
      <c r="B47" s="104" t="str">
        <f aca="false">Hypothèses!$B$11</f>
        <v>Croissance du dividende versé en 2027</v>
      </c>
      <c r="C47" s="72" t="n">
        <f aca="false">Hypothèses!$C$11</f>
        <v>0.08</v>
      </c>
      <c r="D47" s="5" t="str">
        <f aca="false">IF(K47="","sans effet",IF(AND(($C$39*Trajectoire!Q31-Trajectoire!Q32)&gt;=0,($C$39*Trajectoire!R31-Trajectoire!R32)&gt;=0),"tient partout (seuil "&amp;SUBSTITUTE(SUBSTITUTE(FIXED((K47)*100,1,TRUE()),".",","),"-","−")&amp;" %"&amp;")",IF(AND(($C$39*Trajectoire!Q31-Trajectoire!Q32)&lt;0,($C$39*Trajectoire!R31-Trajectoire!R32)&lt;0),"faux partout (il faudrait "&amp;SUBSTITUTE(SUBSTITUTE(FIXED((K47)*100,1,TRUE()),".",","),"-","−")&amp;" %"&amp;")","bascule à "&amp;SUBSTITUTE(SUBSTITUTE(FIXED((K47)*100,1,TRUE()),".",","),"-","−")&amp;" %")))</f>
        <v>sans effet</v>
      </c>
      <c r="E47" s="5" t="str">
        <f aca="false">IF(L47="","sans effet",IF(AND((Trajectoire!Q46)&gt;=0,(Trajectoire!R46)&gt;=0),"tient partout (seuil "&amp;SUBSTITUTE(SUBSTITUTE(FIXED((L47)*100,1,TRUE()),".",","),"-","−")&amp;" %"&amp;")",IF(AND((Trajectoire!Q46)&lt;0,(Trajectoire!R46)&lt;0),"faux partout (il faudrait "&amp;SUBSTITUTE(SUBSTITUTE(FIXED((L47)*100,1,TRUE()),".",","),"-","−")&amp;" %"&amp;")","bascule à "&amp;SUBSTITUTE(SUBSTITUTE(FIXED((L47)*100,1,TRUE()),".",","),"-","−")&amp;" %")))</f>
        <v>tient partout (seuil 150,9 %)</v>
      </c>
      <c r="F47" s="5" t="str">
        <f aca="false">IF(M47="","sans effet",IF(AND((Trajectoire!Q57-Trajectoire!Q46)&gt;=0,(Trajectoire!R57-Trajectoire!R46)&gt;=0),"tient partout (seuil "&amp;SUBSTITUTE(SUBSTITUTE(FIXED((M47)*100,1,TRUE()),".",","),"-","−")&amp;" %"&amp;")",IF(AND((Trajectoire!Q57-Trajectoire!Q46)&lt;0,(Trajectoire!R57-Trajectoire!R46)&lt;0),"faux partout (il faudrait "&amp;SUBSTITUTE(SUBSTITUTE(FIXED((M47)*100,1,TRUE()),".",","),"-","−")&amp;" %"&amp;")","bascule à "&amp;SUBSTITUTE(SUBSTITUTE(FIXED((M47)*100,1,TRUE()),".",","),"-","−")&amp;" %")))</f>
        <v>sans effet</v>
      </c>
      <c r="G47" s="5" t="str">
        <f aca="false">IF(N47="","sans effet",IF(AND((Trajectoire!Q46-$C$6*(1-Hypothèses!$J$26/Trajectoire!Q18))&gt;=0,(Trajectoire!R46-$C$6*(1-Hypothèses!$J$26/Trajectoire!R18))&gt;=0),"tient partout (seuil "&amp;SUBSTITUTE(SUBSTITUTE(FIXED((N47)*100,1,TRUE()),".",","),"-","−")&amp;" %"&amp;")",IF(AND((Trajectoire!Q46-$C$6*(1-Hypothèses!$J$26/Trajectoire!Q18))&lt;0,(Trajectoire!R46-$C$6*(1-Hypothèses!$J$26/Trajectoire!R18))&lt;0),"faux partout (il faudrait "&amp;SUBSTITUTE(SUBSTITUTE(FIXED((N47)*100,1,TRUE()),".",","),"-","−")&amp;" %"&amp;")","bascule à "&amp;SUBSTITUTE(SUBSTITUTE(FIXED((N47)*100,1,TRUE()),".",","),"-","−")&amp;" %")))</f>
        <v>faux partout (il faudrait −38,5 %)</v>
      </c>
      <c r="H47" s="2"/>
      <c r="I47" s="24"/>
      <c r="J47" s="130" t="n">
        <f aca="false">IF(COUNTIF(D47:G47,"bascule*")&gt;0,1,0)</f>
        <v>0</v>
      </c>
      <c r="K47" s="131" t="str">
        <f aca="false">IF(ABS(($C$39*Trajectoire!R31-Trajectoire!R32)-($C$39*Trajectoire!Q31-Trajectoire!Q32))&lt;0.000000001,"",(Trajectoire!Q12+(0-($C$39*Trajectoire!Q31-Trajectoire!Q32))*(Trajectoire!R12-Trajectoire!Q12)/(($C$39*Trajectoire!R31-Trajectoire!R32)-($C$39*Trajectoire!Q31-Trajectoire!Q32))))</f>
        <v/>
      </c>
      <c r="L47" s="131" t="n">
        <f aca="false">IF(ABS((Trajectoire!R46)-(Trajectoire!Q46))&lt;0.000000001,"",(Trajectoire!Q12+(0-(Trajectoire!Q46))*(Trajectoire!R12-Trajectoire!Q12)/((Trajectoire!R46)-(Trajectoire!Q46))))</f>
        <v>1.50918532245035</v>
      </c>
      <c r="M47" s="131" t="str">
        <f aca="false">IF(ABS((Trajectoire!R57-Trajectoire!R46)-(Trajectoire!Q57-Trajectoire!Q46))&lt;0.000000001,"",(Trajectoire!Q12+(0-(Trajectoire!Q57-Trajectoire!Q46))*(Trajectoire!R12-Trajectoire!Q12)/((Trajectoire!R57-Trajectoire!R46)-(Trajectoire!Q57-Trajectoire!Q46))))</f>
        <v/>
      </c>
      <c r="N47" s="131" t="n">
        <f aca="false">IF(ABS((Trajectoire!R46-$C$6*(1-Hypothèses!$J$26/Trajectoire!R18))-(Trajectoire!Q46-$C$6*(1-Hypothèses!$J$26/Trajectoire!Q18)))&lt;0.000000001,"",(Trajectoire!Q12+(0-(Trajectoire!Q46-$C$6*(1-Hypothèses!$J$26/Trajectoire!Q18)))*(Trajectoire!R12-Trajectoire!Q12)/((Trajectoire!R46-$C$6*(1-Hypothèses!$J$26/Trajectoire!R18))-(Trajectoire!Q46-$C$6*(1-Hypothèses!$J$26/Trajectoire!Q18)))))</f>
        <v>-0.384929921463373</v>
      </c>
    </row>
    <row r="48" customFormat="false" ht="15" hidden="false" customHeight="false" outlineLevel="0" collapsed="false">
      <c r="A48" s="24" t="s">
        <v>2075</v>
      </c>
      <c r="B48" s="104" t="str">
        <f aca="false">Hypothèses!$B$12</f>
        <v>Part des signatures 2026 encaissée avant le 31/12/2026</v>
      </c>
      <c r="C48" s="72" t="n">
        <f aca="false">Hypothèses!$C$12</f>
        <v>0.5</v>
      </c>
      <c r="D48" s="5" t="str">
        <f aca="false">IF(K48="","sans effet",IF(AND(($C$39*Trajectoire!S31-Trajectoire!S32)&gt;=0,($C$39*Trajectoire!T31-Trajectoire!T32)&gt;=0),"tient partout (seuil "&amp;SUBSTITUTE(SUBSTITUTE(FIXED((K48)*100,1,TRUE()),".",","),"-","−")&amp;" %"&amp;")",IF(AND(($C$39*Trajectoire!S31-Trajectoire!S32)&lt;0,($C$39*Trajectoire!T31-Trajectoire!T32)&lt;0),"faux partout (il faudrait "&amp;SUBSTITUTE(SUBSTITUTE(FIXED((K48)*100,1,TRUE()),".",","),"-","−")&amp;" %"&amp;")","bascule à "&amp;SUBSTITUTE(SUBSTITUTE(FIXED((K48)*100,1,TRUE()),".",","),"-","−")&amp;" %")))</f>
        <v>tient partout (seuil −129,2 %)</v>
      </c>
      <c r="E48" s="5" t="str">
        <f aca="false">IF(L48="","sans effet",IF(AND((Trajectoire!S46)&gt;=0,(Trajectoire!T46)&gt;=0),"tient partout (seuil "&amp;SUBSTITUTE(SUBSTITUTE(FIXED((L48)*100,1,TRUE()),".",","),"-","−")&amp;" %"&amp;")",IF(AND((Trajectoire!S46)&lt;0,(Trajectoire!T46)&lt;0),"faux partout (il faudrait "&amp;SUBSTITUTE(SUBSTITUTE(FIXED((L48)*100,1,TRUE()),".",","),"-","−")&amp;" %"&amp;")","bascule à "&amp;SUBSTITUTE(SUBSTITUTE(FIXED((L48)*100,1,TRUE()),".",","),"-","−")&amp;" %")))</f>
        <v>tient partout (seuil 18074,9 %)</v>
      </c>
      <c r="F48" s="5" t="str">
        <f aca="false">IF(M48="","sans effet",IF(AND((Trajectoire!S57-Trajectoire!S46)&gt;=0,(Trajectoire!T57-Trajectoire!T46)&gt;=0),"tient partout (seuil "&amp;SUBSTITUTE(SUBSTITUTE(FIXED((M48)*100,1,TRUE()),".",","),"-","−")&amp;" %"&amp;")",IF(AND((Trajectoire!S57-Trajectoire!S46)&lt;0,(Trajectoire!T57-Trajectoire!T46)&lt;0),"faux partout (il faudrait "&amp;SUBSTITUTE(SUBSTITUTE(FIXED((M48)*100,1,TRUE()),".",","),"-","−")&amp;" %"&amp;")","bascule à "&amp;SUBSTITUTE(SUBSTITUTE(FIXED((M48)*100,1,TRUE()),".",","),"-","−")&amp;" %")))</f>
        <v>tient partout (seuil 94276,5 %)</v>
      </c>
      <c r="G48" s="5" t="str">
        <f aca="false">IF(N48="","sans effet",IF(AND((Trajectoire!S46-$C$6*(1-Hypothèses!$J$26/Trajectoire!S18))&gt;=0,(Trajectoire!T46-$C$6*(1-Hypothèses!$J$26/Trajectoire!T18))&gt;=0),"tient partout (seuil "&amp;SUBSTITUTE(SUBSTITUTE(FIXED((N48)*100,1,TRUE()),".",","),"-","−")&amp;" %"&amp;")",IF(AND((Trajectoire!S46-$C$6*(1-Hypothèses!$J$26/Trajectoire!S18))&lt;0,(Trajectoire!T46-$C$6*(1-Hypothèses!$J$26/Trajectoire!T18))&lt;0),"faux partout (il faudrait "&amp;SUBSTITUTE(SUBSTITUTE(FIXED((N48)*100,1,TRUE()),".",","),"-","−")&amp;" %"&amp;")","bascule à "&amp;SUBSTITUTE(SUBSTITUTE(FIXED((N48)*100,1,TRUE()),".",","),"-","−")&amp;" %")))</f>
        <v>faux partout (il faudrait −5813,7 %)</v>
      </c>
      <c r="H48" s="2"/>
      <c r="I48" s="24"/>
      <c r="J48" s="130" t="n">
        <f aca="false">IF(COUNTIF(D48:G48,"bascule*")&gt;0,1,0)</f>
        <v>0</v>
      </c>
      <c r="K48" s="131" t="n">
        <f aca="false">IF(ABS(($C$39*Trajectoire!T31-Trajectoire!T32)-($C$39*Trajectoire!S31-Trajectoire!S32))&lt;0.000000001,"",(Trajectoire!S13+(0-($C$39*Trajectoire!S31-Trajectoire!S32))*(Trajectoire!T13-Trajectoire!S13)/(($C$39*Trajectoire!T31-Trajectoire!T32)-($C$39*Trajectoire!S31-Trajectoire!S32))))</f>
        <v>-1.29160874090668</v>
      </c>
      <c r="L48" s="131" t="n">
        <f aca="false">IF(ABS((Trajectoire!T46)-(Trajectoire!S46))&lt;0.000000001,"",(Trajectoire!S13+(0-(Trajectoire!S46))*(Trajectoire!T13-Trajectoire!S13)/((Trajectoire!T46)-(Trajectoire!S46))))</f>
        <v>180.749023425455</v>
      </c>
      <c r="M48" s="131" t="n">
        <f aca="false">IF(ABS((Trajectoire!T57-Trajectoire!T46)-(Trajectoire!S57-Trajectoire!S46))&lt;0.000000001,"",(Trajectoire!S13+(0-(Trajectoire!S57-Trajectoire!S46))*(Trajectoire!T13-Trajectoire!S13)/((Trajectoire!T57-Trajectoire!T46)-(Trajectoire!S57-Trajectoire!S46))))</f>
        <v>942.764993979334</v>
      </c>
      <c r="N48" s="131" t="n">
        <f aca="false">IF(ABS((Trajectoire!T46-$C$6*(1-Hypothèses!$J$26/Trajectoire!T18))-(Trajectoire!S46-$C$6*(1-Hypothèses!$J$26/Trajectoire!S18)))&lt;0.000000001,"",(Trajectoire!S13+(0-(Trajectoire!S46-$C$6*(1-Hypothèses!$J$26/Trajectoire!S18)))*(Trajectoire!T13-Trajectoire!S13)/((Trajectoire!T46-$C$6*(1-Hypothèses!$J$26/Trajectoire!T18))-(Trajectoire!S46-$C$6*(1-Hypothèses!$J$26/Trajectoire!S18)))))</f>
        <v>-58.1370171793851</v>
      </c>
    </row>
    <row r="49" customFormat="false" ht="15" hidden="false" customHeight="false" outlineLevel="0" collapsed="false">
      <c r="A49" s="24" t="s">
        <v>2078</v>
      </c>
      <c r="B49" s="104" t="str">
        <f aca="false">Hypothèses!$B$13</f>
        <v>Part du reste du programme encaissée en 2027</v>
      </c>
      <c r="C49" s="72" t="n">
        <f aca="false">Hypothèses!$C$13</f>
        <v>0.5</v>
      </c>
      <c r="D49" s="5" t="str">
        <f aca="false">IF(K49="","sans effet",IF(AND(($C$39*Trajectoire!U31-Trajectoire!U32)&gt;=0,($C$39*Trajectoire!V31-Trajectoire!V32)&gt;=0),"tient partout (seuil "&amp;SUBSTITUTE(SUBSTITUTE(FIXED((K49)*100,1,TRUE()),".",","),"-","−")&amp;" %"&amp;")",IF(AND(($C$39*Trajectoire!U31-Trajectoire!U32)&lt;0,($C$39*Trajectoire!V31-Trajectoire!V32)&lt;0),"faux partout (il faudrait "&amp;SUBSTITUTE(SUBSTITUTE(FIXED((K49)*100,1,TRUE()),".",","),"-","−")&amp;" %"&amp;")","bascule à "&amp;SUBSTITUTE(SUBSTITUTE(FIXED((K49)*100,1,TRUE()),".",","),"-","−")&amp;" %")))</f>
        <v>sans effet</v>
      </c>
      <c r="E49" s="5" t="str">
        <f aca="false">IF(L49="","sans effet",IF(AND((Trajectoire!U46)&gt;=0,(Trajectoire!V46)&gt;=0),"tient partout (seuil "&amp;SUBSTITUTE(SUBSTITUTE(FIXED((L49)*100,1,TRUE()),".",","),"-","−")&amp;" %"&amp;")",IF(AND((Trajectoire!U46)&lt;0,(Trajectoire!V46)&lt;0),"faux partout (il faudrait "&amp;SUBSTITUTE(SUBSTITUTE(FIXED((L49)*100,1,TRUE()),".",","),"-","−")&amp;" %"&amp;")","bascule à "&amp;SUBSTITUTE(SUBSTITUTE(FIXED((L49)*100,1,TRUE()),".",","),"-","−")&amp;" %")))</f>
        <v>tient partout (seuil −114,2 %)</v>
      </c>
      <c r="F49" s="5" t="str">
        <f aca="false">IF(M49="","sans effet",IF(AND((Trajectoire!U57-Trajectoire!U46)&gt;=0,(Trajectoire!V57-Trajectoire!V46)&gt;=0),"tient partout (seuil "&amp;SUBSTITUTE(SUBSTITUTE(FIXED((M49)*100,1,TRUE()),".",","),"-","−")&amp;" %"&amp;")",IF(AND((Trajectoire!U57-Trajectoire!U46)&lt;0,(Trajectoire!V57-Trajectoire!V46)&lt;0),"faux partout (il faudrait "&amp;SUBSTITUTE(SUBSTITUTE(FIXED((M49)*100,1,TRUE()),".",","),"-","−")&amp;" %"&amp;")","bascule à "&amp;SUBSTITUTE(SUBSTITUTE(FIXED((M49)*100,1,TRUE()),".",","),"-","−")&amp;" %")))</f>
        <v>tient partout (seuil 1900,9 %)</v>
      </c>
      <c r="G49" s="5" t="str">
        <f aca="false">IF(N49="","sans effet",IF(AND((Trajectoire!U46-$C$6*(1-Hypothèses!$J$26/Trajectoire!U18))&gt;=0,(Trajectoire!V46-$C$6*(1-Hypothèses!$J$26/Trajectoire!V18))&gt;=0),"tient partout (seuil "&amp;SUBSTITUTE(SUBSTITUTE(FIXED((N49)*100,1,TRUE()),".",","),"-","−")&amp;" %"&amp;")",IF(AND((Trajectoire!U46-$C$6*(1-Hypothèses!$J$26/Trajectoire!U18))&lt;0,(Trajectoire!V46-$C$6*(1-Hypothèses!$J$26/Trajectoire!V18))&lt;0),"faux partout (il faudrait "&amp;SUBSTITUTE(SUBSTITUTE(FIXED((N49)*100,1,TRUE()),".",","),"-","−")&amp;" %"&amp;")","bascule à "&amp;SUBSTITUTE(SUBSTITUTE(FIXED((N49)*100,1,TRUE()),".",","),"-","−")&amp;" %")))</f>
        <v>faux partout (il faudrait 103,4 %)</v>
      </c>
      <c r="H49" s="2"/>
      <c r="I49" s="24"/>
      <c r="J49" s="130" t="n">
        <f aca="false">IF(COUNTIF(D49:G49,"bascule*")&gt;0,1,0)</f>
        <v>0</v>
      </c>
      <c r="K49" s="131" t="str">
        <f aca="false">IF(ABS(($C$39*Trajectoire!V31-Trajectoire!V32)-($C$39*Trajectoire!U31-Trajectoire!U32))&lt;0.000000001,"",(Trajectoire!U14+(0-($C$39*Trajectoire!U31-Trajectoire!U32))*(Trajectoire!V14-Trajectoire!U14)/(($C$39*Trajectoire!V31-Trajectoire!V32)-($C$39*Trajectoire!U31-Trajectoire!U32))))</f>
        <v/>
      </c>
      <c r="L49" s="131" t="n">
        <f aca="false">IF(ABS((Trajectoire!V46)-(Trajectoire!U46))&lt;0.000000001,"",(Trajectoire!U14+(0-(Trajectoire!U46))*(Trajectoire!V14-Trajectoire!U14)/((Trajectoire!V46)-(Trajectoire!U46))))</f>
        <v>-1.14230802490984</v>
      </c>
      <c r="M49" s="131" t="n">
        <f aca="false">IF(ABS((Trajectoire!V57-Trajectoire!V46)-(Trajectoire!U57-Trajectoire!U46))&lt;0.000000001,"",(Trajectoire!U14+(0-(Trajectoire!U57-Trajectoire!U46))*(Trajectoire!V14-Trajectoire!U14)/((Trajectoire!V57-Trajectoire!V46)-(Trajectoire!U57-Trajectoire!U46))))</f>
        <v>19.0087766674347</v>
      </c>
      <c r="N49" s="131" t="n">
        <f aca="false">IF(ABS((Trajectoire!V46-$C$6*(1-Hypothèses!$J$26/Trajectoire!V18))-(Trajectoire!U46-$C$6*(1-Hypothèses!$J$26/Trajectoire!U18)))&lt;0.000000001,"",(Trajectoire!U14+(0-(Trajectoire!U46-$C$6*(1-Hypothèses!$J$26/Trajectoire!U18)))*(Trajectoire!V14-Trajectoire!U14)/((Trajectoire!V46-$C$6*(1-Hypothèses!$J$26/Trajectoire!V18))-(Trajectoire!U46-$C$6*(1-Hypothèses!$J$26/Trajectoire!U18)))))</f>
        <v>1.03426111298909</v>
      </c>
    </row>
    <row r="50" customFormat="false" ht="15" hidden="false" customHeight="false" outlineLevel="0" collapsed="false">
      <c r="A50" s="24" t="s">
        <v>2081</v>
      </c>
      <c r="B50" s="104" t="str">
        <f aca="false">Hypothèses!$B$14</f>
        <v>Multiple VE / EBITDA des actifs cédés</v>
      </c>
      <c r="C50" s="89" t="n">
        <f aca="false">Hypothèses!$C$14</f>
        <v>10</v>
      </c>
      <c r="D50" s="5" t="str">
        <f aca="false">IF(K50="","sans effet",IF(AND(($C$39*Trajectoire!W31-Trajectoire!W32)&gt;=0,($C$39*Trajectoire!X31-Trajectoire!X32)&gt;=0),"tient partout (seuil "&amp;SUBSTITUTE(SUBSTITUTE(FIXED(K50,1,TRUE()),".",","),"-","−")&amp;"x"&amp;")",IF(AND(($C$39*Trajectoire!W31-Trajectoire!W32)&lt;0,($C$39*Trajectoire!X31-Trajectoire!X32)&lt;0),"faux partout (il faudrait "&amp;SUBSTITUTE(SUBSTITUTE(FIXED(K50,1,TRUE()),".",","),"-","−")&amp;"x"&amp;")","bascule à "&amp;SUBSTITUTE(SUBSTITUTE(FIXED(K50,1,TRUE()),".",","),"-","−")&amp;"x")))</f>
        <v>tient partout (seuil 1,1x)</v>
      </c>
      <c r="E50" s="5" t="str">
        <f aca="false">IF(L50="","sans effet",IF(AND((Trajectoire!W46)&gt;=0,(Trajectoire!X46)&gt;=0),"tient partout (seuil "&amp;SUBSTITUTE(SUBSTITUTE(FIXED(L50,1,TRUE()),".",","),"-","−")&amp;"x"&amp;")",IF(AND((Trajectoire!W46)&lt;0,(Trajectoire!X46)&lt;0),"faux partout (il faudrait "&amp;SUBSTITUTE(SUBSTITUTE(FIXED(L50,1,TRUE()),".",","),"-","−")&amp;"x"&amp;")","bascule à "&amp;SUBSTITUTE(SUBSTITUTE(FIXED(L50,1,TRUE()),".",","),"-","−")&amp;"x")))</f>
        <v>tient partout (seuil 2,0x)</v>
      </c>
      <c r="F50" s="5" t="str">
        <f aca="false">IF(M50="","sans effet",IF(AND((Trajectoire!W57-Trajectoire!W46)&gt;=0,(Trajectoire!X57-Trajectoire!X46)&gt;=0),"tient partout (seuil "&amp;SUBSTITUTE(SUBSTITUTE(FIXED(M50,1,TRUE()),".",","),"-","−")&amp;"x"&amp;")",IF(AND((Trajectoire!W57-Trajectoire!W46)&lt;0,(Trajectoire!X57-Trajectoire!X46)&lt;0),"faux partout (il faudrait "&amp;SUBSTITUTE(SUBSTITUTE(FIXED(M50,1,TRUE()),".",","),"-","−")&amp;"x"&amp;")","bascule à "&amp;SUBSTITUTE(SUBSTITUTE(FIXED(M50,1,TRUE()),".",","),"-","−")&amp;"x")))</f>
        <v>tient partout (seuil 0,4x)</v>
      </c>
      <c r="G50" s="5" t="str">
        <f aca="false">IF(N50="","sans effet",IF(AND((Trajectoire!W46-$C$6*(1-Hypothèses!$J$26/Trajectoire!W18))&gt;=0,(Trajectoire!X46-$C$6*(1-Hypothèses!$J$26/Trajectoire!X18))&gt;=0),"tient partout (seuil "&amp;SUBSTITUTE(SUBSTITUTE(FIXED(N50,1,TRUE()),".",","),"-","−")&amp;"x"&amp;")",IF(AND((Trajectoire!W46-$C$6*(1-Hypothèses!$J$26/Trajectoire!W18))&lt;0,(Trajectoire!X46-$C$6*(1-Hypothèses!$J$26/Trajectoire!X18))&lt;0),"faux partout (il faudrait "&amp;SUBSTITUTE(SUBSTITUTE(FIXED(N50,1,TRUE()),".",","),"-","−")&amp;"x"&amp;")","bascule à "&amp;SUBSTITUTE(SUBSTITUTE(FIXED(N50,1,TRUE()),".",","),"-","−")&amp;"x")))</f>
        <v>faux partout (il faudrait −30,4x)</v>
      </c>
      <c r="H50" s="2"/>
      <c r="I50" s="24" t="s">
        <v>3400</v>
      </c>
      <c r="J50" s="130" t="n">
        <f aca="false">IF(COUNTIF(D50:G50,"bascule*")&gt;0,1,0)</f>
        <v>0</v>
      </c>
      <c r="K50" s="131" t="n">
        <f aca="false">IF(ABS(($C$39*Trajectoire!X31-Trajectoire!X32)-($C$39*Trajectoire!W31-Trajectoire!W32))&lt;0.000000001,"",1/((1/Trajectoire!W15)+(0-($C$39*Trajectoire!W31-Trajectoire!W32))*((1/Trajectoire!X15)-(1/Trajectoire!W15))/(($C$39*Trajectoire!X31-Trajectoire!X32)-($C$39*Trajectoire!W31-Trajectoire!W32))))</f>
        <v>1.11413802747986</v>
      </c>
      <c r="L50" s="131" t="n">
        <f aca="false">IF(ABS((Trajectoire!X46)-(Trajectoire!W46))&lt;0.000000001,"",1/((1/Trajectoire!W15)+(0-(Trajectoire!W46))*((1/Trajectoire!X15)-(1/Trajectoire!W15))/((Trajectoire!X46)-(Trajectoire!W46))))</f>
        <v>1.96698921504213</v>
      </c>
      <c r="M50" s="131" t="n">
        <f aca="false">IF(ABS((Trajectoire!X57-Trajectoire!X46)-(Trajectoire!W57-Trajectoire!W46))&lt;0.000000001,"",1/((1/Trajectoire!W15)+(0-(Trajectoire!W57-Trajectoire!W46))*((1/Trajectoire!X15)-(1/Trajectoire!W15))/((Trajectoire!X57-Trajectoire!X46)-(Trajectoire!W57-Trajectoire!W46))))</f>
        <v>0.447448326136631</v>
      </c>
      <c r="N50" s="131" t="n">
        <f aca="false">IF(ABS((Trajectoire!X46-$C$6*(1-Hypothèses!$J$26/Trajectoire!X18))-(Trajectoire!W46-$C$6*(1-Hypothèses!$J$26/Trajectoire!W18)))&lt;0.000000001,"",1/((1/Trajectoire!W15)+(0-(Trajectoire!W46-$C$6*(1-Hypothèses!$J$26/Trajectoire!W18)))*((1/Trajectoire!X15)-(1/Trajectoire!W15))/((Trajectoire!X46-$C$6*(1-Hypothèses!$J$26/Trajectoire!X18))-(Trajectoire!W46-$C$6*(1-Hypothèses!$J$26/Trajectoire!W18)))))</f>
        <v>-30.4374995964324</v>
      </c>
    </row>
    <row r="51" customFormat="false" ht="15" hidden="false" customHeight="false" outlineLevel="0" collapsed="false">
      <c r="A51" s="24" t="s">
        <v>2084</v>
      </c>
      <c r="B51" s="104" t="str">
        <f aca="false">Hypothèses!$B$15</f>
        <v>Tuck-ins payés en 2027</v>
      </c>
      <c r="C51" s="78" t="n">
        <f aca="false">Hypothèses!$C$15</f>
        <v>0.5</v>
      </c>
      <c r="D51" s="5" t="str">
        <f aca="false">IF(K51="","sans effet",IF(AND(($C$39*Trajectoire!Y31-Trajectoire!Y32)&gt;=0,($C$39*Trajectoire!Z31-Trajectoire!Z32)&gt;=0),"tient partout (seuil "&amp;SUBSTITUTE(SUBSTITUTE(FIXED(K51,2,TRUE()),".",","),"-","−")&amp;")",IF(AND(($C$39*Trajectoire!Y31-Trajectoire!Y32)&lt;0,($C$39*Trajectoire!Z31-Trajectoire!Z32)&lt;0),"faux partout (il faudrait "&amp;SUBSTITUTE(SUBSTITUTE(FIXED(K51,2,TRUE()),".",","),"-","−")&amp;")","bascule à "&amp;SUBSTITUTE(SUBSTITUTE(FIXED(K51,2,TRUE()),".",","),"-","−"))))</f>
        <v>sans effet</v>
      </c>
      <c r="E51" s="5" t="str">
        <f aca="false">IF(L51="","sans effet",IF(AND((Trajectoire!Y46)&gt;=0,(Trajectoire!Z46)&gt;=0),"tient partout (seuil "&amp;SUBSTITUTE(SUBSTITUTE(FIXED(L51,2,TRUE()),".",","),"-","−")&amp;")",IF(AND((Trajectoire!Y46)&lt;0,(Trajectoire!Z46)&lt;0),"faux partout (il faudrait "&amp;SUBSTITUTE(SUBSTITUTE(FIXED(L51,2,TRUE()),".",","),"-","−")&amp;")","bascule à "&amp;SUBSTITUTE(SUBSTITUTE(FIXED(L51,2,TRUE()),".",","),"-","−"))))</f>
        <v>tient partout (seuil 2,82)</v>
      </c>
      <c r="F51" s="5" t="str">
        <f aca="false">IF(M51="","sans effet",IF(AND((Trajectoire!Y57-Trajectoire!Y46)&gt;=0,(Trajectoire!Z57-Trajectoire!Z46)&gt;=0),"tient partout (seuil "&amp;SUBSTITUTE(SUBSTITUTE(FIXED(M51,2,TRUE()),".",","),"-","−")&amp;")",IF(AND((Trajectoire!Y57-Trajectoire!Y46)&lt;0,(Trajectoire!Z57-Trajectoire!Z46)&lt;0),"faux partout (il faudrait "&amp;SUBSTITUTE(SUBSTITUTE(FIXED(M51,2,TRUE()),".",","),"-","−")&amp;")","bascule à "&amp;SUBSTITUTE(SUBSTITUTE(FIXED(M51,2,TRUE()),".",","),"-","−"))))</f>
        <v>tient partout (seuil −24,89)</v>
      </c>
      <c r="G51" s="5" t="str">
        <f aca="false">IF(N51="","sans effet",IF(AND((Trajectoire!Y46-$C$6*(1-Hypothèses!$J$26/Trajectoire!Y18))&gt;=0,(Trajectoire!Z46-$C$6*(1-Hypothèses!$J$26/Trajectoire!Z18))&gt;=0),"tient partout (seuil "&amp;SUBSTITUTE(SUBSTITUTE(FIXED(N51,2,TRUE()),".",","),"-","−")&amp;")",IF(AND((Trajectoire!Y46-$C$6*(1-Hypothèses!$J$26/Trajectoire!Y18))&lt;0,(Trajectoire!Z46-$C$6*(1-Hypothèses!$J$26/Trajectoire!Z18))&lt;0),"faux partout (il faudrait "&amp;SUBSTITUTE(SUBSTITUTE(FIXED(N51,2,TRUE()),".",","),"-","−")&amp;")","bascule à "&amp;SUBSTITUTE(SUBSTITUTE(FIXED(N51,2,TRUE()),".",","),"-","−"))))</f>
        <v>faux partout (il faudrait −0,26)</v>
      </c>
      <c r="H51" s="2"/>
      <c r="I51" s="24"/>
      <c r="J51" s="130" t="n">
        <f aca="false">IF(COUNTIF(D51:G51,"bascule*")&gt;0,1,0)</f>
        <v>0</v>
      </c>
      <c r="K51" s="131" t="str">
        <f aca="false">IF(ABS(($C$39*Trajectoire!Z31-Trajectoire!Z32)-($C$39*Trajectoire!Y31-Trajectoire!Y32))&lt;0.000000001,"",(Trajectoire!Y16+(0-($C$39*Trajectoire!Y31-Trajectoire!Y32))*(Trajectoire!Z16-Trajectoire!Y16)/(($C$39*Trajectoire!Z31-Trajectoire!Z32)-($C$39*Trajectoire!Y31-Trajectoire!Y32))))</f>
        <v/>
      </c>
      <c r="L51" s="131" t="n">
        <f aca="false">IF(ABS((Trajectoire!Z46)-(Trajectoire!Y46))&lt;0.000000001,"",(Trajectoire!Y16+(0-(Trajectoire!Y46))*(Trajectoire!Z16-Trajectoire!Y16)/((Trajectoire!Z46)-(Trajectoire!Y46))))</f>
        <v>2.82120448796377</v>
      </c>
      <c r="M51" s="131" t="n">
        <f aca="false">IF(ABS((Trajectoire!Z57-Trajectoire!Z46)-(Trajectoire!Y57-Trajectoire!Y46))&lt;0.000000001,"",(Trajectoire!Y16+(0-(Trajectoire!Y57-Trajectoire!Y46))*(Trajectoire!Z16-Trajectoire!Y16)/((Trajectoire!Z57-Trajectoire!Z46)-(Trajectoire!Y57-Trajectoire!Y46))))</f>
        <v>-24.8940415877193</v>
      </c>
      <c r="N51" s="131" t="n">
        <f aca="false">IF(ABS((Trajectoire!Z46-$C$6*(1-Hypothèses!$J$26/Trajectoire!Z18))-(Trajectoire!Y46-$C$6*(1-Hypothèses!$J$26/Trajectoire!Y18)))&lt;0.000000001,"",(Trajectoire!Y16+(0-(Trajectoire!Y46-$C$6*(1-Hypothèses!$J$26/Trajectoire!Y18)))*(Trajectoire!Z16-Trajectoire!Y16)/((Trajectoire!Z46-$C$6*(1-Hypothèses!$J$26/Trajectoire!Z18))-(Trajectoire!Y46-$C$6*(1-Hypothèses!$J$26/Trajectoire!Y18)))))</f>
        <v>-0.255113702426726</v>
      </c>
    </row>
    <row r="52" customFormat="false" ht="15" hidden="false" customHeight="false" outlineLevel="0" collapsed="false">
      <c r="A52" s="24" t="s">
        <v>2088</v>
      </c>
      <c r="B52" s="104" t="str">
        <f aca="false">Hypothèses!$B$16</f>
        <v>FFO (mesure des agences) en % de l'EBITDA</v>
      </c>
      <c r="C52" s="72" t="n">
        <f aca="false">Hypothèses!$C$16</f>
        <v>0.731914893617021</v>
      </c>
      <c r="D52" s="5" t="str">
        <f aca="false">IF(K52="","sans effet",IF(AND(($C$39*Trajectoire!AA31-Trajectoire!AA32)&gt;=0,($C$39*Trajectoire!AB31-Trajectoire!AB32)&gt;=0),"tient partout (seuil "&amp;SUBSTITUTE(SUBSTITUTE(FIXED((K52)*100,1,TRUE()),".",","),"-","−")&amp;" %"&amp;")",IF(AND(($C$39*Trajectoire!AA31-Trajectoire!AA32)&lt;0,($C$39*Trajectoire!AB31-Trajectoire!AB32)&lt;0),"faux partout (il faudrait "&amp;SUBSTITUTE(SUBSTITUTE(FIXED((K52)*100,1,TRUE()),".",","),"-","−")&amp;" %"&amp;")","bascule à "&amp;SUBSTITUTE(SUBSTITUTE(FIXED((K52)*100,1,TRUE()),".",","),"-","−")&amp;" %")))</f>
        <v>sans effet</v>
      </c>
      <c r="E52" s="5" t="str">
        <f aca="false">IF(L52="","sans effet",IF(AND((Trajectoire!AA46)&gt;=0,(Trajectoire!AB46)&gt;=0),"tient partout (seuil "&amp;SUBSTITUTE(SUBSTITUTE(FIXED((L52)*100,1,TRUE()),".",","),"-","−")&amp;" %"&amp;")",IF(AND((Trajectoire!AA46)&lt;0,(Trajectoire!AB46)&lt;0),"faux partout (il faudrait "&amp;SUBSTITUTE(SUBSTITUTE(FIXED((L52)*100,1,TRUE()),".",","),"-","−")&amp;" %"&amp;")","bascule à "&amp;SUBSTITUTE(SUBSTITUTE(FIXED((L52)*100,1,TRUE()),".",","),"-","−")&amp;" %")))</f>
        <v>sans effet</v>
      </c>
      <c r="F52" s="5" t="str">
        <f aca="false">IF(M52="","sans effet",IF(AND((Trajectoire!AA57-Trajectoire!AA46)&gt;=0,(Trajectoire!AB57-Trajectoire!AB46)&gt;=0),"tient partout (seuil "&amp;SUBSTITUTE(SUBSTITUTE(FIXED((M52)*100,1,TRUE()),".",","),"-","−")&amp;" %"&amp;")",IF(AND((Trajectoire!AA57-Trajectoire!AA46)&lt;0,(Trajectoire!AB57-Trajectoire!AB46)&lt;0),"faux partout (il faudrait "&amp;SUBSTITUTE(SUBSTITUTE(FIXED((M52)*100,1,TRUE()),".",","),"-","−")&amp;" %"&amp;")","bascule à "&amp;SUBSTITUTE(SUBSTITUTE(FIXED((M52)*100,1,TRUE()),".",","),"-","−")&amp;" %")))</f>
        <v>tient partout (seuil 67,0 %)</v>
      </c>
      <c r="G52" s="5" t="str">
        <f aca="false">IF(N52="","sans effet",IF(AND((Trajectoire!AA46-$C$6*(1-Hypothèses!$J$26/Trajectoire!AA18))&gt;=0,(Trajectoire!AB46-$C$6*(1-Hypothèses!$J$26/Trajectoire!AB18))&gt;=0),"tient partout (seuil "&amp;SUBSTITUTE(SUBSTITUTE(FIXED((N52)*100,1,TRUE()),".",","),"-","−")&amp;" %"&amp;")",IF(AND((Trajectoire!AA46-$C$6*(1-Hypothèses!$J$26/Trajectoire!AA18))&lt;0,(Trajectoire!AB46-$C$6*(1-Hypothèses!$J$26/Trajectoire!AB18))&lt;0),"faux partout (il faudrait "&amp;SUBSTITUTE(SUBSTITUTE(FIXED((N52)*100,1,TRUE()),".",","),"-","−")&amp;" %"&amp;")","bascule à "&amp;SUBSTITUTE(SUBSTITUTE(FIXED((N52)*100,1,TRUE()),".",","),"-","−")&amp;" %")))</f>
        <v>sans effet</v>
      </c>
      <c r="H52" s="2"/>
      <c r="I52" s="24"/>
      <c r="J52" s="130" t="n">
        <f aca="false">IF(COUNTIF(D52:G52,"bascule*")&gt;0,1,0)</f>
        <v>0</v>
      </c>
      <c r="K52" s="131" t="str">
        <f aca="false">IF(ABS(($C$39*Trajectoire!AB31-Trajectoire!AB32)-($C$39*Trajectoire!AA31-Trajectoire!AA32))&lt;0.000000001,"",(Trajectoire!AA17+(0-($C$39*Trajectoire!AA31-Trajectoire!AA32))*(Trajectoire!AB17-Trajectoire!AA17)/(($C$39*Trajectoire!AB31-Trajectoire!AB32)-($C$39*Trajectoire!AA31-Trajectoire!AA32))))</f>
        <v/>
      </c>
      <c r="L52" s="131" t="str">
        <f aca="false">IF(ABS((Trajectoire!AB46)-(Trajectoire!AA46))&lt;0.000000001,"",(Trajectoire!AA17+(0-(Trajectoire!AA46))*(Trajectoire!AB17-Trajectoire!AA17)/((Trajectoire!AB46)-(Trajectoire!AA46))))</f>
        <v/>
      </c>
      <c r="M52" s="131" t="n">
        <f aca="false">IF(ABS((Trajectoire!AB57-Trajectoire!AB46)-(Trajectoire!AA57-Trajectoire!AA46))&lt;0.000000001,"",(Trajectoire!AA17+(0-(Trajectoire!AA57-Trajectoire!AA46))*(Trajectoire!AB17-Trajectoire!AA17)/((Trajectoire!AB57-Trajectoire!AB46)-(Trajectoire!AA57-Trajectoire!AA46))))</f>
        <v>0.669608345152775</v>
      </c>
      <c r="N52" s="131" t="str">
        <f aca="false">IF(ABS((Trajectoire!AB46-$C$6*(1-Hypothèses!$J$26/Trajectoire!AB18))-(Trajectoire!AA46-$C$6*(1-Hypothèses!$J$26/Trajectoire!AA18)))&lt;0.000000001,"",(Trajectoire!AA17+(0-(Trajectoire!AA46-$C$6*(1-Hypothèses!$J$26/Trajectoire!AA18)))*(Trajectoire!AB17-Trajectoire!AA17)/((Trajectoire!AB46-$C$6*(1-Hypothèses!$J$26/Trajectoire!AB18))-(Trajectoire!AA46-$C$6*(1-Hypothèses!$J$26/Trajectoire!AA18)))))</f>
        <v/>
      </c>
    </row>
    <row r="53" customFormat="false" ht="15" hidden="false" customHeight="false" outlineLevel="0" collapsed="false">
      <c r="A53" s="24" t="s">
        <v>2102</v>
      </c>
      <c r="B53" s="104" t="str">
        <f aca="false">Hypothèses!$B$21</f>
        <v>Multiple VE / EBITDA des tuck-ins</v>
      </c>
      <c r="C53" s="89" t="n">
        <f aca="false">Hypothèses!$C$21</f>
        <v>9.8</v>
      </c>
      <c r="D53" s="5" t="str">
        <f aca="false">IF(K53="","sans effet",IF(AND(($C$39*Trajectoire!AC31-Trajectoire!AC32)&gt;=0,($C$39*Trajectoire!AD31-Trajectoire!AD32)&gt;=0),"tient partout (seuil "&amp;SUBSTITUTE(SUBSTITUTE(FIXED(K53,1,TRUE()),".",","),"-","−")&amp;"x"&amp;")",IF(AND(($C$39*Trajectoire!AC31-Trajectoire!AC32)&lt;0,($C$39*Trajectoire!AD31-Trajectoire!AD32)&lt;0),"faux partout (il faudrait "&amp;SUBSTITUTE(SUBSTITUTE(FIXED(K53,1,TRUE()),".",","),"-","−")&amp;"x"&amp;")","bascule à "&amp;SUBSTITUTE(SUBSTITUTE(FIXED(K53,1,TRUE()),".",","),"-","−")&amp;"x")))</f>
        <v>sans effet</v>
      </c>
      <c r="E53" s="5" t="str">
        <f aca="false">IF(L53="","sans effet",IF(AND((Trajectoire!AC46)&gt;=0,(Trajectoire!AD46)&gt;=0),"tient partout (seuil "&amp;SUBSTITUTE(SUBSTITUTE(FIXED(L53,1,TRUE()),".",","),"-","−")&amp;"x"&amp;")",IF(AND((Trajectoire!AC46)&lt;0,(Trajectoire!AD46)&lt;0),"faux partout (il faudrait "&amp;SUBSTITUTE(SUBSTITUTE(FIXED(L53,1,TRUE()),".",","),"-","−")&amp;"x"&amp;")","bascule à "&amp;SUBSTITUTE(SUBSTITUTE(FIXED(L53,1,TRUE()),".",","),"-","−")&amp;"x")))</f>
        <v>tient partout (seuil −1,1x)</v>
      </c>
      <c r="F53" s="5" t="str">
        <f aca="false">IF(M53="","sans effet",IF(AND((Trajectoire!AC57-Trajectoire!AC46)&gt;=0,(Trajectoire!AD57-Trajectoire!AD46)&gt;=0),"tient partout (seuil "&amp;SUBSTITUTE(SUBSTITUTE(FIXED(M53,1,TRUE()),".",","),"-","−")&amp;"x"&amp;")",IF(AND((Trajectoire!AC57-Trajectoire!AC46)&lt;0,(Trajectoire!AD57-Trajectoire!AD46)&lt;0),"faux partout (il faudrait "&amp;SUBSTITUTE(SUBSTITUTE(FIXED(M53,1,TRUE()),".",","),"-","−")&amp;"x"&amp;")","bascule à "&amp;SUBSTITUTE(SUBSTITUTE(FIXED(M53,1,TRUE()),".",","),"-","−")&amp;"x")))</f>
        <v>tient partout (seuil −0,2x)</v>
      </c>
      <c r="G53" s="5" t="str">
        <f aca="false">IF(N53="","sans effet",IF(AND((Trajectoire!AC46-$C$6*(1-Hypothèses!$J$26/Trajectoire!AC18))&gt;=0,(Trajectoire!AD46-$C$6*(1-Hypothèses!$J$26/Trajectoire!AD18))&gt;=0),"tient partout (seuil "&amp;SUBSTITUTE(SUBSTITUTE(FIXED(N53,1,TRUE()),".",","),"-","−")&amp;"x"&amp;")",IF(AND((Trajectoire!AC46-$C$6*(1-Hypothèses!$J$26/Trajectoire!AC18))&lt;0,(Trajectoire!AD46-$C$6*(1-Hypothèses!$J$26/Trajectoire!AD18))&lt;0),"faux partout (il faudrait "&amp;SUBSTITUTE(SUBSTITUTE(FIXED(N53,1,TRUE()),".",","),"-","−")&amp;"x"&amp;")","bascule à "&amp;SUBSTITUTE(SUBSTITUTE(FIXED(N53,1,TRUE()),".",","),"-","−")&amp;"x")))</f>
        <v>faux partout (il faudrait 6,7x)</v>
      </c>
      <c r="H53" s="2"/>
      <c r="I53" s="24" t="s">
        <v>3400</v>
      </c>
      <c r="J53" s="130" t="n">
        <f aca="false">IF(COUNTIF(D53:G53,"bascule*")&gt;0,1,0)</f>
        <v>0</v>
      </c>
      <c r="K53" s="131" t="str">
        <f aca="false">IF(ABS(($C$39*Trajectoire!AD31-Trajectoire!AD32)-($C$39*Trajectoire!AC31-Trajectoire!AC32))&lt;0.000000001,"",1/((1/Trajectoire!AC18)+(0-($C$39*Trajectoire!AC31-Trajectoire!AC32))*((1/Trajectoire!AD18)-(1/Trajectoire!AC18))/(($C$39*Trajectoire!AD31-Trajectoire!AD32)-($C$39*Trajectoire!AC31-Trajectoire!AC32))))</f>
        <v/>
      </c>
      <c r="L53" s="131" t="n">
        <f aca="false">IF(ABS((Trajectoire!AD46)-(Trajectoire!AC46))&lt;0.000000001,"",1/((1/Trajectoire!AC18)+(0-(Trajectoire!AC46))*((1/Trajectoire!AD18)-(1/Trajectoire!AC18))/((Trajectoire!AD46)-(Trajectoire!AC46))))</f>
        <v>-1.12444349708375</v>
      </c>
      <c r="M53" s="131" t="n">
        <f aca="false">IF(ABS((Trajectoire!AD57-Trajectoire!AD46)-(Trajectoire!AC57-Trajectoire!AC46))&lt;0.000000001,"",1/((1/Trajectoire!AC18)+(0-(Trajectoire!AC57-Trajectoire!AC46))*((1/Trajectoire!AD18)-(1/Trajectoire!AC18))/((Trajectoire!AD57-Trajectoire!AD46)-(Trajectoire!AC57-Trajectoire!AC46))))</f>
        <v>-0.196834249783607</v>
      </c>
      <c r="N53" s="131" t="n">
        <f aca="false">IF(ABS((Trajectoire!AD46-$C$6*(1-Hypothèses!$J$26/Trajectoire!AD18))-(Trajectoire!AC46-$C$6*(1-Hypothèses!$J$26/Trajectoire!AC18)))&lt;0.000000001,"",1/((1/Trajectoire!AC18)+(0-(Trajectoire!AC46-$C$6*(1-Hypothèses!$J$26/Trajectoire!AC18)))*((1/Trajectoire!AD18)-(1/Trajectoire!AC18))/((Trajectoire!AD46-$C$6*(1-Hypothèses!$J$26/Trajectoire!AD18))-(Trajectoire!AC46-$C$6*(1-Hypothèses!$J$26/Trajectoire!AC18)))))</f>
        <v>6.65266583374308</v>
      </c>
    </row>
    <row r="54" customFormat="false" ht="43.5" hidden="false" customHeight="true" outlineLevel="0" collapsed="false">
      <c r="A54" s="2"/>
      <c r="B54" s="69" t="s">
        <v>3401</v>
      </c>
      <c r="C54" s="69"/>
      <c r="D54" s="69"/>
      <c r="E54" s="69"/>
      <c r="F54" s="69"/>
      <c r="G54" s="69"/>
      <c r="H54" s="69"/>
      <c r="I54" s="2"/>
      <c r="J54" s="2"/>
      <c r="K54" s="2"/>
      <c r="L54" s="2"/>
      <c r="M54" s="2"/>
      <c r="N54" s="2"/>
    </row>
    <row r="55" customFormat="false" ht="15" hidden="false" customHeight="false" outlineLevel="0" collapsed="false">
      <c r="A55" s="2"/>
      <c r="B55" s="22" t="s">
        <v>3402</v>
      </c>
      <c r="C55" s="58" t="n">
        <f aca="false">SUM(J41:J53)</f>
        <v>0</v>
      </c>
      <c r="D55" s="2"/>
      <c r="E55" s="2"/>
      <c r="F55" s="2"/>
      <c r="G55" s="2"/>
      <c r="H55" s="2"/>
      <c r="I55" s="2"/>
      <c r="J55" s="2"/>
      <c r="K55" s="2"/>
      <c r="L55" s="2"/>
      <c r="M55" s="2"/>
      <c r="N55" s="2"/>
    </row>
  </sheetData>
  <mergeCells count="3">
    <mergeCell ref="B35:H35"/>
    <mergeCell ref="B38:H38"/>
    <mergeCell ref="B54:H54"/>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customHeight="true" zeroHeight="false" outlineLevelRow="0" outlineLevelCol="0"/>
  <cols>
    <col collapsed="false" customWidth="true" hidden="false" outlineLevel="0" max="1" min="1" style="0" width="4"/>
    <col collapsed="false" customWidth="true" hidden="false" outlineLevel="0" max="2" min="2" style="0" width="64"/>
    <col collapsed="false" customWidth="true" hidden="false" outlineLevel="0" max="4" min="3" style="0" width="13"/>
    <col collapsed="false" customWidth="true" hidden="false" outlineLevel="0" max="5" min="5" style="0" width="11"/>
    <col collapsed="false" customWidth="true" hidden="false" outlineLevel="0" max="7" min="6" style="0" width="10"/>
  </cols>
  <sheetData>
    <row r="1" customFormat="false" ht="17.35" hidden="false" customHeight="false" outlineLevel="0" collapsed="false">
      <c r="A1" s="1" t="s">
        <v>3403</v>
      </c>
      <c r="B1" s="2"/>
      <c r="C1" s="2"/>
      <c r="D1" s="2"/>
      <c r="E1" s="2"/>
      <c r="F1" s="2"/>
      <c r="G1" s="2"/>
    </row>
    <row r="2" customFormat="false" ht="15" hidden="false" customHeight="false" outlineLevel="0" collapsed="false">
      <c r="A2" s="3" t="s">
        <v>3404</v>
      </c>
      <c r="B2" s="2"/>
      <c r="C2" s="2"/>
      <c r="D2" s="2"/>
      <c r="E2" s="2"/>
      <c r="F2" s="2"/>
      <c r="G2" s="2"/>
    </row>
    <row r="3" customFormat="false" ht="15" hidden="false" customHeight="false" outlineLevel="0" collapsed="false">
      <c r="A3" s="2"/>
      <c r="B3" s="2"/>
      <c r="C3" s="2"/>
      <c r="D3" s="2"/>
      <c r="E3" s="2"/>
      <c r="F3" s="2"/>
      <c r="G3" s="2"/>
    </row>
    <row r="4" customFormat="false" ht="15" hidden="false" customHeight="false" outlineLevel="0" collapsed="false">
      <c r="A4" s="21" t="s">
        <v>3405</v>
      </c>
      <c r="B4" s="21" t="s">
        <v>3406</v>
      </c>
      <c r="C4" s="21" t="s">
        <v>3407</v>
      </c>
      <c r="D4" s="21" t="s">
        <v>3408</v>
      </c>
      <c r="E4" s="21" t="s">
        <v>3409</v>
      </c>
      <c r="F4" s="21" t="s">
        <v>3410</v>
      </c>
      <c r="G4" s="21" t="s">
        <v>3411</v>
      </c>
    </row>
    <row r="5" customFormat="false" ht="27.75" hidden="false" customHeight="true" outlineLevel="0" collapsed="false">
      <c r="A5" s="25" t="n">
        <v>1</v>
      </c>
      <c r="B5" s="38" t="s">
        <v>3412</v>
      </c>
      <c r="C5" s="63" t="n">
        <f aca="false">Levier!$C$8</f>
        <v>2.62507365939894</v>
      </c>
      <c r="D5" s="63" t="n">
        <f aca="false">Levier!$C$9</f>
        <v>2.63</v>
      </c>
      <c r="E5" s="132" t="n">
        <v>0.006</v>
      </c>
      <c r="F5" s="111" t="str">
        <f aca="false">IF(ABS(C5-D5)&lt;=E5,"OK","ÉCART")</f>
        <v>OK</v>
      </c>
      <c r="G5" s="24" t="s">
        <v>3413</v>
      </c>
    </row>
    <row r="6" customFormat="false" ht="27.75" hidden="false" customHeight="true" outlineLevel="0" collapsed="false">
      <c r="A6" s="25" t="n">
        <v>2</v>
      </c>
      <c r="B6" s="38" t="s">
        <v>3414</v>
      </c>
      <c r="C6" s="63" t="n">
        <f aca="false">Levier!$C$12</f>
        <v>2.78822695035461</v>
      </c>
      <c r="D6" s="63" t="n">
        <f aca="false">Levier!$C$13</f>
        <v>2.79</v>
      </c>
      <c r="E6" s="132" t="n">
        <v>0.006</v>
      </c>
      <c r="F6" s="111" t="str">
        <f aca="false">IF(ABS(C6-D6)&lt;=E6,"OK","ÉCART")</f>
        <v>OK</v>
      </c>
      <c r="G6" s="24" t="s">
        <v>3413</v>
      </c>
    </row>
    <row r="7" customFormat="false" ht="27.75" hidden="false" customHeight="true" outlineLevel="0" collapsed="false">
      <c r="A7" s="25" t="n">
        <v>3</v>
      </c>
      <c r="B7" s="38" t="s">
        <v>3415</v>
      </c>
      <c r="C7" s="61" t="n">
        <f aca="false">'Pont de dette'!$C$16</f>
        <v>24547</v>
      </c>
      <c r="D7" s="61" t="n">
        <f aca="false">'Pont de dette'!$C$17</f>
        <v>24548</v>
      </c>
      <c r="E7" s="82" t="n">
        <v>2</v>
      </c>
      <c r="F7" s="111" t="str">
        <f aca="false">IF(ABS(C7-D7)&lt;=E7,"OK","ÉCART")</f>
        <v>OK</v>
      </c>
      <c r="G7" s="24" t="s">
        <v>3413</v>
      </c>
    </row>
    <row r="8" customFormat="false" ht="27.75" hidden="false" customHeight="true" outlineLevel="0" collapsed="false">
      <c r="A8" s="25" t="n">
        <v>4</v>
      </c>
      <c r="B8" s="38" t="s">
        <v>3416</v>
      </c>
      <c r="C8" s="78" t="n">
        <f aca="false">Cessions!$C$9</f>
        <v>3.1</v>
      </c>
      <c r="D8" s="78" t="n">
        <f aca="false">Cessions!$C$10</f>
        <v>3.1</v>
      </c>
      <c r="E8" s="133" t="n">
        <v>0.001</v>
      </c>
      <c r="F8" s="111" t="str">
        <f aca="false">IF(ABS(C8-D8)&lt;=E8,"OK","ÉCART")</f>
        <v>OK</v>
      </c>
      <c r="G8" s="24" t="s">
        <v>3413</v>
      </c>
    </row>
    <row r="9" customFormat="false" ht="27.75" hidden="false" customHeight="true" outlineLevel="0" collapsed="false">
      <c r="A9" s="25" t="n">
        <v>5</v>
      </c>
      <c r="B9" s="38" t="s">
        <v>3417</v>
      </c>
      <c r="C9" s="61" t="n">
        <f aca="false">ESG!$C$14</f>
        <v>1214</v>
      </c>
      <c r="D9" s="61" t="n">
        <f aca="false">Entrées!$C$105</f>
        <v>1214</v>
      </c>
      <c r="E9" s="82" t="n">
        <v>0.5</v>
      </c>
      <c r="F9" s="111" t="str">
        <f aca="false">IF(ABS(C9-D9)&lt;=E9,"OK","ÉCART")</f>
        <v>OK</v>
      </c>
      <c r="G9" s="24" t="s">
        <v>3413</v>
      </c>
    </row>
    <row r="10" customFormat="false" ht="27.75" hidden="false" customHeight="true" outlineLevel="0" collapsed="false">
      <c r="A10" s="25" t="n">
        <v>6</v>
      </c>
      <c r="B10" s="38" t="s">
        <v>3418</v>
      </c>
      <c r="C10" s="64" t="n">
        <f aca="false">Entrées!$C$32*Entrées!$C$91/1000000</f>
        <v>1097.5460085</v>
      </c>
      <c r="D10" s="61" t="n">
        <f aca="false">Entrées!$C$79</f>
        <v>1099</v>
      </c>
      <c r="E10" s="82" t="n">
        <v>15</v>
      </c>
      <c r="F10" s="111" t="str">
        <f aca="false">IF(ABS(C10-D10)&lt;=E10,"OK","ÉCART")</f>
        <v>OK</v>
      </c>
      <c r="G10" s="24" t="s">
        <v>3413</v>
      </c>
    </row>
    <row r="11" customFormat="false" ht="27.75" hidden="false" customHeight="true" outlineLevel="0" collapsed="false">
      <c r="A11" s="25" t="n">
        <v>7</v>
      </c>
      <c r="B11" s="38" t="s">
        <v>3419</v>
      </c>
      <c r="C11" s="63" t="n">
        <f aca="false">Trajectoire!$D$33</f>
        <v>3.01771731406222</v>
      </c>
      <c r="D11" s="132" t="n">
        <v>3.075</v>
      </c>
      <c r="E11" s="132" t="n">
        <v>0.075</v>
      </c>
      <c r="F11" s="111" t="str">
        <f aca="false">IF(ABS(C11-D11)&lt;=E11,"OK","ÉCART")</f>
        <v>OK</v>
      </c>
      <c r="G11" s="24" t="s">
        <v>3413</v>
      </c>
    </row>
    <row r="12" customFormat="false" ht="27.75" hidden="false" customHeight="true" outlineLevel="0" collapsed="false">
      <c r="A12" s="25" t="n">
        <v>8</v>
      </c>
      <c r="B12" s="38" t="s">
        <v>3420</v>
      </c>
      <c r="C12" s="95" t="n">
        <f aca="false">Hypothèses!$J$19</f>
        <v>1.17584579071597</v>
      </c>
      <c r="D12" s="134" t="n">
        <v>1.175</v>
      </c>
      <c r="E12" s="134" t="n">
        <v>0.125</v>
      </c>
      <c r="F12" s="111" t="str">
        <f aca="false">IF(ABS(C12-D12)&lt;=E12,"OK","ÉCART")</f>
        <v>OK</v>
      </c>
      <c r="G12" s="24" t="s">
        <v>3413</v>
      </c>
    </row>
    <row r="13" customFormat="false" ht="27.75" hidden="false" customHeight="true" outlineLevel="0" collapsed="false">
      <c r="A13" s="25" t="n">
        <v>9</v>
      </c>
      <c r="B13" s="38" t="s">
        <v>3421</v>
      </c>
      <c r="C13" s="78" t="n">
        <f aca="false">Cessions!$C$16</f>
        <v>0.5</v>
      </c>
      <c r="D13" s="78" t="n">
        <f aca="false">Cessions!$C$17</f>
        <v>0.5</v>
      </c>
      <c r="E13" s="133" t="n">
        <v>0.001</v>
      </c>
      <c r="F13" s="111" t="str">
        <f aca="false">IF(ABS(C13-D13)&lt;=E13,"OK","ÉCART")</f>
        <v>OK</v>
      </c>
      <c r="G13" s="24" t="s">
        <v>3413</v>
      </c>
    </row>
    <row r="14" customFormat="false" ht="27.75" hidden="false" customHeight="true" outlineLevel="0" collapsed="false">
      <c r="A14" s="25" t="n">
        <v>10</v>
      </c>
      <c r="B14" s="38" t="s">
        <v>3422</v>
      </c>
      <c r="C14" s="64" t="n">
        <f aca="false">-Entrées!$C$124*1000</f>
        <v>400</v>
      </c>
      <c r="D14" s="61" t="n">
        <f aca="false">Entrées!$C$126</f>
        <v>397</v>
      </c>
      <c r="E14" s="82" t="n">
        <v>60</v>
      </c>
      <c r="F14" s="111" t="str">
        <f aca="false">IF(ABS(C14-D14)&lt;=E14,"OK","ÉCART")</f>
        <v>OK</v>
      </c>
      <c r="G14" s="24" t="s">
        <v>3413</v>
      </c>
    </row>
    <row r="15" customFormat="false" ht="27.75" hidden="false" customHeight="true" outlineLevel="0" collapsed="false">
      <c r="A15" s="25" t="n">
        <v>11</v>
      </c>
      <c r="B15" s="38" t="s">
        <v>3423</v>
      </c>
      <c r="C15" s="61" t="n">
        <f aca="false">Levier!$C$30</f>
        <v>24000</v>
      </c>
      <c r="D15" s="82" t="n">
        <v>24000</v>
      </c>
      <c r="E15" s="82" t="n">
        <v>1</v>
      </c>
      <c r="F15" s="111" t="str">
        <f aca="false">IF(ABS(C15-D15)&lt;=E15,"OK","ÉCART")</f>
        <v>OK</v>
      </c>
      <c r="G15" s="24" t="s">
        <v>3413</v>
      </c>
    </row>
    <row r="16" customFormat="false" ht="27.75" hidden="false" customHeight="true" outlineLevel="0" collapsed="false">
      <c r="A16" s="25" t="n">
        <v>12</v>
      </c>
      <c r="B16" s="38" t="s">
        <v>3424</v>
      </c>
      <c r="C16" s="72" t="n">
        <f aca="false">Trajectoire!$D$52</f>
        <v>0.193486847370753</v>
      </c>
      <c r="D16" s="72" t="n">
        <f aca="false">Entrées!$C$232/100</f>
        <v>0.185</v>
      </c>
      <c r="E16" s="135" t="n">
        <v>0.02</v>
      </c>
      <c r="F16" s="111" t="str">
        <f aca="false">IF(ABS(C16-D16)&lt;=E16,"OK","ÉCART")</f>
        <v>OK</v>
      </c>
      <c r="G16" s="24" t="s">
        <v>3413</v>
      </c>
    </row>
    <row r="17" customFormat="false" ht="27.75" hidden="false" customHeight="true" outlineLevel="0" collapsed="false">
      <c r="A17" s="25" t="n">
        <v>13</v>
      </c>
      <c r="B17" s="38" t="s">
        <v>3425</v>
      </c>
      <c r="C17" s="72" t="n">
        <f aca="false">Trajectoire!$D$56</f>
        <v>0.207738254508974</v>
      </c>
      <c r="D17" s="72" t="n">
        <f aca="false">Entrées!$C$233/100</f>
        <v>0.195</v>
      </c>
      <c r="E17" s="135" t="n">
        <v>0.025</v>
      </c>
      <c r="F17" s="111" t="str">
        <f aca="false">IF(ABS(C17-D17)&lt;=E17,"OK","ÉCART")</f>
        <v>OK</v>
      </c>
      <c r="G17" s="24" t="s">
        <v>3413</v>
      </c>
    </row>
    <row r="18" customFormat="false" ht="27.75" hidden="false" customHeight="true" outlineLevel="0" collapsed="false">
      <c r="A18" s="25" t="n">
        <v>14</v>
      </c>
      <c r="B18" s="38" t="s">
        <v>3426</v>
      </c>
      <c r="C18" s="61" t="n">
        <f aca="false">Levier!$C$51</f>
        <v>29518</v>
      </c>
      <c r="D18" s="61" t="n">
        <f aca="false">Entrées!$C$259</f>
        <v>29518</v>
      </c>
      <c r="E18" s="82" t="n">
        <v>1</v>
      </c>
      <c r="F18" s="111" t="str">
        <f aca="false">IF(ABS(C18-D18)&lt;=E18,"OK","ÉCART")</f>
        <v>OK</v>
      </c>
      <c r="G18" s="24" t="s">
        <v>3413</v>
      </c>
    </row>
    <row r="19" customFormat="false" ht="27.75" hidden="false" customHeight="true" outlineLevel="0" collapsed="false">
      <c r="A19" s="25" t="n">
        <v>15</v>
      </c>
      <c r="B19" s="38" t="s">
        <v>3427</v>
      </c>
      <c r="C19" s="61" t="n">
        <f aca="false">Levier!$C$56</f>
        <v>34879</v>
      </c>
      <c r="D19" s="61" t="n">
        <f aca="false">Levier!$C$57</f>
        <v>34879</v>
      </c>
      <c r="E19" s="82" t="n">
        <v>1</v>
      </c>
      <c r="F19" s="111" t="str">
        <f aca="false">IF(ABS(C19-D19)&lt;=E19,"OK","ÉCART")</f>
        <v>OK</v>
      </c>
      <c r="G19" s="24" t="s">
        <v>3413</v>
      </c>
    </row>
    <row r="20" customFormat="false" ht="27.75" hidden="false" customHeight="true" outlineLevel="0" collapsed="false">
      <c r="A20" s="25" t="n">
        <v>16</v>
      </c>
      <c r="B20" s="38" t="s">
        <v>3428</v>
      </c>
      <c r="C20" s="61" t="n">
        <f aca="false">Levier!$C$59</f>
        <v>25404</v>
      </c>
      <c r="D20" s="61" t="n">
        <f aca="false">Levier!$C$60</f>
        <v>25404</v>
      </c>
      <c r="E20" s="82" t="n">
        <v>1</v>
      </c>
      <c r="F20" s="111" t="str">
        <f aca="false">IF(ABS(C20-D20)&lt;=E20,"OK","ÉCART")</f>
        <v>OK</v>
      </c>
      <c r="G20" s="24" t="s">
        <v>3413</v>
      </c>
    </row>
    <row r="21" customFormat="false" ht="27.75" hidden="false" customHeight="true" outlineLevel="0" collapsed="false">
      <c r="A21" s="25" t="n">
        <v>17</v>
      </c>
      <c r="B21" s="38" t="s">
        <v>3429</v>
      </c>
      <c r="C21" s="61" t="n">
        <f aca="false">Levier!$C$44</f>
        <v>5156.2</v>
      </c>
      <c r="D21" s="61" t="n">
        <f aca="false">Levier!$C$67</f>
        <v>5160</v>
      </c>
      <c r="E21" s="82" t="n">
        <v>60</v>
      </c>
      <c r="F21" s="111" t="str">
        <f aca="false">IF(ABS(C21-D21)&lt;=E21,"OK","ÉCART")</f>
        <v>OK</v>
      </c>
      <c r="G21" s="24" t="s">
        <v>3413</v>
      </c>
    </row>
    <row r="22" customFormat="false" ht="27.75" hidden="false" customHeight="true" outlineLevel="0" collapsed="false">
      <c r="A22" s="25" t="n">
        <v>18</v>
      </c>
      <c r="B22" s="38" t="s">
        <v>3430</v>
      </c>
      <c r="C22" s="61" t="n">
        <f aca="false">Levier!$C$61</f>
        <v>19821</v>
      </c>
      <c r="D22" s="61" t="n">
        <f aca="false">Entrées!$C$13</f>
        <v>19657</v>
      </c>
      <c r="E22" s="53" t="s">
        <v>2057</v>
      </c>
      <c r="F22" s="111" t="s">
        <v>3431</v>
      </c>
      <c r="G22" s="24" t="s">
        <v>3432</v>
      </c>
    </row>
    <row r="23" customFormat="false" ht="27.75" hidden="false" customHeight="true" outlineLevel="0" collapsed="false">
      <c r="A23" s="25" t="n">
        <v>19</v>
      </c>
      <c r="B23" s="38" t="s">
        <v>3433</v>
      </c>
      <c r="C23" s="72" t="n">
        <f aca="false">Segments!$G$16</f>
        <v>0.126449852171935</v>
      </c>
      <c r="D23" s="72" t="n">
        <f aca="false">Segments!$G$19</f>
        <v>0.126</v>
      </c>
      <c r="E23" s="135" t="n">
        <v>0.002</v>
      </c>
      <c r="F23" s="111" t="str">
        <f aca="false">IF(ABS(C23-D23)&lt;=E23,"OK","ÉCART")</f>
        <v>OK</v>
      </c>
      <c r="G23" s="24" t="s">
        <v>3413</v>
      </c>
    </row>
    <row r="24" customFormat="false" ht="27.75" hidden="false" customHeight="true" outlineLevel="0" collapsed="false">
      <c r="A24" s="25" t="n">
        <v>20</v>
      </c>
      <c r="B24" s="38" t="s">
        <v>3434</v>
      </c>
      <c r="C24" s="72" t="n">
        <f aca="false">Entrées!$C$213/1000/Entrées!$C$212</f>
        <v>0.193993997479605</v>
      </c>
      <c r="D24" s="72" t="n">
        <f aca="false">Booster!$G$39</f>
        <v>0.194</v>
      </c>
      <c r="E24" s="135" t="n">
        <v>0.002</v>
      </c>
      <c r="F24" s="111" t="str">
        <f aca="false">IF(ABS(C24-D24)&lt;=E24,"OK","ÉCART")</f>
        <v>OK</v>
      </c>
      <c r="G24" s="24" t="s">
        <v>3413</v>
      </c>
    </row>
    <row r="25" customFormat="false" ht="27.75" hidden="false" customHeight="true" outlineLevel="0" collapsed="false">
      <c r="A25" s="25" t="n">
        <v>21</v>
      </c>
      <c r="B25" s="38" t="s">
        <v>3435</v>
      </c>
      <c r="C25" s="61" t="n">
        <f aca="false">Segments!$F$12</f>
        <v>139</v>
      </c>
      <c r="D25" s="82" t="n">
        <v>139</v>
      </c>
      <c r="E25" s="82" t="n">
        <v>60</v>
      </c>
      <c r="F25" s="111" t="str">
        <f aca="false">IF(ABS(C25-D25)&lt;=E25,"OK","ÉCART")</f>
        <v>OK</v>
      </c>
      <c r="G25" s="24" t="s">
        <v>3413</v>
      </c>
    </row>
    <row r="26" customFormat="false" ht="27.75" hidden="false" customHeight="true" outlineLevel="0" collapsed="false">
      <c r="A26" s="25" t="n">
        <v>22</v>
      </c>
      <c r="B26" s="38" t="s">
        <v>3436</v>
      </c>
      <c r="C26" s="78" t="n">
        <f aca="false">Segments!$F$38</f>
        <v>17.485</v>
      </c>
      <c r="D26" s="133" t="n">
        <v>18</v>
      </c>
      <c r="E26" s="53" t="s">
        <v>2057</v>
      </c>
      <c r="F26" s="111" t="s">
        <v>3431</v>
      </c>
      <c r="G26" s="24" t="s">
        <v>3432</v>
      </c>
    </row>
    <row r="27" customFormat="false" ht="27.75" hidden="false" customHeight="true" outlineLevel="0" collapsed="false">
      <c r="A27" s="25" t="n">
        <v>23</v>
      </c>
      <c r="B27" s="38" t="s">
        <v>3437</v>
      </c>
      <c r="C27" s="61" t="n">
        <f aca="false">Segments!$E$31</f>
        <v>8094.42222686603</v>
      </c>
      <c r="D27" s="82" t="n">
        <v>8000</v>
      </c>
      <c r="E27" s="53" t="s">
        <v>2057</v>
      </c>
      <c r="F27" s="111" t="s">
        <v>3431</v>
      </c>
      <c r="G27" s="24" t="s">
        <v>3432</v>
      </c>
    </row>
    <row r="28" customFormat="false" ht="27.75" hidden="false" customHeight="true" outlineLevel="0" collapsed="false">
      <c r="A28" s="25" t="n">
        <v>24</v>
      </c>
      <c r="B28" s="38" t="s">
        <v>3438</v>
      </c>
      <c r="C28" s="61" t="n">
        <f aca="false">Trajectoire!$D$50</f>
        <v>28416</v>
      </c>
      <c r="D28" s="82" t="n">
        <v>29000</v>
      </c>
      <c r="E28" s="82" t="n">
        <v>1500</v>
      </c>
      <c r="F28" s="111" t="str">
        <f aca="false">IF(ABS(C28-D28)&lt;=E28,"OK","ÉCART")</f>
        <v>OK</v>
      </c>
      <c r="G28" s="24" t="s">
        <v>3413</v>
      </c>
    </row>
    <row r="29" customFormat="false" ht="27.75" hidden="false" customHeight="true" outlineLevel="0" collapsed="false">
      <c r="A29" s="25" t="n">
        <v>25</v>
      </c>
      <c r="B29" s="38" t="s">
        <v>3439</v>
      </c>
      <c r="C29" s="61" t="n">
        <f aca="false">Trajectoire!$D$41</f>
        <v>7981.43050727668</v>
      </c>
      <c r="D29" s="61" t="n">
        <f aca="false">Entrées!$C$17*1000</f>
        <v>8000</v>
      </c>
      <c r="E29" s="53" t="s">
        <v>2057</v>
      </c>
      <c r="F29" s="111" t="s">
        <v>3431</v>
      </c>
      <c r="G29" s="24" t="s">
        <v>3432</v>
      </c>
    </row>
    <row r="30" customFormat="false" ht="27.75" hidden="false" customHeight="true" outlineLevel="0" collapsed="false">
      <c r="A30" s="25" t="n">
        <v>26</v>
      </c>
      <c r="B30" s="38" t="s">
        <v>3440</v>
      </c>
      <c r="C30" s="61" t="n">
        <f aca="false">Levier!$C$46</f>
        <v>-63.7999999999993</v>
      </c>
      <c r="D30" s="82" t="n">
        <v>0</v>
      </c>
      <c r="E30" s="53" t="s">
        <v>2057</v>
      </c>
      <c r="F30" s="111" t="s">
        <v>3431</v>
      </c>
      <c r="G30" s="24" t="s">
        <v>3432</v>
      </c>
    </row>
    <row r="31" customFormat="false" ht="27.75" hidden="false" customHeight="true" outlineLevel="0" collapsed="false">
      <c r="A31" s="25" t="n">
        <v>27</v>
      </c>
      <c r="B31" s="38" t="s">
        <v>3441</v>
      </c>
      <c r="C31" s="61" t="n">
        <f aca="false">'Pont de dette'!$C$35</f>
        <v>398</v>
      </c>
      <c r="D31" s="82" t="n">
        <v>0</v>
      </c>
      <c r="E31" s="53" t="s">
        <v>2057</v>
      </c>
      <c r="F31" s="111" t="s">
        <v>3431</v>
      </c>
      <c r="G31" s="24" t="s">
        <v>3432</v>
      </c>
    </row>
    <row r="32" customFormat="false" ht="27.75" hidden="false" customHeight="true" outlineLevel="0" collapsed="false">
      <c r="A32" s="25" t="n">
        <v>28</v>
      </c>
      <c r="B32" s="38" t="s">
        <v>3442</v>
      </c>
      <c r="C32" s="61" t="n">
        <f aca="false">'Pont de dette'!$C$20</f>
        <v>236</v>
      </c>
      <c r="D32" s="82" t="n">
        <v>0</v>
      </c>
      <c r="E32" s="53" t="s">
        <v>2057</v>
      </c>
      <c r="F32" s="111" t="s">
        <v>3431</v>
      </c>
      <c r="G32" s="24" t="s">
        <v>3432</v>
      </c>
    </row>
    <row r="33" customFormat="false" ht="27.75" hidden="false" customHeight="true" outlineLevel="0" collapsed="false">
      <c r="A33" s="25" t="n">
        <v>29</v>
      </c>
      <c r="B33" s="38" t="s">
        <v>3443</v>
      </c>
      <c r="C33" s="89" t="n">
        <f aca="false">Cibles!$C$20</f>
        <v>9.375</v>
      </c>
      <c r="D33" s="89" t="n">
        <f aca="false">Cibles!$C$21</f>
        <v>9.8</v>
      </c>
      <c r="E33" s="53" t="s">
        <v>2057</v>
      </c>
      <c r="F33" s="111" t="s">
        <v>3431</v>
      </c>
      <c r="G33" s="24" t="s">
        <v>3432</v>
      </c>
    </row>
    <row r="34" customFormat="false" ht="27.75" hidden="false" customHeight="true" outlineLevel="0" collapsed="false">
      <c r="A34" s="25" t="n">
        <v>30</v>
      </c>
      <c r="B34" s="38" t="s">
        <v>3444</v>
      </c>
      <c r="C34" s="89" t="n">
        <f aca="false">Cibles!$C$32</f>
        <v>7.4</v>
      </c>
      <c r="D34" s="89" t="n">
        <f aca="false">Hypothèses!$D$21</f>
        <v>7.4</v>
      </c>
      <c r="E34" s="136" t="n">
        <v>0.001</v>
      </c>
      <c r="F34" s="111" t="str">
        <f aca="false">IF(ABS(C34-D34)&lt;=E34,"OK","ÉCART")</f>
        <v>OK</v>
      </c>
      <c r="G34" s="24" t="s">
        <v>3413</v>
      </c>
    </row>
    <row r="35" customFormat="false" ht="27.75" hidden="false" customHeight="true" outlineLevel="0" collapsed="false">
      <c r="A35" s="25" t="n">
        <v>31</v>
      </c>
      <c r="B35" s="38" t="s">
        <v>3445</v>
      </c>
      <c r="C35" s="89" t="n">
        <f aca="false">Cibles!$C$34</f>
        <v>11</v>
      </c>
      <c r="D35" s="89" t="n">
        <f aca="false">Hypothèses!$E$21</f>
        <v>11</v>
      </c>
      <c r="E35" s="136" t="n">
        <v>0.001</v>
      </c>
      <c r="F35" s="111" t="str">
        <f aca="false">IF(ABS(C35-D35)&lt;=E35,"OK","ÉCART")</f>
        <v>OK</v>
      </c>
      <c r="G35" s="24" t="s">
        <v>3413</v>
      </c>
    </row>
    <row r="36" customFormat="false" ht="27.75" hidden="false" customHeight="true" outlineLevel="0" collapsed="false">
      <c r="A36" s="25" t="n">
        <v>32</v>
      </c>
      <c r="B36" s="38" t="s">
        <v>3446</v>
      </c>
      <c r="C36" s="61" t="n">
        <f aca="false">IF(COUNTIF(Hypothèses!$I$5:$I$27,"Bas")+COUNTIF(Hypothèses!$I$5:$I$27,"Haut")=0,Simulation!$BG$15-Trajectoire!$D$58,0)</f>
        <v>0</v>
      </c>
      <c r="D36" s="82" t="n">
        <v>0</v>
      </c>
      <c r="E36" s="82" t="n">
        <v>0.5</v>
      </c>
      <c r="F36" s="111" t="str">
        <f aca="false">IF(ABS(C36-D36)&lt;=E36,"OK","ÉCART")</f>
        <v>OK</v>
      </c>
      <c r="G36" s="24" t="s">
        <v>3413</v>
      </c>
    </row>
    <row r="37" customFormat="false" ht="27.75" hidden="false" customHeight="true" outlineLevel="0" collapsed="false">
      <c r="A37" s="25" t="n">
        <v>33</v>
      </c>
      <c r="B37" s="38" t="s">
        <v>3447</v>
      </c>
      <c r="C37" s="108" t="n">
        <f aca="false">AVERAGE(Simulation!$B$16:$B$1015,Simulation!$D$16:$D$1015,Simulation!$F$16:$F$1015,Simulation!$H$16:$H$1015,Simulation!$J$16:$J$1015,Simulation!$L$16:$L$1015,Simulation!$N$16:$N$1015,Simulation!$P$16:$P$1015,Simulation!$R$16:$R$1015,Simulation!$T$16:$T$1015,Simulation!$V$16:$V$1015,Simulation!$X$16:$X$1015,Simulation!$Z$16:$Z$1015,Simulation!$AB$16:$AB$1015)</f>
        <v>0.502602089224357</v>
      </c>
      <c r="D37" s="137" t="n">
        <v>0.5</v>
      </c>
      <c r="E37" s="137" t="n">
        <v>0.02</v>
      </c>
      <c r="F37" s="111" t="str">
        <f aca="false">IF(ABS(C37-D37)&lt;=E37,"OK","ÉCART")</f>
        <v>OK</v>
      </c>
      <c r="G37" s="24" t="s">
        <v>3413</v>
      </c>
    </row>
    <row r="38" customFormat="false" ht="27.75" hidden="false" customHeight="true" outlineLevel="0" collapsed="false">
      <c r="A38" s="25" t="n">
        <v>34</v>
      </c>
      <c r="B38" s="38" t="s">
        <v>3448</v>
      </c>
      <c r="C38" s="61" t="n">
        <f aca="false">'Pont EBITDA'!$C$49</f>
        <v>7981.43050727668</v>
      </c>
      <c r="D38" s="61" t="n">
        <f aca="false">'Pont EBITDA'!$C$50</f>
        <v>7981.43050727668</v>
      </c>
      <c r="E38" s="82" t="n">
        <v>1</v>
      </c>
      <c r="F38" s="111" t="str">
        <f aca="false">IF(ABS(C38-D38)&lt;=E38,"OK","ÉCART")</f>
        <v>OK</v>
      </c>
      <c r="G38" s="24" t="s">
        <v>3413</v>
      </c>
    </row>
    <row r="39" customFormat="false" ht="27.75" hidden="false" customHeight="true" outlineLevel="0" collapsed="false">
      <c r="A39" s="25" t="n">
        <v>35</v>
      </c>
      <c r="B39" s="38" t="s">
        <v>3449</v>
      </c>
      <c r="C39" s="72" t="n">
        <f aca="false">'Pont EBITDA'!$C$9</f>
        <v>0.0532807756958533</v>
      </c>
      <c r="D39" s="72" t="n">
        <f aca="false">'Pont EBITDA'!$C$10</f>
        <v>0.05</v>
      </c>
      <c r="E39" s="135" t="n">
        <v>0.01</v>
      </c>
      <c r="F39" s="111" t="str">
        <f aca="false">IF(ABS(C39-D39)&lt;=E39,"OK","ÉCART")</f>
        <v>OK</v>
      </c>
      <c r="G39" s="24" t="s">
        <v>3413</v>
      </c>
    </row>
    <row r="40" customFormat="false" ht="27.75" hidden="false" customHeight="true" outlineLevel="0" collapsed="false">
      <c r="A40" s="25" t="n">
        <v>36</v>
      </c>
      <c r="B40" s="38" t="s">
        <v>3450</v>
      </c>
      <c r="C40" s="61" t="n">
        <f aca="false">'Pont EBITDA'!$C$34</f>
        <v>460.212</v>
      </c>
      <c r="D40" s="61" t="n">
        <f aca="false">'Pont EBITDA'!$C$24</f>
        <v>427.644</v>
      </c>
      <c r="E40" s="53" t="s">
        <v>2057</v>
      </c>
      <c r="F40" s="111" t="s">
        <v>3431</v>
      </c>
      <c r="G40" s="24" t="s">
        <v>3432</v>
      </c>
    </row>
    <row r="41" customFormat="false" ht="27.75" hidden="false" customHeight="true" outlineLevel="0" collapsed="false">
      <c r="A41" s="25" t="n">
        <v>37</v>
      </c>
      <c r="B41" s="38" t="s">
        <v>3451</v>
      </c>
      <c r="C41" s="72" t="n">
        <f aca="false">'Pont EBITDA'!$C$13</f>
        <v>0.933333333333333</v>
      </c>
      <c r="D41" s="135" t="n">
        <v>1</v>
      </c>
      <c r="E41" s="53" t="s">
        <v>2057</v>
      </c>
      <c r="F41" s="111" t="s">
        <v>3431</v>
      </c>
      <c r="G41" s="24" t="s">
        <v>3432</v>
      </c>
    </row>
    <row r="42" customFormat="false" ht="27.75" hidden="false" customHeight="true" outlineLevel="0" collapsed="false">
      <c r="A42" s="25" t="n">
        <v>38</v>
      </c>
      <c r="B42" s="38" t="s">
        <v>3452</v>
      </c>
      <c r="C42" s="61" t="n">
        <f aca="false">'Pont EBITDA'!$C$29</f>
        <v>-70.356</v>
      </c>
      <c r="D42" s="82" t="n">
        <v>0</v>
      </c>
      <c r="E42" s="53" t="s">
        <v>2057</v>
      </c>
      <c r="F42" s="111" t="s">
        <v>3431</v>
      </c>
      <c r="G42" s="24" t="s">
        <v>3432</v>
      </c>
    </row>
    <row r="43" customFormat="false" ht="27.75" hidden="false" customHeight="true" outlineLevel="0" collapsed="false">
      <c r="A43" s="25" t="n">
        <v>39</v>
      </c>
      <c r="B43" s="38" t="s">
        <v>3453</v>
      </c>
      <c r="C43" s="61" t="n">
        <f aca="false">Cessions!$C$74</f>
        <v>44394</v>
      </c>
      <c r="D43" s="61" t="n">
        <f aca="false">Cessions!$C$75</f>
        <v>44396</v>
      </c>
      <c r="E43" s="82" t="n">
        <v>5</v>
      </c>
      <c r="F43" s="111" t="str">
        <f aca="false">IF(ABS(C43-D43)&lt;=E43,"OK","ÉCART")</f>
        <v>OK</v>
      </c>
      <c r="G43" s="24" t="s">
        <v>3413</v>
      </c>
    </row>
    <row r="44" customFormat="false" ht="27.75" hidden="false" customHeight="true" outlineLevel="0" collapsed="false">
      <c r="A44" s="25" t="n">
        <v>40</v>
      </c>
      <c r="B44" s="38" t="s">
        <v>3454</v>
      </c>
      <c r="C44" s="61" t="n">
        <f aca="false">Levier!$C$114</f>
        <v>4100</v>
      </c>
      <c r="D44" s="61" t="n">
        <f aca="false">Levier!$C$115</f>
        <v>4100</v>
      </c>
      <c r="E44" s="82" t="n">
        <v>1</v>
      </c>
      <c r="F44" s="111" t="str">
        <f aca="false">IF(ABS(C44-D44)&lt;=E44,"OK","ÉCART")</f>
        <v>OK</v>
      </c>
      <c r="G44" s="24" t="s">
        <v>3413</v>
      </c>
    </row>
    <row r="45" customFormat="false" ht="27.75" hidden="false" customHeight="true" outlineLevel="0" collapsed="false">
      <c r="A45" s="25" t="n">
        <v>41</v>
      </c>
      <c r="B45" s="38" t="s">
        <v>3455</v>
      </c>
      <c r="C45" s="61" t="n">
        <f aca="false">ESG!$F$40</f>
        <v>2100</v>
      </c>
      <c r="D45" s="61" t="n">
        <f aca="false">ESG!$F$41</f>
        <v>2100</v>
      </c>
      <c r="E45" s="82" t="n">
        <v>150</v>
      </c>
      <c r="F45" s="111" t="str">
        <f aca="false">IF(ABS(C45-D45)&lt;=E45,"OK","ÉCART")</f>
        <v>OK</v>
      </c>
      <c r="G45" s="24" t="s">
        <v>3413</v>
      </c>
    </row>
    <row r="46" customFormat="false" ht="27.75" hidden="false" customHeight="true" outlineLevel="0" collapsed="false">
      <c r="A46" s="25" t="n">
        <v>42</v>
      </c>
      <c r="B46" s="38" t="s">
        <v>3456</v>
      </c>
      <c r="C46" s="72" t="n">
        <f aca="false">ESG!$C$43</f>
        <v>0.466666666666667</v>
      </c>
      <c r="D46" s="72" t="n">
        <f aca="false">ESG!$C$44</f>
        <v>0.472</v>
      </c>
      <c r="E46" s="135" t="n">
        <v>0.01</v>
      </c>
      <c r="F46" s="111" t="str">
        <f aca="false">IF(ABS(C46-D46)&lt;=E46,"OK","ÉCART")</f>
        <v>OK</v>
      </c>
      <c r="G46" s="24" t="s">
        <v>3413</v>
      </c>
    </row>
    <row r="47" customFormat="false" ht="27.75" hidden="false" customHeight="true" outlineLevel="0" collapsed="false">
      <c r="A47" s="25" t="n">
        <v>43</v>
      </c>
      <c r="B47" s="38" t="s">
        <v>3457</v>
      </c>
      <c r="C47" s="72" t="n">
        <f aca="false">Cessions!$C$88</f>
        <v>0.127713920817369</v>
      </c>
      <c r="D47" s="135" t="n">
        <v>0</v>
      </c>
      <c r="E47" s="53" t="s">
        <v>2057</v>
      </c>
      <c r="F47" s="111" t="s">
        <v>3431</v>
      </c>
      <c r="G47" s="24" t="s">
        <v>3432</v>
      </c>
    </row>
    <row r="48" customFormat="false" ht="27.75" hidden="false" customHeight="true" outlineLevel="0" collapsed="false">
      <c r="A48" s="25" t="n">
        <v>44</v>
      </c>
      <c r="B48" s="38" t="s">
        <v>3458</v>
      </c>
      <c r="C48" s="72" t="n">
        <f aca="false">Levier!$C$91</f>
        <v>-0.000581395348837166</v>
      </c>
      <c r="D48" s="135" t="n">
        <v>0</v>
      </c>
      <c r="E48" s="135" t="n">
        <v>0.05</v>
      </c>
      <c r="F48" s="111" t="str">
        <f aca="false">IF(ABS(C48-D48)&lt;=E48,"OK","ÉCART")</f>
        <v>OK</v>
      </c>
      <c r="G48" s="24" t="s">
        <v>3413</v>
      </c>
    </row>
    <row r="49" customFormat="false" ht="27.75" hidden="false" customHeight="true" outlineLevel="0" collapsed="false">
      <c r="A49" s="25" t="n">
        <v>45</v>
      </c>
      <c r="B49" s="38" t="s">
        <v>3459</v>
      </c>
      <c r="C49" s="72" t="n">
        <f aca="false">Levier!$D$91</f>
        <v>-0.0194017784963622</v>
      </c>
      <c r="D49" s="135" t="n">
        <v>0</v>
      </c>
      <c r="E49" s="135" t="n">
        <v>0.05</v>
      </c>
      <c r="F49" s="111" t="str">
        <f aca="false">IF(ABS(C49-D49)&lt;=E49,"OK","ÉCART")</f>
        <v>OK</v>
      </c>
      <c r="G49" s="24" t="s">
        <v>3413</v>
      </c>
    </row>
    <row r="50" customFormat="false" ht="27.75" hidden="false" customHeight="true" outlineLevel="0" collapsed="false">
      <c r="A50" s="25" t="n">
        <v>46</v>
      </c>
      <c r="B50" s="38" t="s">
        <v>3460</v>
      </c>
      <c r="C50" s="61" t="n">
        <f aca="false">Échéancier!$C$9</f>
        <v>9642</v>
      </c>
      <c r="D50" s="61" t="n">
        <f aca="false">Échéancier!$C$10</f>
        <v>9642</v>
      </c>
      <c r="E50" s="82" t="n">
        <v>1</v>
      </c>
      <c r="F50" s="111" t="str">
        <f aca="false">IF(ABS(C50-D50)&lt;=E50,"OK","ÉCART")</f>
        <v>OK</v>
      </c>
      <c r="G50" s="24" t="s">
        <v>3413</v>
      </c>
    </row>
    <row r="51" customFormat="false" ht="27.75" hidden="false" customHeight="true" outlineLevel="0" collapsed="false">
      <c r="A51" s="25" t="n">
        <v>47</v>
      </c>
      <c r="B51" s="38" t="s">
        <v>3461</v>
      </c>
      <c r="C51" s="61" t="n">
        <f aca="false">Échéancier!$J$6</f>
        <v>22266</v>
      </c>
      <c r="D51" s="61" t="n">
        <f aca="false">Échéancier!$I$6</f>
        <v>22265</v>
      </c>
      <c r="E51" s="82" t="n">
        <v>1</v>
      </c>
      <c r="F51" s="111" t="str">
        <f aca="false">IF(ABS(C51-D51)&lt;=E51,"OK","ÉCART")</f>
        <v>OK</v>
      </c>
      <c r="G51" s="24" t="s">
        <v>3413</v>
      </c>
    </row>
    <row r="52" customFormat="false" ht="27.75" hidden="false" customHeight="true" outlineLevel="0" collapsed="false">
      <c r="A52" s="25" t="n">
        <v>48</v>
      </c>
      <c r="B52" s="38" t="s">
        <v>3462</v>
      </c>
      <c r="C52" s="61" t="n">
        <f aca="false">Échéancier!$J$10</f>
        <v>34405</v>
      </c>
      <c r="D52" s="61" t="n">
        <f aca="false">Échéancier!$I$10</f>
        <v>34404</v>
      </c>
      <c r="E52" s="82" t="n">
        <v>1</v>
      </c>
      <c r="F52" s="111" t="str">
        <f aca="false">IF(ABS(C52-D52)&lt;=E52,"OK","ÉCART")</f>
        <v>OK</v>
      </c>
      <c r="G52" s="24" t="s">
        <v>3413</v>
      </c>
    </row>
    <row r="53" customFormat="false" ht="27.75" hidden="false" customHeight="true" outlineLevel="0" collapsed="false">
      <c r="A53" s="25" t="n">
        <v>49</v>
      </c>
      <c r="B53" s="38" t="s">
        <v>3463</v>
      </c>
      <c r="C53" s="61" t="n">
        <f aca="false">Échéancier!$C$37</f>
        <v>15911</v>
      </c>
      <c r="D53" s="61" t="n">
        <f aca="false">Échéancier!$C$38</f>
        <v>15911</v>
      </c>
      <c r="E53" s="82" t="n">
        <v>1</v>
      </c>
      <c r="F53" s="111" t="str">
        <f aca="false">IF(ABS(C53-D53)&lt;=E53,"OK","ÉCART")</f>
        <v>OK</v>
      </c>
      <c r="G53" s="24" t="s">
        <v>3413</v>
      </c>
    </row>
    <row r="54" customFormat="false" ht="27.75" hidden="false" customHeight="true" outlineLevel="0" collapsed="false">
      <c r="A54" s="25" t="n">
        <v>50</v>
      </c>
      <c r="B54" s="38" t="s">
        <v>3464</v>
      </c>
      <c r="C54" s="61" t="n">
        <f aca="false">Échéancier!$C$6-Échéancier!$C$16</f>
        <v>473</v>
      </c>
      <c r="D54" s="82" t="n">
        <v>0</v>
      </c>
      <c r="E54" s="53" t="s">
        <v>2057</v>
      </c>
      <c r="F54" s="111" t="s">
        <v>3431</v>
      </c>
      <c r="G54" s="24" t="s">
        <v>3432</v>
      </c>
    </row>
    <row r="55" customFormat="false" ht="27.75" hidden="false" customHeight="true" outlineLevel="0" collapsed="false">
      <c r="A55" s="25" t="n">
        <v>51</v>
      </c>
      <c r="B55" s="38" t="s">
        <v>3465</v>
      </c>
      <c r="C55" s="97" t="n">
        <f aca="false">COUNTIF(Entrées!$L$6:$L$675,"à relire")</f>
        <v>670</v>
      </c>
      <c r="D55" s="23" t="n">
        <v>0</v>
      </c>
      <c r="E55" s="53" t="s">
        <v>2057</v>
      </c>
      <c r="F55" s="111" t="s">
        <v>3431</v>
      </c>
      <c r="G55" s="24" t="s">
        <v>3432</v>
      </c>
    </row>
    <row r="56" customFormat="false" ht="15" hidden="false" customHeight="false" outlineLevel="0" collapsed="false">
      <c r="A56" s="2"/>
      <c r="B56" s="2"/>
      <c r="C56" s="2"/>
      <c r="D56" s="2"/>
      <c r="E56" s="2"/>
      <c r="F56" s="2"/>
      <c r="G56" s="2"/>
    </row>
    <row r="57" customFormat="false" ht="15" hidden="false" customHeight="false" outlineLevel="0" collapsed="false">
      <c r="A57" s="2"/>
      <c r="B57" s="22" t="s">
        <v>3466</v>
      </c>
      <c r="C57" s="2"/>
      <c r="D57" s="2"/>
      <c r="E57" s="2"/>
      <c r="F57" s="111" t="str">
        <f aca="false">IF(COUNTIFS($G$5:$G$55,"Bloquant",$F$5:$F$55,"ÉCART")=0,"OK","ÉCART")</f>
        <v>OK</v>
      </c>
      <c r="G57" s="2"/>
    </row>
  </sheetData>
  <conditionalFormatting sqref="F5:F57">
    <cfRule type="cellIs" priority="2" operator="equal" aboveAverage="0" equalAverage="0" bottom="0" percent="0" rank="0" text="" dxfId="7">
      <formula>"OK"</formula>
    </cfRule>
    <cfRule type="cellIs" priority="3" operator="equal" aboveAverage="0" equalAverage="0" bottom="0" percent="0" rank="0" text="" dxfId="8">
      <formula>"ÉCART"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H10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4" topLeftCell="B15" activePane="bottomRight" state="frozen"/>
      <selection pane="topLeft" activeCell="A1" activeCellId="0" sqref="A1"/>
      <selection pane="topRight" activeCell="B1" activeCellId="0" sqref="B1"/>
      <selection pane="bottomLeft" activeCell="A15" activeCellId="0" sqref="A15"/>
      <selection pane="bottomRight" activeCell="A1" activeCellId="0" sqref="A1"/>
    </sheetView>
  </sheetViews>
  <sheetFormatPr defaultColWidth="8.5390625" defaultRowHeight="15" customHeight="true" zeroHeight="false" outlineLevelRow="0" outlineLevelCol="0"/>
  <cols>
    <col collapsed="false" customWidth="true" hidden="false" outlineLevel="0" max="1" min="1" style="0" width="10"/>
  </cols>
  <sheetData>
    <row r="1" customFormat="false" ht="17.35" hidden="false" customHeight="false" outlineLevel="0" collapsed="false">
      <c r="A1" s="1" t="s">
        <v>3467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row>
    <row r="2" customFormat="false" ht="15" hidden="false" customHeight="false" outlineLevel="0" collapsed="false">
      <c r="A2" s="3" t="s">
        <v>3468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row>
    <row r="3" customFormat="false" ht="15" hidden="false" customHeight="false" outlineLevel="0" collapsed="false">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row>
    <row r="4" customFormat="false" ht="15" hidden="false" customHeight="false" outlineLevel="0" collapsed="false">
      <c r="A4" s="22" t="s">
        <v>3469</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row>
    <row r="5" customFormat="false" ht="15" hidden="false" customHeight="false" outlineLevel="0" collapsed="false">
      <c r="A5" s="24" t="s">
        <v>3470</v>
      </c>
      <c r="B5" s="2"/>
      <c r="C5" s="2"/>
      <c r="D5" s="2"/>
      <c r="E5" s="96" t="n">
        <f aca="false">MIN(Hypothèses!$D$5,Hypothèses!$C$5,Hypothèses!$E$5)</f>
        <v>0.05</v>
      </c>
      <c r="F5" s="2"/>
      <c r="G5" s="96" t="n">
        <f aca="false">MIN(Hypothèses!$D$6,Hypothèses!$C$6,Hypothèses!$E$6)</f>
        <v>0.04</v>
      </c>
      <c r="H5" s="2"/>
      <c r="I5" s="96" t="n">
        <f aca="false">MIN(Hypothèses!$D$7,Hypothèses!$C$7,Hypothèses!$E$7)</f>
        <v>180</v>
      </c>
      <c r="J5" s="2"/>
      <c r="K5" s="96" t="n">
        <f aca="false">MIN(Hypothèses!$D$8,Hypothèses!$C$8,Hypothèses!$E$8)</f>
        <v>0</v>
      </c>
      <c r="L5" s="2"/>
      <c r="M5" s="96" t="n">
        <f aca="false">MIN(Hypothèses!$D$9,Hypothèses!$C$9,Hypothèses!$E$9)</f>
        <v>1303.2</v>
      </c>
      <c r="N5" s="2"/>
      <c r="O5" s="96" t="n">
        <f aca="false">MIN(Hypothèses!$D$10,Hypothèses!$C$10,Hypothèses!$E$10)</f>
        <v>0.14</v>
      </c>
      <c r="P5" s="2"/>
      <c r="Q5" s="96" t="n">
        <f aca="false">MIN(Hypothèses!$D$11,Hypothèses!$C$11,Hypothèses!$E$11)</f>
        <v>0.04</v>
      </c>
      <c r="R5" s="2"/>
      <c r="S5" s="96" t="n">
        <f aca="false">MIN(Hypothèses!$D$12,Hypothèses!$C$12,Hypothèses!$E$12)</f>
        <v>0</v>
      </c>
      <c r="T5" s="2"/>
      <c r="U5" s="96" t="n">
        <f aca="false">MIN(Hypothèses!$D$13,Hypothèses!$C$13,Hypothèses!$E$13)</f>
        <v>0</v>
      </c>
      <c r="V5" s="2"/>
      <c r="W5" s="96" t="n">
        <f aca="false">MIN(Hypothèses!$D$14,Hypothèses!$C$14,Hypothèses!$E$14)</f>
        <v>8</v>
      </c>
      <c r="X5" s="2"/>
      <c r="Y5" s="96" t="n">
        <f aca="false">MIN(Hypothèses!$D$15,Hypothèses!$C$15,Hypothèses!$E$15)</f>
        <v>0</v>
      </c>
      <c r="Z5" s="2"/>
      <c r="AA5" s="96" t="n">
        <f aca="false">MIN(Hypothèses!$D$16,Hypothèses!$C$16,Hypothèses!$E$16)</f>
        <v>0.69531914893617</v>
      </c>
      <c r="AB5" s="2"/>
      <c r="AC5" s="96" t="n">
        <f aca="false">MIN(Hypothèses!$D$21,Hypothèses!$C$21,Hypothèses!$E$21)</f>
        <v>7.4</v>
      </c>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customFormat="false" ht="15" hidden="false" customHeight="false" outlineLevel="0" collapsed="false">
      <c r="A6" s="24" t="s">
        <v>3471</v>
      </c>
      <c r="B6" s="2"/>
      <c r="C6" s="2"/>
      <c r="D6" s="2"/>
      <c r="E6" s="96" t="n">
        <f aca="false">MEDIAN(Hypothèses!$D$5,Hypothèses!$C$5,Hypothèses!$E$5)</f>
        <v>0.055</v>
      </c>
      <c r="F6" s="2"/>
      <c r="G6" s="96" t="n">
        <f aca="false">MEDIAN(Hypothèses!$D$6,Hypothèses!$C$6,Hypothèses!$E$6)</f>
        <v>0.055</v>
      </c>
      <c r="H6" s="2"/>
      <c r="I6" s="96" t="n">
        <f aca="false">MEDIAN(Hypothèses!$D$7,Hypothèses!$C$7,Hypothèses!$E$7)</f>
        <v>200</v>
      </c>
      <c r="J6" s="2"/>
      <c r="K6" s="96" t="n">
        <f aca="false">MEDIAN(Hypothèses!$D$8,Hypothèses!$C$8,Hypothèses!$E$8)</f>
        <v>0.25</v>
      </c>
      <c r="L6" s="2"/>
      <c r="M6" s="96" t="n">
        <f aca="false">MEDIAN(Hypothèses!$D$9,Hypothèses!$C$9,Hypothèses!$E$9)</f>
        <v>1629</v>
      </c>
      <c r="N6" s="2"/>
      <c r="O6" s="96" t="n">
        <f aca="false">MEDIAN(Hypothèses!$D$10,Hypothèses!$C$10,Hypothèses!$E$10)</f>
        <v>0.168696364464616</v>
      </c>
      <c r="P6" s="2"/>
      <c r="Q6" s="96" t="n">
        <f aca="false">MEDIAN(Hypothèses!$D$11,Hypothèses!$C$11,Hypothèses!$E$11)</f>
        <v>0.08</v>
      </c>
      <c r="R6" s="2"/>
      <c r="S6" s="96" t="n">
        <f aca="false">MEDIAN(Hypothèses!$D$12,Hypothèses!$C$12,Hypothèses!$E$12)</f>
        <v>0.5</v>
      </c>
      <c r="T6" s="2"/>
      <c r="U6" s="96" t="n">
        <f aca="false">MEDIAN(Hypothèses!$D$13,Hypothèses!$C$13,Hypothèses!$E$13)</f>
        <v>0.5</v>
      </c>
      <c r="V6" s="2"/>
      <c r="W6" s="96" t="n">
        <f aca="false">MEDIAN(Hypothèses!$D$14,Hypothèses!$C$14,Hypothèses!$E$14)</f>
        <v>10</v>
      </c>
      <c r="X6" s="2"/>
      <c r="Y6" s="96" t="n">
        <f aca="false">MEDIAN(Hypothèses!$D$15,Hypothèses!$C$15,Hypothèses!$E$15)</f>
        <v>0.5</v>
      </c>
      <c r="Z6" s="2"/>
      <c r="AA6" s="96" t="n">
        <f aca="false">MEDIAN(Hypothèses!$D$16,Hypothèses!$C$16,Hypothèses!$E$16)</f>
        <v>0.731914893617021</v>
      </c>
      <c r="AB6" s="2"/>
      <c r="AC6" s="96" t="n">
        <f aca="false">MEDIAN(Hypothèses!$D$21,Hypothèses!$C$21,Hypothèses!$E$21)</f>
        <v>9.8</v>
      </c>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row>
    <row r="7" customFormat="false" ht="15" hidden="false" customHeight="false" outlineLevel="0" collapsed="false">
      <c r="A7" s="24" t="s">
        <v>3472</v>
      </c>
      <c r="B7" s="2"/>
      <c r="C7" s="2"/>
      <c r="D7" s="2"/>
      <c r="E7" s="96" t="n">
        <f aca="false">MAX(Hypothèses!$D$5,Hypothèses!$C$5,Hypothèses!$E$5)</f>
        <v>0.06</v>
      </c>
      <c r="F7" s="2"/>
      <c r="G7" s="96" t="n">
        <f aca="false">MAX(Hypothèses!$D$6,Hypothèses!$C$6,Hypothèses!$E$6)</f>
        <v>0.07</v>
      </c>
      <c r="H7" s="2"/>
      <c r="I7" s="96" t="n">
        <f aca="false">MAX(Hypothèses!$D$7,Hypothèses!$C$7,Hypothèses!$E$7)</f>
        <v>220</v>
      </c>
      <c r="J7" s="2"/>
      <c r="K7" s="96" t="n">
        <f aca="false">MAX(Hypothèses!$D$8,Hypothèses!$C$8,Hypothèses!$E$8)</f>
        <v>0.5</v>
      </c>
      <c r="L7" s="2"/>
      <c r="M7" s="96" t="n">
        <f aca="false">MAX(Hypothèses!$D$9,Hypothèses!$C$9,Hypothèses!$E$9)</f>
        <v>1791.9</v>
      </c>
      <c r="N7" s="2"/>
      <c r="O7" s="96" t="n">
        <f aca="false">MAX(Hypothèses!$D$10,Hypothèses!$C$10,Hypothèses!$E$10)</f>
        <v>0.19</v>
      </c>
      <c r="P7" s="2"/>
      <c r="Q7" s="96" t="n">
        <f aca="false">MAX(Hypothèses!$D$11,Hypothèses!$C$11,Hypothèses!$E$11)</f>
        <v>0.12</v>
      </c>
      <c r="R7" s="2"/>
      <c r="S7" s="96" t="n">
        <f aca="false">MAX(Hypothèses!$D$12,Hypothèses!$C$12,Hypothèses!$E$12)</f>
        <v>1</v>
      </c>
      <c r="T7" s="2"/>
      <c r="U7" s="96" t="n">
        <f aca="false">MAX(Hypothèses!$D$13,Hypothèses!$C$13,Hypothèses!$E$13)</f>
        <v>1</v>
      </c>
      <c r="V7" s="2"/>
      <c r="W7" s="96" t="n">
        <f aca="false">MAX(Hypothèses!$D$14,Hypothèses!$C$14,Hypothèses!$E$14)</f>
        <v>12</v>
      </c>
      <c r="X7" s="2"/>
      <c r="Y7" s="96" t="n">
        <f aca="false">MAX(Hypothèses!$D$15,Hypothèses!$C$15,Hypothèses!$E$15)</f>
        <v>1</v>
      </c>
      <c r="Z7" s="2"/>
      <c r="AA7" s="96" t="n">
        <f aca="false">MAX(Hypothèses!$D$16,Hypothèses!$C$16,Hypothèses!$E$16)</f>
        <v>0.753872340425532</v>
      </c>
      <c r="AB7" s="2"/>
      <c r="AC7" s="96" t="n">
        <f aca="false">MAX(Hypothèses!$D$21,Hypothèses!$C$21,Hypothèses!$E$21)</f>
        <v>11</v>
      </c>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row>
    <row r="8" customFormat="false" ht="15" hidden="false" customHeight="false" outlineLevel="0" collapsed="false">
      <c r="A8" s="24" t="s">
        <v>3473</v>
      </c>
      <c r="B8" s="2"/>
      <c r="C8" s="2"/>
      <c r="D8" s="2"/>
      <c r="E8" s="109" t="n">
        <f aca="false">IF(E7=E5,0.5,(E6-E5)/(E7-E5))</f>
        <v>0.5</v>
      </c>
      <c r="F8" s="2"/>
      <c r="G8" s="109" t="n">
        <f aca="false">IF(G7=G5,0.5,(G6-G5)/(G7-G5))</f>
        <v>0.5</v>
      </c>
      <c r="H8" s="2"/>
      <c r="I8" s="109" t="n">
        <f aca="false">IF(I7=I5,0.5,(I6-I5)/(I7-I5))</f>
        <v>0.5</v>
      </c>
      <c r="J8" s="2"/>
      <c r="K8" s="109" t="n">
        <f aca="false">IF(K7=K5,0.5,(K6-K5)/(K7-K5))</f>
        <v>0.5</v>
      </c>
      <c r="L8" s="2"/>
      <c r="M8" s="109" t="n">
        <f aca="false">IF(M7=M5,0.5,(M6-M5)/(M7-M5))</f>
        <v>0.666666666666667</v>
      </c>
      <c r="N8" s="2"/>
      <c r="O8" s="109" t="n">
        <f aca="false">IF(O7=O5,0.5,(O6-O5)/(O7-O5))</f>
        <v>0.573927289292327</v>
      </c>
      <c r="P8" s="2"/>
      <c r="Q8" s="109" t="n">
        <f aca="false">IF(Q7=Q5,0.5,(Q6-Q5)/(Q7-Q5))</f>
        <v>0.5</v>
      </c>
      <c r="R8" s="2"/>
      <c r="S8" s="109" t="n">
        <f aca="false">IF(S7=S5,0.5,(S6-S5)/(S7-S5))</f>
        <v>0.5</v>
      </c>
      <c r="T8" s="2"/>
      <c r="U8" s="109" t="n">
        <f aca="false">IF(U7=U5,0.5,(U6-U5)/(U7-U5))</f>
        <v>0.5</v>
      </c>
      <c r="V8" s="2"/>
      <c r="W8" s="109" t="n">
        <f aca="false">IF(W7=W5,0.5,(W6-W5)/(W7-W5))</f>
        <v>0.5</v>
      </c>
      <c r="X8" s="2"/>
      <c r="Y8" s="109" t="n">
        <f aca="false">IF(Y7=Y5,0.5,(Y6-Y5)/(Y7-Y5))</f>
        <v>0.5</v>
      </c>
      <c r="Z8" s="2"/>
      <c r="AA8" s="109" t="n">
        <f aca="false">IF(AA7=AA5,0.5,(AA6-AA5)/(AA7-AA5))</f>
        <v>0.625</v>
      </c>
      <c r="AB8" s="2"/>
      <c r="AC8" s="109" t="n">
        <f aca="false">IF(AC7=AC5,0.5,(AC6-AC5)/(AC7-AC5))</f>
        <v>0.666666666666667</v>
      </c>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row>
    <row r="9" customFormat="false" ht="15" hidden="false" customHeight="false" outlineLevel="0" collapsed="false">
      <c r="A9" s="24" t="s">
        <v>3474</v>
      </c>
      <c r="B9" s="2"/>
      <c r="C9" s="2"/>
      <c r="D9" s="2"/>
      <c r="E9" s="138" t="n">
        <v>1</v>
      </c>
      <c r="F9" s="2"/>
      <c r="G9" s="138" t="n">
        <v>1</v>
      </c>
      <c r="H9" s="2"/>
      <c r="I9" s="138" t="n">
        <v>1</v>
      </c>
      <c r="J9" s="2"/>
      <c r="K9" s="138" t="n">
        <v>1</v>
      </c>
      <c r="L9" s="2"/>
      <c r="M9" s="138" t="n">
        <v>1</v>
      </c>
      <c r="N9" s="2"/>
      <c r="O9" s="138" t="n">
        <v>1</v>
      </c>
      <c r="P9" s="2"/>
      <c r="Q9" s="138" t="n">
        <v>0</v>
      </c>
      <c r="R9" s="2"/>
      <c r="S9" s="138" t="n">
        <v>1</v>
      </c>
      <c r="T9" s="2"/>
      <c r="U9" s="138" t="n">
        <v>1</v>
      </c>
      <c r="V9" s="2"/>
      <c r="W9" s="138" t="n">
        <v>1</v>
      </c>
      <c r="X9" s="2"/>
      <c r="Y9" s="138" t="n">
        <v>0</v>
      </c>
      <c r="Z9" s="2"/>
      <c r="AA9" s="138" t="n">
        <v>1</v>
      </c>
      <c r="AB9" s="2"/>
      <c r="AC9" s="138" t="n">
        <v>1</v>
      </c>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row>
    <row r="10" customFormat="false" ht="15" hidden="false" customHeight="false" outlineLevel="0" collapsed="false">
      <c r="A10" s="22" t="s">
        <v>3475</v>
      </c>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row>
    <row r="11" customFormat="false" ht="15" hidden="false" customHeight="false" outlineLevel="0" collapsed="false">
      <c r="A11" s="5" t="s">
        <v>3476</v>
      </c>
      <c r="B11" s="2"/>
      <c r="C11" s="139" t="n">
        <v>0.4</v>
      </c>
      <c r="D11" s="2"/>
      <c r="E11" s="2"/>
      <c r="F11" s="3" t="s">
        <v>3477</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row>
    <row r="12" customFormat="false" ht="15" hidden="false" customHeight="false" outlineLevel="0" collapsed="false">
      <c r="A12" s="3" t="s">
        <v>3478</v>
      </c>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row>
    <row r="13" customFormat="false" ht="15" hidden="false" customHeight="false" outlineLevel="0" collapsed="false">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row>
    <row r="14" customFormat="false" ht="15" hidden="false" customHeight="false" outlineLevel="0" collapsed="false">
      <c r="A14" s="116" t="s">
        <v>3479</v>
      </c>
      <c r="B14" s="140" t="s">
        <v>3480</v>
      </c>
      <c r="C14" s="2"/>
      <c r="D14" s="140" t="s">
        <v>3481</v>
      </c>
      <c r="E14" s="140" t="s">
        <v>2050</v>
      </c>
      <c r="F14" s="140" t="s">
        <v>3482</v>
      </c>
      <c r="G14" s="140" t="s">
        <v>2054</v>
      </c>
      <c r="H14" s="140" t="s">
        <v>3483</v>
      </c>
      <c r="I14" s="140" t="s">
        <v>2058</v>
      </c>
      <c r="J14" s="140" t="s">
        <v>3484</v>
      </c>
      <c r="K14" s="140" t="s">
        <v>2061</v>
      </c>
      <c r="L14" s="140" t="s">
        <v>3485</v>
      </c>
      <c r="M14" s="140" t="s">
        <v>2064</v>
      </c>
      <c r="N14" s="140" t="s">
        <v>3486</v>
      </c>
      <c r="O14" s="140" t="s">
        <v>2068</v>
      </c>
      <c r="P14" s="140" t="s">
        <v>3487</v>
      </c>
      <c r="Q14" s="140" t="s">
        <v>2072</v>
      </c>
      <c r="R14" s="140" t="s">
        <v>3488</v>
      </c>
      <c r="S14" s="140" t="s">
        <v>2075</v>
      </c>
      <c r="T14" s="140" t="s">
        <v>3489</v>
      </c>
      <c r="U14" s="140" t="s">
        <v>2078</v>
      </c>
      <c r="V14" s="140" t="s">
        <v>3490</v>
      </c>
      <c r="W14" s="140" t="s">
        <v>2081</v>
      </c>
      <c r="X14" s="140" t="s">
        <v>3491</v>
      </c>
      <c r="Y14" s="140" t="s">
        <v>2084</v>
      </c>
      <c r="Z14" s="140" t="s">
        <v>3492</v>
      </c>
      <c r="AA14" s="140" t="s">
        <v>2088</v>
      </c>
      <c r="AB14" s="140" t="s">
        <v>3493</v>
      </c>
      <c r="AC14" s="140" t="s">
        <v>2102</v>
      </c>
      <c r="AD14" s="140" t="s">
        <v>2599</v>
      </c>
      <c r="AE14" s="140" t="s">
        <v>2601</v>
      </c>
      <c r="AF14" s="140" t="s">
        <v>2603</v>
      </c>
      <c r="AG14" s="140" t="s">
        <v>2605</v>
      </c>
      <c r="AH14" s="140" t="s">
        <v>2607</v>
      </c>
      <c r="AI14" s="140" t="s">
        <v>2609</v>
      </c>
      <c r="AJ14" s="140" t="s">
        <v>2611</v>
      </c>
      <c r="AK14" s="140" t="s">
        <v>2613</v>
      </c>
      <c r="AL14" s="140" t="s">
        <v>2615</v>
      </c>
      <c r="AM14" s="140" t="s">
        <v>2617</v>
      </c>
      <c r="AN14" s="140" t="s">
        <v>2619</v>
      </c>
      <c r="AO14" s="140" t="s">
        <v>2621</v>
      </c>
      <c r="AP14" s="140" t="s">
        <v>2623</v>
      </c>
      <c r="AQ14" s="140" t="s">
        <v>2625</v>
      </c>
      <c r="AR14" s="140" t="s">
        <v>2627</v>
      </c>
      <c r="AS14" s="140" t="s">
        <v>2629</v>
      </c>
      <c r="AT14" s="140" t="s">
        <v>2631</v>
      </c>
      <c r="AU14" s="140" t="s">
        <v>2633</v>
      </c>
      <c r="AV14" s="140" t="s">
        <v>2635</v>
      </c>
      <c r="AW14" s="140" t="s">
        <v>2637</v>
      </c>
      <c r="AX14" s="140" t="s">
        <v>2639</v>
      </c>
      <c r="AY14" s="140" t="s">
        <v>2641</v>
      </c>
      <c r="AZ14" s="140" t="s">
        <v>2643</v>
      </c>
      <c r="BA14" s="140" t="s">
        <v>2645</v>
      </c>
      <c r="BB14" s="140" t="s">
        <v>2647</v>
      </c>
      <c r="BC14" s="140" t="s">
        <v>2649</v>
      </c>
      <c r="BD14" s="140" t="s">
        <v>2651</v>
      </c>
      <c r="BE14" s="140" t="s">
        <v>2653</v>
      </c>
      <c r="BF14" s="140" t="s">
        <v>2655</v>
      </c>
      <c r="BG14" s="140" t="s">
        <v>2657</v>
      </c>
      <c r="BH14" s="140" t="s">
        <v>2661</v>
      </c>
    </row>
    <row r="15" customFormat="false" ht="15" hidden="false" customHeight="false" outlineLevel="0" collapsed="false">
      <c r="A15" s="2" t="s">
        <v>3494</v>
      </c>
      <c r="B15" s="2"/>
      <c r="C15" s="2"/>
      <c r="D15" s="2"/>
      <c r="E15" s="141" t="n">
        <f aca="false">E$6</f>
        <v>0.055</v>
      </c>
      <c r="F15" s="2"/>
      <c r="G15" s="141" t="n">
        <f aca="false">G$6</f>
        <v>0.055</v>
      </c>
      <c r="H15" s="2"/>
      <c r="I15" s="141" t="n">
        <f aca="false">I$6</f>
        <v>200</v>
      </c>
      <c r="J15" s="2"/>
      <c r="K15" s="141" t="n">
        <f aca="false">K$6</f>
        <v>0.25</v>
      </c>
      <c r="L15" s="2"/>
      <c r="M15" s="141" t="n">
        <f aca="false">M$6</f>
        <v>1629</v>
      </c>
      <c r="N15" s="2"/>
      <c r="O15" s="141" t="n">
        <f aca="false">O$6</f>
        <v>0.168696364464616</v>
      </c>
      <c r="P15" s="2"/>
      <c r="Q15" s="141" t="n">
        <f aca="false">Q$6</f>
        <v>0.08</v>
      </c>
      <c r="R15" s="2"/>
      <c r="S15" s="141" t="n">
        <f aca="false">S$6</f>
        <v>0.5</v>
      </c>
      <c r="T15" s="2"/>
      <c r="U15" s="141" t="n">
        <f aca="false">U$6</f>
        <v>0.5</v>
      </c>
      <c r="V15" s="2"/>
      <c r="W15" s="141" t="n">
        <f aca="false">W$6</f>
        <v>10</v>
      </c>
      <c r="X15" s="2"/>
      <c r="Y15" s="141" t="n">
        <f aca="false">Y$6</f>
        <v>0.5</v>
      </c>
      <c r="Z15" s="2"/>
      <c r="AA15" s="141" t="n">
        <f aca="false">AA$6</f>
        <v>0.731914893617021</v>
      </c>
      <c r="AB15" s="2"/>
      <c r="AC15" s="141" t="n">
        <f aca="false">AC$6</f>
        <v>9.8</v>
      </c>
      <c r="AD15" s="45" t="n">
        <f aca="false">Entrées!$C$8*(1+E15)</f>
        <v>7437.75</v>
      </c>
      <c r="AE15" s="45" t="n">
        <f aca="false">I15*Hypothèses!$J$24/12/Hypothèses!$J$19</f>
        <v>99.2193598750976</v>
      </c>
      <c r="AF15" s="45" t="n">
        <f aca="false">Entrées!$C$36*S15*1000</f>
        <v>250</v>
      </c>
      <c r="AG15" s="45" t="n">
        <f aca="false">-AF15/W15</f>
        <v>-25</v>
      </c>
      <c r="AH15" s="45" t="n">
        <f aca="false">AD15+AE15+AG15</f>
        <v>7511.9693598751</v>
      </c>
      <c r="AI15" s="45" t="n">
        <f aca="false">Entrées!$C$16-M15+Hypothèses!$J$22*1000-AF15+Hypothèses!$J$23</f>
        <v>22669</v>
      </c>
      <c r="AJ15" s="62" t="n">
        <f aca="false">AI15/AH15</f>
        <v>3.01771731406222</v>
      </c>
      <c r="AK15" s="62" t="n">
        <f aca="false">AI15/(AH15+I15*(12-Hypothèses!$J$24)/12/Hypothèses!$J$19)</f>
        <v>2.98951303335295</v>
      </c>
      <c r="AL15" s="45" t="n">
        <f aca="false">(AD15+AG15+I15/Hypothèses!$J$19)*(1+G15)</f>
        <v>7999.89654943125</v>
      </c>
      <c r="AM15" s="45" t="n">
        <f aca="false">Entrées!$C$54*K15/Hypothèses!$J$19</f>
        <v>25.513549682168</v>
      </c>
      <c r="AN15" s="45" t="n">
        <f aca="false">Y15*1000/AC15</f>
        <v>51.0204081632653</v>
      </c>
      <c r="AO15" s="45" t="n">
        <f aca="false">(Entrées!$C$36*(1-S15)+MAX(0,Entrées!$C$30-Entrées!$C$35-Entrées!$C$36)*U15)*1000</f>
        <v>950</v>
      </c>
      <c r="AP15" s="45" t="n">
        <f aca="false">-AO15/W15</f>
        <v>-95</v>
      </c>
      <c r="AQ15" s="45" t="n">
        <f aca="false">AL15+AM15+AN15+AP15</f>
        <v>7981.43050727668</v>
      </c>
      <c r="AR15" s="45" t="n">
        <f aca="false">O15*AQ15-Hypothèses!$J$25/Hypothèses!$J$19</f>
        <v>1327.30314754293</v>
      </c>
      <c r="AS15" s="45" t="n">
        <f aca="false">Entrées!$C$79*(1+Q15)+Hypothèses!$J$20</f>
        <v>1481.92</v>
      </c>
      <c r="AT15" s="45" t="n">
        <f aca="false">AI15-AR15+AS15+Y15*1000-AO15+Hypothèses!$J$23</f>
        <v>22373.6168524571</v>
      </c>
      <c r="AU15" s="62" t="n">
        <f aca="false">AT15/AQ15</f>
        <v>2.80320887741352</v>
      </c>
      <c r="AV15" s="45" t="n">
        <f aca="false">Hypothèses!$J$26*AQ15-AT15</f>
        <v>1570.67466937297</v>
      </c>
      <c r="AW15" s="45" t="n">
        <f aca="false">IF(AC15&gt;Hypothèses!$J$26,MAX(0,AV15)/(1-Hypothèses!$J$26/AC15),0)</f>
        <v>2263.61937644927</v>
      </c>
      <c r="AX15" s="45" t="n">
        <f aca="false">AQ15-Entrées!$C$17*1000</f>
        <v>-18.5694927233199</v>
      </c>
      <c r="AY15" s="45" t="n">
        <f aca="false">AI15+(Entrées!$C$244-Entrées!$C$13)</f>
        <v>28416</v>
      </c>
      <c r="AZ15" s="45" t="n">
        <f aca="false">AA15*AH15</f>
        <v>5498.12225488731</v>
      </c>
      <c r="BA15" s="41" t="n">
        <f aca="false">AZ15/AY15</f>
        <v>0.193486847370753</v>
      </c>
      <c r="BB15" s="45" t="n">
        <f aca="false">AZ15/(Entrées!$C$151/100)-AY15</f>
        <v>2129.12363826281</v>
      </c>
      <c r="BC15" s="45" t="n">
        <f aca="false">AT15+(Entrées!$C$244-Entrées!$C$13)</f>
        <v>28120.6168524571</v>
      </c>
      <c r="BD15" s="45" t="n">
        <f aca="false">AA15*AQ15</f>
        <v>5841.72786064506</v>
      </c>
      <c r="BE15" s="41" t="n">
        <f aca="false">BD15/BC15</f>
        <v>0.207738254508974</v>
      </c>
      <c r="BF15" s="45" t="n">
        <f aca="false">BD15/(Entrées!$C$151/100)-BC15</f>
        <v>4333.42681779325</v>
      </c>
      <c r="BG15" s="45" t="n">
        <f aca="false">MIN(AV15,BF15)</f>
        <v>1570.67466937297</v>
      </c>
      <c r="BH15" s="45" t="n">
        <f aca="false">IF(AC15&gt;Hypothèses!$J$26,MAX(0,BG15)/(1-Hypothèses!$J$26/AC15),0)</f>
        <v>2263.61937644927</v>
      </c>
    </row>
    <row r="16" customFormat="false" ht="15" hidden="false" customHeight="false" outlineLevel="0" collapsed="false">
      <c r="A16" s="2" t="n">
        <v>1</v>
      </c>
      <c r="B16" s="2" t="n">
        <v>0.133398658</v>
      </c>
      <c r="C16" s="2"/>
      <c r="D16" s="2" t="n">
        <v>0.560690489</v>
      </c>
      <c r="E16" s="2" t="n">
        <f aca="false">IF(E$7=E$5,E$6,IF(NORMSDIST(E$9*SQRT($C$11)*NORMSINV($B16)+SQRT(1-E$9^2*$C$11)*NORMSINV(D16))&lt;E$8,E$5+SQRT(NORMSDIST(E$9*SQRT($C$11)*NORMSINV($B16)+SQRT(1-E$9^2*$C$11)*NORMSINV(D16))*(E$7-E$5)*(E$6-E$5)),E$7-SQRT((1-NORMSDIST(E$9*SQRT($C$11)*NORMSINV($B16)+SQRT(1-E$9^2*$C$11)*NORMSINV(D16)))*(E$7-E$5)*(E$7-E$6))))</f>
        <v>0.0537389948207925</v>
      </c>
      <c r="F16" s="2" t="n">
        <v>0.663938535</v>
      </c>
      <c r="G16" s="2" t="n">
        <f aca="false">IF(G$7=G$5,G$6,IF(NORMSDIST(G$9*SQRT($C$11)*NORMSINV($B16)+SQRT(1-G$9^2*$C$11)*NORMSINV(F16))&lt;G$8,G$5+SQRT(NORMSDIST(G$9*SQRT($C$11)*NORMSINV($B16)+SQRT(1-G$9^2*$C$11)*NORMSINV(F16))*(G$7-G$5)*(G$6-G$5)),G$7-SQRT((1-NORMSDIST(G$9*SQRT($C$11)*NORMSINV($B16)+SQRT(1-G$9^2*$C$11)*NORMSINV(F16)))*(G$7-G$5)*(G$7-G$6))))</f>
        <v>0.0526218021560136</v>
      </c>
      <c r="H16" s="2" t="n">
        <v>0.410209876</v>
      </c>
      <c r="I16" s="2" t="n">
        <f aca="false">IF(I$7=I$5,I$6,IF(NORMSDIST(I$9*SQRT($C$11)*NORMSINV($B16)+SQRT(1-I$9^2*$C$11)*NORMSINV(H16))&lt;I$8,I$5+SQRT(NORMSDIST(I$9*SQRT($C$11)*NORMSINV($B16)+SQRT(1-I$9^2*$C$11)*NORMSINV(H16))*(I$7-I$5)*(I$6-I$5)),I$7-SQRT((1-NORMSDIST(I$9*SQRT($C$11)*NORMSINV($B16)+SQRT(1-I$9^2*$C$11)*NORMSINV(H16)))*(I$7-I$5)*(I$7-I$6))))</f>
        <v>192.32651349276</v>
      </c>
      <c r="J16" s="2" t="n">
        <v>0.296459082</v>
      </c>
      <c r="K16" s="2" t="n">
        <f aca="false">IF(K$7=K$5,K$6,IF(NORMSDIST(K$9*SQRT($C$11)*NORMSINV($B16)+SQRT(1-K$9^2*$C$11)*NORMSINV(J16))&lt;K$8,K$5+SQRT(NORMSDIST(K$9*SQRT($C$11)*NORMSINV($B16)+SQRT(1-K$9^2*$C$11)*NORMSINV(J16))*(K$7-K$5)*(K$6-K$5)),K$7-SQRT((1-NORMSDIST(K$9*SQRT($C$11)*NORMSINV($B16)+SQRT(1-K$9^2*$C$11)*NORMSINV(J16)))*(K$7-K$5)*(K$7-K$6))))</f>
        <v>0.128510193950533</v>
      </c>
      <c r="L16" s="2" t="n">
        <v>0.1741905</v>
      </c>
      <c r="M16" s="2" t="n">
        <f aca="false">IF(M$7=M$5,M$6,IF(NORMSDIST(M$9*SQRT($C$11)*NORMSINV($B16)+SQRT(1-M$9^2*$C$11)*NORMSINV(L16))&lt;M$8,M$5+SQRT(NORMSDIST(M$9*SQRT($C$11)*NORMSINV($B16)+SQRT(1-M$9^2*$C$11)*NORMSINV(L16))*(M$7-M$5)*(M$6-M$5)),M$7-SQRT((1-NORMSDIST(M$9*SQRT($C$11)*NORMSINV($B16)+SQRT(1-M$9^2*$C$11)*NORMSINV(L16)))*(M$7-M$5)*(M$7-M$6))))</f>
        <v>1413.59791262135</v>
      </c>
      <c r="N16" s="2" t="n">
        <v>0.70750938</v>
      </c>
      <c r="O16" s="2" t="n">
        <f aca="false">IF(O$7=O$5,O$6,IF(NORMSDIST(O$9*SQRT($C$11)*NORMSINV($B16)+SQRT(1-O$9^2*$C$11)*NORMSINV(N16))&lt;O$8,O$5+SQRT(NORMSDIST(O$9*SQRT($C$11)*NORMSINV($B16)+SQRT(1-O$9^2*$C$11)*NORMSINV(N16))*(O$7-O$5)*(O$6-O$5)),O$7-SQRT((1-NORMSDIST(O$9*SQRT($C$11)*NORMSINV($B16)+SQRT(1-O$9^2*$C$11)*NORMSINV(N16)))*(O$7-O$5)*(O$7-O$6))))</f>
        <v>0.163655686206105</v>
      </c>
      <c r="P16" s="2" t="n">
        <v>0.953555039</v>
      </c>
      <c r="Q16" s="2" t="n">
        <f aca="false">IF(Q$7=Q$5,Q$6,IF(NORMSDIST(Q$9*SQRT($C$11)*NORMSINV($B16)+SQRT(1-Q$9^2*$C$11)*NORMSINV(P16))&lt;Q$8,Q$5+SQRT(NORMSDIST(Q$9*SQRT($C$11)*NORMSINV($B16)+SQRT(1-Q$9^2*$C$11)*NORMSINV(P16))*(Q$7-Q$5)*(Q$6-Q$5)),Q$7-SQRT((1-NORMSDIST(Q$9*SQRT($C$11)*NORMSINV($B16)+SQRT(1-Q$9^2*$C$11)*NORMSINV(P16)))*(Q$7-Q$5)*(Q$7-Q$6))))</f>
        <v>0.107808860791542</v>
      </c>
      <c r="R16" s="2" t="n">
        <v>0.526363814</v>
      </c>
      <c r="S16" s="2" t="n">
        <f aca="false">IF(S$7=S$5,S$6,IF(NORMSDIST(S$9*SQRT($C$11)*NORMSINV($B16)+SQRT(1-S$9^2*$C$11)*NORMSINV(R16))&lt;S$8,S$5+SQRT(NORMSDIST(S$9*SQRT($C$11)*NORMSINV($B16)+SQRT(1-S$9^2*$C$11)*NORMSINV(R16))*(S$7-S$5)*(S$6-S$5)),S$7-SQRT((1-NORMSDIST(S$9*SQRT($C$11)*NORMSINV($B16)+SQRT(1-S$9^2*$C$11)*NORMSINV(R16)))*(S$7-S$5)*(S$7-S$6))))</f>
        <v>0.358812156649447</v>
      </c>
      <c r="T16" s="2" t="n">
        <v>0.530163849</v>
      </c>
      <c r="U16" s="2" t="n">
        <f aca="false">IF(U$7=U$5,U$6,IF(NORMSDIST(U$9*SQRT($C$11)*NORMSINV($B16)+SQRT(1-U$9^2*$C$11)*NORMSINV(T16))&lt;U$8,U$5+SQRT(NORMSDIST(U$9*SQRT($C$11)*NORMSINV($B16)+SQRT(1-U$9^2*$C$11)*NORMSINV(T16))*(U$7-U$5)*(U$6-U$5)),U$7-SQRT((1-NORMSDIST(U$9*SQRT($C$11)*NORMSINV($B16)+SQRT(1-U$9^2*$C$11)*NORMSINV(T16)))*(U$7-U$5)*(U$7-U$6))))</f>
        <v>0.360475614931255</v>
      </c>
      <c r="V16" s="2" t="n">
        <v>0.053070345</v>
      </c>
      <c r="W16" s="2" t="n">
        <f aca="false">IF(W$7=W$5,W$6,IF(NORMSDIST(W$9*SQRT($C$11)*NORMSINV($B16)+SQRT(1-W$9^2*$C$11)*NORMSINV(V16))&lt;W$8,W$5+SQRT(NORMSDIST(W$9*SQRT($C$11)*NORMSINV($B16)+SQRT(1-W$9^2*$C$11)*NORMSINV(V16))*(W$7-W$5)*(W$6-W$5)),W$7-SQRT((1-NORMSDIST(W$9*SQRT($C$11)*NORMSINV($B16)+SQRT(1-W$9^2*$C$11)*NORMSINV(V16)))*(W$7-W$5)*(W$7-W$6))))</f>
        <v>8.45038911093937</v>
      </c>
      <c r="X16" s="2" t="n">
        <v>0.726803092</v>
      </c>
      <c r="Y16" s="2" t="n">
        <f aca="false">IF(Y$7=Y$5,Y$6,IF(NORMSDIST(Y$9*SQRT($C$11)*NORMSINV($B16)+SQRT(1-Y$9^2*$C$11)*NORMSINV(X16))&lt;Y$8,Y$5+SQRT(NORMSDIST(Y$9*SQRT($C$11)*NORMSINV($B16)+SQRT(1-Y$9^2*$C$11)*NORMSINV(X16))*(Y$7-Y$5)*(Y$6-Y$5)),Y$7-SQRT((1-NORMSDIST(Y$9*SQRT($C$11)*NORMSINV($B16)+SQRT(1-Y$9^2*$C$11)*NORMSINV(X16)))*(Y$7-Y$5)*(Y$7-Y$6))))</f>
        <v>0.630407719236454</v>
      </c>
      <c r="Z16" s="2" t="n">
        <v>0.811619282</v>
      </c>
      <c r="AA16" s="2" t="n">
        <f aca="false">IF(AA$7=AA$5,AA$6,IF(NORMSDIST(AA$9*SQRT($C$11)*NORMSINV($B16)+SQRT(1-AA$9^2*$C$11)*NORMSINV(Z16))&lt;AA$8,AA$5+SQRT(NORMSDIST(AA$9*SQRT($C$11)*NORMSINV($B16)+SQRT(1-AA$9^2*$C$11)*NORMSINV(Z16))*(AA$7-AA$5)*(AA$6-AA$5)),AA$7-SQRT((1-NORMSDIST(AA$9*SQRT($C$11)*NORMSINV($B16)+SQRT(1-AA$9^2*$C$11)*NORMSINV(Z16)))*(AA$7-AA$5)*(AA$7-AA$6))))</f>
        <v>0.727819806506959</v>
      </c>
      <c r="AB16" s="2" t="n">
        <v>0.627611561</v>
      </c>
      <c r="AC16" s="2" t="n">
        <f aca="false">IF(AC$7=AC$5,AC$6,IF(NORMSDIST(AC$9*SQRT($C$11)*NORMSINV($B16)+SQRT(1-AC$9^2*$C$11)*NORMSINV(AB16))&lt;AC$8,AC$5+SQRT(NORMSDIST(AC$9*SQRT($C$11)*NORMSINV($B16)+SQRT(1-AC$9^2*$C$11)*NORMSINV(AB16))*(AC$7-AC$5)*(AC$6-AC$5)),AC$7-SQRT((1-NORMSDIST(AC$9*SQRT($C$11)*NORMSINV($B16)+SQRT(1-AC$9^2*$C$11)*NORMSINV(AB16)))*(AC$7-AC$5)*(AC$7-AC$6))))</f>
        <v>9.07904670620474</v>
      </c>
      <c r="AD16" s="2" t="n">
        <f aca="false">Entrées!$C$8*(1+E16)</f>
        <v>7428.85991348659</v>
      </c>
      <c r="AE16" s="2" t="n">
        <f aca="false">I16*Hypothèses!$J$24/12/Hypothèses!$J$19</f>
        <v>95.412567778805</v>
      </c>
      <c r="AF16" s="2" t="n">
        <f aca="false">Entrées!$C$36*S16*1000</f>
        <v>179.406078324724</v>
      </c>
      <c r="AG16" s="2" t="n">
        <f aca="false">-AF16/W16</f>
        <v>-21.2305109231568</v>
      </c>
      <c r="AH16" s="2" t="n">
        <f aca="false">AD16+AE16+AG16</f>
        <v>7503.04197034224</v>
      </c>
      <c r="AI16" s="2" t="n">
        <f aca="false">Entrées!$C$16-M16+Hypothèses!$J$22*1000-AF16+Hypothèses!$J$23</f>
        <v>22954.9960090539</v>
      </c>
      <c r="AJ16" s="2" t="n">
        <f aca="false">AI16/AH16</f>
        <v>3.05942524375975</v>
      </c>
      <c r="AK16" s="2" t="n">
        <f aca="false">AI16/(AH16+I16*(12-Hypothèses!$J$24)/12/Hypothèses!$J$19)</f>
        <v>3.03188593528032</v>
      </c>
      <c r="AL16" s="2" t="n">
        <f aca="false">(AD16+AG16+I16/Hypothèses!$J$19)*(1+G16)</f>
        <v>7969.60366693361</v>
      </c>
      <c r="AM16" s="2" t="n">
        <f aca="false">Entrées!$C$54*K16/Hypothèses!$J$19</f>
        <v>13.1150048720879</v>
      </c>
      <c r="AN16" s="2" t="n">
        <f aca="false">Y16*1000/AC16</f>
        <v>69.4354528218942</v>
      </c>
      <c r="AO16" s="2" t="n">
        <f aca="false">(Entrées!$C$36*(1-S16)+MAX(0,Entrées!$C$30-Entrées!$C$35-Entrées!$C$36)*U16)*1000</f>
        <v>825.259782579034</v>
      </c>
      <c r="AP16" s="2" t="n">
        <f aca="false">-AO16/W16</f>
        <v>-97.6593825141971</v>
      </c>
      <c r="AQ16" s="2" t="n">
        <f aca="false">AL16+AM16+AN16+AP16</f>
        <v>7954.49474211339</v>
      </c>
      <c r="AR16" s="2" t="n">
        <f aca="false">O16*AQ16-Hypothèses!$J$25/Hypothèses!$J$19</f>
        <v>1282.6631331818</v>
      </c>
      <c r="AS16" s="2" t="n">
        <f aca="false">Entrées!$C$79*(1+Q16)+Hypothèses!$J$20</f>
        <v>1512.4819380099</v>
      </c>
      <c r="AT16" s="2" t="n">
        <f aca="false">AI16-AR16+AS16+Y16*1000-AO16+Hypothèses!$J$23</f>
        <v>22989.9627505395</v>
      </c>
      <c r="AU16" s="2" t="n">
        <f aca="false">AT16/AQ16</f>
        <v>2.89018517151365</v>
      </c>
      <c r="AV16" s="2" t="n">
        <f aca="false">Hypothèses!$J$26*AQ16-AT16</f>
        <v>873.521475800728</v>
      </c>
      <c r="AW16" s="2" t="n">
        <f aca="false">IF(AC16&gt;Hypothèses!$J$26,MAX(0,AV16)/(1-Hypothèses!$J$26/AC16),0)</f>
        <v>1304.60295190247</v>
      </c>
      <c r="AX16" s="2" t="n">
        <f aca="false">AQ16-Entrées!$C$17*1000</f>
        <v>-45.5052578866062</v>
      </c>
      <c r="AY16" s="2" t="n">
        <f aca="false">AI16+(Entrées!$C$244-Entrées!$C$13)</f>
        <v>28701.9960090539</v>
      </c>
      <c r="AZ16" s="2" t="n">
        <f aca="false">AA16*AH16</f>
        <v>5460.86255506808</v>
      </c>
      <c r="BA16" s="2" t="n">
        <f aca="false">AZ16/AY16</f>
        <v>0.190260724492661</v>
      </c>
      <c r="BB16" s="2" t="n">
        <f aca="false">AZ16/(Entrées!$C$151/100)-AY16</f>
        <v>1636.12929687984</v>
      </c>
      <c r="BC16" s="2" t="n">
        <f aca="false">AT16+(Entrées!$C$244-Entrées!$C$13)</f>
        <v>28736.9627505395</v>
      </c>
      <c r="BD16" s="2" t="n">
        <f aca="false">AA16*AQ16</f>
        <v>5789.43882406559</v>
      </c>
      <c r="BE16" s="2" t="n">
        <f aca="false">BD16/BC16</f>
        <v>0.201463142584785</v>
      </c>
      <c r="BF16" s="2" t="n">
        <f aca="false">BD16/(Entrées!$C$151/100)-BC16</f>
        <v>3426.58627204717</v>
      </c>
      <c r="BG16" s="2" t="n">
        <f aca="false">MIN(AV16,BF16)</f>
        <v>873.521475800728</v>
      </c>
      <c r="BH16" s="2" t="n">
        <f aca="false">IF(AC16&gt;Hypothèses!$J$26,MAX(0,BG16)/(1-Hypothèses!$J$26/AC16),0)</f>
        <v>1304.60295190247</v>
      </c>
    </row>
    <row r="17" customFormat="false" ht="15" hidden="false" customHeight="false" outlineLevel="0" collapsed="false">
      <c r="A17" s="2" t="n">
        <v>2</v>
      </c>
      <c r="B17" s="2" t="n">
        <v>0.765588609</v>
      </c>
      <c r="C17" s="2"/>
      <c r="D17" s="2" t="n">
        <v>0.643174459</v>
      </c>
      <c r="E17" s="2" t="n">
        <f aca="false">IF(E$7=E$5,E$6,IF(NORMSDIST(E$9*SQRT($C$11)*NORMSINV($B17)+SQRT(1-E$9^2*$C$11)*NORMSINV(D17))&lt;E$8,E$5+SQRT(NORMSDIST(E$9*SQRT($C$11)*NORMSINV($B17)+SQRT(1-E$9^2*$C$11)*NORMSINV(D17))*(E$7-E$5)*(E$6-E$5)),E$7-SQRT((1-NORMSDIST(E$9*SQRT($C$11)*NORMSINV($B17)+SQRT(1-E$9^2*$C$11)*NORMSINV(D17)))*(E$7-E$5)*(E$7-E$6))))</f>
        <v>0.0566167693634558</v>
      </c>
      <c r="F17" s="2" t="n">
        <v>0.06145869</v>
      </c>
      <c r="G17" s="2" t="n">
        <f aca="false">IF(G$7=G$5,G$6,IF(NORMSDIST(G$9*SQRT($C$11)*NORMSINV($B17)+SQRT(1-G$9^2*$C$11)*NORMSINV(F17))&lt;G$8,G$5+SQRT(NORMSDIST(G$9*SQRT($C$11)*NORMSINV($B17)+SQRT(1-G$9^2*$C$11)*NORMSINV(F17))*(G$7-G$5)*(G$6-G$5)),G$7-SQRT((1-NORMSDIST(G$9*SQRT($C$11)*NORMSINV($B17)+SQRT(1-G$9^2*$C$11)*NORMSINV(F17)))*(G$7-G$5)*(G$7-G$6))))</f>
        <v>0.0501873887490926</v>
      </c>
      <c r="H17" s="2" t="n">
        <v>0.003227321</v>
      </c>
      <c r="I17" s="2" t="n">
        <f aca="false">IF(I$7=I$5,I$6,IF(NORMSDIST(I$9*SQRT($C$11)*NORMSINV($B17)+SQRT(1-I$9^2*$C$11)*NORMSINV(H17))&lt;I$8,I$5+SQRT(NORMSDIST(I$9*SQRT($C$11)*NORMSINV($B17)+SQRT(1-I$9^2*$C$11)*NORMSINV(H17))*(I$7-I$5)*(I$6-I$5)),I$7-SQRT((1-NORMSDIST(I$9*SQRT($C$11)*NORMSINV($B17)+SQRT(1-I$9^2*$C$11)*NORMSINV(H17)))*(I$7-I$5)*(I$7-I$6))))</f>
        <v>186.280281597107</v>
      </c>
      <c r="J17" s="2" t="n">
        <v>0.89259502</v>
      </c>
      <c r="K17" s="2" t="n">
        <f aca="false">IF(K$7=K$5,K$6,IF(NORMSDIST(K$9*SQRT($C$11)*NORMSINV($B17)+SQRT(1-K$9^2*$C$11)*NORMSINV(J17))&lt;K$8,K$5+SQRT(NORMSDIST(K$9*SQRT($C$11)*NORMSINV($B17)+SQRT(1-K$9^2*$C$11)*NORMSINV(J17))*(K$7-K$5)*(K$6-K$5)),K$7-SQRT((1-NORMSDIST(K$9*SQRT($C$11)*NORMSINV($B17)+SQRT(1-K$9^2*$C$11)*NORMSINV(J17)))*(K$7-K$5)*(K$7-K$6))))</f>
        <v>0.401289373100675</v>
      </c>
      <c r="L17" s="2" t="n">
        <v>0.472096207</v>
      </c>
      <c r="M17" s="2" t="n">
        <f aca="false">IF(M$7=M$5,M$6,IF(NORMSDIST(M$9*SQRT($C$11)*NORMSINV($B17)+SQRT(1-M$9^2*$C$11)*NORMSINV(L17))&lt;M$8,M$5+SQRT(NORMSDIST(M$9*SQRT($C$11)*NORMSINV($B17)+SQRT(1-M$9^2*$C$11)*NORMSINV(L17))*(M$7-M$5)*(M$6-M$5)),M$7-SQRT((1-NORMSDIST(M$9*SQRT($C$11)*NORMSINV($B17)+SQRT(1-M$9^2*$C$11)*NORMSINV(L17)))*(M$7-M$5)*(M$7-M$6))))</f>
        <v>1626.59636947174</v>
      </c>
      <c r="N17" s="2" t="n">
        <v>0.56339028</v>
      </c>
      <c r="O17" s="2" t="n">
        <f aca="false">IF(O$7=O$5,O$6,IF(NORMSDIST(O$9*SQRT($C$11)*NORMSINV($B17)+SQRT(1-O$9^2*$C$11)*NORMSINV(N17))&lt;O$8,O$5+SQRT(NORMSDIST(O$9*SQRT($C$11)*NORMSINV($B17)+SQRT(1-O$9^2*$C$11)*NORMSINV(N17))*(O$7-O$5)*(O$6-O$5)),O$7-SQRT((1-NORMSDIST(O$9*SQRT($C$11)*NORMSINV($B17)+SQRT(1-O$9^2*$C$11)*NORMSINV(N17)))*(O$7-O$5)*(O$7-O$6))))</f>
        <v>0.172718736119449</v>
      </c>
      <c r="P17" s="2" t="n">
        <v>0.664353398</v>
      </c>
      <c r="Q17" s="2" t="n">
        <f aca="false">IF(Q$7=Q$5,Q$6,IF(NORMSDIST(Q$9*SQRT($C$11)*NORMSINV($B17)+SQRT(1-Q$9^2*$C$11)*NORMSINV(P17))&lt;Q$8,Q$5+SQRT(NORMSDIST(Q$9*SQRT($C$11)*NORMSINV($B17)+SQRT(1-Q$9^2*$C$11)*NORMSINV(P17))*(Q$7-Q$5)*(Q$6-Q$5)),Q$7-SQRT((1-NORMSDIST(Q$9*SQRT($C$11)*NORMSINV($B17)+SQRT(1-Q$9^2*$C$11)*NORMSINV(P17)))*(Q$7-Q$5)*(Q$7-Q$6))))</f>
        <v>0.0872270061422518</v>
      </c>
      <c r="R17" s="2" t="n">
        <v>0.952501115</v>
      </c>
      <c r="S17" s="2" t="n">
        <f aca="false">IF(S$7=S$5,S$6,IF(NORMSDIST(S$9*SQRT($C$11)*NORMSINV($B17)+SQRT(1-S$9^2*$C$11)*NORMSINV(R17))&lt;S$8,S$5+SQRT(NORMSDIST(S$9*SQRT($C$11)*NORMSINV($B17)+SQRT(1-S$9^2*$C$11)*NORMSINV(R17))*(S$7-S$5)*(S$6-S$5)),S$7-SQRT((1-NORMSDIST(S$9*SQRT($C$11)*NORMSINV($B17)+SQRT(1-S$9^2*$C$11)*NORMSINV(R17)))*(S$7-S$5)*(S$7-S$6))))</f>
        <v>0.858690069173459</v>
      </c>
      <c r="T17" s="2" t="n">
        <v>0.359742802</v>
      </c>
      <c r="U17" s="2" t="n">
        <f aca="false">IF(U$7=U$5,U$6,IF(NORMSDIST(U$9*SQRT($C$11)*NORMSINV($B17)+SQRT(1-U$9^2*$C$11)*NORMSINV(T17))&lt;U$8,U$5+SQRT(NORMSDIST(U$9*SQRT($C$11)*NORMSINV($B17)+SQRT(1-U$9^2*$C$11)*NORMSINV(T17))*(U$7-U$5)*(U$6-U$5)),U$7-SQRT((1-NORMSDIST(U$9*SQRT($C$11)*NORMSINV($B17)+SQRT(1-U$9^2*$C$11)*NORMSINV(T17)))*(U$7-U$5)*(U$7-U$6))))</f>
        <v>0.537077693955353</v>
      </c>
      <c r="V17" s="2" t="n">
        <v>0.394399184</v>
      </c>
      <c r="W17" s="2" t="n">
        <f aca="false">IF(W$7=W$5,W$6,IF(NORMSDIST(W$9*SQRT($C$11)*NORMSINV($B17)+SQRT(1-W$9^2*$C$11)*NORMSINV(V17))&lt;W$8,W$5+SQRT(NORMSDIST(W$9*SQRT($C$11)*NORMSINV($B17)+SQRT(1-W$9^2*$C$11)*NORMSINV(V17))*(W$7-W$5)*(W$6-W$5)),W$7-SQRT((1-NORMSDIST(W$9*SQRT($C$11)*NORMSINV($B17)+SQRT(1-W$9^2*$C$11)*NORMSINV(V17)))*(W$7-W$5)*(W$7-W$6))))</f>
        <v>10.2088214322829</v>
      </c>
      <c r="X17" s="2" t="n">
        <v>0.120507542</v>
      </c>
      <c r="Y17" s="2" t="n">
        <f aca="false">IF(Y$7=Y$5,Y$6,IF(NORMSDIST(Y$9*SQRT($C$11)*NORMSINV($B17)+SQRT(1-Y$9^2*$C$11)*NORMSINV(X17))&lt;Y$8,Y$5+SQRT(NORMSDIST(Y$9*SQRT($C$11)*NORMSINV($B17)+SQRT(1-Y$9^2*$C$11)*NORMSINV(X17))*(Y$7-Y$5)*(Y$6-Y$5)),Y$7-SQRT((1-NORMSDIST(Y$9*SQRT($C$11)*NORMSINV($B17)+SQRT(1-Y$9^2*$C$11)*NORMSINV(X17)))*(Y$7-Y$5)*(Y$7-Y$6))))</f>
        <v>0.245466435587434</v>
      </c>
      <c r="Z17" s="2" t="n">
        <v>0.63668299</v>
      </c>
      <c r="AA17" s="2" t="n">
        <f aca="false">IF(AA$7=AA$5,AA$6,IF(NORMSDIST(AA$9*SQRT($C$11)*NORMSINV($B17)+SQRT(1-AA$9^2*$C$11)*NORMSINV(Z17))&lt;AA$8,AA$5+SQRT(NORMSDIST(AA$9*SQRT($C$11)*NORMSINV($B17)+SQRT(1-AA$9^2*$C$11)*NORMSINV(Z17))*(AA$7-AA$5)*(AA$6-AA$5)),AA$7-SQRT((1-NORMSDIST(AA$9*SQRT($C$11)*NORMSINV($B17)+SQRT(1-AA$9^2*$C$11)*NORMSINV(Z17)))*(AA$7-AA$5)*(AA$7-AA$6))))</f>
        <v>0.736563874632743</v>
      </c>
      <c r="AB17" s="2" t="n">
        <v>0.347240001</v>
      </c>
      <c r="AC17" s="2" t="n">
        <f aca="false">IF(AC$7=AC$5,AC$6,IF(NORMSDIST(AC$9*SQRT($C$11)*NORMSINV($B17)+SQRT(1-AC$9^2*$C$11)*NORMSINV(AB17))&lt;AC$8,AC$5+SQRT(NORMSDIST(AC$9*SQRT($C$11)*NORMSINV($B17)+SQRT(1-AC$9^2*$C$11)*NORMSINV(AB17))*(AC$7-AC$5)*(AC$6-AC$5)),AC$7-SQRT((1-NORMSDIST(AC$9*SQRT($C$11)*NORMSINV($B17)+SQRT(1-AC$9^2*$C$11)*NORMSINV(AB17)))*(AC$7-AC$5)*(AC$7-AC$6))))</f>
        <v>9.6019049097698</v>
      </c>
      <c r="AD17" s="2" t="n">
        <f aca="false">Entrées!$C$8*(1+E17)</f>
        <v>7449.14822401236</v>
      </c>
      <c r="AE17" s="2" t="n">
        <f aca="false">I17*Hypothèses!$J$24/12/Hypothèses!$J$19</f>
        <v>92.4130514870892</v>
      </c>
      <c r="AF17" s="2" t="n">
        <f aca="false">Entrées!$C$36*S17*1000</f>
        <v>429.345034586729</v>
      </c>
      <c r="AG17" s="2" t="n">
        <f aca="false">-AF17/W17</f>
        <v>-42.0562782329633</v>
      </c>
      <c r="AH17" s="2" t="n">
        <f aca="false">AD17+AE17+AG17</f>
        <v>7499.50499726649</v>
      </c>
      <c r="AI17" s="2" t="n">
        <f aca="false">Entrées!$C$16-M17+Hypothèses!$J$22*1000-AF17+Hypothèses!$J$23</f>
        <v>22492.0585959415</v>
      </c>
      <c r="AJ17" s="2" t="n">
        <f aca="false">AI17/AH17</f>
        <v>2.9991390903986</v>
      </c>
      <c r="AK17" s="2" t="n">
        <f aca="false">AI17/(AH17+I17*(12-Hypothèses!$J$24)/12/Hypothèses!$J$19)</f>
        <v>2.97297151856599</v>
      </c>
      <c r="AL17" s="2" t="n">
        <f aca="false">(AD17+AG17+I17/Hypothèses!$J$19)*(1+G17)</f>
        <v>7945.20772800975</v>
      </c>
      <c r="AM17" s="2" t="n">
        <f aca="false">Entrées!$C$54*K17/Hypothèses!$J$19</f>
        <v>40.9532654301204</v>
      </c>
      <c r="AN17" s="2" t="n">
        <f aca="false">Y17*1000/AC17</f>
        <v>25.5643476887254</v>
      </c>
      <c r="AO17" s="2" t="n">
        <f aca="false">(Entrées!$C$36*(1-S17)+MAX(0,Entrées!$C$30-Entrées!$C$35-Entrées!$C$36)*U17)*1000</f>
        <v>822.563736950764</v>
      </c>
      <c r="AP17" s="2" t="n">
        <f aca="false">-AO17/W17</f>
        <v>-80.5738196526395</v>
      </c>
      <c r="AQ17" s="2" t="n">
        <f aca="false">AL17+AM17+AN17+AP17</f>
        <v>7931.15152147596</v>
      </c>
      <c r="AR17" s="2" t="n">
        <f aca="false">O17*AQ17-Hypothèses!$J$25/Hypothèses!$J$19</f>
        <v>1350.72330449954</v>
      </c>
      <c r="AS17" s="2" t="n">
        <f aca="false">Entrées!$C$79*(1+Q17)+Hypothèses!$J$20</f>
        <v>1489.86247975033</v>
      </c>
      <c r="AT17" s="2" t="n">
        <f aca="false">AI17-AR17+AS17+Y17*1000-AO17+Hypothèses!$J$23</f>
        <v>22054.100469829</v>
      </c>
      <c r="AU17" s="2" t="n">
        <f aca="false">AT17/AQ17</f>
        <v>2.78069337221852</v>
      </c>
      <c r="AV17" s="2" t="n">
        <f aca="false">Hypothèses!$J$26*AQ17-AT17</f>
        <v>1739.35409459887</v>
      </c>
      <c r="AW17" s="2" t="n">
        <f aca="false">IF(AC17&gt;Hypothèses!$J$26,MAX(0,AV17)/(1-Hypothèses!$J$26/AC17),0)</f>
        <v>2529.74146841195</v>
      </c>
      <c r="AX17" s="2" t="n">
        <f aca="false">AQ17-Entrées!$C$17*1000</f>
        <v>-68.8484785240435</v>
      </c>
      <c r="AY17" s="2" t="n">
        <f aca="false">AI17+(Entrées!$C$244-Entrées!$C$13)</f>
        <v>28239.0585959415</v>
      </c>
      <c r="AZ17" s="2" t="n">
        <f aca="false">AA17*AH17</f>
        <v>5523.86445861422</v>
      </c>
      <c r="BA17" s="2" t="n">
        <f aca="false">AZ17/AY17</f>
        <v>0.195610786381105</v>
      </c>
      <c r="BB17" s="2" t="n">
        <f aca="false">AZ17/(Entrées!$C$151/100)-AY17</f>
        <v>2449.07728524858</v>
      </c>
      <c r="BC17" s="2" t="n">
        <f aca="false">AT17+(Entrées!$C$244-Entrées!$C$13)</f>
        <v>27801.100469829</v>
      </c>
      <c r="BD17" s="2" t="n">
        <f aca="false">AA17*AQ17</f>
        <v>5841.7996949577</v>
      </c>
      <c r="BE17" s="2" t="n">
        <f aca="false">BD17/BC17</f>
        <v>0.210128361691922</v>
      </c>
      <c r="BF17" s="2" t="n">
        <f aca="false">BD17/(Entrées!$C$151/100)-BC17</f>
        <v>4653.34227993602</v>
      </c>
      <c r="BG17" s="2" t="n">
        <f aca="false">MIN(AV17,BF17)</f>
        <v>1739.35409459887</v>
      </c>
      <c r="BH17" s="2" t="n">
        <f aca="false">IF(AC17&gt;Hypothèses!$J$26,MAX(0,BG17)/(1-Hypothèses!$J$26/AC17),0)</f>
        <v>2529.74146841195</v>
      </c>
    </row>
    <row r="18" customFormat="false" ht="15" hidden="false" customHeight="false" outlineLevel="0" collapsed="false">
      <c r="A18" s="2" t="n">
        <v>3</v>
      </c>
      <c r="B18" s="2" t="n">
        <v>0.500856277</v>
      </c>
      <c r="C18" s="2"/>
      <c r="D18" s="2" t="n">
        <v>0.231475395</v>
      </c>
      <c r="E18" s="2" t="n">
        <f aca="false">IF(E$7=E$5,E$6,IF(NORMSDIST(E$9*SQRT($C$11)*NORMSINV($B18)+SQRT(1-E$9^2*$C$11)*NORMSINV(D18))&lt;E$8,E$5+SQRT(NORMSDIST(E$9*SQRT($C$11)*NORMSINV($B18)+SQRT(1-E$9^2*$C$11)*NORMSINV(D18))*(E$7-E$5)*(E$6-E$5)),E$7-SQRT((1-NORMSDIST(E$9*SQRT($C$11)*NORMSINV($B18)+SQRT(1-E$9^2*$C$11)*NORMSINV(D18)))*(E$7-E$5)*(E$7-E$6))))</f>
        <v>0.053776845497484</v>
      </c>
      <c r="F18" s="2" t="n">
        <v>0.705322519</v>
      </c>
      <c r="G18" s="2" t="n">
        <f aca="false">IF(G$7=G$5,G$6,IF(NORMSDIST(G$9*SQRT($C$11)*NORMSINV($B18)+SQRT(1-G$9^2*$C$11)*NORMSINV(F18))&lt;G$8,G$5+SQRT(NORMSDIST(G$9*SQRT($C$11)*NORMSINV($B18)+SQRT(1-G$9^2*$C$11)*NORMSINV(F18))*(G$7-G$5)*(G$6-G$5)),G$7-SQRT((1-NORMSDIST(G$9*SQRT($C$11)*NORMSINV($B18)+SQRT(1-G$9^2*$C$11)*NORMSINV(F18)))*(G$7-G$5)*(G$7-G$6))))</f>
        <v>0.0576773535222288</v>
      </c>
      <c r="H18" s="2" t="n">
        <v>0.474932605</v>
      </c>
      <c r="I18" s="2" t="n">
        <f aca="false">IF(I$7=I$5,I$6,IF(NORMSDIST(I$9*SQRT($C$11)*NORMSINV($B18)+SQRT(1-I$9^2*$C$11)*NORMSINV(H18))&lt;I$8,I$5+SQRT(NORMSDIST(I$9*SQRT($C$11)*NORMSINV($B18)+SQRT(1-I$9^2*$C$11)*NORMSINV(H18))*(I$7-I$5)*(I$6-I$5)),I$7-SQRT((1-NORMSDIST(I$9*SQRT($C$11)*NORMSINV($B18)+SQRT(1-I$9^2*$C$11)*NORMSINV(H18)))*(I$7-I$5)*(I$7-I$6))))</f>
        <v>199.618739950928</v>
      </c>
      <c r="J18" s="2" t="n">
        <v>0.55596986</v>
      </c>
      <c r="K18" s="2" t="n">
        <f aca="false">IF(K$7=K$5,K$6,IF(NORMSDIST(K$9*SQRT($C$11)*NORMSINV($B18)+SQRT(1-K$9^2*$C$11)*NORMSINV(J18))&lt;K$8,K$5+SQRT(NORMSDIST(K$9*SQRT($C$11)*NORMSINV($B18)+SQRT(1-K$9^2*$C$11)*NORMSINV(J18))*(K$7-K$5)*(K$6-K$5)),K$7-SQRT((1-NORMSDIST(K$9*SQRT($C$11)*NORMSINV($B18)+SQRT(1-K$9^2*$C$11)*NORMSINV(J18)))*(K$7-K$5)*(K$7-K$6))))</f>
        <v>0.261240067551742</v>
      </c>
      <c r="L18" s="2" t="n">
        <v>0.313680991</v>
      </c>
      <c r="M18" s="2" t="n">
        <f aca="false">IF(M$7=M$5,M$6,IF(NORMSDIST(M$9*SQRT($C$11)*NORMSINV($B18)+SQRT(1-M$9^2*$C$11)*NORMSINV(L18))&lt;M$8,M$5+SQRT(NORMSDIST(M$9*SQRT($C$11)*NORMSINV($B18)+SQRT(1-M$9^2*$C$11)*NORMSINV(L18))*(M$7-M$5)*(M$6-M$5)),M$7-SQRT((1-NORMSDIST(M$9*SQRT($C$11)*NORMSINV($B18)+SQRT(1-M$9^2*$C$11)*NORMSINV(L18)))*(M$7-M$5)*(M$7-M$6))))</f>
        <v>1540.59445522431</v>
      </c>
      <c r="N18" s="2" t="n">
        <v>0.759080329</v>
      </c>
      <c r="O18" s="2" t="n">
        <f aca="false">IF(O$7=O$5,O$6,IF(NORMSDIST(O$9*SQRT($C$11)*NORMSINV($B18)+SQRT(1-O$9^2*$C$11)*NORMSINV(N18))&lt;O$8,O$5+SQRT(NORMSDIST(O$9*SQRT($C$11)*NORMSINV($B18)+SQRT(1-O$9^2*$C$11)*NORMSINV(N18))*(O$7-O$5)*(O$6-O$5)),O$7-SQRT((1-NORMSDIST(O$9*SQRT($C$11)*NORMSINV($B18)+SQRT(1-O$9^2*$C$11)*NORMSINV(N18)))*(O$7-O$5)*(O$7-O$6))))</f>
        <v>0.17234952405494</v>
      </c>
      <c r="P18" s="2" t="n">
        <v>0.764194795</v>
      </c>
      <c r="Q18" s="2" t="n">
        <f aca="false">IF(Q$7=Q$5,Q$6,IF(NORMSDIST(Q$9*SQRT($C$11)*NORMSINV($B18)+SQRT(1-Q$9^2*$C$11)*NORMSINV(P18))&lt;Q$8,Q$5+SQRT(NORMSDIST(Q$9*SQRT($C$11)*NORMSINV($B18)+SQRT(1-Q$9^2*$C$11)*NORMSINV(P18))*(Q$7-Q$5)*(Q$6-Q$5)),Q$7-SQRT((1-NORMSDIST(Q$9*SQRT($C$11)*NORMSINV($B18)+SQRT(1-Q$9^2*$C$11)*NORMSINV(P18)))*(Q$7-Q$5)*(Q$7-Q$6))))</f>
        <v>0.0925304412849423</v>
      </c>
      <c r="R18" s="2" t="n">
        <v>0.252005181</v>
      </c>
      <c r="S18" s="2" t="n">
        <f aca="false">IF(S$7=S$5,S$6,IF(NORMSDIST(S$9*SQRT($C$11)*NORMSINV($B18)+SQRT(1-S$9^2*$C$11)*NORMSINV(R18))&lt;S$8,S$5+SQRT(NORMSDIST(S$9*SQRT($C$11)*NORMSINV($B18)+SQRT(1-S$9^2*$C$11)*NORMSINV(R18))*(S$7-S$5)*(S$6-S$5)),S$7-SQRT((1-NORMSDIST(S$9*SQRT($C$11)*NORMSINV($B18)+SQRT(1-S$9^2*$C$11)*NORMSINV(R18)))*(S$7-S$5)*(S$7-S$6))))</f>
        <v>0.389133306346722</v>
      </c>
      <c r="T18" s="2" t="n">
        <v>0.857020807</v>
      </c>
      <c r="U18" s="2" t="n">
        <f aca="false">IF(U$7=U$5,U$6,IF(NORMSDIST(U$9*SQRT($C$11)*NORMSINV($B18)+SQRT(1-U$9^2*$C$11)*NORMSINV(T18))&lt;U$8,U$5+SQRT(NORMSDIST(U$9*SQRT($C$11)*NORMSINV($B18)+SQRT(1-U$9^2*$C$11)*NORMSINV(T18))*(U$7-U$5)*(U$6-U$5)),U$7-SQRT((1-NORMSDIST(U$9*SQRT($C$11)*NORMSINV($B18)+SQRT(1-U$9^2*$C$11)*NORMSINV(T18)))*(U$7-U$5)*(U$7-U$6))))</f>
        <v>0.680726927070768</v>
      </c>
      <c r="V18" s="2" t="n">
        <v>0.539335125</v>
      </c>
      <c r="W18" s="2" t="n">
        <f aca="false">IF(W$7=W$5,W$6,IF(NORMSDIST(W$9*SQRT($C$11)*NORMSINV($B18)+SQRT(1-W$9^2*$C$11)*NORMSINV(V18))&lt;W$8,W$5+SQRT(NORMSDIST(W$9*SQRT($C$11)*NORMSINV($B18)+SQRT(1-W$9^2*$C$11)*NORMSINV(V18))*(W$7-W$5)*(W$6-W$5)),W$7-SQRT((1-NORMSDIST(W$9*SQRT($C$11)*NORMSINV($B18)+SQRT(1-W$9^2*$C$11)*NORMSINV(V18)))*(W$7-W$5)*(W$7-W$6))))</f>
        <v>10.0630510614359</v>
      </c>
      <c r="X18" s="2" t="n">
        <v>0.786568195</v>
      </c>
      <c r="Y18" s="2" t="n">
        <f aca="false">IF(Y$7=Y$5,Y$6,IF(NORMSDIST(Y$9*SQRT($C$11)*NORMSINV($B18)+SQRT(1-Y$9^2*$C$11)*NORMSINV(X18))&lt;Y$8,Y$5+SQRT(NORMSDIST(Y$9*SQRT($C$11)*NORMSINV($B18)+SQRT(1-Y$9^2*$C$11)*NORMSINV(X18))*(Y$7-Y$5)*(Y$6-Y$5)),Y$7-SQRT((1-NORMSDIST(Y$9*SQRT($C$11)*NORMSINV($B18)+SQRT(1-Y$9^2*$C$11)*NORMSINV(X18)))*(Y$7-Y$5)*(Y$7-Y$6))))</f>
        <v>0.673325999657151</v>
      </c>
      <c r="Z18" s="2" t="n">
        <v>0.888079753</v>
      </c>
      <c r="AA18" s="2" t="n">
        <f aca="false">IF(AA$7=AA$5,AA$6,IF(NORMSDIST(AA$9*SQRT($C$11)*NORMSINV($B18)+SQRT(1-AA$9^2*$C$11)*NORMSINV(Z18))&lt;AA$8,AA$5+SQRT(NORMSDIST(AA$9*SQRT($C$11)*NORMSINV($B18)+SQRT(1-AA$9^2*$C$11)*NORMSINV(Z18))*(AA$7-AA$5)*(AA$6-AA$5)),AA$7-SQRT((1-NORMSDIST(AA$9*SQRT($C$11)*NORMSINV($B18)+SQRT(1-AA$9^2*$C$11)*NORMSINV(Z18)))*(AA$7-AA$5)*(AA$7-AA$6))))</f>
        <v>0.738971571103589</v>
      </c>
      <c r="AB18" s="2" t="n">
        <v>0.760611697</v>
      </c>
      <c r="AC18" s="2" t="n">
        <f aca="false">IF(AC$7=AC$5,AC$6,IF(NORMSDIST(AC$9*SQRT($C$11)*NORMSINV($B18)+SQRT(1-AC$9^2*$C$11)*NORMSINV(AB18))&lt;AC$8,AC$5+SQRT(NORMSDIST(AC$9*SQRT($C$11)*NORMSINV($B18)+SQRT(1-AC$9^2*$C$11)*NORMSINV(AB18))*(AC$7-AC$5)*(AC$6-AC$5)),AC$7-SQRT((1-NORMSDIST(AC$9*SQRT($C$11)*NORMSINV($B18)+SQRT(1-AC$9^2*$C$11)*NORMSINV(AB18)))*(AC$7-AC$5)*(AC$7-AC$6))))</f>
        <v>9.87846709628196</v>
      </c>
      <c r="AD18" s="2" t="n">
        <f aca="false">Entrées!$C$8*(1+E18)</f>
        <v>7429.12676075726</v>
      </c>
      <c r="AE18" s="2" t="n">
        <f aca="false">I18*Hypothèses!$J$24/12/Hypothèses!$J$19</f>
        <v>99.030217985023</v>
      </c>
      <c r="AF18" s="2" t="n">
        <f aca="false">Entrées!$C$36*S18*1000</f>
        <v>194.566653173361</v>
      </c>
      <c r="AG18" s="2" t="n">
        <f aca="false">-AF18/W18</f>
        <v>-19.3347576182921</v>
      </c>
      <c r="AH18" s="2" t="n">
        <f aca="false">AD18+AE18+AG18</f>
        <v>7508.82222112399</v>
      </c>
      <c r="AI18" s="2" t="n">
        <f aca="false">Entrées!$C$16-M18+Hypothèses!$J$22*1000-AF18+Hypothèses!$J$23</f>
        <v>22812.8388916023</v>
      </c>
      <c r="AJ18" s="2" t="n">
        <f aca="false">AI18/AH18</f>
        <v>3.03813810206143</v>
      </c>
      <c r="AK18" s="2" t="n">
        <f aca="false">AI18/(AH18+I18*(12-Hypothèses!$J$24)/12/Hypothèses!$J$19)</f>
        <v>3.00978482087886</v>
      </c>
      <c r="AL18" s="2" t="n">
        <f aca="false">(AD18+AG18+I18/Hypothèses!$J$19)*(1+G18)</f>
        <v>8016.72694267671</v>
      </c>
      <c r="AM18" s="2" t="n">
        <f aca="false">Entrées!$C$54*K18/Hypothèses!$J$19</f>
        <v>26.6606457698171</v>
      </c>
      <c r="AN18" s="2" t="n">
        <f aca="false">Y18*1000/AC18</f>
        <v>68.1609801494987</v>
      </c>
      <c r="AO18" s="2" t="n">
        <f aca="false">(Entrées!$C$36*(1-S18)+MAX(0,Entrées!$C$30-Entrées!$C$35-Entrées!$C$36)*U18)*1000</f>
        <v>1258.45104472571</v>
      </c>
      <c r="AP18" s="2" t="n">
        <f aca="false">-AO18/W18</f>
        <v>-125.056609277121</v>
      </c>
      <c r="AQ18" s="2" t="n">
        <f aca="false">AL18+AM18+AN18+AP18</f>
        <v>7986.4919593189</v>
      </c>
      <c r="AR18" s="2" t="n">
        <f aca="false">O18*AQ18-Hypothèses!$J$25/Hypothèses!$J$19</f>
        <v>1357.33292579559</v>
      </c>
      <c r="AS18" s="2" t="n">
        <f aca="false">Entrées!$C$79*(1+Q18)+Hypothèses!$J$20</f>
        <v>1495.69095497215</v>
      </c>
      <c r="AT18" s="2" t="n">
        <f aca="false">AI18-AR18+AS18+Y18*1000-AO18+Hypothèses!$J$23</f>
        <v>22366.0718757103</v>
      </c>
      <c r="AU18" s="2" t="n">
        <f aca="false">AT18/AQ18</f>
        <v>2.80048762205449</v>
      </c>
      <c r="AV18" s="2" t="n">
        <f aca="false">Hypothèses!$J$26*AQ18-AT18</f>
        <v>1593.40400224638</v>
      </c>
      <c r="AW18" s="2" t="n">
        <f aca="false">IF(AC18&gt;Hypothèses!$J$26,MAX(0,AV18)/(1-Hypothèses!$J$26/AC18),0)</f>
        <v>2288.35709860167</v>
      </c>
      <c r="AX18" s="2" t="n">
        <f aca="false">AQ18-Entrées!$C$17*1000</f>
        <v>-13.5080406810985</v>
      </c>
      <c r="AY18" s="2" t="n">
        <f aca="false">AI18+(Entrées!$C$244-Entrées!$C$13)</f>
        <v>28559.8388916023</v>
      </c>
      <c r="AZ18" s="2" t="n">
        <f aca="false">AA18*AH18</f>
        <v>5548.80615388154</v>
      </c>
      <c r="BA18" s="2" t="n">
        <f aca="false">AZ18/AY18</f>
        <v>0.194287025740649</v>
      </c>
      <c r="BB18" s="2" t="n">
        <f aca="false">AZ18/(Entrées!$C$151/100)-AY18</f>
        <v>2266.86196329511</v>
      </c>
      <c r="BC18" s="2" t="n">
        <f aca="false">AT18+(Entrées!$C$244-Entrées!$C$13)</f>
        <v>28113.0718757103</v>
      </c>
      <c r="BD18" s="2" t="n">
        <f aca="false">AA18*AQ18</f>
        <v>5901.79051078407</v>
      </c>
      <c r="BE18" s="2" t="n">
        <f aca="false">BD18/BC18</f>
        <v>0.209930474224811</v>
      </c>
      <c r="BF18" s="2" t="n">
        <f aca="false">BD18/(Entrées!$C$151/100)-BC18</f>
        <v>4674.65318420118</v>
      </c>
      <c r="BG18" s="2" t="n">
        <f aca="false">MIN(AV18,BF18)</f>
        <v>1593.40400224638</v>
      </c>
      <c r="BH18" s="2" t="n">
        <f aca="false">IF(AC18&gt;Hypothèses!$J$26,MAX(0,BG18)/(1-Hypothèses!$J$26/AC18),0)</f>
        <v>2288.35709860167</v>
      </c>
    </row>
    <row r="19" customFormat="false" ht="15" hidden="false" customHeight="false" outlineLevel="0" collapsed="false">
      <c r="A19" s="2" t="n">
        <v>4</v>
      </c>
      <c r="B19" s="2" t="n">
        <v>0.402695369</v>
      </c>
      <c r="C19" s="2"/>
      <c r="D19" s="2" t="n">
        <v>0.474327885</v>
      </c>
      <c r="E19" s="2" t="n">
        <f aca="false">IF(E$7=E$5,E$6,IF(NORMSDIST(E$9*SQRT($C$11)*NORMSINV($B19)+SQRT(1-E$9^2*$C$11)*NORMSINV(D19))&lt;E$8,E$5+SQRT(NORMSDIST(E$9*SQRT($C$11)*NORMSINV($B19)+SQRT(1-E$9^2*$C$11)*NORMSINV(D19))*(E$7-E$5)*(E$6-E$5)),E$7-SQRT((1-NORMSDIST(E$9*SQRT($C$11)*NORMSINV($B19)+SQRT(1-E$9^2*$C$11)*NORMSINV(D19)))*(E$7-E$5)*(E$7-E$6))))</f>
        <v>0.0545744492669914</v>
      </c>
      <c r="F19" s="2" t="n">
        <v>0.284742757</v>
      </c>
      <c r="G19" s="2" t="n">
        <f aca="false">IF(G$7=G$5,G$6,IF(NORMSDIST(G$9*SQRT($C$11)*NORMSINV($B19)+SQRT(1-G$9^2*$C$11)*NORMSINV(F19))&lt;G$8,G$5+SQRT(NORMSDIST(G$9*SQRT($C$11)*NORMSINV($B19)+SQRT(1-G$9^2*$C$11)*NORMSINV(F19))*(G$7-G$5)*(G$6-G$5)),G$7-SQRT((1-NORMSDIST(G$9*SQRT($C$11)*NORMSINV($B19)+SQRT(1-G$9^2*$C$11)*NORMSINV(F19)))*(G$7-G$5)*(G$7-G$6))))</f>
        <v>0.0511333414905893</v>
      </c>
      <c r="H19" s="2" t="n">
        <v>0.136783711</v>
      </c>
      <c r="I19" s="2" t="n">
        <f aca="false">IF(I$7=I$5,I$6,IF(NORMSDIST(I$9*SQRT($C$11)*NORMSINV($B19)+SQRT(1-I$9^2*$C$11)*NORMSINV(H19))&lt;I$8,I$5+SQRT(NORMSDIST(I$9*SQRT($C$11)*NORMSINV($B19)+SQRT(1-I$9^2*$C$11)*NORMSINV(H19))*(I$7-I$5)*(I$6-I$5)),I$7-SQRT((1-NORMSDIST(I$9*SQRT($C$11)*NORMSINV($B19)+SQRT(1-I$9^2*$C$11)*NORMSINV(H19)))*(I$7-I$5)*(I$7-I$6))))</f>
        <v>191.23243879544</v>
      </c>
      <c r="J19" s="2" t="n">
        <v>0.12193478</v>
      </c>
      <c r="K19" s="2" t="n">
        <f aca="false">IF(K$7=K$5,K$6,IF(NORMSDIST(K$9*SQRT($C$11)*NORMSINV($B19)+SQRT(1-K$9^2*$C$11)*NORMSINV(J19))&lt;K$8,K$5+SQRT(NORMSDIST(K$9*SQRT($C$11)*NORMSINV($B19)+SQRT(1-K$9^2*$C$11)*NORMSINV(J19))*(K$7-K$5)*(K$6-K$5)),K$7-SQRT((1-NORMSDIST(K$9*SQRT($C$11)*NORMSINV($B19)+SQRT(1-K$9^2*$C$11)*NORMSINV(J19)))*(K$7-K$5)*(K$7-K$6))))</f>
        <v>0.13458767145098</v>
      </c>
      <c r="L19" s="2" t="n">
        <v>0.762362706</v>
      </c>
      <c r="M19" s="2" t="n">
        <f aca="false">IF(M$7=M$5,M$6,IF(NORMSDIST(M$9*SQRT($C$11)*NORMSINV($B19)+SQRT(1-M$9^2*$C$11)*NORMSINV(L19))&lt;M$8,M$5+SQRT(NORMSDIST(M$9*SQRT($C$11)*NORMSINV($B19)+SQRT(1-M$9^2*$C$11)*NORMSINV(L19))*(M$7-M$5)*(M$6-M$5)),M$7-SQRT((1-NORMSDIST(M$9*SQRT($C$11)*NORMSINV($B19)+SQRT(1-M$9^2*$C$11)*NORMSINV(L19)))*(M$7-M$5)*(M$7-M$6))))</f>
        <v>1625.98447827459</v>
      </c>
      <c r="N19" s="2" t="n">
        <v>0.63059974</v>
      </c>
      <c r="O19" s="2" t="n">
        <f aca="false">IF(O$7=O$5,O$6,IF(NORMSDIST(O$9*SQRT($C$11)*NORMSINV($B19)+SQRT(1-O$9^2*$C$11)*NORMSINV(N19))&lt;O$8,O$5+SQRT(NORMSDIST(O$9*SQRT($C$11)*NORMSINV($B19)+SQRT(1-O$9^2*$C$11)*NORMSINV(N19))*(O$7-O$5)*(O$6-O$5)),O$7-SQRT((1-NORMSDIST(O$9*SQRT($C$11)*NORMSINV($B19)+SQRT(1-O$9^2*$C$11)*NORMSINV(N19)))*(O$7-O$5)*(O$7-O$6))))</f>
        <v>0.167855992331077</v>
      </c>
      <c r="P19" s="2" t="n">
        <v>0.628766001</v>
      </c>
      <c r="Q19" s="2" t="n">
        <f aca="false">IF(Q$7=Q$5,Q$6,IF(NORMSDIST(Q$9*SQRT($C$11)*NORMSINV($B19)+SQRT(1-Q$9^2*$C$11)*NORMSINV(P19))&lt;Q$8,Q$5+SQRT(NORMSDIST(Q$9*SQRT($C$11)*NORMSINV($B19)+SQRT(1-Q$9^2*$C$11)*NORMSINV(P19))*(Q$7-Q$5)*(Q$6-Q$5)),Q$7-SQRT((1-NORMSDIST(Q$9*SQRT($C$11)*NORMSINV($B19)+SQRT(1-Q$9^2*$C$11)*NORMSINV(P19)))*(Q$7-Q$5)*(Q$7-Q$6))))</f>
        <v>0.0855333669065283</v>
      </c>
      <c r="R19" s="2" t="n">
        <v>0.464855539</v>
      </c>
      <c r="S19" s="2" t="n">
        <f aca="false">IF(S$7=S$5,S$6,IF(NORMSDIST(S$9*SQRT($C$11)*NORMSINV($B19)+SQRT(1-S$9^2*$C$11)*NORMSINV(R19))&lt;S$8,S$5+SQRT(NORMSDIST(S$9*SQRT($C$11)*NORMSINV($B19)+SQRT(1-S$9^2*$C$11)*NORMSINV(R19))*(S$7-S$5)*(S$6-S$5)),S$7-SQRT((1-NORMSDIST(S$9*SQRT($C$11)*NORMSINV($B19)+SQRT(1-S$9^2*$C$11)*NORMSINV(R19)))*(S$7-S$5)*(S$7-S$6))))</f>
        <v>0.453498083507012</v>
      </c>
      <c r="T19" s="2" t="n">
        <v>0.597851728</v>
      </c>
      <c r="U19" s="2" t="n">
        <f aca="false">IF(U$7=U$5,U$6,IF(NORMSDIST(U$9*SQRT($C$11)*NORMSINV($B19)+SQRT(1-U$9^2*$C$11)*NORMSINV(T19))&lt;U$8,U$5+SQRT(NORMSDIST(U$9*SQRT($C$11)*NORMSINV($B19)+SQRT(1-U$9^2*$C$11)*NORMSINV(T19))*(U$7-U$5)*(U$6-U$5)),U$7-SQRT((1-NORMSDIST(U$9*SQRT($C$11)*NORMSINV($B19)+SQRT(1-U$9^2*$C$11)*NORMSINV(T19)))*(U$7-U$5)*(U$7-U$6))))</f>
        <v>0.507255056061339</v>
      </c>
      <c r="V19" s="2" t="n">
        <v>0.627374627</v>
      </c>
      <c r="W19" s="2" t="n">
        <f aca="false">IF(W$7=W$5,W$6,IF(NORMSDIST(W$9*SQRT($C$11)*NORMSINV($B19)+SQRT(1-W$9^2*$C$11)*NORMSINV(V19))&lt;W$8,W$5+SQRT(NORMSDIST(W$9*SQRT($C$11)*NORMSINV($B19)+SQRT(1-W$9^2*$C$11)*NORMSINV(V19))*(W$7-W$5)*(W$6-W$5)),W$7-SQRT((1-NORMSDIST(W$9*SQRT($C$11)*NORMSINV($B19)+SQRT(1-W$9^2*$C$11)*NORMSINV(V19)))*(W$7-W$5)*(W$7-W$6))))</f>
        <v>10.0778767962344</v>
      </c>
      <c r="X19" s="2" t="n">
        <v>0.883127936</v>
      </c>
      <c r="Y19" s="2" t="n">
        <f aca="false">IF(Y$7=Y$5,Y$6,IF(NORMSDIST(Y$9*SQRT($C$11)*NORMSINV($B19)+SQRT(1-Y$9^2*$C$11)*NORMSINV(X19))&lt;Y$8,Y$5+SQRT(NORMSDIST(Y$9*SQRT($C$11)*NORMSINV($B19)+SQRT(1-Y$9^2*$C$11)*NORMSINV(X19))*(Y$7-Y$5)*(Y$6-Y$5)),Y$7-SQRT((1-NORMSDIST(Y$9*SQRT($C$11)*NORMSINV($B19)+SQRT(1-Y$9^2*$C$11)*NORMSINV(X19)))*(Y$7-Y$5)*(Y$7-Y$6))))</f>
        <v>0.758264541285313</v>
      </c>
      <c r="Z19" s="2" t="n">
        <v>0.323467143</v>
      </c>
      <c r="AA19" s="2" t="n">
        <f aca="false">IF(AA$7=AA$5,AA$6,IF(NORMSDIST(AA$9*SQRT($C$11)*NORMSINV($B19)+SQRT(1-AA$9^2*$C$11)*NORMSINV(Z19))&lt;AA$8,AA$5+SQRT(NORMSDIST(AA$9*SQRT($C$11)*NORMSINV($B19)+SQRT(1-AA$9^2*$C$11)*NORMSINV(Z19))*(AA$7-AA$5)*(AA$6-AA$5)),AA$7-SQRT((1-NORMSDIST(AA$9*SQRT($C$11)*NORMSINV($B19)+SQRT(1-AA$9^2*$C$11)*NORMSINV(Z19)))*(AA$7-AA$5)*(AA$7-AA$6))))</f>
        <v>0.720876003478592</v>
      </c>
      <c r="AB19" s="2" t="n">
        <v>0.091442938</v>
      </c>
      <c r="AC19" s="2" t="n">
        <f aca="false">IF(AC$7=AC$5,AC$6,IF(NORMSDIST(AC$9*SQRT($C$11)*NORMSINV($B19)+SQRT(1-AC$9^2*$C$11)*NORMSINV(AB19))&lt;AC$8,AC$5+SQRT(NORMSDIST(AC$9*SQRT($C$11)*NORMSINV($B19)+SQRT(1-AC$9^2*$C$11)*NORMSINV(AB19))*(AC$7-AC$5)*(AC$6-AC$5)),AC$7-SQRT((1-NORMSDIST(AC$9*SQRT($C$11)*NORMSINV($B19)+SQRT(1-AC$9^2*$C$11)*NORMSINV(AB19)))*(AC$7-AC$5)*(AC$7-AC$6))))</f>
        <v>8.40761597208236</v>
      </c>
      <c r="AD19" s="2" t="n">
        <f aca="false">Entrées!$C$8*(1+E19)</f>
        <v>7434.74986733229</v>
      </c>
      <c r="AE19" s="2" t="n">
        <f aca="false">I19*Hypothèses!$J$24/12/Hypothèses!$J$19</f>
        <v>94.8698008231865</v>
      </c>
      <c r="AF19" s="2" t="n">
        <f aca="false">Entrées!$C$36*S19*1000</f>
        <v>226.749041753506</v>
      </c>
      <c r="AG19" s="2" t="n">
        <f aca="false">-AF19/W19</f>
        <v>-22.4996838459297</v>
      </c>
      <c r="AH19" s="2" t="n">
        <f aca="false">AD19+AE19+AG19</f>
        <v>7507.11998430955</v>
      </c>
      <c r="AI19" s="2" t="n">
        <f aca="false">Entrées!$C$16-M19+Hypothèses!$J$22*1000-AF19+Hypothèses!$J$23</f>
        <v>22695.2664799719</v>
      </c>
      <c r="AJ19" s="2" t="n">
        <f aca="false">AI19/AH19</f>
        <v>3.02316554516336</v>
      </c>
      <c r="AK19" s="2" t="n">
        <f aca="false">AI19/(AH19+I19*(12-Hypothèses!$J$24)/12/Hypothèses!$J$19)</f>
        <v>2.99612061349104</v>
      </c>
      <c r="AL19" s="2" t="n">
        <f aca="false">(AD19+AG19+I19/Hypothèses!$J$19)*(1+G19)</f>
        <v>7962.2132646108</v>
      </c>
      <c r="AM19" s="2" t="n">
        <f aca="false">Entrées!$C$54*K19/Hypothèses!$J$19</f>
        <v>13.7352369686875</v>
      </c>
      <c r="AN19" s="2" t="n">
        <f aca="false">Y19*1000/AC19</f>
        <v>90.1878182594381</v>
      </c>
      <c r="AO19" s="2" t="n">
        <f aca="false">(Entrées!$C$36*(1-S19)+MAX(0,Entrées!$C$30-Entrées!$C$35-Entrées!$C$36)*U19)*1000</f>
        <v>983.408036732369</v>
      </c>
      <c r="AP19" s="2" t="n">
        <f aca="false">-AO19/W19</f>
        <v>-97.5808750807328</v>
      </c>
      <c r="AQ19" s="2" t="n">
        <f aca="false">AL19+AM19+AN19+AP19</f>
        <v>7968.5554447582</v>
      </c>
      <c r="AR19" s="2" t="n">
        <f aca="false">O19*AQ19-Hypothèses!$J$25/Hypothèses!$J$19</f>
        <v>1318.43461936347</v>
      </c>
      <c r="AS19" s="2" t="n">
        <f aca="false">Entrées!$C$79*(1+Q19)+Hypothèses!$J$20</f>
        <v>1488.00117023027</v>
      </c>
      <c r="AT19" s="2" t="n">
        <f aca="false">AI19-AR19+AS19+Y19*1000-AO19+Hypothèses!$J$23</f>
        <v>22639.6895353917</v>
      </c>
      <c r="AU19" s="2" t="n">
        <f aca="false">AT19/AQ19</f>
        <v>2.84112844446408</v>
      </c>
      <c r="AV19" s="2" t="n">
        <f aca="false">Hypothèses!$J$26*AQ19-AT19</f>
        <v>1265.97679888293</v>
      </c>
      <c r="AW19" s="2" t="n">
        <f aca="false">IF(AC19&gt;Hypothèses!$J$26,MAX(0,AV19)/(1-Hypothèses!$J$26/AC19),0)</f>
        <v>1968.30670105353</v>
      </c>
      <c r="AX19" s="2" t="n">
        <f aca="false">AQ19-Entrées!$C$17*1000</f>
        <v>-31.4445552418047</v>
      </c>
      <c r="AY19" s="2" t="n">
        <f aca="false">AI19+(Entrées!$C$244-Entrées!$C$13)</f>
        <v>28442.2664799719</v>
      </c>
      <c r="AZ19" s="2" t="n">
        <f aca="false">AA19*AH19</f>
        <v>5411.70265192334</v>
      </c>
      <c r="BA19" s="2" t="n">
        <f aca="false">AZ19/AY19</f>
        <v>0.190269740132492</v>
      </c>
      <c r="BB19" s="2" t="n">
        <f aca="false">AZ19/(Entrées!$C$151/100)-AY19</f>
        <v>1622.74825293553</v>
      </c>
      <c r="BC19" s="2" t="n">
        <f aca="false">AT19+(Entrées!$C$244-Entrées!$C$13)</f>
        <v>28386.6895353917</v>
      </c>
      <c r="BD19" s="2" t="n">
        <f aca="false">AA19*AQ19</f>
        <v>5744.34040251487</v>
      </c>
      <c r="BE19" s="2" t="n">
        <f aca="false">BD19/BC19</f>
        <v>0.202360349041511</v>
      </c>
      <c r="BF19" s="2" t="n">
        <f aca="false">BD19/(Entrées!$C$151/100)-BC19</f>
        <v>3526.31270080204</v>
      </c>
      <c r="BG19" s="2" t="n">
        <f aca="false">MIN(AV19,BF19)</f>
        <v>1265.97679888293</v>
      </c>
      <c r="BH19" s="2" t="n">
        <f aca="false">IF(AC19&gt;Hypothèses!$J$26,MAX(0,BG19)/(1-Hypothèses!$J$26/AC19),0)</f>
        <v>1968.30670105353</v>
      </c>
    </row>
    <row r="20" customFormat="false" ht="15" hidden="false" customHeight="false" outlineLevel="0" collapsed="false">
      <c r="A20" s="2" t="n">
        <v>5</v>
      </c>
      <c r="B20" s="2" t="n">
        <v>0.062948462</v>
      </c>
      <c r="C20" s="2"/>
      <c r="D20" s="2" t="n">
        <v>0.967348992</v>
      </c>
      <c r="E20" s="2" t="n">
        <f aca="false">IF(E$7=E$5,E$6,IF(NORMSDIST(E$9*SQRT($C$11)*NORMSINV($B20)+SQRT(1-E$9^2*$C$11)*NORMSINV(D20))&lt;E$8,E$5+SQRT(NORMSDIST(E$9*SQRT($C$11)*NORMSINV($B20)+SQRT(1-E$9^2*$C$11)*NORMSINV(D20))*(E$7-E$5)*(E$6-E$5)),E$7-SQRT((1-NORMSDIST(E$9*SQRT($C$11)*NORMSINV($B20)+SQRT(1-E$9^2*$C$11)*NORMSINV(D20)))*(E$7-E$5)*(E$7-E$6))))</f>
        <v>0.0559822665838652</v>
      </c>
      <c r="F20" s="2" t="n">
        <v>0.065461497</v>
      </c>
      <c r="G20" s="2" t="n">
        <f aca="false">IF(G$7=G$5,G$6,IF(NORMSDIST(G$9*SQRT($C$11)*NORMSINV($B20)+SQRT(1-G$9^2*$C$11)*NORMSINV(F20))&lt;G$8,G$5+SQRT(NORMSDIST(G$9*SQRT($C$11)*NORMSINV($B20)+SQRT(1-G$9^2*$C$11)*NORMSINV(F20))*(G$7-G$5)*(G$6-G$5)),G$7-SQRT((1-NORMSDIST(G$9*SQRT($C$11)*NORMSINV($B20)+SQRT(1-G$9^2*$C$11)*NORMSINV(F20)))*(G$7-G$5)*(G$7-G$6))))</f>
        <v>0.0427049616095464</v>
      </c>
      <c r="H20" s="2" t="n">
        <v>0.71467725</v>
      </c>
      <c r="I20" s="2" t="n">
        <f aca="false">IF(I$7=I$5,I$6,IF(NORMSDIST(I$9*SQRT($C$11)*NORMSINV($B20)+SQRT(1-I$9^2*$C$11)*NORMSINV(H20))&lt;I$8,I$5+SQRT(NORMSDIST(I$9*SQRT($C$11)*NORMSINV($B20)+SQRT(1-I$9^2*$C$11)*NORMSINV(H20))*(I$7-I$5)*(I$6-I$5)),I$7-SQRT((1-NORMSDIST(I$9*SQRT($C$11)*NORMSINV($B20)+SQRT(1-I$9^2*$C$11)*NORMSINV(H20)))*(I$7-I$5)*(I$7-I$6))))</f>
        <v>195.453433334399</v>
      </c>
      <c r="J20" s="2" t="n">
        <v>0.692283631</v>
      </c>
      <c r="K20" s="2" t="n">
        <f aca="false">IF(K$7=K$5,K$6,IF(NORMSDIST(K$9*SQRT($C$11)*NORMSINV($B20)+SQRT(1-K$9^2*$C$11)*NORMSINV(J20))&lt;K$8,K$5+SQRT(NORMSDIST(K$9*SQRT($C$11)*NORMSINV($B20)+SQRT(1-K$9^2*$C$11)*NORMSINV(J20))*(K$7-K$5)*(K$6-K$5)),K$7-SQRT((1-NORMSDIST(K$9*SQRT($C$11)*NORMSINV($B20)+SQRT(1-K$9^2*$C$11)*NORMSINV(J20)))*(K$7-K$5)*(K$7-K$6))))</f>
        <v>0.18753093006993</v>
      </c>
      <c r="L20" s="2" t="n">
        <v>0.795944228</v>
      </c>
      <c r="M20" s="2" t="n">
        <f aca="false">IF(M$7=M$5,M$6,IF(NORMSDIST(M$9*SQRT($C$11)*NORMSINV($B20)+SQRT(1-M$9^2*$C$11)*NORMSINV(L20))&lt;M$8,M$5+SQRT(NORMSDIST(M$9*SQRT($C$11)*NORMSINV($B20)+SQRT(1-M$9^2*$C$11)*NORMSINV(L20))*(M$7-M$5)*(M$6-M$5)),M$7-SQRT((1-NORMSDIST(M$9*SQRT($C$11)*NORMSINV($B20)+SQRT(1-M$9^2*$C$11)*NORMSINV(L20)))*(M$7-M$5)*(M$7-M$6))))</f>
        <v>1546.49154090052</v>
      </c>
      <c r="N20" s="2" t="n">
        <v>0.127868402</v>
      </c>
      <c r="O20" s="2" t="n">
        <f aca="false">IF(O$7=O$5,O$6,IF(NORMSDIST(O$9*SQRT($C$11)*NORMSINV($B20)+SQRT(1-O$9^2*$C$11)*NORMSINV(N20))&lt;O$8,O$5+SQRT(NORMSDIST(O$9*SQRT($C$11)*NORMSINV($B20)+SQRT(1-O$9^2*$C$11)*NORMSINV(N20))*(O$7-O$5)*(O$6-O$5)),O$7-SQRT((1-NORMSDIST(O$9*SQRT($C$11)*NORMSINV($B20)+SQRT(1-O$9^2*$C$11)*NORMSINV(N20)))*(O$7-O$5)*(O$7-O$6))))</f>
        <v>0.14680543549704</v>
      </c>
      <c r="P20" s="2" t="n">
        <v>0.926380735</v>
      </c>
      <c r="Q20" s="2" t="n">
        <f aca="false">IF(Q$7=Q$5,Q$6,IF(NORMSDIST(Q$9*SQRT($C$11)*NORMSINV($B20)+SQRT(1-Q$9^2*$C$11)*NORMSINV(P20))&lt;Q$8,Q$5+SQRT(NORMSDIST(Q$9*SQRT($C$11)*NORMSINV($B20)+SQRT(1-Q$9^2*$C$11)*NORMSINV(P20))*(Q$7-Q$5)*(Q$6-Q$5)),Q$7-SQRT((1-NORMSDIST(Q$9*SQRT($C$11)*NORMSINV($B20)+SQRT(1-Q$9^2*$C$11)*NORMSINV(P20)))*(Q$7-Q$5)*(Q$7-Q$6))))</f>
        <v>0.104651330741722</v>
      </c>
      <c r="R20" s="2" t="n">
        <v>0.115496864</v>
      </c>
      <c r="S20" s="2" t="n">
        <f aca="false">IF(S$7=S$5,S$6,IF(NORMSDIST(S$9*SQRT($C$11)*NORMSINV($B20)+SQRT(1-S$9^2*$C$11)*NORMSINV(R20))&lt;S$8,S$5+SQRT(NORMSDIST(S$9*SQRT($C$11)*NORMSINV($B20)+SQRT(1-S$9^2*$C$11)*NORMSINV(R20))*(S$7-S$5)*(S$6-S$5)),S$7-SQRT((1-NORMSDIST(S$9*SQRT($C$11)*NORMSINV($B20)+SQRT(1-S$9^2*$C$11)*NORMSINV(R20)))*(S$7-S$5)*(S$7-S$6))))</f>
        <v>0.120405032086247</v>
      </c>
      <c r="T20" s="2" t="n">
        <v>0.184727336</v>
      </c>
      <c r="U20" s="2" t="n">
        <f aca="false">IF(U$7=U$5,U$6,IF(NORMSDIST(U$9*SQRT($C$11)*NORMSINV($B20)+SQRT(1-U$9^2*$C$11)*NORMSINV(T20))&lt;U$8,U$5+SQRT(NORMSDIST(U$9*SQRT($C$11)*NORMSINV($B20)+SQRT(1-U$9^2*$C$11)*NORMSINV(T20))*(U$7-U$5)*(U$6-U$5)),U$7-SQRT((1-NORMSDIST(U$9*SQRT($C$11)*NORMSINV($B20)+SQRT(1-U$9^2*$C$11)*NORMSINV(T20)))*(U$7-U$5)*(U$7-U$6))))</f>
        <v>0.155145413454618</v>
      </c>
      <c r="V20" s="2" t="n">
        <v>0.616374569</v>
      </c>
      <c r="W20" s="2" t="n">
        <f aca="false">IF(W$7=W$5,W$6,IF(NORMSDIST(W$9*SQRT($C$11)*NORMSINV($B20)+SQRT(1-W$9^2*$C$11)*NORMSINV(V20))&lt;W$8,W$5+SQRT(NORMSDIST(W$9*SQRT($C$11)*NORMSINV($B20)+SQRT(1-W$9^2*$C$11)*NORMSINV(V20))*(W$7-W$5)*(W$6-W$5)),W$7-SQRT((1-NORMSDIST(W$9*SQRT($C$11)*NORMSINV($B20)+SQRT(1-W$9^2*$C$11)*NORMSINV(V20)))*(W$7-W$5)*(W$7-W$6))))</f>
        <v>9.3565942140968</v>
      </c>
      <c r="X20" s="2" t="n">
        <v>0.317083726</v>
      </c>
      <c r="Y20" s="2" t="n">
        <f aca="false">IF(Y$7=Y$5,Y$6,IF(NORMSDIST(Y$9*SQRT($C$11)*NORMSINV($B20)+SQRT(1-Y$9^2*$C$11)*NORMSINV(X20))&lt;Y$8,Y$5+SQRT(NORMSDIST(Y$9*SQRT($C$11)*NORMSINV($B20)+SQRT(1-Y$9^2*$C$11)*NORMSINV(X20))*(Y$7-Y$5)*(Y$6-Y$5)),Y$7-SQRT((1-NORMSDIST(Y$9*SQRT($C$11)*NORMSINV($B20)+SQRT(1-Y$9^2*$C$11)*NORMSINV(X20)))*(Y$7-Y$5)*(Y$7-Y$6))))</f>
        <v>0.398173157056073</v>
      </c>
      <c r="Z20" s="2" t="n">
        <v>0.440251463</v>
      </c>
      <c r="AA20" s="2" t="n">
        <f aca="false">IF(AA$7=AA$5,AA$6,IF(NORMSDIST(AA$9*SQRT($C$11)*NORMSINV($B20)+SQRT(1-AA$9^2*$C$11)*NORMSINV(Z20))&lt;AA$8,AA$5+SQRT(NORMSDIST(AA$9*SQRT($C$11)*NORMSINV($B20)+SQRT(1-AA$9^2*$C$11)*NORMSINV(Z20))*(AA$7-AA$5)*(AA$6-AA$5)),AA$7-SQRT((1-NORMSDIST(AA$9*SQRT($C$11)*NORMSINV($B20)+SQRT(1-AA$9^2*$C$11)*NORMSINV(Z20)))*(AA$7-AA$5)*(AA$7-AA$6))))</f>
        <v>0.712583133775021</v>
      </c>
      <c r="AB20" s="2" t="n">
        <v>0.12534925</v>
      </c>
      <c r="AC20" s="2" t="n">
        <f aca="false">IF(AC$7=AC$5,AC$6,IF(NORMSDIST(AC$9*SQRT($C$11)*NORMSINV($B20)+SQRT(1-AC$9^2*$C$11)*NORMSINV(AB20))&lt;AC$8,AC$5+SQRT(NORMSDIST(AC$9*SQRT($C$11)*NORMSINV($B20)+SQRT(1-AC$9^2*$C$11)*NORMSINV(AB20))*(AC$7-AC$5)*(AC$6-AC$5)),AC$7-SQRT((1-NORMSDIST(AC$9*SQRT($C$11)*NORMSINV($B20)+SQRT(1-AC$9^2*$C$11)*NORMSINV(AB20)))*(AC$7-AC$5)*(AC$7-AC$6))))</f>
        <v>7.92256088691981</v>
      </c>
      <c r="AD20" s="2" t="n">
        <f aca="false">Entrées!$C$8*(1+E20)</f>
        <v>7444.67497941625</v>
      </c>
      <c r="AE20" s="2" t="n">
        <f aca="false">I20*Hypothèses!$J$24/12/Hypothèses!$J$19</f>
        <v>96.9638227041458</v>
      </c>
      <c r="AF20" s="2" t="n">
        <f aca="false">Entrées!$C$36*S20*1000</f>
        <v>60.2025160431234</v>
      </c>
      <c r="AG20" s="2" t="n">
        <f aca="false">-AF20/W20</f>
        <v>-6.43423393871472</v>
      </c>
      <c r="AH20" s="2" t="n">
        <f aca="false">AD20+AE20+AG20</f>
        <v>7535.20456818168</v>
      </c>
      <c r="AI20" s="2" t="n">
        <f aca="false">Entrées!$C$16-M20+Hypothèses!$J$22*1000-AF20+Hypothèses!$J$23</f>
        <v>22941.3059430564</v>
      </c>
      <c r="AJ20" s="2" t="n">
        <f aca="false">AI20/AH20</f>
        <v>3.04454985070065</v>
      </c>
      <c r="AK20" s="2" t="n">
        <f aca="false">AI20/(AH20+I20*(12-Hypothèses!$J$24)/12/Hypothèses!$J$19)</f>
        <v>3.01682072674734</v>
      </c>
      <c r="AL20" s="2" t="n">
        <f aca="false">(AD20+AG20+I20/Hypothèses!$J$19)*(1+G20)</f>
        <v>7929.21280357899</v>
      </c>
      <c r="AM20" s="2" t="n">
        <f aca="false">Entrées!$C$54*K20/Hypothèses!$J$19</f>
        <v>19.1383188051293</v>
      </c>
      <c r="AN20" s="2" t="n">
        <f aca="false">Y20*1000/AC20</f>
        <v>50.2581378343786</v>
      </c>
      <c r="AO20" s="2" t="n">
        <f aca="false">(Entrées!$C$36*(1-S20)+MAX(0,Entrées!$C$30-Entrées!$C$35-Entrées!$C$36)*U20)*1000</f>
        <v>657.001062793341</v>
      </c>
      <c r="AP20" s="2" t="n">
        <f aca="false">-AO20/W20</f>
        <v>-70.2179711719775</v>
      </c>
      <c r="AQ20" s="2" t="n">
        <f aca="false">AL20+AM20+AN20+AP20</f>
        <v>7928.39128904652</v>
      </c>
      <c r="AR20" s="2" t="n">
        <f aca="false">O20*AQ20-Hypothèses!$J$25/Hypothèses!$J$19</f>
        <v>1144.79577371778</v>
      </c>
      <c r="AS20" s="2" t="n">
        <f aca="false">Entrées!$C$79*(1+Q20)+Hypothèses!$J$20</f>
        <v>1509.01181248515</v>
      </c>
      <c r="AT20" s="2" t="n">
        <f aca="false">AI20-AR20+AS20+Y20*1000-AO20+Hypothèses!$J$23</f>
        <v>23046.6940760865</v>
      </c>
      <c r="AU20" s="2" t="n">
        <f aca="false">AT20/AQ20</f>
        <v>2.90685628847893</v>
      </c>
      <c r="AV20" s="2" t="n">
        <f aca="false">Hypothèses!$J$26*AQ20-AT20</f>
        <v>738.479791053087</v>
      </c>
      <c r="AW20" s="2" t="n">
        <f aca="false">IF(AC20&gt;Hypothèses!$J$26,MAX(0,AV20)/(1-Hypothèses!$J$26/AC20),0)</f>
        <v>1188.5380887668</v>
      </c>
      <c r="AX20" s="2" t="n">
        <f aca="false">AQ20-Entrées!$C$17*1000</f>
        <v>-71.6087109534838</v>
      </c>
      <c r="AY20" s="2" t="n">
        <f aca="false">AI20+(Entrées!$C$244-Entrées!$C$13)</f>
        <v>28688.3059430564</v>
      </c>
      <c r="AZ20" s="2" t="n">
        <f aca="false">AA20*AH20</f>
        <v>5369.45968483076</v>
      </c>
      <c r="BA20" s="2" t="n">
        <f aca="false">AZ20/AY20</f>
        <v>0.187165449765094</v>
      </c>
      <c r="BB20" s="2" t="n">
        <f aca="false">AZ20/(Entrées!$C$151/100)-AY20</f>
        <v>1142.02563933674</v>
      </c>
      <c r="BC20" s="2" t="n">
        <f aca="false">AT20+(Entrées!$C$244-Entrées!$C$13)</f>
        <v>28793.6940760865</v>
      </c>
      <c r="BD20" s="2" t="n">
        <f aca="false">AA20*AQ20</f>
        <v>5649.63791054335</v>
      </c>
      <c r="BE20" s="2" t="n">
        <f aca="false">BD20/BC20</f>
        <v>0.196210944508001</v>
      </c>
      <c r="BF20" s="2" t="n">
        <f aca="false">BD20/(Entrées!$C$151/100)-BC20</f>
        <v>2593.18320470991</v>
      </c>
      <c r="BG20" s="2" t="n">
        <f aca="false">MIN(AV20,BF20)</f>
        <v>738.479791053087</v>
      </c>
      <c r="BH20" s="2" t="n">
        <f aca="false">IF(AC20&gt;Hypothèses!$J$26,MAX(0,BG20)/(1-Hypothèses!$J$26/AC20),0)</f>
        <v>1188.5380887668</v>
      </c>
    </row>
    <row r="21" customFormat="false" ht="15" hidden="false" customHeight="false" outlineLevel="0" collapsed="false">
      <c r="A21" s="2" t="n">
        <v>6</v>
      </c>
      <c r="B21" s="2" t="n">
        <v>0.735159418</v>
      </c>
      <c r="C21" s="2"/>
      <c r="D21" s="2" t="n">
        <v>0.597243685</v>
      </c>
      <c r="E21" s="2" t="n">
        <f aca="false">IF(E$7=E$5,E$6,IF(NORMSDIST(E$9*SQRT($C$11)*NORMSINV($B21)+SQRT(1-E$9^2*$C$11)*NORMSINV(D21))&lt;E$8,E$5+SQRT(NORMSDIST(E$9*SQRT($C$11)*NORMSINV($B21)+SQRT(1-E$9^2*$C$11)*NORMSINV(D21))*(E$7-E$5)*(E$6-E$5)),E$7-SQRT((1-NORMSDIST(E$9*SQRT($C$11)*NORMSINV($B21)+SQRT(1-E$9^2*$C$11)*NORMSINV(D21)))*(E$7-E$5)*(E$7-E$6))))</f>
        <v>0.0562704273059086</v>
      </c>
      <c r="F21" s="2" t="n">
        <v>0.60870635</v>
      </c>
      <c r="G21" s="2" t="n">
        <f aca="false">IF(G$7=G$5,G$6,IF(NORMSDIST(G$9*SQRT($C$11)*NORMSINV($B21)+SQRT(1-G$9^2*$C$11)*NORMSINV(F21))&lt;G$8,G$5+SQRT(NORMSDIST(G$9*SQRT($C$11)*NORMSINV($B21)+SQRT(1-G$9^2*$C$11)*NORMSINV(F21))*(G$7-G$5)*(G$6-G$5)),G$7-SQRT((1-NORMSDIST(G$9*SQRT($C$11)*NORMSINV($B21)+SQRT(1-G$9^2*$C$11)*NORMSINV(F21)))*(G$7-G$5)*(G$7-G$6))))</f>
        <v>0.0589666989107129</v>
      </c>
      <c r="H21" s="2" t="n">
        <v>0.207927665</v>
      </c>
      <c r="I21" s="2" t="n">
        <f aca="false">IF(I$7=I$5,I$6,IF(NORMSDIST(I$9*SQRT($C$11)*NORMSINV($B21)+SQRT(1-I$9^2*$C$11)*NORMSINV(H21))&lt;I$8,I$5+SQRT(NORMSDIST(I$9*SQRT($C$11)*NORMSINV($B21)+SQRT(1-I$9^2*$C$11)*NORMSINV(H21))*(I$7-I$5)*(I$6-I$5)),I$7-SQRT((1-NORMSDIST(I$9*SQRT($C$11)*NORMSINV($B21)+SQRT(1-I$9^2*$C$11)*NORMSINV(H21)))*(I$7-I$5)*(I$7-I$6))))</f>
        <v>198.066107137977</v>
      </c>
      <c r="J21" s="2" t="n">
        <v>0.473604954</v>
      </c>
      <c r="K21" s="2" t="n">
        <f aca="false">IF(K$7=K$5,K$6,IF(NORMSDIST(K$9*SQRT($C$11)*NORMSINV($B21)+SQRT(1-K$9^2*$C$11)*NORMSINV(J21))&lt;K$8,K$5+SQRT(NORMSDIST(K$9*SQRT($C$11)*NORMSINV($B21)+SQRT(1-K$9^2*$C$11)*NORMSINV(J21))*(K$7-K$5)*(K$6-K$5)),K$7-SQRT((1-NORMSDIST(K$9*SQRT($C$11)*NORMSINV($B21)+SQRT(1-K$9^2*$C$11)*NORMSINV(J21)))*(K$7-K$5)*(K$7-K$6))))</f>
        <v>0.286518859185969</v>
      </c>
      <c r="L21" s="2" t="n">
        <v>0.648380949</v>
      </c>
      <c r="M21" s="2" t="n">
        <f aca="false">IF(M$7=M$5,M$6,IF(NORMSDIST(M$9*SQRT($C$11)*NORMSINV($B21)+SQRT(1-M$9^2*$C$11)*NORMSINV(L21))&lt;M$8,M$5+SQRT(NORMSDIST(M$9*SQRT($C$11)*NORMSINV($B21)+SQRT(1-M$9^2*$C$11)*NORMSINV(L21))*(M$7-M$5)*(M$6-M$5)),M$7-SQRT((1-NORMSDIST(M$9*SQRT($C$11)*NORMSINV($B21)+SQRT(1-M$9^2*$C$11)*NORMSINV(L21)))*(M$7-M$5)*(M$7-M$6))))</f>
        <v>1652.44570867873</v>
      </c>
      <c r="N21" s="2" t="n">
        <v>0.025498788</v>
      </c>
      <c r="O21" s="2" t="n">
        <f aca="false">IF(O$7=O$5,O$6,IF(NORMSDIST(O$9*SQRT($C$11)*NORMSINV($B21)+SQRT(1-O$9^2*$C$11)*NORMSINV(N21))&lt;O$8,O$5+SQRT(NORMSDIST(O$9*SQRT($C$11)*NORMSINV($B21)+SQRT(1-O$9^2*$C$11)*NORMSINV(N21))*(O$7-O$5)*(O$6-O$5)),O$7-SQRT((1-NORMSDIST(O$9*SQRT($C$11)*NORMSINV($B21)+SQRT(1-O$9^2*$C$11)*NORMSINV(N21)))*(O$7-O$5)*(O$7-O$6))))</f>
        <v>0.153793953340782</v>
      </c>
      <c r="P21" s="2" t="n">
        <v>0.488671429</v>
      </c>
      <c r="Q21" s="2" t="n">
        <f aca="false">IF(Q$7=Q$5,Q$6,IF(NORMSDIST(Q$9*SQRT($C$11)*NORMSINV($B21)+SQRT(1-Q$9^2*$C$11)*NORMSINV(P21))&lt;Q$8,Q$5+SQRT(NORMSDIST(Q$9*SQRT($C$11)*NORMSINV($B21)+SQRT(1-Q$9^2*$C$11)*NORMSINV(P21))*(Q$7-Q$5)*(Q$6-Q$5)),Q$7-SQRT((1-NORMSDIST(Q$9*SQRT($C$11)*NORMSINV($B21)+SQRT(1-Q$9^2*$C$11)*NORMSINV(P21)))*(Q$7-Q$5)*(Q$7-Q$6))))</f>
        <v>0.0795442609337942</v>
      </c>
      <c r="R21" s="2" t="n">
        <v>0.06388786</v>
      </c>
      <c r="S21" s="2" t="n">
        <f aca="false">IF(S$7=S$5,S$6,IF(NORMSDIST(S$9*SQRT($C$11)*NORMSINV($B21)+SQRT(1-S$9^2*$C$11)*NORMSINV(R21))&lt;S$8,S$5+SQRT(NORMSDIST(S$9*SQRT($C$11)*NORMSINV($B21)+SQRT(1-S$9^2*$C$11)*NORMSINV(R21))*(S$7-S$5)*(S$6-S$5)),S$7-SQRT((1-NORMSDIST(S$9*SQRT($C$11)*NORMSINV($B21)+SQRT(1-S$9^2*$C$11)*NORMSINV(R21)))*(S$7-S$5)*(S$7-S$6))))</f>
        <v>0.329438165337164</v>
      </c>
      <c r="T21" s="2" t="n">
        <v>0.789580676</v>
      </c>
      <c r="U21" s="2" t="n">
        <f aca="false">IF(U$7=U$5,U$6,IF(NORMSDIST(U$9*SQRT($C$11)*NORMSINV($B21)+SQRT(1-U$9^2*$C$11)*NORMSINV(T21))&lt;U$8,U$5+SQRT(NORMSDIST(U$9*SQRT($C$11)*NORMSINV($B21)+SQRT(1-U$9^2*$C$11)*NORMSINV(T21))*(U$7-U$5)*(U$6-U$5)),U$7-SQRT((1-NORMSDIST(U$9*SQRT($C$11)*NORMSINV($B21)+SQRT(1-U$9^2*$C$11)*NORMSINV(T21)))*(U$7-U$5)*(U$7-U$6))))</f>
        <v>0.722851292354271</v>
      </c>
      <c r="V21" s="2" t="n">
        <v>0.040294503</v>
      </c>
      <c r="W21" s="2" t="n">
        <f aca="false">IF(W$7=W$5,W$6,IF(NORMSDIST(W$9*SQRT($C$11)*NORMSINV($B21)+SQRT(1-W$9^2*$C$11)*NORMSINV(V21))&lt;W$8,W$5+SQRT(NORMSDIST(W$9*SQRT($C$11)*NORMSINV($B21)+SQRT(1-W$9^2*$C$11)*NORMSINV(V21))*(W$7-W$5)*(W$6-W$5)),W$7-SQRT((1-NORMSDIST(W$9*SQRT($C$11)*NORMSINV($B21)+SQRT(1-W$9^2*$C$11)*NORMSINV(V21)))*(W$7-W$5)*(W$7-W$6))))</f>
        <v>9.16464806339145</v>
      </c>
      <c r="X21" s="2" t="n">
        <v>0.905195756</v>
      </c>
      <c r="Y21" s="2" t="n">
        <f aca="false">IF(Y$7=Y$5,Y$6,IF(NORMSDIST(Y$9*SQRT($C$11)*NORMSINV($B21)+SQRT(1-Y$9^2*$C$11)*NORMSINV(X21))&lt;Y$8,Y$5+SQRT(NORMSDIST(Y$9*SQRT($C$11)*NORMSINV($B21)+SQRT(1-Y$9^2*$C$11)*NORMSINV(X21))*(Y$7-Y$5)*(Y$6-Y$5)),Y$7-SQRT((1-NORMSDIST(Y$9*SQRT($C$11)*NORMSINV($B21)+SQRT(1-Y$9^2*$C$11)*NORMSINV(X21)))*(Y$7-Y$5)*(Y$7-Y$6))))</f>
        <v>0.782279716149368</v>
      </c>
      <c r="Z21" s="2" t="n">
        <v>0.680264667</v>
      </c>
      <c r="AA21" s="2" t="n">
        <f aca="false">IF(AA$7=AA$5,AA$6,IF(NORMSDIST(AA$9*SQRT($C$11)*NORMSINV($B21)+SQRT(1-AA$9^2*$C$11)*NORMSINV(Z21))&lt;AA$8,AA$5+SQRT(NORMSDIST(AA$9*SQRT($C$11)*NORMSINV($B21)+SQRT(1-AA$9^2*$C$11)*NORMSINV(Z21))*(AA$7-AA$5)*(AA$6-AA$5)),AA$7-SQRT((1-NORMSDIST(AA$9*SQRT($C$11)*NORMSINV($B21)+SQRT(1-AA$9^2*$C$11)*NORMSINV(Z21)))*(AA$7-AA$5)*(AA$7-AA$6))))</f>
        <v>0.736920047060156</v>
      </c>
      <c r="AB21" s="2" t="n">
        <v>0.309739431</v>
      </c>
      <c r="AC21" s="2" t="n">
        <f aca="false">IF(AC$7=AC$5,AC$6,IF(NORMSDIST(AC$9*SQRT($C$11)*NORMSINV($B21)+SQRT(1-AC$9^2*$C$11)*NORMSINV(AB21))&lt;AC$8,AC$5+SQRT(NORMSDIST(AC$9*SQRT($C$11)*NORMSINV($B21)+SQRT(1-AC$9^2*$C$11)*NORMSINV(AB21))*(AC$7-AC$5)*(AC$6-AC$5)),AC$7-SQRT((1-NORMSDIST(AC$9*SQRT($C$11)*NORMSINV($B21)+SQRT(1-AC$9^2*$C$11)*NORMSINV(AB21)))*(AC$7-AC$5)*(AC$7-AC$6))))</f>
        <v>9.48907823875357</v>
      </c>
      <c r="AD21" s="2" t="n">
        <f aca="false">Entrées!$C$8*(1+E21)</f>
        <v>7446.70651250666</v>
      </c>
      <c r="AE21" s="2" t="n">
        <f aca="false">I21*Hypothèses!$J$24/12/Hypothèses!$J$19</f>
        <v>98.2599618159129</v>
      </c>
      <c r="AF21" s="2" t="n">
        <f aca="false">Entrées!$C$36*S21*1000</f>
        <v>164.719082668582</v>
      </c>
      <c r="AG21" s="2" t="n">
        <f aca="false">-AF21/W21</f>
        <v>-17.9733123988208</v>
      </c>
      <c r="AH21" s="2" t="n">
        <f aca="false">AD21+AE21+AG21</f>
        <v>7526.99316192375</v>
      </c>
      <c r="AI21" s="2" t="n">
        <f aca="false">Entrées!$C$16-M21+Hypothèses!$J$22*1000-AF21+Hypothèses!$J$23</f>
        <v>22730.8352086527</v>
      </c>
      <c r="AJ21" s="2" t="n">
        <f aca="false">AI21/AH21</f>
        <v>3.01990910841258</v>
      </c>
      <c r="AK21" s="2" t="n">
        <f aca="false">AI21/(AH21+I21*(12-Hypothèses!$J$24)/12/Hypothèses!$J$19)</f>
        <v>2.99201001590727</v>
      </c>
      <c r="AL21" s="2" t="n">
        <f aca="false">(AD21+AG21+I21/Hypothèses!$J$19)*(1+G21)</f>
        <v>8045.15940669111</v>
      </c>
      <c r="AM21" s="2" t="n">
        <f aca="false">Entrées!$C$54*K21/Hypothèses!$J$19</f>
        <v>29.2404525948772</v>
      </c>
      <c r="AN21" s="2" t="n">
        <f aca="false">Y21*1000/AC21</f>
        <v>82.4400111861785</v>
      </c>
      <c r="AO21" s="2" t="n">
        <f aca="false">(Entrées!$C$36*(1-S21)+MAX(0,Entrées!$C$30-Entrées!$C$35-Entrées!$C$36)*U21)*1000</f>
        <v>1347.2727266274</v>
      </c>
      <c r="AP21" s="2" t="n">
        <f aca="false">-AO21/W21</f>
        <v>-147.007579266369</v>
      </c>
      <c r="AQ21" s="2" t="n">
        <f aca="false">AL21+AM21+AN21+AP21</f>
        <v>8009.83229120579</v>
      </c>
      <c r="AR21" s="2" t="n">
        <f aca="false">O21*AQ21-Hypothèses!$J$25/Hypothèses!$J$19</f>
        <v>1212.72861139957</v>
      </c>
      <c r="AS21" s="2" t="n">
        <f aca="false">Entrées!$C$79*(1+Q21)+Hypothèses!$J$20</f>
        <v>1481.41914276624</v>
      </c>
      <c r="AT21" s="2" t="n">
        <f aca="false">AI21-AR21+AS21+Y21*1000-AO21+Hypothèses!$J$23</f>
        <v>22434.5327295413</v>
      </c>
      <c r="AU21" s="2" t="n">
        <f aca="false">AT21/AQ21</f>
        <v>2.80087421482879</v>
      </c>
      <c r="AV21" s="2" t="n">
        <f aca="false">Hypothèses!$J$26*AQ21-AT21</f>
        <v>1594.96414407605</v>
      </c>
      <c r="AW21" s="2" t="n">
        <f aca="false">IF(AC21&gt;Hypothèses!$J$26,MAX(0,AV21)/(1-Hypothèses!$J$26/AC21),0)</f>
        <v>2332.34043330803</v>
      </c>
      <c r="AX21" s="2" t="n">
        <f aca="false">AQ21-Entrées!$C$17*1000</f>
        <v>9.8322912057929</v>
      </c>
      <c r="AY21" s="2" t="n">
        <f aca="false">AI21+(Entrées!$C$244-Entrées!$C$13)</f>
        <v>28477.8352086527</v>
      </c>
      <c r="AZ21" s="2" t="n">
        <f aca="false">AA21*AH21</f>
        <v>5546.79215510632</v>
      </c>
      <c r="BA21" s="2" t="n">
        <f aca="false">AZ21/AY21</f>
        <v>0.194775765589829</v>
      </c>
      <c r="BB21" s="2" t="n">
        <f aca="false">AZ21/(Entrées!$C$151/100)-AY21</f>
        <v>2337.67676416018</v>
      </c>
      <c r="BC21" s="2" t="n">
        <f aca="false">AT21+(Entrées!$C$244-Entrées!$C$13)</f>
        <v>28181.5327295413</v>
      </c>
      <c r="BD21" s="2" t="n">
        <f aca="false">AA21*AQ21</f>
        <v>5902.60598897933</v>
      </c>
      <c r="BE21" s="2" t="n">
        <f aca="false">BD21/BC21</f>
        <v>0.209449430789544</v>
      </c>
      <c r="BF21" s="2" t="n">
        <f aca="false">BD21/(Entrées!$C$151/100)-BC21</f>
        <v>4610.72276478827</v>
      </c>
      <c r="BG21" s="2" t="n">
        <f aca="false">MIN(AV21,BF21)</f>
        <v>1594.96414407605</v>
      </c>
      <c r="BH21" s="2" t="n">
        <f aca="false">IF(AC21&gt;Hypothèses!$J$26,MAX(0,BG21)/(1-Hypothèses!$J$26/AC21),0)</f>
        <v>2332.34043330803</v>
      </c>
    </row>
    <row r="22" customFormat="false" ht="15" hidden="false" customHeight="false" outlineLevel="0" collapsed="false">
      <c r="A22" s="2" t="n">
        <v>7</v>
      </c>
      <c r="B22" s="2" t="n">
        <v>0.957315882</v>
      </c>
      <c r="C22" s="2"/>
      <c r="D22" s="2" t="n">
        <v>0.997765201</v>
      </c>
      <c r="E22" s="2" t="n">
        <f aca="false">IF(E$7=E$5,E$6,IF(NORMSDIST(E$9*SQRT($C$11)*NORMSINV($B22)+SQRT(1-E$9^2*$C$11)*NORMSINV(D22))&lt;E$8,E$5+SQRT(NORMSDIST(E$9*SQRT($C$11)*NORMSINV($B22)+SQRT(1-E$9^2*$C$11)*NORMSINV(D22))*(E$7-E$5)*(E$6-E$5)),E$7-SQRT((1-NORMSDIST(E$9*SQRT($C$11)*NORMSINV($B22)+SQRT(1-E$9^2*$C$11)*NORMSINV(D22)))*(E$7-E$5)*(E$7-E$6))))</f>
        <v>0.0598417937737823</v>
      </c>
      <c r="F22" s="2" t="n">
        <v>0.915603944</v>
      </c>
      <c r="G22" s="2" t="n">
        <f aca="false">IF(G$7=G$5,G$6,IF(NORMSDIST(G$9*SQRT($C$11)*NORMSINV($B22)+SQRT(1-G$9^2*$C$11)*NORMSINV(F22))&lt;G$8,G$5+SQRT(NORMSDIST(G$9*SQRT($C$11)*NORMSINV($B22)+SQRT(1-G$9^2*$C$11)*NORMSINV(F22))*(G$7-G$5)*(G$6-G$5)),G$7-SQRT((1-NORMSDIST(G$9*SQRT($C$11)*NORMSINV($B22)+SQRT(1-G$9^2*$C$11)*NORMSINV(F22)))*(G$7-G$5)*(G$7-G$6))))</f>
        <v>0.0673486529609838</v>
      </c>
      <c r="H22" s="2" t="n">
        <v>0.478014713</v>
      </c>
      <c r="I22" s="2" t="n">
        <f aca="false">IF(I$7=I$5,I$6,IF(NORMSDIST(I$9*SQRT($C$11)*NORMSINV($B22)+SQRT(1-I$9^2*$C$11)*NORMSINV(H22))&lt;I$8,I$5+SQRT(NORMSDIST(I$9*SQRT($C$11)*NORMSINV($B22)+SQRT(1-I$9^2*$C$11)*NORMSINV(H22))*(I$7-I$5)*(I$6-I$5)),I$7-SQRT((1-NORMSDIST(I$9*SQRT($C$11)*NORMSINV($B22)+SQRT(1-I$9^2*$C$11)*NORMSINV(H22)))*(I$7-I$5)*(I$7-I$6))))</f>
        <v>209.121273710881</v>
      </c>
      <c r="J22" s="2" t="n">
        <v>0.930875577</v>
      </c>
      <c r="K22" s="2" t="n">
        <f aca="false">IF(K$7=K$5,K$6,IF(NORMSDIST(K$9*SQRT($C$11)*NORMSINV($B22)+SQRT(1-K$9^2*$C$11)*NORMSINV(J22))&lt;K$8,K$5+SQRT(NORMSDIST(K$9*SQRT($C$11)*NORMSINV($B22)+SQRT(1-K$9^2*$C$11)*NORMSINV(J22))*(K$7-K$5)*(K$6-K$5)),K$7-SQRT((1-NORMSDIST(K$9*SQRT($C$11)*NORMSINV($B22)+SQRT(1-K$9^2*$C$11)*NORMSINV(J22)))*(K$7-K$5)*(K$7-K$6))))</f>
        <v>0.46020805429389</v>
      </c>
      <c r="L22" s="2" t="n">
        <v>0.403372097</v>
      </c>
      <c r="M22" s="2" t="n">
        <f aca="false">IF(M$7=M$5,M$6,IF(NORMSDIST(M$9*SQRT($C$11)*NORMSINV($B22)+SQRT(1-M$9^2*$C$11)*NORMSINV(L22))&lt;M$8,M$5+SQRT(NORMSDIST(M$9*SQRT($C$11)*NORMSINV($B22)+SQRT(1-M$9^2*$C$11)*NORMSINV(L22))*(M$7-M$5)*(M$6-M$5)),M$7-SQRT((1-NORMSDIST(M$9*SQRT($C$11)*NORMSINV($B22)+SQRT(1-M$9^2*$C$11)*NORMSINV(L22)))*(M$7-M$5)*(M$7-M$6))))</f>
        <v>1670.72476969901</v>
      </c>
      <c r="N22" s="2" t="n">
        <v>0.971584242</v>
      </c>
      <c r="O22" s="2" t="n">
        <f aca="false">IF(O$7=O$5,O$6,IF(NORMSDIST(O$9*SQRT($C$11)*NORMSINV($B22)+SQRT(1-O$9^2*$C$11)*NORMSINV(N22))&lt;O$8,O$5+SQRT(NORMSDIST(O$9*SQRT($C$11)*NORMSINV($B22)+SQRT(1-O$9^2*$C$11)*NORMSINV(N22))*(O$7-O$5)*(O$6-O$5)),O$7-SQRT((1-NORMSDIST(O$9*SQRT($C$11)*NORMSINV($B22)+SQRT(1-O$9^2*$C$11)*NORMSINV(N22)))*(O$7-O$5)*(O$7-O$6))))</f>
        <v>0.18765025948702</v>
      </c>
      <c r="P22" s="2" t="n">
        <v>0.646123883</v>
      </c>
      <c r="Q22" s="2" t="n">
        <f aca="false">IF(Q$7=Q$5,Q$6,IF(NORMSDIST(Q$9*SQRT($C$11)*NORMSINV($B22)+SQRT(1-Q$9^2*$C$11)*NORMSINV(P22))&lt;Q$8,Q$5+SQRT(NORMSDIST(Q$9*SQRT($C$11)*NORMSINV($B22)+SQRT(1-Q$9^2*$C$11)*NORMSINV(P22))*(Q$7-Q$5)*(Q$6-Q$5)),Q$7-SQRT((1-NORMSDIST(Q$9*SQRT($C$11)*NORMSINV($B22)+SQRT(1-Q$9^2*$C$11)*NORMSINV(P22)))*(Q$7-Q$5)*(Q$7-Q$6))))</f>
        <v>0.0863487953499433</v>
      </c>
      <c r="R22" s="2" t="n">
        <v>0.312574661</v>
      </c>
      <c r="S22" s="2" t="n">
        <f aca="false">IF(S$7=S$5,S$6,IF(NORMSDIST(S$9*SQRT($C$11)*NORMSINV($B22)+SQRT(1-S$9^2*$C$11)*NORMSINV(R22))&lt;S$8,S$5+SQRT(NORMSDIST(S$9*SQRT($C$11)*NORMSINV($B22)+SQRT(1-S$9^2*$C$11)*NORMSINV(R22))*(S$7-S$5)*(S$6-S$5)),S$7-SQRT((1-NORMSDIST(S$9*SQRT($C$11)*NORMSINV($B22)+SQRT(1-S$9^2*$C$11)*NORMSINV(R22)))*(S$7-S$5)*(S$7-S$6))))</f>
        <v>0.654330845982915</v>
      </c>
      <c r="T22" s="2" t="n">
        <v>0.747017251</v>
      </c>
      <c r="U22" s="2" t="n">
        <f aca="false">IF(U$7=U$5,U$6,IF(NORMSDIST(U$9*SQRT($C$11)*NORMSINV($B22)+SQRT(1-U$9^2*$C$11)*NORMSINV(T22))&lt;U$8,U$5+SQRT(NORMSDIST(U$9*SQRT($C$11)*NORMSINV($B22)+SQRT(1-U$9^2*$C$11)*NORMSINV(T22))*(U$7-U$5)*(U$6-U$5)),U$7-SQRT((1-NORMSDIST(U$9*SQRT($C$11)*NORMSINV($B22)+SQRT(1-U$9^2*$C$11)*NORMSINV(T22)))*(U$7-U$5)*(U$7-U$6))))</f>
        <v>0.835016673616767</v>
      </c>
      <c r="V22" s="2" t="n">
        <v>0.848047674</v>
      </c>
      <c r="W22" s="2" t="n">
        <f aca="false">IF(W$7=W$5,W$6,IF(NORMSDIST(W$9*SQRT($C$11)*NORMSINV($B22)+SQRT(1-W$9^2*$C$11)*NORMSINV(V22))&lt;W$8,W$5+SQRT(NORMSDIST(W$9*SQRT($C$11)*NORMSINV($B22)+SQRT(1-W$9^2*$C$11)*NORMSINV(V22))*(W$7-W$5)*(W$6-W$5)),W$7-SQRT((1-NORMSDIST(W$9*SQRT($C$11)*NORMSINV($B22)+SQRT(1-W$9^2*$C$11)*NORMSINV(V22)))*(W$7-W$5)*(W$7-W$6))))</f>
        <v>11.5121066596064</v>
      </c>
      <c r="X22" s="2" t="n">
        <v>0.243821622</v>
      </c>
      <c r="Y22" s="2" t="n">
        <f aca="false">IF(Y$7=Y$5,Y$6,IF(NORMSDIST(Y$9*SQRT($C$11)*NORMSINV($B22)+SQRT(1-Y$9^2*$C$11)*NORMSINV(X22))&lt;Y$8,Y$5+SQRT(NORMSDIST(Y$9*SQRT($C$11)*NORMSINV($B22)+SQRT(1-Y$9^2*$C$11)*NORMSINV(X22))*(Y$7-Y$5)*(Y$6-Y$5)),Y$7-SQRT((1-NORMSDIST(Y$9*SQRT($C$11)*NORMSINV($B22)+SQRT(1-Y$9^2*$C$11)*NORMSINV(X22)))*(Y$7-Y$5)*(Y$7-Y$6))))</f>
        <v>0.349157286906632</v>
      </c>
      <c r="Z22" s="2" t="n">
        <v>0.841961439</v>
      </c>
      <c r="AA22" s="2" t="n">
        <f aca="false">IF(AA$7=AA$5,AA$6,IF(NORMSDIST(AA$9*SQRT($C$11)*NORMSINV($B22)+SQRT(1-AA$9^2*$C$11)*NORMSINV(Z22))&lt;AA$8,AA$5+SQRT(NORMSDIST(AA$9*SQRT($C$11)*NORMSINV($B22)+SQRT(1-AA$9^2*$C$11)*NORMSINV(Z22))*(AA$7-AA$5)*(AA$6-AA$5)),AA$7-SQRT((1-NORMSDIST(AA$9*SQRT($C$11)*NORMSINV($B22)+SQRT(1-AA$9^2*$C$11)*NORMSINV(Z22)))*(AA$7-AA$5)*(AA$7-AA$6))))</f>
        <v>0.747547241756526</v>
      </c>
      <c r="AB22" s="2" t="n">
        <v>0.97608888</v>
      </c>
      <c r="AC22" s="2" t="n">
        <f aca="false">IF(AC$7=AC$5,AC$6,IF(NORMSDIST(AC$9*SQRT($C$11)*NORMSINV($B22)+SQRT(1-AC$9^2*$C$11)*NORMSINV(AB22))&lt;AC$8,AC$5+SQRT(NORMSDIST(AC$9*SQRT($C$11)*NORMSINV($B22)+SQRT(1-AC$9^2*$C$11)*NORMSINV(AB22))*(AC$7-AC$5)*(AC$6-AC$5)),AC$7-SQRT((1-NORMSDIST(AC$9*SQRT($C$11)*NORMSINV($B22)+SQRT(1-AC$9^2*$C$11)*NORMSINV(AB22)))*(AC$7-AC$5)*(AC$7-AC$6))))</f>
        <v>10.8623735225443</v>
      </c>
      <c r="AD22" s="2" t="n">
        <f aca="false">Entrées!$C$8*(1+E22)</f>
        <v>7471.88464610517</v>
      </c>
      <c r="AE22" s="2" t="n">
        <f aca="false">I22*Hypothèses!$J$24/12/Hypothèses!$J$19</f>
        <v>103.744394569293</v>
      </c>
      <c r="AF22" s="2" t="n">
        <f aca="false">Entrées!$C$36*S22*1000</f>
        <v>327.165422991457</v>
      </c>
      <c r="AG22" s="2" t="n">
        <f aca="false">-AF22/W22</f>
        <v>-28.4192487669883</v>
      </c>
      <c r="AH22" s="2" t="n">
        <f aca="false">AD22+AE22+AG22</f>
        <v>7547.20979190747</v>
      </c>
      <c r="AI22" s="2" t="n">
        <f aca="false">Entrées!$C$16-M22+Hypothèses!$J$22*1000-AF22+Hypothèses!$J$23</f>
        <v>22550.1098073095</v>
      </c>
      <c r="AJ22" s="2" t="n">
        <f aca="false">AI22/AH22</f>
        <v>2.98787372142338</v>
      </c>
      <c r="AK22" s="2" t="n">
        <f aca="false">AI22/(AH22+I22*(12-Hypothèses!$J$24)/12/Hypothèses!$J$19)</f>
        <v>2.95882218874975</v>
      </c>
      <c r="AL22" s="2" t="n">
        <f aca="false">(AD22+AG22+I22/Hypothèses!$J$19)*(1+G22)</f>
        <v>8134.59809057481</v>
      </c>
      <c r="AM22" s="2" t="n">
        <f aca="false">Entrées!$C$54*K22/Hypothèses!$J$19</f>
        <v>46.966164229444</v>
      </c>
      <c r="AN22" s="2" t="n">
        <f aca="false">Y22*1000/AC22</f>
        <v>32.1437378471632</v>
      </c>
      <c r="AO22" s="2" t="n">
        <f aca="false">(Entrées!$C$36*(1-S22)+MAX(0,Entrées!$C$30-Entrées!$C$35-Entrées!$C$36)*U22)*1000</f>
        <v>1341.85792007202</v>
      </c>
      <c r="AP22" s="2" t="n">
        <f aca="false">-AO22/W22</f>
        <v>-116.560587887907</v>
      </c>
      <c r="AQ22" s="2" t="n">
        <f aca="false">AL22+AM22+AN22+AP22</f>
        <v>8097.14740476351</v>
      </c>
      <c r="AR22" s="2" t="n">
        <f aca="false">O22*AQ22-Hypothèses!$J$25/Hypothèses!$J$19</f>
        <v>1500.2966493469</v>
      </c>
      <c r="AS22" s="2" t="n">
        <f aca="false">Entrées!$C$79*(1+Q22)+Hypothèses!$J$20</f>
        <v>1488.89732608959</v>
      </c>
      <c r="AT22" s="2" t="n">
        <f aca="false">AI22-AR22+AS22+Y22*1000-AO22+Hypothèses!$J$23</f>
        <v>21546.0098508868</v>
      </c>
      <c r="AU22" s="2" t="n">
        <f aca="false">AT22/AQ22</f>
        <v>2.6609383247996</v>
      </c>
      <c r="AV22" s="2" t="n">
        <f aca="false">Hypothèses!$J$26*AQ22-AT22</f>
        <v>2745.43236340368</v>
      </c>
      <c r="AW22" s="2" t="n">
        <f aca="false">IF(AC22&gt;Hypothèses!$J$26,MAX(0,AV22)/(1-Hypothèses!$J$26/AC22),0)</f>
        <v>3792.99097488335</v>
      </c>
      <c r="AX22" s="2" t="n">
        <f aca="false">AQ22-Entrées!$C$17*1000</f>
        <v>97.1474047635074</v>
      </c>
      <c r="AY22" s="2" t="n">
        <f aca="false">AI22+(Entrées!$C$244-Entrées!$C$13)</f>
        <v>28297.1098073095</v>
      </c>
      <c r="AZ22" s="2" t="n">
        <f aca="false">AA22*AH22</f>
        <v>5641.89586289828</v>
      </c>
      <c r="BA22" s="2" t="n">
        <f aca="false">AZ22/AY22</f>
        <v>0.199380639977617</v>
      </c>
      <c r="BB22" s="2" t="n">
        <f aca="false">AZ22/(Entrées!$C$151/100)-AY22</f>
        <v>3046.75609768089</v>
      </c>
      <c r="BC22" s="2" t="n">
        <f aca="false">AT22+(Entrées!$C$244-Entrées!$C$13)</f>
        <v>27293.0098508868</v>
      </c>
      <c r="BD22" s="2" t="n">
        <f aca="false">AA22*AQ22</f>
        <v>6053.00020852697</v>
      </c>
      <c r="BE22" s="2" t="n">
        <f aca="false">BD22/BC22</f>
        <v>0.221778405591653</v>
      </c>
      <c r="BF22" s="2" t="n">
        <f aca="false">BD22/(Entrées!$C$151/100)-BC22</f>
        <v>6334.76908537412</v>
      </c>
      <c r="BG22" s="2" t="n">
        <f aca="false">MIN(AV22,BF22)</f>
        <v>2745.43236340368</v>
      </c>
      <c r="BH22" s="2" t="n">
        <f aca="false">IF(AC22&gt;Hypothèses!$J$26,MAX(0,BG22)/(1-Hypothèses!$J$26/AC22),0)</f>
        <v>3792.99097488335</v>
      </c>
    </row>
    <row r="23" customFormat="false" ht="15" hidden="false" customHeight="false" outlineLevel="0" collapsed="false">
      <c r="A23" s="2" t="n">
        <v>8</v>
      </c>
      <c r="B23" s="2" t="n">
        <v>0.350387208</v>
      </c>
      <c r="C23" s="2"/>
      <c r="D23" s="2" t="n">
        <v>0.022881205</v>
      </c>
      <c r="E23" s="2" t="n">
        <f aca="false">IF(E$7=E$5,E$6,IF(NORMSDIST(E$9*SQRT($C$11)*NORMSINV($B23)+SQRT(1-E$9^2*$C$11)*NORMSINV(D23))&lt;E$8,E$5+SQRT(NORMSDIST(E$9*SQRT($C$11)*NORMSINV($B23)+SQRT(1-E$9^2*$C$11)*NORMSINV(D23))*(E$7-E$5)*(E$6-E$5)),E$7-SQRT((1-NORMSDIST(E$9*SQRT($C$11)*NORMSINV($B23)+SQRT(1-E$9^2*$C$11)*NORMSINV(D23)))*(E$7-E$5)*(E$7-E$6))))</f>
        <v>0.0513545935594506</v>
      </c>
      <c r="F23" s="2" t="n">
        <v>0.061994098</v>
      </c>
      <c r="G23" s="2" t="n">
        <f aca="false">IF(G$7=G$5,G$6,IF(NORMSDIST(G$9*SQRT($C$11)*NORMSINV($B23)+SQRT(1-G$9^2*$C$11)*NORMSINV(F23))&lt;G$8,G$5+SQRT(NORMSDIST(G$9*SQRT($C$11)*NORMSINV($B23)+SQRT(1-G$9^2*$C$11)*NORMSINV(F23))*(G$7-G$5)*(G$6-G$5)),G$7-SQRT((1-NORMSDIST(G$9*SQRT($C$11)*NORMSINV($B23)+SQRT(1-G$9^2*$C$11)*NORMSINV(F23)))*(G$7-G$5)*(G$7-G$6))))</f>
        <v>0.0458367743842905</v>
      </c>
      <c r="H23" s="2" t="n">
        <v>0.863264838</v>
      </c>
      <c r="I23" s="2" t="n">
        <f aca="false">IF(I$7=I$5,I$6,IF(NORMSDIST(I$9*SQRT($C$11)*NORMSINV($B23)+SQRT(1-I$9^2*$C$11)*NORMSINV(H23))&lt;I$8,I$5+SQRT(NORMSDIST(I$9*SQRT($C$11)*NORMSINV($B23)+SQRT(1-I$9^2*$C$11)*NORMSINV(H23))*(I$7-I$5)*(I$6-I$5)),I$7-SQRT((1-NORMSDIST(I$9*SQRT($C$11)*NORMSINV($B23)+SQRT(1-I$9^2*$C$11)*NORMSINV(H23)))*(I$7-I$5)*(I$7-I$6))))</f>
        <v>205.234806093103</v>
      </c>
      <c r="J23" s="2" t="n">
        <v>0.52703364</v>
      </c>
      <c r="K23" s="2" t="n">
        <f aca="false">IF(K$7=K$5,K$6,IF(NORMSDIST(K$9*SQRT($C$11)*NORMSINV($B23)+SQRT(1-K$9^2*$C$11)*NORMSINV(J23))&lt;K$8,K$5+SQRT(NORMSDIST(K$9*SQRT($C$11)*NORMSINV($B23)+SQRT(1-K$9^2*$C$11)*NORMSINV(J23))*(K$7-K$5)*(K$6-K$5)),K$7-SQRT((1-NORMSDIST(K$9*SQRT($C$11)*NORMSINV($B23)+SQRT(1-K$9^2*$C$11)*NORMSINV(J23)))*(K$7-K$5)*(K$7-K$6))))</f>
        <v>0.230340970034103</v>
      </c>
      <c r="L23" s="2" t="n">
        <v>0.239626151</v>
      </c>
      <c r="M23" s="2" t="n">
        <f aca="false">IF(M$7=M$5,M$6,IF(NORMSDIST(M$9*SQRT($C$11)*NORMSINV($B23)+SQRT(1-M$9^2*$C$11)*NORMSINV(L23))&lt;M$8,M$5+SQRT(NORMSDIST(M$9*SQRT($C$11)*NORMSINV($B23)+SQRT(1-M$9^2*$C$11)*NORMSINV(L23))*(M$7-M$5)*(M$6-M$5)),M$7-SQRT((1-NORMSDIST(M$9*SQRT($C$11)*NORMSINV($B23)+SQRT(1-M$9^2*$C$11)*NORMSINV(L23)))*(M$7-M$5)*(M$7-M$6))))</f>
        <v>1487.98288900543</v>
      </c>
      <c r="N23" s="2" t="n">
        <v>0.040987392</v>
      </c>
      <c r="O23" s="2" t="n">
        <f aca="false">IF(O$7=O$5,O$6,IF(NORMSDIST(O$9*SQRT($C$11)*NORMSINV($B23)+SQRT(1-O$9^2*$C$11)*NORMSINV(N23))&lt;O$8,O$5+SQRT(NORMSDIST(O$9*SQRT($C$11)*NORMSINV($B23)+SQRT(1-O$9^2*$C$11)*NORMSINV(N23))*(O$7-O$5)*(O$6-O$5)),O$7-SQRT((1-NORMSDIST(O$9*SQRT($C$11)*NORMSINV($B23)+SQRT(1-O$9^2*$C$11)*NORMSINV(N23)))*(O$7-O$5)*(O$7-O$6))))</f>
        <v>0.148954261002988</v>
      </c>
      <c r="P23" s="2" t="n">
        <v>0.574408641</v>
      </c>
      <c r="Q23" s="2" t="n">
        <f aca="false">IF(Q$7=Q$5,Q$6,IF(NORMSDIST(Q$9*SQRT($C$11)*NORMSINV($B23)+SQRT(1-Q$9^2*$C$11)*NORMSINV(P23))&lt;Q$8,Q$5+SQRT(NORMSDIST(Q$9*SQRT($C$11)*NORMSINV($B23)+SQRT(1-Q$9^2*$C$11)*NORMSINV(P23))*(Q$7-Q$5)*(Q$6-Q$5)),Q$7-SQRT((1-NORMSDIST(Q$9*SQRT($C$11)*NORMSINV($B23)+SQRT(1-Q$9^2*$C$11)*NORMSINV(P23)))*(Q$7-Q$5)*(Q$7-Q$6))))</f>
        <v>0.0830961743338174</v>
      </c>
      <c r="R23" s="2" t="n">
        <v>0.228368435</v>
      </c>
      <c r="S23" s="2" t="n">
        <f aca="false">IF(S$7=S$5,S$6,IF(NORMSDIST(S$9*SQRT($C$11)*NORMSINV($B23)+SQRT(1-S$9^2*$C$11)*NORMSINV(R23))&lt;S$8,S$5+SQRT(NORMSDIST(S$9*SQRT($C$11)*NORMSINV($B23)+SQRT(1-S$9^2*$C$11)*NORMSINV(R23))*(S$7-S$5)*(S$6-S$5)),S$7-SQRT((1-NORMSDIST(S$9*SQRT($C$11)*NORMSINV($B23)+SQRT(1-S$9^2*$C$11)*NORMSINV(R23)))*(S$7-S$5)*(S$7-S$6))))</f>
        <v>0.321127792691688</v>
      </c>
      <c r="T23" s="2" t="n">
        <v>0.184051964</v>
      </c>
      <c r="U23" s="2" t="n">
        <f aca="false">IF(U$7=U$5,U$6,IF(NORMSDIST(U$9*SQRT($C$11)*NORMSINV($B23)+SQRT(1-U$9^2*$C$11)*NORMSINV(T23))&lt;U$8,U$5+SQRT(NORMSDIST(U$9*SQRT($C$11)*NORMSINV($B23)+SQRT(1-U$9^2*$C$11)*NORMSINV(T23))*(U$7-U$5)*(U$6-U$5)),U$7-SQRT((1-NORMSDIST(U$9*SQRT($C$11)*NORMSINV($B23)+SQRT(1-U$9^2*$C$11)*NORMSINV(T23)))*(U$7-U$5)*(U$7-U$6))))</f>
        <v>0.294582802969272</v>
      </c>
      <c r="V23" s="2" t="n">
        <v>0.662444914</v>
      </c>
      <c r="W23" s="2" t="n">
        <f aca="false">IF(W$7=W$5,W$6,IF(NORMSDIST(W$9*SQRT($C$11)*NORMSINV($B23)+SQRT(1-W$9^2*$C$11)*NORMSINV(V23))&lt;W$8,W$5+SQRT(NORMSDIST(W$9*SQRT($C$11)*NORMSINV($B23)+SQRT(1-W$9^2*$C$11)*NORMSINV(V23))*(W$7-W$5)*(W$6-W$5)),W$7-SQRT((1-NORMSDIST(W$9*SQRT($C$11)*NORMSINV($B23)+SQRT(1-W$9^2*$C$11)*NORMSINV(V23)))*(W$7-W$5)*(W$7-W$6))))</f>
        <v>10.0661541643081</v>
      </c>
      <c r="X23" s="2" t="n">
        <v>0.937185279</v>
      </c>
      <c r="Y23" s="2" t="n">
        <f aca="false">IF(Y$7=Y$5,Y$6,IF(NORMSDIST(Y$9*SQRT($C$11)*NORMSINV($B23)+SQRT(1-Y$9^2*$C$11)*NORMSINV(X23))&lt;Y$8,Y$5+SQRT(NORMSDIST(Y$9*SQRT($C$11)*NORMSINV($B23)+SQRT(1-Y$9^2*$C$11)*NORMSINV(X23))*(Y$7-Y$5)*(Y$6-Y$5)),Y$7-SQRT((1-NORMSDIST(Y$9*SQRT($C$11)*NORMSINV($B23)+SQRT(1-Y$9^2*$C$11)*NORMSINV(X23)))*(Y$7-Y$5)*(Y$7-Y$6))))</f>
        <v>0.822778780897998</v>
      </c>
      <c r="Z23" s="2" t="n">
        <v>0.199575793</v>
      </c>
      <c r="AA23" s="2" t="n">
        <f aca="false">IF(AA$7=AA$5,AA$6,IF(NORMSDIST(AA$9*SQRT($C$11)*NORMSINV($B23)+SQRT(1-AA$9^2*$C$11)*NORMSINV(Z23))&lt;AA$8,AA$5+SQRT(NORMSDIST(AA$9*SQRT($C$11)*NORMSINV($B23)+SQRT(1-AA$9^2*$C$11)*NORMSINV(Z23))*(AA$7-AA$5)*(AA$6-AA$5)),AA$7-SQRT((1-NORMSDIST(AA$9*SQRT($C$11)*NORMSINV($B23)+SQRT(1-AA$9^2*$C$11)*NORMSINV(Z23)))*(AA$7-AA$5)*(AA$7-AA$6))))</f>
        <v>0.715234340583965</v>
      </c>
      <c r="AB23" s="2" t="n">
        <v>0.081857254</v>
      </c>
      <c r="AC23" s="2" t="n">
        <f aca="false">IF(AC$7=AC$5,AC$6,IF(NORMSDIST(AC$9*SQRT($C$11)*NORMSINV($B23)+SQRT(1-AC$9^2*$C$11)*NORMSINV(AB23))&lt;AC$8,AC$5+SQRT(NORMSDIST(AC$9*SQRT($C$11)*NORMSINV($B23)+SQRT(1-AC$9^2*$C$11)*NORMSINV(AB23))*(AC$7-AC$5)*(AC$6-AC$5)),AC$7-SQRT((1-NORMSDIST(AC$9*SQRT($C$11)*NORMSINV($B23)+SQRT(1-AC$9^2*$C$11)*NORMSINV(AB23)))*(AC$7-AC$5)*(AC$7-AC$6))))</f>
        <v>8.29695216071431</v>
      </c>
      <c r="AD23" s="2" t="n">
        <f aca="false">Entrées!$C$8*(1+E23)</f>
        <v>7412.04988459413</v>
      </c>
      <c r="AE23" s="2" t="n">
        <f aca="false">I23*Hypothèses!$J$24/12/Hypothèses!$J$19</f>
        <v>101.816330423237</v>
      </c>
      <c r="AF23" s="2" t="n">
        <f aca="false">Entrées!$C$36*S23*1000</f>
        <v>160.563896345844</v>
      </c>
      <c r="AG23" s="2" t="n">
        <f aca="false">-AF23/W23</f>
        <v>-15.9508680003293</v>
      </c>
      <c r="AH23" s="2" t="n">
        <f aca="false">AD23+AE23+AG23</f>
        <v>7497.91534701704</v>
      </c>
      <c r="AI23" s="2" t="n">
        <f aca="false">Entrées!$C$16-M23+Hypothèses!$J$22*1000-AF23+Hypothèses!$J$23</f>
        <v>22899.4532146487</v>
      </c>
      <c r="AJ23" s="2" t="n">
        <f aca="false">AI23/AH23</f>
        <v>3.05410932970309</v>
      </c>
      <c r="AK23" s="2" t="n">
        <f aca="false">AI23/(AH23+I23*(12-Hypothèses!$J$24)/12/Hypothèses!$J$19)</f>
        <v>3.0247705993886</v>
      </c>
      <c r="AL23" s="2" t="n">
        <f aca="false">(AD23+AG23+I23/Hypothèses!$J$19)*(1+G23)</f>
        <v>7917.65507440897</v>
      </c>
      <c r="AM23" s="2" t="n">
        <f aca="false">Entrées!$C$54*K23/Hypothèses!$J$19</f>
        <v>23.5072631312154</v>
      </c>
      <c r="AN23" s="2" t="n">
        <f aca="false">Y23*1000/AC23</f>
        <v>99.1663884472924</v>
      </c>
      <c r="AO23" s="2" t="n">
        <f aca="false">(Entrées!$C$36*(1-S23)+MAX(0,Entrées!$C$30-Entrées!$C$35-Entrées!$C$36)*U23)*1000</f>
        <v>751.852027811136</v>
      </c>
      <c r="AP23" s="2" t="n">
        <f aca="false">-AO23/W23</f>
        <v>-74.6910901163227</v>
      </c>
      <c r="AQ23" s="2" t="n">
        <f aca="false">AL23+AM23+AN23+AP23</f>
        <v>7965.63763587115</v>
      </c>
      <c r="AR23" s="2" t="n">
        <f aca="false">O23*AQ23-Hypothèses!$J$25/Hypothèses!$J$19</f>
        <v>1167.38050520715</v>
      </c>
      <c r="AS23" s="2" t="n">
        <f aca="false">Entrées!$C$79*(1+Q23)+Hypothèses!$J$20</f>
        <v>1485.32269559287</v>
      </c>
      <c r="AT23" s="2" t="n">
        <f aca="false">AI23-AR23+AS23+Y23*1000-AO23+Hypothèses!$J$23</f>
        <v>23288.3221581213</v>
      </c>
      <c r="AU23" s="2" t="n">
        <f aca="false">AT23/AQ23</f>
        <v>2.92359798709001</v>
      </c>
      <c r="AV23" s="2" t="n">
        <f aca="false">Hypothèses!$J$26*AQ23-AT23</f>
        <v>608.590749492145</v>
      </c>
      <c r="AW23" s="2" t="n">
        <f aca="false">IF(AC23&gt;Hypothèses!$J$26,MAX(0,AV23)/(1-Hypothèses!$J$26/AC23),0)</f>
        <v>953.274294497056</v>
      </c>
      <c r="AX23" s="2" t="n">
        <f aca="false">AQ23-Entrées!$C$17*1000</f>
        <v>-34.3623641288486</v>
      </c>
      <c r="AY23" s="2" t="n">
        <f aca="false">AI23+(Entrées!$C$244-Entrées!$C$13)</f>
        <v>28646.4532146487</v>
      </c>
      <c r="AZ23" s="2" t="n">
        <f aca="false">AA23*AH23</f>
        <v>5362.76653897812</v>
      </c>
      <c r="BA23" s="2" t="n">
        <f aca="false">AZ23/AY23</f>
        <v>0.187205253606607</v>
      </c>
      <c r="BB23" s="2" t="n">
        <f aca="false">AZ23/(Entrées!$C$151/100)-AY23</f>
        <v>1146.69422411862</v>
      </c>
      <c r="BC23" s="2" t="n">
        <f aca="false">AT23+(Entrées!$C$244-Entrées!$C$13)</f>
        <v>29035.3221581213</v>
      </c>
      <c r="BD23" s="2" t="n">
        <f aca="false">AA23*AQ23</f>
        <v>5697.29758182312</v>
      </c>
      <c r="BE23" s="2" t="n">
        <f aca="false">BD23/BC23</f>
        <v>0.196219540833631</v>
      </c>
      <c r="BF23" s="2" t="n">
        <f aca="false">BD23/(Entrées!$C$151/100)-BC23</f>
        <v>2616.33107422935</v>
      </c>
      <c r="BG23" s="2" t="n">
        <f aca="false">MIN(AV23,BF23)</f>
        <v>608.590749492145</v>
      </c>
      <c r="BH23" s="2" t="n">
        <f aca="false">IF(AC23&gt;Hypothèses!$J$26,MAX(0,BG23)/(1-Hypothèses!$J$26/AC23),0)</f>
        <v>953.274294497056</v>
      </c>
    </row>
    <row r="24" customFormat="false" ht="15" hidden="false" customHeight="false" outlineLevel="0" collapsed="false">
      <c r="A24" s="2" t="n">
        <v>9</v>
      </c>
      <c r="B24" s="2" t="n">
        <v>0.690754584</v>
      </c>
      <c r="C24" s="2"/>
      <c r="D24" s="2" t="n">
        <v>0.19573293</v>
      </c>
      <c r="E24" s="2" t="n">
        <f aca="false">IF(E$7=E$5,E$6,IF(NORMSDIST(E$9*SQRT($C$11)*NORMSINV($B24)+SQRT(1-E$9^2*$C$11)*NORMSINV(D24))&lt;E$8,E$5+SQRT(NORMSDIST(E$9*SQRT($C$11)*NORMSINV($B24)+SQRT(1-E$9^2*$C$11)*NORMSINV(D24))*(E$7-E$5)*(E$6-E$5)),E$7-SQRT((1-NORMSDIST(E$9*SQRT($C$11)*NORMSINV($B24)+SQRT(1-E$9^2*$C$11)*NORMSINV(D24)))*(E$7-E$5)*(E$7-E$6))))</f>
        <v>0.0542638217617804</v>
      </c>
      <c r="F24" s="2" t="n">
        <v>0.014789326</v>
      </c>
      <c r="G24" s="2" t="n">
        <f aca="false">IF(G$7=G$5,G$6,IF(NORMSDIST(G$9*SQRT($C$11)*NORMSINV($B24)+SQRT(1-G$9^2*$C$11)*NORMSINV(F24))&lt;G$8,G$5+SQRT(NORMSDIST(G$9*SQRT($C$11)*NORMSINV($B24)+SQRT(1-G$9^2*$C$11)*NORMSINV(F24))*(G$7-G$5)*(G$6-G$5)),G$7-SQRT((1-NORMSDIST(G$9*SQRT($C$11)*NORMSINV($B24)+SQRT(1-G$9^2*$C$11)*NORMSINV(F24)))*(G$7-G$5)*(G$7-G$6))))</f>
        <v>0.0461953084337999</v>
      </c>
      <c r="H24" s="2" t="n">
        <v>0.257768495</v>
      </c>
      <c r="I24" s="2" t="n">
        <f aca="false">IF(I$7=I$5,I$6,IF(NORMSDIST(I$9*SQRT($C$11)*NORMSINV($B24)+SQRT(1-I$9^2*$C$11)*NORMSINV(H24))&lt;I$8,I$5+SQRT(NORMSDIST(I$9*SQRT($C$11)*NORMSINV($B24)+SQRT(1-I$9^2*$C$11)*NORMSINV(H24))*(I$7-I$5)*(I$6-I$5)),I$7-SQRT((1-NORMSDIST(I$9*SQRT($C$11)*NORMSINV($B24)+SQRT(1-I$9^2*$C$11)*NORMSINV(H24)))*(I$7-I$5)*(I$7-I$6))))</f>
        <v>198.44249920062</v>
      </c>
      <c r="J24" s="2" t="n">
        <v>0.183443261</v>
      </c>
      <c r="K24" s="2" t="n">
        <f aca="false">IF(K$7=K$5,K$6,IF(NORMSDIST(K$9*SQRT($C$11)*NORMSINV($B24)+SQRT(1-K$9^2*$C$11)*NORMSINV(J24))&lt;K$8,K$5+SQRT(NORMSDIST(K$9*SQRT($C$11)*NORMSINV($B24)+SQRT(1-K$9^2*$C$11)*NORMSINV(J24))*(K$7-K$5)*(K$6-K$5)),K$7-SQRT((1-NORMSDIST(K$9*SQRT($C$11)*NORMSINV($B24)+SQRT(1-K$9^2*$C$11)*NORMSINV(J24)))*(K$7-K$5)*(K$7-K$6))))</f>
        <v>0.209313588876817</v>
      </c>
      <c r="L24" s="2" t="n">
        <v>0.702066061</v>
      </c>
      <c r="M24" s="2" t="n">
        <f aca="false">IF(M$7=M$5,M$6,IF(NORMSDIST(M$9*SQRT($C$11)*NORMSINV($B24)+SQRT(1-M$9^2*$C$11)*NORMSINV(L24))&lt;M$8,M$5+SQRT(NORMSDIST(M$9*SQRT($C$11)*NORMSINV($B24)+SQRT(1-M$9^2*$C$11)*NORMSINV(L24))*(M$7-M$5)*(M$6-M$5)),M$7-SQRT((1-NORMSDIST(M$9*SQRT($C$11)*NORMSINV($B24)+SQRT(1-M$9^2*$C$11)*NORMSINV(L24)))*(M$7-M$5)*(M$7-M$6))))</f>
        <v>1655.41607984029</v>
      </c>
      <c r="N24" s="2" t="n">
        <v>0.556125101</v>
      </c>
      <c r="O24" s="2" t="n">
        <f aca="false">IF(O$7=O$5,O$6,IF(NORMSDIST(O$9*SQRT($C$11)*NORMSINV($B24)+SQRT(1-O$9^2*$C$11)*NORMSINV(N24))&lt;O$8,O$5+SQRT(NORMSDIST(O$9*SQRT($C$11)*NORMSINV($B24)+SQRT(1-O$9^2*$C$11)*NORMSINV(N24))*(O$7-O$5)*(O$6-O$5)),O$7-SQRT((1-NORMSDIST(O$9*SQRT($C$11)*NORMSINV($B24)+SQRT(1-O$9^2*$C$11)*NORMSINV(N24)))*(O$7-O$5)*(O$7-O$6))))</f>
        <v>0.171090844748972</v>
      </c>
      <c r="P24" s="2" t="n">
        <v>0.922728761</v>
      </c>
      <c r="Q24" s="2" t="n">
        <f aca="false">IF(Q$7=Q$5,Q$6,IF(NORMSDIST(Q$9*SQRT($C$11)*NORMSINV($B24)+SQRT(1-Q$9^2*$C$11)*NORMSINV(P24))&lt;Q$8,Q$5+SQRT(NORMSDIST(Q$9*SQRT($C$11)*NORMSINV($B24)+SQRT(1-Q$9^2*$C$11)*NORMSINV(P24))*(Q$7-Q$5)*(Q$6-Q$5)),Q$7-SQRT((1-NORMSDIST(Q$9*SQRT($C$11)*NORMSINV($B24)+SQRT(1-Q$9^2*$C$11)*NORMSINV(P24)))*(Q$7-Q$5)*(Q$7-Q$6))))</f>
        <v>0.104275243569454</v>
      </c>
      <c r="R24" s="2" t="n">
        <v>0.442906774</v>
      </c>
      <c r="S24" s="2" t="n">
        <f aca="false">IF(S$7=S$5,S$6,IF(NORMSDIST(S$9*SQRT($C$11)*NORMSINV($B24)+SQRT(1-S$9^2*$C$11)*NORMSINV(R24))&lt;S$8,S$5+SQRT(NORMSDIST(S$9*SQRT($C$11)*NORMSINV($B24)+SQRT(1-S$9^2*$C$11)*NORMSINV(R24))*(S$7-S$5)*(S$6-S$5)),S$7-SQRT((1-NORMSDIST(S$9*SQRT($C$11)*NORMSINV($B24)+SQRT(1-S$9^2*$C$11)*NORMSINV(R24)))*(S$7-S$5)*(S$7-S$6))))</f>
        <v>0.542132444104273</v>
      </c>
      <c r="T24" s="2" t="n">
        <v>0.065968519</v>
      </c>
      <c r="U24" s="2" t="n">
        <f aca="false">IF(U$7=U$5,U$6,IF(NORMSDIST(U$9*SQRT($C$11)*NORMSINV($B24)+SQRT(1-U$9^2*$C$11)*NORMSINV(T24))&lt;U$8,U$5+SQRT(NORMSDIST(U$9*SQRT($C$11)*NORMSINV($B24)+SQRT(1-U$9^2*$C$11)*NORMSINV(T24))*(U$7-U$5)*(U$6-U$5)),U$7-SQRT((1-NORMSDIST(U$9*SQRT($C$11)*NORMSINV($B24)+SQRT(1-U$9^2*$C$11)*NORMSINV(T24)))*(U$7-U$5)*(U$7-U$6))))</f>
        <v>0.313937073983854</v>
      </c>
      <c r="V24" s="2" t="n">
        <v>0.608738497</v>
      </c>
      <c r="W24" s="2" t="n">
        <f aca="false">IF(W$7=W$5,W$6,IF(NORMSDIST(W$9*SQRT($C$11)*NORMSINV($B24)+SQRT(1-W$9^2*$C$11)*NORMSINV(V24))&lt;W$8,W$5+SQRT(NORMSDIST(W$9*SQRT($C$11)*NORMSINV($B24)+SQRT(1-W$9^2*$C$11)*NORMSINV(V24))*(W$7-W$5)*(W$6-W$5)),W$7-SQRT((1-NORMSDIST(W$9*SQRT($C$11)*NORMSINV($B24)+SQRT(1-W$9^2*$C$11)*NORMSINV(V24)))*(W$7-W$5)*(W$7-W$6))))</f>
        <v>10.4547304259915</v>
      </c>
      <c r="X24" s="2" t="n">
        <v>0.138417041</v>
      </c>
      <c r="Y24" s="2" t="n">
        <f aca="false">IF(Y$7=Y$5,Y$6,IF(NORMSDIST(Y$9*SQRT($C$11)*NORMSINV($B24)+SQRT(1-Y$9^2*$C$11)*NORMSINV(X24))&lt;Y$8,Y$5+SQRT(NORMSDIST(Y$9*SQRT($C$11)*NORMSINV($B24)+SQRT(1-Y$9^2*$C$11)*NORMSINV(X24))*(Y$7-Y$5)*(Y$6-Y$5)),Y$7-SQRT((1-NORMSDIST(Y$9*SQRT($C$11)*NORMSINV($B24)+SQRT(1-Y$9^2*$C$11)*NORMSINV(X24)))*(Y$7-Y$5)*(Y$7-Y$6))))</f>
        <v>0.263075123301311</v>
      </c>
      <c r="Z24" s="2" t="n">
        <v>0.924818471</v>
      </c>
      <c r="AA24" s="2" t="n">
        <f aca="false">IF(AA$7=AA$5,AA$6,IF(NORMSDIST(AA$9*SQRT($C$11)*NORMSINV($B24)+SQRT(1-AA$9^2*$C$11)*NORMSINV(Z24))&lt;AA$8,AA$5+SQRT(NORMSDIST(AA$9*SQRT($C$11)*NORMSINV($B24)+SQRT(1-AA$9^2*$C$11)*NORMSINV(Z24))*(AA$7-AA$5)*(AA$6-AA$5)),AA$7-SQRT((1-NORMSDIST(AA$9*SQRT($C$11)*NORMSINV($B24)+SQRT(1-AA$9^2*$C$11)*NORMSINV(Z24)))*(AA$7-AA$5)*(AA$7-AA$6))))</f>
        <v>0.743955016073477</v>
      </c>
      <c r="AB24" s="2" t="n">
        <v>0.826431947</v>
      </c>
      <c r="AC24" s="2" t="n">
        <f aca="false">IF(AC$7=AC$5,AC$6,IF(NORMSDIST(AC$9*SQRT($C$11)*NORMSINV($B24)+SQRT(1-AC$9^2*$C$11)*NORMSINV(AB24))&lt;AC$8,AC$5+SQRT(NORMSDIST(AC$9*SQRT($C$11)*NORMSINV($B24)+SQRT(1-AC$9^2*$C$11)*NORMSINV(AB24))*(AC$7-AC$5)*(AC$6-AC$5)),AC$7-SQRT((1-NORMSDIST(AC$9*SQRT($C$11)*NORMSINV($B24)+SQRT(1-AC$9^2*$C$11)*NORMSINV(AB24)))*(AC$7-AC$5)*(AC$7-AC$6))))</f>
        <v>10.1992456001187</v>
      </c>
      <c r="AD24" s="2" t="n">
        <f aca="false">Entrées!$C$8*(1+E24)</f>
        <v>7432.55994342055</v>
      </c>
      <c r="AE24" s="2" t="n">
        <f aca="false">I24*Hypothèses!$J$24/12/Hypothèses!$J$19</f>
        <v>98.4466887135005</v>
      </c>
      <c r="AF24" s="2" t="n">
        <f aca="false">Entrées!$C$36*S24*1000</f>
        <v>271.066222052137</v>
      </c>
      <c r="AG24" s="2" t="n">
        <f aca="false">-AF24/W24</f>
        <v>-25.9276146784464</v>
      </c>
      <c r="AH24" s="2" t="n">
        <f aca="false">AD24+AE24+AG24</f>
        <v>7505.07901745561</v>
      </c>
      <c r="AI24" s="2" t="n">
        <f aca="false">Entrées!$C$16-M24+Hypothèses!$J$22*1000-AF24+Hypothèses!$J$23</f>
        <v>22621.5176981076</v>
      </c>
      <c r="AJ24" s="2" t="n">
        <f aca="false">AI24/AH24</f>
        <v>3.01416116279303</v>
      </c>
      <c r="AK24" s="2" t="n">
        <f aca="false">AI24/(AH24+I24*(12-Hypothèses!$J$24)/12/Hypothèses!$J$19)</f>
        <v>2.98618204043632</v>
      </c>
      <c r="AL24" s="2" t="n">
        <f aca="false">(AD24+AG24+I24/Hypothèses!$J$19)*(1+G24)</f>
        <v>7925.3459316748</v>
      </c>
      <c r="AM24" s="2" t="n">
        <f aca="false">Entrées!$C$54*K24/Hypothèses!$J$19</f>
        <v>21.3613305958462</v>
      </c>
      <c r="AN24" s="2" t="n">
        <f aca="false">Y24*1000/AC24</f>
        <v>25.7935864686159</v>
      </c>
      <c r="AO24" s="2" t="n">
        <f aca="false">(Entrées!$C$36*(1-S24)+MAX(0,Entrées!$C$30-Entrées!$C$35-Entrées!$C$36)*U24)*1000</f>
        <v>668.445681525258</v>
      </c>
      <c r="AP24" s="2" t="n">
        <f aca="false">-AO24/W24</f>
        <v>-63.9371513457141</v>
      </c>
      <c r="AQ24" s="2" t="n">
        <f aca="false">AL24+AM24+AN24+AP24</f>
        <v>7908.56369739354</v>
      </c>
      <c r="AR24" s="2" t="n">
        <f aca="false">O24*AQ24-Hypothèses!$J$25/Hypothèses!$J$19</f>
        <v>1333.94768147649</v>
      </c>
      <c r="AS24" s="2" t="n">
        <f aca="false">Entrées!$C$79*(1+Q24)+Hypothèses!$J$20</f>
        <v>1508.59849268283</v>
      </c>
      <c r="AT24" s="2" t="n">
        <f aca="false">AI24-AR24+AS24+Y24*1000-AO24+Hypothèses!$J$23</f>
        <v>22390.79795109</v>
      </c>
      <c r="AU24" s="2" t="n">
        <f aca="false">AT24/AQ24</f>
        <v>2.83120915602784</v>
      </c>
      <c r="AV24" s="2" t="n">
        <f aca="false">Hypothèses!$J$26*AQ24-AT24</f>
        <v>1334.89314109067</v>
      </c>
      <c r="AW24" s="2" t="n">
        <f aca="false">IF(AC24&gt;Hypothèses!$J$26,MAX(0,AV24)/(1-Hypothèses!$J$26/AC24),0)</f>
        <v>1891.15690061653</v>
      </c>
      <c r="AX24" s="2" t="n">
        <f aca="false">AQ24-Entrées!$C$17*1000</f>
        <v>-91.4363026064557</v>
      </c>
      <c r="AY24" s="2" t="n">
        <f aca="false">AI24+(Entrées!$C$244-Entrées!$C$13)</f>
        <v>28368.5176981076</v>
      </c>
      <c r="AZ24" s="2" t="n">
        <f aca="false">AA24*AH24</f>
        <v>5583.4411810639</v>
      </c>
      <c r="BA24" s="2" t="n">
        <f aca="false">AZ24/AY24</f>
        <v>0.196818220834865</v>
      </c>
      <c r="BB24" s="2" t="n">
        <f aca="false">AZ24/(Entrées!$C$151/100)-AY24</f>
        <v>2650.59997446965</v>
      </c>
      <c r="BC24" s="2" t="n">
        <f aca="false">AT24+(Entrées!$C$244-Entrées!$C$13)</f>
        <v>28137.79795109</v>
      </c>
      <c r="BD24" s="2" t="n">
        <f aca="false">AA24*AQ24</f>
        <v>5883.61563261253</v>
      </c>
      <c r="BE24" s="2" t="n">
        <f aca="false">BD24/BC24</f>
        <v>0.209100073958866</v>
      </c>
      <c r="BF24" s="2" t="n">
        <f aca="false">BD24/(Entrées!$C$151/100)-BC24</f>
        <v>4548.95556342409</v>
      </c>
      <c r="BG24" s="2" t="n">
        <f aca="false">MIN(AV24,BF24)</f>
        <v>1334.89314109067</v>
      </c>
      <c r="BH24" s="2" t="n">
        <f aca="false">IF(AC24&gt;Hypothèses!$J$26,MAX(0,BG24)/(1-Hypothèses!$J$26/AC24),0)</f>
        <v>1891.15690061653</v>
      </c>
    </row>
    <row r="25" customFormat="false" ht="15" hidden="false" customHeight="false" outlineLevel="0" collapsed="false">
      <c r="A25" s="2" t="n">
        <v>10</v>
      </c>
      <c r="B25" s="2" t="n">
        <v>0.707745231</v>
      </c>
      <c r="C25" s="2"/>
      <c r="D25" s="2" t="n">
        <v>0.862268019</v>
      </c>
      <c r="E25" s="2" t="n">
        <f aca="false">IF(E$7=E$5,E$6,IF(NORMSDIST(E$9*SQRT($C$11)*NORMSINV($B25)+SQRT(1-E$9^2*$C$11)*NORMSINV(D25))&lt;E$8,E$5+SQRT(NORMSDIST(E$9*SQRT($C$11)*NORMSINV($B25)+SQRT(1-E$9^2*$C$11)*NORMSINV(D25))*(E$7-E$5)*(E$6-E$5)),E$7-SQRT((1-NORMSDIST(E$9*SQRT($C$11)*NORMSINV($B25)+SQRT(1-E$9^2*$C$11)*NORMSINV(D25)))*(E$7-E$5)*(E$7-E$6))))</f>
        <v>0.0575822637621087</v>
      </c>
      <c r="F25" s="2" t="n">
        <v>0.207856458</v>
      </c>
      <c r="G25" s="2" t="n">
        <f aca="false">IF(G$7=G$5,G$6,IF(NORMSDIST(G$9*SQRT($C$11)*NORMSINV($B25)+SQRT(1-G$9^2*$C$11)*NORMSINV(F25))&lt;G$8,G$5+SQRT(NORMSDIST(G$9*SQRT($C$11)*NORMSINV($B25)+SQRT(1-G$9^2*$C$11)*NORMSINV(F25))*(G$7-G$5)*(G$6-G$5)),G$7-SQRT((1-NORMSDIST(G$9*SQRT($C$11)*NORMSINV($B25)+SQRT(1-G$9^2*$C$11)*NORMSINV(F25)))*(G$7-G$5)*(G$7-G$6))))</f>
        <v>0.0532132281951803</v>
      </c>
      <c r="H25" s="2" t="n">
        <v>0.103951126</v>
      </c>
      <c r="I25" s="2" t="n">
        <f aca="false">IF(I$7=I$5,I$6,IF(NORMSDIST(I$9*SQRT($C$11)*NORMSINV($B25)+SQRT(1-I$9^2*$C$11)*NORMSINV(H25))&lt;I$8,I$5+SQRT(NORMSDIST(I$9*SQRT($C$11)*NORMSINV($B25)+SQRT(1-I$9^2*$C$11)*NORMSINV(H25))*(I$7-I$5)*(I$6-I$5)),I$7-SQRT((1-NORMSDIST(I$9*SQRT($C$11)*NORMSINV($B25)+SQRT(1-I$9^2*$C$11)*NORMSINV(H25)))*(I$7-I$5)*(I$7-I$6))))</f>
        <v>194.545344259979</v>
      </c>
      <c r="J25" s="2" t="n">
        <v>0.423681554</v>
      </c>
      <c r="K25" s="2" t="n">
        <f aca="false">IF(K$7=K$5,K$6,IF(NORMSDIST(K$9*SQRT($C$11)*NORMSINV($B25)+SQRT(1-K$9^2*$C$11)*NORMSINV(J25))&lt;K$8,K$5+SQRT(NORMSDIST(K$9*SQRT($C$11)*NORMSINV($B25)+SQRT(1-K$9^2*$C$11)*NORMSINV(J25))*(K$7-K$5)*(K$6-K$5)),K$7-SQRT((1-NORMSDIST(K$9*SQRT($C$11)*NORMSINV($B25)+SQRT(1-K$9^2*$C$11)*NORMSINV(J25)))*(K$7-K$5)*(K$7-K$6))))</f>
        <v>0.270321600047065</v>
      </c>
      <c r="L25" s="2" t="n">
        <v>0.19409102</v>
      </c>
      <c r="M25" s="2" t="n">
        <f aca="false">IF(M$7=M$5,M$6,IF(NORMSDIST(M$9*SQRT($C$11)*NORMSINV($B25)+SQRT(1-M$9^2*$C$11)*NORMSINV(L25))&lt;M$8,M$5+SQRT(NORMSDIST(M$9*SQRT($C$11)*NORMSINV($B25)+SQRT(1-M$9^2*$C$11)*NORMSINV(L25))*(M$7-M$5)*(M$6-M$5)),M$7-SQRT((1-NORMSDIST(M$9*SQRT($C$11)*NORMSINV($B25)+SQRT(1-M$9^2*$C$11)*NORMSINV(L25)))*(M$7-M$5)*(M$7-M$6))))</f>
        <v>1547.06281914581</v>
      </c>
      <c r="N25" s="2" t="n">
        <v>0.395973496</v>
      </c>
      <c r="O25" s="2" t="n">
        <f aca="false">IF(O$7=O$5,O$6,IF(NORMSDIST(O$9*SQRT($C$11)*NORMSINV($B25)+SQRT(1-O$9^2*$C$11)*NORMSINV(N25))&lt;O$8,O$5+SQRT(NORMSDIST(O$9*SQRT($C$11)*NORMSINV($B25)+SQRT(1-O$9^2*$C$11)*NORMSINV(N25))*(O$7-O$5)*(O$6-O$5)),O$7-SQRT((1-NORMSDIST(O$9*SQRT($C$11)*NORMSINV($B25)+SQRT(1-O$9^2*$C$11)*NORMSINV(N25)))*(O$7-O$5)*(O$7-O$6))))</f>
        <v>0.168251365880115</v>
      </c>
      <c r="P25" s="2" t="n">
        <v>0.108653066</v>
      </c>
      <c r="Q25" s="2" t="n">
        <f aca="false">IF(Q$7=Q$5,Q$6,IF(NORMSDIST(Q$9*SQRT($C$11)*NORMSINV($B25)+SQRT(1-Q$9^2*$C$11)*NORMSINV(P25))&lt;Q$8,Q$5+SQRT(NORMSDIST(Q$9*SQRT($C$11)*NORMSINV($B25)+SQRT(1-Q$9^2*$C$11)*NORMSINV(P25))*(Q$7-Q$5)*(Q$6-Q$5)),Q$7-SQRT((1-NORMSDIST(Q$9*SQRT($C$11)*NORMSINV($B25)+SQRT(1-Q$9^2*$C$11)*NORMSINV(P25)))*(Q$7-Q$5)*(Q$7-Q$6))))</f>
        <v>0.0586464423201854</v>
      </c>
      <c r="R25" s="2" t="n">
        <v>0.84692671</v>
      </c>
      <c r="S25" s="2" t="n">
        <f aca="false">IF(S$7=S$5,S$6,IF(NORMSDIST(S$9*SQRT($C$11)*NORMSINV($B25)+SQRT(1-S$9^2*$C$11)*NORMSINV(R25))&lt;S$8,S$5+SQRT(NORMSDIST(S$9*SQRT($C$11)*NORMSINV($B25)+SQRT(1-S$9^2*$C$11)*NORMSINV(R25))*(S$7-S$5)*(S$6-S$5)),S$7-SQRT((1-NORMSDIST(S$9*SQRT($C$11)*NORMSINV($B25)+SQRT(1-S$9^2*$C$11)*NORMSINV(R25)))*(S$7-S$5)*(S$7-S$6))))</f>
        <v>0.747558008859396</v>
      </c>
      <c r="T25" s="2" t="n">
        <v>0.162495903</v>
      </c>
      <c r="U25" s="2" t="n">
        <f aca="false">IF(U$7=U$5,U$6,IF(NORMSDIST(U$9*SQRT($C$11)*NORMSINV($B25)+SQRT(1-U$9^2*$C$11)*NORMSINV(T25))&lt;U$8,U$5+SQRT(NORMSDIST(U$9*SQRT($C$11)*NORMSINV($B25)+SQRT(1-U$9^2*$C$11)*NORMSINV(T25))*(U$7-U$5)*(U$6-U$5)),U$7-SQRT((1-NORMSDIST(U$9*SQRT($C$11)*NORMSINV($B25)+SQRT(1-U$9^2*$C$11)*NORMSINV(T25)))*(U$7-U$5)*(U$7-U$6))))</f>
        <v>0.411398960064358</v>
      </c>
      <c r="V25" s="2" t="n">
        <v>0.658625335</v>
      </c>
      <c r="W25" s="2" t="n">
        <f aca="false">IF(W$7=W$5,W$6,IF(NORMSDIST(W$9*SQRT($C$11)*NORMSINV($B25)+SQRT(1-W$9^2*$C$11)*NORMSINV(V25))&lt;W$8,W$5+SQRT(NORMSDIST(W$9*SQRT($C$11)*NORMSINV($B25)+SQRT(1-W$9^2*$C$11)*NORMSINV(V25))*(W$7-W$5)*(W$6-W$5)),W$7-SQRT((1-NORMSDIST(W$9*SQRT($C$11)*NORMSINV($B25)+SQRT(1-W$9^2*$C$11)*NORMSINV(V25)))*(W$7-W$5)*(W$7-W$6))))</f>
        <v>10.574937022036</v>
      </c>
      <c r="X25" s="2" t="n">
        <v>0.664686195</v>
      </c>
      <c r="Y25" s="2" t="n">
        <f aca="false">IF(Y$7=Y$5,Y$6,IF(NORMSDIST(Y$9*SQRT($C$11)*NORMSINV($B25)+SQRT(1-Y$9^2*$C$11)*NORMSINV(X25))&lt;Y$8,Y$5+SQRT(NORMSDIST(Y$9*SQRT($C$11)*NORMSINV($B25)+SQRT(1-Y$9^2*$C$11)*NORMSINV(X25))*(Y$7-Y$5)*(Y$6-Y$5)),Y$7-SQRT((1-NORMSDIST(Y$9*SQRT($C$11)*NORMSINV($B25)+SQRT(1-Y$9^2*$C$11)*NORMSINV(X25)))*(Y$7-Y$5)*(Y$7-Y$6))))</f>
        <v>0.590540719362719</v>
      </c>
      <c r="Z25" s="2" t="n">
        <v>0.787795812</v>
      </c>
      <c r="AA25" s="2" t="n">
        <f aca="false">IF(AA$7=AA$5,AA$6,IF(NORMSDIST(AA$9*SQRT($C$11)*NORMSINV($B25)+SQRT(1-AA$9^2*$C$11)*NORMSINV(Z25))&lt;AA$8,AA$5+SQRT(NORMSDIST(AA$9*SQRT($C$11)*NORMSINV($B25)+SQRT(1-AA$9^2*$C$11)*NORMSINV(Z25))*(AA$7-AA$5)*(AA$6-AA$5)),AA$7-SQRT((1-NORMSDIST(AA$9*SQRT($C$11)*NORMSINV($B25)+SQRT(1-AA$9^2*$C$11)*NORMSINV(Z25)))*(AA$7-AA$5)*(AA$7-AA$6))))</f>
        <v>0.739202832056985</v>
      </c>
      <c r="AB25" s="2" t="n">
        <v>0.653219336</v>
      </c>
      <c r="AC25" s="2" t="n">
        <f aca="false">IF(AC$7=AC$5,AC$6,IF(NORMSDIST(AC$9*SQRT($C$11)*NORMSINV($B25)+SQRT(1-AC$9^2*$C$11)*NORMSINV(AB25))&lt;AC$8,AC$5+SQRT(NORMSDIST(AC$9*SQRT($C$11)*NORMSINV($B25)+SQRT(1-AC$9^2*$C$11)*NORMSINV(AB25))*(AC$7-AC$5)*(AC$6-AC$5)),AC$7-SQRT((1-NORMSDIST(AC$9*SQRT($C$11)*NORMSINV($B25)+SQRT(1-AC$9^2*$C$11)*NORMSINV(AB25)))*(AC$7-AC$5)*(AC$7-AC$6))))</f>
        <v>9.94527808461885</v>
      </c>
      <c r="AD25" s="2" t="n">
        <f aca="false">Entrées!$C$8*(1+E25)</f>
        <v>7455.95495952287</v>
      </c>
      <c r="AE25" s="2" t="n">
        <f aca="false">I25*Hypothèses!$J$24/12/Hypothèses!$J$19</f>
        <v>96.5133226207782</v>
      </c>
      <c r="AF25" s="2" t="n">
        <f aca="false">Entrées!$C$36*S25*1000</f>
        <v>373.779004429698</v>
      </c>
      <c r="AG25" s="2" t="n">
        <f aca="false">-AF25/W25</f>
        <v>-35.3457428305075</v>
      </c>
      <c r="AH25" s="2" t="n">
        <f aca="false">AD25+AE25+AG25</f>
        <v>7517.12253931314</v>
      </c>
      <c r="AI25" s="2" t="n">
        <f aca="false">Entrées!$C$16-M25+Hypothèses!$J$22*1000-AF25+Hypothèses!$J$23</f>
        <v>22627.1581764245</v>
      </c>
      <c r="AJ25" s="2" t="n">
        <f aca="false">AI25/AH25</f>
        <v>3.01008238964959</v>
      </c>
      <c r="AK25" s="2" t="n">
        <f aca="false">AI25/(AH25+I25*(12-Hypothèses!$J$24)/12/Hypothèses!$J$19)</f>
        <v>2.98272836051308</v>
      </c>
      <c r="AL25" s="2" t="n">
        <f aca="false">(AD25+AG25+I25/Hypothèses!$J$19)*(1+G25)</f>
        <v>7989.73940214108</v>
      </c>
      <c r="AM25" s="2" t="n">
        <f aca="false">Entrées!$C$54*K25/Hypothèses!$J$19</f>
        <v>27.5874542918557</v>
      </c>
      <c r="AN25" s="2" t="n">
        <f aca="false">Y25*1000/AC25</f>
        <v>59.3790052262124</v>
      </c>
      <c r="AO25" s="2" t="n">
        <f aca="false">(Entrées!$C$36*(1-S25)+MAX(0,Entrées!$C$30-Entrées!$C$35-Entrées!$C$36)*U25)*1000</f>
        <v>702.179539660404</v>
      </c>
      <c r="AP25" s="2" t="n">
        <f aca="false">-AO25/W25</f>
        <v>-66.4003519072694</v>
      </c>
      <c r="AQ25" s="2" t="n">
        <f aca="false">AL25+AM25+AN25+AP25</f>
        <v>8010.30550975188</v>
      </c>
      <c r="AR25" s="2" t="n">
        <f aca="false">O25*AQ25-Hypothèses!$J$25/Hypothèses!$J$19</f>
        <v>1328.60968087114</v>
      </c>
      <c r="AS25" s="2" t="n">
        <f aca="false">Entrées!$C$79*(1+Q25)+Hypothèses!$J$20</f>
        <v>1458.45244010988</v>
      </c>
      <c r="AT25" s="2" t="n">
        <f aca="false">AI25-AR25+AS25+Y25*1000-AO25+Hypothèses!$J$23</f>
        <v>22645.3621153656</v>
      </c>
      <c r="AU25" s="2" t="n">
        <f aca="false">AT25/AQ25</f>
        <v>2.82702851817533</v>
      </c>
      <c r="AV25" s="2" t="n">
        <f aca="false">Hypothèses!$J$26*AQ25-AT25</f>
        <v>1385.55441389007</v>
      </c>
      <c r="AW25" s="2" t="n">
        <f aca="false">IF(AC25&gt;Hypothèses!$J$26,MAX(0,AV25)/(1-Hypothèses!$J$26/AC25),0)</f>
        <v>1984.04207572691</v>
      </c>
      <c r="AX25" s="2" t="n">
        <f aca="false">AQ25-Entrées!$C$17*1000</f>
        <v>10.3055097518763</v>
      </c>
      <c r="AY25" s="2" t="n">
        <f aca="false">AI25+(Entrées!$C$244-Entrées!$C$13)</f>
        <v>28374.1581764245</v>
      </c>
      <c r="AZ25" s="2" t="n">
        <f aca="false">AA25*AH25</f>
        <v>5556.67826997967</v>
      </c>
      <c r="BA25" s="2" t="n">
        <f aca="false">AZ25/AY25</f>
        <v>0.195835881206745</v>
      </c>
      <c r="BB25" s="2" t="n">
        <f aca="false">AZ25/(Entrées!$C$151/100)-AY25</f>
        <v>2496.27665679588</v>
      </c>
      <c r="BC25" s="2" t="n">
        <f aca="false">AT25+(Entrées!$C$244-Entrées!$C$13)</f>
        <v>28392.3621153656</v>
      </c>
      <c r="BD25" s="2" t="n">
        <f aca="false">AA25*AQ25</f>
        <v>5921.24051845026</v>
      </c>
      <c r="BE25" s="2" t="n">
        <f aca="false">BD25/BC25</f>
        <v>0.208550471932935</v>
      </c>
      <c r="BF25" s="2" t="n">
        <f aca="false">BD25/(Entrées!$C$151/100)-BC25</f>
        <v>4503.41854269144</v>
      </c>
      <c r="BG25" s="2" t="n">
        <f aca="false">MIN(AV25,BF25)</f>
        <v>1385.55441389007</v>
      </c>
      <c r="BH25" s="2" t="n">
        <f aca="false">IF(AC25&gt;Hypothèses!$J$26,MAX(0,BG25)/(1-Hypothèses!$J$26/AC25),0)</f>
        <v>1984.04207572691</v>
      </c>
    </row>
    <row r="26" customFormat="false" ht="15" hidden="false" customHeight="false" outlineLevel="0" collapsed="false">
      <c r="A26" s="2" t="n">
        <v>11</v>
      </c>
      <c r="B26" s="2" t="n">
        <v>0.176536611</v>
      </c>
      <c r="C26" s="2"/>
      <c r="D26" s="2" t="n">
        <v>0.172971225</v>
      </c>
      <c r="E26" s="2" t="n">
        <f aca="false">IF(E$7=E$5,E$6,IF(NORMSDIST(E$9*SQRT($C$11)*NORMSINV($B26)+SQRT(1-E$9^2*$C$11)*NORMSINV(D26))&lt;E$8,E$5+SQRT(NORMSDIST(E$9*SQRT($C$11)*NORMSINV($B26)+SQRT(1-E$9^2*$C$11)*NORMSINV(D26))*(E$7-E$5)*(E$6-E$5)),E$7-SQRT((1-NORMSDIST(E$9*SQRT($C$11)*NORMSINV($B26)+SQRT(1-E$9^2*$C$11)*NORMSINV(D26)))*(E$7-E$5)*(E$7-E$6))))</f>
        <v>0.0521662923103429</v>
      </c>
      <c r="F26" s="2" t="n">
        <v>0.262996222</v>
      </c>
      <c r="G26" s="2" t="n">
        <f aca="false">IF(G$7=G$5,G$6,IF(NORMSDIST(G$9*SQRT($C$11)*NORMSINV($B26)+SQRT(1-G$9^2*$C$11)*NORMSINV(F26))&lt;G$8,G$5+SQRT(NORMSDIST(G$9*SQRT($C$11)*NORMSINV($B26)+SQRT(1-G$9^2*$C$11)*NORMSINV(F26))*(G$7-G$5)*(G$6-G$5)),G$7-SQRT((1-NORMSDIST(G$9*SQRT($C$11)*NORMSINV($B26)+SQRT(1-G$9^2*$C$11)*NORMSINV(F26)))*(G$7-G$5)*(G$7-G$6))))</f>
        <v>0.0479485737262505</v>
      </c>
      <c r="H26" s="2" t="n">
        <v>0.366809703</v>
      </c>
      <c r="I26" s="2" t="n">
        <f aca="false">IF(I$7=I$5,I$6,IF(NORMSDIST(I$9*SQRT($C$11)*NORMSINV($B26)+SQRT(1-I$9^2*$C$11)*NORMSINV(H26))&lt;I$8,I$5+SQRT(NORMSDIST(I$9*SQRT($C$11)*NORMSINV($B26)+SQRT(1-I$9^2*$C$11)*NORMSINV(H26))*(I$7-I$5)*(I$6-I$5)),I$7-SQRT((1-NORMSDIST(I$9*SQRT($C$11)*NORMSINV($B26)+SQRT(1-I$9^2*$C$11)*NORMSINV(H26)))*(I$7-I$5)*(I$7-I$6))))</f>
        <v>192.566724497456</v>
      </c>
      <c r="J26" s="2" t="n">
        <v>0.559639132</v>
      </c>
      <c r="K26" s="2" t="n">
        <f aca="false">IF(K$7=K$5,K$6,IF(NORMSDIST(K$9*SQRT($C$11)*NORMSINV($B26)+SQRT(1-K$9^2*$C$11)*NORMSINV(J26))&lt;K$8,K$5+SQRT(NORMSDIST(K$9*SQRT($C$11)*NORMSINV($B26)+SQRT(1-K$9^2*$C$11)*NORMSINV(J26))*(K$7-K$5)*(K$6-K$5)),K$7-SQRT((1-NORMSDIST(K$9*SQRT($C$11)*NORMSINV($B26)+SQRT(1-K$9^2*$C$11)*NORMSINV(J26)))*(K$7-K$5)*(K$7-K$6))))</f>
        <v>0.199620414684526</v>
      </c>
      <c r="L26" s="2" t="n">
        <v>0.374156232</v>
      </c>
      <c r="M26" s="2" t="n">
        <f aca="false">IF(M$7=M$5,M$6,IF(NORMSDIST(M$9*SQRT($C$11)*NORMSINV($B26)+SQRT(1-M$9^2*$C$11)*NORMSINV(L26))&lt;M$8,M$5+SQRT(NORMSDIST(M$9*SQRT($C$11)*NORMSINV($B26)+SQRT(1-M$9^2*$C$11)*NORMSINV(L26))*(M$7-M$5)*(M$6-M$5)),M$7-SQRT((1-NORMSDIST(M$9*SQRT($C$11)*NORMSINV($B26)+SQRT(1-M$9^2*$C$11)*NORMSINV(L26)))*(M$7-M$5)*(M$7-M$6))))</f>
        <v>1482.36689550437</v>
      </c>
      <c r="N26" s="2" t="n">
        <v>0.636883049</v>
      </c>
      <c r="O26" s="2" t="n">
        <f aca="false">IF(O$7=O$5,O$6,IF(NORMSDIST(O$9*SQRT($C$11)*NORMSINV($B26)+SQRT(1-O$9^2*$C$11)*NORMSINV(N26))&lt;O$8,O$5+SQRT(NORMSDIST(O$9*SQRT($C$11)*NORMSINV($B26)+SQRT(1-O$9^2*$C$11)*NORMSINV(N26))*(O$7-O$5)*(O$6-O$5)),O$7-SQRT((1-NORMSDIST(O$9*SQRT($C$11)*NORMSINV($B26)+SQRT(1-O$9^2*$C$11)*NORMSINV(N26)))*(O$7-O$5)*(O$7-O$6))))</f>
        <v>0.163225714643148</v>
      </c>
      <c r="P26" s="2" t="n">
        <v>0.568502265</v>
      </c>
      <c r="Q26" s="2" t="n">
        <f aca="false">IF(Q$7=Q$5,Q$6,IF(NORMSDIST(Q$9*SQRT($C$11)*NORMSINV($B26)+SQRT(1-Q$9^2*$C$11)*NORMSINV(P26))&lt;Q$8,Q$5+SQRT(NORMSDIST(Q$9*SQRT($C$11)*NORMSINV($B26)+SQRT(1-Q$9^2*$C$11)*NORMSINV(P26))*(Q$7-Q$5)*(Q$6-Q$5)),Q$7-SQRT((1-NORMSDIST(Q$9*SQRT($C$11)*NORMSINV($B26)+SQRT(1-Q$9^2*$C$11)*NORMSINV(P26)))*(Q$7-Q$5)*(Q$7-Q$6))))</f>
        <v>0.0828409802066847</v>
      </c>
      <c r="R26" s="2" t="n">
        <v>0.544569189</v>
      </c>
      <c r="S26" s="2" t="n">
        <f aca="false">IF(S$7=S$5,S$6,IF(NORMSDIST(S$9*SQRT($C$11)*NORMSINV($B26)+SQRT(1-S$9^2*$C$11)*NORMSINV(R26))&lt;S$8,S$5+SQRT(NORMSDIST(S$9*SQRT($C$11)*NORMSINV($B26)+SQRT(1-S$9^2*$C$11)*NORMSINV(R26))*(S$7-S$5)*(S$6-S$5)),S$7-SQRT((1-NORMSDIST(S$9*SQRT($C$11)*NORMSINV($B26)+SQRT(1-S$9^2*$C$11)*NORMSINV(R26)))*(S$7-S$5)*(S$7-S$6))))</f>
        <v>0.392634154052999</v>
      </c>
      <c r="T26" s="2" t="n">
        <v>0.310528597</v>
      </c>
      <c r="U26" s="2" t="n">
        <f aca="false">IF(U$7=U$5,U$6,IF(NORMSDIST(U$9*SQRT($C$11)*NORMSINV($B26)+SQRT(1-U$9^2*$C$11)*NORMSINV(T26))&lt;U$8,U$5+SQRT(NORMSDIST(U$9*SQRT($C$11)*NORMSINV($B26)+SQRT(1-U$9^2*$C$11)*NORMSINV(T26))*(U$7-U$5)*(U$6-U$5)),U$7-SQRT((1-NORMSDIST(U$9*SQRT($C$11)*NORMSINV($B26)+SQRT(1-U$9^2*$C$11)*NORMSINV(T26)))*(U$7-U$5)*(U$7-U$6))))</f>
        <v>0.288063233635206</v>
      </c>
      <c r="V26" s="2" t="n">
        <v>0.470233199</v>
      </c>
      <c r="W26" s="2" t="n">
        <f aca="false">IF(W$7=W$5,W$6,IF(NORMSDIST(W$9*SQRT($C$11)*NORMSINV($B26)+SQRT(1-W$9^2*$C$11)*NORMSINV(V26))&lt;W$8,W$5+SQRT(NORMSDIST(W$9*SQRT($C$11)*NORMSINV($B26)+SQRT(1-W$9^2*$C$11)*NORMSINV(V26))*(W$7-W$5)*(W$6-W$5)),W$7-SQRT((1-NORMSDIST(W$9*SQRT($C$11)*NORMSINV($B26)+SQRT(1-W$9^2*$C$11)*NORMSINV(V26)))*(W$7-W$5)*(W$7-W$6))))</f>
        <v>9.44057347634241</v>
      </c>
      <c r="X26" s="2" t="n">
        <v>0.615209695</v>
      </c>
      <c r="Y26" s="2" t="n">
        <f aca="false">IF(Y$7=Y$5,Y$6,IF(NORMSDIST(Y$9*SQRT($C$11)*NORMSINV($B26)+SQRT(1-Y$9^2*$C$11)*NORMSINV(X26))&lt;Y$8,Y$5+SQRT(NORMSDIST(Y$9*SQRT($C$11)*NORMSINV($B26)+SQRT(1-Y$9^2*$C$11)*NORMSINV(X26))*(Y$7-Y$5)*(Y$6-Y$5)),Y$7-SQRT((1-NORMSDIST(Y$9*SQRT($C$11)*NORMSINV($B26)+SQRT(1-Y$9^2*$C$11)*NORMSINV(X26)))*(Y$7-Y$5)*(Y$7-Y$6))))</f>
        <v>0.561371281719949</v>
      </c>
      <c r="Z26" s="2" t="n">
        <v>0.251680265</v>
      </c>
      <c r="AA26" s="2" t="n">
        <f aca="false">IF(AA$7=AA$5,AA$6,IF(NORMSDIST(AA$9*SQRT($C$11)*NORMSINV($B26)+SQRT(1-AA$9^2*$C$11)*NORMSINV(Z26))&lt;AA$8,AA$5+SQRT(NORMSDIST(AA$9*SQRT($C$11)*NORMSINV($B26)+SQRT(1-AA$9^2*$C$11)*NORMSINV(Z26))*(AA$7-AA$5)*(AA$6-AA$5)),AA$7-SQRT((1-NORMSDIST(AA$9*SQRT($C$11)*NORMSINV($B26)+SQRT(1-AA$9^2*$C$11)*NORMSINV(Z26)))*(AA$7-AA$5)*(AA$7-AA$6))))</f>
        <v>0.712291316738745</v>
      </c>
      <c r="AB26" s="2" t="n">
        <v>0.637815809</v>
      </c>
      <c r="AC26" s="2" t="n">
        <f aca="false">IF(AC$7=AC$5,AC$6,IF(NORMSDIST(AC$9*SQRT($C$11)*NORMSINV($B26)+SQRT(1-AC$9^2*$C$11)*NORMSINV(AB26))&lt;AC$8,AC$5+SQRT(NORMSDIST(AC$9*SQRT($C$11)*NORMSINV($B26)+SQRT(1-AC$9^2*$C$11)*NORMSINV(AB26))*(AC$7-AC$5)*(AC$6-AC$5)),AC$7-SQRT((1-NORMSDIST(AC$9*SQRT($C$11)*NORMSINV($B26)+SQRT(1-AC$9^2*$C$11)*NORMSINV(AB26)))*(AC$7-AC$5)*(AC$7-AC$6))))</f>
        <v>9.20405380043077</v>
      </c>
      <c r="AD26" s="2" t="n">
        <f aca="false">Entrées!$C$8*(1+E26)</f>
        <v>7417.77236078792</v>
      </c>
      <c r="AE26" s="2" t="n">
        <f aca="false">I26*Hypothèses!$J$24/12/Hypothèses!$J$19</f>
        <v>95.5317356894091</v>
      </c>
      <c r="AF26" s="2" t="n">
        <f aca="false">Entrées!$C$36*S26*1000</f>
        <v>196.3170770265</v>
      </c>
      <c r="AG26" s="2" t="n">
        <f aca="false">-AF26/W26</f>
        <v>-20.7950372420129</v>
      </c>
      <c r="AH26" s="2" t="n">
        <f aca="false">AD26+AE26+AG26</f>
        <v>7492.50905923531</v>
      </c>
      <c r="AI26" s="2" t="n">
        <f aca="false">Entrées!$C$16-M26+Hypothèses!$J$22*1000-AF26+Hypothèses!$J$23</f>
        <v>22869.3160274691</v>
      </c>
      <c r="AJ26" s="2" t="n">
        <f aca="false">AI26/AH26</f>
        <v>3.05229074088076</v>
      </c>
      <c r="AK26" s="2" t="n">
        <f aca="false">AI26/(AH26+I26*(12-Hypothèses!$J$24)/12/Hypothèses!$J$19)</f>
        <v>3.02474332390515</v>
      </c>
      <c r="AL26" s="2" t="n">
        <f aca="false">(AD26+AG26+I26/Hypothèses!$J$19)*(1+G26)</f>
        <v>7923.27300094331</v>
      </c>
      <c r="AM26" s="2" t="n">
        <f aca="false">Entrées!$C$54*K26/Hypothèses!$J$19</f>
        <v>20.3721014705145</v>
      </c>
      <c r="AN26" s="2" t="n">
        <f aca="false">Y26*1000/AC26</f>
        <v>60.9917427572703</v>
      </c>
      <c r="AO26" s="2" t="n">
        <f aca="false">(Entrées!$C$36*(1-S26)+MAX(0,Entrées!$C$30-Entrées!$C$35-Entrées!$C$36)*U26)*1000</f>
        <v>706.971450062789</v>
      </c>
      <c r="AP26" s="2" t="n">
        <f aca="false">-AO26/W26</f>
        <v>-74.8864941133526</v>
      </c>
      <c r="AQ26" s="2" t="n">
        <f aca="false">AL26+AM26+AN26+AP26</f>
        <v>7929.75035105774</v>
      </c>
      <c r="AR26" s="2" t="n">
        <f aca="false">O26*AQ26-Hypothèses!$J$25/Hypothèses!$J$19</f>
        <v>1275.20400573153</v>
      </c>
      <c r="AS26" s="2" t="n">
        <f aca="false">Entrées!$C$79*(1+Q26)+Hypothèses!$J$20</f>
        <v>1485.04223724715</v>
      </c>
      <c r="AT26" s="2" t="n">
        <f aca="false">AI26-AR26+AS26+Y26*1000-AO26+Hypothèses!$J$23</f>
        <v>22933.5540906419</v>
      </c>
      <c r="AU26" s="2" t="n">
        <f aca="false">AT26/AQ26</f>
        <v>2.89209030238674</v>
      </c>
      <c r="AV26" s="2" t="n">
        <f aca="false">Hypothèses!$J$26*AQ26-AT26</f>
        <v>855.69696253131</v>
      </c>
      <c r="AW26" s="2" t="n">
        <f aca="false">IF(AC26&gt;Hypothèses!$J$26,MAX(0,AV26)/(1-Hypothèses!$J$26/AC26),0)</f>
        <v>1269.47333684574</v>
      </c>
      <c r="AX26" s="2" t="n">
        <f aca="false">AQ26-Entrées!$C$17*1000</f>
        <v>-70.2496489422611</v>
      </c>
      <c r="AY26" s="2" t="n">
        <f aca="false">AI26+(Entrées!$C$244-Entrées!$C$13)</f>
        <v>28616.3160274691</v>
      </c>
      <c r="AZ26" s="2" t="n">
        <f aca="false">AA26*AH26</f>
        <v>5336.8491434797</v>
      </c>
      <c r="BA26" s="2" t="n">
        <f aca="false">AZ26/AY26</f>
        <v>0.186496722301948</v>
      </c>
      <c r="BB26" s="2" t="n">
        <f aca="false">AZ26/(Entrées!$C$151/100)-AY26</f>
        <v>1032.8458807514</v>
      </c>
      <c r="BC26" s="2" t="n">
        <f aca="false">AT26+(Entrées!$C$244-Entrées!$C$13)</f>
        <v>28680.5540906419</v>
      </c>
      <c r="BD26" s="2" t="n">
        <f aca="false">AA26*AQ26</f>
        <v>5648.29231896444</v>
      </c>
      <c r="BE26" s="2" t="n">
        <f aca="false">BD26/BC26</f>
        <v>0.196938047330383</v>
      </c>
      <c r="BF26" s="2" t="n">
        <f aca="false">BD26/(Entrées!$C$151/100)-BC26</f>
        <v>2698.84768138276</v>
      </c>
      <c r="BG26" s="2" t="n">
        <f aca="false">MIN(AV26,BF26)</f>
        <v>855.69696253131</v>
      </c>
      <c r="BH26" s="2" t="n">
        <f aca="false">IF(AC26&gt;Hypothèses!$J$26,MAX(0,BG26)/(1-Hypothèses!$J$26/AC26),0)</f>
        <v>1269.47333684574</v>
      </c>
    </row>
    <row r="27" customFormat="false" ht="15" hidden="false" customHeight="false" outlineLevel="0" collapsed="false">
      <c r="A27" s="2" t="n">
        <v>12</v>
      </c>
      <c r="B27" s="2" t="n">
        <v>0.918186189</v>
      </c>
      <c r="C27" s="2"/>
      <c r="D27" s="2" t="n">
        <v>0.416487133</v>
      </c>
      <c r="E27" s="2" t="n">
        <f aca="false">IF(E$7=E$5,E$6,IF(NORMSDIST(E$9*SQRT($C$11)*NORMSINV($B27)+SQRT(1-E$9^2*$C$11)*NORMSINV(D27))&lt;E$8,E$5+SQRT(NORMSDIST(E$9*SQRT($C$11)*NORMSINV($B27)+SQRT(1-E$9^2*$C$11)*NORMSINV(D27))*(E$7-E$5)*(E$6-E$5)),E$7-SQRT((1-NORMSDIST(E$9*SQRT($C$11)*NORMSINV($B27)+SQRT(1-E$9^2*$C$11)*NORMSINV(D27)))*(E$7-E$5)*(E$7-E$6))))</f>
        <v>0.0565613269447145</v>
      </c>
      <c r="F27" s="2" t="n">
        <v>0.145814468</v>
      </c>
      <c r="G27" s="2" t="n">
        <f aca="false">IF(G$7=G$5,G$6,IF(NORMSDIST(G$9*SQRT($C$11)*NORMSINV($B27)+SQRT(1-G$9^2*$C$11)*NORMSINV(F27))&lt;G$8,G$5+SQRT(NORMSDIST(G$9*SQRT($C$11)*NORMSINV($B27)+SQRT(1-G$9^2*$C$11)*NORMSINV(F27))*(G$7-G$5)*(G$6-G$5)),G$7-SQRT((1-NORMSDIST(G$9*SQRT($C$11)*NORMSINV($B27)+SQRT(1-G$9^2*$C$11)*NORMSINV(F27)))*(G$7-G$5)*(G$7-G$6))))</f>
        <v>0.0553885895191178</v>
      </c>
      <c r="H27" s="2" t="n">
        <v>0.022628593</v>
      </c>
      <c r="I27" s="2" t="n">
        <f aca="false">IF(I$7=I$5,I$6,IF(NORMSDIST(I$9*SQRT($C$11)*NORMSINV($B27)+SQRT(1-I$9^2*$C$11)*NORMSINV(H27))&lt;I$8,I$5+SQRT(NORMSDIST(I$9*SQRT($C$11)*NORMSINV($B27)+SQRT(1-I$9^2*$C$11)*NORMSINV(H27))*(I$7-I$5)*(I$6-I$5)),I$7-SQRT((1-NORMSDIST(I$9*SQRT($C$11)*NORMSINV($B27)+SQRT(1-I$9^2*$C$11)*NORMSINV(H27)))*(I$7-I$5)*(I$7-I$6))))</f>
        <v>194.18297160969</v>
      </c>
      <c r="J27" s="2" t="n">
        <v>0.948861464</v>
      </c>
      <c r="K27" s="2" t="n">
        <f aca="false">IF(K$7=K$5,K$6,IF(NORMSDIST(K$9*SQRT($C$11)*NORMSINV($B27)+SQRT(1-K$9^2*$C$11)*NORMSINV(J27))&lt;K$8,K$5+SQRT(NORMSDIST(K$9*SQRT($C$11)*NORMSINV($B27)+SQRT(1-K$9^2*$C$11)*NORMSINV(J27))*(K$7-K$5)*(K$6-K$5)),K$7-SQRT((1-NORMSDIST(K$9*SQRT($C$11)*NORMSINV($B27)+SQRT(1-K$9^2*$C$11)*NORMSINV(J27)))*(K$7-K$5)*(K$7-K$6))))</f>
        <v>0.455401995550739</v>
      </c>
      <c r="L27" s="2" t="n">
        <v>0.540657838</v>
      </c>
      <c r="M27" s="2" t="n">
        <f aca="false">IF(M$7=M$5,M$6,IF(NORMSDIST(M$9*SQRT($C$11)*NORMSINV($B27)+SQRT(1-M$9^2*$C$11)*NORMSINV(L27))&lt;M$8,M$5+SQRT(NORMSDIST(M$9*SQRT($C$11)*NORMSINV($B27)+SQRT(1-M$9^2*$C$11)*NORMSINV(L27))*(M$7-M$5)*(M$6-M$5)),M$7-SQRT((1-NORMSDIST(M$9*SQRT($C$11)*NORMSINV($B27)+SQRT(1-M$9^2*$C$11)*NORMSINV(L27)))*(M$7-M$5)*(M$7-M$6))))</f>
        <v>1676.07738650599</v>
      </c>
      <c r="N27" s="2" t="n">
        <v>0.345726295</v>
      </c>
      <c r="O27" s="2" t="n">
        <f aca="false">IF(O$7=O$5,O$6,IF(NORMSDIST(O$9*SQRT($C$11)*NORMSINV($B27)+SQRT(1-O$9^2*$C$11)*NORMSINV(N27))&lt;O$8,O$5+SQRT(NORMSDIST(O$9*SQRT($C$11)*NORMSINV($B27)+SQRT(1-O$9^2*$C$11)*NORMSINV(N27))*(O$7-O$5)*(O$6-O$5)),O$7-SQRT((1-NORMSDIST(O$9*SQRT($C$11)*NORMSINV($B27)+SQRT(1-O$9^2*$C$11)*NORMSINV(N27)))*(O$7-O$5)*(O$7-O$6))))</f>
        <v>0.172633804428722</v>
      </c>
      <c r="P27" s="2" t="n">
        <v>0.493442321</v>
      </c>
      <c r="Q27" s="2" t="n">
        <f aca="false">IF(Q$7=Q$5,Q$6,IF(NORMSDIST(Q$9*SQRT($C$11)*NORMSINV($B27)+SQRT(1-Q$9^2*$C$11)*NORMSINV(P27))&lt;Q$8,Q$5+SQRT(NORMSDIST(Q$9*SQRT($C$11)*NORMSINV($B27)+SQRT(1-Q$9^2*$C$11)*NORMSINV(P27))*(Q$7-Q$5)*(Q$6-Q$5)),Q$7-SQRT((1-NORMSDIST(Q$9*SQRT($C$11)*NORMSINV($B27)+SQRT(1-Q$9^2*$C$11)*NORMSINV(P27)))*(Q$7-Q$5)*(Q$7-Q$6))))</f>
        <v>0.0797368270902446</v>
      </c>
      <c r="R27" s="2" t="n">
        <v>0.459715588</v>
      </c>
      <c r="S27" s="2" t="n">
        <f aca="false">IF(S$7=S$5,S$6,IF(NORMSDIST(S$9*SQRT($C$11)*NORMSINV($B27)+SQRT(1-S$9^2*$C$11)*NORMSINV(R27))&lt;S$8,S$5+SQRT(NORMSDIST(S$9*SQRT($C$11)*NORMSINV($B27)+SQRT(1-S$9^2*$C$11)*NORMSINV(R27))*(S$7-S$5)*(S$6-S$5)),S$7-SQRT((1-NORMSDIST(S$9*SQRT($C$11)*NORMSINV($B27)+SQRT(1-S$9^2*$C$11)*NORMSINV(R27)))*(S$7-S$5)*(S$7-S$6))))</f>
        <v>0.675122789504771</v>
      </c>
      <c r="T27" s="2" t="n">
        <v>0.101439225</v>
      </c>
      <c r="U27" s="2" t="n">
        <f aca="false">IF(U$7=U$5,U$6,IF(NORMSDIST(U$9*SQRT($C$11)*NORMSINV($B27)+SQRT(1-U$9^2*$C$11)*NORMSINV(T27))&lt;U$8,U$5+SQRT(NORMSDIST(U$9*SQRT($C$11)*NORMSINV($B27)+SQRT(1-U$9^2*$C$11)*NORMSINV(T27))*(U$7-U$5)*(U$6-U$5)),U$7-SQRT((1-NORMSDIST(U$9*SQRT($C$11)*NORMSINV($B27)+SQRT(1-U$9^2*$C$11)*NORMSINV(T27)))*(U$7-U$5)*(U$7-U$6))))</f>
        <v>0.478560471051305</v>
      </c>
      <c r="V27" s="2" t="n">
        <v>0.506650053</v>
      </c>
      <c r="W27" s="2" t="n">
        <f aca="false">IF(W$7=W$5,W$6,IF(NORMSDIST(W$9*SQRT($C$11)*NORMSINV($B27)+SQRT(1-W$9^2*$C$11)*NORMSINV(V27))&lt;W$8,W$5+SQRT(NORMSDIST(W$9*SQRT($C$11)*NORMSINV($B27)+SQRT(1-W$9^2*$C$11)*NORMSINV(V27))*(W$7-W$5)*(W$6-W$5)),W$7-SQRT((1-NORMSDIST(W$9*SQRT($C$11)*NORMSINV($B27)+SQRT(1-W$9^2*$C$11)*NORMSINV(V27)))*(W$7-W$5)*(W$7-W$6))))</f>
        <v>10.7811943260658</v>
      </c>
      <c r="X27" s="2" t="n">
        <v>0.964747038</v>
      </c>
      <c r="Y27" s="2" t="n">
        <f aca="false">IF(Y$7=Y$5,Y$6,IF(NORMSDIST(Y$9*SQRT($C$11)*NORMSINV($B27)+SQRT(1-Y$9^2*$C$11)*NORMSINV(X27))&lt;Y$8,Y$5+SQRT(NORMSDIST(Y$9*SQRT($C$11)*NORMSINV($B27)+SQRT(1-Y$9^2*$C$11)*NORMSINV(X27))*(Y$7-Y$5)*(Y$6-Y$5)),Y$7-SQRT((1-NORMSDIST(Y$9*SQRT($C$11)*NORMSINV($B27)+SQRT(1-Y$9^2*$C$11)*NORMSINV(X27)))*(Y$7-Y$5)*(Y$7-Y$6))))</f>
        <v>0.867235241874961</v>
      </c>
      <c r="Z27" s="2" t="n">
        <v>0.425637686</v>
      </c>
      <c r="AA27" s="2" t="n">
        <f aca="false">IF(AA$7=AA$5,AA$6,IF(NORMSDIST(AA$9*SQRT($C$11)*NORMSINV($B27)+SQRT(1-AA$9^2*$C$11)*NORMSINV(Z27))&lt;AA$8,AA$5+SQRT(NORMSDIST(AA$9*SQRT($C$11)*NORMSINV($B27)+SQRT(1-AA$9^2*$C$11)*NORMSINV(Z27))*(AA$7-AA$5)*(AA$6-AA$5)),AA$7-SQRT((1-NORMSDIST(AA$9*SQRT($C$11)*NORMSINV($B27)+SQRT(1-AA$9^2*$C$11)*NORMSINV(Z27)))*(AA$7-AA$5)*(AA$7-AA$6))))</f>
        <v>0.736641235346732</v>
      </c>
      <c r="AB27" s="2" t="n">
        <v>0.590015371</v>
      </c>
      <c r="AC27" s="2" t="n">
        <f aca="false">IF(AC$7=AC$5,AC$6,IF(NORMSDIST(AC$9*SQRT($C$11)*NORMSINV($B27)+SQRT(1-AC$9^2*$C$11)*NORMSINV(AB27))&lt;AC$8,AC$5+SQRT(NORMSDIST(AC$9*SQRT($C$11)*NORMSINV($B27)+SQRT(1-AC$9^2*$C$11)*NORMSINV(AB27))*(AC$7-AC$5)*(AC$6-AC$5)),AC$7-SQRT((1-NORMSDIST(AC$9*SQRT($C$11)*NORMSINV($B27)+SQRT(1-AC$9^2*$C$11)*NORMSINV(AB27)))*(AC$7-AC$5)*(AC$7-AC$6))))</f>
        <v>10.2080223065531</v>
      </c>
      <c r="AD27" s="2" t="n">
        <f aca="false">Entrées!$C$8*(1+E27)</f>
        <v>7448.75735496024</v>
      </c>
      <c r="AE27" s="2" t="n">
        <f aca="false">I27*Hypothèses!$J$24/12/Hypothèses!$J$19</f>
        <v>96.3335507087884</v>
      </c>
      <c r="AF27" s="2" t="n">
        <f aca="false">Entrées!$C$36*S27*1000</f>
        <v>337.561394752386</v>
      </c>
      <c r="AG27" s="2" t="n">
        <f aca="false">-AF27/W27</f>
        <v>-31.3102040964293</v>
      </c>
      <c r="AH27" s="2" t="n">
        <f aca="false">AD27+AE27+AG27</f>
        <v>7513.7807015726</v>
      </c>
      <c r="AI27" s="2" t="n">
        <f aca="false">Entrées!$C$16-M27+Hypothèses!$J$22*1000-AF27+Hypothèses!$J$23</f>
        <v>22534.3612187416</v>
      </c>
      <c r="AJ27" s="2" t="n">
        <f aca="false">AI27/AH27</f>
        <v>2.99907092231549</v>
      </c>
      <c r="AK27" s="2" t="n">
        <f aca="false">AI27/(AH27+I27*(12-Hypothèses!$J$24)/12/Hypothèses!$J$19)</f>
        <v>2.97185527471537</v>
      </c>
      <c r="AL27" s="2" t="n">
        <f aca="false">(AD27+AG27+I27/Hypothèses!$J$19)*(1+G27)</f>
        <v>8002.57936673575</v>
      </c>
      <c r="AM27" s="2" t="n">
        <f aca="false">Entrées!$C$54*K27/Hypothèses!$J$19</f>
        <v>46.4756857553688</v>
      </c>
      <c r="AN27" s="2" t="n">
        <f aca="false">Y27*1000/AC27</f>
        <v>84.9562447878112</v>
      </c>
      <c r="AO27" s="2" t="n">
        <f aca="false">(Entrées!$C$36*(1-S27)+MAX(0,Entrées!$C$30-Entrées!$C$35-Entrées!$C$36)*U27)*1000</f>
        <v>832.423264719441</v>
      </c>
      <c r="AP27" s="2" t="n">
        <f aca="false">-AO27/W27</f>
        <v>-77.2106725418058</v>
      </c>
      <c r="AQ27" s="2" t="n">
        <f aca="false">AL27+AM27+AN27+AP27</f>
        <v>8056.80062473713</v>
      </c>
      <c r="AR27" s="2" t="n">
        <f aca="false">O27*AQ27-Hypothèses!$J$25/Hypothèses!$J$19</f>
        <v>1371.74098111045</v>
      </c>
      <c r="AS27" s="2" t="n">
        <f aca="false">Entrées!$C$79*(1+Q27)+Hypothèses!$J$20</f>
        <v>1481.63077297218</v>
      </c>
      <c r="AT27" s="2" t="n">
        <f aca="false">AI27-AR27+AS27+Y27*1000-AO27+Hypothèses!$J$23</f>
        <v>22679.0629877589</v>
      </c>
      <c r="AU27" s="2" t="n">
        <f aca="false">AT27/AQ27</f>
        <v>2.81489688575964</v>
      </c>
      <c r="AV27" s="2" t="n">
        <f aca="false">Hypothèses!$J$26*AQ27-AT27</f>
        <v>1491.3388864525</v>
      </c>
      <c r="AW27" s="2" t="n">
        <f aca="false">IF(AC27&gt;Hypothèses!$J$26,MAX(0,AV27)/(1-Hypothèses!$J$26/AC27),0)</f>
        <v>2112.03849989432</v>
      </c>
      <c r="AX27" s="2" t="n">
        <f aca="false">AQ27-Entrées!$C$17*1000</f>
        <v>56.8006247371268</v>
      </c>
      <c r="AY27" s="2" t="n">
        <f aca="false">AI27+(Entrées!$C$244-Entrées!$C$13)</f>
        <v>28281.3612187416</v>
      </c>
      <c r="AZ27" s="2" t="n">
        <f aca="false">AA27*AH27</f>
        <v>5534.96069813087</v>
      </c>
      <c r="BA27" s="2" t="n">
        <f aca="false">AZ27/AY27</f>
        <v>0.195710547852376</v>
      </c>
      <c r="BB27" s="2" t="n">
        <f aca="false">AZ27/(Entrées!$C$151/100)-AY27</f>
        <v>2468.42043754099</v>
      </c>
      <c r="BC27" s="2" t="n">
        <f aca="false">AT27+(Entrées!$C$244-Entrées!$C$13)</f>
        <v>28426.0629877589</v>
      </c>
      <c r="BD27" s="2" t="n">
        <f aca="false">AA27*AQ27</f>
        <v>5934.97156514868</v>
      </c>
      <c r="BE27" s="2" t="n">
        <f aca="false">BD27/BC27</f>
        <v>0.208786266592896</v>
      </c>
      <c r="BF27" s="2" t="n">
        <f aca="false">BD27/(Entrées!$C$151/100)-BC27</f>
        <v>4546.00126306711</v>
      </c>
      <c r="BG27" s="2" t="n">
        <f aca="false">MIN(AV27,BF27)</f>
        <v>1491.3388864525</v>
      </c>
      <c r="BH27" s="2" t="n">
        <f aca="false">IF(AC27&gt;Hypothèses!$J$26,MAX(0,BG27)/(1-Hypothèses!$J$26/AC27),0)</f>
        <v>2112.03849989432</v>
      </c>
    </row>
    <row r="28" customFormat="false" ht="15" hidden="false" customHeight="false" outlineLevel="0" collapsed="false">
      <c r="A28" s="2" t="n">
        <v>13</v>
      </c>
      <c r="B28" s="2" t="n">
        <v>0.299737927</v>
      </c>
      <c r="C28" s="2"/>
      <c r="D28" s="2" t="n">
        <v>0.906130128</v>
      </c>
      <c r="E28" s="2" t="n">
        <f aca="false">IF(E$7=E$5,E$6,IF(NORMSDIST(E$9*SQRT($C$11)*NORMSINV($B28)+SQRT(1-E$9^2*$C$11)*NORMSINV(D28))&lt;E$8,E$5+SQRT(NORMSDIST(E$9*SQRT($C$11)*NORMSINV($B28)+SQRT(1-E$9^2*$C$11)*NORMSINV(D28))*(E$7-E$5)*(E$6-E$5)),E$7-SQRT((1-NORMSDIST(E$9*SQRT($C$11)*NORMSINV($B28)+SQRT(1-E$9^2*$C$11)*NORMSINV(D28)))*(E$7-E$5)*(E$7-E$6))))</f>
        <v>0.0564953442989786</v>
      </c>
      <c r="F28" s="2" t="n">
        <v>0.037153109</v>
      </c>
      <c r="G28" s="2" t="n">
        <f aca="false">IF(G$7=G$5,G$6,IF(NORMSDIST(G$9*SQRT($C$11)*NORMSINV($B28)+SQRT(1-G$9^2*$C$11)*NORMSINV(F28))&lt;G$8,G$5+SQRT(NORMSDIST(G$9*SQRT($C$11)*NORMSINV($B28)+SQRT(1-G$9^2*$C$11)*NORMSINV(F28))*(G$7-G$5)*(G$6-G$5)),G$7-SQRT((1-NORMSDIST(G$9*SQRT($C$11)*NORMSINV($B28)+SQRT(1-G$9^2*$C$11)*NORMSINV(F28)))*(G$7-G$5)*(G$7-G$6))))</f>
        <v>0.0444096611487072</v>
      </c>
      <c r="H28" s="2" t="n">
        <v>0.935678118</v>
      </c>
      <c r="I28" s="2" t="n">
        <f aca="false">IF(I$7=I$5,I$6,IF(NORMSDIST(I$9*SQRT($C$11)*NORMSINV($B28)+SQRT(1-I$9^2*$C$11)*NORMSINV(H28))&lt;I$8,I$5+SQRT(NORMSDIST(I$9*SQRT($C$11)*NORMSINV($B28)+SQRT(1-I$9^2*$C$11)*NORMSINV(H28))*(I$7-I$5)*(I$6-I$5)),I$7-SQRT((1-NORMSDIST(I$9*SQRT($C$11)*NORMSINV($B28)+SQRT(1-I$9^2*$C$11)*NORMSINV(H28)))*(I$7-I$5)*(I$7-I$6))))</f>
        <v>207.379388290941</v>
      </c>
      <c r="J28" s="2" t="n">
        <v>0.389563323</v>
      </c>
      <c r="K28" s="2" t="n">
        <f aca="false">IF(K$7=K$5,K$6,IF(NORMSDIST(K$9*SQRT($C$11)*NORMSINV($B28)+SQRT(1-K$9^2*$C$11)*NORMSINV(J28))&lt;K$8,K$5+SQRT(NORMSDIST(K$9*SQRT($C$11)*NORMSINV($B28)+SQRT(1-K$9^2*$C$11)*NORMSINV(J28))*(K$7-K$5)*(K$6-K$5)),K$7-SQRT((1-NORMSDIST(K$9*SQRT($C$11)*NORMSINV($B28)+SQRT(1-K$9^2*$C$11)*NORMSINV(J28)))*(K$7-K$5)*(K$7-K$6))))</f>
        <v>0.190844500490567</v>
      </c>
      <c r="L28" s="2" t="n">
        <v>0.930449605</v>
      </c>
      <c r="M28" s="2" t="n">
        <f aca="false">IF(M$7=M$5,M$6,IF(NORMSDIST(M$9*SQRT($C$11)*NORMSINV($B28)+SQRT(1-M$9^2*$C$11)*NORMSINV(L28))&lt;M$8,M$5+SQRT(NORMSDIST(M$9*SQRT($C$11)*NORMSINV($B28)+SQRT(1-M$9^2*$C$11)*NORMSINV(L28))*(M$7-M$5)*(M$6-M$5)),M$7-SQRT((1-NORMSDIST(M$9*SQRT($C$11)*NORMSINV($B28)+SQRT(1-M$9^2*$C$11)*NORMSINV(L28)))*(M$7-M$5)*(M$7-M$6))))</f>
        <v>1663.23933027823</v>
      </c>
      <c r="N28" s="2" t="n">
        <v>0.624122953</v>
      </c>
      <c r="O28" s="2" t="n">
        <f aca="false">IF(O$7=O$5,O$6,IF(NORMSDIST(O$9*SQRT($C$11)*NORMSINV($B28)+SQRT(1-O$9^2*$C$11)*NORMSINV(N28))&lt;O$8,O$5+SQRT(NORMSDIST(O$9*SQRT($C$11)*NORMSINV($B28)+SQRT(1-O$9^2*$C$11)*NORMSINV(N28))*(O$7-O$5)*(O$6-O$5)),O$7-SQRT((1-NORMSDIST(O$9*SQRT($C$11)*NORMSINV($B28)+SQRT(1-O$9^2*$C$11)*NORMSINV(N28)))*(O$7-O$5)*(O$7-O$6))))</f>
        <v>0.16583813214775</v>
      </c>
      <c r="P28" s="2" t="n">
        <v>0.841267918</v>
      </c>
      <c r="Q28" s="2" t="n">
        <f aca="false">IF(Q$7=Q$5,Q$6,IF(NORMSDIST(Q$9*SQRT($C$11)*NORMSINV($B28)+SQRT(1-Q$9^2*$C$11)*NORMSINV(P28))&lt;Q$8,Q$5+SQRT(NORMSDIST(Q$9*SQRT($C$11)*NORMSINV($B28)+SQRT(1-Q$9^2*$C$11)*NORMSINV(P28))*(Q$7-Q$5)*(Q$6-Q$5)),Q$7-SQRT((1-NORMSDIST(Q$9*SQRT($C$11)*NORMSINV($B28)+SQRT(1-Q$9^2*$C$11)*NORMSINV(P28)))*(Q$7-Q$5)*(Q$7-Q$6))))</f>
        <v>0.0974624166690393</v>
      </c>
      <c r="R28" s="2" t="n">
        <v>0.035424397</v>
      </c>
      <c r="S28" s="2" t="n">
        <f aca="false">IF(S$7=S$5,S$6,IF(NORMSDIST(S$9*SQRT($C$11)*NORMSINV($B28)+SQRT(1-S$9^2*$C$11)*NORMSINV(R28))&lt;S$8,S$5+SQRT(NORMSDIST(S$9*SQRT($C$11)*NORMSINV($B28)+SQRT(1-S$9^2*$C$11)*NORMSINV(R28))*(S$7-S$5)*(S$6-S$5)),S$7-SQRT((1-NORMSDIST(S$9*SQRT($C$11)*NORMSINV($B28)+SQRT(1-S$9^2*$C$11)*NORMSINV(R28)))*(S$7-S$5)*(S$7-S$6))))</f>
        <v>0.144377836706267</v>
      </c>
      <c r="T28" s="2" t="n">
        <v>0.029278792</v>
      </c>
      <c r="U28" s="2" t="n">
        <f aca="false">IF(U$7=U$5,U$6,IF(NORMSDIST(U$9*SQRT($C$11)*NORMSINV($B28)+SQRT(1-U$9^2*$C$11)*NORMSINV(T28))&lt;U$8,U$5+SQRT(NORMSDIST(U$9*SQRT($C$11)*NORMSINV($B28)+SQRT(1-U$9^2*$C$11)*NORMSINV(T28))*(U$7-U$5)*(U$6-U$5)),U$7-SQRT((1-NORMSDIST(U$9*SQRT($C$11)*NORMSINV($B28)+SQRT(1-U$9^2*$C$11)*NORMSINV(T28)))*(U$7-U$5)*(U$7-U$6))))</f>
        <v>0.134434109241875</v>
      </c>
      <c r="V28" s="2" t="n">
        <v>0.652805542</v>
      </c>
      <c r="W28" s="2" t="n">
        <f aca="false">IF(W$7=W$5,W$6,IF(NORMSDIST(W$9*SQRT($C$11)*NORMSINV($B28)+SQRT(1-W$9^2*$C$11)*NORMSINV(V28))&lt;W$8,W$5+SQRT(NORMSDIST(W$9*SQRT($C$11)*NORMSINV($B28)+SQRT(1-W$9^2*$C$11)*NORMSINV(V28))*(W$7-W$5)*(W$6-W$5)),W$7-SQRT((1-NORMSDIST(W$9*SQRT($C$11)*NORMSINV($B28)+SQRT(1-W$9^2*$C$11)*NORMSINV(V28)))*(W$7-W$5)*(W$7-W$6))))</f>
        <v>9.97770284670812</v>
      </c>
      <c r="X28" s="2" t="n">
        <v>0.174031472</v>
      </c>
      <c r="Y28" s="2" t="n">
        <f aca="false">IF(Y$7=Y$5,Y$6,IF(NORMSDIST(Y$9*SQRT($C$11)*NORMSINV($B28)+SQRT(1-Y$9^2*$C$11)*NORMSINV(X28))&lt;Y$8,Y$5+SQRT(NORMSDIST(Y$9*SQRT($C$11)*NORMSINV($B28)+SQRT(1-Y$9^2*$C$11)*NORMSINV(X28))*(Y$7-Y$5)*(Y$6-Y$5)),Y$7-SQRT((1-NORMSDIST(Y$9*SQRT($C$11)*NORMSINV($B28)+SQRT(1-Y$9^2*$C$11)*NORMSINV(X28)))*(Y$7-Y$5)*(Y$7-Y$6))))</f>
        <v>0.294984297887193</v>
      </c>
      <c r="Z28" s="2" t="n">
        <v>0.286704684</v>
      </c>
      <c r="AA28" s="2" t="n">
        <f aca="false">IF(AA$7=AA$5,AA$6,IF(NORMSDIST(AA$9*SQRT($C$11)*NORMSINV($B28)+SQRT(1-AA$9^2*$C$11)*NORMSINV(Z28))&lt;AA$8,AA$5+SQRT(NORMSDIST(AA$9*SQRT($C$11)*NORMSINV($B28)+SQRT(1-AA$9^2*$C$11)*NORMSINV(Z28))*(AA$7-AA$5)*(AA$6-AA$5)),AA$7-SQRT((1-NORMSDIST(AA$9*SQRT($C$11)*NORMSINV($B28)+SQRT(1-AA$9^2*$C$11)*NORMSINV(Z28)))*(AA$7-AA$5)*(AA$7-AA$6))))</f>
        <v>0.717088677540706</v>
      </c>
      <c r="AB28" s="2" t="n">
        <v>0.889507515</v>
      </c>
      <c r="AC28" s="2" t="n">
        <f aca="false">IF(AC$7=AC$5,AC$6,IF(NORMSDIST(AC$9*SQRT($C$11)*NORMSINV($B28)+SQRT(1-AC$9^2*$C$11)*NORMSINV(AB28))&lt;AC$8,AC$5+SQRT(NORMSDIST(AC$9*SQRT($C$11)*NORMSINV($B28)+SQRT(1-AC$9^2*$C$11)*NORMSINV(AB28))*(AC$7-AC$5)*(AC$6-AC$5)),AC$7-SQRT((1-NORMSDIST(AC$9*SQRT($C$11)*NORMSINV($B28)+SQRT(1-AC$9^2*$C$11)*NORMSINV(AB28)))*(AC$7-AC$5)*(AC$7-AC$6))))</f>
        <v>9.92204291750227</v>
      </c>
      <c r="AD28" s="2" t="n">
        <f aca="false">Entrées!$C$8*(1+E28)</f>
        <v>7448.2921773078</v>
      </c>
      <c r="AE28" s="2" t="n">
        <f aca="false">I28*Hypothèses!$J$24/12/Hypothèses!$J$19</f>
        <v>102.880250787582</v>
      </c>
      <c r="AF28" s="2" t="n">
        <f aca="false">Entrées!$C$36*S28*1000</f>
        <v>72.1889183531333</v>
      </c>
      <c r="AG28" s="2" t="n">
        <f aca="false">-AF28/W28</f>
        <v>-7.2350238789633</v>
      </c>
      <c r="AH28" s="2" t="n">
        <f aca="false">AD28+AE28+AG28</f>
        <v>7543.93740421642</v>
      </c>
      <c r="AI28" s="2" t="n">
        <f aca="false">Entrées!$C$16-M28+Hypothèses!$J$22*1000-AF28+Hypothèses!$J$23</f>
        <v>22812.5717513686</v>
      </c>
      <c r="AJ28" s="2" t="n">
        <f aca="false">AI28/AH28</f>
        <v>3.02396090118913</v>
      </c>
      <c r="AK28" s="2" t="n">
        <f aca="false">AI28/(AH28+I28*(12-Hypothèses!$J$24)/12/Hypothèses!$J$19)</f>
        <v>2.99478850787352</v>
      </c>
      <c r="AL28" s="2" t="n">
        <f aca="false">(AD28+AG28+I28/Hypothèses!$J$19)*(1+G28)</f>
        <v>7955.71048511041</v>
      </c>
      <c r="AM28" s="2" t="n">
        <f aca="false">Entrées!$C$54*K28/Hypothèses!$J$19</f>
        <v>19.4764825793384</v>
      </c>
      <c r="AN28" s="2" t="n">
        <f aca="false">Y28*1000/AC28</f>
        <v>29.7301977364809</v>
      </c>
      <c r="AO28" s="2" t="n">
        <f aca="false">(Entrées!$C$36*(1-S28)+MAX(0,Entrées!$C$30-Entrées!$C$35-Entrées!$C$36)*U28)*1000</f>
        <v>616.018834585492</v>
      </c>
      <c r="AP28" s="2" t="n">
        <f aca="false">-AO28/W28</f>
        <v>-61.7395450686058</v>
      </c>
      <c r="AQ28" s="2" t="n">
        <f aca="false">AL28+AM28+AN28+AP28</f>
        <v>7943.17762035762</v>
      </c>
      <c r="AR28" s="2" t="n">
        <f aca="false">O28*AQ28-Hypothèses!$J$25/Hypothèses!$J$19</f>
        <v>1298.14657761629</v>
      </c>
      <c r="AS28" s="2" t="n">
        <f aca="false">Entrées!$C$79*(1+Q28)+Hypothèses!$J$20</f>
        <v>1501.11119591927</v>
      </c>
      <c r="AT28" s="2" t="n">
        <f aca="false">AI28-AR28+AS28+Y28*1000-AO28+Hypothèses!$J$23</f>
        <v>22694.5018329733</v>
      </c>
      <c r="AU28" s="2" t="n">
        <f aca="false">AT28/AQ28</f>
        <v>2.8571061755952</v>
      </c>
      <c r="AV28" s="2" t="n">
        <f aca="false">Hypothèses!$J$26*AQ28-AT28</f>
        <v>1135.03102809954</v>
      </c>
      <c r="AW28" s="2" t="n">
        <f aca="false">IF(AC28&gt;Hypothèses!$J$26,MAX(0,AV28)/(1-Hypothèses!$J$26/AC28),0)</f>
        <v>1626.95127836104</v>
      </c>
      <c r="AX28" s="2" t="n">
        <f aca="false">AQ28-Entrées!$C$17*1000</f>
        <v>-56.8223796423781</v>
      </c>
      <c r="AY28" s="2" t="n">
        <f aca="false">AI28+(Entrées!$C$244-Entrées!$C$13)</f>
        <v>28559.5717513686</v>
      </c>
      <c r="AZ28" s="2" t="n">
        <f aca="false">AA28*AH28</f>
        <v>5409.67209663941</v>
      </c>
      <c r="BA28" s="2" t="n">
        <f aca="false">AZ28/AY28</f>
        <v>0.189417129351044</v>
      </c>
      <c r="BB28" s="2" t="n">
        <f aca="false">AZ28/(Entrées!$C$151/100)-AY28</f>
        <v>1494.16211885033</v>
      </c>
      <c r="BC28" s="2" t="n">
        <f aca="false">AT28+(Entrées!$C$244-Entrées!$C$13)</f>
        <v>28441.5018329733</v>
      </c>
      <c r="BD28" s="2" t="n">
        <f aca="false">AA28*AQ28</f>
        <v>5695.96273525318</v>
      </c>
      <c r="BE28" s="2" t="n">
        <f aca="false">BD28/BC28</f>
        <v>0.200269408018729</v>
      </c>
      <c r="BF28" s="2" t="n">
        <f aca="false">BD28/(Entrées!$C$151/100)-BC28</f>
        <v>3202.73558509987</v>
      </c>
      <c r="BG28" s="2" t="n">
        <f aca="false">MIN(AV28,BF28)</f>
        <v>1135.03102809954</v>
      </c>
      <c r="BH28" s="2" t="n">
        <f aca="false">IF(AC28&gt;Hypothèses!$J$26,MAX(0,BG28)/(1-Hypothèses!$J$26/AC28),0)</f>
        <v>1626.95127836104</v>
      </c>
    </row>
    <row r="29" customFormat="false" ht="15" hidden="false" customHeight="false" outlineLevel="0" collapsed="false">
      <c r="A29" s="2" t="n">
        <v>14</v>
      </c>
      <c r="B29" s="2" t="n">
        <v>0.625315633</v>
      </c>
      <c r="C29" s="2"/>
      <c r="D29" s="2" t="n">
        <v>0.798598658</v>
      </c>
      <c r="E29" s="2" t="n">
        <f aca="false">IF(E$7=E$5,E$6,IF(NORMSDIST(E$9*SQRT($C$11)*NORMSINV($B29)+SQRT(1-E$9^2*$C$11)*NORMSINV(D29))&lt;E$8,E$5+SQRT(NORMSDIST(E$9*SQRT($C$11)*NORMSINV($B29)+SQRT(1-E$9^2*$C$11)*NORMSINV(D29))*(E$7-E$5)*(E$6-E$5)),E$7-SQRT((1-NORMSDIST(E$9*SQRT($C$11)*NORMSINV($B29)+SQRT(1-E$9^2*$C$11)*NORMSINV(D29)))*(E$7-E$5)*(E$7-E$6))))</f>
        <v>0.0568564761522645</v>
      </c>
      <c r="F29" s="2" t="n">
        <v>0.124551611</v>
      </c>
      <c r="G29" s="2" t="n">
        <f aca="false">IF(G$7=G$5,G$6,IF(NORMSDIST(G$9*SQRT($C$11)*NORMSINV($B29)+SQRT(1-G$9^2*$C$11)*NORMSINV(F29))&lt;G$8,G$5+SQRT(NORMSDIST(G$9*SQRT($C$11)*NORMSINV($B29)+SQRT(1-G$9^2*$C$11)*NORMSINV(F29))*(G$7-G$5)*(G$6-G$5)),G$7-SQRT((1-NORMSDIST(G$9*SQRT($C$11)*NORMSINV($B29)+SQRT(1-G$9^2*$C$11)*NORMSINV(F29)))*(G$7-G$5)*(G$7-G$6))))</f>
        <v>0.0504974026342695</v>
      </c>
      <c r="H29" s="2" t="n">
        <v>0.799148493</v>
      </c>
      <c r="I29" s="2" t="n">
        <f aca="false">IF(I$7=I$5,I$6,IF(NORMSDIST(I$9*SQRT($C$11)*NORMSINV($B29)+SQRT(1-I$9^2*$C$11)*NORMSINV(H29))&lt;I$8,I$5+SQRT(NORMSDIST(I$9*SQRT($C$11)*NORMSINV($B29)+SQRT(1-I$9^2*$C$11)*NORMSINV(H29))*(I$7-I$5)*(I$6-I$5)),I$7-SQRT((1-NORMSDIST(I$9*SQRT($C$11)*NORMSINV($B29)+SQRT(1-I$9^2*$C$11)*NORMSINV(H29)))*(I$7-I$5)*(I$7-I$6))))</f>
        <v>207.439309514069</v>
      </c>
      <c r="J29" s="2" t="n">
        <v>0.72679295</v>
      </c>
      <c r="K29" s="2" t="n">
        <f aca="false">IF(K$7=K$5,K$6,IF(NORMSDIST(K$9*SQRT($C$11)*NORMSINV($B29)+SQRT(1-K$9^2*$C$11)*NORMSINV(J29))&lt;K$8,K$5+SQRT(NORMSDIST(K$9*SQRT($C$11)*NORMSINV($B29)+SQRT(1-K$9^2*$C$11)*NORMSINV(J29))*(K$7-K$5)*(K$6-K$5)),K$7-SQRT((1-NORMSDIST(K$9*SQRT($C$11)*NORMSINV($B29)+SQRT(1-K$9^2*$C$11)*NORMSINV(J29)))*(K$7-K$5)*(K$7-K$6))))</f>
        <v>0.322633844192319</v>
      </c>
      <c r="L29" s="2" t="n">
        <v>0.253983372</v>
      </c>
      <c r="M29" s="2" t="n">
        <f aca="false">IF(M$7=M$5,M$6,IF(NORMSDIST(M$9*SQRT($C$11)*NORMSINV($B29)+SQRT(1-M$9^2*$C$11)*NORMSINV(L29))&lt;M$8,M$5+SQRT(NORMSDIST(M$9*SQRT($C$11)*NORMSINV($B29)+SQRT(1-M$9^2*$C$11)*NORMSINV(L29))*(M$7-M$5)*(M$6-M$5)),M$7-SQRT((1-NORMSDIST(M$9*SQRT($C$11)*NORMSINV($B29)+SQRT(1-M$9^2*$C$11)*NORMSINV(L29)))*(M$7-M$5)*(M$7-M$6))))</f>
        <v>1548.52558591216</v>
      </c>
      <c r="N29" s="2" t="n">
        <v>0.348267287</v>
      </c>
      <c r="O29" s="2" t="n">
        <f aca="false">IF(O$7=O$5,O$6,IF(NORMSDIST(O$9*SQRT($C$11)*NORMSINV($B29)+SQRT(1-O$9^2*$C$11)*NORMSINV(N29))&lt;O$8,O$5+SQRT(NORMSDIST(O$9*SQRT($C$11)*NORMSINV($B29)+SQRT(1-O$9^2*$C$11)*NORMSINV(N29))*(O$7-O$5)*(O$6-O$5)),O$7-SQRT((1-NORMSDIST(O$9*SQRT($C$11)*NORMSINV($B29)+SQRT(1-O$9^2*$C$11)*NORMSINV(N29)))*(O$7-O$5)*(O$7-O$6))))</f>
        <v>0.165695114279277</v>
      </c>
      <c r="P29" s="2" t="n">
        <v>0.319969607</v>
      </c>
      <c r="Q29" s="2" t="n">
        <f aca="false">IF(Q$7=Q$5,Q$6,IF(NORMSDIST(Q$9*SQRT($C$11)*NORMSINV($B29)+SQRT(1-Q$9^2*$C$11)*NORMSINV(P29))&lt;Q$8,Q$5+SQRT(NORMSDIST(Q$9*SQRT($C$11)*NORMSINV($B29)+SQRT(1-Q$9^2*$C$11)*NORMSINV(P29))*(Q$7-Q$5)*(Q$6-Q$5)),Q$7-SQRT((1-NORMSDIST(Q$9*SQRT($C$11)*NORMSINV($B29)+SQRT(1-Q$9^2*$C$11)*NORMSINV(P29)))*(Q$7-Q$5)*(Q$7-Q$6))))</f>
        <v>0.0719984803139149</v>
      </c>
      <c r="R29" s="2" t="n">
        <v>0.358072291</v>
      </c>
      <c r="S29" s="2" t="n">
        <f aca="false">IF(S$7=S$5,S$6,IF(NORMSDIST(S$9*SQRT($C$11)*NORMSINV($B29)+SQRT(1-S$9^2*$C$11)*NORMSINV(R29))&lt;S$8,S$5+SQRT(NORMSDIST(S$9*SQRT($C$11)*NORMSINV($B29)+SQRT(1-S$9^2*$C$11)*NORMSINV(R29))*(S$7-S$5)*(S$6-S$5)),S$7-SQRT((1-NORMSDIST(S$9*SQRT($C$11)*NORMSINV($B29)+SQRT(1-S$9^2*$C$11)*NORMSINV(R29)))*(S$7-S$5)*(S$7-S$6))))</f>
        <v>0.483878096745485</v>
      </c>
      <c r="T29" s="2" t="n">
        <v>0.399006076</v>
      </c>
      <c r="U29" s="2" t="n">
        <f aca="false">IF(U$7=U$5,U$6,IF(NORMSDIST(U$9*SQRT($C$11)*NORMSINV($B29)+SQRT(1-U$9^2*$C$11)*NORMSINV(T29))&lt;U$8,U$5+SQRT(NORMSDIST(U$9*SQRT($C$11)*NORMSINV($B29)+SQRT(1-U$9^2*$C$11)*NORMSINV(T29))*(U$7-U$5)*(U$6-U$5)),U$7-SQRT((1-NORMSDIST(U$9*SQRT($C$11)*NORMSINV($B29)+SQRT(1-U$9^2*$C$11)*NORMSINV(T29)))*(U$7-U$5)*(U$7-U$6))))</f>
        <v>0.500761860007822</v>
      </c>
      <c r="V29" s="2" t="n">
        <v>0.007290179</v>
      </c>
      <c r="W29" s="2" t="n">
        <f aca="false">IF(W$7=W$5,W$6,IF(NORMSDIST(W$9*SQRT($C$11)*NORMSINV($B29)+SQRT(1-W$9^2*$C$11)*NORMSINV(V29))&lt;W$8,W$5+SQRT(NORMSDIST(W$9*SQRT($C$11)*NORMSINV($B29)+SQRT(1-W$9^2*$C$11)*NORMSINV(V29))*(W$7-W$5)*(W$6-W$5)),W$7-SQRT((1-NORMSDIST(W$9*SQRT($C$11)*NORMSINV($B29)+SQRT(1-W$9^2*$C$11)*NORMSINV(V29)))*(W$7-W$5)*(W$7-W$6))))</f>
        <v>8.60341206627834</v>
      </c>
      <c r="X29" s="2" t="n">
        <v>0.366103203</v>
      </c>
      <c r="Y29" s="2" t="n">
        <f aca="false">IF(Y$7=Y$5,Y$6,IF(NORMSDIST(Y$9*SQRT($C$11)*NORMSINV($B29)+SQRT(1-Y$9^2*$C$11)*NORMSINV(X29))&lt;Y$8,Y$5+SQRT(NORMSDIST(Y$9*SQRT($C$11)*NORMSINV($B29)+SQRT(1-Y$9^2*$C$11)*NORMSINV(X29))*(Y$7-Y$5)*(Y$6-Y$5)),Y$7-SQRT((1-NORMSDIST(Y$9*SQRT($C$11)*NORMSINV($B29)+SQRT(1-Y$9^2*$C$11)*NORMSINV(X29)))*(Y$7-Y$5)*(Y$7-Y$6))))</f>
        <v>0.427845300897415</v>
      </c>
      <c r="Z29" s="2" t="n">
        <v>0.533882365</v>
      </c>
      <c r="AA29" s="2" t="n">
        <f aca="false">IF(AA$7=AA$5,AA$6,IF(NORMSDIST(AA$9*SQRT($C$11)*NORMSINV($B29)+SQRT(1-AA$9^2*$C$11)*NORMSINV(Z29))&lt;AA$8,AA$5+SQRT(NORMSDIST(AA$9*SQRT($C$11)*NORMSINV($B29)+SQRT(1-AA$9^2*$C$11)*NORMSINV(Z29))*(AA$7-AA$5)*(AA$6-AA$5)),AA$7-SQRT((1-NORMSDIST(AA$9*SQRT($C$11)*NORMSINV($B29)+SQRT(1-AA$9^2*$C$11)*NORMSINV(Z29)))*(AA$7-AA$5)*(AA$7-AA$6))))</f>
        <v>0.731343007985893</v>
      </c>
      <c r="AB29" s="2" t="n">
        <v>0.577337141</v>
      </c>
      <c r="AC29" s="2" t="n">
        <f aca="false">IF(AC$7=AC$5,AC$6,IF(NORMSDIST(AC$9*SQRT($C$11)*NORMSINV($B29)+SQRT(1-AC$9^2*$C$11)*NORMSINV(AB29))&lt;AC$8,AC$5+SQRT(NORMSDIST(AC$9*SQRT($C$11)*NORMSINV($B29)+SQRT(1-AC$9^2*$C$11)*NORMSINV(AB29))*(AC$7-AC$5)*(AC$6-AC$5)),AC$7-SQRT((1-NORMSDIST(AC$9*SQRT($C$11)*NORMSINV($B29)+SQRT(1-AC$9^2*$C$11)*NORMSINV(AB29)))*(AC$7-AC$5)*(AC$7-AC$6))))</f>
        <v>9.74786520870606</v>
      </c>
      <c r="AD29" s="2" t="n">
        <f aca="false">Entrées!$C$8*(1+E29)</f>
        <v>7450.83815687347</v>
      </c>
      <c r="AE29" s="2" t="n">
        <f aca="false">I29*Hypothèses!$J$24/12/Hypothèses!$J$19</f>
        <v>102.909977514591</v>
      </c>
      <c r="AF29" s="2" t="n">
        <f aca="false">Entrées!$C$36*S29*1000</f>
        <v>241.939048372743</v>
      </c>
      <c r="AG29" s="2" t="n">
        <f aca="false">-AF29/W29</f>
        <v>-28.1212903100433</v>
      </c>
      <c r="AH29" s="2" t="n">
        <f aca="false">AD29+AE29+AG29</f>
        <v>7525.62684407801</v>
      </c>
      <c r="AI29" s="2" t="n">
        <f aca="false">Entrées!$C$16-M29+Hypothèses!$J$22*1000-AF29+Hypothèses!$J$23</f>
        <v>22757.5353657151</v>
      </c>
      <c r="AJ29" s="2" t="n">
        <f aca="false">AI29/AH29</f>
        <v>3.02400528716398</v>
      </c>
      <c r="AK29" s="2" t="n">
        <f aca="false">AI29/(AH29+I29*(12-Hypothèses!$J$24)/12/Hypothèses!$J$19)</f>
        <v>2.99475380391237</v>
      </c>
      <c r="AL29" s="2" t="n">
        <f aca="false">(AD29+AG29+I29/Hypothèses!$J$19)*(1+G29)</f>
        <v>7982.87049867314</v>
      </c>
      <c r="AM29" s="2" t="n">
        <f aca="false">Entrées!$C$54*K29/Hypothèses!$J$19</f>
        <v>32.9261384517982</v>
      </c>
      <c r="AN29" s="2" t="n">
        <f aca="false">Y29*1000/AC29</f>
        <v>43.8911794261677</v>
      </c>
      <c r="AO29" s="2" t="n">
        <f aca="false">(Entrées!$C$36*(1-S29)+MAX(0,Entrées!$C$30-Entrées!$C$35-Entrées!$C$36)*U29)*1000</f>
        <v>959.127555638208</v>
      </c>
      <c r="AP29" s="2" t="n">
        <f aca="false">-AO29/W29</f>
        <v>-111.48222917249</v>
      </c>
      <c r="AQ29" s="2" t="n">
        <f aca="false">AL29+AM29+AN29+AP29</f>
        <v>7948.20558737861</v>
      </c>
      <c r="AR29" s="2" t="n">
        <f aca="false">O29*AQ29-Hypothèses!$J$25/Hypothèses!$J$19</f>
        <v>1297.84367085426</v>
      </c>
      <c r="AS29" s="2" t="n">
        <f aca="false">Entrées!$C$79*(1+Q29)+Hypothèses!$J$20</f>
        <v>1473.12632986499</v>
      </c>
      <c r="AT29" s="2" t="n">
        <f aca="false">AI29-AR29+AS29+Y29*1000-AO29+Hypothèses!$J$23</f>
        <v>22401.535769985</v>
      </c>
      <c r="AU29" s="2" t="n">
        <f aca="false">AT29/AQ29</f>
        <v>2.81843939788846</v>
      </c>
      <c r="AV29" s="2" t="n">
        <f aca="false">Hypothèses!$J$26*AQ29-AT29</f>
        <v>1443.0809921508</v>
      </c>
      <c r="AW29" s="2" t="n">
        <f aca="false">IF(AC29&gt;Hypothèses!$J$26,MAX(0,AV29)/(1-Hypothèses!$J$26/AC29),0)</f>
        <v>2084.65322908091</v>
      </c>
      <c r="AX29" s="2" t="n">
        <f aca="false">AQ29-Entrées!$C$17*1000</f>
        <v>-51.7944126213879</v>
      </c>
      <c r="AY29" s="2" t="n">
        <f aca="false">AI29+(Entrées!$C$244-Entrées!$C$13)</f>
        <v>28504.5353657151</v>
      </c>
      <c r="AZ29" s="2" t="n">
        <f aca="false">AA29*AH29</f>
        <v>5503.81457312739</v>
      </c>
      <c r="BA29" s="2" t="n">
        <f aca="false">AZ29/AY29</f>
        <v>0.19308557401526</v>
      </c>
      <c r="BB29" s="2" t="n">
        <f aca="false">AZ29/(Entrées!$C$151/100)-AY29</f>
        <v>2072.21226277042</v>
      </c>
      <c r="BC29" s="2" t="n">
        <f aca="false">AT29+(Entrées!$C$244-Entrées!$C$13)</f>
        <v>28148.535769985</v>
      </c>
      <c r="BD29" s="2" t="n">
        <f aca="false">AA29*AQ29</f>
        <v>5812.86458236375</v>
      </c>
      <c r="BE29" s="2" t="n">
        <f aca="false">BD29/BC29</f>
        <v>0.206506819035399</v>
      </c>
      <c r="BF29" s="2" t="n">
        <f aca="false">BD29/(Entrées!$C$151/100)-BC29</f>
        <v>4145.15635425803</v>
      </c>
      <c r="BG29" s="2" t="n">
        <f aca="false">MIN(AV29,BF29)</f>
        <v>1443.0809921508</v>
      </c>
      <c r="BH29" s="2" t="n">
        <f aca="false">IF(AC29&gt;Hypothèses!$J$26,MAX(0,BG29)/(1-Hypothèses!$J$26/AC29),0)</f>
        <v>2084.65322908091</v>
      </c>
    </row>
    <row r="30" customFormat="false" ht="15" hidden="false" customHeight="false" outlineLevel="0" collapsed="false">
      <c r="A30" s="2" t="n">
        <v>15</v>
      </c>
      <c r="B30" s="2" t="n">
        <v>0.604208025</v>
      </c>
      <c r="C30" s="2"/>
      <c r="D30" s="2" t="n">
        <v>0.04087139</v>
      </c>
      <c r="E30" s="2" t="n">
        <f aca="false">IF(E$7=E$5,E$6,IF(NORMSDIST(E$9*SQRT($C$11)*NORMSINV($B30)+SQRT(1-E$9^2*$C$11)*NORMSINV(D30))&lt;E$8,E$5+SQRT(NORMSDIST(E$9*SQRT($C$11)*NORMSINV($B30)+SQRT(1-E$9^2*$C$11)*NORMSINV(D30))*(E$7-E$5)*(E$6-E$5)),E$7-SQRT((1-NORMSDIST(E$9*SQRT($C$11)*NORMSINV($B30)+SQRT(1-E$9^2*$C$11)*NORMSINV(D30)))*(E$7-E$5)*(E$7-E$6))))</f>
        <v>0.0524368543734764</v>
      </c>
      <c r="F30" s="2" t="n">
        <v>0.394218855</v>
      </c>
      <c r="G30" s="2" t="n">
        <f aca="false">IF(G$7=G$5,G$6,IF(NORMSDIST(G$9*SQRT($C$11)*NORMSINV($B30)+SQRT(1-G$9^2*$C$11)*NORMSINV(F30))&lt;G$8,G$5+SQRT(NORMSDIST(G$9*SQRT($C$11)*NORMSINV($B30)+SQRT(1-G$9^2*$C$11)*NORMSINV(F30))*(G$7-G$5)*(G$6-G$5)),G$7-SQRT((1-NORMSDIST(G$9*SQRT($C$11)*NORMSINV($B30)+SQRT(1-G$9^2*$C$11)*NORMSINV(F30)))*(G$7-G$5)*(G$7-G$6))))</f>
        <v>0.054754345567404</v>
      </c>
      <c r="H30" s="2" t="n">
        <v>0.426740928</v>
      </c>
      <c r="I30" s="2" t="n">
        <f aca="false">IF(I$7=I$5,I$6,IF(NORMSDIST(I$9*SQRT($C$11)*NORMSINV($B30)+SQRT(1-I$9^2*$C$11)*NORMSINV(H30))&lt;I$8,I$5+SQRT(NORMSDIST(I$9*SQRT($C$11)*NORMSINV($B30)+SQRT(1-I$9^2*$C$11)*NORMSINV(H30))*(I$7-I$5)*(I$6-I$5)),I$7-SQRT((1-NORMSDIST(I$9*SQRT($C$11)*NORMSINV($B30)+SQRT(1-I$9^2*$C$11)*NORMSINV(H30)))*(I$7-I$5)*(I$7-I$6))))</f>
        <v>200.193030783861</v>
      </c>
      <c r="J30" s="2" t="n">
        <v>0.490622425</v>
      </c>
      <c r="K30" s="2" t="n">
        <f aca="false">IF(K$7=K$5,K$6,IF(NORMSDIST(K$9*SQRT($C$11)*NORMSINV($B30)+SQRT(1-K$9^2*$C$11)*NORMSINV(J30))&lt;K$8,K$5+SQRT(NORMSDIST(K$9*SQRT($C$11)*NORMSINV($B30)+SQRT(1-K$9^2*$C$11)*NORMSINV(J30))*(K$7-K$5)*(K$6-K$5)),K$7-SQRT((1-NORMSDIST(K$9*SQRT($C$11)*NORMSINV($B30)+SQRT(1-K$9^2*$C$11)*NORMSINV(J30)))*(K$7-K$5)*(K$7-K$6))))</f>
        <v>0.265263844638949</v>
      </c>
      <c r="L30" s="2" t="n">
        <v>0.568833475</v>
      </c>
      <c r="M30" s="2" t="n">
        <f aca="false">IF(M$7=M$5,M$6,IF(NORMSDIST(M$9*SQRT($C$11)*NORMSINV($B30)+SQRT(1-M$9^2*$C$11)*NORMSINV(L30))&lt;M$8,M$5+SQRT(NORMSDIST(M$9*SQRT($C$11)*NORMSINV($B30)+SQRT(1-M$9^2*$C$11)*NORMSINV(L30))*(M$7-M$5)*(M$6-M$5)),M$7-SQRT((1-NORMSDIST(M$9*SQRT($C$11)*NORMSINV($B30)+SQRT(1-M$9^2*$C$11)*NORMSINV(L30)))*(M$7-M$5)*(M$7-M$6))))</f>
        <v>1617.00060523812</v>
      </c>
      <c r="N30" s="2" t="n">
        <v>0.777000711</v>
      </c>
      <c r="O30" s="2" t="n">
        <f aca="false">IF(O$7=O$5,O$6,IF(NORMSDIST(O$9*SQRT($C$11)*NORMSINV($B30)+SQRT(1-O$9^2*$C$11)*NORMSINV(N30))&lt;O$8,O$5+SQRT(NORMSDIST(O$9*SQRT($C$11)*NORMSINV($B30)+SQRT(1-O$9^2*$C$11)*NORMSINV(N30))*(O$7-O$5)*(O$6-O$5)),O$7-SQRT((1-NORMSDIST(O$9*SQRT($C$11)*NORMSINV($B30)+SQRT(1-O$9^2*$C$11)*NORMSINV(N30)))*(O$7-O$5)*(O$7-O$6))))</f>
        <v>0.174539863317193</v>
      </c>
      <c r="P30" s="2" t="n">
        <v>0.384841338</v>
      </c>
      <c r="Q30" s="2" t="n">
        <f aca="false">IF(Q$7=Q$5,Q$6,IF(NORMSDIST(Q$9*SQRT($C$11)*NORMSINV($B30)+SQRT(1-Q$9^2*$C$11)*NORMSINV(P30))&lt;Q$8,Q$5+SQRT(NORMSDIST(Q$9*SQRT($C$11)*NORMSINV($B30)+SQRT(1-Q$9^2*$C$11)*NORMSINV(P30))*(Q$7-Q$5)*(Q$6-Q$5)),Q$7-SQRT((1-NORMSDIST(Q$9*SQRT($C$11)*NORMSINV($B30)+SQRT(1-Q$9^2*$C$11)*NORMSINV(P30)))*(Q$7-Q$5)*(Q$7-Q$6))))</f>
        <v>0.0750926243190788</v>
      </c>
      <c r="R30" s="2" t="n">
        <v>0.929362852</v>
      </c>
      <c r="S30" s="2" t="n">
        <f aca="false">IF(S$7=S$5,S$6,IF(NORMSDIST(S$9*SQRT($C$11)*NORMSINV($B30)+SQRT(1-S$9^2*$C$11)*NORMSINV(R30))&lt;S$8,S$5+SQRT(NORMSDIST(S$9*SQRT($C$11)*NORMSINV($B30)+SQRT(1-S$9^2*$C$11)*NORMSINV(R30))*(S$7-S$5)*(S$6-S$5)),S$7-SQRT((1-NORMSDIST(S$9*SQRT($C$11)*NORMSINV($B30)+SQRT(1-S$9^2*$C$11)*NORMSINV(R30)))*(S$7-S$5)*(S$7-S$6))))</f>
        <v>0.78128469383343</v>
      </c>
      <c r="T30" s="2" t="n">
        <v>0.361006484</v>
      </c>
      <c r="U30" s="2" t="n">
        <f aca="false">IF(U$7=U$5,U$6,IF(NORMSDIST(U$9*SQRT($C$11)*NORMSINV($B30)+SQRT(1-U$9^2*$C$11)*NORMSINV(T30))&lt;U$8,U$5+SQRT(NORMSDIST(U$9*SQRT($C$11)*NORMSINV($B30)+SQRT(1-U$9^2*$C$11)*NORMSINV(T30))*(U$7-U$5)*(U$6-U$5)),U$7-SQRT((1-NORMSDIST(U$9*SQRT($C$11)*NORMSINV($B30)+SQRT(1-U$9^2*$C$11)*NORMSINV(T30)))*(U$7-U$5)*(U$7-U$6))))</f>
        <v>0.477922468191329</v>
      </c>
      <c r="V30" s="2" t="n">
        <v>0.77351573</v>
      </c>
      <c r="W30" s="2" t="n">
        <f aca="false">IF(W$7=W$5,W$6,IF(NORMSDIST(W$9*SQRT($C$11)*NORMSINV($B30)+SQRT(1-W$9^2*$C$11)*NORMSINV(V30))&lt;W$8,W$5+SQRT(NORMSDIST(W$9*SQRT($C$11)*NORMSINV($B30)+SQRT(1-W$9^2*$C$11)*NORMSINV(V30))*(W$7-W$5)*(W$6-W$5)),W$7-SQRT((1-NORMSDIST(W$9*SQRT($C$11)*NORMSINV($B30)+SQRT(1-W$9^2*$C$11)*NORMSINV(V30)))*(W$7-W$5)*(W$7-W$6))))</f>
        <v>10.6521246999557</v>
      </c>
      <c r="X30" s="2" t="n">
        <v>0.415911009</v>
      </c>
      <c r="Y30" s="2" t="n">
        <f aca="false">IF(Y$7=Y$5,Y$6,IF(NORMSDIST(Y$9*SQRT($C$11)*NORMSINV($B30)+SQRT(1-Y$9^2*$C$11)*NORMSINV(X30))&lt;Y$8,Y$5+SQRT(NORMSDIST(Y$9*SQRT($C$11)*NORMSINV($B30)+SQRT(1-Y$9^2*$C$11)*NORMSINV(X30))*(Y$7-Y$5)*(Y$6-Y$5)),Y$7-SQRT((1-NORMSDIST(Y$9*SQRT($C$11)*NORMSINV($B30)+SQRT(1-Y$9^2*$C$11)*NORMSINV(X30)))*(Y$7-Y$5)*(Y$7-Y$6))))</f>
        <v>0.456021386011665</v>
      </c>
      <c r="Z30" s="2" t="n">
        <v>0.84746306</v>
      </c>
      <c r="AA30" s="2" t="n">
        <f aca="false">IF(AA$7=AA$5,AA$6,IF(NORMSDIST(AA$9*SQRT($C$11)*NORMSINV($B30)+SQRT(1-AA$9^2*$C$11)*NORMSINV(Z30))&lt;AA$8,AA$5+SQRT(NORMSDIST(AA$9*SQRT($C$11)*NORMSINV($B30)+SQRT(1-AA$9^2*$C$11)*NORMSINV(Z30))*(AA$7-AA$5)*(AA$6-AA$5)),AA$7-SQRT((1-NORMSDIST(AA$9*SQRT($C$11)*NORMSINV($B30)+SQRT(1-AA$9^2*$C$11)*NORMSINV(Z30)))*(AA$7-AA$5)*(AA$7-AA$6))))</f>
        <v>0.739169751093991</v>
      </c>
      <c r="AB30" s="2" t="n">
        <v>0.999512145</v>
      </c>
      <c r="AC30" s="2" t="n">
        <f aca="false">IF(AC$7=AC$5,AC$6,IF(NORMSDIST(AC$9*SQRT($C$11)*NORMSINV($B30)+SQRT(1-AC$9^2*$C$11)*NORMSINV(AB30))&lt;AC$8,AC$5+SQRT(NORMSDIST(AC$9*SQRT($C$11)*NORMSINV($B30)+SQRT(1-AC$9^2*$C$11)*NORMSINV(AB30))*(AC$7-AC$5)*(AC$6-AC$5)),AC$7-SQRT((1-NORMSDIST(AC$9*SQRT($C$11)*NORMSINV($B30)+SQRT(1-AC$9^2*$C$11)*NORMSINV(AB30)))*(AC$7-AC$5)*(AC$7-AC$6))))</f>
        <v>10.8814885780027</v>
      </c>
      <c r="AD30" s="2" t="n">
        <f aca="false">Entrées!$C$8*(1+E30)</f>
        <v>7419.67982333301</v>
      </c>
      <c r="AE30" s="2" t="n">
        <f aca="false">I30*Hypothèses!$J$24/12/Hypothèses!$J$19</f>
        <v>99.3151218291521</v>
      </c>
      <c r="AF30" s="2" t="n">
        <f aca="false">Entrées!$C$36*S30*1000</f>
        <v>390.642346916715</v>
      </c>
      <c r="AG30" s="2" t="n">
        <f aca="false">-AF30/W30</f>
        <v>-36.6727162815075</v>
      </c>
      <c r="AH30" s="2" t="n">
        <f aca="false">AD30+AE30+AG30</f>
        <v>7482.32222888065</v>
      </c>
      <c r="AI30" s="2" t="n">
        <f aca="false">Entrées!$C$16-M30+Hypothèses!$J$22*1000-AF30+Hypothèses!$J$23</f>
        <v>22540.3570478452</v>
      </c>
      <c r="AJ30" s="2" t="n">
        <f aca="false">AI30/AH30</f>
        <v>3.01248146743036</v>
      </c>
      <c r="AK30" s="2" t="n">
        <f aca="false">AI30/(AH30+I30*(12-Hypothèses!$J$24)/12/Hypothèses!$J$19)</f>
        <v>2.9841885845743</v>
      </c>
      <c r="AL30" s="2" t="n">
        <f aca="false">(AD30+AG30+I30/Hypothèses!$J$19)*(1+G30)</f>
        <v>7966.83549751163</v>
      </c>
      <c r="AM30" s="2" t="n">
        <f aca="false">Entrées!$C$54*K30/Hypothèses!$J$19</f>
        <v>27.0712891163148</v>
      </c>
      <c r="AN30" s="2" t="n">
        <f aca="false">Y30*1000/AC30</f>
        <v>41.9079965707565</v>
      </c>
      <c r="AO30" s="2" t="n">
        <f aca="false">(Entrées!$C$36*(1-S30)+MAX(0,Entrées!$C$30-Entrées!$C$35-Entrées!$C$36)*U30)*1000</f>
        <v>778.449108551145</v>
      </c>
      <c r="AP30" s="2" t="n">
        <f aca="false">-AO30/W30</f>
        <v>-73.0792335311639</v>
      </c>
      <c r="AQ30" s="2" t="n">
        <f aca="false">AL30+AM30+AN30+AP30</f>
        <v>7962.73554966754</v>
      </c>
      <c r="AR30" s="2" t="n">
        <f aca="false">O30*AQ30-Hypothèses!$J$25/Hypothèses!$J$19</f>
        <v>1370.6796122083</v>
      </c>
      <c r="AS30" s="2" t="n">
        <f aca="false">Entrées!$C$79*(1+Q30)+Hypothèses!$J$20</f>
        <v>1476.52679412667</v>
      </c>
      <c r="AT30" s="2" t="n">
        <f aca="false">AI30-AR30+AS30+Y30*1000-AO30+Hypothèses!$J$23</f>
        <v>22323.7765072241</v>
      </c>
      <c r="AU30" s="2" t="n">
        <f aca="false">AT30/AQ30</f>
        <v>2.80353106893725</v>
      </c>
      <c r="AV30" s="2" t="n">
        <f aca="false">Hypothèses!$J$26*AQ30-AT30</f>
        <v>1564.43014177857</v>
      </c>
      <c r="AW30" s="2" t="n">
        <f aca="false">IF(AC30&gt;Hypothèses!$J$26,MAX(0,AV30)/(1-Hypothèses!$J$26/AC30),0)</f>
        <v>2159.91288325392</v>
      </c>
      <c r="AX30" s="2" t="n">
        <f aca="false">AQ30-Entrées!$C$17*1000</f>
        <v>-37.2644503324591</v>
      </c>
      <c r="AY30" s="2" t="n">
        <f aca="false">AI30+(Entrées!$C$244-Entrées!$C$13)</f>
        <v>28287.3570478452</v>
      </c>
      <c r="AZ30" s="2" t="n">
        <f aca="false">AA30*AH30</f>
        <v>5530.70625952675</v>
      </c>
      <c r="BA30" s="2" t="n">
        <f aca="false">AZ30/AY30</f>
        <v>0.195518664050944</v>
      </c>
      <c r="BB30" s="2" t="n">
        <f aca="false">AZ30/(Entrées!$C$151/100)-AY30</f>
        <v>2438.78883841455</v>
      </c>
      <c r="BC30" s="2" t="n">
        <f aca="false">AT30+(Entrées!$C$244-Entrées!$C$13)</f>
        <v>28070.7765072241</v>
      </c>
      <c r="BD30" s="2" t="n">
        <f aca="false">AA30*AQ30</f>
        <v>5885.81325427503</v>
      </c>
      <c r="BE30" s="2" t="n">
        <f aca="false">BD30/BC30</f>
        <v>0.209677607342295</v>
      </c>
      <c r="BF30" s="2" t="n">
        <f aca="false">BD30/(Entrées!$C$151/100)-BC30</f>
        <v>4628.18601652612</v>
      </c>
      <c r="BG30" s="2" t="n">
        <f aca="false">MIN(AV30,BF30)</f>
        <v>1564.43014177857</v>
      </c>
      <c r="BH30" s="2" t="n">
        <f aca="false">IF(AC30&gt;Hypothèses!$J$26,MAX(0,BG30)/(1-Hypothèses!$J$26/AC30),0)</f>
        <v>2159.91288325392</v>
      </c>
    </row>
    <row r="31" customFormat="false" ht="15" hidden="false" customHeight="false" outlineLevel="0" collapsed="false">
      <c r="A31" s="2" t="n">
        <v>16</v>
      </c>
      <c r="B31" s="2" t="n">
        <v>0.276112269</v>
      </c>
      <c r="C31" s="2"/>
      <c r="D31" s="2" t="n">
        <v>0.928573878</v>
      </c>
      <c r="E31" s="2" t="n">
        <f aca="false">IF(E$7=E$5,E$6,IF(NORMSDIST(E$9*SQRT($C$11)*NORMSINV($B31)+SQRT(1-E$9^2*$C$11)*NORMSINV(D31))&lt;E$8,E$5+SQRT(NORMSDIST(E$9*SQRT($C$11)*NORMSINV($B31)+SQRT(1-E$9^2*$C$11)*NORMSINV(D31))*(E$7-E$5)*(E$6-E$5)),E$7-SQRT((1-NORMSDIST(E$9*SQRT($C$11)*NORMSINV($B31)+SQRT(1-E$9^2*$C$11)*NORMSINV(D31)))*(E$7-E$5)*(E$7-E$6))))</f>
        <v>0.0566539745141295</v>
      </c>
      <c r="F31" s="2" t="n">
        <v>0.979601314</v>
      </c>
      <c r="G31" s="2" t="n">
        <f aca="false">IF(G$7=G$5,G$6,IF(NORMSDIST(G$9*SQRT($C$11)*NORMSINV($B31)+SQRT(1-G$9^2*$C$11)*NORMSINV(F31))&lt;G$8,G$5+SQRT(NORMSDIST(G$9*SQRT($C$11)*NORMSINV($B31)+SQRT(1-G$9^2*$C$11)*NORMSINV(F31))*(G$7-G$5)*(G$6-G$5)),G$7-SQRT((1-NORMSDIST(G$9*SQRT($C$11)*NORMSINV($B31)+SQRT(1-G$9^2*$C$11)*NORMSINV(F31)))*(G$7-G$5)*(G$7-G$6))))</f>
        <v>0.0628559175661039</v>
      </c>
      <c r="H31" s="2" t="n">
        <v>0.310740949</v>
      </c>
      <c r="I31" s="2" t="n">
        <f aca="false">IF(I$7=I$5,I$6,IF(NORMSDIST(I$9*SQRT($C$11)*NORMSINV($B31)+SQRT(1-I$9^2*$C$11)*NORMSINV(H31))&lt;I$8,I$5+SQRT(NORMSDIST(I$9*SQRT($C$11)*NORMSINV($B31)+SQRT(1-I$9^2*$C$11)*NORMSINV(H31))*(I$7-I$5)*(I$6-I$5)),I$7-SQRT((1-NORMSDIST(I$9*SQRT($C$11)*NORMSINV($B31)+SQRT(1-I$9^2*$C$11)*NORMSINV(H31)))*(I$7-I$5)*(I$7-I$6))))</f>
        <v>193.389644013727</v>
      </c>
      <c r="J31" s="2" t="n">
        <v>0.935899732</v>
      </c>
      <c r="K31" s="2" t="n">
        <f aca="false">IF(K$7=K$5,K$6,IF(NORMSDIST(K$9*SQRT($C$11)*NORMSINV($B31)+SQRT(1-K$9^2*$C$11)*NORMSINV(J31))&lt;K$8,K$5+SQRT(NORMSDIST(K$9*SQRT($C$11)*NORMSINV($B31)+SQRT(1-K$9^2*$C$11)*NORMSINV(J31))*(K$7-K$5)*(K$6-K$5)),K$7-SQRT((1-NORMSDIST(K$9*SQRT($C$11)*NORMSINV($B31)+SQRT(1-K$9^2*$C$11)*NORMSINV(J31)))*(K$7-K$5)*(K$7-K$6))))</f>
        <v>0.337533648094632</v>
      </c>
      <c r="L31" s="2" t="n">
        <v>0.278016598</v>
      </c>
      <c r="M31" s="2" t="n">
        <f aca="false">IF(M$7=M$5,M$6,IF(NORMSDIST(M$9*SQRT($C$11)*NORMSINV($B31)+SQRT(1-M$9^2*$C$11)*NORMSINV(L31))&lt;M$8,M$5+SQRT(NORMSDIST(M$9*SQRT($C$11)*NORMSINV($B31)+SQRT(1-M$9^2*$C$11)*NORMSINV(L31))*(M$7-M$5)*(M$6-M$5)),M$7-SQRT((1-NORMSDIST(M$9*SQRT($C$11)*NORMSINV($B31)+SQRT(1-M$9^2*$C$11)*NORMSINV(L31)))*(M$7-M$5)*(M$7-M$6))))</f>
        <v>1482.85179194696</v>
      </c>
      <c r="N31" s="2" t="n">
        <v>0.174760198</v>
      </c>
      <c r="O31" s="2" t="n">
        <f aca="false">IF(O$7=O$5,O$6,IF(NORMSDIST(O$9*SQRT($C$11)*NORMSINV($B31)+SQRT(1-O$9^2*$C$11)*NORMSINV(N31))&lt;O$8,O$5+SQRT(NORMSDIST(O$9*SQRT($C$11)*NORMSINV($B31)+SQRT(1-O$9^2*$C$11)*NORMSINV(N31))*(O$7-O$5)*(O$6-O$5)),O$7-SQRT((1-NORMSDIST(O$9*SQRT($C$11)*NORMSINV($B31)+SQRT(1-O$9^2*$C$11)*NORMSINV(N31)))*(O$7-O$5)*(O$7-O$6))))</f>
        <v>0.153945188236094</v>
      </c>
      <c r="P31" s="2" t="n">
        <v>0.610963444</v>
      </c>
      <c r="Q31" s="2" t="n">
        <f aca="false">IF(Q$7=Q$5,Q$6,IF(NORMSDIST(Q$9*SQRT($C$11)*NORMSINV($B31)+SQRT(1-Q$9^2*$C$11)*NORMSINV(P31))&lt;Q$8,Q$5+SQRT(NORMSDIST(Q$9*SQRT($C$11)*NORMSINV($B31)+SQRT(1-Q$9^2*$C$11)*NORMSINV(P31))*(Q$7-Q$5)*(Q$6-Q$5)),Q$7-SQRT((1-NORMSDIST(Q$9*SQRT($C$11)*NORMSINV($B31)+SQRT(1-Q$9^2*$C$11)*NORMSINV(P31)))*(Q$7-Q$5)*(Q$7-Q$6))))</f>
        <v>0.0847166189375224</v>
      </c>
      <c r="R31" s="2" t="n">
        <v>0.422144355</v>
      </c>
      <c r="S31" s="2" t="n">
        <f aca="false">IF(S$7=S$5,S$6,IF(NORMSDIST(S$9*SQRT($C$11)*NORMSINV($B31)+SQRT(1-S$9^2*$C$11)*NORMSINV(R31))&lt;S$8,S$5+SQRT(NORMSDIST(S$9*SQRT($C$11)*NORMSINV($B31)+SQRT(1-S$9^2*$C$11)*NORMSINV(R31))*(S$7-S$5)*(S$6-S$5)),S$7-SQRT((1-NORMSDIST(S$9*SQRT($C$11)*NORMSINV($B31)+SQRT(1-S$9^2*$C$11)*NORMSINV(R31)))*(S$7-S$5)*(S$7-S$6))))</f>
        <v>0.386470284373264</v>
      </c>
      <c r="T31" s="2" t="n">
        <v>0.265797658</v>
      </c>
      <c r="U31" s="2" t="n">
        <f aca="false">IF(U$7=U$5,U$6,IF(NORMSDIST(U$9*SQRT($C$11)*NORMSINV($B31)+SQRT(1-U$9^2*$C$11)*NORMSINV(T31))&lt;U$8,U$5+SQRT(NORMSDIST(U$9*SQRT($C$11)*NORMSINV($B31)+SQRT(1-U$9^2*$C$11)*NORMSINV(T31))*(U$7-U$5)*(U$6-U$5)),U$7-SQRT((1-NORMSDIST(U$9*SQRT($C$11)*NORMSINV($B31)+SQRT(1-U$9^2*$C$11)*NORMSINV(T31)))*(U$7-U$5)*(U$7-U$6))))</f>
        <v>0.312051323836863</v>
      </c>
      <c r="V31" s="2" t="n">
        <v>0.183316198</v>
      </c>
      <c r="W31" s="2" t="n">
        <f aca="false">IF(W$7=W$5,W$6,IF(NORMSDIST(W$9*SQRT($C$11)*NORMSINV($B31)+SQRT(1-W$9^2*$C$11)*NORMSINV(V31))&lt;W$8,W$5+SQRT(NORMSDIST(W$9*SQRT($C$11)*NORMSINV($B31)+SQRT(1-W$9^2*$C$11)*NORMSINV(V31))*(W$7-W$5)*(W$6-W$5)),W$7-SQRT((1-NORMSDIST(W$9*SQRT($C$11)*NORMSINV($B31)+SQRT(1-W$9^2*$C$11)*NORMSINV(V31)))*(W$7-W$5)*(W$7-W$6))))</f>
        <v>9.0625632496695</v>
      </c>
      <c r="X31" s="2" t="n">
        <v>0.211762358</v>
      </c>
      <c r="Y31" s="2" t="n">
        <f aca="false">IF(Y$7=Y$5,Y$6,IF(NORMSDIST(Y$9*SQRT($C$11)*NORMSINV($B31)+SQRT(1-Y$9^2*$C$11)*NORMSINV(X31))&lt;Y$8,Y$5+SQRT(NORMSDIST(Y$9*SQRT($C$11)*NORMSINV($B31)+SQRT(1-Y$9^2*$C$11)*NORMSINV(X31))*(Y$7-Y$5)*(Y$6-Y$5)),Y$7-SQRT((1-NORMSDIST(Y$9*SQRT($C$11)*NORMSINV($B31)+SQRT(1-Y$9^2*$C$11)*NORMSINV(X31)))*(Y$7-Y$5)*(Y$7-Y$6))))</f>
        <v>0.32539388285584</v>
      </c>
      <c r="Z31" s="2" t="n">
        <v>0.797255727</v>
      </c>
      <c r="AA31" s="2" t="n">
        <f aca="false">IF(AA$7=AA$5,AA$6,IF(NORMSDIST(AA$9*SQRT($C$11)*NORMSINV($B31)+SQRT(1-AA$9^2*$C$11)*NORMSINV(Z31))&lt;AA$8,AA$5+SQRT(NORMSDIST(AA$9*SQRT($C$11)*NORMSINV($B31)+SQRT(1-AA$9^2*$C$11)*NORMSINV(Z31))*(AA$7-AA$5)*(AA$6-AA$5)),AA$7-SQRT((1-NORMSDIST(AA$9*SQRT($C$11)*NORMSINV($B31)+SQRT(1-AA$9^2*$C$11)*NORMSINV(Z31)))*(AA$7-AA$5)*(AA$7-AA$6))))</f>
        <v>0.731348578809463</v>
      </c>
      <c r="AB31" s="2" t="n">
        <v>0.529742329</v>
      </c>
      <c r="AC31" s="2" t="n">
        <f aca="false">IF(AC$7=AC$5,AC$6,IF(NORMSDIST(AC$9*SQRT($C$11)*NORMSINV($B31)+SQRT(1-AC$9^2*$C$11)*NORMSINV(AB31))&lt;AC$8,AC$5+SQRT(NORMSDIST(AC$9*SQRT($C$11)*NORMSINV($B31)+SQRT(1-AC$9^2*$C$11)*NORMSINV(AB31))*(AC$7-AC$5)*(AC$6-AC$5)),AC$7-SQRT((1-NORMSDIST(AC$9*SQRT($C$11)*NORMSINV($B31)+SQRT(1-AC$9^2*$C$11)*NORMSINV(AB31)))*(AC$7-AC$5)*(AC$7-AC$6))))</f>
        <v>9.20044672226986</v>
      </c>
      <c r="AD31" s="2" t="n">
        <f aca="false">Entrées!$C$8*(1+E31)</f>
        <v>7449.41052032461</v>
      </c>
      <c r="AE31" s="2" t="n">
        <f aca="false">I31*Hypothèses!$J$24/12/Hypothèses!$J$19</f>
        <v>95.939983427575</v>
      </c>
      <c r="AF31" s="2" t="n">
        <f aca="false">Entrées!$C$36*S31*1000</f>
        <v>193.235142186632</v>
      </c>
      <c r="AG31" s="2" t="n">
        <f aca="false">-AF31/W31</f>
        <v>-21.3223496336623</v>
      </c>
      <c r="AH31" s="2" t="n">
        <f aca="false">AD31+AE31+AG31</f>
        <v>7524.02815411853</v>
      </c>
      <c r="AI31" s="2" t="n">
        <f aca="false">Entrées!$C$16-M31+Hypothèses!$J$22*1000-AF31+Hypothèses!$J$23</f>
        <v>22871.9130658664</v>
      </c>
      <c r="AJ31" s="2" t="n">
        <f aca="false">AI31/AH31</f>
        <v>3.03984947921104</v>
      </c>
      <c r="AK31" s="2" t="n">
        <f aca="false">AI31/(AH31+I31*(12-Hypothèses!$J$24)/12/Hypothèses!$J$19)</f>
        <v>3.01241254142591</v>
      </c>
      <c r="AL31" s="2" t="n">
        <f aca="false">(AD31+AG31+I31/Hypothèses!$J$19)*(1+G31)</f>
        <v>8069.79383262255</v>
      </c>
      <c r="AM31" s="2" t="n">
        <f aca="false">Entrées!$C$54*K31/Hypothèses!$J$19</f>
        <v>34.4467260002631</v>
      </c>
      <c r="AN31" s="2" t="n">
        <f aca="false">Y31*1000/AC31</f>
        <v>35.3671829943015</v>
      </c>
      <c r="AO31" s="2" t="n">
        <f aca="false">(Entrées!$C$36*(1-S31)+MAX(0,Entrées!$C$30-Entrées!$C$35-Entrées!$C$36)*U31)*1000</f>
        <v>743.636711184977</v>
      </c>
      <c r="AP31" s="2" t="n">
        <f aca="false">-AO31/W31</f>
        <v>-82.0558919919369</v>
      </c>
      <c r="AQ31" s="2" t="n">
        <f aca="false">AL31+AM31+AN31+AP31</f>
        <v>8057.55184962518</v>
      </c>
      <c r="AR31" s="2" t="n">
        <f aca="false">O31*AQ31-Hypothèses!$J$25/Hypothèses!$J$19</f>
        <v>1221.28617395101</v>
      </c>
      <c r="AS31" s="2" t="n">
        <f aca="false">Entrées!$C$79*(1+Q31)+Hypothèses!$J$20</f>
        <v>1487.10356421234</v>
      </c>
      <c r="AT31" s="2" t="n">
        <f aca="false">AI31-AR31+AS31+Y31*1000-AO31+Hypothèses!$J$23</f>
        <v>22719.4876277986</v>
      </c>
      <c r="AU31" s="2" t="n">
        <f aca="false">AT31/AQ31</f>
        <v>2.81965143405878</v>
      </c>
      <c r="AV31" s="2" t="n">
        <f aca="false">Hypothèses!$J$26*AQ31-AT31</f>
        <v>1453.16792107694</v>
      </c>
      <c r="AW31" s="2" t="n">
        <f aca="false">IF(AC31&gt;Hypothèses!$J$26,MAX(0,AV31)/(1-Hypothèses!$J$26/AC31),0)</f>
        <v>2156.26302994594</v>
      </c>
      <c r="AX31" s="2" t="n">
        <f aca="false">AQ31-Entrées!$C$17*1000</f>
        <v>57.5518496251807</v>
      </c>
      <c r="AY31" s="2" t="n">
        <f aca="false">AI31+(Entrées!$C$244-Entrées!$C$13)</f>
        <v>28618.9130658664</v>
      </c>
      <c r="AZ31" s="2" t="n">
        <f aca="false">AA31*AH31</f>
        <v>5502.68729743697</v>
      </c>
      <c r="BA31" s="2" t="n">
        <f aca="false">AZ31/AY31</f>
        <v>0.192274503394749</v>
      </c>
      <c r="BB31" s="2" t="n">
        <f aca="false">AZ31/(Entrées!$C$151/100)-AY31</f>
        <v>1951.57191989454</v>
      </c>
      <c r="BC31" s="2" t="n">
        <f aca="false">AT31+(Entrées!$C$244-Entrées!$C$13)</f>
        <v>28466.4876277986</v>
      </c>
      <c r="BD31" s="2" t="n">
        <f aca="false">AA31*AQ31</f>
        <v>5892.87909390694</v>
      </c>
      <c r="BE31" s="2" t="n">
        <f aca="false">BD31/BC31</f>
        <v>0.207011106215728</v>
      </c>
      <c r="BF31" s="2" t="n">
        <f aca="false">BD31/(Entrées!$C$151/100)-BC31</f>
        <v>4271.72956057326</v>
      </c>
      <c r="BG31" s="2" t="n">
        <f aca="false">MIN(AV31,BF31)</f>
        <v>1453.16792107694</v>
      </c>
      <c r="BH31" s="2" t="n">
        <f aca="false">IF(AC31&gt;Hypothèses!$J$26,MAX(0,BG31)/(1-Hypothèses!$J$26/AC31),0)</f>
        <v>2156.26302994594</v>
      </c>
    </row>
    <row r="32" customFormat="false" ht="15" hidden="false" customHeight="false" outlineLevel="0" collapsed="false">
      <c r="A32" s="2" t="n">
        <v>17</v>
      </c>
      <c r="B32" s="2" t="n">
        <v>0.518523858</v>
      </c>
      <c r="C32" s="2"/>
      <c r="D32" s="2" t="n">
        <v>0.526060459</v>
      </c>
      <c r="E32" s="2" t="n">
        <f aca="false">IF(E$7=E$5,E$6,IF(NORMSDIST(E$9*SQRT($C$11)*NORMSINV($B32)+SQRT(1-E$9^2*$C$11)*NORMSINV(D32))&lt;E$8,E$5+SQRT(NORMSDIST(E$9*SQRT($C$11)*NORMSINV($B32)+SQRT(1-E$9^2*$C$11)*NORMSINV(D32))*(E$7-E$5)*(E$6-E$5)),E$7-SQRT((1-NORMSDIST(E$9*SQRT($C$11)*NORMSINV($B32)+SQRT(1-E$9^2*$C$11)*NORMSINV(D32)))*(E$7-E$5)*(E$7-E$6))))</f>
        <v>0.0551620584208196</v>
      </c>
      <c r="F32" s="2" t="n">
        <v>0.721571293</v>
      </c>
      <c r="G32" s="2" t="n">
        <f aca="false">IF(G$7=G$5,G$6,IF(NORMSDIST(G$9*SQRT($C$11)*NORMSINV($B32)+SQRT(1-G$9^2*$C$11)*NORMSINV(F32))&lt;G$8,G$5+SQRT(NORMSDIST(G$9*SQRT($C$11)*NORMSINV($B32)+SQRT(1-G$9^2*$C$11)*NORMSINV(F32))*(G$7-G$5)*(G$6-G$5)),G$7-SQRT((1-NORMSDIST(G$9*SQRT($C$11)*NORMSINV($B32)+SQRT(1-G$9^2*$C$11)*NORMSINV(F32)))*(G$7-G$5)*(G$7-G$6))))</f>
        <v>0.0581125013442852</v>
      </c>
      <c r="H32" s="2" t="n">
        <v>0.638247641</v>
      </c>
      <c r="I32" s="2" t="n">
        <f aca="false">IF(I$7=I$5,I$6,IF(NORMSDIST(I$9*SQRT($C$11)*NORMSINV($B32)+SQRT(1-I$9^2*$C$11)*NORMSINV(H32))&lt;I$8,I$5+SQRT(NORMSDIST(I$9*SQRT($C$11)*NORMSINV($B32)+SQRT(1-I$9^2*$C$11)*NORMSINV(H32))*(I$7-I$5)*(I$6-I$5)),I$7-SQRT((1-NORMSDIST(I$9*SQRT($C$11)*NORMSINV($B32)+SQRT(1-I$9^2*$C$11)*NORMSINV(H32)))*(I$7-I$5)*(I$7-I$6))))</f>
        <v>202.546343981464</v>
      </c>
      <c r="J32" s="2" t="n">
        <v>0.401103316</v>
      </c>
      <c r="K32" s="2" t="n">
        <f aca="false">IF(K$7=K$5,K$6,IF(NORMSDIST(K$9*SQRT($C$11)*NORMSINV($B32)+SQRT(1-K$9^2*$C$11)*NORMSINV(J32))&lt;K$8,K$5+SQRT(NORMSDIST(K$9*SQRT($C$11)*NORMSINV($B32)+SQRT(1-K$9^2*$C$11)*NORMSINV(J32))*(K$7-K$5)*(K$6-K$5)),K$7-SQRT((1-NORMSDIST(K$9*SQRT($C$11)*NORMSINV($B32)+SQRT(1-K$9^2*$C$11)*NORMSINV(J32)))*(K$7-K$5)*(K$7-K$6))))</f>
        <v>0.233079479586977</v>
      </c>
      <c r="L32" s="2" t="n">
        <v>0.019768596</v>
      </c>
      <c r="M32" s="2" t="n">
        <f aca="false">IF(M$7=M$5,M$6,IF(NORMSDIST(M$9*SQRT($C$11)*NORMSINV($B32)+SQRT(1-M$9^2*$C$11)*NORMSINV(L32))&lt;M$8,M$5+SQRT(NORMSDIST(M$9*SQRT($C$11)*NORMSINV($B32)+SQRT(1-M$9^2*$C$11)*NORMSINV(L32))*(M$7-M$5)*(M$6-M$5)),M$7-SQRT((1-NORMSDIST(M$9*SQRT($C$11)*NORMSINV($B32)+SQRT(1-M$9^2*$C$11)*NORMSINV(L32)))*(M$7-M$5)*(M$7-M$6))))</f>
        <v>1399.9341971814</v>
      </c>
      <c r="N32" s="2" t="n">
        <v>0.927307339</v>
      </c>
      <c r="O32" s="2" t="n">
        <f aca="false">IF(O$7=O$5,O$6,IF(NORMSDIST(O$9*SQRT($C$11)*NORMSINV($B32)+SQRT(1-O$9^2*$C$11)*NORMSINV(N32))&lt;O$8,O$5+SQRT(NORMSDIST(O$9*SQRT($C$11)*NORMSINV($B32)+SQRT(1-O$9^2*$C$11)*NORMSINV(N32))*(O$7-O$5)*(O$6-O$5)),O$7-SQRT((1-NORMSDIST(O$9*SQRT($C$11)*NORMSINV($B32)+SQRT(1-O$9^2*$C$11)*NORMSINV(N32)))*(O$7-O$5)*(O$7-O$6))))</f>
        <v>0.178526148327627</v>
      </c>
      <c r="P32" s="2" t="n">
        <v>0.696527018</v>
      </c>
      <c r="Q32" s="2" t="n">
        <f aca="false">IF(Q$7=Q$5,Q$6,IF(NORMSDIST(Q$9*SQRT($C$11)*NORMSINV($B32)+SQRT(1-Q$9^2*$C$11)*NORMSINV(P32))&lt;Q$8,Q$5+SQRT(NORMSDIST(Q$9*SQRT($C$11)*NORMSINV($B32)+SQRT(1-Q$9^2*$C$11)*NORMSINV(P32))*(Q$7-Q$5)*(Q$6-Q$5)),Q$7-SQRT((1-NORMSDIST(Q$9*SQRT($C$11)*NORMSINV($B32)+SQRT(1-Q$9^2*$C$11)*NORMSINV(P32)))*(Q$7-Q$5)*(Q$7-Q$6))))</f>
        <v>0.0888373052769822</v>
      </c>
      <c r="R32" s="2" t="n">
        <v>0.382669632</v>
      </c>
      <c r="S32" s="2" t="n">
        <f aca="false">IF(S$7=S$5,S$6,IF(NORMSDIST(S$9*SQRT($C$11)*NORMSINV($B32)+SQRT(1-S$9^2*$C$11)*NORMSINV(R32))&lt;S$8,S$5+SQRT(NORMSDIST(S$9*SQRT($C$11)*NORMSINV($B32)+SQRT(1-S$9^2*$C$11)*NORMSINV(R32))*(S$7-S$5)*(S$6-S$5)),S$7-SQRT((1-NORMSDIST(S$9*SQRT($C$11)*NORMSINV($B32)+SQRT(1-S$9^2*$C$11)*NORMSINV(R32)))*(S$7-S$5)*(S$7-S$6))))</f>
        <v>0.458272780962953</v>
      </c>
      <c r="T32" s="2" t="n">
        <v>0.376689867</v>
      </c>
      <c r="U32" s="2" t="n">
        <f aca="false">IF(U$7=U$5,U$6,IF(NORMSDIST(U$9*SQRT($C$11)*NORMSINV($B32)+SQRT(1-U$9^2*$C$11)*NORMSINV(T32))&lt;U$8,U$5+SQRT(NORMSDIST(U$9*SQRT($C$11)*NORMSINV($B32)+SQRT(1-U$9^2*$C$11)*NORMSINV(T32))*(U$7-U$5)*(U$6-U$5)),U$7-SQRT((1-NORMSDIST(U$9*SQRT($C$11)*NORMSINV($B32)+SQRT(1-U$9^2*$C$11)*NORMSINV(T32)))*(U$7-U$5)*(U$7-U$6))))</f>
        <v>0.455673812056297</v>
      </c>
      <c r="V32" s="2" t="n">
        <v>0.523685364</v>
      </c>
      <c r="W32" s="2" t="n">
        <f aca="false">IF(W$7=W$5,W$6,IF(NORMSDIST(W$9*SQRT($C$11)*NORMSINV($B32)+SQRT(1-W$9^2*$C$11)*NORMSINV(V32))&lt;W$8,W$5+SQRT(NORMSDIST(W$9*SQRT($C$11)*NORMSINV($B32)+SQRT(1-W$9^2*$C$11)*NORMSINV(V32))*(W$7-W$5)*(W$6-W$5)),W$7-SQRT((1-NORMSDIST(W$9*SQRT($C$11)*NORMSINV($B32)+SQRT(1-W$9^2*$C$11)*NORMSINV(V32)))*(W$7-W$5)*(W$7-W$6))))</f>
        <v>10.061028429742</v>
      </c>
      <c r="X32" s="2" t="n">
        <v>0.291879829</v>
      </c>
      <c r="Y32" s="2" t="n">
        <f aca="false">IF(Y$7=Y$5,Y$6,IF(NORMSDIST(Y$9*SQRT($C$11)*NORMSINV($B32)+SQRT(1-Y$9^2*$C$11)*NORMSINV(X32))&lt;Y$8,Y$5+SQRT(NORMSDIST(Y$9*SQRT($C$11)*NORMSINV($B32)+SQRT(1-Y$9^2*$C$11)*NORMSINV(X32))*(Y$7-Y$5)*(Y$6-Y$5)),Y$7-SQRT((1-NORMSDIST(Y$9*SQRT($C$11)*NORMSINV($B32)+SQRT(1-Y$9^2*$C$11)*NORMSINV(X32)))*(Y$7-Y$5)*(Y$7-Y$6))))</f>
        <v>0.382020829929469</v>
      </c>
      <c r="Z32" s="2" t="n">
        <v>0.83688828</v>
      </c>
      <c r="AA32" s="2" t="n">
        <f aca="false">IF(AA$7=AA$5,AA$6,IF(NORMSDIST(AA$9*SQRT($C$11)*NORMSINV($B32)+SQRT(1-AA$9^2*$C$11)*NORMSINV(Z32))&lt;AA$8,AA$5+SQRT(NORMSDIST(AA$9*SQRT($C$11)*NORMSINV($B32)+SQRT(1-AA$9^2*$C$11)*NORMSINV(Z32))*(AA$7-AA$5)*(AA$6-AA$5)),AA$7-SQRT((1-NORMSDIST(AA$9*SQRT($C$11)*NORMSINV($B32)+SQRT(1-AA$9^2*$C$11)*NORMSINV(Z32)))*(AA$7-AA$5)*(AA$7-AA$6))))</f>
        <v>0.737253716464337</v>
      </c>
      <c r="AB32" s="2" t="n">
        <v>0.35022066</v>
      </c>
      <c r="AC32" s="2" t="n">
        <f aca="false">IF(AC$7=AC$5,AC$6,IF(NORMSDIST(AC$9*SQRT($C$11)*NORMSINV($B32)+SQRT(1-AC$9^2*$C$11)*NORMSINV(AB32))&lt;AC$8,AC$5+SQRT(NORMSDIST(AC$9*SQRT($C$11)*NORMSINV($B32)+SQRT(1-AC$9^2*$C$11)*NORMSINV(AB32))*(AC$7-AC$5)*(AC$6-AC$5)),AC$7-SQRT((1-NORMSDIST(AC$9*SQRT($C$11)*NORMSINV($B32)+SQRT(1-AC$9^2*$C$11)*NORMSINV(AB32)))*(AC$7-AC$5)*(AC$7-AC$6))))</f>
        <v>9.24528800777772</v>
      </c>
      <c r="AD32" s="2" t="n">
        <f aca="false">Entrées!$C$8*(1+E32)</f>
        <v>7438.89251186678</v>
      </c>
      <c r="AE32" s="2" t="n">
        <f aca="false">I32*Hypothèses!$J$24/12/Hypothèses!$J$19</f>
        <v>100.482592974411</v>
      </c>
      <c r="AF32" s="2" t="n">
        <f aca="false">Entrées!$C$36*S32*1000</f>
        <v>229.136390481476</v>
      </c>
      <c r="AG32" s="2" t="n">
        <f aca="false">-AF32/W32</f>
        <v>-22.7746489418629</v>
      </c>
      <c r="AH32" s="2" t="n">
        <f aca="false">AD32+AE32+AG32</f>
        <v>7516.60045589933</v>
      </c>
      <c r="AI32" s="2" t="n">
        <f aca="false">Entrées!$C$16-M32+Hypothèses!$J$22*1000-AF32+Hypothèses!$J$23</f>
        <v>22918.9294123371</v>
      </c>
      <c r="AJ32" s="2" t="n">
        <f aca="false">AI32/AH32</f>
        <v>3.04910837642693</v>
      </c>
      <c r="AK32" s="2" t="n">
        <f aca="false">AI32/(AH32+I32*(12-Hypothèses!$J$24)/12/Hypothèses!$J$19)</f>
        <v>3.02026892821704</v>
      </c>
      <c r="AL32" s="2" t="n">
        <f aca="false">(AD32+AG32+I32/Hypothèses!$J$19)*(1+G32)</f>
        <v>8029.35311556417</v>
      </c>
      <c r="AM32" s="2" t="n">
        <f aca="false">Entrées!$C$54*K32/Hypothèses!$J$19</f>
        <v>23.7867395293448</v>
      </c>
      <c r="AN32" s="2" t="n">
        <f aca="false">Y32*1000/AC32</f>
        <v>41.3205980828384</v>
      </c>
      <c r="AO32" s="2" t="n">
        <f aca="false">(Entrées!$C$36*(1-S32)+MAX(0,Entrées!$C$30-Entrées!$C$35-Entrées!$C$36)*U32)*1000</f>
        <v>908.80694639734</v>
      </c>
      <c r="AP32" s="2" t="n">
        <f aca="false">-AO32/W32</f>
        <v>-90.3294283227311</v>
      </c>
      <c r="AQ32" s="2" t="n">
        <f aca="false">AL32+AM32+AN32+AP32</f>
        <v>8004.13102485362</v>
      </c>
      <c r="AR32" s="2" t="n">
        <f aca="false">O32*AQ32-Hypothèses!$J$25/Hypothèses!$J$19</f>
        <v>1409.81152031515</v>
      </c>
      <c r="AS32" s="2" t="n">
        <f aca="false">Entrées!$C$79*(1+Q32)+Hypothèses!$J$20</f>
        <v>1491.6321984994</v>
      </c>
      <c r="AT32" s="2" t="n">
        <f aca="false">AI32-AR32+AS32+Y32*1000-AO32+Hypothèses!$J$23</f>
        <v>22473.9639740535</v>
      </c>
      <c r="AU32" s="2" t="n">
        <f aca="false">AT32/AQ32</f>
        <v>2.80779561257426</v>
      </c>
      <c r="AV32" s="2" t="n">
        <f aca="false">Hypothèses!$J$26*AQ32-AT32</f>
        <v>1538.42910050736</v>
      </c>
      <c r="AW32" s="2" t="n">
        <f aca="false">IF(AC32&gt;Hypothèses!$J$26,MAX(0,AV32)/(1-Hypothèses!$J$26/AC32),0)</f>
        <v>2277.43221706089</v>
      </c>
      <c r="AX32" s="2" t="n">
        <f aca="false">AQ32-Entrées!$C$17*1000</f>
        <v>4.13102485362106</v>
      </c>
      <c r="AY32" s="2" t="n">
        <f aca="false">AI32+(Entrées!$C$244-Entrées!$C$13)</f>
        <v>28665.9294123371</v>
      </c>
      <c r="AZ32" s="2" t="n">
        <f aca="false">AA32*AH32</f>
        <v>5541.64162128931</v>
      </c>
      <c r="BA32" s="2" t="n">
        <f aca="false">AZ32/AY32</f>
        <v>0.193318051599761</v>
      </c>
      <c r="BB32" s="2" t="n">
        <f aca="false">AZ32/(Entrées!$C$151/100)-AY32</f>
        <v>2120.96848371458</v>
      </c>
      <c r="BC32" s="2" t="n">
        <f aca="false">AT32+(Entrées!$C$244-Entrées!$C$13)</f>
        <v>28220.9639740535</v>
      </c>
      <c r="BD32" s="2" t="n">
        <f aca="false">AA32*AQ32</f>
        <v>5901.07534514083</v>
      </c>
      <c r="BE32" s="2" t="n">
        <f aca="false">BD32/BC32</f>
        <v>0.209102543434247</v>
      </c>
      <c r="BF32" s="2" t="n">
        <f aca="false">BD32/(Entrées!$C$151/100)-BC32</f>
        <v>4562.78794339557</v>
      </c>
      <c r="BG32" s="2" t="n">
        <f aca="false">MIN(AV32,BF32)</f>
        <v>1538.42910050736</v>
      </c>
      <c r="BH32" s="2" t="n">
        <f aca="false">IF(AC32&gt;Hypothèses!$J$26,MAX(0,BG32)/(1-Hypothèses!$J$26/AC32),0)</f>
        <v>2277.43221706089</v>
      </c>
    </row>
    <row r="33" customFormat="false" ht="15" hidden="false" customHeight="false" outlineLevel="0" collapsed="false">
      <c r="A33" s="2" t="n">
        <v>18</v>
      </c>
      <c r="B33" s="2" t="n">
        <v>0.388723756</v>
      </c>
      <c r="C33" s="2"/>
      <c r="D33" s="2" t="n">
        <v>0.954908059</v>
      </c>
      <c r="E33" s="2" t="n">
        <f aca="false">IF(E$7=E$5,E$6,IF(NORMSDIST(E$9*SQRT($C$11)*NORMSINV($B33)+SQRT(1-E$9^2*$C$11)*NORMSINV(D33))&lt;E$8,E$5+SQRT(NORMSDIST(E$9*SQRT($C$11)*NORMSINV($B33)+SQRT(1-E$9^2*$C$11)*NORMSINV(D33))*(E$7-E$5)*(E$6-E$5)),E$7-SQRT((1-NORMSDIST(E$9*SQRT($C$11)*NORMSINV($B33)+SQRT(1-E$9^2*$C$11)*NORMSINV(D33)))*(E$7-E$5)*(E$7-E$6))))</f>
        <v>0.0574657109142449</v>
      </c>
      <c r="F33" s="2" t="n">
        <v>0.799428493</v>
      </c>
      <c r="G33" s="2" t="n">
        <f aca="false">IF(G$7=G$5,G$6,IF(NORMSDIST(G$9*SQRT($C$11)*NORMSINV($B33)+SQRT(1-G$9^2*$C$11)*NORMSINV(F33))&lt;G$8,G$5+SQRT(NORMSDIST(G$9*SQRT($C$11)*NORMSINV($B33)+SQRT(1-G$9^2*$C$11)*NORMSINV(F33))*(G$7-G$5)*(G$6-G$5)),G$7-SQRT((1-NORMSDIST(G$9*SQRT($C$11)*NORMSINV($B33)+SQRT(1-G$9^2*$C$11)*NORMSINV(F33)))*(G$7-G$5)*(G$7-G$6))))</f>
        <v>0.0580259987069163</v>
      </c>
      <c r="H33" s="2" t="n">
        <v>0.36107313</v>
      </c>
      <c r="I33" s="2" t="n">
        <f aca="false">IF(I$7=I$5,I$6,IF(NORMSDIST(I$9*SQRT($C$11)*NORMSINV($B33)+SQRT(1-I$9^2*$C$11)*NORMSINV(H33))&lt;I$8,I$5+SQRT(NORMSDIST(I$9*SQRT($C$11)*NORMSINV($B33)+SQRT(1-I$9^2*$C$11)*NORMSINV(H33))*(I$7-I$5)*(I$6-I$5)),I$7-SQRT((1-NORMSDIST(I$9*SQRT($C$11)*NORMSINV($B33)+SQRT(1-I$9^2*$C$11)*NORMSINV(H33)))*(I$7-I$5)*(I$7-I$6))))</f>
        <v>196.120589905044</v>
      </c>
      <c r="J33" s="2" t="n">
        <v>0.729289515</v>
      </c>
      <c r="K33" s="2" t="n">
        <f aca="false">IF(K$7=K$5,K$6,IF(NORMSDIST(K$9*SQRT($C$11)*NORMSINV($B33)+SQRT(1-K$9^2*$C$11)*NORMSINV(J33))&lt;K$8,K$5+SQRT(NORMSDIST(K$9*SQRT($C$11)*NORMSINV($B33)+SQRT(1-K$9^2*$C$11)*NORMSINV(J33))*(K$7-K$5)*(K$6-K$5)),K$7-SQRT((1-NORMSDIST(K$9*SQRT($C$11)*NORMSINV($B33)+SQRT(1-K$9^2*$C$11)*NORMSINV(J33)))*(K$7-K$5)*(K$7-K$6))))</f>
        <v>0.28083100104423</v>
      </c>
      <c r="L33" s="2" t="n">
        <v>0.048606577</v>
      </c>
      <c r="M33" s="2" t="n">
        <f aca="false">IF(M$7=M$5,M$6,IF(NORMSDIST(M$9*SQRT($C$11)*NORMSINV($B33)+SQRT(1-M$9^2*$C$11)*NORMSINV(L33))&lt;M$8,M$5+SQRT(NORMSDIST(M$9*SQRT($C$11)*NORMSINV($B33)+SQRT(1-M$9^2*$C$11)*NORMSINV(L33))*(M$7-M$5)*(M$6-M$5)),M$7-SQRT((1-NORMSDIST(M$9*SQRT($C$11)*NORMSINV($B33)+SQRT(1-M$9^2*$C$11)*NORMSINV(L33)))*(M$7-M$5)*(M$7-M$6))))</f>
        <v>1410.02543023132</v>
      </c>
      <c r="N33" s="2" t="n">
        <v>0.325169678</v>
      </c>
      <c r="O33" s="2" t="n">
        <f aca="false">IF(O$7=O$5,O$6,IF(NORMSDIST(O$9*SQRT($C$11)*NORMSINV($B33)+SQRT(1-O$9^2*$C$11)*NORMSINV(N33))&lt;O$8,O$5+SQRT(NORMSDIST(O$9*SQRT($C$11)*NORMSINV($B33)+SQRT(1-O$9^2*$C$11)*NORMSINV(N33))*(O$7-O$5)*(O$6-O$5)),O$7-SQRT((1-NORMSDIST(O$9*SQRT($C$11)*NORMSINV($B33)+SQRT(1-O$9^2*$C$11)*NORMSINV(N33)))*(O$7-O$5)*(O$7-O$6))))</f>
        <v>0.160681301791284</v>
      </c>
      <c r="P33" s="2" t="n">
        <v>0.080899758</v>
      </c>
      <c r="Q33" s="2" t="n">
        <f aca="false">IF(Q$7=Q$5,Q$6,IF(NORMSDIST(Q$9*SQRT($C$11)*NORMSINV($B33)+SQRT(1-Q$9^2*$C$11)*NORMSINV(P33))&lt;Q$8,Q$5+SQRT(NORMSDIST(Q$9*SQRT($C$11)*NORMSINV($B33)+SQRT(1-Q$9^2*$C$11)*NORMSINV(P33))*(Q$7-Q$5)*(Q$6-Q$5)),Q$7-SQRT((1-NORMSDIST(Q$9*SQRT($C$11)*NORMSINV($B33)+SQRT(1-Q$9^2*$C$11)*NORMSINV(P33)))*(Q$7-Q$5)*(Q$7-Q$6))))</f>
        <v>0.0560897242238641</v>
      </c>
      <c r="R33" s="2" t="n">
        <v>0.430631009</v>
      </c>
      <c r="S33" s="2" t="n">
        <f aca="false">IF(S$7=S$5,S$6,IF(NORMSDIST(S$9*SQRT($C$11)*NORMSINV($B33)+SQRT(1-S$9^2*$C$11)*NORMSINV(R33))&lt;S$8,S$5+SQRT(NORMSDIST(S$9*SQRT($C$11)*NORMSINV($B33)+SQRT(1-S$9^2*$C$11)*NORMSINV(R33))*(S$7-S$5)*(S$6-S$5)),S$7-SQRT((1-NORMSDIST(S$9*SQRT($C$11)*NORMSINV($B33)+SQRT(1-S$9^2*$C$11)*NORMSINV(R33)))*(S$7-S$5)*(S$7-S$6))))</f>
        <v>0.433998148359967</v>
      </c>
      <c r="T33" s="2" t="n">
        <v>0.46083408</v>
      </c>
      <c r="U33" s="2" t="n">
        <f aca="false">IF(U$7=U$5,U$6,IF(NORMSDIST(U$9*SQRT($C$11)*NORMSINV($B33)+SQRT(1-U$9^2*$C$11)*NORMSINV(T33))&lt;U$8,U$5+SQRT(NORMSDIST(U$9*SQRT($C$11)*NORMSINV($B33)+SQRT(1-U$9^2*$C$11)*NORMSINV(T33))*(U$7-U$5)*(U$6-U$5)),U$7-SQRT((1-NORMSDIST(U$9*SQRT($C$11)*NORMSINV($B33)+SQRT(1-U$9^2*$C$11)*NORMSINV(T33)))*(U$7-U$5)*(U$7-U$6))))</f>
        <v>0.446871727718318</v>
      </c>
      <c r="V33" s="2" t="n">
        <v>0.055733722</v>
      </c>
      <c r="W33" s="2" t="n">
        <f aca="false">IF(W$7=W$5,W$6,IF(NORMSDIST(W$9*SQRT($C$11)*NORMSINV($B33)+SQRT(1-W$9^2*$C$11)*NORMSINV(V33))&lt;W$8,W$5+SQRT(NORMSDIST(W$9*SQRT($C$11)*NORMSINV($B33)+SQRT(1-W$9^2*$C$11)*NORMSINV(V33))*(W$7-W$5)*(W$6-W$5)),W$7-SQRT((1-NORMSDIST(W$9*SQRT($C$11)*NORMSINV($B33)+SQRT(1-W$9^2*$C$11)*NORMSINV(V33)))*(W$7-W$5)*(W$7-W$6))))</f>
        <v>8.79512930183786</v>
      </c>
      <c r="X33" s="2" t="n">
        <v>0.544768447</v>
      </c>
      <c r="Y33" s="2" t="n">
        <f aca="false">IF(Y$7=Y$5,Y$6,IF(NORMSDIST(Y$9*SQRT($C$11)*NORMSINV($B33)+SQRT(1-Y$9^2*$C$11)*NORMSINV(X33))&lt;Y$8,Y$5+SQRT(NORMSDIST(Y$9*SQRT($C$11)*NORMSINV($B33)+SQRT(1-Y$9^2*$C$11)*NORMSINV(X33))*(Y$7-Y$5)*(Y$6-Y$5)),Y$7-SQRT((1-NORMSDIST(Y$9*SQRT($C$11)*NORMSINV($B33)+SQRT(1-Y$9^2*$C$11)*NORMSINV(X33)))*(Y$7-Y$5)*(Y$7-Y$6))))</f>
        <v>0.522909047979319</v>
      </c>
      <c r="Z33" s="2" t="n">
        <v>0.05385977</v>
      </c>
      <c r="AA33" s="2" t="n">
        <f aca="false">IF(AA$7=AA$5,AA$6,IF(NORMSDIST(AA$9*SQRT($C$11)*NORMSINV($B33)+SQRT(1-AA$9^2*$C$11)*NORMSINV(Z33))&lt;AA$8,AA$5+SQRT(NORMSDIST(AA$9*SQRT($C$11)*NORMSINV($B33)+SQRT(1-AA$9^2*$C$11)*NORMSINV(Z33))*(AA$7-AA$5)*(AA$6-AA$5)),AA$7-SQRT((1-NORMSDIST(AA$9*SQRT($C$11)*NORMSINV($B33)+SQRT(1-AA$9^2*$C$11)*NORMSINV(Z33)))*(AA$7-AA$5)*(AA$7-AA$6))))</f>
        <v>0.708174104922962</v>
      </c>
      <c r="AB33" s="2" t="n">
        <v>0.878036928</v>
      </c>
      <c r="AC33" s="2" t="n">
        <f aca="false">IF(AC$7=AC$5,AC$6,IF(NORMSDIST(AC$9*SQRT($C$11)*NORMSINV($B33)+SQRT(1-AC$9^2*$C$11)*NORMSINV(AB33))&lt;AC$8,AC$5+SQRT(NORMSDIST(AC$9*SQRT($C$11)*NORMSINV($B33)+SQRT(1-AC$9^2*$C$11)*NORMSINV(AB33))*(AC$7-AC$5)*(AC$6-AC$5)),AC$7-SQRT((1-NORMSDIST(AC$9*SQRT($C$11)*NORMSINV($B33)+SQRT(1-AC$9^2*$C$11)*NORMSINV(AB33)))*(AC$7-AC$5)*(AC$7-AC$6))))</f>
        <v>9.99331281512553</v>
      </c>
      <c r="AD33" s="2" t="n">
        <f aca="false">Entrées!$C$8*(1+E33)</f>
        <v>7455.13326194543</v>
      </c>
      <c r="AE33" s="2" t="n">
        <f aca="false">I33*Hypothèses!$J$24/12/Hypothèses!$J$19</f>
        <v>97.2947969435251</v>
      </c>
      <c r="AF33" s="2" t="n">
        <f aca="false">Entrées!$C$36*S33*1000</f>
        <v>216.999074179983</v>
      </c>
      <c r="AG33" s="2" t="n">
        <f aca="false">-AF33/W33</f>
        <v>-24.6726417239413</v>
      </c>
      <c r="AH33" s="2" t="n">
        <f aca="false">AD33+AE33+AG33</f>
        <v>7527.75541716501</v>
      </c>
      <c r="AI33" s="2" t="n">
        <f aca="false">Entrées!$C$16-M33+Hypothèses!$J$22*1000-AF33+Hypothèses!$J$23</f>
        <v>22920.9754955887</v>
      </c>
      <c r="AJ33" s="2" t="n">
        <f aca="false">AI33/AH33</f>
        <v>3.04486187786118</v>
      </c>
      <c r="AK33" s="2" t="n">
        <f aca="false">AI33/(AH33+I33*(12-Hypothèses!$J$24)/12/Hypothèses!$J$19)</f>
        <v>3.01700883406148</v>
      </c>
      <c r="AL33" s="2" t="n">
        <f aca="false">(AD33+AG33+I33/Hypothèses!$J$19)*(1+G33)</f>
        <v>8038.08981805681</v>
      </c>
      <c r="AM33" s="2" t="n">
        <f aca="false">Entrées!$C$54*K33/Hypothèses!$J$19</f>
        <v>28.6599827897396</v>
      </c>
      <c r="AN33" s="2" t="n">
        <f aca="false">Y33*1000/AC33</f>
        <v>52.3258960920209</v>
      </c>
      <c r="AO33" s="2" t="n">
        <f aca="false">(Entrées!$C$36*(1-S33)+MAX(0,Entrées!$C$30-Entrées!$C$35-Entrées!$C$36)*U33)*1000</f>
        <v>908.621344625662</v>
      </c>
      <c r="AP33" s="2" t="n">
        <f aca="false">-AO33/W33</f>
        <v>-103.309606197125</v>
      </c>
      <c r="AQ33" s="2" t="n">
        <f aca="false">AL33+AM33+AN33+AP33</f>
        <v>8015.76609074145</v>
      </c>
      <c r="AR33" s="2" t="n">
        <f aca="false">O33*AQ33-Hypothèses!$J$25/Hypothèses!$J$19</f>
        <v>1268.84856805314</v>
      </c>
      <c r="AS33" s="2" t="n">
        <f aca="false">Entrées!$C$79*(1+Q33)+Hypothèses!$J$20</f>
        <v>1455.64260692203</v>
      </c>
      <c r="AT33" s="2" t="n">
        <f aca="false">AI33-AR33+AS33+Y33*1000-AO33+Hypothèses!$J$23</f>
        <v>22722.0572378112</v>
      </c>
      <c r="AU33" s="2" t="n">
        <f aca="false">AT33/AQ33</f>
        <v>2.83467069530088</v>
      </c>
      <c r="AV33" s="2" t="n">
        <f aca="false">Hypothèses!$J$26*AQ33-AT33</f>
        <v>1325.24103441309</v>
      </c>
      <c r="AW33" s="2" t="n">
        <f aca="false">IF(AC33&gt;Hypothèses!$J$26,MAX(0,AV33)/(1-Hypothèses!$J$26/AC33),0)</f>
        <v>1893.74457605939</v>
      </c>
      <c r="AX33" s="2" t="n">
        <f aca="false">AQ33-Entrées!$C$17*1000</f>
        <v>15.7660907414456</v>
      </c>
      <c r="AY33" s="2" t="n">
        <f aca="false">AI33+(Entrées!$C$244-Entrées!$C$13)</f>
        <v>28667.9754955887</v>
      </c>
      <c r="AZ33" s="2" t="n">
        <f aca="false">AA33*AH33</f>
        <v>5330.96145462981</v>
      </c>
      <c r="BA33" s="2" t="n">
        <f aca="false">AZ33/AY33</f>
        <v>0.185955281545783</v>
      </c>
      <c r="BB33" s="2" t="n">
        <f aca="false">AZ33/(Entrées!$C$151/100)-AY33</f>
        <v>948.477030132446</v>
      </c>
      <c r="BC33" s="2" t="n">
        <f aca="false">AT33+(Entrées!$C$244-Entrées!$C$13)</f>
        <v>28469.0572378112</v>
      </c>
      <c r="BD33" s="2" t="n">
        <f aca="false">AA33*AQ33</f>
        <v>5676.55797658265</v>
      </c>
      <c r="BE33" s="2" t="n">
        <f aca="false">BD33/BC33</f>
        <v>0.199393957065895</v>
      </c>
      <c r="BF33" s="2" t="n">
        <f aca="false">BD33/(Entrées!$C$151/100)-BC33</f>
        <v>3067.3759654257</v>
      </c>
      <c r="BG33" s="2" t="n">
        <f aca="false">MIN(AV33,BF33)</f>
        <v>1325.24103441309</v>
      </c>
      <c r="BH33" s="2" t="n">
        <f aca="false">IF(AC33&gt;Hypothèses!$J$26,MAX(0,BG33)/(1-Hypothèses!$J$26/AC33),0)</f>
        <v>1893.74457605939</v>
      </c>
    </row>
    <row r="34" customFormat="false" ht="15" hidden="false" customHeight="false" outlineLevel="0" collapsed="false">
      <c r="A34" s="2" t="n">
        <v>19</v>
      </c>
      <c r="B34" s="2" t="n">
        <v>0.028470825</v>
      </c>
      <c r="C34" s="2"/>
      <c r="D34" s="2" t="n">
        <v>0.135291287</v>
      </c>
      <c r="E34" s="2" t="n">
        <f aca="false">IF(E$7=E$5,E$6,IF(NORMSDIST(E$9*SQRT($C$11)*NORMSINV($B34)+SQRT(1-E$9^2*$C$11)*NORMSINV(D34))&lt;E$8,E$5+SQRT(NORMSDIST(E$9*SQRT($C$11)*NORMSINV($B34)+SQRT(1-E$9^2*$C$11)*NORMSINV(D34))*(E$7-E$5)*(E$6-E$5)),E$7-SQRT((1-NORMSDIST(E$9*SQRT($C$11)*NORMSINV($B34)+SQRT(1-E$9^2*$C$11)*NORMSINV(D34)))*(E$7-E$5)*(E$7-E$6))))</f>
        <v>0.050995547854454</v>
      </c>
      <c r="F34" s="2" t="n">
        <v>0.780435642</v>
      </c>
      <c r="G34" s="2" t="n">
        <f aca="false">IF(G$7=G$5,G$6,IF(NORMSDIST(G$9*SQRT($C$11)*NORMSINV($B34)+SQRT(1-G$9^2*$C$11)*NORMSINV(F34))&lt;G$8,G$5+SQRT(NORMSDIST(G$9*SQRT($C$11)*NORMSINV($B34)+SQRT(1-G$9^2*$C$11)*NORMSINV(F34))*(G$7-G$5)*(G$6-G$5)),G$7-SQRT((1-NORMSDIST(G$9*SQRT($C$11)*NORMSINV($B34)+SQRT(1-G$9^2*$C$11)*NORMSINV(F34)))*(G$7-G$5)*(G$7-G$6))))</f>
        <v>0.0510770286882825</v>
      </c>
      <c r="H34" s="2" t="n">
        <v>0.387093875</v>
      </c>
      <c r="I34" s="2" t="n">
        <f aca="false">IF(I$7=I$5,I$6,IF(NORMSDIST(I$9*SQRT($C$11)*NORMSINV($B34)+SQRT(1-I$9^2*$C$11)*NORMSINV(H34))&lt;I$8,I$5+SQRT(NORMSDIST(I$9*SQRT($C$11)*NORMSINV($B34)+SQRT(1-I$9^2*$C$11)*NORMSINV(H34))*(I$7-I$5)*(I$6-I$5)),I$7-SQRT((1-NORMSDIST(I$9*SQRT($C$11)*NORMSINV($B34)+SQRT(1-I$9^2*$C$11)*NORMSINV(H34)))*(I$7-I$5)*(I$7-I$6))))</f>
        <v>187.843183870381</v>
      </c>
      <c r="J34" s="2" t="n">
        <v>0.121405132</v>
      </c>
      <c r="K34" s="2" t="n">
        <f aca="false">IF(K$7=K$5,K$6,IF(NORMSDIST(K$9*SQRT($C$11)*NORMSINV($B34)+SQRT(1-K$9^2*$C$11)*NORMSINV(J34))&lt;K$8,K$5+SQRT(NORMSDIST(K$9*SQRT($C$11)*NORMSINV($B34)+SQRT(1-K$9^2*$C$11)*NORMSINV(J34))*(K$7-K$5)*(K$6-K$5)),K$7-SQRT((1-NORMSDIST(K$9*SQRT($C$11)*NORMSINV($B34)+SQRT(1-K$9^2*$C$11)*NORMSINV(J34)))*(K$7-K$5)*(K$7-K$6))))</f>
        <v>0.0467472541272809</v>
      </c>
      <c r="L34" s="2" t="n">
        <v>0.269132755</v>
      </c>
      <c r="M34" s="2" t="n">
        <f aca="false">IF(M$7=M$5,M$6,IF(NORMSDIST(M$9*SQRT($C$11)*NORMSINV($B34)+SQRT(1-M$9^2*$C$11)*NORMSINV(L34))&lt;M$8,M$5+SQRT(NORMSDIST(M$9*SQRT($C$11)*NORMSINV($B34)+SQRT(1-M$9^2*$C$11)*NORMSINV(L34))*(M$7-M$5)*(M$6-M$5)),M$7-SQRT((1-NORMSDIST(M$9*SQRT($C$11)*NORMSINV($B34)+SQRT(1-M$9^2*$C$11)*NORMSINV(L34)))*(M$7-M$5)*(M$7-M$6))))</f>
        <v>1389.15647135155</v>
      </c>
      <c r="N34" s="2" t="n">
        <v>0.776594003</v>
      </c>
      <c r="O34" s="2" t="n">
        <f aca="false">IF(O$7=O$5,O$6,IF(NORMSDIST(O$9*SQRT($C$11)*NORMSINV($B34)+SQRT(1-O$9^2*$C$11)*NORMSINV(N34))&lt;O$8,O$5+SQRT(NORMSDIST(O$9*SQRT($C$11)*NORMSINV($B34)+SQRT(1-O$9^2*$C$11)*NORMSINV(N34))*(O$7-O$5)*(O$6-O$5)),O$7-SQRT((1-NORMSDIST(O$9*SQRT($C$11)*NORMSINV($B34)+SQRT(1-O$9^2*$C$11)*NORMSINV(N34)))*(O$7-O$5)*(O$7-O$6))))</f>
        <v>0.159658852553327</v>
      </c>
      <c r="P34" s="2" t="n">
        <v>0.309951056</v>
      </c>
      <c r="Q34" s="2" t="n">
        <f aca="false">IF(Q$7=Q$5,Q$6,IF(NORMSDIST(Q$9*SQRT($C$11)*NORMSINV($B34)+SQRT(1-Q$9^2*$C$11)*NORMSINV(P34))&lt;Q$8,Q$5+SQRT(NORMSDIST(Q$9*SQRT($C$11)*NORMSINV($B34)+SQRT(1-Q$9^2*$C$11)*NORMSINV(P34))*(Q$7-Q$5)*(Q$6-Q$5)),Q$7-SQRT((1-NORMSDIST(Q$9*SQRT($C$11)*NORMSINV($B34)+SQRT(1-Q$9^2*$C$11)*NORMSINV(P34)))*(Q$7-Q$5)*(Q$7-Q$6))))</f>
        <v>0.0714935450402142</v>
      </c>
      <c r="R34" s="2" t="n">
        <v>0.169020583</v>
      </c>
      <c r="S34" s="2" t="n">
        <f aca="false">IF(S$7=S$5,S$6,IF(NORMSDIST(S$9*SQRT($C$11)*NORMSINV($B34)+SQRT(1-S$9^2*$C$11)*NORMSINV(R34))&lt;S$8,S$5+SQRT(NORMSDIST(S$9*SQRT($C$11)*NORMSINV($B34)+SQRT(1-S$9^2*$C$11)*NORMSINV(R34))*(S$7-S$5)*(S$6-S$5)),S$7-SQRT((1-NORMSDIST(S$9*SQRT($C$11)*NORMSINV($B34)+SQRT(1-S$9^2*$C$11)*NORMSINV(R34)))*(S$7-S$5)*(S$7-S$6))))</f>
        <v>0.113619984797524</v>
      </c>
      <c r="T34" s="2" t="n">
        <v>0.80964795</v>
      </c>
      <c r="U34" s="2" t="n">
        <f aca="false">IF(U$7=U$5,U$6,IF(NORMSDIST(U$9*SQRT($C$11)*NORMSINV($B34)+SQRT(1-U$9^2*$C$11)*NORMSINV(T34))&lt;U$8,U$5+SQRT(NORMSDIST(U$9*SQRT($C$11)*NORMSINV($B34)+SQRT(1-U$9^2*$C$11)*NORMSINV(T34))*(U$7-U$5)*(U$6-U$5)),U$7-SQRT((1-NORMSDIST(U$9*SQRT($C$11)*NORMSINV($B34)+SQRT(1-U$9^2*$C$11)*NORMSINV(T34)))*(U$7-U$5)*(U$7-U$6))))</f>
        <v>0.387156749733974</v>
      </c>
      <c r="V34" s="2" t="n">
        <v>0.776499773</v>
      </c>
      <c r="W34" s="2" t="n">
        <f aca="false">IF(W$7=W$5,W$6,IF(NORMSDIST(W$9*SQRT($C$11)*NORMSINV($B34)+SQRT(1-W$9^2*$C$11)*NORMSINV(V34))&lt;W$8,W$5+SQRT(NORMSDIST(W$9*SQRT($C$11)*NORMSINV($B34)+SQRT(1-W$9^2*$C$11)*NORMSINV(V34))*(W$7-W$5)*(W$6-W$5)),W$7-SQRT((1-NORMSDIST(W$9*SQRT($C$11)*NORMSINV($B34)+SQRT(1-W$9^2*$C$11)*NORMSINV(V34)))*(W$7-W$5)*(W$7-W$6))))</f>
        <v>9.46770800280924</v>
      </c>
      <c r="X34" s="2" t="n">
        <v>0.186796674</v>
      </c>
      <c r="Y34" s="2" t="n">
        <f aca="false">IF(Y$7=Y$5,Y$6,IF(NORMSDIST(Y$9*SQRT($C$11)*NORMSINV($B34)+SQRT(1-Y$9^2*$C$11)*NORMSINV(X34))&lt;Y$8,Y$5+SQRT(NORMSDIST(Y$9*SQRT($C$11)*NORMSINV($B34)+SQRT(1-Y$9^2*$C$11)*NORMSINV(X34))*(Y$7-Y$5)*(Y$6-Y$5)),Y$7-SQRT((1-NORMSDIST(Y$9*SQRT($C$11)*NORMSINV($B34)+SQRT(1-Y$9^2*$C$11)*NORMSINV(X34)))*(Y$7-Y$5)*(Y$7-Y$6))))</f>
        <v>0.305611415035499</v>
      </c>
      <c r="Z34" s="2" t="n">
        <v>0.968486677</v>
      </c>
      <c r="AA34" s="2" t="n">
        <f aca="false">IF(AA$7=AA$5,AA$6,IF(NORMSDIST(AA$9*SQRT($C$11)*NORMSINV($B34)+SQRT(1-AA$9^2*$C$11)*NORMSINV(Z34))&lt;AA$8,AA$5+SQRT(NORMSDIST(AA$9*SQRT($C$11)*NORMSINV($B34)+SQRT(1-AA$9^2*$C$11)*NORMSINV(Z34))*(AA$7-AA$5)*(AA$6-AA$5)),AA$7-SQRT((1-NORMSDIST(AA$9*SQRT($C$11)*NORMSINV($B34)+SQRT(1-AA$9^2*$C$11)*NORMSINV(Z34)))*(AA$7-AA$5)*(AA$7-AA$6))))</f>
        <v>0.730973504617716</v>
      </c>
      <c r="AB34" s="2" t="n">
        <v>0.248276595</v>
      </c>
      <c r="AC34" s="2" t="n">
        <f aca="false">IF(AC$7=AC$5,AC$6,IF(NORMSDIST(AC$9*SQRT($C$11)*NORMSINV($B34)+SQRT(1-AC$9^2*$C$11)*NORMSINV(AB34))&lt;AC$8,AC$5+SQRT(NORMSDIST(AC$9*SQRT($C$11)*NORMSINV($B34)+SQRT(1-AC$9^2*$C$11)*NORMSINV(AB34))*(AC$7-AC$5)*(AC$6-AC$5)),AC$7-SQRT((1-NORMSDIST(AC$9*SQRT($C$11)*NORMSINV($B34)+SQRT(1-AC$9^2*$C$11)*NORMSINV(AB34)))*(AC$7-AC$5)*(AC$7-AC$6))))</f>
        <v>8.00061313179145</v>
      </c>
      <c r="AD34" s="2" t="n">
        <f aca="false">Entrées!$C$8*(1+E34)</f>
        <v>7409.5186123739</v>
      </c>
      <c r="AE34" s="2" t="n">
        <f aca="false">I34*Hypothèses!$J$24/12/Hypothèses!$J$19</f>
        <v>93.1884023025973</v>
      </c>
      <c r="AF34" s="2" t="n">
        <f aca="false">Entrées!$C$36*S34*1000</f>
        <v>56.8099923987618</v>
      </c>
      <c r="AG34" s="2" t="n">
        <f aca="false">-AF34/W34</f>
        <v>-6.00039548979598</v>
      </c>
      <c r="AH34" s="2" t="n">
        <f aca="false">AD34+AE34+AG34</f>
        <v>7496.7066191867</v>
      </c>
      <c r="AI34" s="2" t="n">
        <f aca="false">Entrées!$C$16-M34+Hypothèses!$J$22*1000-AF34+Hypothèses!$J$23</f>
        <v>23102.0335362497</v>
      </c>
      <c r="AJ34" s="2" t="n">
        <f aca="false">AI34/AH34</f>
        <v>3.08162433316031</v>
      </c>
      <c r="AK34" s="2" t="n">
        <f aca="false">AI34/(AH34+I34*(12-Hypothèses!$J$24)/12/Hypothèses!$J$19)</f>
        <v>3.05450344336032</v>
      </c>
      <c r="AL34" s="2" t="n">
        <f aca="false">(AD34+AG34+I34/Hypothèses!$J$19)*(1+G34)</f>
        <v>7949.5791103857</v>
      </c>
      <c r="AM34" s="2" t="n">
        <f aca="false">Entrées!$C$54*K34/Hypothèses!$J$19</f>
        <v>4.77075356272525</v>
      </c>
      <c r="AN34" s="2" t="n">
        <f aca="false">Y34*1000/AC34</f>
        <v>38.1984992901498</v>
      </c>
      <c r="AO34" s="2" t="n">
        <f aca="false">(Entrées!$C$36*(1-S34)+MAX(0,Entrées!$C$30-Entrées!$C$35-Entrées!$C$36)*U34)*1000</f>
        <v>985.209457228802</v>
      </c>
      <c r="AP34" s="2" t="n">
        <f aca="false">-AO34/W34</f>
        <v>-104.059974910134</v>
      </c>
      <c r="AQ34" s="2" t="n">
        <f aca="false">AL34+AM34+AN34+AP34</f>
        <v>7888.48838832844</v>
      </c>
      <c r="AR34" s="2" t="n">
        <f aca="false">O34*AQ34-Hypothèses!$J$25/Hypothèses!$J$19</f>
        <v>1240.33184219914</v>
      </c>
      <c r="AS34" s="2" t="n">
        <f aca="false">Entrées!$C$79*(1+Q34)+Hypothèses!$J$20</f>
        <v>1472.5714059992</v>
      </c>
      <c r="AT34" s="2" t="n">
        <f aca="false">AI34-AR34+AS34+Y34*1000-AO34+Hypothèses!$J$23</f>
        <v>22654.6750578564</v>
      </c>
      <c r="AU34" s="2" t="n">
        <f aca="false">AT34/AQ34</f>
        <v>2.87186517145358</v>
      </c>
      <c r="AV34" s="2" t="n">
        <f aca="false">Hypothèses!$J$26*AQ34-AT34</f>
        <v>1010.79010712887</v>
      </c>
      <c r="AW34" s="2" t="n">
        <f aca="false">IF(AC34&gt;Hypothèses!$J$26,MAX(0,AV34)/(1-Hypothèses!$J$26/AC34),0)</f>
        <v>1617.18981081885</v>
      </c>
      <c r="AX34" s="2" t="n">
        <f aca="false">AQ34-Entrées!$C$17*1000</f>
        <v>-111.511611671563</v>
      </c>
      <c r="AY34" s="2" t="n">
        <f aca="false">AI34+(Entrées!$C$244-Entrées!$C$13)</f>
        <v>28849.0335362497</v>
      </c>
      <c r="AZ34" s="2" t="n">
        <f aca="false">AA34*AH34</f>
        <v>5479.89391051773</v>
      </c>
      <c r="BA34" s="2" t="n">
        <f aca="false">AZ34/AY34</f>
        <v>0.189950692928138</v>
      </c>
      <c r="BB34" s="2" t="n">
        <f aca="false">AZ34/(Entrées!$C$151/100)-AY34</f>
        <v>1594.82152218214</v>
      </c>
      <c r="BC34" s="2" t="n">
        <f aca="false">AT34+(Entrées!$C$244-Entrées!$C$13)</f>
        <v>28401.6750578564</v>
      </c>
      <c r="BD34" s="2" t="n">
        <f aca="false">AA34*AQ34</f>
        <v>5766.27600335259</v>
      </c>
      <c r="BE34" s="2" t="n">
        <f aca="false">BD34/BC34</f>
        <v>0.203025912788814</v>
      </c>
      <c r="BF34" s="2" t="n">
        <f aca="false">BD34/(Entrées!$C$151/100)-BC34</f>
        <v>3633.19162743573</v>
      </c>
      <c r="BG34" s="2" t="n">
        <f aca="false">MIN(AV34,BF34)</f>
        <v>1010.79010712887</v>
      </c>
      <c r="BH34" s="2" t="n">
        <f aca="false">IF(AC34&gt;Hypothèses!$J$26,MAX(0,BG34)/(1-Hypothèses!$J$26/AC34),0)</f>
        <v>1617.18981081885</v>
      </c>
    </row>
    <row r="35" customFormat="false" ht="15" hidden="false" customHeight="false" outlineLevel="0" collapsed="false">
      <c r="A35" s="2" t="n">
        <v>20</v>
      </c>
      <c r="B35" s="2" t="n">
        <v>0.952451966</v>
      </c>
      <c r="C35" s="2"/>
      <c r="D35" s="2" t="n">
        <v>0.368900452</v>
      </c>
      <c r="E35" s="2" t="n">
        <f aca="false">IF(E$7=E$5,E$6,IF(NORMSDIST(E$9*SQRT($C$11)*NORMSINV($B35)+SQRT(1-E$9^2*$C$11)*NORMSINV(D35))&lt;E$8,E$5+SQRT(NORMSDIST(E$9*SQRT($C$11)*NORMSINV($B35)+SQRT(1-E$9^2*$C$11)*NORMSINV(D35))*(E$7-E$5)*(E$6-E$5)),E$7-SQRT((1-NORMSDIST(E$9*SQRT($C$11)*NORMSINV($B35)+SQRT(1-E$9^2*$C$11)*NORMSINV(D35)))*(E$7-E$5)*(E$7-E$6))))</f>
        <v>0.0567371713708132</v>
      </c>
      <c r="F35" s="2" t="n">
        <v>0.241180085</v>
      </c>
      <c r="G35" s="2" t="n">
        <f aca="false">IF(G$7=G$5,G$6,IF(NORMSDIST(G$9*SQRT($C$11)*NORMSINV($B35)+SQRT(1-G$9^2*$C$11)*NORMSINV(F35))&lt;G$8,G$5+SQRT(NORMSDIST(G$9*SQRT($C$11)*NORMSINV($B35)+SQRT(1-G$9^2*$C$11)*NORMSINV(F35))*(G$7-G$5)*(G$6-G$5)),G$7-SQRT((1-NORMSDIST(G$9*SQRT($C$11)*NORMSINV($B35)+SQRT(1-G$9^2*$C$11)*NORMSINV(F35)))*(G$7-G$5)*(G$7-G$6))))</f>
        <v>0.0582940420859016</v>
      </c>
      <c r="H35" s="2" t="n">
        <v>0.44565333</v>
      </c>
      <c r="I35" s="2" t="n">
        <f aca="false">IF(I$7=I$5,I$6,IF(NORMSDIST(I$9*SQRT($C$11)*NORMSINV($B35)+SQRT(1-I$9^2*$C$11)*NORMSINV(H35))&lt;I$8,I$5+SQRT(NORMSDIST(I$9*SQRT($C$11)*NORMSINV($B35)+SQRT(1-I$9^2*$C$11)*NORMSINV(H35))*(I$7-I$5)*(I$6-I$5)),I$7-SQRT((1-NORMSDIST(I$9*SQRT($C$11)*NORMSINV($B35)+SQRT(1-I$9^2*$C$11)*NORMSINV(H35)))*(I$7-I$5)*(I$7-I$6))))</f>
        <v>208.300076087833</v>
      </c>
      <c r="J35" s="2" t="n">
        <v>0.972971</v>
      </c>
      <c r="K35" s="2" t="n">
        <f aca="false">IF(K$7=K$5,K$6,IF(NORMSDIST(K$9*SQRT($C$11)*NORMSINV($B35)+SQRT(1-K$9^2*$C$11)*NORMSINV(J35))&lt;K$8,K$5+SQRT(NORMSDIST(K$9*SQRT($C$11)*NORMSINV($B35)+SQRT(1-K$9^2*$C$11)*NORMSINV(J35))*(K$7-K$5)*(K$6-K$5)),K$7-SQRT((1-NORMSDIST(K$9*SQRT($C$11)*NORMSINV($B35)+SQRT(1-K$9^2*$C$11)*NORMSINV(J35)))*(K$7-K$5)*(K$7-K$6))))</f>
        <v>0.473970515714321</v>
      </c>
      <c r="L35" s="2" t="n">
        <v>0.417422802</v>
      </c>
      <c r="M35" s="2" t="n">
        <f aca="false">IF(M$7=M$5,M$6,IF(NORMSDIST(M$9*SQRT($C$11)*NORMSINV($B35)+SQRT(1-M$9^2*$C$11)*NORMSINV(L35))&lt;M$8,M$5+SQRT(NORMSDIST(M$9*SQRT($C$11)*NORMSINV($B35)+SQRT(1-M$9^2*$C$11)*NORMSINV(L35))*(M$7-M$5)*(M$6-M$5)),M$7-SQRT((1-NORMSDIST(M$9*SQRT($C$11)*NORMSINV($B35)+SQRT(1-M$9^2*$C$11)*NORMSINV(L35)))*(M$7-M$5)*(M$7-M$6))))</f>
        <v>1670.33789059848</v>
      </c>
      <c r="N35" s="2" t="n">
        <v>0.996705268</v>
      </c>
      <c r="O35" s="2" t="n">
        <f aca="false">IF(O$7=O$5,O$6,IF(NORMSDIST(O$9*SQRT($C$11)*NORMSINV($B35)+SQRT(1-O$9^2*$C$11)*NORMSINV(N35))&lt;O$8,O$5+SQRT(NORMSDIST(O$9*SQRT($C$11)*NORMSINV($B35)+SQRT(1-O$9^2*$C$11)*NORMSINV(N35))*(O$7-O$5)*(O$6-O$5)),O$7-SQRT((1-NORMSDIST(O$9*SQRT($C$11)*NORMSINV($B35)+SQRT(1-O$9^2*$C$11)*NORMSINV(N35)))*(O$7-O$5)*(O$7-O$6))))</f>
        <v>0.189083569336733</v>
      </c>
      <c r="P35" s="2" t="n">
        <v>0.533059677</v>
      </c>
      <c r="Q35" s="2" t="n">
        <f aca="false">IF(Q$7=Q$5,Q$6,IF(NORMSDIST(Q$9*SQRT($C$11)*NORMSINV($B35)+SQRT(1-Q$9^2*$C$11)*NORMSINV(P35))&lt;Q$8,Q$5+SQRT(NORMSDIST(Q$9*SQRT($C$11)*NORMSINV($B35)+SQRT(1-Q$9^2*$C$11)*NORMSINV(P35))*(Q$7-Q$5)*(Q$6-Q$5)),Q$7-SQRT((1-NORMSDIST(Q$9*SQRT($C$11)*NORMSINV($B35)+SQRT(1-Q$9^2*$C$11)*NORMSINV(P35)))*(Q$7-Q$5)*(Q$7-Q$6))))</f>
        <v>0.0813449998887595</v>
      </c>
      <c r="R35" s="2" t="n">
        <v>0.354282743</v>
      </c>
      <c r="S35" s="2" t="n">
        <f aca="false">IF(S$7=S$5,S$6,IF(NORMSDIST(S$9*SQRT($C$11)*NORMSINV($B35)+SQRT(1-S$9^2*$C$11)*NORMSINV(R35))&lt;S$8,S$5+SQRT(NORMSDIST(S$9*SQRT($C$11)*NORMSINV($B35)+SQRT(1-S$9^2*$C$11)*NORMSINV(R35))*(S$7-S$5)*(S$6-S$5)),S$7-SQRT((1-NORMSDIST(S$9*SQRT($C$11)*NORMSINV($B35)+SQRT(1-S$9^2*$C$11)*NORMSINV(R35)))*(S$7-S$5)*(S$7-S$6))))</f>
        <v>0.666978280178449</v>
      </c>
      <c r="T35" s="2" t="n">
        <v>0.919162232</v>
      </c>
      <c r="U35" s="2" t="n">
        <f aca="false">IF(U$7=U$5,U$6,IF(NORMSDIST(U$9*SQRT($C$11)*NORMSINV($B35)+SQRT(1-U$9^2*$C$11)*NORMSINV(T35))&lt;U$8,U$5+SQRT(NORMSDIST(U$9*SQRT($C$11)*NORMSINV($B35)+SQRT(1-U$9^2*$C$11)*NORMSINV(T35))*(U$7-U$5)*(U$6-U$5)),U$7-SQRT((1-NORMSDIST(U$9*SQRT($C$11)*NORMSINV($B35)+SQRT(1-U$9^2*$C$11)*NORMSINV(T35)))*(U$7-U$5)*(U$7-U$6))))</f>
        <v>0.91002377338076</v>
      </c>
      <c r="V35" s="2" t="n">
        <v>0.990624969</v>
      </c>
      <c r="W35" s="2" t="n">
        <f aca="false">IF(W$7=W$5,W$6,IF(NORMSDIST(W$9*SQRT($C$11)*NORMSINV($B35)+SQRT(1-W$9^2*$C$11)*NORMSINV(V35))&lt;W$8,W$5+SQRT(NORMSDIST(W$9*SQRT($C$11)*NORMSINV($B35)+SQRT(1-W$9^2*$C$11)*NORMSINV(V35))*(W$7-W$5)*(W$6-W$5)),W$7-SQRT((1-NORMSDIST(W$9*SQRT($C$11)*NORMSINV($B35)+SQRT(1-W$9^2*$C$11)*NORMSINV(V35)))*(W$7-W$5)*(W$7-W$6))))</f>
        <v>11.8731346251658</v>
      </c>
      <c r="X35" s="2" t="n">
        <v>0.921043118</v>
      </c>
      <c r="Y35" s="2" t="n">
        <f aca="false">IF(Y$7=Y$5,Y$6,IF(NORMSDIST(Y$9*SQRT($C$11)*NORMSINV($B35)+SQRT(1-Y$9^2*$C$11)*NORMSINV(X35))&lt;Y$8,Y$5+SQRT(NORMSDIST(Y$9*SQRT($C$11)*NORMSINV($B35)+SQRT(1-Y$9^2*$C$11)*NORMSINV(X35))*(Y$7-Y$5)*(Y$6-Y$5)),Y$7-SQRT((1-NORMSDIST(Y$9*SQRT($C$11)*NORMSINV($B35)+SQRT(1-Y$9^2*$C$11)*NORMSINV(X35)))*(Y$7-Y$5)*(Y$7-Y$6))))</f>
        <v>0.801308175809874</v>
      </c>
      <c r="Z35" s="2" t="n">
        <v>0.437816689</v>
      </c>
      <c r="AA35" s="2" t="n">
        <f aca="false">IF(AA$7=AA$5,AA$6,IF(NORMSDIST(AA$9*SQRT($C$11)*NORMSINV($B35)+SQRT(1-AA$9^2*$C$11)*NORMSINV(Z35))&lt;AA$8,AA$5+SQRT(NORMSDIST(AA$9*SQRT($C$11)*NORMSINV($B35)+SQRT(1-AA$9^2*$C$11)*NORMSINV(Z35))*(AA$7-AA$5)*(AA$6-AA$5)),AA$7-SQRT((1-NORMSDIST(AA$9*SQRT($C$11)*NORMSINV($B35)+SQRT(1-AA$9^2*$C$11)*NORMSINV(Z35)))*(AA$7-AA$5)*(AA$7-AA$6))))</f>
        <v>0.738870529014573</v>
      </c>
      <c r="AB35" s="2" t="n">
        <v>0.1673235</v>
      </c>
      <c r="AC35" s="2" t="n">
        <f aca="false">IF(AC$7=AC$5,AC$6,IF(NORMSDIST(AC$9*SQRT($C$11)*NORMSINV($B35)+SQRT(1-AC$9^2*$C$11)*NORMSINV(AB35))&lt;AC$8,AC$5+SQRT(NORMSDIST(AC$9*SQRT($C$11)*NORMSINV($B35)+SQRT(1-AC$9^2*$C$11)*NORMSINV(AB35))*(AC$7-AC$5)*(AC$6-AC$5)),AC$7-SQRT((1-NORMSDIST(AC$9*SQRT($C$11)*NORMSINV($B35)+SQRT(1-AC$9^2*$C$11)*NORMSINV(AB35)))*(AC$7-AC$5)*(AC$7-AC$6))))</f>
        <v>9.71648407793329</v>
      </c>
      <c r="AD35" s="2" t="n">
        <f aca="false">Entrées!$C$8*(1+E35)</f>
        <v>7449.99705816423</v>
      </c>
      <c r="AE35" s="2" t="n">
        <f aca="false">I35*Hypothèses!$J$24/12/Hypothèses!$J$19</f>
        <v>103.337001056844</v>
      </c>
      <c r="AF35" s="2" t="n">
        <f aca="false">Entrées!$C$36*S35*1000</f>
        <v>333.489140089225</v>
      </c>
      <c r="AG35" s="2" t="n">
        <f aca="false">-AF35/W35</f>
        <v>-28.0877081425806</v>
      </c>
      <c r="AH35" s="2" t="n">
        <f aca="false">AD35+AE35+AG35</f>
        <v>7525.2463510785</v>
      </c>
      <c r="AI35" s="2" t="n">
        <f aca="false">Entrées!$C$16-M35+Hypothèses!$J$22*1000-AF35+Hypothèses!$J$23</f>
        <v>22544.1729693123</v>
      </c>
      <c r="AJ35" s="2" t="n">
        <f aca="false">AI35/AH35</f>
        <v>2.99580530889614</v>
      </c>
      <c r="AK35" s="2" t="n">
        <f aca="false">AI35/(AH35+I35*(12-Hypothèses!$J$24)/12/Hypothèses!$J$19)</f>
        <v>2.96670607089864</v>
      </c>
      <c r="AL35" s="2" t="n">
        <f aca="false">(AD35+AG35+I35/Hypothèses!$J$19)*(1+G35)</f>
        <v>8042.03833039325</v>
      </c>
      <c r="AM35" s="2" t="n">
        <f aca="false">Entrées!$C$54*K35/Hypothèses!$J$19</f>
        <v>48.3706812022403</v>
      </c>
      <c r="AN35" s="2" t="n">
        <f aca="false">Y35*1000/AC35</f>
        <v>82.4689434349707</v>
      </c>
      <c r="AO35" s="2" t="n">
        <f aca="false">(Entrées!$C$36*(1-S35)+MAX(0,Entrées!$C$30-Entrées!$C$35-Entrées!$C$36)*U35)*1000</f>
        <v>1440.54414264384</v>
      </c>
      <c r="AP35" s="2" t="n">
        <f aca="false">-AO35/W35</f>
        <v>-121.328039150716</v>
      </c>
      <c r="AQ35" s="2" t="n">
        <f aca="false">AL35+AM35+AN35+AP35</f>
        <v>8051.54991587974</v>
      </c>
      <c r="AR35" s="2" t="n">
        <f aca="false">O35*AQ35-Hypothèses!$J$25/Hypothèses!$J$19</f>
        <v>1503.28063452579</v>
      </c>
      <c r="AS35" s="2" t="n">
        <f aca="false">Entrées!$C$79*(1+Q35)+Hypothèses!$J$20</f>
        <v>1483.39815487775</v>
      </c>
      <c r="AT35" s="2" t="n">
        <f aca="false">AI35-AR35+AS35+Y35*1000-AO35+Hypothèses!$J$23</f>
        <v>21885.0545228303</v>
      </c>
      <c r="AU35" s="2" t="n">
        <f aca="false">AT35/AQ35</f>
        <v>2.71811697766008</v>
      </c>
      <c r="AV35" s="2" t="n">
        <f aca="false">Hypothèses!$J$26*AQ35-AT35</f>
        <v>2269.59522480893</v>
      </c>
      <c r="AW35" s="2" t="n">
        <f aca="false">IF(AC35&gt;Hypothèses!$J$26,MAX(0,AV35)/(1-Hypothèses!$J$26/AC35),0)</f>
        <v>3283.3377715674</v>
      </c>
      <c r="AX35" s="2" t="n">
        <f aca="false">AQ35-Entrées!$C$17*1000</f>
        <v>51.5499158797393</v>
      </c>
      <c r="AY35" s="2" t="n">
        <f aca="false">AI35+(Entrées!$C$244-Entrées!$C$13)</f>
        <v>28291.1729693123</v>
      </c>
      <c r="AZ35" s="2" t="n">
        <f aca="false">AA35*AH35</f>
        <v>5560.18275238635</v>
      </c>
      <c r="BA35" s="2" t="n">
        <f aca="false">AZ35/AY35</f>
        <v>0.19653418960103</v>
      </c>
      <c r="BB35" s="2" t="n">
        <f aca="false">AZ35/(Entrées!$C$151/100)-AY35</f>
        <v>2598.73121061189</v>
      </c>
      <c r="BC35" s="2" t="n">
        <f aca="false">AT35+(Entrées!$C$244-Entrées!$C$13)</f>
        <v>27632.0545228303</v>
      </c>
      <c r="BD35" s="2" t="n">
        <f aca="false">AA35*AQ35</f>
        <v>5949.0529457333</v>
      </c>
      <c r="BE35" s="2" t="n">
        <f aca="false">BD35/BC35</f>
        <v>0.215295353475003</v>
      </c>
      <c r="BF35" s="2" t="n">
        <f aca="false">BD35/(Entrées!$C$151/100)-BC35</f>
        <v>5418.2396201325</v>
      </c>
      <c r="BG35" s="2" t="n">
        <f aca="false">MIN(AV35,BF35)</f>
        <v>2269.59522480893</v>
      </c>
      <c r="BH35" s="2" t="n">
        <f aca="false">IF(AC35&gt;Hypothèses!$J$26,MAX(0,BG35)/(1-Hypothèses!$J$26/AC35),0)</f>
        <v>3283.3377715674</v>
      </c>
    </row>
    <row r="36" customFormat="false" ht="15" hidden="false" customHeight="false" outlineLevel="0" collapsed="false">
      <c r="A36" s="2" t="n">
        <v>21</v>
      </c>
      <c r="B36" s="2" t="n">
        <v>0.419720704</v>
      </c>
      <c r="C36" s="2"/>
      <c r="D36" s="2" t="n">
        <v>0.445998865</v>
      </c>
      <c r="E36" s="2" t="n">
        <f aca="false">IF(E$7=E$5,E$6,IF(NORMSDIST(E$9*SQRT($C$11)*NORMSINV($B36)+SQRT(1-E$9^2*$C$11)*NORMSINV(D36))&lt;E$8,E$5+SQRT(NORMSDIST(E$9*SQRT($C$11)*NORMSINV($B36)+SQRT(1-E$9^2*$C$11)*NORMSINV(D36))*(E$7-E$5)*(E$6-E$5)),E$7-SQRT((1-NORMSDIST(E$9*SQRT($C$11)*NORMSINV($B36)+SQRT(1-E$9^2*$C$11)*NORMSINV(D36)))*(E$7-E$5)*(E$7-E$6))))</f>
        <v>0.0545153031307818</v>
      </c>
      <c r="F36" s="2" t="n">
        <v>0.206682158</v>
      </c>
      <c r="G36" s="2" t="n">
        <f aca="false">IF(G$7=G$5,G$6,IF(NORMSDIST(G$9*SQRT($C$11)*NORMSINV($B36)+SQRT(1-G$9^2*$C$11)*NORMSINV(F36))&lt;G$8,G$5+SQRT(NORMSDIST(G$9*SQRT($C$11)*NORMSINV($B36)+SQRT(1-G$9^2*$C$11)*NORMSINV(F36))*(G$7-G$5)*(G$6-G$5)),G$7-SQRT((1-NORMSDIST(G$9*SQRT($C$11)*NORMSINV($B36)+SQRT(1-G$9^2*$C$11)*NORMSINV(F36)))*(G$7-G$5)*(G$7-G$6))))</f>
        <v>0.0500198275783822</v>
      </c>
      <c r="H36" s="2" t="n">
        <v>0.239509056</v>
      </c>
      <c r="I36" s="2" t="n">
        <f aca="false">IF(I$7=I$5,I$6,IF(NORMSDIST(I$9*SQRT($C$11)*NORMSINV($B36)+SQRT(1-I$9^2*$C$11)*NORMSINV(H36))&lt;I$8,I$5+SQRT(NORMSDIST(I$9*SQRT($C$11)*NORMSINV($B36)+SQRT(1-I$9^2*$C$11)*NORMSINV(H36))*(I$7-I$5)*(I$6-I$5)),I$7-SQRT((1-NORMSDIST(I$9*SQRT($C$11)*NORMSINV($B36)+SQRT(1-I$9^2*$C$11)*NORMSINV(H36)))*(I$7-I$5)*(I$7-I$6))))</f>
        <v>194.124390296411</v>
      </c>
      <c r="J36" s="2" t="n">
        <v>0.240617366</v>
      </c>
      <c r="K36" s="2" t="n">
        <f aca="false">IF(K$7=K$5,K$6,IF(NORMSDIST(K$9*SQRT($C$11)*NORMSINV($B36)+SQRT(1-K$9^2*$C$11)*NORMSINV(J36))&lt;K$8,K$5+SQRT(NORMSDIST(K$9*SQRT($C$11)*NORMSINV($B36)+SQRT(1-K$9^2*$C$11)*NORMSINV(J36))*(K$7-K$5)*(K$6-K$5)),K$7-SQRT((1-NORMSDIST(K$9*SQRT($C$11)*NORMSINV($B36)+SQRT(1-K$9^2*$C$11)*NORMSINV(J36)))*(K$7-K$5)*(K$7-K$6))))</f>
        <v>0.176865090575985</v>
      </c>
      <c r="L36" s="2" t="n">
        <v>0.629752191</v>
      </c>
      <c r="M36" s="2" t="n">
        <f aca="false">IF(M$7=M$5,M$6,IF(NORMSDIST(M$9*SQRT($C$11)*NORMSINV($B36)+SQRT(1-M$9^2*$C$11)*NORMSINV(L36))&lt;M$8,M$5+SQRT(NORMSDIST(M$9*SQRT($C$11)*NORMSINV($B36)+SQRT(1-M$9^2*$C$11)*NORMSINV(L36))*(M$7-M$5)*(M$6-M$5)),M$7-SQRT((1-NORMSDIST(M$9*SQRT($C$11)*NORMSINV($B36)+SQRT(1-M$9^2*$C$11)*NORMSINV(L36)))*(M$7-M$5)*(M$7-M$6))))</f>
        <v>1599.41434402652</v>
      </c>
      <c r="N36" s="2" t="n">
        <v>0.93960446</v>
      </c>
      <c r="O36" s="2" t="n">
        <f aca="false">IF(O$7=O$5,O$6,IF(NORMSDIST(O$9*SQRT($C$11)*NORMSINV($B36)+SQRT(1-O$9^2*$C$11)*NORMSINV(N36))&lt;O$8,O$5+SQRT(NORMSDIST(O$9*SQRT($C$11)*NORMSINV($B36)+SQRT(1-O$9^2*$C$11)*NORMSINV(N36))*(O$7-O$5)*(O$6-O$5)),O$7-SQRT((1-NORMSDIST(O$9*SQRT($C$11)*NORMSINV($B36)+SQRT(1-O$9^2*$C$11)*NORMSINV(N36)))*(O$7-O$5)*(O$7-O$6))))</f>
        <v>0.177723178430635</v>
      </c>
      <c r="P36" s="2" t="n">
        <v>0.283785592</v>
      </c>
      <c r="Q36" s="2" t="n">
        <f aca="false">IF(Q$7=Q$5,Q$6,IF(NORMSDIST(Q$9*SQRT($C$11)*NORMSINV($B36)+SQRT(1-Q$9^2*$C$11)*NORMSINV(P36))&lt;Q$8,Q$5+SQRT(NORMSDIST(Q$9*SQRT($C$11)*NORMSINV($B36)+SQRT(1-Q$9^2*$C$11)*NORMSINV(P36))*(Q$7-Q$5)*(Q$6-Q$5)),Q$7-SQRT((1-NORMSDIST(Q$9*SQRT($C$11)*NORMSINV($B36)+SQRT(1-Q$9^2*$C$11)*NORMSINV(P36)))*(Q$7-Q$5)*(Q$7-Q$6))))</f>
        <v>0.0701349281465876</v>
      </c>
      <c r="R36" s="2" t="n">
        <v>0.725971414</v>
      </c>
      <c r="S36" s="2" t="n">
        <f aca="false">IF(S$7=S$5,S$6,IF(NORMSDIST(S$9*SQRT($C$11)*NORMSINV($B36)+SQRT(1-S$9^2*$C$11)*NORMSINV(R36))&lt;S$8,S$5+SQRT(NORMSDIST(S$9*SQRT($C$11)*NORMSINV($B36)+SQRT(1-S$9^2*$C$11)*NORMSINV(R36))*(S$7-S$5)*(S$6-S$5)),S$7-SQRT((1-NORMSDIST(S$9*SQRT($C$11)*NORMSINV($B36)+SQRT(1-S$9^2*$C$11)*NORMSINV(R36)))*(S$7-S$5)*(S$7-S$6))))</f>
        <v>0.571044359588104</v>
      </c>
      <c r="T36" s="2" t="n">
        <v>0.704720565</v>
      </c>
      <c r="U36" s="2" t="n">
        <f aca="false">IF(U$7=U$5,U$6,IF(NORMSDIST(U$9*SQRT($C$11)*NORMSINV($B36)+SQRT(1-U$9^2*$C$11)*NORMSINV(T36))&lt;U$8,U$5+SQRT(NORMSDIST(U$9*SQRT($C$11)*NORMSINV($B36)+SQRT(1-U$9^2*$C$11)*NORMSINV(T36))*(U$7-U$5)*(U$6-U$5)),U$7-SQRT((1-NORMSDIST(U$9*SQRT($C$11)*NORMSINV($B36)+SQRT(1-U$9^2*$C$11)*NORMSINV(T36)))*(U$7-U$5)*(U$7-U$6))))</f>
        <v>0.560432691262839</v>
      </c>
      <c r="V36" s="2" t="n">
        <v>0.012843284</v>
      </c>
      <c r="W36" s="2" t="n">
        <f aca="false">IF(W$7=W$5,W$6,IF(NORMSDIST(W$9*SQRT($C$11)*NORMSINV($B36)+SQRT(1-W$9^2*$C$11)*NORMSINV(V36))&lt;W$8,W$5+SQRT(NORMSDIST(W$9*SQRT($C$11)*NORMSINV($B36)+SQRT(1-W$9^2*$C$11)*NORMSINV(V36))*(W$7-W$5)*(W$6-W$5)),W$7-SQRT((1-NORMSDIST(W$9*SQRT($C$11)*NORMSINV($B36)+SQRT(1-W$9^2*$C$11)*NORMSINV(V36)))*(W$7-W$5)*(W$7-W$6))))</f>
        <v>8.50368541902074</v>
      </c>
      <c r="X36" s="2" t="n">
        <v>0.42085251</v>
      </c>
      <c r="Y36" s="2" t="n">
        <f aca="false">IF(Y$7=Y$5,Y$6,IF(NORMSDIST(Y$9*SQRT($C$11)*NORMSINV($B36)+SQRT(1-Y$9^2*$C$11)*NORMSINV(X36))&lt;Y$8,Y$5+SQRT(NORMSDIST(Y$9*SQRT($C$11)*NORMSINV($B36)+SQRT(1-Y$9^2*$C$11)*NORMSINV(X36))*(Y$7-Y$5)*(Y$6-Y$5)),Y$7-SQRT((1-NORMSDIST(Y$9*SQRT($C$11)*NORMSINV($B36)+SQRT(1-Y$9^2*$C$11)*NORMSINV(X36)))*(Y$7-Y$5)*(Y$7-Y$6))))</f>
        <v>0.458722416064443</v>
      </c>
      <c r="Z36" s="2" t="n">
        <v>0.246843774</v>
      </c>
      <c r="AA36" s="2" t="n">
        <f aca="false">IF(AA$7=AA$5,AA$6,IF(NORMSDIST(AA$9*SQRT($C$11)*NORMSINV($B36)+SQRT(1-AA$9^2*$C$11)*NORMSINV(Z36))&lt;AA$8,AA$5+SQRT(NORMSDIST(AA$9*SQRT($C$11)*NORMSINV($B36)+SQRT(1-AA$9^2*$C$11)*NORMSINV(Z36))*(AA$7-AA$5)*(AA$6-AA$5)),AA$7-SQRT((1-NORMSDIST(AA$9*SQRT($C$11)*NORMSINV($B36)+SQRT(1-AA$9^2*$C$11)*NORMSINV(Z36)))*(AA$7-AA$5)*(AA$7-AA$6))))</f>
        <v>0.718702291326218</v>
      </c>
      <c r="AB36" s="2" t="n">
        <v>0.285264631</v>
      </c>
      <c r="AC36" s="2" t="n">
        <f aca="false">IF(AC$7=AC$5,AC$6,IF(NORMSDIST(AC$9*SQRT($C$11)*NORMSINV($B36)+SQRT(1-AC$9^2*$C$11)*NORMSINV(AB36))&lt;AC$8,AC$5+SQRT(NORMSDIST(AC$9*SQRT($C$11)*NORMSINV($B36)+SQRT(1-AC$9^2*$C$11)*NORMSINV(AB36))*(AC$7-AC$5)*(AC$6-AC$5)),AC$7-SQRT((1-NORMSDIST(AC$9*SQRT($C$11)*NORMSINV($B36)+SQRT(1-AC$9^2*$C$11)*NORMSINV(AB36)))*(AC$7-AC$5)*(AC$7-AC$6))))</f>
        <v>8.96967445934003</v>
      </c>
      <c r="AD36" s="2" t="n">
        <f aca="false">Entrées!$C$8*(1+E36)</f>
        <v>7434.33288707201</v>
      </c>
      <c r="AE36" s="2" t="n">
        <f aca="false">I36*Hypothèses!$J$24/12/Hypothèses!$J$19</f>
        <v>96.3044887067674</v>
      </c>
      <c r="AF36" s="2" t="n">
        <f aca="false">Entrées!$C$36*S36*1000</f>
        <v>285.522179794052</v>
      </c>
      <c r="AG36" s="2" t="n">
        <f aca="false">-AF36/W36</f>
        <v>-33.5762867186274</v>
      </c>
      <c r="AH36" s="2" t="n">
        <f aca="false">AD36+AE36+AG36</f>
        <v>7497.06108906015</v>
      </c>
      <c r="AI36" s="2" t="n">
        <f aca="false">Entrées!$C$16-M36+Hypothèses!$J$22*1000-AF36+Hypothèses!$J$23</f>
        <v>22663.0634761794</v>
      </c>
      <c r="AJ36" s="2" t="n">
        <f aca="false">AI36/AH36</f>
        <v>3.02292634499801</v>
      </c>
      <c r="AK36" s="2" t="n">
        <f aca="false">AI36/(AH36+I36*(12-Hypothèses!$J$24)/12/Hypothèses!$J$19)</f>
        <v>2.9954418138779</v>
      </c>
      <c r="AL36" s="2" t="n">
        <f aca="false">(AD36+AG36+I36/Hypothèses!$J$19)*(1+G36)</f>
        <v>7944.29252252733</v>
      </c>
      <c r="AM36" s="2" t="n">
        <f aca="false">Entrées!$C$54*K36/Hypothèses!$J$19</f>
        <v>18.0498251018061</v>
      </c>
      <c r="AN36" s="2" t="n">
        <f aca="false">Y36*1000/AC36</f>
        <v>51.1414787843031</v>
      </c>
      <c r="AO36" s="2" t="n">
        <f aca="false">(Entrées!$C$36*(1-S36)+MAX(0,Entrées!$C$30-Entrées!$C$35-Entrées!$C$36)*U36)*1000</f>
        <v>999.083587973922</v>
      </c>
      <c r="AP36" s="2" t="n">
        <f aca="false">-AO36/W36</f>
        <v>-117.488305216372</v>
      </c>
      <c r="AQ36" s="2" t="n">
        <f aca="false">AL36+AM36+AN36+AP36</f>
        <v>7895.99552119706</v>
      </c>
      <c r="AR36" s="2" t="n">
        <f aca="false">O36*AQ36-Hypothèses!$J$25/Hypothèses!$J$19</f>
        <v>1384.16625863958</v>
      </c>
      <c r="AS36" s="2" t="n">
        <f aca="false">Entrées!$C$79*(1+Q36)+Hypothèses!$J$20</f>
        <v>1471.0782860331</v>
      </c>
      <c r="AT36" s="2" t="n">
        <f aca="false">AI36-AR36+AS36+Y36*1000-AO36+Hypothèses!$J$23</f>
        <v>22209.6143316635</v>
      </c>
      <c r="AU36" s="2" t="n">
        <f aca="false">AT36/AQ36</f>
        <v>2.81276936797153</v>
      </c>
      <c r="AV36" s="2" t="n">
        <f aca="false">Hypothèses!$J$26*AQ36-AT36</f>
        <v>1478.37223192772</v>
      </c>
      <c r="AW36" s="2" t="n">
        <f aca="false">IF(AC36&gt;Hypothèses!$J$26,MAX(0,AV36)/(1-Hypothèses!$J$26/AC36),0)</f>
        <v>2221.31336313867</v>
      </c>
      <c r="AX36" s="2" t="n">
        <f aca="false">AQ36-Entrées!$C$17*1000</f>
        <v>-104.004478802936</v>
      </c>
      <c r="AY36" s="2" t="n">
        <f aca="false">AI36+(Entrées!$C$244-Entrées!$C$13)</f>
        <v>28410.0634761794</v>
      </c>
      <c r="AZ36" s="2" t="n">
        <f aca="false">AA36*AH36</f>
        <v>5388.15498292016</v>
      </c>
      <c r="BA36" s="2" t="n">
        <f aca="false">AZ36/AY36</f>
        <v>0.189656562627461</v>
      </c>
      <c r="BB36" s="2" t="n">
        <f aca="false">AZ36/(Entrées!$C$151/100)-AY36</f>
        <v>1524.13087337704</v>
      </c>
      <c r="BC36" s="2" t="n">
        <f aca="false">AT36+(Entrées!$C$244-Entrées!$C$13)</f>
        <v>27956.6143316635</v>
      </c>
      <c r="BD36" s="2" t="n">
        <f aca="false">AA36*AQ36</f>
        <v>5674.87007338589</v>
      </c>
      <c r="BE36" s="2" t="n">
        <f aca="false">BD36/BC36</f>
        <v>0.202988459405779</v>
      </c>
      <c r="BF36" s="2" t="n">
        <f aca="false">BD36/(Entrées!$C$151/100)-BC36</f>
        <v>3570.44163159145</v>
      </c>
      <c r="BG36" s="2" t="n">
        <f aca="false">MIN(AV36,BF36)</f>
        <v>1478.37223192772</v>
      </c>
      <c r="BH36" s="2" t="n">
        <f aca="false">IF(AC36&gt;Hypothèses!$J$26,MAX(0,BG36)/(1-Hypothèses!$J$26/AC36),0)</f>
        <v>2221.31336313867</v>
      </c>
    </row>
    <row r="37" customFormat="false" ht="15" hidden="false" customHeight="false" outlineLevel="0" collapsed="false">
      <c r="A37" s="2" t="n">
        <v>22</v>
      </c>
      <c r="B37" s="2" t="n">
        <v>0.955240667</v>
      </c>
      <c r="C37" s="2"/>
      <c r="D37" s="2" t="n">
        <v>0.053975196</v>
      </c>
      <c r="E37" s="2" t="n">
        <f aca="false">IF(E$7=E$5,E$6,IF(NORMSDIST(E$9*SQRT($C$11)*NORMSINV($B37)+SQRT(1-E$9^2*$C$11)*NORMSINV(D37))&lt;E$8,E$5+SQRT(NORMSDIST(E$9*SQRT($C$11)*NORMSINV($B37)+SQRT(1-E$9^2*$C$11)*NORMSINV(D37))*(E$7-E$5)*(E$6-E$5)),E$7-SQRT((1-NORMSDIST(E$9*SQRT($C$11)*NORMSINV($B37)+SQRT(1-E$9^2*$C$11)*NORMSINV(D37)))*(E$7-E$5)*(E$7-E$6))))</f>
        <v>0.0546476083665387</v>
      </c>
      <c r="F37" s="2" t="n">
        <v>0.27345438</v>
      </c>
      <c r="G37" s="2" t="n">
        <f aca="false">IF(G$7=G$5,G$6,IF(NORMSDIST(G$9*SQRT($C$11)*NORMSINV($B37)+SQRT(1-G$9^2*$C$11)*NORMSINV(F37))&lt;G$8,G$5+SQRT(NORMSDIST(G$9*SQRT($C$11)*NORMSINV($B37)+SQRT(1-G$9^2*$C$11)*NORMSINV(F37))*(G$7-G$5)*(G$6-G$5)),G$7-SQRT((1-NORMSDIST(G$9*SQRT($C$11)*NORMSINV($B37)+SQRT(1-G$9^2*$C$11)*NORMSINV(F37)))*(G$7-G$5)*(G$7-G$6))))</f>
        <v>0.0589397967257367</v>
      </c>
      <c r="H37" s="2" t="n">
        <v>0.783157001</v>
      </c>
      <c r="I37" s="2" t="n">
        <f aca="false">IF(I$7=I$5,I$6,IF(NORMSDIST(I$9*SQRT($C$11)*NORMSINV($B37)+SQRT(1-I$9^2*$C$11)*NORMSINV(H37))&lt;I$8,I$5+SQRT(NORMSDIST(I$9*SQRT($C$11)*NORMSINV($B37)+SQRT(1-I$9^2*$C$11)*NORMSINV(H37))*(I$7-I$5)*(I$6-I$5)),I$7-SQRT((1-NORMSDIST(I$9*SQRT($C$11)*NORMSINV($B37)+SQRT(1-I$9^2*$C$11)*NORMSINV(H37)))*(I$7-I$5)*(I$7-I$6))))</f>
        <v>213.90416238512</v>
      </c>
      <c r="J37" s="2" t="n">
        <v>0.2645301</v>
      </c>
      <c r="K37" s="2" t="n">
        <f aca="false">IF(K$7=K$5,K$6,IF(NORMSDIST(K$9*SQRT($C$11)*NORMSINV($B37)+SQRT(1-K$9^2*$C$11)*NORMSINV(J37))&lt;K$8,K$5+SQRT(NORMSDIST(K$9*SQRT($C$11)*NORMSINV($B37)+SQRT(1-K$9^2*$C$11)*NORMSINV(J37))*(K$7-K$5)*(K$6-K$5)),K$7-SQRT((1-NORMSDIST(K$9*SQRT($C$11)*NORMSINV($B37)+SQRT(1-K$9^2*$C$11)*NORMSINV(J37)))*(K$7-K$5)*(K$7-K$6))))</f>
        <v>0.31330718380614</v>
      </c>
      <c r="L37" s="2" t="n">
        <v>0.20512722</v>
      </c>
      <c r="M37" s="2" t="n">
        <f aca="false">IF(M$7=M$5,M$6,IF(NORMSDIST(M$9*SQRT($C$11)*NORMSINV($B37)+SQRT(1-M$9^2*$C$11)*NORMSINV(L37))&lt;M$8,M$5+SQRT(NORMSDIST(M$9*SQRT($C$11)*NORMSINV($B37)+SQRT(1-M$9^2*$C$11)*NORMSINV(L37))*(M$7-M$5)*(M$6-M$5)),M$7-SQRT((1-NORMSDIST(M$9*SQRT($C$11)*NORMSINV($B37)+SQRT(1-M$9^2*$C$11)*NORMSINV(L37)))*(M$7-M$5)*(M$7-M$6))))</f>
        <v>1629.47166027001</v>
      </c>
      <c r="N37" s="2" t="n">
        <v>0.471933801</v>
      </c>
      <c r="O37" s="2" t="n">
        <f aca="false">IF(O$7=O$5,O$6,IF(NORMSDIST(O$9*SQRT($C$11)*NORMSINV($B37)+SQRT(1-O$9^2*$C$11)*NORMSINV(N37))&lt;O$8,O$5+SQRT(NORMSDIST(O$9*SQRT($C$11)*NORMSINV($B37)+SQRT(1-O$9^2*$C$11)*NORMSINV(N37))*(O$7-O$5)*(O$6-O$5)),O$7-SQRT((1-NORMSDIST(O$9*SQRT($C$11)*NORMSINV($B37)+SQRT(1-O$9^2*$C$11)*NORMSINV(N37)))*(O$7-O$5)*(O$7-O$6))))</f>
        <v>0.177191343196415</v>
      </c>
      <c r="P37" s="2" t="n">
        <v>0.430827748</v>
      </c>
      <c r="Q37" s="2" t="n">
        <f aca="false">IF(Q$7=Q$5,Q$6,IF(NORMSDIST(Q$9*SQRT($C$11)*NORMSINV($B37)+SQRT(1-Q$9^2*$C$11)*NORMSINV(P37))&lt;Q$8,Q$5+SQRT(NORMSDIST(Q$9*SQRT($C$11)*NORMSINV($B37)+SQRT(1-Q$9^2*$C$11)*NORMSINV(P37))*(Q$7-Q$5)*(Q$6-Q$5)),Q$7-SQRT((1-NORMSDIST(Q$9*SQRT($C$11)*NORMSINV($B37)+SQRT(1-Q$9^2*$C$11)*NORMSINV(P37)))*(Q$7-Q$5)*(Q$7-Q$6))))</f>
        <v>0.077130160161249</v>
      </c>
      <c r="R37" s="2" t="n">
        <v>0.256335866</v>
      </c>
      <c r="S37" s="2" t="n">
        <f aca="false">IF(S$7=S$5,S$6,IF(NORMSDIST(S$9*SQRT($C$11)*NORMSINV($B37)+SQRT(1-S$9^2*$C$11)*NORMSINV(R37))&lt;S$8,S$5+SQRT(NORMSDIST(S$9*SQRT($C$11)*NORMSINV($B37)+SQRT(1-S$9^2*$C$11)*NORMSINV(R37))*(S$7-S$5)*(S$6-S$5)),S$7-SQRT((1-NORMSDIST(S$9*SQRT($C$11)*NORMSINV($B37)+SQRT(1-S$9^2*$C$11)*NORMSINV(R37)))*(S$7-S$5)*(S$7-S$6))))</f>
        <v>0.62221734467372</v>
      </c>
      <c r="T37" s="2" t="n">
        <v>0.763365491</v>
      </c>
      <c r="U37" s="2" t="n">
        <f aca="false">IF(U$7=U$5,U$6,IF(NORMSDIST(U$9*SQRT($C$11)*NORMSINV($B37)+SQRT(1-U$9^2*$C$11)*NORMSINV(T37))&lt;U$8,U$5+SQRT(NORMSDIST(U$9*SQRT($C$11)*NORMSINV($B37)+SQRT(1-U$9^2*$C$11)*NORMSINV(T37))*(U$7-U$5)*(U$6-U$5)),U$7-SQRT((1-NORMSDIST(U$9*SQRT($C$11)*NORMSINV($B37)+SQRT(1-U$9^2*$C$11)*NORMSINV(T37)))*(U$7-U$5)*(U$7-U$6))))</f>
        <v>0.839352607408487</v>
      </c>
      <c r="V37" s="2" t="n">
        <v>0.232158917</v>
      </c>
      <c r="W37" s="2" t="n">
        <f aca="false">IF(W$7=W$5,W$6,IF(NORMSDIST(W$9*SQRT($C$11)*NORMSINV($B37)+SQRT(1-W$9^2*$C$11)*NORMSINV(V37))&lt;W$8,W$5+SQRT(NORMSDIST(W$9*SQRT($C$11)*NORMSINV($B37)+SQRT(1-W$9^2*$C$11)*NORMSINV(V37))*(W$7-W$5)*(W$6-W$5)),W$7-SQRT((1-NORMSDIST(W$9*SQRT($C$11)*NORMSINV($B37)+SQRT(1-W$9^2*$C$11)*NORMSINV(V37)))*(W$7-W$5)*(W$7-W$6))))</f>
        <v>10.4352451964938</v>
      </c>
      <c r="X37" s="2" t="n">
        <v>0.961359353</v>
      </c>
      <c r="Y37" s="2" t="n">
        <f aca="false">IF(Y$7=Y$5,Y$6,IF(NORMSDIST(Y$9*SQRT($C$11)*NORMSINV($B37)+SQRT(1-Y$9^2*$C$11)*NORMSINV(X37))&lt;Y$8,Y$5+SQRT(NORMSDIST(Y$9*SQRT($C$11)*NORMSINV($B37)+SQRT(1-Y$9^2*$C$11)*NORMSINV(X37))*(Y$7-Y$5)*(Y$6-Y$5)),Y$7-SQRT((1-NORMSDIST(Y$9*SQRT($C$11)*NORMSINV($B37)+SQRT(1-Y$9^2*$C$11)*NORMSINV(X37)))*(Y$7-Y$5)*(Y$7-Y$6))))</f>
        <v>0.861002433474539</v>
      </c>
      <c r="Z37" s="2" t="n">
        <v>0.347578367</v>
      </c>
      <c r="AA37" s="2" t="n">
        <f aca="false">IF(AA$7=AA$5,AA$6,IF(NORMSDIST(AA$9*SQRT($C$11)*NORMSINV($B37)+SQRT(1-AA$9^2*$C$11)*NORMSINV(Z37))&lt;AA$8,AA$5+SQRT(NORMSDIST(AA$9*SQRT($C$11)*NORMSINV($B37)+SQRT(1-AA$9^2*$C$11)*NORMSINV(Z37))*(AA$7-AA$5)*(AA$6-AA$5)),AA$7-SQRT((1-NORMSDIST(AA$9*SQRT($C$11)*NORMSINV($B37)+SQRT(1-AA$9^2*$C$11)*NORMSINV(Z37)))*(AA$7-AA$5)*(AA$7-AA$6))))</f>
        <v>0.737033176705542</v>
      </c>
      <c r="AB37" s="2" t="n">
        <v>0.567114535</v>
      </c>
      <c r="AC37" s="2" t="n">
        <f aca="false">IF(AC$7=AC$5,AC$6,IF(NORMSDIST(AC$9*SQRT($C$11)*NORMSINV($B37)+SQRT(1-AC$9^2*$C$11)*NORMSINV(AB37))&lt;AC$8,AC$5+SQRT(NORMSDIST(AC$9*SQRT($C$11)*NORMSINV($B37)+SQRT(1-AC$9^2*$C$11)*NORMSINV(AB37))*(AC$7-AC$5)*(AC$6-AC$5)),AC$7-SQRT((1-NORMSDIST(AC$9*SQRT($C$11)*NORMSINV($B37)+SQRT(1-AC$9^2*$C$11)*NORMSINV(AB37)))*(AC$7-AC$5)*(AC$7-AC$6))))</f>
        <v>10.2978022651633</v>
      </c>
      <c r="AD37" s="2" t="n">
        <f aca="false">Entrées!$C$8*(1+E37)</f>
        <v>7435.2656389841</v>
      </c>
      <c r="AE37" s="2" t="n">
        <f aca="false">I37*Hypothèses!$J$24/12/Hypothèses!$J$19</f>
        <v>106.117170332353</v>
      </c>
      <c r="AF37" s="2" t="n">
        <f aca="false">Entrées!$C$36*S37*1000</f>
        <v>311.10867233686</v>
      </c>
      <c r="AG37" s="2" t="n">
        <f aca="false">-AF37/W37</f>
        <v>-29.8132594374871</v>
      </c>
      <c r="AH37" s="2" t="n">
        <f aca="false">AD37+AE37+AG37</f>
        <v>7511.56954987896</v>
      </c>
      <c r="AI37" s="2" t="n">
        <f aca="false">Entrées!$C$16-M37+Hypothèses!$J$22*1000-AF37+Hypothèses!$J$23</f>
        <v>22607.4196673931</v>
      </c>
      <c r="AJ37" s="2" t="n">
        <f aca="false">AI37/AH37</f>
        <v>3.00967987013545</v>
      </c>
      <c r="AK37" s="2" t="n">
        <f aca="false">AI37/(AH37+I37*(12-Hypothèses!$J$24)/12/Hypothèses!$J$19)</f>
        <v>2.979613097944</v>
      </c>
      <c r="AL37" s="2" t="n">
        <f aca="false">(AD37+AG37+I37/Hypothèses!$J$19)*(1+G37)</f>
        <v>8034.5654285121</v>
      </c>
      <c r="AM37" s="2" t="n">
        <f aca="false">Entrées!$C$54*K37/Hypothèses!$J$19</f>
        <v>31.9743135992724</v>
      </c>
      <c r="AN37" s="2" t="n">
        <f aca="false">Y37*1000/AC37</f>
        <v>83.6103093945824</v>
      </c>
      <c r="AO37" s="2" t="n">
        <f aca="false">(Entrées!$C$36*(1-S37)+MAX(0,Entrées!$C$30-Entrées!$C$35-Entrées!$C$36)*U37)*1000</f>
        <v>1363.98497803502</v>
      </c>
      <c r="AP37" s="2" t="n">
        <f aca="false">-AO37/W37</f>
        <v>-130.709432538616</v>
      </c>
      <c r="AQ37" s="2" t="n">
        <f aca="false">AL37+AM37+AN37+AP37</f>
        <v>8019.44061896734</v>
      </c>
      <c r="AR37" s="2" t="n">
        <f aca="false">O37*AQ37-Hypothèses!$J$25/Hypothèses!$J$19</f>
        <v>1401.84029269709</v>
      </c>
      <c r="AS37" s="2" t="n">
        <f aca="false">Entrées!$C$79*(1+Q37)+Hypothèses!$J$20</f>
        <v>1478.76604601721</v>
      </c>
      <c r="AT37" s="2" t="n">
        <f aca="false">AI37-AR37+AS37+Y37*1000-AO37+Hypothèses!$J$23</f>
        <v>22181.3628761528</v>
      </c>
      <c r="AU37" s="2" t="n">
        <f aca="false">AT37/AQ37</f>
        <v>2.76594888971309</v>
      </c>
      <c r="AV37" s="2" t="n">
        <f aca="false">Hypothèses!$J$26*AQ37-AT37</f>
        <v>1876.95898074924</v>
      </c>
      <c r="AW37" s="2" t="n">
        <f aca="false">IF(AC37&gt;Hypothèses!$J$26,MAX(0,AV37)/(1-Hypothèses!$J$26/AC37),0)</f>
        <v>2648.54427967234</v>
      </c>
      <c r="AX37" s="2" t="n">
        <f aca="false">AQ37-Entrées!$C$17*1000</f>
        <v>19.4406189673373</v>
      </c>
      <c r="AY37" s="2" t="n">
        <f aca="false">AI37+(Entrées!$C$244-Entrées!$C$13)</f>
        <v>28354.4196673931</v>
      </c>
      <c r="AZ37" s="2" t="n">
        <f aca="false">AA37*AH37</f>
        <v>5536.27596739191</v>
      </c>
      <c r="BA37" s="2" t="n">
        <f aca="false">AZ37/AY37</f>
        <v>0.195252663688211</v>
      </c>
      <c r="BB37" s="2" t="n">
        <f aca="false">AZ37/(Entrées!$C$151/100)-AY37</f>
        <v>2402.66904033972</v>
      </c>
      <c r="BC37" s="2" t="n">
        <f aca="false">AT37+(Entrées!$C$244-Entrées!$C$13)</f>
        <v>27928.3628761528</v>
      </c>
      <c r="BD37" s="2" t="n">
        <f aca="false">AA37*AQ37</f>
        <v>5910.59379479896</v>
      </c>
      <c r="BE37" s="2" t="n">
        <f aca="false">BD37/BC37</f>
        <v>0.211634094737642</v>
      </c>
      <c r="BF37" s="2" t="n">
        <f aca="false">BD37/(Entrées!$C$151/100)-BC37</f>
        <v>4908.26931717476</v>
      </c>
      <c r="BG37" s="2" t="n">
        <f aca="false">MIN(AV37,BF37)</f>
        <v>1876.95898074924</v>
      </c>
      <c r="BH37" s="2" t="n">
        <f aca="false">IF(AC37&gt;Hypothèses!$J$26,MAX(0,BG37)/(1-Hypothèses!$J$26/AC37),0)</f>
        <v>2648.54427967234</v>
      </c>
    </row>
    <row r="38" customFormat="false" ht="15" hidden="false" customHeight="false" outlineLevel="0" collapsed="false">
      <c r="A38" s="2" t="n">
        <v>23</v>
      </c>
      <c r="B38" s="2" t="n">
        <v>0.105203187</v>
      </c>
      <c r="C38" s="2"/>
      <c r="D38" s="2" t="n">
        <v>0.577129195</v>
      </c>
      <c r="E38" s="2" t="n">
        <f aca="false">IF(E$7=E$5,E$6,IF(NORMSDIST(E$9*SQRT($C$11)*NORMSINV($B38)+SQRT(1-E$9^2*$C$11)*NORMSINV(D38))&lt;E$8,E$5+SQRT(NORMSDIST(E$9*SQRT($C$11)*NORMSINV($B38)+SQRT(1-E$9^2*$C$11)*NORMSINV(D38))*(E$7-E$5)*(E$6-E$5)),E$7-SQRT((1-NORMSDIST(E$9*SQRT($C$11)*NORMSINV($B38)+SQRT(1-E$9^2*$C$11)*NORMSINV(D38)))*(E$7-E$5)*(E$7-E$6))))</f>
        <v>0.0536098889446782</v>
      </c>
      <c r="F38" s="2" t="n">
        <v>0.239824877</v>
      </c>
      <c r="G38" s="2" t="n">
        <f aca="false">IF(G$7=G$5,G$6,IF(NORMSDIST(G$9*SQRT($C$11)*NORMSINV($B38)+SQRT(1-G$9^2*$C$11)*NORMSINV(F38))&lt;G$8,G$5+SQRT(NORMSDIST(G$9*SQRT($C$11)*NORMSINV($B38)+SQRT(1-G$9^2*$C$11)*NORMSINV(F38))*(G$7-G$5)*(G$6-G$5)),G$7-SQRT((1-NORMSDIST(G$9*SQRT($C$11)*NORMSINV($B38)+SQRT(1-G$9^2*$C$11)*NORMSINV(F38)))*(G$7-G$5)*(G$7-G$6))))</f>
        <v>0.0463702827304552</v>
      </c>
      <c r="H38" s="2" t="n">
        <v>0.228589919</v>
      </c>
      <c r="I38" s="2" t="n">
        <f aca="false">IF(I$7=I$5,I$6,IF(NORMSDIST(I$9*SQRT($C$11)*NORMSINV($B38)+SQRT(1-I$9^2*$C$11)*NORMSINV(H38))&lt;I$8,I$5+SQRT(NORMSDIST(I$9*SQRT($C$11)*NORMSINV($B38)+SQRT(1-I$9^2*$C$11)*NORMSINV(H38))*(I$7-I$5)*(I$6-I$5)),I$7-SQRT((1-NORMSDIST(I$9*SQRT($C$11)*NORMSINV($B38)+SQRT(1-I$9^2*$C$11)*NORMSINV(H38)))*(I$7-I$5)*(I$7-I$6))))</f>
        <v>188.277747616173</v>
      </c>
      <c r="J38" s="2" t="n">
        <v>0.921215255</v>
      </c>
      <c r="K38" s="2" t="n">
        <f aca="false">IF(K$7=K$5,K$6,IF(NORMSDIST(K$9*SQRT($C$11)*NORMSINV($B38)+SQRT(1-K$9^2*$C$11)*NORMSINV(J38))&lt;K$8,K$5+SQRT(NORMSDIST(K$9*SQRT($C$11)*NORMSINV($B38)+SQRT(1-K$9^2*$C$11)*NORMSINV(J38))*(K$7-K$5)*(K$6-K$5)),K$7-SQRT((1-NORMSDIST(K$9*SQRT($C$11)*NORMSINV($B38)+SQRT(1-K$9^2*$C$11)*NORMSINV(J38)))*(K$7-K$5)*(K$7-K$6))))</f>
        <v>0.281742134613126</v>
      </c>
      <c r="L38" s="2" t="n">
        <v>0.999696598</v>
      </c>
      <c r="M38" s="2" t="n">
        <f aca="false">IF(M$7=M$5,M$6,IF(NORMSDIST(M$9*SQRT($C$11)*NORMSINV($B38)+SQRT(1-M$9^2*$C$11)*NORMSINV(L38))&lt;M$8,M$5+SQRT(NORMSDIST(M$9*SQRT($C$11)*NORMSINV($B38)+SQRT(1-M$9^2*$C$11)*NORMSINV(L38))*(M$7-M$5)*(M$6-M$5)),M$7-SQRT((1-NORMSDIST(M$9*SQRT($C$11)*NORMSINV($B38)+SQRT(1-M$9^2*$C$11)*NORMSINV(L38)))*(M$7-M$5)*(M$7-M$6))))</f>
        <v>1742.07263615233</v>
      </c>
      <c r="N38" s="2" t="n">
        <v>0.89469646</v>
      </c>
      <c r="O38" s="2" t="n">
        <f aca="false">IF(O$7=O$5,O$6,IF(NORMSDIST(O$9*SQRT($C$11)*NORMSINV($B38)+SQRT(1-O$9^2*$C$11)*NORMSINV(N38))&lt;O$8,O$5+SQRT(NORMSDIST(O$9*SQRT($C$11)*NORMSINV($B38)+SQRT(1-O$9^2*$C$11)*NORMSINV(N38))*(O$7-O$5)*(O$6-O$5)),O$7-SQRT((1-NORMSDIST(O$9*SQRT($C$11)*NORMSINV($B38)+SQRT(1-O$9^2*$C$11)*NORMSINV(N38)))*(O$7-O$5)*(O$7-O$6))))</f>
        <v>0.168610066332001</v>
      </c>
      <c r="P38" s="2" t="n">
        <v>0.252408848</v>
      </c>
      <c r="Q38" s="2" t="n">
        <f aca="false">IF(Q$7=Q$5,Q$6,IF(NORMSDIST(Q$9*SQRT($C$11)*NORMSINV($B38)+SQRT(1-Q$9^2*$C$11)*NORMSINV(P38))&lt;Q$8,Q$5+SQRT(NORMSDIST(Q$9*SQRT($C$11)*NORMSINV($B38)+SQRT(1-Q$9^2*$C$11)*NORMSINV(P38))*(Q$7-Q$5)*(Q$6-Q$5)),Q$7-SQRT((1-NORMSDIST(Q$9*SQRT($C$11)*NORMSINV($B38)+SQRT(1-Q$9^2*$C$11)*NORMSINV(P38)))*(Q$7-Q$5)*(Q$7-Q$6))))</f>
        <v>0.0684202095981011</v>
      </c>
      <c r="R38" s="2" t="n">
        <v>0.63939238</v>
      </c>
      <c r="S38" s="2" t="n">
        <f aca="false">IF(S$7=S$5,S$6,IF(NORMSDIST(S$9*SQRT($C$11)*NORMSINV($B38)+SQRT(1-S$9^2*$C$11)*NORMSINV(R38))&lt;S$8,S$5+SQRT(NORMSDIST(S$9*SQRT($C$11)*NORMSINV($B38)+SQRT(1-S$9^2*$C$11)*NORMSINV(R38))*(S$7-S$5)*(S$6-S$5)),S$7-SQRT((1-NORMSDIST(S$9*SQRT($C$11)*NORMSINV($B38)+SQRT(1-S$9^2*$C$11)*NORMSINV(R38)))*(S$7-S$5)*(S$7-S$6))))</f>
        <v>0.389247210978979</v>
      </c>
      <c r="T38" s="2" t="n">
        <v>0.201867971</v>
      </c>
      <c r="U38" s="2" t="n">
        <f aca="false">IF(U$7=U$5,U$6,IF(NORMSDIST(U$9*SQRT($C$11)*NORMSINV($B38)+SQRT(1-U$9^2*$C$11)*NORMSINV(T38))&lt;U$8,U$5+SQRT(NORMSDIST(U$9*SQRT($C$11)*NORMSINV($B38)+SQRT(1-U$9^2*$C$11)*NORMSINV(T38))*(U$7-U$5)*(U$6-U$5)),U$7-SQRT((1-NORMSDIST(U$9*SQRT($C$11)*NORMSINV($B38)+SQRT(1-U$9^2*$C$11)*NORMSINV(T38)))*(U$7-U$5)*(U$7-U$6))))</f>
        <v>0.193768002286457</v>
      </c>
      <c r="V38" s="2" t="n">
        <v>0.692903234</v>
      </c>
      <c r="W38" s="2" t="n">
        <f aca="false">IF(W$7=W$5,W$6,IF(NORMSDIST(W$9*SQRT($C$11)*NORMSINV($B38)+SQRT(1-W$9^2*$C$11)*NORMSINV(V38))&lt;W$8,W$5+SQRT(NORMSDIST(W$9*SQRT($C$11)*NORMSINV($B38)+SQRT(1-W$9^2*$C$11)*NORMSINV(V38))*(W$7-W$5)*(W$6-W$5)),W$7-SQRT((1-NORMSDIST(W$9*SQRT($C$11)*NORMSINV($B38)+SQRT(1-W$9^2*$C$11)*NORMSINV(V38)))*(W$7-W$5)*(W$7-W$6))))</f>
        <v>9.65884789210178</v>
      </c>
      <c r="X38" s="2" t="n">
        <v>0.546037007</v>
      </c>
      <c r="Y38" s="2" t="n">
        <f aca="false">IF(Y$7=Y$5,Y$6,IF(NORMSDIST(Y$9*SQRT($C$11)*NORMSINV($B38)+SQRT(1-Y$9^2*$C$11)*NORMSINV(X38))&lt;Y$8,Y$5+SQRT(NORMSDIST(Y$9*SQRT($C$11)*NORMSINV($B38)+SQRT(1-Y$9^2*$C$11)*NORMSINV(X38))*(Y$7-Y$5)*(Y$6-Y$5)),Y$7-SQRT((1-NORMSDIST(Y$9*SQRT($C$11)*NORMSINV($B38)+SQRT(1-Y$9^2*$C$11)*NORMSINV(X38)))*(Y$7-Y$5)*(Y$7-Y$6))))</f>
        <v>0.523574248701857</v>
      </c>
      <c r="Z38" s="2" t="n">
        <v>0.586219917</v>
      </c>
      <c r="AA38" s="2" t="n">
        <f aca="false">IF(AA$7=AA$5,AA$6,IF(NORMSDIST(AA$9*SQRT($C$11)*NORMSINV($B38)+SQRT(1-AA$9^2*$C$11)*NORMSINV(Z38))&lt;AA$8,AA$5+SQRT(NORMSDIST(AA$9*SQRT($C$11)*NORMSINV($B38)+SQRT(1-AA$9^2*$C$11)*NORMSINV(Z38))*(AA$7-AA$5)*(AA$6-AA$5)),AA$7-SQRT((1-NORMSDIST(AA$9*SQRT($C$11)*NORMSINV($B38)+SQRT(1-AA$9^2*$C$11)*NORMSINV(Z38)))*(AA$7-AA$5)*(AA$7-AA$6))))</f>
        <v>0.719216604945735</v>
      </c>
      <c r="AB38" s="2" t="n">
        <v>0.271967133</v>
      </c>
      <c r="AC38" s="2" t="n">
        <f aca="false">IF(AC$7=AC$5,AC$6,IF(NORMSDIST(AC$9*SQRT($C$11)*NORMSINV($B38)+SQRT(1-AC$9^2*$C$11)*NORMSINV(AB38))&lt;AC$8,AC$5+SQRT(NORMSDIST(AC$9*SQRT($C$11)*NORMSINV($B38)+SQRT(1-AC$9^2*$C$11)*NORMSINV(AB38))*(AC$7-AC$5)*(AC$6-AC$5)),AC$7-SQRT((1-NORMSDIST(AC$9*SQRT($C$11)*NORMSINV($B38)+SQRT(1-AC$9^2*$C$11)*NORMSINV(AB38)))*(AC$7-AC$5)*(AC$7-AC$6))))</f>
        <v>8.3453603795879</v>
      </c>
      <c r="AD38" s="2" t="n">
        <f aca="false">Entrées!$C$8*(1+E38)</f>
        <v>7427.94971705998</v>
      </c>
      <c r="AE38" s="2" t="n">
        <f aca="false">I38*Hypothèses!$J$24/12/Hypothèses!$J$19</f>
        <v>93.4039879860093</v>
      </c>
      <c r="AF38" s="2" t="n">
        <f aca="false">Entrées!$C$36*S38*1000</f>
        <v>194.62360548949</v>
      </c>
      <c r="AG38" s="2" t="n">
        <f aca="false">-AF38/W38</f>
        <v>-20.1497743482053</v>
      </c>
      <c r="AH38" s="2" t="n">
        <f aca="false">AD38+AE38+AG38</f>
        <v>7501.20393069779</v>
      </c>
      <c r="AI38" s="2" t="n">
        <f aca="false">Entrées!$C$16-M38+Hypothèses!$J$22*1000-AF38+Hypothèses!$J$23</f>
        <v>22611.3037583582</v>
      </c>
      <c r="AJ38" s="2" t="n">
        <f aca="false">AI38/AH38</f>
        <v>3.01435662425122</v>
      </c>
      <c r="AK38" s="2" t="n">
        <f aca="false">AI38/(AH38+I38*(12-Hypothèses!$J$24)/12/Hypothèses!$J$19)</f>
        <v>2.9877827165785</v>
      </c>
      <c r="AL38" s="2" t="n">
        <f aca="false">(AD38+AG38+I38/Hypothèses!$J$19)*(1+G38)</f>
        <v>7918.8477044381</v>
      </c>
      <c r="AM38" s="2" t="n">
        <f aca="false">Entrées!$C$54*K38/Hypothèses!$J$19</f>
        <v>28.7529677960481</v>
      </c>
      <c r="AN38" s="2" t="n">
        <f aca="false">Y38*1000/AC38</f>
        <v>62.7383629810018</v>
      </c>
      <c r="AO38" s="2" t="n">
        <f aca="false">(Entrées!$C$36*(1-S38)+MAX(0,Entrées!$C$30-Entrées!$C$35-Entrées!$C$36)*U38)*1000</f>
        <v>576.65159771155</v>
      </c>
      <c r="AP38" s="2" t="n">
        <f aca="false">-AO38/W38</f>
        <v>-59.7019027686613</v>
      </c>
      <c r="AQ38" s="2" t="n">
        <f aca="false">AL38+AM38+AN38+AP38</f>
        <v>7950.63713244649</v>
      </c>
      <c r="AR38" s="2" t="n">
        <f aca="false">O38*AQ38-Hypothèses!$J$25/Hypothèses!$J$19</f>
        <v>1321.42229202185</v>
      </c>
      <c r="AS38" s="2" t="n">
        <f aca="false">Entrées!$C$79*(1+Q38)+Hypothèses!$J$20</f>
        <v>1469.19381034831</v>
      </c>
      <c r="AT38" s="2" t="n">
        <f aca="false">AI38-AR38+AS38+Y38*1000-AO38+Hypothèses!$J$23</f>
        <v>22705.997927675</v>
      </c>
      <c r="AU38" s="2" t="n">
        <f aca="false">AT38/AQ38</f>
        <v>2.85587149173391</v>
      </c>
      <c r="AV38" s="2" t="n">
        <f aca="false">Hypothèses!$J$26*AQ38-AT38</f>
        <v>1145.9134696645</v>
      </c>
      <c r="AW38" s="2" t="n">
        <f aca="false">IF(AC38&gt;Hypothèses!$J$26,MAX(0,AV38)/(1-Hypothèses!$J$26/AC38),0)</f>
        <v>1789.03950137623</v>
      </c>
      <c r="AX38" s="2" t="n">
        <f aca="false">AQ38-Entrées!$C$17*1000</f>
        <v>-49.3628675535147</v>
      </c>
      <c r="AY38" s="2" t="n">
        <f aca="false">AI38+(Entrées!$C$244-Entrées!$C$13)</f>
        <v>28358.3037583582</v>
      </c>
      <c r="AZ38" s="2" t="n">
        <f aca="false">AA38*AH38</f>
        <v>5394.99042404206</v>
      </c>
      <c r="BA38" s="2" t="n">
        <f aca="false">AZ38/AY38</f>
        <v>0.190243763167674</v>
      </c>
      <c r="BB38" s="2" t="n">
        <f aca="false">AZ38/(Entrées!$C$151/100)-AY38</f>
        <v>1613.86526409773</v>
      </c>
      <c r="BC38" s="2" t="n">
        <f aca="false">AT38+(Entrées!$C$244-Entrées!$C$13)</f>
        <v>28452.997927675</v>
      </c>
      <c r="BD38" s="2" t="n">
        <f aca="false">AA38*AQ38</f>
        <v>5718.23024555366</v>
      </c>
      <c r="BE38" s="2" t="n">
        <f aca="false">BD38/BC38</f>
        <v>0.200971098373848</v>
      </c>
      <c r="BF38" s="2" t="n">
        <f aca="false">BD38/(Entrées!$C$151/100)-BC38</f>
        <v>3314.94788095646</v>
      </c>
      <c r="BG38" s="2" t="n">
        <f aca="false">MIN(AV38,BF38)</f>
        <v>1145.9134696645</v>
      </c>
      <c r="BH38" s="2" t="n">
        <f aca="false">IF(AC38&gt;Hypothèses!$J$26,MAX(0,BG38)/(1-Hypothèses!$J$26/AC38),0)</f>
        <v>1789.03950137623</v>
      </c>
    </row>
    <row r="39" customFormat="false" ht="15" hidden="false" customHeight="false" outlineLevel="0" collapsed="false">
      <c r="A39" s="2" t="n">
        <v>24</v>
      </c>
      <c r="B39" s="2" t="n">
        <v>0.196109312</v>
      </c>
      <c r="C39" s="2"/>
      <c r="D39" s="2" t="n">
        <v>0.625655927</v>
      </c>
      <c r="E39" s="2" t="n">
        <f aca="false">IF(E$7=E$5,E$6,IF(NORMSDIST(E$9*SQRT($C$11)*NORMSINV($B39)+SQRT(1-E$9^2*$C$11)*NORMSINV(D39))&lt;E$8,E$5+SQRT(NORMSDIST(E$9*SQRT($C$11)*NORMSINV($B39)+SQRT(1-E$9^2*$C$11)*NORMSINV(D39))*(E$7-E$5)*(E$6-E$5)),E$7-SQRT((1-NORMSDIST(E$9*SQRT($C$11)*NORMSINV($B39)+SQRT(1-E$9^2*$C$11)*NORMSINV(D39)))*(E$7-E$5)*(E$7-E$6))))</f>
        <v>0.054386181109632</v>
      </c>
      <c r="F39" s="2" t="n">
        <v>0.85772843</v>
      </c>
      <c r="G39" s="2" t="n">
        <f aca="false">IF(G$7=G$5,G$6,IF(NORMSDIST(G$9*SQRT($C$11)*NORMSINV($B39)+SQRT(1-G$9^2*$C$11)*NORMSINV(F39))&lt;G$8,G$5+SQRT(NORMSDIST(G$9*SQRT($C$11)*NORMSINV($B39)+SQRT(1-G$9^2*$C$11)*NORMSINV(F39))*(G$7-G$5)*(G$6-G$5)),G$7-SQRT((1-NORMSDIST(G$9*SQRT($C$11)*NORMSINV($B39)+SQRT(1-G$9^2*$C$11)*NORMSINV(F39)))*(G$7-G$5)*(G$7-G$6))))</f>
        <v>0.0568078050331443</v>
      </c>
      <c r="H39" s="2" t="n">
        <v>0.524288819</v>
      </c>
      <c r="I39" s="2" t="n">
        <f aca="false">IF(I$7=I$5,I$6,IF(NORMSDIST(I$9*SQRT($C$11)*NORMSINV($B39)+SQRT(1-I$9^2*$C$11)*NORMSINV(H39))&lt;I$8,I$5+SQRT(NORMSDIST(I$9*SQRT($C$11)*NORMSINV($B39)+SQRT(1-I$9^2*$C$11)*NORMSINV(H39))*(I$7-I$5)*(I$6-I$5)),I$7-SQRT((1-NORMSDIST(I$9*SQRT($C$11)*NORMSINV($B39)+SQRT(1-I$9^2*$C$11)*NORMSINV(H39)))*(I$7-I$5)*(I$7-I$6))))</f>
        <v>195.765128710811</v>
      </c>
      <c r="J39" s="2" t="n">
        <v>0.874318029</v>
      </c>
      <c r="K39" s="2" t="n">
        <f aca="false">IF(K$7=K$5,K$6,IF(NORMSDIST(K$9*SQRT($C$11)*NORMSINV($B39)+SQRT(1-K$9^2*$C$11)*NORMSINV(J39))&lt;K$8,K$5+SQRT(NORMSDIST(K$9*SQRT($C$11)*NORMSINV($B39)+SQRT(1-K$9^2*$C$11)*NORMSINV(J39))*(K$7-K$5)*(K$6-K$5)),K$7-SQRT((1-NORMSDIST(K$9*SQRT($C$11)*NORMSINV($B39)+SQRT(1-K$9^2*$C$11)*NORMSINV(J39)))*(K$7-K$5)*(K$7-K$6))))</f>
        <v>0.286646371252064</v>
      </c>
      <c r="L39" s="2" t="n">
        <v>0.792852428</v>
      </c>
      <c r="M39" s="2" t="n">
        <f aca="false">IF(M$7=M$5,M$6,IF(NORMSDIST(M$9*SQRT($C$11)*NORMSINV($B39)+SQRT(1-M$9^2*$C$11)*NORMSINV(L39))&lt;M$8,M$5+SQRT(NORMSDIST(M$9*SQRT($C$11)*NORMSINV($B39)+SQRT(1-M$9^2*$C$11)*NORMSINV(L39))*(M$7-M$5)*(M$6-M$5)),M$7-SQRT((1-NORMSDIST(M$9*SQRT($C$11)*NORMSINV($B39)+SQRT(1-M$9^2*$C$11)*NORMSINV(L39)))*(M$7-M$5)*(M$7-M$6))))</f>
        <v>1595.42482351984</v>
      </c>
      <c r="N39" s="2" t="n">
        <v>0.007266499</v>
      </c>
      <c r="O39" s="2" t="n">
        <f aca="false">IF(O$7=O$5,O$6,IF(NORMSDIST(O$9*SQRT($C$11)*NORMSINV($B39)+SQRT(1-O$9^2*$C$11)*NORMSINV(N39))&lt;O$8,O$5+SQRT(NORMSDIST(O$9*SQRT($C$11)*NORMSINV($B39)+SQRT(1-O$9^2*$C$11)*NORMSINV(N39))*(O$7-O$5)*(O$6-O$5)),O$7-SQRT((1-NORMSDIST(O$9*SQRT($C$11)*NORMSINV($B39)+SQRT(1-O$9^2*$C$11)*NORMSINV(N39)))*(O$7-O$5)*(O$7-O$6))))</f>
        <v>0.143272638686874</v>
      </c>
      <c r="P39" s="2" t="n">
        <v>0.991605106</v>
      </c>
      <c r="Q39" s="2" t="n">
        <f aca="false">IF(Q$7=Q$5,Q$6,IF(NORMSDIST(Q$9*SQRT($C$11)*NORMSINV($B39)+SQRT(1-Q$9^2*$C$11)*NORMSINV(P39))&lt;Q$8,Q$5+SQRT(NORMSDIST(Q$9*SQRT($C$11)*NORMSINV($B39)+SQRT(1-Q$9^2*$C$11)*NORMSINV(P39))*(Q$7-Q$5)*(Q$6-Q$5)),Q$7-SQRT((1-NORMSDIST(Q$9*SQRT($C$11)*NORMSINV($B39)+SQRT(1-Q$9^2*$C$11)*NORMSINV(P39)))*(Q$7-Q$5)*(Q$7-Q$6))))</f>
        <v>0.114816983426613</v>
      </c>
      <c r="R39" s="2" t="n">
        <v>0.81879126</v>
      </c>
      <c r="S39" s="2" t="n">
        <f aca="false">IF(S$7=S$5,S$6,IF(NORMSDIST(S$9*SQRT($C$11)*NORMSINV($B39)+SQRT(1-S$9^2*$C$11)*NORMSINV(R39))&lt;S$8,S$5+SQRT(NORMSDIST(S$9*SQRT($C$11)*NORMSINV($B39)+SQRT(1-S$9^2*$C$11)*NORMSINV(R39))*(S$7-S$5)*(S$6-S$5)),S$7-SQRT((1-NORMSDIST(S$9*SQRT($C$11)*NORMSINV($B39)+SQRT(1-S$9^2*$C$11)*NORMSINV(R39)))*(S$7-S$5)*(S$7-S$6))))</f>
        <v>0.533776685648146</v>
      </c>
      <c r="T39" s="2" t="n">
        <v>0.08803256</v>
      </c>
      <c r="U39" s="2" t="n">
        <f aca="false">IF(U$7=U$5,U$6,IF(NORMSDIST(U$9*SQRT($C$11)*NORMSINV($B39)+SQRT(1-U$9^2*$C$11)*NORMSINV(T39))&lt;U$8,U$5+SQRT(NORMSDIST(U$9*SQRT($C$11)*NORMSINV($B39)+SQRT(1-U$9^2*$C$11)*NORMSINV(T39))*(U$7-U$5)*(U$6-U$5)),U$7-SQRT((1-NORMSDIST(U$9*SQRT($C$11)*NORMSINV($B39)+SQRT(1-U$9^2*$C$11)*NORMSINV(T39)))*(U$7-U$5)*(U$7-U$6))))</f>
        <v>0.167354226569565</v>
      </c>
      <c r="V39" s="2" t="n">
        <v>0.802484879</v>
      </c>
      <c r="W39" s="2" t="n">
        <f aca="false">IF(W$7=W$5,W$6,IF(NORMSDIST(W$9*SQRT($C$11)*NORMSINV($B39)+SQRT(1-W$9^2*$C$11)*NORMSINV(V39))&lt;W$8,W$5+SQRT(NORMSDIST(W$9*SQRT($C$11)*NORMSINV($B39)+SQRT(1-W$9^2*$C$11)*NORMSINV(V39))*(W$7-W$5)*(W$6-W$5)),W$7-SQRT((1-NORMSDIST(W$9*SQRT($C$11)*NORMSINV($B39)+SQRT(1-W$9^2*$C$11)*NORMSINV(V39)))*(W$7-W$5)*(W$7-W$6))))</f>
        <v>10.0959890640726</v>
      </c>
      <c r="X39" s="2" t="n">
        <v>0.067875793</v>
      </c>
      <c r="Y39" s="2" t="n">
        <f aca="false">IF(Y$7=Y$5,Y$6,IF(NORMSDIST(Y$9*SQRT($C$11)*NORMSINV($B39)+SQRT(1-Y$9^2*$C$11)*NORMSINV(X39))&lt;Y$8,Y$5+SQRT(NORMSDIST(Y$9*SQRT($C$11)*NORMSINV($B39)+SQRT(1-Y$9^2*$C$11)*NORMSINV(X39))*(Y$7-Y$5)*(Y$6-Y$5)),Y$7-SQRT((1-NORMSDIST(Y$9*SQRT($C$11)*NORMSINV($B39)+SQRT(1-Y$9^2*$C$11)*NORMSINV(X39)))*(Y$7-Y$5)*(Y$7-Y$6))))</f>
        <v>0.184222410417408</v>
      </c>
      <c r="Z39" s="2" t="n">
        <v>0.5531187</v>
      </c>
      <c r="AA39" s="2" t="n">
        <f aca="false">IF(AA$7=AA$5,AA$6,IF(NORMSDIST(AA$9*SQRT($C$11)*NORMSINV($B39)+SQRT(1-AA$9^2*$C$11)*NORMSINV(Z39))&lt;AA$8,AA$5+SQRT(NORMSDIST(AA$9*SQRT($C$11)*NORMSINV($B39)+SQRT(1-AA$9^2*$C$11)*NORMSINV(Z39))*(AA$7-AA$5)*(AA$6-AA$5)),AA$7-SQRT((1-NORMSDIST(AA$9*SQRT($C$11)*NORMSINV($B39)+SQRT(1-AA$9^2*$C$11)*NORMSINV(Z39)))*(AA$7-AA$5)*(AA$7-AA$6))))</f>
        <v>0.721943428158447</v>
      </c>
      <c r="AB39" s="2" t="n">
        <v>0.699217242</v>
      </c>
      <c r="AC39" s="2" t="n">
        <f aca="false">IF(AC$7=AC$5,AC$6,IF(NORMSDIST(AC$9*SQRT($C$11)*NORMSINV($B39)+SQRT(1-AC$9^2*$C$11)*NORMSINV(AB39))&lt;AC$8,AC$5+SQRT(NORMSDIST(AC$9*SQRT($C$11)*NORMSINV($B39)+SQRT(1-AC$9^2*$C$11)*NORMSINV(AB39))*(AC$7-AC$5)*(AC$6-AC$5)),AC$7-SQRT((1-NORMSDIST(AC$9*SQRT($C$11)*NORMSINV($B39)+SQRT(1-AC$9^2*$C$11)*NORMSINV(AB39)))*(AC$7-AC$5)*(AC$7-AC$6))))</f>
        <v>9.36223554277221</v>
      </c>
      <c r="AD39" s="2" t="n">
        <f aca="false">Entrées!$C$8*(1+E39)</f>
        <v>7433.42257682291</v>
      </c>
      <c r="AE39" s="2" t="n">
        <f aca="false">I39*Hypothèses!$J$24/12/Hypothèses!$J$19</f>
        <v>97.1184537827638</v>
      </c>
      <c r="AF39" s="2" t="n">
        <f aca="false">Entrées!$C$36*S39*1000</f>
        <v>266.888342824073</v>
      </c>
      <c r="AG39" s="2" t="n">
        <f aca="false">-AF39/W39</f>
        <v>-26.4350863625455</v>
      </c>
      <c r="AH39" s="2" t="n">
        <f aca="false">AD39+AE39+AG39</f>
        <v>7504.10594424312</v>
      </c>
      <c r="AI39" s="2" t="n">
        <f aca="false">Entrées!$C$16-M39+Hypothèses!$J$22*1000-AF39+Hypothèses!$J$23</f>
        <v>22685.6868336561</v>
      </c>
      <c r="AJ39" s="2" t="n">
        <f aca="false">AI39/AH39</f>
        <v>3.02310321871984</v>
      </c>
      <c r="AK39" s="2" t="n">
        <f aca="false">AI39/(AH39+I39*(12-Hypothèses!$J$24)/12/Hypothèses!$J$19)</f>
        <v>2.99541267837466</v>
      </c>
      <c r="AL39" s="2" t="n">
        <f aca="false">(AD39+AG39+I39/Hypothèses!$J$19)*(1+G39)</f>
        <v>8003.70883165059</v>
      </c>
      <c r="AM39" s="2" t="n">
        <f aca="false">Entrées!$C$54*K39/Hypothèses!$J$19</f>
        <v>29.2534657366108</v>
      </c>
      <c r="AN39" s="2" t="n">
        <f aca="false">Y39*1000/AC39</f>
        <v>19.6771817559782</v>
      </c>
      <c r="AO39" s="2" t="n">
        <f aca="false">(Entrées!$C$36*(1-S39)+MAX(0,Entrées!$C$30-Entrées!$C$35-Entrées!$C$36)*U39)*1000</f>
        <v>467.407574373318</v>
      </c>
      <c r="AP39" s="2" t="n">
        <f aca="false">-AO39/W39</f>
        <v>-46.2963629820706</v>
      </c>
      <c r="AQ39" s="2" t="n">
        <f aca="false">AL39+AM39+AN39+AP39</f>
        <v>8006.3431161611</v>
      </c>
      <c r="AR39" s="2" t="n">
        <f aca="false">O39*AQ39-Hypothèses!$J$25/Hypothèses!$J$19</f>
        <v>1127.95474222327</v>
      </c>
      <c r="AS39" s="2" t="n">
        <f aca="false">Entrées!$C$79*(1+Q39)+Hypothèses!$J$20</f>
        <v>1520.18386478585</v>
      </c>
      <c r="AT39" s="2" t="n">
        <f aca="false">AI39-AR39+AS39+Y39*1000-AO39+Hypothèses!$J$23</f>
        <v>22794.7307922628</v>
      </c>
      <c r="AU39" s="2" t="n">
        <f aca="false">AT39/AQ39</f>
        <v>2.84708392602495</v>
      </c>
      <c r="AV39" s="2" t="n">
        <f aca="false">Hypothèses!$J$26*AQ39-AT39</f>
        <v>1224.29855622055</v>
      </c>
      <c r="AW39" s="2" t="n">
        <f aca="false">IF(AC39&gt;Hypothèses!$J$26,MAX(0,AV39)/(1-Hypothèses!$J$26/AC39),0)</f>
        <v>1801.59495525661</v>
      </c>
      <c r="AX39" s="2" t="n">
        <f aca="false">AQ39-Entrées!$C$17*1000</f>
        <v>6.34311616110335</v>
      </c>
      <c r="AY39" s="2" t="n">
        <f aca="false">AI39+(Entrées!$C$244-Entrées!$C$13)</f>
        <v>28432.6868336561</v>
      </c>
      <c r="AZ39" s="2" t="n">
        <f aca="false">AA39*AH39</f>
        <v>5417.53997065106</v>
      </c>
      <c r="BA39" s="2" t="n">
        <f aca="false">AZ39/AY39</f>
        <v>0.190539149618398</v>
      </c>
      <c r="BB39" s="2" t="n">
        <f aca="false">AZ39/(Entrées!$C$151/100)-AY39</f>
        <v>1664.75744773868</v>
      </c>
      <c r="BC39" s="2" t="n">
        <f aca="false">AT39+(Entrées!$C$244-Entrées!$C$13)</f>
        <v>28541.7307922628</v>
      </c>
      <c r="BD39" s="2" t="n">
        <f aca="false">AA39*AQ39</f>
        <v>5780.12679629413</v>
      </c>
      <c r="BE39" s="2" t="n">
        <f aca="false">BD39/BC39</f>
        <v>0.202514936405365</v>
      </c>
      <c r="BF39" s="2" t="n">
        <f aca="false">BD39/(Entrées!$C$151/100)-BC39</f>
        <v>3570.08474270461</v>
      </c>
      <c r="BG39" s="2" t="n">
        <f aca="false">MIN(AV39,BF39)</f>
        <v>1224.29855622055</v>
      </c>
      <c r="BH39" s="2" t="n">
        <f aca="false">IF(AC39&gt;Hypothèses!$J$26,MAX(0,BG39)/(1-Hypothèses!$J$26/AC39),0)</f>
        <v>1801.59495525661</v>
      </c>
    </row>
    <row r="40" customFormat="false" ht="15" hidden="false" customHeight="false" outlineLevel="0" collapsed="false">
      <c r="A40" s="2" t="n">
        <v>25</v>
      </c>
      <c r="B40" s="2" t="n">
        <v>0.804550128</v>
      </c>
      <c r="C40" s="2"/>
      <c r="D40" s="2" t="n">
        <v>0.843741539</v>
      </c>
      <c r="E40" s="2" t="n">
        <f aca="false">IF(E$7=E$5,E$6,IF(NORMSDIST(E$9*SQRT($C$11)*NORMSINV($B40)+SQRT(1-E$9^2*$C$11)*NORMSINV(D40))&lt;E$8,E$5+SQRT(NORMSDIST(E$9*SQRT($C$11)*NORMSINV($B40)+SQRT(1-E$9^2*$C$11)*NORMSINV(D40))*(E$7-E$5)*(E$6-E$5)),E$7-SQRT((1-NORMSDIST(E$9*SQRT($C$11)*NORMSINV($B40)+SQRT(1-E$9^2*$C$11)*NORMSINV(D40)))*(E$7-E$5)*(E$7-E$6))))</f>
        <v>0.0578483203898796</v>
      </c>
      <c r="F40" s="2" t="n">
        <v>0.716236235</v>
      </c>
      <c r="G40" s="2" t="n">
        <f aca="false">IF(G$7=G$5,G$6,IF(NORMSDIST(G$9*SQRT($C$11)*NORMSINV($B40)+SQRT(1-G$9^2*$C$11)*NORMSINV(F40))&lt;G$8,G$5+SQRT(NORMSDIST(G$9*SQRT($C$11)*NORMSINV($B40)+SQRT(1-G$9^2*$C$11)*NORMSINV(F40))*(G$7-G$5)*(G$6-G$5)),G$7-SQRT((1-NORMSDIST(G$9*SQRT($C$11)*NORMSINV($B40)+SQRT(1-G$9^2*$C$11)*NORMSINV(F40)))*(G$7-G$5)*(G$7-G$6))))</f>
        <v>0.0614566883256398</v>
      </c>
      <c r="H40" s="2" t="n">
        <v>0.631298984</v>
      </c>
      <c r="I40" s="2" t="n">
        <f aca="false">IF(I$7=I$5,I$6,IF(NORMSDIST(I$9*SQRT($C$11)*NORMSINV($B40)+SQRT(1-I$9^2*$C$11)*NORMSINV(H40))&lt;I$8,I$5+SQRT(NORMSDIST(I$9*SQRT($C$11)*NORMSINV($B40)+SQRT(1-I$9^2*$C$11)*NORMSINV(H40))*(I$7-I$5)*(I$6-I$5)),I$7-SQRT((1-NORMSDIST(I$9*SQRT($C$11)*NORMSINV($B40)+SQRT(1-I$9^2*$C$11)*NORMSINV(H40)))*(I$7-I$5)*(I$7-I$6))))</f>
        <v>207.002366036007</v>
      </c>
      <c r="J40" s="2" t="n">
        <v>0.211020531</v>
      </c>
      <c r="K40" s="2" t="n">
        <f aca="false">IF(K$7=K$5,K$6,IF(NORMSDIST(K$9*SQRT($C$11)*NORMSINV($B40)+SQRT(1-K$9^2*$C$11)*NORMSINV(J40))&lt;K$8,K$5+SQRT(NORMSDIST(K$9*SQRT($C$11)*NORMSINV($B40)+SQRT(1-K$9^2*$C$11)*NORMSINV(J40))*(K$7-K$5)*(K$6-K$5)),K$7-SQRT((1-NORMSDIST(K$9*SQRT($C$11)*NORMSINV($B40)+SQRT(1-K$9^2*$C$11)*NORMSINV(J40)))*(K$7-K$5)*(K$7-K$6))))</f>
        <v>0.241972996751309</v>
      </c>
      <c r="L40" s="2" t="n">
        <v>0.736278913</v>
      </c>
      <c r="M40" s="2" t="n">
        <f aca="false">IF(M$7=M$5,M$6,IF(NORMSDIST(M$9*SQRT($C$11)*NORMSINV($B40)+SQRT(1-M$9^2*$C$11)*NORMSINV(L40))&lt;M$8,M$5+SQRT(NORMSDIST(M$9*SQRT($C$11)*NORMSINV($B40)+SQRT(1-M$9^2*$C$11)*NORMSINV(L40))*(M$7-M$5)*(M$6-M$5)),M$7-SQRT((1-NORMSDIST(M$9*SQRT($C$11)*NORMSINV($B40)+SQRT(1-M$9^2*$C$11)*NORMSINV(L40)))*(M$7-M$5)*(M$7-M$6))))</f>
        <v>1682.25665493072</v>
      </c>
      <c r="N40" s="2" t="n">
        <v>0.876232593</v>
      </c>
      <c r="O40" s="2" t="n">
        <f aca="false">IF(O$7=O$5,O$6,IF(NORMSDIST(O$9*SQRT($C$11)*NORMSINV($B40)+SQRT(1-O$9^2*$C$11)*NORMSINV(N40))&lt;O$8,O$5+SQRT(NORMSDIST(O$9*SQRT($C$11)*NORMSINV($B40)+SQRT(1-O$9^2*$C$11)*NORMSINV(N40))*(O$7-O$5)*(O$6-O$5)),O$7-SQRT((1-NORMSDIST(O$9*SQRT($C$11)*NORMSINV($B40)+SQRT(1-O$9^2*$C$11)*NORMSINV(N40)))*(O$7-O$5)*(O$7-O$6))))</f>
        <v>0.181051982733576</v>
      </c>
      <c r="P40" s="2" t="n">
        <v>0.257504977</v>
      </c>
      <c r="Q40" s="2" t="n">
        <f aca="false">IF(Q$7=Q$5,Q$6,IF(NORMSDIST(Q$9*SQRT($C$11)*NORMSINV($B40)+SQRT(1-Q$9^2*$C$11)*NORMSINV(P40))&lt;Q$8,Q$5+SQRT(NORMSDIST(Q$9*SQRT($C$11)*NORMSINV($B40)+SQRT(1-Q$9^2*$C$11)*NORMSINV(P40))*(Q$7-Q$5)*(Q$6-Q$5)),Q$7-SQRT((1-NORMSDIST(Q$9*SQRT($C$11)*NORMSINV($B40)+SQRT(1-Q$9^2*$C$11)*NORMSINV(P40)))*(Q$7-Q$5)*(Q$7-Q$6))))</f>
        <v>0.0687056775986912</v>
      </c>
      <c r="R40" s="2" t="n">
        <v>0.315148764</v>
      </c>
      <c r="S40" s="2" t="n">
        <f aca="false">IF(S$7=S$5,S$6,IF(NORMSDIST(S$9*SQRT($C$11)*NORMSINV($B40)+SQRT(1-S$9^2*$C$11)*NORMSINV(R40))&lt;S$8,S$5+SQRT(NORMSDIST(S$9*SQRT($C$11)*NORMSINV($B40)+SQRT(1-S$9^2*$C$11)*NORMSINV(R40))*(S$7-S$5)*(S$6-S$5)),S$7-SQRT((1-NORMSDIST(S$9*SQRT($C$11)*NORMSINV($B40)+SQRT(1-S$9^2*$C$11)*NORMSINV(R40)))*(S$7-S$5)*(S$7-S$6))))</f>
        <v>0.534932099524066</v>
      </c>
      <c r="T40" s="2" t="n">
        <v>0.823017481</v>
      </c>
      <c r="U40" s="2" t="n">
        <f aca="false">IF(U$7=U$5,U$6,IF(NORMSDIST(U$9*SQRT($C$11)*NORMSINV($B40)+SQRT(1-U$9^2*$C$11)*NORMSINV(T40))&lt;U$8,U$5+SQRT(NORMSDIST(U$9*SQRT($C$11)*NORMSINV($B40)+SQRT(1-U$9^2*$C$11)*NORMSINV(T40))*(U$7-U$5)*(U$6-U$5)),U$7-SQRT((1-NORMSDIST(U$9*SQRT($C$11)*NORMSINV($B40)+SQRT(1-U$9^2*$C$11)*NORMSINV(T40)))*(U$7-U$5)*(U$7-U$6))))</f>
        <v>0.772271324019073</v>
      </c>
      <c r="V40" s="2" t="n">
        <v>0.274306049</v>
      </c>
      <c r="W40" s="2" t="n">
        <f aca="false">IF(W$7=W$5,W$6,IF(NORMSDIST(W$9*SQRT($C$11)*NORMSINV($B40)+SQRT(1-W$9^2*$C$11)*NORMSINV(V40))&lt;W$8,W$5+SQRT(NORMSDIST(W$9*SQRT($C$11)*NORMSINV($B40)+SQRT(1-W$9^2*$C$11)*NORMSINV(V40))*(W$7-W$5)*(W$6-W$5)),W$7-SQRT((1-NORMSDIST(W$9*SQRT($C$11)*NORMSINV($B40)+SQRT(1-W$9^2*$C$11)*NORMSINV(V40)))*(W$7-W$5)*(W$7-W$6))))</f>
        <v>10.0631724537948</v>
      </c>
      <c r="X40" s="2" t="n">
        <v>0.625174944</v>
      </c>
      <c r="Y40" s="2" t="n">
        <f aca="false">IF(Y$7=Y$5,Y$6,IF(NORMSDIST(Y$9*SQRT($C$11)*NORMSINV($B40)+SQRT(1-Y$9^2*$C$11)*NORMSINV(X40))&lt;Y$8,Y$5+SQRT(NORMSDIST(Y$9*SQRT($C$11)*NORMSINV($B40)+SQRT(1-Y$9^2*$C$11)*NORMSINV(X40))*(Y$7-Y$5)*(Y$6-Y$5)),Y$7-SQRT((1-NORMSDIST(Y$9*SQRT($C$11)*NORMSINV($B40)+SQRT(1-Y$9^2*$C$11)*NORMSINV(X40)))*(Y$7-Y$5)*(Y$7-Y$6))))</f>
        <v>0.567088313856048</v>
      </c>
      <c r="Z40" s="2" t="n">
        <v>0.63736544</v>
      </c>
      <c r="AA40" s="2" t="n">
        <f aca="false">IF(AA$7=AA$5,AA$6,IF(NORMSDIST(AA$9*SQRT($C$11)*NORMSINV($B40)+SQRT(1-AA$9^2*$C$11)*NORMSINV(Z40))&lt;AA$8,AA$5+SQRT(NORMSDIST(AA$9*SQRT($C$11)*NORMSINV($B40)+SQRT(1-AA$9^2*$C$11)*NORMSINV(Z40))*(AA$7-AA$5)*(AA$6-AA$5)),AA$7-SQRT((1-NORMSDIST(AA$9*SQRT($C$11)*NORMSINV($B40)+SQRT(1-AA$9^2*$C$11)*NORMSINV(Z40)))*(AA$7-AA$5)*(AA$7-AA$6))))</f>
        <v>0.737535896106019</v>
      </c>
      <c r="AB40" s="2" t="n">
        <v>0.313660006</v>
      </c>
      <c r="AC40" s="2" t="n">
        <f aca="false">IF(AC$7=AC$5,AC$6,IF(NORMSDIST(AC$9*SQRT($C$11)*NORMSINV($B40)+SQRT(1-AC$9^2*$C$11)*NORMSINV(AB40))&lt;AC$8,AC$5+SQRT(NORMSDIST(AC$9*SQRT($C$11)*NORMSINV($B40)+SQRT(1-AC$9^2*$C$11)*NORMSINV(AB40))*(AC$7-AC$5)*(AC$6-AC$5)),AC$7-SQRT((1-NORMSDIST(AC$9*SQRT($C$11)*NORMSINV($B40)+SQRT(1-AC$9^2*$C$11)*NORMSINV(AB40)))*(AC$7-AC$5)*(AC$7-AC$6))))</f>
        <v>9.61167348367827</v>
      </c>
      <c r="AD40" s="2" t="n">
        <f aca="false">Entrées!$C$8*(1+E40)</f>
        <v>7457.83065874865</v>
      </c>
      <c r="AE40" s="2" t="n">
        <f aca="false">I40*Hypothèses!$J$24/12/Hypothèses!$J$19</f>
        <v>102.693211253616</v>
      </c>
      <c r="AF40" s="2" t="n">
        <f aca="false">Entrées!$C$36*S40*1000</f>
        <v>267.466049762033</v>
      </c>
      <c r="AG40" s="2" t="n">
        <f aca="false">-AF40/W40</f>
        <v>-26.5787008013732</v>
      </c>
      <c r="AH40" s="2" t="n">
        <f aca="false">AD40+AE40+AG40</f>
        <v>7533.94516920089</v>
      </c>
      <c r="AI40" s="2" t="n">
        <f aca="false">Entrées!$C$16-M40+Hypothèses!$J$22*1000-AF40+Hypothèses!$J$23</f>
        <v>22598.2772953073</v>
      </c>
      <c r="AJ40" s="2" t="n">
        <f aca="false">AI40/AH40</f>
        <v>2.99952770929234</v>
      </c>
      <c r="AK40" s="2" t="n">
        <f aca="false">AI40/(AH40+I40*(12-Hypothèses!$J$24)/12/Hypothèses!$J$19)</f>
        <v>2.97060518605429</v>
      </c>
      <c r="AL40" s="2" t="n">
        <f aca="false">(AD40+AG40+I40/Hypothèses!$J$19)*(1+G40)</f>
        <v>8074.81677213464</v>
      </c>
      <c r="AM40" s="2" t="n">
        <f aca="false">Entrées!$C$54*K40/Hypothèses!$J$19</f>
        <v>24.6943602974303</v>
      </c>
      <c r="AN40" s="2" t="n">
        <f aca="false">Y40*1000/AC40</f>
        <v>58.9999561282465</v>
      </c>
      <c r="AO40" s="2" t="n">
        <f aca="false">(Entrées!$C$36*(1-S40)+MAX(0,Entrées!$C$30-Entrées!$C$35-Entrées!$C$36)*U40)*1000</f>
        <v>1313.71380386467</v>
      </c>
      <c r="AP40" s="2" t="n">
        <f aca="false">-AO40/W40</f>
        <v>-130.546684944196</v>
      </c>
      <c r="AQ40" s="2" t="n">
        <f aca="false">AL40+AM40+AN40+AP40</f>
        <v>8027.96440361612</v>
      </c>
      <c r="AR40" s="2" t="n">
        <f aca="false">O40*AQ40-Hypothèses!$J$25/Hypothèses!$J$19</f>
        <v>1434.34371032764</v>
      </c>
      <c r="AS40" s="2" t="n">
        <f aca="false">Entrées!$C$79*(1+Q40)+Hypothèses!$J$20</f>
        <v>1469.50753968096</v>
      </c>
      <c r="AT40" s="2" t="n">
        <f aca="false">AI40-AR40+AS40+Y40*1000-AO40+Hypothèses!$J$23</f>
        <v>21886.815634652</v>
      </c>
      <c r="AU40" s="2" t="n">
        <f aca="false">AT40/AQ40</f>
        <v>2.72632195837755</v>
      </c>
      <c r="AV40" s="2" t="n">
        <f aca="false">Hypothèses!$J$26*AQ40-AT40</f>
        <v>2197.07757619641</v>
      </c>
      <c r="AW40" s="2" t="n">
        <f aca="false">IF(AC40&gt;Hypothèses!$J$26,MAX(0,AV40)/(1-Hypothèses!$J$26/AC40),0)</f>
        <v>3193.98596026295</v>
      </c>
      <c r="AX40" s="2" t="n">
        <f aca="false">AQ40-Entrées!$C$17*1000</f>
        <v>27.9644036161208</v>
      </c>
      <c r="AY40" s="2" t="n">
        <f aca="false">AI40+(Entrées!$C$244-Entrées!$C$13)</f>
        <v>28345.2772953073</v>
      </c>
      <c r="AZ40" s="2" t="n">
        <f aca="false">AA40*AH40</f>
        <v>5556.55500158019</v>
      </c>
      <c r="BA40" s="2" t="n">
        <f aca="false">AZ40/AY40</f>
        <v>0.196031068727633</v>
      </c>
      <c r="BB40" s="2" t="n">
        <f aca="false">AZ40/(Entrées!$C$151/100)-AY40</f>
        <v>2524.4727134716</v>
      </c>
      <c r="BC40" s="2" t="n">
        <f aca="false">AT40+(Entrées!$C$244-Entrées!$C$13)</f>
        <v>27633.815634652</v>
      </c>
      <c r="BD40" s="2" t="n">
        <f aca="false">AA40*AQ40</f>
        <v>5920.91192032824</v>
      </c>
      <c r="BE40" s="2" t="n">
        <f aca="false">BD40/BC40</f>
        <v>0.214263277956577</v>
      </c>
      <c r="BF40" s="2" t="n">
        <f aca="false">BD40/(Entrées!$C$151/100)-BC40</f>
        <v>5260.13947828269</v>
      </c>
      <c r="BG40" s="2" t="n">
        <f aca="false">MIN(AV40,BF40)</f>
        <v>2197.07757619641</v>
      </c>
      <c r="BH40" s="2" t="n">
        <f aca="false">IF(AC40&gt;Hypothèses!$J$26,MAX(0,BG40)/(1-Hypothèses!$J$26/AC40),0)</f>
        <v>3193.98596026295</v>
      </c>
    </row>
    <row r="41" customFormat="false" ht="15" hidden="false" customHeight="false" outlineLevel="0" collapsed="false">
      <c r="A41" s="2" t="n">
        <v>26</v>
      </c>
      <c r="B41" s="2" t="n">
        <v>0.292677663</v>
      </c>
      <c r="C41" s="2"/>
      <c r="D41" s="2" t="n">
        <v>0.121958929</v>
      </c>
      <c r="E41" s="2" t="n">
        <f aca="false">IF(E$7=E$5,E$6,IF(NORMSDIST(E$9*SQRT($C$11)*NORMSINV($B41)+SQRT(1-E$9^2*$C$11)*NORMSINV(D41))&lt;E$8,E$5+SQRT(NORMSDIST(E$9*SQRT($C$11)*NORMSINV($B41)+SQRT(1-E$9^2*$C$11)*NORMSINV(D41))*(E$7-E$5)*(E$6-E$5)),E$7-SQRT((1-NORMSDIST(E$9*SQRT($C$11)*NORMSINV($B41)+SQRT(1-E$9^2*$C$11)*NORMSINV(D41)))*(E$7-E$5)*(E$7-E$6))))</f>
        <v>0.0523030311416124</v>
      </c>
      <c r="F41" s="2" t="n">
        <v>0.864000989</v>
      </c>
      <c r="G41" s="2" t="n">
        <f aca="false">IF(G$7=G$5,G$6,IF(NORMSDIST(G$9*SQRT($C$11)*NORMSINV($B41)+SQRT(1-G$9^2*$C$11)*NORMSINV(F41))&lt;G$8,G$5+SQRT(NORMSDIST(G$9*SQRT($C$11)*NORMSINV($B41)+SQRT(1-G$9^2*$C$11)*NORMSINV(F41))*(G$7-G$5)*(G$6-G$5)),G$7-SQRT((1-NORMSDIST(G$9*SQRT($C$11)*NORMSINV($B41)+SQRT(1-G$9^2*$C$11)*NORMSINV(F41)))*(G$7-G$5)*(G$7-G$6))))</f>
        <v>0.0582560084789122</v>
      </c>
      <c r="H41" s="2" t="n">
        <v>0.662177925</v>
      </c>
      <c r="I41" s="2" t="n">
        <f aca="false">IF(I$7=I$5,I$6,IF(NORMSDIST(I$9*SQRT($C$11)*NORMSINV($B41)+SQRT(1-I$9^2*$C$11)*NORMSINV(H41))&lt;I$8,I$5+SQRT(NORMSDIST(I$9*SQRT($C$11)*NORMSINV($B41)+SQRT(1-I$9^2*$C$11)*NORMSINV(H41))*(I$7-I$5)*(I$6-I$5)),I$7-SQRT((1-NORMSDIST(I$9*SQRT($C$11)*NORMSINV($B41)+SQRT(1-I$9^2*$C$11)*NORMSINV(H41)))*(I$7-I$5)*(I$7-I$6))))</f>
        <v>199.83213435161</v>
      </c>
      <c r="J41" s="2" t="n">
        <v>0.570150377</v>
      </c>
      <c r="K41" s="2" t="n">
        <f aca="false">IF(K$7=K$5,K$6,IF(NORMSDIST(K$9*SQRT($C$11)*NORMSINV($B41)+SQRT(1-K$9^2*$C$11)*NORMSINV(J41))&lt;K$8,K$5+SQRT(NORMSDIST(K$9*SQRT($C$11)*NORMSINV($B41)+SQRT(1-K$9^2*$C$11)*NORMSINV(J41))*(K$7-K$5)*(K$6-K$5)),K$7-SQRT((1-NORMSDIST(K$9*SQRT($C$11)*NORMSINV($B41)+SQRT(1-K$9^2*$C$11)*NORMSINV(J41)))*(K$7-K$5)*(K$7-K$6))))</f>
        <v>0.228462301074983</v>
      </c>
      <c r="L41" s="2" t="n">
        <v>0.958651139</v>
      </c>
      <c r="M41" s="2" t="n">
        <f aca="false">IF(M$7=M$5,M$6,IF(NORMSDIST(M$9*SQRT($C$11)*NORMSINV($B41)+SQRT(1-M$9^2*$C$11)*NORMSINV(L41))&lt;M$8,M$5+SQRT(NORMSDIST(M$9*SQRT($C$11)*NORMSINV($B41)+SQRT(1-M$9^2*$C$11)*NORMSINV(L41))*(M$7-M$5)*(M$6-M$5)),M$7-SQRT((1-NORMSDIST(M$9*SQRT($C$11)*NORMSINV($B41)+SQRT(1-M$9^2*$C$11)*NORMSINV(L41)))*(M$7-M$5)*(M$7-M$6))))</f>
        <v>1679.43420867383</v>
      </c>
      <c r="N41" s="2" t="n">
        <v>0.032448492</v>
      </c>
      <c r="O41" s="2" t="n">
        <f aca="false">IF(O$7=O$5,O$6,IF(NORMSDIST(O$9*SQRT($C$11)*NORMSINV($B41)+SQRT(1-O$9^2*$C$11)*NORMSINV(N41))&lt;O$8,O$5+SQRT(NORMSDIST(O$9*SQRT($C$11)*NORMSINV($B41)+SQRT(1-O$9^2*$C$11)*NORMSINV(N41))*(O$7-O$5)*(O$6-O$5)),O$7-SQRT((1-NORMSDIST(O$9*SQRT($C$11)*NORMSINV($B41)+SQRT(1-O$9^2*$C$11)*NORMSINV(N41)))*(O$7-O$5)*(O$7-O$6))))</f>
        <v>0.147379539349718</v>
      </c>
      <c r="P41" s="2" t="n">
        <v>0.064073197</v>
      </c>
      <c r="Q41" s="2" t="n">
        <f aca="false">IF(Q$7=Q$5,Q$6,IF(NORMSDIST(Q$9*SQRT($C$11)*NORMSINV($B41)+SQRT(1-Q$9^2*$C$11)*NORMSINV(P41))&lt;Q$8,Q$5+SQRT(NORMSDIST(Q$9*SQRT($C$11)*NORMSINV($B41)+SQRT(1-Q$9^2*$C$11)*NORMSINV(P41))*(Q$7-Q$5)*(Q$6-Q$5)),Q$7-SQRT((1-NORMSDIST(Q$9*SQRT($C$11)*NORMSINV($B41)+SQRT(1-Q$9^2*$C$11)*NORMSINV(P41)))*(Q$7-Q$5)*(Q$7-Q$6))))</f>
        <v>0.0543190163908</v>
      </c>
      <c r="R41" s="2" t="n">
        <v>0.613822195</v>
      </c>
      <c r="S41" s="2" t="n">
        <f aca="false">IF(S$7=S$5,S$6,IF(NORMSDIST(S$9*SQRT($C$11)*NORMSINV($B41)+SQRT(1-S$9^2*$C$11)*NORMSINV(R41))&lt;S$8,S$5+SQRT(NORMSDIST(S$9*SQRT($C$11)*NORMSINV($B41)+SQRT(1-S$9^2*$C$11)*NORMSINV(R41))*(S$7-S$5)*(S$6-S$5)),S$7-SQRT((1-NORMSDIST(S$9*SQRT($C$11)*NORMSINV($B41)+SQRT(1-S$9^2*$C$11)*NORMSINV(R41)))*(S$7-S$5)*(S$7-S$6))))</f>
        <v>0.475320092841641</v>
      </c>
      <c r="T41" s="2" t="n">
        <v>0.21422337</v>
      </c>
      <c r="U41" s="2" t="n">
        <f aca="false">IF(U$7=U$5,U$6,IF(NORMSDIST(U$9*SQRT($C$11)*NORMSINV($B41)+SQRT(1-U$9^2*$C$11)*NORMSINV(T41))&lt;U$8,U$5+SQRT(NORMSDIST(U$9*SQRT($C$11)*NORMSINV($B41)+SQRT(1-U$9^2*$C$11)*NORMSINV(T41))*(U$7-U$5)*(U$6-U$5)),U$7-SQRT((1-NORMSDIST(U$9*SQRT($C$11)*NORMSINV($B41)+SQRT(1-U$9^2*$C$11)*NORMSINV(T41)))*(U$7-U$5)*(U$7-U$6))))</f>
        <v>0.290624606263718</v>
      </c>
      <c r="V41" s="2" t="n">
        <v>0.606893542</v>
      </c>
      <c r="W41" s="2" t="n">
        <f aca="false">IF(W$7=W$5,W$6,IF(NORMSDIST(W$9*SQRT($C$11)*NORMSINV($B41)+SQRT(1-W$9^2*$C$11)*NORMSINV(V41))&lt;W$8,W$5+SQRT(NORMSDIST(W$9*SQRT($C$11)*NORMSINV($B41)+SQRT(1-W$9^2*$C$11)*NORMSINV(V41))*(W$7-W$5)*(W$6-W$5)),W$7-SQRT((1-NORMSDIST(W$9*SQRT($C$11)*NORMSINV($B41)+SQRT(1-W$9^2*$C$11)*NORMSINV(V41)))*(W$7-W$5)*(W$7-W$6))))</f>
        <v>9.88959675358418</v>
      </c>
      <c r="X41" s="2" t="n">
        <v>0.686604743</v>
      </c>
      <c r="Y41" s="2" t="n">
        <f aca="false">IF(Y$7=Y$5,Y$6,IF(NORMSDIST(Y$9*SQRT($C$11)*NORMSINV($B41)+SQRT(1-Y$9^2*$C$11)*NORMSINV(X41))&lt;Y$8,Y$5+SQRT(NORMSDIST(Y$9*SQRT($C$11)*NORMSINV($B41)+SQRT(1-Y$9^2*$C$11)*NORMSINV(X41))*(Y$7-Y$5)*(Y$6-Y$5)),Y$7-SQRT((1-NORMSDIST(Y$9*SQRT($C$11)*NORMSINV($B41)+SQRT(1-Y$9^2*$C$11)*NORMSINV(X41)))*(Y$7-Y$5)*(Y$7-Y$6))))</f>
        <v>0.604149487179819</v>
      </c>
      <c r="Z41" s="2" t="n">
        <v>0.182077005</v>
      </c>
      <c r="AA41" s="2" t="n">
        <f aca="false">IF(AA$7=AA$5,AA$6,IF(NORMSDIST(AA$9*SQRT($C$11)*NORMSINV($B41)+SQRT(1-AA$9^2*$C$11)*NORMSINV(Z41))&lt;AA$8,AA$5+SQRT(NORMSDIST(AA$9*SQRT($C$11)*NORMSINV($B41)+SQRT(1-AA$9^2*$C$11)*NORMSINV(Z41))*(AA$7-AA$5)*(AA$6-AA$5)),AA$7-SQRT((1-NORMSDIST(AA$9*SQRT($C$11)*NORMSINV($B41)+SQRT(1-AA$9^2*$C$11)*NORMSINV(Z41)))*(AA$7-AA$5)*(AA$7-AA$6))))</f>
        <v>0.713086628820657</v>
      </c>
      <c r="AB41" s="2" t="n">
        <v>0.939706557</v>
      </c>
      <c r="AC41" s="2" t="n">
        <f aca="false">IF(AC$7=AC$5,AC$6,IF(NORMSDIST(AC$9*SQRT($C$11)*NORMSINV($B41)+SQRT(1-AC$9^2*$C$11)*NORMSINV(AB41))&lt;AC$8,AC$5+SQRT(NORMSDIST(AC$9*SQRT($C$11)*NORMSINV($B41)+SQRT(1-AC$9^2*$C$11)*NORMSINV(AB41))*(AC$7-AC$5)*(AC$6-AC$5)),AC$7-SQRT((1-NORMSDIST(AC$9*SQRT($C$11)*NORMSINV($B41)+SQRT(1-AC$9^2*$C$11)*NORMSINV(AB41)))*(AC$7-AC$5)*(AC$7-AC$6))))</f>
        <v>10.0807138052579</v>
      </c>
      <c r="AD41" s="2" t="n">
        <f aca="false">Entrées!$C$8*(1+E41)</f>
        <v>7418.73636954837</v>
      </c>
      <c r="AE41" s="2" t="n">
        <f aca="false">I41*Hypothèses!$J$24/12/Hypothèses!$J$19</f>
        <v>99.1360822642064</v>
      </c>
      <c r="AF41" s="2" t="n">
        <f aca="false">Entrées!$C$36*S41*1000</f>
        <v>237.66004642082</v>
      </c>
      <c r="AG41" s="2" t="n">
        <f aca="false">-AF41/W41</f>
        <v>-24.031318196537</v>
      </c>
      <c r="AH41" s="2" t="n">
        <f aca="false">AD41+AE41+AG41</f>
        <v>7493.84113361604</v>
      </c>
      <c r="AI41" s="2" t="n">
        <f aca="false">Entrées!$C$16-M41+Hypothèses!$J$22*1000-AF41+Hypothèses!$J$23</f>
        <v>22630.9057449053</v>
      </c>
      <c r="AJ41" s="2" t="n">
        <f aca="false">AI41/AH41</f>
        <v>3.01993401533256</v>
      </c>
      <c r="AK41" s="2" t="n">
        <f aca="false">AI41/(AH41+I41*(12-Hypothèses!$J$24)/12/Hypothèses!$J$19)</f>
        <v>2.9916649023958</v>
      </c>
      <c r="AL41" s="2" t="n">
        <f aca="false">(AD41+AG41+I41/Hypothèses!$J$19)*(1+G41)</f>
        <v>8005.33908817356</v>
      </c>
      <c r="AM41" s="2" t="n">
        <f aca="false">Entrées!$C$54*K41/Hypothèses!$J$19</f>
        <v>23.315537075916</v>
      </c>
      <c r="AN41" s="2" t="n">
        <f aca="false">Y41*1000/AC41</f>
        <v>59.9312210276923</v>
      </c>
      <c r="AO41" s="2" t="n">
        <f aca="false">(Entrées!$C$36*(1-S41)+MAX(0,Entrées!$C$30-Entrées!$C$35-Entrées!$C$36)*U41)*1000</f>
        <v>669.214402348384</v>
      </c>
      <c r="AP41" s="2" t="n">
        <f aca="false">-AO41/W41</f>
        <v>-67.6685226933897</v>
      </c>
      <c r="AQ41" s="2" t="n">
        <f aca="false">AL41+AM41+AN41+AP41</f>
        <v>8020.91732358378</v>
      </c>
      <c r="AR41" s="2" t="n">
        <f aca="false">O41*AQ41-Hypothèses!$J$25/Hypothèses!$J$19</f>
        <v>1162.98393805032</v>
      </c>
      <c r="AS41" s="2" t="n">
        <f aca="false">Entrées!$C$79*(1+Q41)+Hypothèses!$J$20</f>
        <v>1453.69659901349</v>
      </c>
      <c r="AT41" s="2" t="n">
        <f aca="false">AI41-AR41+AS41+Y41*1000-AO41+Hypothèses!$J$23</f>
        <v>22856.5534906999</v>
      </c>
      <c r="AU41" s="2" t="n">
        <f aca="false">AT41/AQ41</f>
        <v>2.84961838759953</v>
      </c>
      <c r="AV41" s="2" t="n">
        <f aca="false">Hypothèses!$J$26*AQ41-AT41</f>
        <v>1206.1984800514</v>
      </c>
      <c r="AW41" s="2" t="n">
        <f aca="false">IF(AC41&gt;Hypothèses!$J$26,MAX(0,AV41)/(1-Hypothèses!$J$26/AC41),0)</f>
        <v>1717.24800693203</v>
      </c>
      <c r="AX41" s="2" t="n">
        <f aca="false">AQ41-Entrées!$C$17*1000</f>
        <v>20.9173235837807</v>
      </c>
      <c r="AY41" s="2" t="n">
        <f aca="false">AI41+(Entrées!$C$244-Entrées!$C$13)</f>
        <v>28377.9057449053</v>
      </c>
      <c r="AZ41" s="2" t="n">
        <f aca="false">AA41*AH41</f>
        <v>5343.75791088783</v>
      </c>
      <c r="BA41" s="2" t="n">
        <f aca="false">AZ41/AY41</f>
        <v>0.188306986390185</v>
      </c>
      <c r="BB41" s="2" t="n">
        <f aca="false">AZ41/(Entrées!$C$151/100)-AY41</f>
        <v>1309.63820447149</v>
      </c>
      <c r="BC41" s="2" t="n">
        <f aca="false">AT41+(Entrées!$C$244-Entrées!$C$13)</f>
        <v>28603.5534906999</v>
      </c>
      <c r="BD41" s="2" t="n">
        <f aca="false">AA41*AQ41</f>
        <v>5719.60889432357</v>
      </c>
      <c r="BE41" s="2" t="n">
        <f aca="false">BD41/BC41</f>
        <v>0.199961480177042</v>
      </c>
      <c r="BF41" s="2" t="n">
        <f aca="false">BD41/(Entrées!$C$151/100)-BC41</f>
        <v>3172.05147776431</v>
      </c>
      <c r="BG41" s="2" t="n">
        <f aca="false">MIN(AV41,BF41)</f>
        <v>1206.1984800514</v>
      </c>
      <c r="BH41" s="2" t="n">
        <f aca="false">IF(AC41&gt;Hypothèses!$J$26,MAX(0,BG41)/(1-Hypothèses!$J$26/AC41),0)</f>
        <v>1717.24800693203</v>
      </c>
    </row>
    <row r="42" customFormat="false" ht="15" hidden="false" customHeight="false" outlineLevel="0" collapsed="false">
      <c r="A42" s="2" t="n">
        <v>27</v>
      </c>
      <c r="B42" s="2" t="n">
        <v>0.245682154</v>
      </c>
      <c r="C42" s="2"/>
      <c r="D42" s="2" t="n">
        <v>0.630183414</v>
      </c>
      <c r="E42" s="2" t="n">
        <f aca="false">IF(E$7=E$5,E$6,IF(NORMSDIST(E$9*SQRT($C$11)*NORMSINV($B42)+SQRT(1-E$9^2*$C$11)*NORMSINV(D42))&lt;E$8,E$5+SQRT(NORMSDIST(E$9*SQRT($C$11)*NORMSINV($B42)+SQRT(1-E$9^2*$C$11)*NORMSINV(D42))*(E$7-E$5)*(E$6-E$5)),E$7-SQRT((1-NORMSDIST(E$9*SQRT($C$11)*NORMSINV($B42)+SQRT(1-E$9^2*$C$11)*NORMSINV(D42)))*(E$7-E$5)*(E$7-E$6))))</f>
        <v>0.0546338114065912</v>
      </c>
      <c r="F42" s="2" t="n">
        <v>0.028334346</v>
      </c>
      <c r="G42" s="2" t="n">
        <f aca="false">IF(G$7=G$5,G$6,IF(NORMSDIST(G$9*SQRT($C$11)*NORMSINV($B42)+SQRT(1-G$9^2*$C$11)*NORMSINV(F42))&lt;G$8,G$5+SQRT(NORMSDIST(G$9*SQRT($C$11)*NORMSINV($B42)+SQRT(1-G$9^2*$C$11)*NORMSINV(F42))*(G$7-G$5)*(G$6-G$5)),G$7-SQRT((1-NORMSDIST(G$9*SQRT($C$11)*NORMSINV($B42)+SQRT(1-G$9^2*$C$11)*NORMSINV(F42)))*(G$7-G$5)*(G$7-G$6))))</f>
        <v>0.0435478011920425</v>
      </c>
      <c r="H42" s="2" t="n">
        <v>0.220873727</v>
      </c>
      <c r="I42" s="2" t="n">
        <f aca="false">IF(I$7=I$5,I$6,IF(NORMSDIST(I$9*SQRT($C$11)*NORMSINV($B42)+SQRT(1-I$9^2*$C$11)*NORMSINV(H42))&lt;I$8,I$5+SQRT(NORMSDIST(I$9*SQRT($C$11)*NORMSINV($B42)+SQRT(1-I$9^2*$C$11)*NORMSINV(H42))*(I$7-I$5)*(I$6-I$5)),I$7-SQRT((1-NORMSDIST(I$9*SQRT($C$11)*NORMSINV($B42)+SQRT(1-I$9^2*$C$11)*NORMSINV(H42)))*(I$7-I$5)*(I$7-I$6))))</f>
        <v>191.000116045421</v>
      </c>
      <c r="J42" s="2" t="n">
        <v>0.433617795</v>
      </c>
      <c r="K42" s="2" t="n">
        <f aca="false">IF(K$7=K$5,K$6,IF(NORMSDIST(K$9*SQRT($C$11)*NORMSINV($B42)+SQRT(1-K$9^2*$C$11)*NORMSINV(J42))&lt;K$8,K$5+SQRT(NORMSDIST(K$9*SQRT($C$11)*NORMSINV($B42)+SQRT(1-K$9^2*$C$11)*NORMSINV(J42))*(K$7-K$5)*(K$6-K$5)),K$7-SQRT((1-NORMSDIST(K$9*SQRT($C$11)*NORMSINV($B42)+SQRT(1-K$9^2*$C$11)*NORMSINV(J42)))*(K$7-K$5)*(K$7-K$6))))</f>
        <v>0.189121687292607</v>
      </c>
      <c r="L42" s="2" t="n">
        <v>0.430382242</v>
      </c>
      <c r="M42" s="2" t="n">
        <f aca="false">IF(M$7=M$5,M$6,IF(NORMSDIST(M$9*SQRT($C$11)*NORMSINV($B42)+SQRT(1-M$9^2*$C$11)*NORMSINV(L42))&lt;M$8,M$5+SQRT(NORMSDIST(M$9*SQRT($C$11)*NORMSINV($B42)+SQRT(1-M$9^2*$C$11)*NORMSINV(L42))*(M$7-M$5)*(M$6-M$5)),M$7-SQRT((1-NORMSDIST(M$9*SQRT($C$11)*NORMSINV($B42)+SQRT(1-M$9^2*$C$11)*NORMSINV(L42)))*(M$7-M$5)*(M$7-M$6))))</f>
        <v>1515.8346996674</v>
      </c>
      <c r="N42" s="2" t="n">
        <v>0.569851612</v>
      </c>
      <c r="O42" s="2" t="n">
        <f aca="false">IF(O$7=O$5,O$6,IF(NORMSDIST(O$9*SQRT($C$11)*NORMSINV($B42)+SQRT(1-O$9^2*$C$11)*NORMSINV(N42))&lt;O$8,O$5+SQRT(NORMSDIST(O$9*SQRT($C$11)*NORMSINV($B42)+SQRT(1-O$9^2*$C$11)*NORMSINV(N42))*(O$7-O$5)*(O$6-O$5)),O$7-SQRT((1-NORMSDIST(O$9*SQRT($C$11)*NORMSINV($B42)+SQRT(1-O$9^2*$C$11)*NORMSINV(N42)))*(O$7-O$5)*(O$7-O$6))))</f>
        <v>0.163427207509416</v>
      </c>
      <c r="P42" s="2" t="n">
        <v>0.444539645</v>
      </c>
      <c r="Q42" s="2" t="n">
        <f aca="false">IF(Q$7=Q$5,Q$6,IF(NORMSDIST(Q$9*SQRT($C$11)*NORMSINV($B42)+SQRT(1-Q$9^2*$C$11)*NORMSINV(P42))&lt;Q$8,Q$5+SQRT(NORMSDIST(Q$9*SQRT($C$11)*NORMSINV($B42)+SQRT(1-Q$9^2*$C$11)*NORMSINV(P42))*(Q$7-Q$5)*(Q$6-Q$5)),Q$7-SQRT((1-NORMSDIST(Q$9*SQRT($C$11)*NORMSINV($B42)+SQRT(1-Q$9^2*$C$11)*NORMSINV(P42)))*(Q$7-Q$5)*(Q$7-Q$6))))</f>
        <v>0.0777164004645194</v>
      </c>
      <c r="R42" s="2" t="n">
        <v>0.814734162</v>
      </c>
      <c r="S42" s="2" t="n">
        <f aca="false">IF(S$7=S$5,S$6,IF(NORMSDIST(S$9*SQRT($C$11)*NORMSINV($B42)+SQRT(1-S$9^2*$C$11)*NORMSINV(R42))&lt;S$8,S$5+SQRT(NORMSDIST(S$9*SQRT($C$11)*NORMSINV($B42)+SQRT(1-S$9^2*$C$11)*NORMSINV(R42))*(S$7-S$5)*(S$6-S$5)),S$7-SQRT((1-NORMSDIST(S$9*SQRT($C$11)*NORMSINV($B42)+SQRT(1-S$9^2*$C$11)*NORMSINV(R42)))*(S$7-S$5)*(S$7-S$6))))</f>
        <v>0.553881763520992</v>
      </c>
      <c r="T42" s="2" t="n">
        <v>0.615326309</v>
      </c>
      <c r="U42" s="2" t="n">
        <f aca="false">IF(U$7=U$5,U$6,IF(NORMSDIST(U$9*SQRT($C$11)*NORMSINV($B42)+SQRT(1-U$9^2*$C$11)*NORMSINV(T42))&lt;U$8,U$5+SQRT(NORMSDIST(U$9*SQRT($C$11)*NORMSINV($B42)+SQRT(1-U$9^2*$C$11)*NORMSINV(T42))*(U$7-U$5)*(U$6-U$5)),U$7-SQRT((1-NORMSDIST(U$9*SQRT($C$11)*NORMSINV($B42)+SQRT(1-U$9^2*$C$11)*NORMSINV(T42)))*(U$7-U$5)*(U$7-U$6))))</f>
        <v>0.456936298918352</v>
      </c>
      <c r="V42" s="2" t="n">
        <v>0.684822362</v>
      </c>
      <c r="W42" s="2" t="n">
        <f aca="false">IF(W$7=W$5,W$6,IF(NORMSDIST(W$9*SQRT($C$11)*NORMSINV($B42)+SQRT(1-W$9^2*$C$11)*NORMSINV(V42))&lt;W$8,W$5+SQRT(NORMSDIST(W$9*SQRT($C$11)*NORMSINV($B42)+SQRT(1-W$9^2*$C$11)*NORMSINV(V42))*(W$7-W$5)*(W$6-W$5)),W$7-SQRT((1-NORMSDIST(W$9*SQRT($C$11)*NORMSINV($B42)+SQRT(1-W$9^2*$C$11)*NORMSINV(V42)))*(W$7-W$5)*(W$7-W$6))))</f>
        <v>9.94955921485093</v>
      </c>
      <c r="X42" s="2" t="n">
        <v>0.041826489</v>
      </c>
      <c r="Y42" s="2" t="n">
        <f aca="false">IF(Y$7=Y$5,Y$6,IF(NORMSDIST(Y$9*SQRT($C$11)*NORMSINV($B42)+SQRT(1-Y$9^2*$C$11)*NORMSINV(X42))&lt;Y$8,Y$5+SQRT(NORMSDIST(Y$9*SQRT($C$11)*NORMSINV($B42)+SQRT(1-Y$9^2*$C$11)*NORMSINV(X42))*(Y$7-Y$5)*(Y$6-Y$5)),Y$7-SQRT((1-NORMSDIST(Y$9*SQRT($C$11)*NORMSINV($B42)+SQRT(1-Y$9^2*$C$11)*NORMSINV(X42)))*(Y$7-Y$5)*(Y$7-Y$6))))</f>
        <v>0.144614122754315</v>
      </c>
      <c r="Z42" s="2" t="n">
        <v>0.285355033</v>
      </c>
      <c r="AA42" s="2" t="n">
        <f aca="false">IF(AA$7=AA$5,AA$6,IF(NORMSDIST(AA$9*SQRT($C$11)*NORMSINV($B42)+SQRT(1-AA$9^2*$C$11)*NORMSINV(Z42))&lt;AA$8,AA$5+SQRT(NORMSDIST(AA$9*SQRT($C$11)*NORMSINV($B42)+SQRT(1-AA$9^2*$C$11)*NORMSINV(Z42))*(AA$7-AA$5)*(AA$6-AA$5)),AA$7-SQRT((1-NORMSDIST(AA$9*SQRT($C$11)*NORMSINV($B42)+SQRT(1-AA$9^2*$C$11)*NORMSINV(Z42)))*(AA$7-AA$5)*(AA$7-AA$6))))</f>
        <v>0.715546765231222</v>
      </c>
      <c r="AB42" s="2" t="n">
        <v>0.624162901</v>
      </c>
      <c r="AC42" s="2" t="n">
        <f aca="false">IF(AC$7=AC$5,AC$6,IF(NORMSDIST(AC$9*SQRT($C$11)*NORMSINV($B42)+SQRT(1-AC$9^2*$C$11)*NORMSINV(AB42))&lt;AC$8,AC$5+SQRT(NORMSDIST(AC$9*SQRT($C$11)*NORMSINV($B42)+SQRT(1-AC$9^2*$C$11)*NORMSINV(AB42))*(AC$7-AC$5)*(AC$6-AC$5)),AC$7-SQRT((1-NORMSDIST(AC$9*SQRT($C$11)*NORMSINV($B42)+SQRT(1-AC$9^2*$C$11)*NORMSINV(AB42)))*(AC$7-AC$5)*(AC$7-AC$6))))</f>
        <v>9.31536964357808</v>
      </c>
      <c r="AD42" s="2" t="n">
        <f aca="false">Entrées!$C$8*(1+E42)</f>
        <v>7435.16837041647</v>
      </c>
      <c r="AE42" s="2" t="n">
        <f aca="false">I42*Hypothèses!$J$24/12/Hypothèses!$J$19</f>
        <v>94.75454625048</v>
      </c>
      <c r="AF42" s="2" t="n">
        <f aca="false">Entrées!$C$36*S42*1000</f>
        <v>276.940881760496</v>
      </c>
      <c r="AG42" s="2" t="n">
        <f aca="false">-AF42/W42</f>
        <v>-27.834487516505</v>
      </c>
      <c r="AH42" s="2" t="n">
        <f aca="false">AD42+AE42+AG42</f>
        <v>7502.08842915044</v>
      </c>
      <c r="AI42" s="2" t="n">
        <f aca="false">Entrées!$C$16-M42+Hypothèses!$J$22*1000-AF42+Hypothèses!$J$23</f>
        <v>22755.2244185721</v>
      </c>
      <c r="AJ42" s="2" t="n">
        <f aca="false">AI42/AH42</f>
        <v>3.0331853101269</v>
      </c>
      <c r="AK42" s="2" t="n">
        <f aca="false">AI42/(AH42+I42*(12-Hypothèses!$J$24)/12/Hypothèses!$J$19)</f>
        <v>3.00606539873287</v>
      </c>
      <c r="AL42" s="2" t="n">
        <f aca="false">(AD42+AG42+I42/Hypothèses!$J$19)*(1+G42)</f>
        <v>7899.41709772581</v>
      </c>
      <c r="AM42" s="2" t="n">
        <f aca="false">Entrées!$C$54*K42/Hypothèses!$J$19</f>
        <v>19.3006622588614</v>
      </c>
      <c r="AN42" s="2" t="n">
        <f aca="false">Y42*1000/AC42</f>
        <v>15.5242495239049</v>
      </c>
      <c r="AO42" s="2" t="n">
        <f aca="false">(Entrées!$C$36*(1-S42)+MAX(0,Entrées!$C$30-Entrées!$C$35-Entrées!$C$36)*U42)*1000</f>
        <v>862.769936725196</v>
      </c>
      <c r="AP42" s="2" t="n">
        <f aca="false">-AO42/W42</f>
        <v>-86.7143878532234</v>
      </c>
      <c r="AQ42" s="2" t="n">
        <f aca="false">AL42+AM42+AN42+AP42</f>
        <v>7847.52762165535</v>
      </c>
      <c r="AR42" s="2" t="n">
        <f aca="false">O42*AQ42-Hypothèses!$J$25/Hypothèses!$J$19</f>
        <v>1263.36436279852</v>
      </c>
      <c r="AS42" s="2" t="n">
        <f aca="false">Entrées!$C$79*(1+Q42)+Hypothèses!$J$20</f>
        <v>1479.41032411051</v>
      </c>
      <c r="AT42" s="2" t="n">
        <f aca="false">AI42-AR42+AS42+Y42*1000-AO42+Hypothèses!$J$23</f>
        <v>22253.1145659132</v>
      </c>
      <c r="AU42" s="2" t="n">
        <f aca="false">AT42/AQ42</f>
        <v>2.83568477089593</v>
      </c>
      <c r="AV42" s="2" t="n">
        <f aca="false">Hypothèses!$J$26*AQ42-AT42</f>
        <v>1289.46829905283</v>
      </c>
      <c r="AW42" s="2" t="n">
        <f aca="false">IF(AC42&gt;Hypothèses!$J$26,MAX(0,AV42)/(1-Hypothèses!$J$26/AC42),0)</f>
        <v>1902.00645841334</v>
      </c>
      <c r="AX42" s="2" t="n">
        <f aca="false">AQ42-Entrées!$C$17*1000</f>
        <v>-152.47237834465</v>
      </c>
      <c r="AY42" s="2" t="n">
        <f aca="false">AI42+(Entrées!$C$244-Entrées!$C$13)</f>
        <v>28502.2244185721</v>
      </c>
      <c r="AZ42" s="2" t="n">
        <f aca="false">AA42*AH42</f>
        <v>5368.09510795718</v>
      </c>
      <c r="BA42" s="2" t="n">
        <f aca="false">AZ42/AY42</f>
        <v>0.188339514457662</v>
      </c>
      <c r="BB42" s="2" t="n">
        <f aca="false">AZ42/(Entrées!$C$151/100)-AY42</f>
        <v>1320.52618119</v>
      </c>
      <c r="BC42" s="2" t="n">
        <f aca="false">AT42+(Entrées!$C$244-Entrées!$C$13)</f>
        <v>28000.1145659132</v>
      </c>
      <c r="BD42" s="2" t="n">
        <f aca="false">AA42*AQ42</f>
        <v>5615.27300473815</v>
      </c>
      <c r="BE42" s="2" t="n">
        <f aca="false">BD42/BC42</f>
        <v>0.200544643898496</v>
      </c>
      <c r="BF42" s="2" t="n">
        <f aca="false">BD42/(Entrées!$C$151/100)-BC42</f>
        <v>3195.84657152095</v>
      </c>
      <c r="BG42" s="2" t="n">
        <f aca="false">MIN(AV42,BF42)</f>
        <v>1289.46829905283</v>
      </c>
      <c r="BH42" s="2" t="n">
        <f aca="false">IF(AC42&gt;Hypothèses!$J$26,MAX(0,BG42)/(1-Hypothèses!$J$26/AC42),0)</f>
        <v>1902.00645841334</v>
      </c>
    </row>
    <row r="43" customFormat="false" ht="15" hidden="false" customHeight="false" outlineLevel="0" collapsed="false">
      <c r="A43" s="2" t="n">
        <v>28</v>
      </c>
      <c r="B43" s="2" t="n">
        <v>0.412203882</v>
      </c>
      <c r="C43" s="2"/>
      <c r="D43" s="2" t="n">
        <v>0.016317076</v>
      </c>
      <c r="E43" s="2" t="n">
        <f aca="false">IF(E$7=E$5,E$6,IF(NORMSDIST(E$9*SQRT($C$11)*NORMSINV($B43)+SQRT(1-E$9^2*$C$11)*NORMSINV(D43))&lt;E$8,E$5+SQRT(NORMSDIST(E$9*SQRT($C$11)*NORMSINV($B43)+SQRT(1-E$9^2*$C$11)*NORMSINV(D43))*(E$7-E$5)*(E$6-E$5)),E$7-SQRT((1-NORMSDIST(E$9*SQRT($C$11)*NORMSINV($B43)+SQRT(1-E$9^2*$C$11)*NORMSINV(D43)))*(E$7-E$5)*(E$7-E$6))))</f>
        <v>0.0513472775951588</v>
      </c>
      <c r="F43" s="2" t="n">
        <v>0.693069888</v>
      </c>
      <c r="G43" s="2" t="n">
        <f aca="false">IF(G$7=G$5,G$6,IF(NORMSDIST(G$9*SQRT($C$11)*NORMSINV($B43)+SQRT(1-G$9^2*$C$11)*NORMSINV(F43))&lt;G$8,G$5+SQRT(NORMSDIST(G$9*SQRT($C$11)*NORMSINV($B43)+SQRT(1-G$9^2*$C$11)*NORMSINV(F43))*(G$7-G$5)*(G$6-G$5)),G$7-SQRT((1-NORMSDIST(G$9*SQRT($C$11)*NORMSINV($B43)+SQRT(1-G$9^2*$C$11)*NORMSINV(F43)))*(G$7-G$5)*(G$7-G$6))))</f>
        <v>0.0565652168244021</v>
      </c>
      <c r="H43" s="2" t="n">
        <v>0.722855887</v>
      </c>
      <c r="I43" s="2" t="n">
        <f aca="false">IF(I$7=I$5,I$6,IF(NORMSDIST(I$9*SQRT($C$11)*NORMSINV($B43)+SQRT(1-I$9^2*$C$11)*NORMSINV(H43))&lt;I$8,I$5+SQRT(NORMSDIST(I$9*SQRT($C$11)*NORMSINV($B43)+SQRT(1-I$9^2*$C$11)*NORMSINV(H43))*(I$7-I$5)*(I$6-I$5)),I$7-SQRT((1-NORMSDIST(I$9*SQRT($C$11)*NORMSINV($B43)+SQRT(1-I$9^2*$C$11)*NORMSINV(H43)))*(I$7-I$5)*(I$7-I$6))))</f>
        <v>202.671496202017</v>
      </c>
      <c r="J43" s="2" t="n">
        <v>0.702728344</v>
      </c>
      <c r="K43" s="2" t="n">
        <f aca="false">IF(K$7=K$5,K$6,IF(NORMSDIST(K$9*SQRT($C$11)*NORMSINV($B43)+SQRT(1-K$9^2*$C$11)*NORMSINV(J43))&lt;K$8,K$5+SQRT(NORMSDIST(K$9*SQRT($C$11)*NORMSINV($B43)+SQRT(1-K$9^2*$C$11)*NORMSINV(J43))*(K$7-K$5)*(K$6-K$5)),K$7-SQRT((1-NORMSDIST(K$9*SQRT($C$11)*NORMSINV($B43)+SQRT(1-K$9^2*$C$11)*NORMSINV(J43)))*(K$7-K$5)*(K$7-K$6))))</f>
        <v>0.278407456415385</v>
      </c>
      <c r="L43" s="2" t="n">
        <v>0.304658092</v>
      </c>
      <c r="M43" s="2" t="n">
        <f aca="false">IF(M$7=M$5,M$6,IF(NORMSDIST(M$9*SQRT($C$11)*NORMSINV($B43)+SQRT(1-M$9^2*$C$11)*NORMSINV(L43))&lt;M$8,M$5+SQRT(NORMSDIST(M$9*SQRT($C$11)*NORMSINV($B43)+SQRT(1-M$9^2*$C$11)*NORMSINV(L43))*(M$7-M$5)*(M$6-M$5)),M$7-SQRT((1-NORMSDIST(M$9*SQRT($C$11)*NORMSINV($B43)+SQRT(1-M$9^2*$C$11)*NORMSINV(L43)))*(M$7-M$5)*(M$7-M$6))))</f>
        <v>1520.26015985885</v>
      </c>
      <c r="N43" s="2" t="n">
        <v>0.479475148</v>
      </c>
      <c r="O43" s="2" t="n">
        <f aca="false">IF(O$7=O$5,O$6,IF(NORMSDIST(O$9*SQRT($C$11)*NORMSINV($B43)+SQRT(1-O$9^2*$C$11)*NORMSINV(N43))&lt;O$8,O$5+SQRT(NORMSDIST(O$9*SQRT($C$11)*NORMSINV($B43)+SQRT(1-O$9^2*$C$11)*NORMSINV(N43))*(O$7-O$5)*(O$6-O$5)),O$7-SQRT((1-NORMSDIST(O$9*SQRT($C$11)*NORMSINV($B43)+SQRT(1-O$9^2*$C$11)*NORMSINV(N43)))*(O$7-O$5)*(O$7-O$6))))</f>
        <v>0.164795514255276</v>
      </c>
      <c r="P43" s="2" t="n">
        <v>0.365731344</v>
      </c>
      <c r="Q43" s="2" t="n">
        <f aca="false">IF(Q$7=Q$5,Q$6,IF(NORMSDIST(Q$9*SQRT($C$11)*NORMSINV($B43)+SQRT(1-Q$9^2*$C$11)*NORMSINV(P43))&lt;Q$8,Q$5+SQRT(NORMSDIST(Q$9*SQRT($C$11)*NORMSINV($B43)+SQRT(1-Q$9^2*$C$11)*NORMSINV(P43))*(Q$7-Q$5)*(Q$6-Q$5)),Q$7-SQRT((1-NORMSDIST(Q$9*SQRT($C$11)*NORMSINV($B43)+SQRT(1-Q$9^2*$C$11)*NORMSINV(P43)))*(Q$7-Q$5)*(Q$7-Q$6))))</f>
        <v>0.0742102367837465</v>
      </c>
      <c r="R43" s="2" t="n">
        <v>0.813158262</v>
      </c>
      <c r="S43" s="2" t="n">
        <f aca="false">IF(S$7=S$5,S$6,IF(NORMSDIST(S$9*SQRT($C$11)*NORMSINV($B43)+SQRT(1-S$9^2*$C$11)*NORMSINV(R43))&lt;S$8,S$5+SQRT(NORMSDIST(S$9*SQRT($C$11)*NORMSINV($B43)+SQRT(1-S$9^2*$C$11)*NORMSINV(R43))*(S$7-S$5)*(S$6-S$5)),S$7-SQRT((1-NORMSDIST(S$9*SQRT($C$11)*NORMSINV($B43)+SQRT(1-S$9^2*$C$11)*NORMSINV(R43)))*(S$7-S$5)*(S$7-S$6))))</f>
        <v>0.618169486909732</v>
      </c>
      <c r="T43" s="2" t="n">
        <v>0.100076344</v>
      </c>
      <c r="U43" s="2" t="n">
        <f aca="false">IF(U$7=U$5,U$6,IF(NORMSDIST(U$9*SQRT($C$11)*NORMSINV($B43)+SQRT(1-U$9^2*$C$11)*NORMSINV(T43))&lt;U$8,U$5+SQRT(NORMSDIST(U$9*SQRT($C$11)*NORMSINV($B43)+SQRT(1-U$9^2*$C$11)*NORMSINV(T43))*(U$7-U$5)*(U$6-U$5)),U$7-SQRT((1-NORMSDIST(U$9*SQRT($C$11)*NORMSINV($B43)+SQRT(1-U$9^2*$C$11)*NORMSINV(T43)))*(U$7-U$5)*(U$7-U$6))))</f>
        <v>0.2536482221085</v>
      </c>
      <c r="V43" s="2" t="n">
        <v>0.764451239</v>
      </c>
      <c r="W43" s="2" t="n">
        <f aca="false">IF(W$7=W$5,W$6,IF(NORMSDIST(W$9*SQRT($C$11)*NORMSINV($B43)+SQRT(1-W$9^2*$C$11)*NORMSINV(V43))&lt;W$8,W$5+SQRT(NORMSDIST(W$9*SQRT($C$11)*NORMSINV($B43)+SQRT(1-W$9^2*$C$11)*NORMSINV(V43))*(W$7-W$5)*(W$6-W$5)),W$7-SQRT((1-NORMSDIST(W$9*SQRT($C$11)*NORMSINV($B43)+SQRT(1-W$9^2*$C$11)*NORMSINV(V43)))*(W$7-W$5)*(W$7-W$6))))</f>
        <v>10.3556076128139</v>
      </c>
      <c r="X43" s="2" t="n">
        <v>0.690848377</v>
      </c>
      <c r="Y43" s="2" t="n">
        <f aca="false">IF(Y$7=Y$5,Y$6,IF(NORMSDIST(Y$9*SQRT($C$11)*NORMSINV($B43)+SQRT(1-Y$9^2*$C$11)*NORMSINV(X43))&lt;Y$8,Y$5+SQRT(NORMSDIST(Y$9*SQRT($C$11)*NORMSINV($B43)+SQRT(1-Y$9^2*$C$11)*NORMSINV(X43))*(Y$7-Y$5)*(Y$6-Y$5)),Y$7-SQRT((1-NORMSDIST(Y$9*SQRT($C$11)*NORMSINV($B43)+SQRT(1-Y$9^2*$C$11)*NORMSINV(X43)))*(Y$7-Y$5)*(Y$7-Y$6))))</f>
        <v>0.606838695317049</v>
      </c>
      <c r="Z43" s="2" t="n">
        <v>0.080675313</v>
      </c>
      <c r="AA43" s="2" t="n">
        <f aca="false">IF(AA$7=AA$5,AA$6,IF(NORMSDIST(AA$9*SQRT($C$11)*NORMSINV($B43)+SQRT(1-AA$9^2*$C$11)*NORMSINV(Z43))&lt;AA$8,AA$5+SQRT(NORMSDIST(AA$9*SQRT($C$11)*NORMSINV($B43)+SQRT(1-AA$9^2*$C$11)*NORMSINV(Z43))*(AA$7-AA$5)*(AA$6-AA$5)),AA$7-SQRT((1-NORMSDIST(AA$9*SQRT($C$11)*NORMSINV($B43)+SQRT(1-AA$9^2*$C$11)*NORMSINV(Z43)))*(AA$7-AA$5)*(AA$7-AA$6))))</f>
        <v>0.710689551782973</v>
      </c>
      <c r="AB43" s="2" t="n">
        <v>0.747136157</v>
      </c>
      <c r="AC43" s="2" t="n">
        <f aca="false">IF(AC$7=AC$5,AC$6,IF(NORMSDIST(AC$9*SQRT($C$11)*NORMSINV($B43)+SQRT(1-AC$9^2*$C$11)*NORMSINV(AB43))&lt;AC$8,AC$5+SQRT(NORMSDIST(AC$9*SQRT($C$11)*NORMSINV($B43)+SQRT(1-AC$9^2*$C$11)*NORMSINV(AB43))*(AC$7-AC$5)*(AC$6-AC$5)),AC$7-SQRT((1-NORMSDIST(AC$9*SQRT($C$11)*NORMSINV($B43)+SQRT(1-AC$9^2*$C$11)*NORMSINV(AB43)))*(AC$7-AC$5)*(AC$7-AC$6))))</f>
        <v>9.76293239696097</v>
      </c>
      <c r="AD43" s="2" t="n">
        <f aca="false">Entrées!$C$8*(1+E43)</f>
        <v>7411.99830704587</v>
      </c>
      <c r="AE43" s="2" t="n">
        <f aca="false">I43*Hypothèses!$J$24/12/Hypothèses!$J$19</f>
        <v>100.544680590462</v>
      </c>
      <c r="AF43" s="2" t="n">
        <f aca="false">Entrées!$C$36*S43*1000</f>
        <v>309.084743454866</v>
      </c>
      <c r="AG43" s="2" t="n">
        <f aca="false">-AF43/W43</f>
        <v>-29.8470891338533</v>
      </c>
      <c r="AH43" s="2" t="n">
        <f aca="false">AD43+AE43+AG43</f>
        <v>7482.69589850248</v>
      </c>
      <c r="AI43" s="2" t="n">
        <f aca="false">Entrées!$C$16-M43+Hypothèses!$J$22*1000-AF43+Hypothèses!$J$23</f>
        <v>22718.6550966863</v>
      </c>
      <c r="AJ43" s="2" t="n">
        <f aca="false">AI43/AH43</f>
        <v>3.03615908020971</v>
      </c>
      <c r="AK43" s="2" t="n">
        <f aca="false">AI43/(AH43+I43*(12-Hypothèses!$J$24)/12/Hypothèses!$J$19)</f>
        <v>3.0072955742284</v>
      </c>
      <c r="AL43" s="2" t="n">
        <f aca="false">(AD43+AG43+I43/Hypothèses!$J$19)*(1+G43)</f>
        <v>7981.83622318134</v>
      </c>
      <c r="AM43" s="2" t="n">
        <f aca="false">Entrées!$C$54*K43/Hypothèses!$J$19</f>
        <v>28.4126498845597</v>
      </c>
      <c r="AN43" s="2" t="n">
        <f aca="false">Y43*1000/AC43</f>
        <v>62.1574206030503</v>
      </c>
      <c r="AO43" s="2" t="n">
        <f aca="false">(Entrées!$C$36*(1-S43)+MAX(0,Entrées!$C$30-Entrées!$C$35-Entrées!$C$36)*U43)*1000</f>
        <v>546.022767497035</v>
      </c>
      <c r="AP43" s="2" t="n">
        <f aca="false">-AO43/W43</f>
        <v>-52.7272554071472</v>
      </c>
      <c r="AQ43" s="2" t="n">
        <f aca="false">AL43+AM43+AN43+AP43</f>
        <v>8019.6790382618</v>
      </c>
      <c r="AR43" s="2" t="n">
        <f aca="false">O43*AQ43-Hypothèses!$J$25/Hypothèses!$J$19</f>
        <v>1302.47196901099</v>
      </c>
      <c r="AS43" s="2" t="n">
        <f aca="false">Entrées!$C$79*(1+Q43)+Hypothèses!$J$20</f>
        <v>1475.55705022534</v>
      </c>
      <c r="AT43" s="2" t="n">
        <f aca="false">AI43-AR43+AS43+Y43*1000-AO43+Hypothèses!$J$23</f>
        <v>22952.5561057206</v>
      </c>
      <c r="AU43" s="2" t="n">
        <f aca="false">AT43/AQ43</f>
        <v>2.86202926528783</v>
      </c>
      <c r="AV43" s="2" t="n">
        <f aca="false">Hypothèses!$J$26*AQ43-AT43</f>
        <v>1106.48100906476</v>
      </c>
      <c r="AW43" s="2" t="n">
        <f aca="false">IF(AC43&gt;Hypothèses!$J$26,MAX(0,AV43)/(1-Hypothèses!$J$26/AC43),0)</f>
        <v>1597.30996200326</v>
      </c>
      <c r="AX43" s="2" t="n">
        <f aca="false">AQ43-Entrées!$C$17*1000</f>
        <v>19.679038261801</v>
      </c>
      <c r="AY43" s="2" t="n">
        <f aca="false">AI43+(Entrées!$C$244-Entrées!$C$13)</f>
        <v>28465.6550966863</v>
      </c>
      <c r="AZ43" s="2" t="n">
        <f aca="false">AA43*AH43</f>
        <v>5317.87379423502</v>
      </c>
      <c r="BA43" s="2" t="n">
        <f aca="false">AZ43/AY43</f>
        <v>0.18681719342739</v>
      </c>
      <c r="BB43" s="2" t="n">
        <f aca="false">AZ43/(Entrées!$C$151/100)-AY43</f>
        <v>1078.08820461936</v>
      </c>
      <c r="BC43" s="2" t="n">
        <f aca="false">AT43+(Entrées!$C$244-Entrées!$C$13)</f>
        <v>28699.5561057206</v>
      </c>
      <c r="BD43" s="2" t="n">
        <f aca="false">AA43*AQ43</f>
        <v>5699.50210114558</v>
      </c>
      <c r="BE43" s="2" t="n">
        <f aca="false">BD43/BC43</f>
        <v>0.198591994947598</v>
      </c>
      <c r="BF43" s="2" t="n">
        <f aca="false">BD43/(Entrées!$C$151/100)-BC43</f>
        <v>2964.34445619925</v>
      </c>
      <c r="BG43" s="2" t="n">
        <f aca="false">MIN(AV43,BF43)</f>
        <v>1106.48100906476</v>
      </c>
      <c r="BH43" s="2" t="n">
        <f aca="false">IF(AC43&gt;Hypothèses!$J$26,MAX(0,BG43)/(1-Hypothèses!$J$26/AC43),0)</f>
        <v>1597.30996200326</v>
      </c>
    </row>
    <row r="44" customFormat="false" ht="15" hidden="false" customHeight="false" outlineLevel="0" collapsed="false">
      <c r="A44" s="2" t="n">
        <v>29</v>
      </c>
      <c r="B44" s="2" t="n">
        <v>0.057204426</v>
      </c>
      <c r="C44" s="2"/>
      <c r="D44" s="2" t="n">
        <v>0.06684009</v>
      </c>
      <c r="E44" s="2" t="n">
        <f aca="false">IF(E$7=E$5,E$6,IF(NORMSDIST(E$9*SQRT($C$11)*NORMSINV($B44)+SQRT(1-E$9^2*$C$11)*NORMSINV(D44))&lt;E$8,E$5+SQRT(NORMSDIST(E$9*SQRT($C$11)*NORMSINV($B44)+SQRT(1-E$9^2*$C$11)*NORMSINV(D44))*(E$7-E$5)*(E$6-E$5)),E$7-SQRT((1-NORMSDIST(E$9*SQRT($C$11)*NORMSINV($B44)+SQRT(1-E$9^2*$C$11)*NORMSINV(D44)))*(E$7-E$5)*(E$7-E$6))))</f>
        <v>0.0508769471101542</v>
      </c>
      <c r="F44" s="2" t="n">
        <v>0.597346024</v>
      </c>
      <c r="G44" s="2" t="n">
        <f aca="false">IF(G$7=G$5,G$6,IF(NORMSDIST(G$9*SQRT($C$11)*NORMSINV($B44)+SQRT(1-G$9^2*$C$11)*NORMSINV(F44))&lt;G$8,G$5+SQRT(NORMSDIST(G$9*SQRT($C$11)*NORMSINV($B44)+SQRT(1-G$9^2*$C$11)*NORMSINV(F44))*(G$7-G$5)*(G$6-G$5)),G$7-SQRT((1-NORMSDIST(G$9*SQRT($C$11)*NORMSINV($B44)+SQRT(1-G$9^2*$C$11)*NORMSINV(F44)))*(G$7-G$5)*(G$7-G$6))))</f>
        <v>0.0497137736060028</v>
      </c>
      <c r="H44" s="2" t="n">
        <v>0.634922686</v>
      </c>
      <c r="I44" s="2" t="n">
        <f aca="false">IF(I$7=I$5,I$6,IF(NORMSDIST(I$9*SQRT($C$11)*NORMSINV($B44)+SQRT(1-I$9^2*$C$11)*NORMSINV(H44))&lt;I$8,I$5+SQRT(NORMSDIST(I$9*SQRT($C$11)*NORMSINV($B44)+SQRT(1-I$9^2*$C$11)*NORMSINV(H44))*(I$7-I$5)*(I$6-I$5)),I$7-SQRT((1-NORMSDIST(I$9*SQRT($C$11)*NORMSINV($B44)+SQRT(1-I$9^2*$C$11)*NORMSINV(H44)))*(I$7-I$5)*(I$7-I$6))))</f>
        <v>193.632498101412</v>
      </c>
      <c r="J44" s="2" t="n">
        <v>0.808587999</v>
      </c>
      <c r="K44" s="2" t="n">
        <f aca="false">IF(K$7=K$5,K$6,IF(NORMSDIST(K$9*SQRT($C$11)*NORMSINV($B44)+SQRT(1-K$9^2*$C$11)*NORMSINV(J44))&lt;K$8,K$5+SQRT(NORMSDIST(K$9*SQRT($C$11)*NORMSINV($B44)+SQRT(1-K$9^2*$C$11)*NORMSINV(J44))*(K$7-K$5)*(K$6-K$5)),K$7-SQRT((1-NORMSDIST(K$9*SQRT($C$11)*NORMSINV($B44)+SQRT(1-K$9^2*$C$11)*NORMSINV(J44)))*(K$7-K$5)*(K$7-K$6))))</f>
        <v>0.216088813312892</v>
      </c>
      <c r="L44" s="2" t="n">
        <v>0.852403701</v>
      </c>
      <c r="M44" s="2" t="n">
        <f aca="false">IF(M$7=M$5,M$6,IF(NORMSDIST(M$9*SQRT($C$11)*NORMSINV($B44)+SQRT(1-M$9^2*$C$11)*NORMSINV(L44))&lt;M$8,M$5+SQRT(NORMSDIST(M$9*SQRT($C$11)*NORMSINV($B44)+SQRT(1-M$9^2*$C$11)*NORMSINV(L44))*(M$7-M$5)*(M$6-M$5)),M$7-SQRT((1-NORMSDIST(M$9*SQRT($C$11)*NORMSINV($B44)+SQRT(1-M$9^2*$C$11)*NORMSINV(L44)))*(M$7-M$5)*(M$7-M$6))))</f>
        <v>1563.51248836931</v>
      </c>
      <c r="N44" s="2" t="n">
        <v>0.575561364</v>
      </c>
      <c r="O44" s="2" t="n">
        <f aca="false">IF(O$7=O$5,O$6,IF(NORMSDIST(O$9*SQRT($C$11)*NORMSINV($B44)+SQRT(1-O$9^2*$C$11)*NORMSINV(N44))&lt;O$8,O$5+SQRT(NORMSDIST(O$9*SQRT($C$11)*NORMSINV($B44)+SQRT(1-O$9^2*$C$11)*NORMSINV(N44))*(O$7-O$5)*(O$6-O$5)),O$7-SQRT((1-NORMSDIST(O$9*SQRT($C$11)*NORMSINV($B44)+SQRT(1-O$9^2*$C$11)*NORMSINV(N44)))*(O$7-O$5)*(O$7-O$6))))</f>
        <v>0.156830697339621</v>
      </c>
      <c r="P44" s="2" t="n">
        <v>0.72515153</v>
      </c>
      <c r="Q44" s="2" t="n">
        <f aca="false">IF(Q$7=Q$5,Q$6,IF(NORMSDIST(Q$9*SQRT($C$11)*NORMSINV($B44)+SQRT(1-Q$9^2*$C$11)*NORMSINV(P44))&lt;Q$8,Q$5+SQRT(NORMSDIST(Q$9*SQRT($C$11)*NORMSINV($B44)+SQRT(1-Q$9^2*$C$11)*NORMSINV(P44))*(Q$7-Q$5)*(Q$6-Q$5)),Q$7-SQRT((1-NORMSDIST(Q$9*SQRT($C$11)*NORMSINV($B44)+SQRT(1-Q$9^2*$C$11)*NORMSINV(P44)))*(Q$7-Q$5)*(Q$7-Q$6))))</f>
        <v>0.0903433800981973</v>
      </c>
      <c r="R44" s="2" t="n">
        <v>0.850219897</v>
      </c>
      <c r="S44" s="2" t="n">
        <f aca="false">IF(S$7=S$5,S$6,IF(NORMSDIST(S$9*SQRT($C$11)*NORMSINV($B44)+SQRT(1-S$9^2*$C$11)*NORMSINV(R44))&lt;S$8,S$5+SQRT(NORMSDIST(S$9*SQRT($C$11)*NORMSINV($B44)+SQRT(1-S$9^2*$C$11)*NORMSINV(R44))*(S$7-S$5)*(S$6-S$5)),S$7-SQRT((1-NORMSDIST(S$9*SQRT($C$11)*NORMSINV($B44)+SQRT(1-S$9^2*$C$11)*NORMSINV(R44)))*(S$7-S$5)*(S$7-S$6))))</f>
        <v>0.459748002614516</v>
      </c>
      <c r="T44" s="2" t="n">
        <v>0.926992322</v>
      </c>
      <c r="U44" s="2" t="n">
        <f aca="false">IF(U$7=U$5,U$6,IF(NORMSDIST(U$9*SQRT($C$11)*NORMSINV($B44)+SQRT(1-U$9^2*$C$11)*NORMSINV(T44))&lt;U$8,U$5+SQRT(NORMSDIST(U$9*SQRT($C$11)*NORMSINV($B44)+SQRT(1-U$9^2*$C$11)*NORMSINV(T44))*(U$7-U$5)*(U$6-U$5)),U$7-SQRT((1-NORMSDIST(U$9*SQRT($C$11)*NORMSINV($B44)+SQRT(1-U$9^2*$C$11)*NORMSINV(T44)))*(U$7-U$5)*(U$7-U$6))))</f>
        <v>0.526067913529886</v>
      </c>
      <c r="V44" s="2" t="n">
        <v>0.534847915</v>
      </c>
      <c r="W44" s="2" t="n">
        <f aca="false">IF(W$7=W$5,W$6,IF(NORMSDIST(W$9*SQRT($C$11)*NORMSINV($B44)+SQRT(1-W$9^2*$C$11)*NORMSINV(V44))&lt;W$8,W$5+SQRT(NORMSDIST(W$9*SQRT($C$11)*NORMSINV($B44)+SQRT(1-W$9^2*$C$11)*NORMSINV(V44))*(W$7-W$5)*(W$6-W$5)),W$7-SQRT((1-NORMSDIST(W$9*SQRT($C$11)*NORMSINV($B44)+SQRT(1-W$9^2*$C$11)*NORMSINV(V44)))*(W$7-W$5)*(W$7-W$6))))</f>
        <v>9.18660765126371</v>
      </c>
      <c r="X44" s="2" t="n">
        <v>0.491916425</v>
      </c>
      <c r="Y44" s="2" t="n">
        <f aca="false">IF(Y$7=Y$5,Y$6,IF(NORMSDIST(Y$9*SQRT($C$11)*NORMSINV($B44)+SQRT(1-Y$9^2*$C$11)*NORMSINV(X44))&lt;Y$8,Y$5+SQRT(NORMSDIST(Y$9*SQRT($C$11)*NORMSINV($B44)+SQRT(1-Y$9^2*$C$11)*NORMSINV(X44))*(Y$7-Y$5)*(Y$6-Y$5)),Y$7-SQRT((1-NORMSDIST(Y$9*SQRT($C$11)*NORMSINV($B44)+SQRT(1-Y$9^2*$C$11)*NORMSINV(X44)))*(Y$7-Y$5)*(Y$7-Y$6))))</f>
        <v>0.495941743050532</v>
      </c>
      <c r="Z44" s="2" t="n">
        <v>0.642830668</v>
      </c>
      <c r="AA44" s="2" t="n">
        <f aca="false">IF(AA$7=AA$5,AA$6,IF(NORMSDIST(AA$9*SQRT($C$11)*NORMSINV($B44)+SQRT(1-AA$9^2*$C$11)*NORMSINV(Z44))&lt;AA$8,AA$5+SQRT(NORMSDIST(AA$9*SQRT($C$11)*NORMSINV($B44)+SQRT(1-AA$9^2*$C$11)*NORMSINV(Z44))*(AA$7-AA$5)*(AA$6-AA$5)),AA$7-SQRT((1-NORMSDIST(AA$9*SQRT($C$11)*NORMSINV($B44)+SQRT(1-AA$9^2*$C$11)*NORMSINV(Z44)))*(AA$7-AA$5)*(AA$7-AA$6))))</f>
        <v>0.71787021636091</v>
      </c>
      <c r="AB44" s="2" t="n">
        <v>0.1293697</v>
      </c>
      <c r="AC44" s="2" t="n">
        <f aca="false">IF(AC$7=AC$5,AC$6,IF(NORMSDIST(AC$9*SQRT($C$11)*NORMSINV($B44)+SQRT(1-AC$9^2*$C$11)*NORMSINV(AB44))&lt;AC$8,AC$5+SQRT(NORMSDIST(AC$9*SQRT($C$11)*NORMSINV($B44)+SQRT(1-AC$9^2*$C$11)*NORMSINV(AB44))*(AC$7-AC$5)*(AC$6-AC$5)),AC$7-SQRT((1-NORMSDIST(AC$9*SQRT($C$11)*NORMSINV($B44)+SQRT(1-AC$9^2*$C$11)*NORMSINV(AB44)))*(AC$7-AC$5)*(AC$7-AC$6))))</f>
        <v>7.91348029118151</v>
      </c>
      <c r="AD44" s="2" t="n">
        <f aca="false">Entrées!$C$8*(1+E44)</f>
        <v>7408.68247712659</v>
      </c>
      <c r="AE44" s="2" t="n">
        <f aca="false">I44*Hypothèses!$J$24/12/Hypothèses!$J$19</f>
        <v>96.060462563191</v>
      </c>
      <c r="AF44" s="2" t="n">
        <f aca="false">Entrées!$C$36*S44*1000</f>
        <v>229.874001307258</v>
      </c>
      <c r="AG44" s="2" t="n">
        <f aca="false">-AF44/W44</f>
        <v>-25.0227298295075</v>
      </c>
      <c r="AH44" s="2" t="n">
        <f aca="false">AD44+AE44+AG44</f>
        <v>7479.72020986027</v>
      </c>
      <c r="AI44" s="2" t="n">
        <f aca="false">Entrées!$C$16-M44+Hypothèses!$J$22*1000-AF44+Hypothèses!$J$23</f>
        <v>22754.6135103234</v>
      </c>
      <c r="AJ44" s="2" t="n">
        <f aca="false">AI44/AH44</f>
        <v>3.04217442255751</v>
      </c>
      <c r="AK44" s="2" t="n">
        <f aca="false">AI44/(AH44+I44*(12-Hypothèses!$J$24)/12/Hypothèses!$J$19)</f>
        <v>3.01452095527291</v>
      </c>
      <c r="AL44" s="2" t="n">
        <f aca="false">(AD44+AG44+I44/Hypothèses!$J$19)*(1+G44)</f>
        <v>7923.59103461775</v>
      </c>
      <c r="AM44" s="2" t="n">
        <f aca="false">Entrées!$C$54*K44/Hypothèses!$J$19</f>
        <v>22.0527706968768</v>
      </c>
      <c r="AN44" s="2" t="n">
        <f aca="false">Y44*1000/AC44</f>
        <v>62.670497025587</v>
      </c>
      <c r="AO44" s="2" t="n">
        <f aca="false">(Entrées!$C$36*(1-S44)+MAX(0,Entrées!$C$30-Entrées!$C$35-Entrées!$C$36)*U44)*1000</f>
        <v>1006.62107763458</v>
      </c>
      <c r="AP44" s="2" t="n">
        <f aca="false">-AO44/W44</f>
        <v>-109.574841535342</v>
      </c>
      <c r="AQ44" s="2" t="n">
        <f aca="false">AL44+AM44+AN44+AP44</f>
        <v>7898.73946080488</v>
      </c>
      <c r="AR44" s="2" t="n">
        <f aca="false">O44*AQ44-Hypothèses!$J$25/Hypothèses!$J$19</f>
        <v>1219.62965548038</v>
      </c>
      <c r="AS44" s="2" t="n">
        <f aca="false">Entrées!$C$79*(1+Q44)+Hypothèses!$J$20</f>
        <v>1493.28737472792</v>
      </c>
      <c r="AT44" s="2" t="n">
        <f aca="false">AI44-AR44+AS44+Y44*1000-AO44+Hypothèses!$J$23</f>
        <v>22517.5918949869</v>
      </c>
      <c r="AU44" s="2" t="n">
        <f aca="false">AT44/AQ44</f>
        <v>2.85078296438612</v>
      </c>
      <c r="AV44" s="2" t="n">
        <f aca="false">Hypothèses!$J$26*AQ44-AT44</f>
        <v>1178.62648742771</v>
      </c>
      <c r="AW44" s="2" t="n">
        <f aca="false">IF(AC44&gt;Hypothèses!$J$26,MAX(0,AV44)/(1-Hypothèses!$J$26/AC44),0)</f>
        <v>1898.25478605529</v>
      </c>
      <c r="AX44" s="2" t="n">
        <f aca="false">AQ44-Entrées!$C$17*1000</f>
        <v>-101.260539195125</v>
      </c>
      <c r="AY44" s="2" t="n">
        <f aca="false">AI44+(Entrées!$C$244-Entrées!$C$13)</f>
        <v>28501.6135103234</v>
      </c>
      <c r="AZ44" s="2" t="n">
        <f aca="false">AA44*AH44</f>
        <v>5369.46836537146</v>
      </c>
      <c r="BA44" s="2" t="n">
        <f aca="false">AZ44/AY44</f>
        <v>0.188391733100535</v>
      </c>
      <c r="BB44" s="2" t="n">
        <f aca="false">AZ44/(Entrées!$C$151/100)-AY44</f>
        <v>1328.76629729581</v>
      </c>
      <c r="BC44" s="2" t="n">
        <f aca="false">AT44+(Entrées!$C$244-Entrées!$C$13)</f>
        <v>28264.5918949869</v>
      </c>
      <c r="BD44" s="2" t="n">
        <f aca="false">AA44*AQ44</f>
        <v>5670.26980570645</v>
      </c>
      <c r="BE44" s="2" t="n">
        <f aca="false">BD44/BC44</f>
        <v>0.200613892702698</v>
      </c>
      <c r="BF44" s="2" t="n">
        <f aca="false">BD44/(Entrées!$C$151/100)-BC44</f>
        <v>3236.90702560449</v>
      </c>
      <c r="BG44" s="2" t="n">
        <f aca="false">MIN(AV44,BF44)</f>
        <v>1178.62648742771</v>
      </c>
      <c r="BH44" s="2" t="n">
        <f aca="false">IF(AC44&gt;Hypothèses!$J$26,MAX(0,BG44)/(1-Hypothèses!$J$26/AC44),0)</f>
        <v>1898.25478605529</v>
      </c>
    </row>
    <row r="45" customFormat="false" ht="15" hidden="false" customHeight="false" outlineLevel="0" collapsed="false">
      <c r="A45" s="2" t="n">
        <v>30</v>
      </c>
      <c r="B45" s="2" t="n">
        <v>0.178847371</v>
      </c>
      <c r="C45" s="2"/>
      <c r="D45" s="2" t="n">
        <v>0.926412058</v>
      </c>
      <c r="E45" s="2" t="n">
        <f aca="false">IF(E$7=E$5,E$6,IF(NORMSDIST(E$9*SQRT($C$11)*NORMSINV($B45)+SQRT(1-E$9^2*$C$11)*NORMSINV(D45))&lt;E$8,E$5+SQRT(NORMSDIST(E$9*SQRT($C$11)*NORMSINV($B45)+SQRT(1-E$9^2*$C$11)*NORMSINV(D45))*(E$7-E$5)*(E$6-E$5)),E$7-SQRT((1-NORMSDIST(E$9*SQRT($C$11)*NORMSINV($B45)+SQRT(1-E$9^2*$C$11)*NORMSINV(D45)))*(E$7-E$5)*(E$7-E$6))))</f>
        <v>0.0561645746518711</v>
      </c>
      <c r="F45" s="2" t="n">
        <v>0.815978412</v>
      </c>
      <c r="G45" s="2" t="n">
        <f aca="false">IF(G$7=G$5,G$6,IF(NORMSDIST(G$9*SQRT($C$11)*NORMSINV($B45)+SQRT(1-G$9^2*$C$11)*NORMSINV(F45))&lt;G$8,G$5+SQRT(NORMSDIST(G$9*SQRT($C$11)*NORMSINV($B45)+SQRT(1-G$9^2*$C$11)*NORMSINV(F45))*(G$7-G$5)*(G$6-G$5)),G$7-SQRT((1-NORMSDIST(G$9*SQRT($C$11)*NORMSINV($B45)+SQRT(1-G$9^2*$C$11)*NORMSINV(F45)))*(G$7-G$5)*(G$7-G$6))))</f>
        <v>0.0557064959652035</v>
      </c>
      <c r="H45" s="2" t="n">
        <v>0.545125229</v>
      </c>
      <c r="I45" s="2" t="n">
        <f aca="false">IF(I$7=I$5,I$6,IF(NORMSDIST(I$9*SQRT($C$11)*NORMSINV($B45)+SQRT(1-I$9^2*$C$11)*NORMSINV(H45))&lt;I$8,I$5+SQRT(NORMSDIST(I$9*SQRT($C$11)*NORMSINV($B45)+SQRT(1-I$9^2*$C$11)*NORMSINV(H45))*(I$7-I$5)*(I$6-I$5)),I$7-SQRT((1-NORMSDIST(I$9*SQRT($C$11)*NORMSINV($B45)+SQRT(1-I$9^2*$C$11)*NORMSINV(H45)))*(I$7-I$5)*(I$7-I$6))))</f>
        <v>195.765424422851</v>
      </c>
      <c r="J45" s="2" t="n">
        <v>0.79421385</v>
      </c>
      <c r="K45" s="2" t="n">
        <f aca="false">IF(K$7=K$5,K$6,IF(NORMSDIST(K$9*SQRT($C$11)*NORMSINV($B45)+SQRT(1-K$9^2*$C$11)*NORMSINV(J45))&lt;K$8,K$5+SQRT(NORMSDIST(K$9*SQRT($C$11)*NORMSINV($B45)+SQRT(1-K$9^2*$C$11)*NORMSINV(J45))*(K$7-K$5)*(K$6-K$5)),K$7-SQRT((1-NORMSDIST(K$9*SQRT($C$11)*NORMSINV($B45)+SQRT(1-K$9^2*$C$11)*NORMSINV(J45)))*(K$7-K$5)*(K$7-K$6))))</f>
        <v>0.255476244859787</v>
      </c>
      <c r="L45" s="2" t="n">
        <v>0.672837792</v>
      </c>
      <c r="M45" s="2" t="n">
        <f aca="false">IF(M$7=M$5,M$6,IF(NORMSDIST(M$9*SQRT($C$11)*NORMSINV($B45)+SQRT(1-M$9^2*$C$11)*NORMSINV(L45))&lt;M$8,M$5+SQRT(NORMSDIST(M$9*SQRT($C$11)*NORMSINV($B45)+SQRT(1-M$9^2*$C$11)*NORMSINV(L45))*(M$7-M$5)*(M$6-M$5)),M$7-SQRT((1-NORMSDIST(M$9*SQRT($C$11)*NORMSINV($B45)+SQRT(1-M$9^2*$C$11)*NORMSINV(L45)))*(M$7-M$5)*(M$7-M$6))))</f>
        <v>1557.80989175794</v>
      </c>
      <c r="N45" s="2" t="n">
        <v>0.227219966</v>
      </c>
      <c r="O45" s="2" t="n">
        <f aca="false">IF(O$7=O$5,O$6,IF(NORMSDIST(O$9*SQRT($C$11)*NORMSINV($B45)+SQRT(1-O$9^2*$C$11)*NORMSINV(N45))&lt;O$8,O$5+SQRT(NORMSDIST(O$9*SQRT($C$11)*NORMSINV($B45)+SQRT(1-O$9^2*$C$11)*NORMSINV(N45))*(O$7-O$5)*(O$6-O$5)),O$7-SQRT((1-NORMSDIST(O$9*SQRT($C$11)*NORMSINV($B45)+SQRT(1-O$9^2*$C$11)*NORMSINV(N45)))*(O$7-O$5)*(O$7-O$6))))</f>
        <v>0.153273512477418</v>
      </c>
      <c r="P45" s="2" t="n">
        <v>0.245280767</v>
      </c>
      <c r="Q45" s="2" t="n">
        <f aca="false">IF(Q$7=Q$5,Q$6,IF(NORMSDIST(Q$9*SQRT($C$11)*NORMSINV($B45)+SQRT(1-Q$9^2*$C$11)*NORMSINV(P45))&lt;Q$8,Q$5+SQRT(NORMSDIST(Q$9*SQRT($C$11)*NORMSINV($B45)+SQRT(1-Q$9^2*$C$11)*NORMSINV(P45))*(Q$7-Q$5)*(Q$6-Q$5)),Q$7-SQRT((1-NORMSDIST(Q$9*SQRT($C$11)*NORMSINV($B45)+SQRT(1-Q$9^2*$C$11)*NORMSINV(P45)))*(Q$7-Q$5)*(Q$7-Q$6))))</f>
        <v>0.0680160392346955</v>
      </c>
      <c r="R45" s="2" t="n">
        <v>0.92293741</v>
      </c>
      <c r="S45" s="2" t="n">
        <f aca="false">IF(S$7=S$5,S$6,IF(NORMSDIST(S$9*SQRT($C$11)*NORMSINV($B45)+SQRT(1-S$9^2*$C$11)*NORMSINV(R45))&lt;S$8,S$5+SQRT(NORMSDIST(S$9*SQRT($C$11)*NORMSINV($B45)+SQRT(1-S$9^2*$C$11)*NORMSINV(R45))*(S$7-S$5)*(S$6-S$5)),S$7-SQRT((1-NORMSDIST(S$9*SQRT($C$11)*NORMSINV($B45)+SQRT(1-S$9^2*$C$11)*NORMSINV(R45)))*(S$7-S$5)*(S$7-S$6))))</f>
        <v>0.61220212290813</v>
      </c>
      <c r="T45" s="2" t="n">
        <v>0.05750202</v>
      </c>
      <c r="U45" s="2" t="n">
        <f aca="false">IF(U$7=U$5,U$6,IF(NORMSDIST(U$9*SQRT($C$11)*NORMSINV($B45)+SQRT(1-U$9^2*$C$11)*NORMSINV(T45))&lt;U$8,U$5+SQRT(NORMSDIST(U$9*SQRT($C$11)*NORMSINV($B45)+SQRT(1-U$9^2*$C$11)*NORMSINV(T45))*(U$7-U$5)*(U$6-U$5)),U$7-SQRT((1-NORMSDIST(U$9*SQRT($C$11)*NORMSINV($B45)+SQRT(1-U$9^2*$C$11)*NORMSINV(T45)))*(U$7-U$5)*(U$7-U$6))))</f>
        <v>0.133659152575311</v>
      </c>
      <c r="V45" s="2" t="n">
        <v>0.555288639</v>
      </c>
      <c r="W45" s="2" t="n">
        <f aca="false">IF(W$7=W$5,W$6,IF(NORMSDIST(W$9*SQRT($C$11)*NORMSINV($B45)+SQRT(1-W$9^2*$C$11)*NORMSINV(V45))&lt;W$8,W$5+SQRT(NORMSDIST(W$9*SQRT($C$11)*NORMSINV($B45)+SQRT(1-W$9^2*$C$11)*NORMSINV(V45))*(W$7-W$5)*(W$6-W$5)),W$7-SQRT((1-NORMSDIST(W$9*SQRT($C$11)*NORMSINV($B45)+SQRT(1-W$9^2*$C$11)*NORMSINV(V45)))*(W$7-W$5)*(W$7-W$6))))</f>
        <v>9.59435096093462</v>
      </c>
      <c r="X45" s="2" t="n">
        <v>0.402323655</v>
      </c>
      <c r="Y45" s="2" t="n">
        <f aca="false">IF(Y$7=Y$5,Y$6,IF(NORMSDIST(Y$9*SQRT($C$11)*NORMSINV($B45)+SQRT(1-Y$9^2*$C$11)*NORMSINV(X45))&lt;Y$8,Y$5+SQRT(NORMSDIST(Y$9*SQRT($C$11)*NORMSINV($B45)+SQRT(1-Y$9^2*$C$11)*NORMSINV(X45))*(Y$7-Y$5)*(Y$6-Y$5)),Y$7-SQRT((1-NORMSDIST(Y$9*SQRT($C$11)*NORMSINV($B45)+SQRT(1-Y$9^2*$C$11)*NORMSINV(X45)))*(Y$7-Y$5)*(Y$7-Y$6))))</f>
        <v>0.448510677130434</v>
      </c>
      <c r="Z45" s="2" t="n">
        <v>0.953957497</v>
      </c>
      <c r="AA45" s="2" t="n">
        <f aca="false">IF(AA$7=AA$5,AA$6,IF(NORMSDIST(AA$9*SQRT($C$11)*NORMSINV($B45)+SQRT(1-AA$9^2*$C$11)*NORMSINV(Z45))&lt;AA$8,AA$5+SQRT(NORMSDIST(AA$9*SQRT($C$11)*NORMSINV($B45)+SQRT(1-AA$9^2*$C$11)*NORMSINV(Z45))*(AA$7-AA$5)*(AA$6-AA$5)),AA$7-SQRT((1-NORMSDIST(AA$9*SQRT($C$11)*NORMSINV($B45)+SQRT(1-AA$9^2*$C$11)*NORMSINV(Z45)))*(AA$7-AA$5)*(AA$7-AA$6))))</f>
        <v>0.736497346551382</v>
      </c>
      <c r="AB45" s="2" t="n">
        <v>0.264683632</v>
      </c>
      <c r="AC45" s="2" t="n">
        <f aca="false">IF(AC$7=AC$5,AC$6,IF(NORMSDIST(AC$9*SQRT($C$11)*NORMSINV($B45)+SQRT(1-AC$9^2*$C$11)*NORMSINV(AB45))&lt;AC$8,AC$5+SQRT(NORMSDIST(AC$9*SQRT($C$11)*NORMSINV($B45)+SQRT(1-AC$9^2*$C$11)*NORMSINV(AB45))*(AC$7-AC$5)*(AC$6-AC$5)),AC$7-SQRT((1-NORMSDIST(AC$9*SQRT($C$11)*NORMSINV($B45)+SQRT(1-AC$9^2*$C$11)*NORMSINV(AB45)))*(AC$7-AC$5)*(AC$7-AC$6))))</f>
        <v>8.50980798778606</v>
      </c>
      <c r="AD45" s="2" t="n">
        <f aca="false">Entrées!$C$8*(1+E45)</f>
        <v>7445.96025129569</v>
      </c>
      <c r="AE45" s="2" t="n">
        <f aca="false">I45*Hypothèses!$J$24/12/Hypothèses!$J$19</f>
        <v>97.1186004845602</v>
      </c>
      <c r="AF45" s="2" t="n">
        <f aca="false">Entrées!$C$36*S45*1000</f>
        <v>306.101061454065</v>
      </c>
      <c r="AG45" s="2" t="n">
        <f aca="false">-AF45/W45</f>
        <v>-31.9043010517771</v>
      </c>
      <c r="AH45" s="2" t="n">
        <f aca="false">AD45+AE45+AG45</f>
        <v>7511.17455072847</v>
      </c>
      <c r="AI45" s="2" t="n">
        <f aca="false">Entrées!$C$16-M45+Hypothèses!$J$22*1000-AF45+Hypothèses!$J$23</f>
        <v>22684.089046788</v>
      </c>
      <c r="AJ45" s="2" t="n">
        <f aca="false">AI45/AH45</f>
        <v>3.020045519324</v>
      </c>
      <c r="AK45" s="2" t="n">
        <f aca="false">AI45/(AH45+I45*(12-Hypothèses!$J$24)/12/Hypothèses!$J$19)</f>
        <v>2.992408739437</v>
      </c>
      <c r="AL45" s="2" t="n">
        <f aca="false">(AD45+AG45+I45/Hypothèses!$J$19)*(1+G45)</f>
        <v>8002.83057796871</v>
      </c>
      <c r="AM45" s="2" t="n">
        <f aca="false">Entrées!$C$54*K45/Hypothèses!$J$19</f>
        <v>26.0724234633755</v>
      </c>
      <c r="AN45" s="2" t="n">
        <f aca="false">Y45*1000/AC45</f>
        <v>52.7051465525628</v>
      </c>
      <c r="AO45" s="2" t="n">
        <f aca="false">(Entrées!$C$36*(1-S45)+MAX(0,Entrées!$C$30-Entrées!$C$35-Entrées!$C$36)*U45)*1000</f>
        <v>381.02175215137</v>
      </c>
      <c r="AP45" s="2" t="n">
        <f aca="false">-AO45/W45</f>
        <v>-39.7131347084111</v>
      </c>
      <c r="AQ45" s="2" t="n">
        <f aca="false">AL45+AM45+AN45+AP45</f>
        <v>8041.89501327624</v>
      </c>
      <c r="AR45" s="2" t="n">
        <f aca="false">O45*AQ45-Hypothèses!$J$25/Hypothèses!$J$19</f>
        <v>1213.47433339785</v>
      </c>
      <c r="AS45" s="2" t="n">
        <f aca="false">Entrées!$C$79*(1+Q45)+Hypothèses!$J$20</f>
        <v>1468.74962711893</v>
      </c>
      <c r="AT45" s="2" t="n">
        <f aca="false">AI45-AR45+AS45+Y45*1000-AO45+Hypothèses!$J$23</f>
        <v>23006.8532654881</v>
      </c>
      <c r="AU45" s="2" t="n">
        <f aca="false">AT45/AQ45</f>
        <v>2.86087461071134</v>
      </c>
      <c r="AV45" s="2" t="n">
        <f aca="false">Hypothèses!$J$26*AQ45-AT45</f>
        <v>1118.83177434058</v>
      </c>
      <c r="AW45" s="2" t="n">
        <f aca="false">IF(AC45&gt;Hypothèses!$J$26,MAX(0,AV45)/(1-Hypothèses!$J$26/AC45),0)</f>
        <v>1728.01730865725</v>
      </c>
      <c r="AX45" s="2" t="n">
        <f aca="false">AQ45-Entrées!$C$17*1000</f>
        <v>41.8950132762375</v>
      </c>
      <c r="AY45" s="2" t="n">
        <f aca="false">AI45+(Entrées!$C$244-Entrées!$C$13)</f>
        <v>28431.089046788</v>
      </c>
      <c r="AZ45" s="2" t="n">
        <f aca="false">AA45*AH45</f>
        <v>5531.96012609579</v>
      </c>
      <c r="BA45" s="2" t="n">
        <f aca="false">AZ45/AY45</f>
        <v>0.194574330831719</v>
      </c>
      <c r="BB45" s="2" t="n">
        <f aca="false">AZ45/(Entrées!$C$151/100)-AY45</f>
        <v>2302.02276485529</v>
      </c>
      <c r="BC45" s="2" t="n">
        <f aca="false">AT45+(Entrées!$C$244-Entrées!$C$13)</f>
        <v>28753.8532654881</v>
      </c>
      <c r="BD45" s="2" t="n">
        <f aca="false">AA45*AQ45</f>
        <v>5922.83433852274</v>
      </c>
      <c r="BE45" s="2" t="n">
        <f aca="false">BD45/BC45</f>
        <v>0.205984021822621</v>
      </c>
      <c r="BF45" s="2" t="n">
        <f aca="false">BD45/(Entrées!$C$151/100)-BC45</f>
        <v>4150.7819485271</v>
      </c>
      <c r="BG45" s="2" t="n">
        <f aca="false">MIN(AV45,BF45)</f>
        <v>1118.83177434058</v>
      </c>
      <c r="BH45" s="2" t="n">
        <f aca="false">IF(AC45&gt;Hypothèses!$J$26,MAX(0,BG45)/(1-Hypothèses!$J$26/AC45),0)</f>
        <v>1728.01730865725</v>
      </c>
    </row>
    <row r="46" customFormat="false" ht="15" hidden="false" customHeight="false" outlineLevel="0" collapsed="false">
      <c r="A46" s="2" t="n">
        <v>31</v>
      </c>
      <c r="B46" s="2" t="n">
        <v>0.54436054</v>
      </c>
      <c r="C46" s="2"/>
      <c r="D46" s="2" t="n">
        <v>0.149218146</v>
      </c>
      <c r="E46" s="2" t="n">
        <f aca="false">IF(E$7=E$5,E$6,IF(NORMSDIST(E$9*SQRT($C$11)*NORMSINV($B46)+SQRT(1-E$9^2*$C$11)*NORMSINV(D46))&lt;E$8,E$5+SQRT(NORMSDIST(E$9*SQRT($C$11)*NORMSINV($B46)+SQRT(1-E$9^2*$C$11)*NORMSINV(D46))*(E$7-E$5)*(E$6-E$5)),E$7-SQRT((1-NORMSDIST(E$9*SQRT($C$11)*NORMSINV($B46)+SQRT(1-E$9^2*$C$11)*NORMSINV(D46)))*(E$7-E$5)*(E$7-E$6))))</f>
        <v>0.0533998936365058</v>
      </c>
      <c r="F46" s="2" t="n">
        <v>0.444584163</v>
      </c>
      <c r="G46" s="2" t="n">
        <f aca="false">IF(G$7=G$5,G$6,IF(NORMSDIST(G$9*SQRT($C$11)*NORMSINV($B46)+SQRT(1-G$9^2*$C$11)*NORMSINV(F46))&lt;G$8,G$5+SQRT(NORMSDIST(G$9*SQRT($C$11)*NORMSINV($B46)+SQRT(1-G$9^2*$C$11)*NORMSINV(F46))*(G$7-G$5)*(G$6-G$5)),G$7-SQRT((1-NORMSDIST(G$9*SQRT($C$11)*NORMSINV($B46)+SQRT(1-G$9^2*$C$11)*NORMSINV(F46)))*(G$7-G$5)*(G$7-G$6))))</f>
        <v>0.054774105023133</v>
      </c>
      <c r="H46" s="2" t="n">
        <v>0.32895748</v>
      </c>
      <c r="I46" s="2" t="n">
        <f aca="false">IF(I$7=I$5,I$6,IF(NORMSDIST(I$9*SQRT($C$11)*NORMSINV($B46)+SQRT(1-I$9^2*$C$11)*NORMSINV(H46))&lt;I$8,I$5+SQRT(NORMSDIST(I$9*SQRT($C$11)*NORMSINV($B46)+SQRT(1-I$9^2*$C$11)*NORMSINV(H46))*(I$7-I$5)*(I$6-I$5)),I$7-SQRT((1-NORMSDIST(I$9*SQRT($C$11)*NORMSINV($B46)+SQRT(1-I$9^2*$C$11)*NORMSINV(H46)))*(I$7-I$5)*(I$7-I$6))))</f>
        <v>197.722597837347</v>
      </c>
      <c r="J46" s="2" t="n">
        <v>0.429351574</v>
      </c>
      <c r="K46" s="2" t="n">
        <f aca="false">IF(K$7=K$5,K$6,IF(NORMSDIST(K$9*SQRT($C$11)*NORMSINV($B46)+SQRT(1-K$9^2*$C$11)*NORMSINV(J46))&lt;K$8,K$5+SQRT(NORMSDIST(K$9*SQRT($C$11)*NORMSINV($B46)+SQRT(1-K$9^2*$C$11)*NORMSINV(J46))*(K$7-K$5)*(K$6-K$5)),K$7-SQRT((1-NORMSDIST(K$9*SQRT($C$11)*NORMSINV($B46)+SQRT(1-K$9^2*$C$11)*NORMSINV(J46)))*(K$7-K$5)*(K$7-K$6))))</f>
        <v>0.243187493576414</v>
      </c>
      <c r="L46" s="2" t="n">
        <v>0.444995097</v>
      </c>
      <c r="M46" s="2" t="n">
        <f aca="false">IF(M$7=M$5,M$6,IF(NORMSDIST(M$9*SQRT($C$11)*NORMSINV($B46)+SQRT(1-M$9^2*$C$11)*NORMSINV(L46))&lt;M$8,M$5+SQRT(NORMSDIST(M$9*SQRT($C$11)*NORMSINV($B46)+SQRT(1-M$9^2*$C$11)*NORMSINV(L46))*(M$7-M$5)*(M$6-M$5)),M$7-SQRT((1-NORMSDIST(M$9*SQRT($C$11)*NORMSINV($B46)+SQRT(1-M$9^2*$C$11)*NORMSINV(L46)))*(M$7-M$5)*(M$7-M$6))))</f>
        <v>1581.19396460548</v>
      </c>
      <c r="N46" s="2" t="n">
        <v>0.793128853</v>
      </c>
      <c r="O46" s="2" t="n">
        <f aca="false">IF(O$7=O$5,O$6,IF(NORMSDIST(O$9*SQRT($C$11)*NORMSINV($B46)+SQRT(1-O$9^2*$C$11)*NORMSINV(N46))&lt;O$8,O$5+SQRT(NORMSDIST(O$9*SQRT($C$11)*NORMSINV($B46)+SQRT(1-O$9^2*$C$11)*NORMSINV(N46))*(O$7-O$5)*(O$6-O$5)),O$7-SQRT((1-NORMSDIST(O$9*SQRT($C$11)*NORMSINV($B46)+SQRT(1-O$9^2*$C$11)*NORMSINV(N46)))*(O$7-O$5)*(O$7-O$6))))</f>
        <v>0.173982836773328</v>
      </c>
      <c r="P46" s="2" t="n">
        <v>0.640040795</v>
      </c>
      <c r="Q46" s="2" t="n">
        <f aca="false">IF(Q$7=Q$5,Q$6,IF(NORMSDIST(Q$9*SQRT($C$11)*NORMSINV($B46)+SQRT(1-Q$9^2*$C$11)*NORMSINV(P46))&lt;Q$8,Q$5+SQRT(NORMSDIST(Q$9*SQRT($C$11)*NORMSINV($B46)+SQRT(1-Q$9^2*$C$11)*NORMSINV(P46))*(Q$7-Q$5)*(Q$6-Q$5)),Q$7-SQRT((1-NORMSDIST(Q$9*SQRT($C$11)*NORMSINV($B46)+SQRT(1-Q$9^2*$C$11)*NORMSINV(P46)))*(Q$7-Q$5)*(Q$7-Q$6))))</f>
        <v>0.0860607976522724</v>
      </c>
      <c r="R46" s="2" t="n">
        <v>0.154068021</v>
      </c>
      <c r="S46" s="2" t="n">
        <f aca="false">IF(S$7=S$5,S$6,IF(NORMSDIST(S$9*SQRT($C$11)*NORMSINV($B46)+SQRT(1-S$9^2*$C$11)*NORMSINV(R46))&lt;S$8,S$5+SQRT(NORMSDIST(S$9*SQRT($C$11)*NORMSINV($B46)+SQRT(1-S$9^2*$C$11)*NORMSINV(R46))*(S$7-S$5)*(S$6-S$5)),S$7-SQRT((1-NORMSDIST(S$9*SQRT($C$11)*NORMSINV($B46)+SQRT(1-S$9^2*$C$11)*NORMSINV(R46)))*(S$7-S$5)*(S$7-S$6))))</f>
        <v>0.343573424558253</v>
      </c>
      <c r="T46" s="2" t="n">
        <v>0.81654171</v>
      </c>
      <c r="U46" s="2" t="n">
        <f aca="false">IF(U$7=U$5,U$6,IF(NORMSDIST(U$9*SQRT($C$11)*NORMSINV($B46)+SQRT(1-U$9^2*$C$11)*NORMSINV(T46))&lt;U$8,U$5+SQRT(NORMSDIST(U$9*SQRT($C$11)*NORMSINV($B46)+SQRT(1-U$9^2*$C$11)*NORMSINV(T46))*(U$7-U$5)*(U$6-U$5)),U$7-SQRT((1-NORMSDIST(U$9*SQRT($C$11)*NORMSINV($B46)+SQRT(1-U$9^2*$C$11)*NORMSINV(T46)))*(U$7-U$5)*(U$7-U$6))))</f>
        <v>0.667705642559999</v>
      </c>
      <c r="V46" s="2" t="n">
        <v>0.03193398</v>
      </c>
      <c r="W46" s="2" t="n">
        <f aca="false">IF(W$7=W$5,W$6,IF(NORMSDIST(W$9*SQRT($C$11)*NORMSINV($B46)+SQRT(1-W$9^2*$C$11)*NORMSINV(V46))&lt;W$8,W$5+SQRT(NORMSDIST(W$9*SQRT($C$11)*NORMSINV($B46)+SQRT(1-W$9^2*$C$11)*NORMSINV(V46))*(W$7-W$5)*(W$6-W$5)),W$7-SQRT((1-NORMSDIST(W$9*SQRT($C$11)*NORMSINV($B46)+SQRT(1-W$9^2*$C$11)*NORMSINV(V46)))*(W$7-W$5)*(W$7-W$6))))</f>
        <v>8.83011775183553</v>
      </c>
      <c r="X46" s="2" t="n">
        <v>0.455004889</v>
      </c>
      <c r="Y46" s="2" t="n">
        <f aca="false">IF(Y$7=Y$5,Y$6,IF(NORMSDIST(Y$9*SQRT($C$11)*NORMSINV($B46)+SQRT(1-Y$9^2*$C$11)*NORMSINV(X46))&lt;Y$8,Y$5+SQRT(NORMSDIST(Y$9*SQRT($C$11)*NORMSINV($B46)+SQRT(1-Y$9^2*$C$11)*NORMSINV(X46))*(Y$7-Y$5)*(Y$6-Y$5)),Y$7-SQRT((1-NORMSDIST(Y$9*SQRT($C$11)*NORMSINV($B46)+SQRT(1-Y$9^2*$C$11)*NORMSINV(X46)))*(Y$7-Y$5)*(Y$7-Y$6))))</f>
        <v>0.476972163233873</v>
      </c>
      <c r="Z46" s="2" t="n">
        <v>0.502660576</v>
      </c>
      <c r="AA46" s="2" t="n">
        <f aca="false">IF(AA$7=AA$5,AA$6,IF(NORMSDIST(AA$9*SQRT($C$11)*NORMSINV($B46)+SQRT(1-AA$9^2*$C$11)*NORMSINV(Z46))&lt;AA$8,AA$5+SQRT(NORMSDIST(AA$9*SQRT($C$11)*NORMSINV($B46)+SQRT(1-AA$9^2*$C$11)*NORMSINV(Z46))*(AA$7-AA$5)*(AA$6-AA$5)),AA$7-SQRT((1-NORMSDIST(AA$9*SQRT($C$11)*NORMSINV($B46)+SQRT(1-AA$9^2*$C$11)*NORMSINV(Z46)))*(AA$7-AA$5)*(AA$7-AA$6))))</f>
        <v>0.729023691598002</v>
      </c>
      <c r="AB46" s="2" t="n">
        <v>0.687802703</v>
      </c>
      <c r="AC46" s="2" t="n">
        <f aca="false">IF(AC$7=AC$5,AC$6,IF(NORMSDIST(AC$9*SQRT($C$11)*NORMSINV($B46)+SQRT(1-AC$9^2*$C$11)*NORMSINV(AB46))&lt;AC$8,AC$5+SQRT(NORMSDIST(AC$9*SQRT($C$11)*NORMSINV($B46)+SQRT(1-AC$9^2*$C$11)*NORMSINV(AB46))*(AC$7-AC$5)*(AC$6-AC$5)),AC$7-SQRT((1-NORMSDIST(AC$9*SQRT($C$11)*NORMSINV($B46)+SQRT(1-AC$9^2*$C$11)*NORMSINV(AB46)))*(AC$7-AC$5)*(AC$7-AC$6))))</f>
        <v>9.81245567641777</v>
      </c>
      <c r="AD46" s="2" t="n">
        <f aca="false">Entrées!$C$8*(1+E46)</f>
        <v>7426.46925013737</v>
      </c>
      <c r="AE46" s="2" t="n">
        <f aca="false">I46*Hypothèses!$J$24/12/Hypothèses!$J$19</f>
        <v>98.0895479513146</v>
      </c>
      <c r="AF46" s="2" t="n">
        <f aca="false">Entrées!$C$36*S46*1000</f>
        <v>171.786712279126</v>
      </c>
      <c r="AG46" s="2" t="n">
        <f aca="false">-AF46/W46</f>
        <v>-19.4546343669558</v>
      </c>
      <c r="AH46" s="2" t="n">
        <f aca="false">AD46+AE46+AG46</f>
        <v>7505.10416372173</v>
      </c>
      <c r="AI46" s="2" t="n">
        <f aca="false">Entrées!$C$16-M46+Hypothèses!$J$22*1000-AF46+Hypothèses!$J$23</f>
        <v>22795.0193231154</v>
      </c>
      <c r="AJ46" s="2" t="n">
        <f aca="false">AI46/AH46</f>
        <v>3.03726888073083</v>
      </c>
      <c r="AK46" s="2" t="n">
        <f aca="false">AI46/(AH46+I46*(12-Hypothèses!$J$24)/12/Hypothèses!$J$19)</f>
        <v>3.00917668655294</v>
      </c>
      <c r="AL46" s="2" t="n">
        <f aca="false">(AD46+AG46+I46/Hypothèses!$J$19)*(1+G46)</f>
        <v>7990.09118107531</v>
      </c>
      <c r="AM46" s="2" t="n">
        <f aca="false">Entrées!$C$54*K46/Hypothèses!$J$19</f>
        <v>24.818304797775</v>
      </c>
      <c r="AN46" s="2" t="n">
        <f aca="false">Y46*1000/AC46</f>
        <v>48.6088476690068</v>
      </c>
      <c r="AO46" s="2" t="n">
        <f aca="false">(Entrées!$C$36*(1-S46)+MAX(0,Entrées!$C$30-Entrées!$C$35-Entrées!$C$36)*U46)*1000</f>
        <v>1263.00118730487</v>
      </c>
      <c r="AP46" s="2" t="n">
        <f aca="false">-AO46/W46</f>
        <v>-143.033334639544</v>
      </c>
      <c r="AQ46" s="2" t="n">
        <f aca="false">AL46+AM46+AN46+AP46</f>
        <v>7920.48499890254</v>
      </c>
      <c r="AR46" s="2" t="n">
        <f aca="false">O46*AQ46-Hypothèses!$J$25/Hypothèses!$J$19</f>
        <v>1358.89328646803</v>
      </c>
      <c r="AS46" s="2" t="n">
        <f aca="false">Entrées!$C$79*(1+Q46)+Hypothèses!$J$20</f>
        <v>1488.58081661985</v>
      </c>
      <c r="AT46" s="2" t="n">
        <f aca="false">AI46-AR46+AS46+Y46*1000-AO46+Hypothèses!$J$23</f>
        <v>22138.6778291962</v>
      </c>
      <c r="AU46" s="2" t="n">
        <f aca="false">AT46/AQ46</f>
        <v>2.79511643949376</v>
      </c>
      <c r="AV46" s="2" t="n">
        <f aca="false">Hypothèses!$J$26*AQ46-AT46</f>
        <v>1622.77716751141</v>
      </c>
      <c r="AW46" s="2" t="n">
        <f aca="false">IF(AC46&gt;Hypothèses!$J$26,MAX(0,AV46)/(1-Hypothèses!$J$26/AC46),0)</f>
        <v>2337.39928525767</v>
      </c>
      <c r="AX46" s="2" t="n">
        <f aca="false">AQ46-Entrées!$C$17*1000</f>
        <v>-79.5150010974558</v>
      </c>
      <c r="AY46" s="2" t="n">
        <f aca="false">AI46+(Entrées!$C$244-Entrées!$C$13)</f>
        <v>28542.0193231154</v>
      </c>
      <c r="AZ46" s="2" t="n">
        <f aca="false">AA46*AH46</f>
        <v>5471.39874326395</v>
      </c>
      <c r="BA46" s="2" t="n">
        <f aca="false">AZ46/AY46</f>
        <v>0.191696273530052</v>
      </c>
      <c r="BB46" s="2" t="n">
        <f aca="false">AZ46/(Entrées!$C$151/100)-AY46</f>
        <v>1854.64036168432</v>
      </c>
      <c r="BC46" s="2" t="n">
        <f aca="false">AT46+(Entrées!$C$244-Entrées!$C$13)</f>
        <v>27885.6778291962</v>
      </c>
      <c r="BD46" s="2" t="n">
        <f aca="false">AA46*AQ46</f>
        <v>5774.22121314653</v>
      </c>
      <c r="BE46" s="2" t="n">
        <f aca="false">BD46/BC46</f>
        <v>0.207067629788828</v>
      </c>
      <c r="BF46" s="2" t="n">
        <f aca="false">BD46/(Entrées!$C$151/100)-BC46</f>
        <v>4193.32891050673</v>
      </c>
      <c r="BG46" s="2" t="n">
        <f aca="false">MIN(AV46,BF46)</f>
        <v>1622.77716751141</v>
      </c>
      <c r="BH46" s="2" t="n">
        <f aca="false">IF(AC46&gt;Hypothèses!$J$26,MAX(0,BG46)/(1-Hypothèses!$J$26/AC46),0)</f>
        <v>2337.39928525767</v>
      </c>
    </row>
    <row r="47" customFormat="false" ht="15" hidden="false" customHeight="false" outlineLevel="0" collapsed="false">
      <c r="A47" s="2" t="n">
        <v>32</v>
      </c>
      <c r="B47" s="2" t="n">
        <v>0.349022186</v>
      </c>
      <c r="C47" s="2"/>
      <c r="D47" s="2" t="n">
        <v>0.807036212</v>
      </c>
      <c r="E47" s="2" t="n">
        <f aca="false">IF(E$7=E$5,E$6,IF(NORMSDIST(E$9*SQRT($C$11)*NORMSINV($B47)+SQRT(1-E$9^2*$C$11)*NORMSINV(D47))&lt;E$8,E$5+SQRT(NORMSDIST(E$9*SQRT($C$11)*NORMSINV($B47)+SQRT(1-E$9^2*$C$11)*NORMSINV(D47))*(E$7-E$5)*(E$6-E$5)),E$7-SQRT((1-NORMSDIST(E$9*SQRT($C$11)*NORMSINV($B47)+SQRT(1-E$9^2*$C$11)*NORMSINV(D47)))*(E$7-E$5)*(E$7-E$6))))</f>
        <v>0.0559074998269038</v>
      </c>
      <c r="F47" s="2" t="n">
        <v>0.88989939</v>
      </c>
      <c r="G47" s="2" t="n">
        <f aca="false">IF(G$7=G$5,G$6,IF(NORMSDIST(G$9*SQRT($C$11)*NORMSINV($B47)+SQRT(1-G$9^2*$C$11)*NORMSINV(F47))&lt;G$8,G$5+SQRT(NORMSDIST(G$9*SQRT($C$11)*NORMSINV($B47)+SQRT(1-G$9^2*$C$11)*NORMSINV(F47))*(G$7-G$5)*(G$6-G$5)),G$7-SQRT((1-NORMSDIST(G$9*SQRT($C$11)*NORMSINV($B47)+SQRT(1-G$9^2*$C$11)*NORMSINV(F47)))*(G$7-G$5)*(G$7-G$6))))</f>
        <v>0.059594093069606</v>
      </c>
      <c r="H47" s="2" t="n">
        <v>0.763276902</v>
      </c>
      <c r="I47" s="2" t="n">
        <f aca="false">IF(I$7=I$5,I$6,IF(NORMSDIST(I$9*SQRT($C$11)*NORMSINV($B47)+SQRT(1-I$9^2*$C$11)*NORMSINV(H47))&lt;I$8,I$5+SQRT(NORMSDIST(I$9*SQRT($C$11)*NORMSINV($B47)+SQRT(1-I$9^2*$C$11)*NORMSINV(H47))*(I$7-I$5)*(I$6-I$5)),I$7-SQRT((1-NORMSDIST(I$9*SQRT($C$11)*NORMSINV($B47)+SQRT(1-I$9^2*$C$11)*NORMSINV(H47)))*(I$7-I$5)*(I$7-I$6))))</f>
        <v>202.603257323387</v>
      </c>
      <c r="J47" s="2" t="n">
        <v>0.783251161</v>
      </c>
      <c r="K47" s="2" t="n">
        <f aca="false">IF(K$7=K$5,K$6,IF(NORMSDIST(K$9*SQRT($C$11)*NORMSINV($B47)+SQRT(1-K$9^2*$C$11)*NORMSINV(J47))&lt;K$8,K$5+SQRT(NORMSDIST(K$9*SQRT($C$11)*NORMSINV($B47)+SQRT(1-K$9^2*$C$11)*NORMSINV(J47))*(K$7-K$5)*(K$6-K$5)),K$7-SQRT((1-NORMSDIST(K$9*SQRT($C$11)*NORMSINV($B47)+SQRT(1-K$9^2*$C$11)*NORMSINV(J47)))*(K$7-K$5)*(K$7-K$6))))</f>
        <v>0.288182468805199</v>
      </c>
      <c r="L47" s="2" t="n">
        <v>0.313544126</v>
      </c>
      <c r="M47" s="2" t="n">
        <f aca="false">IF(M$7=M$5,M$6,IF(NORMSDIST(M$9*SQRT($C$11)*NORMSINV($B47)+SQRT(1-M$9^2*$C$11)*NORMSINV(L47))&lt;M$8,M$5+SQRT(NORMSDIST(M$9*SQRT($C$11)*NORMSINV($B47)+SQRT(1-M$9^2*$C$11)*NORMSINV(L47))*(M$7-M$5)*(M$6-M$5)),M$7-SQRT((1-NORMSDIST(M$9*SQRT($C$11)*NORMSINV($B47)+SQRT(1-M$9^2*$C$11)*NORMSINV(L47)))*(M$7-M$5)*(M$7-M$6))))</f>
        <v>1509.41085875546</v>
      </c>
      <c r="N47" s="2" t="n">
        <v>0.550423021</v>
      </c>
      <c r="O47" s="2" t="n">
        <f aca="false">IF(O$7=O$5,O$6,IF(NORMSDIST(O$9*SQRT($C$11)*NORMSINV($B47)+SQRT(1-O$9^2*$C$11)*NORMSINV(N47))&lt;O$8,O$5+SQRT(NORMSDIST(O$9*SQRT($C$11)*NORMSINV($B47)+SQRT(1-O$9^2*$C$11)*NORMSINV(N47))*(O$7-O$5)*(O$6-O$5)),O$7-SQRT((1-NORMSDIST(O$9*SQRT($C$11)*NORMSINV($B47)+SQRT(1-O$9^2*$C$11)*NORMSINV(N47)))*(O$7-O$5)*(O$7-O$6))))</f>
        <v>0.165168464067886</v>
      </c>
      <c r="P47" s="2" t="n">
        <v>0.585747992</v>
      </c>
      <c r="Q47" s="2" t="n">
        <f aca="false">IF(Q$7=Q$5,Q$6,IF(NORMSDIST(Q$9*SQRT($C$11)*NORMSINV($B47)+SQRT(1-Q$9^2*$C$11)*NORMSINV(P47))&lt;Q$8,Q$5+SQRT(NORMSDIST(Q$9*SQRT($C$11)*NORMSINV($B47)+SQRT(1-Q$9^2*$C$11)*NORMSINV(P47))*(Q$7-Q$5)*(Q$6-Q$5)),Q$7-SQRT((1-NORMSDIST(Q$9*SQRT($C$11)*NORMSINV($B47)+SQRT(1-Q$9^2*$C$11)*NORMSINV(P47)))*(Q$7-Q$5)*(Q$7-Q$6))))</f>
        <v>0.0835911216102446</v>
      </c>
      <c r="R47" s="2" t="n">
        <v>0.400237923</v>
      </c>
      <c r="S47" s="2" t="n">
        <f aca="false">IF(S$7=S$5,S$6,IF(NORMSDIST(S$9*SQRT($C$11)*NORMSINV($B47)+SQRT(1-S$9^2*$C$11)*NORMSINV(R47))&lt;S$8,S$5+SQRT(NORMSDIST(S$9*SQRT($C$11)*NORMSINV($B47)+SQRT(1-S$9^2*$C$11)*NORMSINV(R47))*(S$7-S$5)*(S$6-S$5)),S$7-SQRT((1-NORMSDIST(S$9*SQRT($C$11)*NORMSINV($B47)+SQRT(1-S$9^2*$C$11)*NORMSINV(R47)))*(S$7-S$5)*(S$7-S$6))))</f>
        <v>0.405929935754331</v>
      </c>
      <c r="T47" s="2" t="n">
        <v>0.791880818</v>
      </c>
      <c r="U47" s="2" t="n">
        <f aca="false">IF(U$7=U$5,U$6,IF(NORMSDIST(U$9*SQRT($C$11)*NORMSINV($B47)+SQRT(1-U$9^2*$C$11)*NORMSINV(T47))&lt;U$8,U$5+SQRT(NORMSDIST(U$9*SQRT($C$11)*NORMSINV($B47)+SQRT(1-U$9^2*$C$11)*NORMSINV(T47))*(U$7-U$5)*(U$6-U$5)),U$7-SQRT((1-NORMSDIST(U$9*SQRT($C$11)*NORMSINV($B47)+SQRT(1-U$9^2*$C$11)*NORMSINV(T47)))*(U$7-U$5)*(U$7-U$6))))</f>
        <v>0.581455433786281</v>
      </c>
      <c r="V47" s="2" t="n">
        <v>0.427616675</v>
      </c>
      <c r="W47" s="2" t="n">
        <f aca="false">IF(W$7=W$5,W$6,IF(NORMSDIST(W$9*SQRT($C$11)*NORMSINV($B47)+SQRT(1-W$9^2*$C$11)*NORMSINV(V47))&lt;W$8,W$5+SQRT(NORMSDIST(W$9*SQRT($C$11)*NORMSINV($B47)+SQRT(1-W$9^2*$C$11)*NORMSINV(V47))*(W$7-W$5)*(W$6-W$5)),W$7-SQRT((1-NORMSDIST(W$9*SQRT($C$11)*NORMSINV($B47)+SQRT(1-W$9^2*$C$11)*NORMSINV(V47)))*(W$7-W$5)*(W$7-W$6))))</f>
        <v>9.672107336556</v>
      </c>
      <c r="X47" s="2" t="n">
        <v>0.707610877</v>
      </c>
      <c r="Y47" s="2" t="n">
        <f aca="false">IF(Y$7=Y$5,Y$6,IF(NORMSDIST(Y$9*SQRT($C$11)*NORMSINV($B47)+SQRT(1-Y$9^2*$C$11)*NORMSINV(X47))&lt;Y$8,Y$5+SQRT(NORMSDIST(Y$9*SQRT($C$11)*NORMSINV($B47)+SQRT(1-Y$9^2*$C$11)*NORMSINV(X47))*(Y$7-Y$5)*(Y$6-Y$5)),Y$7-SQRT((1-NORMSDIST(Y$9*SQRT($C$11)*NORMSINV($B47)+SQRT(1-Y$9^2*$C$11)*NORMSINV(X47)))*(Y$7-Y$5)*(Y$7-Y$6))))</f>
        <v>0.61764602591316</v>
      </c>
      <c r="Z47" s="2" t="n">
        <v>0.896155376</v>
      </c>
      <c r="AA47" s="2" t="n">
        <f aca="false">IF(AA$7=AA$5,AA$6,IF(NORMSDIST(AA$9*SQRT($C$11)*NORMSINV($B47)+SQRT(1-AA$9^2*$C$11)*NORMSINV(Z47))&lt;AA$8,AA$5+SQRT(NORMSDIST(AA$9*SQRT($C$11)*NORMSINV($B47)+SQRT(1-AA$9^2*$C$11)*NORMSINV(Z47))*(AA$7-AA$5)*(AA$6-AA$5)),AA$7-SQRT((1-NORMSDIST(AA$9*SQRT($C$11)*NORMSINV($B47)+SQRT(1-AA$9^2*$C$11)*NORMSINV(Z47)))*(AA$7-AA$5)*(AA$7-AA$6))))</f>
        <v>0.736582371815725</v>
      </c>
      <c r="AB47" s="2" t="n">
        <v>0.379753386</v>
      </c>
      <c r="AC47" s="2" t="n">
        <f aca="false">IF(AC$7=AC$5,AC$6,IF(NORMSDIST(AC$9*SQRT($C$11)*NORMSINV($B47)+SQRT(1-AC$9^2*$C$11)*NORMSINV(AB47))&lt;AC$8,AC$5+SQRT(NORMSDIST(AC$9*SQRT($C$11)*NORMSINV($B47)+SQRT(1-AC$9^2*$C$11)*NORMSINV(AB47))*(AC$7-AC$5)*(AC$6-AC$5)),AC$7-SQRT((1-NORMSDIST(AC$9*SQRT($C$11)*NORMSINV($B47)+SQRT(1-AC$9^2*$C$11)*NORMSINV(AB47)))*(AC$7-AC$5)*(AC$7-AC$6))))</f>
        <v>9.04901296717125</v>
      </c>
      <c r="AD47" s="2" t="n">
        <f aca="false">Entrées!$C$8*(1+E47)</f>
        <v>7444.14787377967</v>
      </c>
      <c r="AE47" s="2" t="n">
        <f aca="false">I47*Hypothèses!$J$24/12/Hypothèses!$J$19</f>
        <v>100.510827501181</v>
      </c>
      <c r="AF47" s="2" t="n">
        <f aca="false">Entrées!$C$36*S47*1000</f>
        <v>202.964967877165</v>
      </c>
      <c r="AG47" s="2" t="n">
        <f aca="false">-AF47/W47</f>
        <v>-20.9845652880685</v>
      </c>
      <c r="AH47" s="2" t="n">
        <f aca="false">AD47+AE47+AG47</f>
        <v>7523.67413599278</v>
      </c>
      <c r="AI47" s="2" t="n">
        <f aca="false">Entrées!$C$16-M47+Hypothèses!$J$22*1000-AF47+Hypothèses!$J$23</f>
        <v>22835.6241733674</v>
      </c>
      <c r="AJ47" s="2" t="n">
        <f aca="false">AI47/AH47</f>
        <v>3.03516922192618</v>
      </c>
      <c r="AK47" s="2" t="n">
        <f aca="false">AI47/(AH47+I47*(12-Hypothèses!$J$24)/12/Hypothèses!$J$19)</f>
        <v>3.00648036742938</v>
      </c>
      <c r="AL47" s="2" t="n">
        <f aca="false">(AD47+AG47+I47/Hypothèses!$J$19)*(1+G47)</f>
        <v>8048.11258632838</v>
      </c>
      <c r="AM47" s="2" t="n">
        <f aca="false">Entrées!$C$54*K47/Hypothèses!$J$19</f>
        <v>29.410230941565</v>
      </c>
      <c r="AN47" s="2" t="n">
        <f aca="false">Y47*1000/AC47</f>
        <v>68.2556239176479</v>
      </c>
      <c r="AO47" s="2" t="n">
        <f aca="false">(Entrées!$C$36*(1-S47)+MAX(0,Entrées!$C$30-Entrées!$C$35-Entrées!$C$36)*U47)*1000</f>
        <v>1111.07263942363</v>
      </c>
      <c r="AP47" s="2" t="n">
        <f aca="false">-AO47/W47</f>
        <v>-114.87389467074</v>
      </c>
      <c r="AQ47" s="2" t="n">
        <f aca="false">AL47+AM47+AN47+AP47</f>
        <v>8030.90454651685</v>
      </c>
      <c r="AR47" s="2" t="n">
        <f aca="false">O47*AQ47-Hypothèses!$J$25/Hypothèses!$J$19</f>
        <v>1307.31700676236</v>
      </c>
      <c r="AS47" s="2" t="n">
        <f aca="false">Entrées!$C$79*(1+Q47)+Hypothèses!$J$20</f>
        <v>1485.86664264966</v>
      </c>
      <c r="AT47" s="2" t="n">
        <f aca="false">AI47-AR47+AS47+Y47*1000-AO47+Hypothèses!$J$23</f>
        <v>22520.7471957442</v>
      </c>
      <c r="AU47" s="2" t="n">
        <f aca="false">AT47/AQ47</f>
        <v>2.8042603501634</v>
      </c>
      <c r="AV47" s="2" t="n">
        <f aca="false">Hypothèses!$J$26*AQ47-AT47</f>
        <v>1571.96644380634</v>
      </c>
      <c r="AW47" s="2" t="n">
        <f aca="false">IF(AC47&gt;Hypothèses!$J$26,MAX(0,AV47)/(1-Hypothèses!$J$26/AC47),0)</f>
        <v>2351.58112755934</v>
      </c>
      <c r="AX47" s="2" t="n">
        <f aca="false">AQ47-Entrées!$C$17*1000</f>
        <v>30.9045465168483</v>
      </c>
      <c r="AY47" s="2" t="n">
        <f aca="false">AI47+(Entrées!$C$244-Entrées!$C$13)</f>
        <v>28582.6241733674</v>
      </c>
      <c r="AZ47" s="2" t="n">
        <f aca="false">AA47*AH47</f>
        <v>5541.80573985819</v>
      </c>
      <c r="BA47" s="2" t="n">
        <f aca="false">AZ47/AY47</f>
        <v>0.193887226947549</v>
      </c>
      <c r="BB47" s="2" t="n">
        <f aca="false">AZ47/(Entrées!$C$151/100)-AY47</f>
        <v>2205.18549251144</v>
      </c>
      <c r="BC47" s="2" t="n">
        <f aca="false">AT47+(Entrées!$C$244-Entrées!$C$13)</f>
        <v>28267.7471957442</v>
      </c>
      <c r="BD47" s="2" t="n">
        <f aca="false">AA47*AQ47</f>
        <v>5915.42271869907</v>
      </c>
      <c r="BE47" s="2" t="n">
        <f aca="false">BD47/BC47</f>
        <v>0.209264030760458</v>
      </c>
      <c r="BF47" s="2" t="n">
        <f aca="false">BD47/(Entrées!$C$151/100)-BC47</f>
        <v>4595.71235258394</v>
      </c>
      <c r="BG47" s="2" t="n">
        <f aca="false">MIN(AV47,BF47)</f>
        <v>1571.96644380634</v>
      </c>
      <c r="BH47" s="2" t="n">
        <f aca="false">IF(AC47&gt;Hypothèses!$J$26,MAX(0,BG47)/(1-Hypothèses!$J$26/AC47),0)</f>
        <v>2351.58112755934</v>
      </c>
    </row>
    <row r="48" customFormat="false" ht="15" hidden="false" customHeight="false" outlineLevel="0" collapsed="false">
      <c r="A48" s="2" t="n">
        <v>33</v>
      </c>
      <c r="B48" s="2" t="n">
        <v>0.40795437</v>
      </c>
      <c r="C48" s="2"/>
      <c r="D48" s="2" t="n">
        <v>0.022023837</v>
      </c>
      <c r="E48" s="2" t="n">
        <f aca="false">IF(E$7=E$5,E$6,IF(NORMSDIST(E$9*SQRT($C$11)*NORMSINV($B48)+SQRT(1-E$9^2*$C$11)*NORMSINV(D48))&lt;E$8,E$5+SQRT(NORMSDIST(E$9*SQRT($C$11)*NORMSINV($B48)+SQRT(1-E$9^2*$C$11)*NORMSINV(D48))*(E$7-E$5)*(E$6-E$5)),E$7-SQRT((1-NORMSDIST(E$9*SQRT($C$11)*NORMSINV($B48)+SQRT(1-E$9^2*$C$11)*NORMSINV(D48)))*(E$7-E$5)*(E$7-E$6))))</f>
        <v>0.0514817415704229</v>
      </c>
      <c r="F48" s="2" t="n">
        <v>0.164874215</v>
      </c>
      <c r="G48" s="2" t="n">
        <f aca="false">IF(G$7=G$5,G$6,IF(NORMSDIST(G$9*SQRT($C$11)*NORMSINV($B48)+SQRT(1-G$9^2*$C$11)*NORMSINV(F48))&lt;G$8,G$5+SQRT(NORMSDIST(G$9*SQRT($C$11)*NORMSINV($B48)+SQRT(1-G$9^2*$C$11)*NORMSINV(F48))*(G$7-G$5)*(G$6-G$5)),G$7-SQRT((1-NORMSDIST(G$9*SQRT($C$11)*NORMSINV($B48)+SQRT(1-G$9^2*$C$11)*NORMSINV(F48)))*(G$7-G$5)*(G$7-G$6))))</f>
        <v>0.0490865983744474</v>
      </c>
      <c r="H48" s="2" t="n">
        <v>0.738314545</v>
      </c>
      <c r="I48" s="2" t="n">
        <f aca="false">IF(I$7=I$5,I$6,IF(NORMSDIST(I$9*SQRT($C$11)*NORMSINV($B48)+SQRT(1-I$9^2*$C$11)*NORMSINV(H48))&lt;I$8,I$5+SQRT(NORMSDIST(I$9*SQRT($C$11)*NORMSINV($B48)+SQRT(1-I$9^2*$C$11)*NORMSINV(H48))*(I$7-I$5)*(I$6-I$5)),I$7-SQRT((1-NORMSDIST(I$9*SQRT($C$11)*NORMSINV($B48)+SQRT(1-I$9^2*$C$11)*NORMSINV(H48)))*(I$7-I$5)*(I$7-I$6))))</f>
        <v>202.929128845243</v>
      </c>
      <c r="J48" s="2" t="n">
        <v>0.285529584</v>
      </c>
      <c r="K48" s="2" t="n">
        <f aca="false">IF(K$7=K$5,K$6,IF(NORMSDIST(K$9*SQRT($C$11)*NORMSINV($B48)+SQRT(1-K$9^2*$C$11)*NORMSINV(J48))&lt;K$8,K$5+SQRT(NORMSDIST(K$9*SQRT($C$11)*NORMSINV($B48)+SQRT(1-K$9^2*$C$11)*NORMSINV(J48))*(K$7-K$5)*(K$6-K$5)),K$7-SQRT((1-NORMSDIST(K$9*SQRT($C$11)*NORMSINV($B48)+SQRT(1-K$9^2*$C$11)*NORMSINV(J48)))*(K$7-K$5)*(K$7-K$6))))</f>
        <v>0.186722579803006</v>
      </c>
      <c r="L48" s="2" t="n">
        <v>0.885282987</v>
      </c>
      <c r="M48" s="2" t="n">
        <f aca="false">IF(M$7=M$5,M$6,IF(NORMSDIST(M$9*SQRT($C$11)*NORMSINV($B48)+SQRT(1-M$9^2*$C$11)*NORMSINV(L48))&lt;M$8,M$5+SQRT(NORMSDIST(M$9*SQRT($C$11)*NORMSINV($B48)+SQRT(1-M$9^2*$C$11)*NORMSINV(L48))*(M$7-M$5)*(M$6-M$5)),M$7-SQRT((1-NORMSDIST(M$9*SQRT($C$11)*NORMSINV($B48)+SQRT(1-M$9^2*$C$11)*NORMSINV(L48)))*(M$7-M$5)*(M$7-M$6))))</f>
        <v>1660.58198858118</v>
      </c>
      <c r="N48" s="2" t="n">
        <v>0.243527911</v>
      </c>
      <c r="O48" s="2" t="n">
        <f aca="false">IF(O$7=O$5,O$6,IF(NORMSDIST(O$9*SQRT($C$11)*NORMSINV($B48)+SQRT(1-O$9^2*$C$11)*NORMSINV(N48))&lt;O$8,O$5+SQRT(NORMSDIST(O$9*SQRT($C$11)*NORMSINV($B48)+SQRT(1-O$9^2*$C$11)*NORMSINV(N48))*(O$7-O$5)*(O$6-O$5)),O$7-SQRT((1-NORMSDIST(O$9*SQRT($C$11)*NORMSINV($B48)+SQRT(1-O$9^2*$C$11)*NORMSINV(N48)))*(O$7-O$5)*(O$7-O$6))))</f>
        <v>0.158805959397014</v>
      </c>
      <c r="P48" s="2" t="n">
        <v>0.47558947</v>
      </c>
      <c r="Q48" s="2" t="n">
        <f aca="false">IF(Q$7=Q$5,Q$6,IF(NORMSDIST(Q$9*SQRT($C$11)*NORMSINV($B48)+SQRT(1-Q$9^2*$C$11)*NORMSINV(P48))&lt;Q$8,Q$5+SQRT(NORMSDIST(Q$9*SQRT($C$11)*NORMSINV($B48)+SQRT(1-Q$9^2*$C$11)*NORMSINV(P48))*(Q$7-Q$5)*(Q$6-Q$5)),Q$7-SQRT((1-NORMSDIST(Q$9*SQRT($C$11)*NORMSINV($B48)+SQRT(1-Q$9^2*$C$11)*NORMSINV(P48)))*(Q$7-Q$5)*(Q$7-Q$6))))</f>
        <v>0.0790113612169583</v>
      </c>
      <c r="R48" s="2" t="n">
        <v>0.741307705</v>
      </c>
      <c r="S48" s="2" t="n">
        <f aca="false">IF(S$7=S$5,S$6,IF(NORMSDIST(S$9*SQRT($C$11)*NORMSINV($B48)+SQRT(1-S$9^2*$C$11)*NORMSINV(R48))&lt;S$8,S$5+SQRT(NORMSDIST(S$9*SQRT($C$11)*NORMSINV($B48)+SQRT(1-S$9^2*$C$11)*NORMSINV(R48))*(S$7-S$5)*(S$6-S$5)),S$7-SQRT((1-NORMSDIST(S$9*SQRT($C$11)*NORMSINV($B48)+SQRT(1-S$9^2*$C$11)*NORMSINV(R48)))*(S$7-S$5)*(S$7-S$6))))</f>
        <v>0.574801361657686</v>
      </c>
      <c r="T48" s="2" t="n">
        <v>0.349087763</v>
      </c>
      <c r="U48" s="2" t="n">
        <f aca="false">IF(U$7=U$5,U$6,IF(NORMSDIST(U$9*SQRT($C$11)*NORMSINV($B48)+SQRT(1-U$9^2*$C$11)*NORMSINV(T48))&lt;U$8,U$5+SQRT(NORMSDIST(U$9*SQRT($C$11)*NORMSINV($B48)+SQRT(1-U$9^2*$C$11)*NORMSINV(T48))*(U$7-U$5)*(U$6-U$5)),U$7-SQRT((1-NORMSDIST(U$9*SQRT($C$11)*NORMSINV($B48)+SQRT(1-U$9^2*$C$11)*NORMSINV(T48)))*(U$7-U$5)*(U$7-U$6))))</f>
        <v>0.404483743471794</v>
      </c>
      <c r="V48" s="2" t="n">
        <v>0.454226964</v>
      </c>
      <c r="W48" s="2" t="n">
        <f aca="false">IF(W$7=W$5,W$6,IF(NORMSDIST(W$9*SQRT($C$11)*NORMSINV($B48)+SQRT(1-W$9^2*$C$11)*NORMSINV(V48))&lt;W$8,W$5+SQRT(NORMSDIST(W$9*SQRT($C$11)*NORMSINV($B48)+SQRT(1-W$9^2*$C$11)*NORMSINV(V48))*(W$7-W$5)*(W$6-W$5)),W$7-SQRT((1-NORMSDIST(W$9*SQRT($C$11)*NORMSINV($B48)+SQRT(1-W$9^2*$C$11)*NORMSINV(V48)))*(W$7-W$5)*(W$7-W$6))))</f>
        <v>9.80354146890679</v>
      </c>
      <c r="X48" s="2" t="n">
        <v>0.596188693</v>
      </c>
      <c r="Y48" s="2" t="n">
        <f aca="false">IF(Y$7=Y$5,Y$6,IF(NORMSDIST(Y$9*SQRT($C$11)*NORMSINV($B48)+SQRT(1-Y$9^2*$C$11)*NORMSINV(X48))&lt;Y$8,Y$5+SQRT(NORMSDIST(Y$9*SQRT($C$11)*NORMSINV($B48)+SQRT(1-Y$9^2*$C$11)*NORMSINV(X48))*(Y$7-Y$5)*(Y$6-Y$5)),Y$7-SQRT((1-NORMSDIST(Y$9*SQRT($C$11)*NORMSINV($B48)+SQRT(1-Y$9^2*$C$11)*NORMSINV(X48)))*(Y$7-Y$5)*(Y$7-Y$6))))</f>
        <v>0.550660870277248</v>
      </c>
      <c r="Z48" s="2" t="n">
        <v>0.537979444</v>
      </c>
      <c r="AA48" s="2" t="n">
        <f aca="false">IF(AA$7=AA$5,AA$6,IF(NORMSDIST(AA$9*SQRT($C$11)*NORMSINV($B48)+SQRT(1-AA$9^2*$C$11)*NORMSINV(Z48))&lt;AA$8,AA$5+SQRT(NORMSDIST(AA$9*SQRT($C$11)*NORMSINV($B48)+SQRT(1-AA$9^2*$C$11)*NORMSINV(Z48))*(AA$7-AA$5)*(AA$6-AA$5)),AA$7-SQRT((1-NORMSDIST(AA$9*SQRT($C$11)*NORMSINV($B48)+SQRT(1-AA$9^2*$C$11)*NORMSINV(Z48)))*(AA$7-AA$5)*(AA$7-AA$6))))</f>
        <v>0.727079481462656</v>
      </c>
      <c r="AB48" s="2" t="n">
        <v>0.550234308</v>
      </c>
      <c r="AC48" s="2" t="n">
        <f aca="false">IF(AC$7=AC$5,AC$6,IF(NORMSDIST(AC$9*SQRT($C$11)*NORMSINV($B48)+SQRT(1-AC$9^2*$C$11)*NORMSINV(AB48))&lt;AC$8,AC$5+SQRT(NORMSDIST(AC$9*SQRT($C$11)*NORMSINV($B48)+SQRT(1-AC$9^2*$C$11)*NORMSINV(AB48))*(AC$7-AC$5)*(AC$6-AC$5)),AC$7-SQRT((1-NORMSDIST(AC$9*SQRT($C$11)*NORMSINV($B48)+SQRT(1-AC$9^2*$C$11)*NORMSINV(AB48)))*(AC$7-AC$5)*(AC$7-AC$6))))</f>
        <v>9.43706490929067</v>
      </c>
      <c r="AD48" s="2" t="n">
        <f aca="false">Entrées!$C$8*(1+E48)</f>
        <v>7412.94627807148</v>
      </c>
      <c r="AE48" s="2" t="n">
        <f aca="false">I48*Hypothèses!$J$24/12/Hypothèses!$J$19</f>
        <v>100.672491320181</v>
      </c>
      <c r="AF48" s="2" t="n">
        <f aca="false">Entrées!$C$36*S48*1000</f>
        <v>287.400680828843</v>
      </c>
      <c r="AG48" s="2" t="n">
        <f aca="false">-AF48/W48</f>
        <v>-29.3160060311237</v>
      </c>
      <c r="AH48" s="2" t="n">
        <f aca="false">AD48+AE48+AG48</f>
        <v>7484.30276336054</v>
      </c>
      <c r="AI48" s="2" t="n">
        <f aca="false">Entrées!$C$16-M48+Hypothèses!$J$22*1000-AF48+Hypothèses!$J$23</f>
        <v>22600.01733059</v>
      </c>
      <c r="AJ48" s="2" t="n">
        <f aca="false">AI48/AH48</f>
        <v>3.01965567737699</v>
      </c>
      <c r="AK48" s="2" t="n">
        <f aca="false">AI48/(AH48+I48*(12-Hypothèses!$J$24)/12/Hypothèses!$J$19)</f>
        <v>2.99091903066508</v>
      </c>
      <c r="AL48" s="2" t="n">
        <f aca="false">(AD48+AG48+I48/Hypothèses!$J$19)*(1+G48)</f>
        <v>7927.12041398193</v>
      </c>
      <c r="AM48" s="2" t="n">
        <f aca="false">Entrées!$C$54*K48/Hypothèses!$J$19</f>
        <v>19.0558232663463</v>
      </c>
      <c r="AN48" s="2" t="n">
        <f aca="false">Y48*1000/AC48</f>
        <v>58.3508617955069</v>
      </c>
      <c r="AO48" s="2" t="n">
        <f aca="false">(Entrées!$C$36*(1-S48)+MAX(0,Entrées!$C$30-Entrées!$C$35-Entrées!$C$36)*U48)*1000</f>
        <v>778.876560031668</v>
      </c>
      <c r="AP48" s="2" t="n">
        <f aca="false">-AO48/W48</f>
        <v>-79.4484893547884</v>
      </c>
      <c r="AQ48" s="2" t="n">
        <f aca="false">AL48+AM48+AN48+AP48</f>
        <v>7925.078609689</v>
      </c>
      <c r="AR48" s="2" t="n">
        <f aca="false">O48*AQ48-Hypothèses!$J$25/Hypothèses!$J$19</f>
        <v>1239.41454964679</v>
      </c>
      <c r="AS48" s="2" t="n">
        <f aca="false">Entrées!$C$79*(1+Q48)+Hypothèses!$J$20</f>
        <v>1480.83348597744</v>
      </c>
      <c r="AT48" s="2" t="n">
        <f aca="false">AI48-AR48+AS48+Y48*1000-AO48+Hypothèses!$J$23</f>
        <v>22613.2205771662</v>
      </c>
      <c r="AU48" s="2" t="n">
        <f aca="false">AT48/AQ48</f>
        <v>2.85337492419569</v>
      </c>
      <c r="AV48" s="2" t="n">
        <f aca="false">Hypothèses!$J$26*AQ48-AT48</f>
        <v>1162.0152519008</v>
      </c>
      <c r="AW48" s="2" t="n">
        <f aca="false">IF(AC48&gt;Hypothèses!$J$26,MAX(0,AV48)/(1-Hypothèses!$J$26/AC48),0)</f>
        <v>1703.57352493778</v>
      </c>
      <c r="AX48" s="2" t="n">
        <f aca="false">AQ48-Entrées!$C$17*1000</f>
        <v>-74.9213903110021</v>
      </c>
      <c r="AY48" s="2" t="n">
        <f aca="false">AI48+(Entrées!$C$244-Entrées!$C$13)</f>
        <v>28347.01733059</v>
      </c>
      <c r="AZ48" s="2" t="n">
        <f aca="false">AA48*AH48</f>
        <v>5441.68297229371</v>
      </c>
      <c r="BA48" s="2" t="n">
        <f aca="false">AZ48/AY48</f>
        <v>0.19196668590672</v>
      </c>
      <c r="BB48" s="2" t="n">
        <f aca="false">AZ48/(Entrées!$C$151/100)-AY48</f>
        <v>1884.55473770839</v>
      </c>
      <c r="BC48" s="2" t="n">
        <f aca="false">AT48+(Entrées!$C$244-Entrées!$C$13)</f>
        <v>28360.2205771662</v>
      </c>
      <c r="BD48" s="2" t="n">
        <f aca="false">AA48*AQ48</f>
        <v>5762.16204608346</v>
      </c>
      <c r="BE48" s="2" t="n">
        <f aca="false">BD48/BC48</f>
        <v>0.203177617409745</v>
      </c>
      <c r="BF48" s="2" t="n">
        <f aca="false">BD48/(Entrées!$C$151/100)-BC48</f>
        <v>3651.79078996416</v>
      </c>
      <c r="BG48" s="2" t="n">
        <f aca="false">MIN(AV48,BF48)</f>
        <v>1162.0152519008</v>
      </c>
      <c r="BH48" s="2" t="n">
        <f aca="false">IF(AC48&gt;Hypothèses!$J$26,MAX(0,BG48)/(1-Hypothèses!$J$26/AC48),0)</f>
        <v>1703.57352493778</v>
      </c>
    </row>
    <row r="49" customFormat="false" ht="15" hidden="false" customHeight="false" outlineLevel="0" collapsed="false">
      <c r="A49" s="2" t="n">
        <v>34</v>
      </c>
      <c r="B49" s="2" t="n">
        <v>0.255193357</v>
      </c>
      <c r="C49" s="2"/>
      <c r="D49" s="2" t="n">
        <v>0.35380354</v>
      </c>
      <c r="E49" s="2" t="n">
        <f aca="false">IF(E$7=E$5,E$6,IF(NORMSDIST(E$9*SQRT($C$11)*NORMSINV($B49)+SQRT(1-E$9^2*$C$11)*NORMSINV(D49))&lt;E$8,E$5+SQRT(NORMSDIST(E$9*SQRT($C$11)*NORMSINV($B49)+SQRT(1-E$9^2*$C$11)*NORMSINV(D49))*(E$7-E$5)*(E$6-E$5)),E$7-SQRT((1-NORMSDIST(E$9*SQRT($C$11)*NORMSINV($B49)+SQRT(1-E$9^2*$C$11)*NORMSINV(D49)))*(E$7-E$5)*(E$7-E$6))))</f>
        <v>0.0534629090223265</v>
      </c>
      <c r="F49" s="2" t="n">
        <v>0.850760249</v>
      </c>
      <c r="G49" s="2" t="n">
        <f aca="false">IF(G$7=G$5,G$6,IF(NORMSDIST(G$9*SQRT($C$11)*NORMSINV($B49)+SQRT(1-G$9^2*$C$11)*NORMSINV(F49))&lt;G$8,G$5+SQRT(NORMSDIST(G$9*SQRT($C$11)*NORMSINV($B49)+SQRT(1-G$9^2*$C$11)*NORMSINV(F49))*(G$7-G$5)*(G$6-G$5)),G$7-SQRT((1-NORMSDIST(G$9*SQRT($C$11)*NORMSINV($B49)+SQRT(1-G$9^2*$C$11)*NORMSINV(F49)))*(G$7-G$5)*(G$7-G$6))))</f>
        <v>0.057474826554455</v>
      </c>
      <c r="H49" s="2" t="n">
        <v>0.69038288</v>
      </c>
      <c r="I49" s="2" t="n">
        <f aca="false">IF(I$7=I$5,I$6,IF(NORMSDIST(I$9*SQRT($C$11)*NORMSINV($B49)+SQRT(1-I$9^2*$C$11)*NORMSINV(H49))&lt;I$8,I$5+SQRT(NORMSDIST(I$9*SQRT($C$11)*NORMSINV($B49)+SQRT(1-I$9^2*$C$11)*NORMSINV(H49))*(I$7-I$5)*(I$6-I$5)),I$7-SQRT((1-NORMSDIST(I$9*SQRT($C$11)*NORMSINV($B49)+SQRT(1-I$9^2*$C$11)*NORMSINV(H49)))*(I$7-I$5)*(I$7-I$6))))</f>
        <v>199.74807930003</v>
      </c>
      <c r="J49" s="2" t="n">
        <v>0.628927408</v>
      </c>
      <c r="K49" s="2" t="n">
        <f aca="false">IF(K$7=K$5,K$6,IF(NORMSDIST(K$9*SQRT($C$11)*NORMSINV($B49)+SQRT(1-K$9^2*$C$11)*NORMSINV(J49))&lt;K$8,K$5+SQRT(NORMSDIST(K$9*SQRT($C$11)*NORMSINV($B49)+SQRT(1-K$9^2*$C$11)*NORMSINV(J49))*(K$7-K$5)*(K$6-K$5)),K$7-SQRT((1-NORMSDIST(K$9*SQRT($C$11)*NORMSINV($B49)+SQRT(1-K$9^2*$C$11)*NORMSINV(J49)))*(K$7-K$5)*(K$7-K$6))))</f>
        <v>0.233417228054564</v>
      </c>
      <c r="L49" s="2" t="n">
        <v>0.238612576</v>
      </c>
      <c r="M49" s="2" t="n">
        <f aca="false">IF(M$7=M$5,M$6,IF(NORMSDIST(M$9*SQRT($C$11)*NORMSINV($B49)+SQRT(1-M$9^2*$C$11)*NORMSINV(L49))&lt;M$8,M$5+SQRT(NORMSDIST(M$9*SQRT($C$11)*NORMSINV($B49)+SQRT(1-M$9^2*$C$11)*NORMSINV(L49))*(M$7-M$5)*(M$6-M$5)),M$7-SQRT((1-NORMSDIST(M$9*SQRT($C$11)*NORMSINV($B49)+SQRT(1-M$9^2*$C$11)*NORMSINV(L49)))*(M$7-M$5)*(M$7-M$6))))</f>
        <v>1466.16773171581</v>
      </c>
      <c r="N49" s="2" t="n">
        <v>0.803158518</v>
      </c>
      <c r="O49" s="2" t="n">
        <f aca="false">IF(O$7=O$5,O$6,IF(NORMSDIST(O$9*SQRT($C$11)*NORMSINV($B49)+SQRT(1-O$9^2*$C$11)*NORMSINV(N49))&lt;O$8,O$5+SQRT(NORMSDIST(O$9*SQRT($C$11)*NORMSINV($B49)+SQRT(1-O$9^2*$C$11)*NORMSINV(N49))*(O$7-O$5)*(O$6-O$5)),O$7-SQRT((1-NORMSDIST(O$9*SQRT($C$11)*NORMSINV($B49)+SQRT(1-O$9^2*$C$11)*NORMSINV(N49)))*(O$7-O$5)*(O$7-O$6))))</f>
        <v>0.169269307073676</v>
      </c>
      <c r="P49" s="2" t="n">
        <v>0.03549953</v>
      </c>
      <c r="Q49" s="2" t="n">
        <f aca="false">IF(Q$7=Q$5,Q$6,IF(NORMSDIST(Q$9*SQRT($C$11)*NORMSINV($B49)+SQRT(1-Q$9^2*$C$11)*NORMSINV(P49))&lt;Q$8,Q$5+SQRT(NORMSDIST(Q$9*SQRT($C$11)*NORMSINV($B49)+SQRT(1-Q$9^2*$C$11)*NORMSINV(P49))*(Q$7-Q$5)*(Q$6-Q$5)),Q$7-SQRT((1-NORMSDIST(Q$9*SQRT($C$11)*NORMSINV($B49)+SQRT(1-Q$9^2*$C$11)*NORMSINV(P49)))*(Q$7-Q$5)*(Q$7-Q$6))))</f>
        <v>0.0506582595202031</v>
      </c>
      <c r="R49" s="2" t="n">
        <v>0.613601555</v>
      </c>
      <c r="S49" s="2" t="n">
        <f aca="false">IF(S$7=S$5,S$6,IF(NORMSDIST(S$9*SQRT($C$11)*NORMSINV($B49)+SQRT(1-S$9^2*$C$11)*NORMSINV(R49))&lt;S$8,S$5+SQRT(NORMSDIST(S$9*SQRT($C$11)*NORMSINV($B49)+SQRT(1-S$9^2*$C$11)*NORMSINV(R49))*(S$7-S$5)*(S$6-S$5)),S$7-SQRT((1-NORMSDIST(S$9*SQRT($C$11)*NORMSINV($B49)+SQRT(1-S$9^2*$C$11)*NORMSINV(R49)))*(S$7-S$5)*(S$7-S$6))))</f>
        <v>0.46022324500371</v>
      </c>
      <c r="T49" s="2" t="n">
        <v>0.30714085</v>
      </c>
      <c r="U49" s="2" t="n">
        <f aca="false">IF(U$7=U$5,U$6,IF(NORMSDIST(U$9*SQRT($C$11)*NORMSINV($B49)+SQRT(1-U$9^2*$C$11)*NORMSINV(T49))&lt;U$8,U$5+SQRT(NORMSDIST(U$9*SQRT($C$11)*NORMSINV($B49)+SQRT(1-U$9^2*$C$11)*NORMSINV(T49))*(U$7-U$5)*(U$6-U$5)),U$7-SQRT((1-NORMSDIST(U$9*SQRT($C$11)*NORMSINV($B49)+SQRT(1-U$9^2*$C$11)*NORMSINV(T49)))*(U$7-U$5)*(U$7-U$6))))</f>
        <v>0.323979700732154</v>
      </c>
      <c r="V49" s="2" t="n">
        <v>0.097959583</v>
      </c>
      <c r="W49" s="2" t="n">
        <f aca="false">IF(W$7=W$5,W$6,IF(NORMSDIST(W$9*SQRT($C$11)*NORMSINV($B49)+SQRT(1-W$9^2*$C$11)*NORMSINV(V49))&lt;W$8,W$5+SQRT(NORMSDIST(W$9*SQRT($C$11)*NORMSINV($B49)+SQRT(1-W$9^2*$C$11)*NORMSINV(V49))*(W$7-W$5)*(W$6-W$5)),W$7-SQRT((1-NORMSDIST(W$9*SQRT($C$11)*NORMSINV($B49)+SQRT(1-W$9^2*$C$11)*NORMSINV(V49)))*(W$7-W$5)*(W$7-W$6))))</f>
        <v>8.79037218061415</v>
      </c>
      <c r="X49" s="2" t="n">
        <v>0.667137719</v>
      </c>
      <c r="Y49" s="2" t="n">
        <f aca="false">IF(Y$7=Y$5,Y$6,IF(NORMSDIST(Y$9*SQRT($C$11)*NORMSINV($B49)+SQRT(1-Y$9^2*$C$11)*NORMSINV(X49))&lt;Y$8,Y$5+SQRT(NORMSDIST(Y$9*SQRT($C$11)*NORMSINV($B49)+SQRT(1-Y$9^2*$C$11)*NORMSINV(X49))*(Y$7-Y$5)*(Y$6-Y$5)),Y$7-SQRT((1-NORMSDIST(Y$9*SQRT($C$11)*NORMSINV($B49)+SQRT(1-Y$9^2*$C$11)*NORMSINV(X49)))*(Y$7-Y$5)*(Y$7-Y$6))))</f>
        <v>0.592040270982539</v>
      </c>
      <c r="Z49" s="2" t="n">
        <v>0.215491447</v>
      </c>
      <c r="AA49" s="2" t="n">
        <f aca="false">IF(AA$7=AA$5,AA$6,IF(NORMSDIST(AA$9*SQRT($C$11)*NORMSINV($B49)+SQRT(1-AA$9^2*$C$11)*NORMSINV(Z49))&lt;AA$8,AA$5+SQRT(NORMSDIST(AA$9*SQRT($C$11)*NORMSINV($B49)+SQRT(1-AA$9^2*$C$11)*NORMSINV(Z49))*(AA$7-AA$5)*(AA$6-AA$5)),AA$7-SQRT((1-NORMSDIST(AA$9*SQRT($C$11)*NORMSINV($B49)+SQRT(1-AA$9^2*$C$11)*NORMSINV(Z49)))*(AA$7-AA$5)*(AA$7-AA$6))))</f>
        <v>0.713388596638842</v>
      </c>
      <c r="AB49" s="2" t="n">
        <v>0.952762116</v>
      </c>
      <c r="AC49" s="2" t="n">
        <f aca="false">IF(AC$7=AC$5,AC$6,IF(NORMSDIST(AC$9*SQRT($C$11)*NORMSINV($B49)+SQRT(1-AC$9^2*$C$11)*NORMSINV(AB49))&lt;AC$8,AC$5+SQRT(NORMSDIST(AC$9*SQRT($C$11)*NORMSINV($B49)+SQRT(1-AC$9^2*$C$11)*NORMSINV(AB49))*(AC$7-AC$5)*(AC$6-AC$5)),AC$7-SQRT((1-NORMSDIST(AC$9*SQRT($C$11)*NORMSINV($B49)+SQRT(1-AC$9^2*$C$11)*NORMSINV(AB49)))*(AC$7-AC$5)*(AC$7-AC$6))))</f>
        <v>10.0947413882241</v>
      </c>
      <c r="AD49" s="2" t="n">
        <f aca="false">Entrées!$C$8*(1+E49)</f>
        <v>7426.9135086074</v>
      </c>
      <c r="AE49" s="2" t="n">
        <f aca="false">I49*Hypothèses!$J$24/12/Hypothèses!$J$19</f>
        <v>99.0943828221458</v>
      </c>
      <c r="AF49" s="2" t="n">
        <f aca="false">Entrées!$C$36*S49*1000</f>
        <v>230.111622501855</v>
      </c>
      <c r="AG49" s="2" t="n">
        <f aca="false">-AF49/W49</f>
        <v>-26.1776882450247</v>
      </c>
      <c r="AH49" s="2" t="n">
        <f aca="false">AD49+AE49+AG49</f>
        <v>7499.83020318452</v>
      </c>
      <c r="AI49" s="2" t="n">
        <f aca="false">Entrées!$C$16-M49+Hypothèses!$J$22*1000-AF49+Hypothèses!$J$23</f>
        <v>22851.7206457823</v>
      </c>
      <c r="AJ49" s="2" t="n">
        <f aca="false">AI49/AH49</f>
        <v>3.0469650680997</v>
      </c>
      <c r="AK49" s="2" t="n">
        <f aca="false">AI49/(AH49+I49*(12-Hypothèses!$J$24)/12/Hypothèses!$J$19)</f>
        <v>3.01847736113447</v>
      </c>
      <c r="AL49" s="2" t="n">
        <f aca="false">(AD49+AG49+I49/Hypothèses!$J$19)*(1+G49)</f>
        <v>8005.73151136282</v>
      </c>
      <c r="AM49" s="2" t="n">
        <f aca="false">Entrées!$C$54*K49/Hypothèses!$J$19</f>
        <v>23.8212081785761</v>
      </c>
      <c r="AN49" s="2" t="n">
        <f aca="false">Y49*1000/AC49</f>
        <v>58.6483841649648</v>
      </c>
      <c r="AO49" s="2" t="n">
        <f aca="false">(Entrées!$C$36*(1-S49)+MAX(0,Entrées!$C$30-Entrées!$C$35-Entrées!$C$36)*U49)*1000</f>
        <v>723.45995852316</v>
      </c>
      <c r="AP49" s="2" t="n">
        <f aca="false">-AO49/W49</f>
        <v>-82.3014024501309</v>
      </c>
      <c r="AQ49" s="2" t="n">
        <f aca="false">AL49+AM49+AN49+AP49</f>
        <v>8005.89970125623</v>
      </c>
      <c r="AR49" s="2" t="n">
        <f aca="false">O49*AQ49-Hypothèses!$J$25/Hypothèses!$J$19</f>
        <v>1336.01793267137</v>
      </c>
      <c r="AS49" s="2" t="n">
        <f aca="false">Entrées!$C$79*(1+Q49)+Hypothèses!$J$20</f>
        <v>1449.6734272127</v>
      </c>
      <c r="AT49" s="2" t="n">
        <f aca="false">AI49-AR49+AS49+Y49*1000-AO49+Hypothèses!$J$23</f>
        <v>22833.956452783</v>
      </c>
      <c r="AU49" s="2" t="n">
        <f aca="false">AT49/AQ49</f>
        <v>2.8521412089637</v>
      </c>
      <c r="AV49" s="2" t="n">
        <f aca="false">Hypothèses!$J$26*AQ49-AT49</f>
        <v>1183.74265098565</v>
      </c>
      <c r="AW49" s="2" t="n">
        <f aca="false">IF(AC49&gt;Hypothèses!$J$26,MAX(0,AV49)/(1-Hypothèses!$J$26/AC49),0)</f>
        <v>1684.28632955457</v>
      </c>
      <c r="AX49" s="2" t="n">
        <f aca="false">AQ49-Entrées!$C$17*1000</f>
        <v>5.89970125623131</v>
      </c>
      <c r="AY49" s="2" t="n">
        <f aca="false">AI49+(Entrées!$C$244-Entrées!$C$13)</f>
        <v>28598.7206457823</v>
      </c>
      <c r="AZ49" s="2" t="n">
        <f aca="false">AA49*AH49</f>
        <v>5350.29334367941</v>
      </c>
      <c r="BA49" s="2" t="n">
        <f aca="false">AZ49/AY49</f>
        <v>0.187081562491798</v>
      </c>
      <c r="BB49" s="2" t="n">
        <f aca="false">AZ49/(Entrées!$C$151/100)-AY49</f>
        <v>1125.13126354772</v>
      </c>
      <c r="BC49" s="2" t="n">
        <f aca="false">AT49+(Entrées!$C$244-Entrées!$C$13)</f>
        <v>28580.956452783</v>
      </c>
      <c r="BD49" s="2" t="n">
        <f aca="false">AA49*AQ49</f>
        <v>5711.31755271051</v>
      </c>
      <c r="BE49" s="2" t="n">
        <f aca="false">BD49/BC49</f>
        <v>0.199829476041008</v>
      </c>
      <c r="BF49" s="2" t="n">
        <f aca="false">BD49/(Entrées!$C$151/100)-BC49</f>
        <v>3148.58550671978</v>
      </c>
      <c r="BG49" s="2" t="n">
        <f aca="false">MIN(AV49,BF49)</f>
        <v>1183.74265098565</v>
      </c>
      <c r="BH49" s="2" t="n">
        <f aca="false">IF(AC49&gt;Hypothèses!$J$26,MAX(0,BG49)/(1-Hypothèses!$J$26/AC49),0)</f>
        <v>1684.28632955457</v>
      </c>
    </row>
    <row r="50" customFormat="false" ht="15" hidden="false" customHeight="false" outlineLevel="0" collapsed="false">
      <c r="A50" s="2" t="n">
        <v>35</v>
      </c>
      <c r="B50" s="2" t="n">
        <v>0.408869293</v>
      </c>
      <c r="C50" s="2"/>
      <c r="D50" s="2" t="n">
        <v>0.601201739</v>
      </c>
      <c r="E50" s="2" t="n">
        <f aca="false">IF(E$7=E$5,E$6,IF(NORMSDIST(E$9*SQRT($C$11)*NORMSINV($B50)+SQRT(1-E$9^2*$C$11)*NORMSINV(D50))&lt;E$8,E$5+SQRT(NORMSDIST(E$9*SQRT($C$11)*NORMSINV($B50)+SQRT(1-E$9^2*$C$11)*NORMSINV(D50))*(E$7-E$5)*(E$6-E$5)),E$7-SQRT((1-NORMSDIST(E$9*SQRT($C$11)*NORMSINV($B50)+SQRT(1-E$9^2*$C$11)*NORMSINV(D50)))*(E$7-E$5)*(E$7-E$6))))</f>
        <v>0.0551066074595701</v>
      </c>
      <c r="F50" s="2" t="n">
        <v>0.302895423</v>
      </c>
      <c r="G50" s="2" t="n">
        <f aca="false">IF(G$7=G$5,G$6,IF(NORMSDIST(G$9*SQRT($C$11)*NORMSINV($B50)+SQRT(1-G$9^2*$C$11)*NORMSINV(F50))&lt;G$8,G$5+SQRT(NORMSDIST(G$9*SQRT($C$11)*NORMSINV($B50)+SQRT(1-G$9^2*$C$11)*NORMSINV(F50))*(G$7-G$5)*(G$6-G$5)),G$7-SQRT((1-NORMSDIST(G$9*SQRT($C$11)*NORMSINV($B50)+SQRT(1-G$9^2*$C$11)*NORMSINV(F50)))*(G$7-G$5)*(G$7-G$6))))</f>
        <v>0.0514767118754812</v>
      </c>
      <c r="H50" s="2" t="n">
        <v>0.69535999</v>
      </c>
      <c r="I50" s="2" t="n">
        <f aca="false">IF(I$7=I$5,I$6,IF(NORMSDIST(I$9*SQRT($C$11)*NORMSINV($B50)+SQRT(1-I$9^2*$C$11)*NORMSINV(H50))&lt;I$8,I$5+SQRT(NORMSDIST(I$9*SQRT($C$11)*NORMSINV($B50)+SQRT(1-I$9^2*$C$11)*NORMSINV(H50))*(I$7-I$5)*(I$6-I$5)),I$7-SQRT((1-NORMSDIST(I$9*SQRT($C$11)*NORMSINV($B50)+SQRT(1-I$9^2*$C$11)*NORMSINV(H50)))*(I$7-I$5)*(I$7-I$6))))</f>
        <v>202.08380580609</v>
      </c>
      <c r="J50" s="2" t="n">
        <v>0.061632251</v>
      </c>
      <c r="K50" s="2" t="n">
        <f aca="false">IF(K$7=K$5,K$6,IF(NORMSDIST(K$9*SQRT($C$11)*NORMSINV($B50)+SQRT(1-K$9^2*$C$11)*NORMSINV(J50))&lt;K$8,K$5+SQRT(NORMSDIST(K$9*SQRT($C$11)*NORMSINV($B50)+SQRT(1-K$9^2*$C$11)*NORMSINV(J50))*(K$7-K$5)*(K$6-K$5)),K$7-SQRT((1-NORMSDIST(K$9*SQRT($C$11)*NORMSINV($B50)+SQRT(1-K$9^2*$C$11)*NORMSINV(J50)))*(K$7-K$5)*(K$7-K$6))))</f>
        <v>0.106179236681248</v>
      </c>
      <c r="L50" s="2" t="n">
        <v>0.624260508</v>
      </c>
      <c r="M50" s="2" t="n">
        <f aca="false">IF(M$7=M$5,M$6,IF(NORMSDIST(M$9*SQRT($C$11)*NORMSINV($B50)+SQRT(1-M$9^2*$C$11)*NORMSINV(L50))&lt;M$8,M$5+SQRT(NORMSDIST(M$9*SQRT($C$11)*NORMSINV($B50)+SQRT(1-M$9^2*$C$11)*NORMSINV(L50))*(M$7-M$5)*(M$6-M$5)),M$7-SQRT((1-NORMSDIST(M$9*SQRT($C$11)*NORMSINV($B50)+SQRT(1-M$9^2*$C$11)*NORMSINV(L50)))*(M$7-M$5)*(M$7-M$6))))</f>
        <v>1596.32524188324</v>
      </c>
      <c r="N50" s="2" t="n">
        <v>0.624469241</v>
      </c>
      <c r="O50" s="2" t="n">
        <f aca="false">IF(O$7=O$5,O$6,IF(NORMSDIST(O$9*SQRT($C$11)*NORMSINV($B50)+SQRT(1-O$9^2*$C$11)*NORMSINV(N50))&lt;O$8,O$5+SQRT(NORMSDIST(O$9*SQRT($C$11)*NORMSINV($B50)+SQRT(1-O$9^2*$C$11)*NORMSINV(N50))*(O$7-O$5)*(O$6-O$5)),O$7-SQRT((1-NORMSDIST(O$9*SQRT($C$11)*NORMSINV($B50)+SQRT(1-O$9^2*$C$11)*NORMSINV(N50)))*(O$7-O$5)*(O$7-O$6))))</f>
        <v>0.167830628318893</v>
      </c>
      <c r="P50" s="2" t="n">
        <v>0.831802233</v>
      </c>
      <c r="Q50" s="2" t="n">
        <f aca="false">IF(Q$7=Q$5,Q$6,IF(NORMSDIST(Q$9*SQRT($C$11)*NORMSINV($B50)+SQRT(1-Q$9^2*$C$11)*NORMSINV(P50))&lt;Q$8,Q$5+SQRT(NORMSDIST(Q$9*SQRT($C$11)*NORMSINV($B50)+SQRT(1-Q$9^2*$C$11)*NORMSINV(P50))*(Q$7-Q$5)*(Q$6-Q$5)),Q$7-SQRT((1-NORMSDIST(Q$9*SQRT($C$11)*NORMSINV($B50)+SQRT(1-Q$9^2*$C$11)*NORMSINV(P50)))*(Q$7-Q$5)*(Q$7-Q$6))))</f>
        <v>0.0968001540005111</v>
      </c>
      <c r="R50" s="2" t="n">
        <v>0.894245462</v>
      </c>
      <c r="S50" s="2" t="n">
        <f aca="false">IF(S$7=S$5,S$6,IF(NORMSDIST(S$9*SQRT($C$11)*NORMSINV($B50)+SQRT(1-S$9^2*$C$11)*NORMSINV(R50))&lt;S$8,S$5+SQRT(NORMSDIST(S$9*SQRT($C$11)*NORMSINV($B50)+SQRT(1-S$9^2*$C$11)*NORMSINV(R50))*(S$7-S$5)*(S$6-S$5)),S$7-SQRT((1-NORMSDIST(S$9*SQRT($C$11)*NORMSINV($B50)+SQRT(1-S$9^2*$C$11)*NORMSINV(R50)))*(S$7-S$5)*(S$7-S$6))))</f>
        <v>0.679434580806291</v>
      </c>
      <c r="T50" s="2" t="n">
        <v>0.154840097</v>
      </c>
      <c r="U50" s="2" t="n">
        <f aca="false">IF(U$7=U$5,U$6,IF(NORMSDIST(U$9*SQRT($C$11)*NORMSINV($B50)+SQRT(1-U$9^2*$C$11)*NORMSINV(T50))&lt;U$8,U$5+SQRT(NORMSDIST(U$9*SQRT($C$11)*NORMSINV($B50)+SQRT(1-U$9^2*$C$11)*NORMSINV(T50))*(U$7-U$5)*(U$6-U$5)),U$7-SQRT((1-NORMSDIST(U$9*SQRT($C$11)*NORMSINV($B50)+SQRT(1-U$9^2*$C$11)*NORMSINV(T50)))*(U$7-U$5)*(U$7-U$6))))</f>
        <v>0.296224422912413</v>
      </c>
      <c r="V50" s="2" t="n">
        <v>0.310460918</v>
      </c>
      <c r="W50" s="2" t="n">
        <f aca="false">IF(W$7=W$5,W$6,IF(NORMSDIST(W$9*SQRT($C$11)*NORMSINV($B50)+SQRT(1-W$9^2*$C$11)*NORMSINV(V50))&lt;W$8,W$5+SQRT(NORMSDIST(W$9*SQRT($C$11)*NORMSINV($B50)+SQRT(1-W$9^2*$C$11)*NORMSINV(V50))*(W$7-W$5)*(W$6-W$5)),W$7-SQRT((1-NORMSDIST(W$9*SQRT($C$11)*NORMSINV($B50)+SQRT(1-W$9^2*$C$11)*NORMSINV(V50)))*(W$7-W$5)*(W$7-W$6))))</f>
        <v>9.54522118330341</v>
      </c>
      <c r="X50" s="2" t="n">
        <v>0.916890938</v>
      </c>
      <c r="Y50" s="2" t="n">
        <f aca="false">IF(Y$7=Y$5,Y$6,IF(NORMSDIST(Y$9*SQRT($C$11)*NORMSINV($B50)+SQRT(1-Y$9^2*$C$11)*NORMSINV(X50))&lt;Y$8,Y$5+SQRT(NORMSDIST(Y$9*SQRT($C$11)*NORMSINV($B50)+SQRT(1-Y$9^2*$C$11)*NORMSINV(X50))*(Y$7-Y$5)*(Y$6-Y$5)),Y$7-SQRT((1-NORMSDIST(Y$9*SQRT($C$11)*NORMSINV($B50)+SQRT(1-Y$9^2*$C$11)*NORMSINV(X50)))*(Y$7-Y$5)*(Y$7-Y$6))))</f>
        <v>0.796150714987764</v>
      </c>
      <c r="Z50" s="2" t="n">
        <v>0.815188919</v>
      </c>
      <c r="AA50" s="2" t="n">
        <f aca="false">IF(AA$7=AA$5,AA$6,IF(NORMSDIST(AA$9*SQRT($C$11)*NORMSINV($B50)+SQRT(1-AA$9^2*$C$11)*NORMSINV(Z50))&lt;AA$8,AA$5+SQRT(NORMSDIST(AA$9*SQRT($C$11)*NORMSINV($B50)+SQRT(1-AA$9^2*$C$11)*NORMSINV(Z50))*(AA$7-AA$5)*(AA$6-AA$5)),AA$7-SQRT((1-NORMSDIST(AA$9*SQRT($C$11)*NORMSINV($B50)+SQRT(1-AA$9^2*$C$11)*NORMSINV(Z50)))*(AA$7-AA$5)*(AA$7-AA$6))))</f>
        <v>0.734515430678177</v>
      </c>
      <c r="AB50" s="2" t="n">
        <v>0.735065056</v>
      </c>
      <c r="AC50" s="2" t="n">
        <f aca="false">IF(AC$7=AC$5,AC$6,IF(NORMSDIST(AC$9*SQRT($C$11)*NORMSINV($B50)+SQRT(1-AC$9^2*$C$11)*NORMSINV(AB50))&lt;AC$8,AC$5+SQRT(NORMSDIST(AC$9*SQRT($C$11)*NORMSINV($B50)+SQRT(1-AC$9^2*$C$11)*NORMSINV(AB50))*(AC$7-AC$5)*(AC$6-AC$5)),AC$7-SQRT((1-NORMSDIST(AC$9*SQRT($C$11)*NORMSINV($B50)+SQRT(1-AC$9^2*$C$11)*NORMSINV(AB50)))*(AC$7-AC$5)*(AC$7-AC$6))))</f>
        <v>9.73934058512426</v>
      </c>
      <c r="AD50" s="2" t="n">
        <f aca="false">Entrées!$C$8*(1+E50)</f>
        <v>7438.50158258997</v>
      </c>
      <c r="AE50" s="2" t="n">
        <f aca="false">I50*Hypothèses!$J$24/12/Hypothèses!$J$19</f>
        <v>100.253129266019</v>
      </c>
      <c r="AF50" s="2" t="n">
        <f aca="false">Entrées!$C$36*S50*1000</f>
        <v>339.717290403146</v>
      </c>
      <c r="AG50" s="2" t="n">
        <f aca="false">-AF50/W50</f>
        <v>-35.5903005157578</v>
      </c>
      <c r="AH50" s="2" t="n">
        <f aca="false">AD50+AE50+AG50</f>
        <v>7503.16441134023</v>
      </c>
      <c r="AI50" s="2" t="n">
        <f aca="false">Entrées!$C$16-M50+Hypothèses!$J$22*1000-AF50+Hypothèses!$J$23</f>
        <v>22611.9574677136</v>
      </c>
      <c r="AJ50" s="2" t="n">
        <f aca="false">AI50/AH50</f>
        <v>3.01365613600817</v>
      </c>
      <c r="AK50" s="2" t="n">
        <f aca="false">AI50/(AH50+I50*(12-Hypothèses!$J$24)/12/Hypothèses!$J$19)</f>
        <v>2.98516603880555</v>
      </c>
      <c r="AL50" s="2" t="n">
        <f aca="false">(AD50+AG50+I50/Hypothèses!$J$19)*(1+G50)</f>
        <v>7964.69823726563</v>
      </c>
      <c r="AM50" s="2" t="n">
        <f aca="false">Entrées!$C$54*K50/Hypothèses!$J$19</f>
        <v>10.8360369211268</v>
      </c>
      <c r="AN50" s="2" t="n">
        <f aca="false">Y50*1000/AC50</f>
        <v>81.7458541498994</v>
      </c>
      <c r="AO50" s="2" t="n">
        <f aca="false">(Entrées!$C$36*(1-S50)+MAX(0,Entrées!$C$30-Entrées!$C$35-Entrées!$C$36)*U50)*1000</f>
        <v>574.996901674233</v>
      </c>
      <c r="AP50" s="2" t="n">
        <f aca="false">-AO50/W50</f>
        <v>-60.2392433482864</v>
      </c>
      <c r="AQ50" s="2" t="n">
        <f aca="false">AL50+AM50+AN50+AP50</f>
        <v>7997.04088498837</v>
      </c>
      <c r="AR50" s="2" t="n">
        <f aca="false">O50*AQ50-Hypothèses!$J$25/Hypothèses!$J$19</f>
        <v>1323.01323415785</v>
      </c>
      <c r="AS50" s="2" t="n">
        <f aca="false">Entrées!$C$79*(1+Q50)+Hypothèses!$J$20</f>
        <v>1500.38336924656</v>
      </c>
      <c r="AT50" s="2" t="n">
        <f aca="false">AI50-AR50+AS50+Y50*1000-AO50+Hypothèses!$J$23</f>
        <v>23010.4814161159</v>
      </c>
      <c r="AU50" s="2" t="n">
        <f aca="false">AT50/AQ50</f>
        <v>2.8773744872694</v>
      </c>
      <c r="AV50" s="2" t="n">
        <f aca="false">Hypothèses!$J$26*AQ50-AT50</f>
        <v>980.641238849243</v>
      </c>
      <c r="AW50" s="2" t="n">
        <f aca="false">IF(AC50&gt;Hypothèses!$J$26,MAX(0,AV50)/(1-Hypothèses!$J$26/AC50),0)</f>
        <v>1417.17114550531</v>
      </c>
      <c r="AX50" s="2" t="n">
        <f aca="false">AQ50-Entrées!$C$17*1000</f>
        <v>-2.95911501163209</v>
      </c>
      <c r="AY50" s="2" t="n">
        <f aca="false">AI50+(Entrées!$C$244-Entrées!$C$13)</f>
        <v>28358.9574677136</v>
      </c>
      <c r="AZ50" s="2" t="n">
        <f aca="false">AA50*AH50</f>
        <v>5511.19003904474</v>
      </c>
      <c r="BA50" s="2" t="n">
        <f aca="false">AZ50/AY50</f>
        <v>0.194336835030666</v>
      </c>
      <c r="BB50" s="2" t="n">
        <f aca="false">AZ50/(Entrées!$C$151/100)-AY50</f>
        <v>2258.76497142381</v>
      </c>
      <c r="BC50" s="2" t="n">
        <f aca="false">AT50+(Entrées!$C$244-Entrées!$C$13)</f>
        <v>28757.4814161159</v>
      </c>
      <c r="BD50" s="2" t="n">
        <f aca="false">AA50*AQ50</f>
        <v>5873.94992978822</v>
      </c>
      <c r="BE50" s="2" t="n">
        <f aca="false">BD50/BC50</f>
        <v>0.204258149202747</v>
      </c>
      <c r="BF50" s="2" t="n">
        <f aca="false">BD50/(Entrées!$C$151/100)-BC50</f>
        <v>3875.57374937423</v>
      </c>
      <c r="BG50" s="2" t="n">
        <f aca="false">MIN(AV50,BF50)</f>
        <v>980.641238849243</v>
      </c>
      <c r="BH50" s="2" t="n">
        <f aca="false">IF(AC50&gt;Hypothèses!$J$26,MAX(0,BG50)/(1-Hypothèses!$J$26/AC50),0)</f>
        <v>1417.17114550531</v>
      </c>
    </row>
    <row r="51" customFormat="false" ht="15" hidden="false" customHeight="false" outlineLevel="0" collapsed="false">
      <c r="A51" s="2" t="n">
        <v>36</v>
      </c>
      <c r="B51" s="2" t="n">
        <v>0.9723092</v>
      </c>
      <c r="C51" s="2"/>
      <c r="D51" s="2" t="n">
        <v>0.399910057</v>
      </c>
      <c r="E51" s="2" t="n">
        <f aca="false">IF(E$7=E$5,E$6,IF(NORMSDIST(E$9*SQRT($C$11)*NORMSINV($B51)+SQRT(1-E$9^2*$C$11)*NORMSINV(D51))&lt;E$8,E$5+SQRT(NORMSDIST(E$9*SQRT($C$11)*NORMSINV($B51)+SQRT(1-E$9^2*$C$11)*NORMSINV(D51))*(E$7-E$5)*(E$6-E$5)),E$7-SQRT((1-NORMSDIST(E$9*SQRT($C$11)*NORMSINV($B51)+SQRT(1-E$9^2*$C$11)*NORMSINV(D51)))*(E$7-E$5)*(E$7-E$6))))</f>
        <v>0.0572162432396248</v>
      </c>
      <c r="F51" s="2" t="n">
        <v>0.772489602</v>
      </c>
      <c r="G51" s="2" t="n">
        <f aca="false">IF(G$7=G$5,G$6,IF(NORMSDIST(G$9*SQRT($C$11)*NORMSINV($B51)+SQRT(1-G$9^2*$C$11)*NORMSINV(F51))&lt;G$8,G$5+SQRT(NORMSDIST(G$9*SQRT($C$11)*NORMSINV($B51)+SQRT(1-G$9^2*$C$11)*NORMSINV(F51))*(G$7-G$5)*(G$6-G$5)),G$7-SQRT((1-NORMSDIST(G$9*SQRT($C$11)*NORMSINV($B51)+SQRT(1-G$9^2*$C$11)*NORMSINV(F51)))*(G$7-G$5)*(G$7-G$6))))</f>
        <v>0.0659363391684922</v>
      </c>
      <c r="H51" s="2" t="n">
        <v>0.154291144</v>
      </c>
      <c r="I51" s="2" t="n">
        <f aca="false">IF(I$7=I$5,I$6,IF(NORMSDIST(I$9*SQRT($C$11)*NORMSINV($B51)+SQRT(1-I$9^2*$C$11)*NORMSINV(H51))&lt;I$8,I$5+SQRT(NORMSDIST(I$9*SQRT($C$11)*NORMSINV($B51)+SQRT(1-I$9^2*$C$11)*NORMSINV(H51))*(I$7-I$5)*(I$6-I$5)),I$7-SQRT((1-NORMSDIST(I$9*SQRT($C$11)*NORMSINV($B51)+SQRT(1-I$9^2*$C$11)*NORMSINV(H51)))*(I$7-I$5)*(I$7-I$6))))</f>
        <v>203.601343603651</v>
      </c>
      <c r="J51" s="2" t="n">
        <v>0.085081343</v>
      </c>
      <c r="K51" s="2" t="n">
        <f aca="false">IF(K$7=K$5,K$6,IF(NORMSDIST(K$9*SQRT($C$11)*NORMSINV($B51)+SQRT(1-K$9^2*$C$11)*NORMSINV(J51))&lt;K$8,K$5+SQRT(NORMSDIST(K$9*SQRT($C$11)*NORMSINV($B51)+SQRT(1-K$9^2*$C$11)*NORMSINV(J51))*(K$7-K$5)*(K$6-K$5)),K$7-SQRT((1-NORMSDIST(K$9*SQRT($C$11)*NORMSINV($B51)+SQRT(1-K$9^2*$C$11)*NORMSINV(J51)))*(K$7-K$5)*(K$7-K$6))))</f>
        <v>0.265293614717146</v>
      </c>
      <c r="L51" s="2" t="n">
        <v>0.059098491</v>
      </c>
      <c r="M51" s="2" t="n">
        <f aca="false">IF(M$7=M$5,M$6,IF(NORMSDIST(M$9*SQRT($C$11)*NORMSINV($B51)+SQRT(1-M$9^2*$C$11)*NORMSINV(L51))&lt;M$8,M$5+SQRT(NORMSDIST(M$9*SQRT($C$11)*NORMSINV($B51)+SQRT(1-M$9^2*$C$11)*NORMSINV(L51))*(M$7-M$5)*(M$6-M$5)),M$7-SQRT((1-NORMSDIST(M$9*SQRT($C$11)*NORMSINV($B51)+SQRT(1-M$9^2*$C$11)*NORMSINV(L51)))*(M$7-M$5)*(M$7-M$6))))</f>
        <v>1585.51801043668</v>
      </c>
      <c r="N51" s="2" t="n">
        <v>0.974893927</v>
      </c>
      <c r="O51" s="2" t="n">
        <f aca="false">IF(O$7=O$5,O$6,IF(NORMSDIST(O$9*SQRT($C$11)*NORMSINV($B51)+SQRT(1-O$9^2*$C$11)*NORMSINV(N51))&lt;O$8,O$5+SQRT(NORMSDIST(O$9*SQRT($C$11)*NORMSINV($B51)+SQRT(1-O$9^2*$C$11)*NORMSINV(N51))*(O$7-O$5)*(O$6-O$5)),O$7-SQRT((1-NORMSDIST(O$9*SQRT($C$11)*NORMSINV($B51)+SQRT(1-O$9^2*$C$11)*NORMSINV(N51)))*(O$7-O$5)*(O$7-O$6))))</f>
        <v>0.188159157097887</v>
      </c>
      <c r="P51" s="2" t="n">
        <v>0.033156904</v>
      </c>
      <c r="Q51" s="2" t="n">
        <f aca="false">IF(Q$7=Q$5,Q$6,IF(NORMSDIST(Q$9*SQRT($C$11)*NORMSINV($B51)+SQRT(1-Q$9^2*$C$11)*NORMSINV(P51))&lt;Q$8,Q$5+SQRT(NORMSDIST(Q$9*SQRT($C$11)*NORMSINV($B51)+SQRT(1-Q$9^2*$C$11)*NORMSINV(P51))*(Q$7-Q$5)*(Q$6-Q$5)),Q$7-SQRT((1-NORMSDIST(Q$9*SQRT($C$11)*NORMSINV($B51)+SQRT(1-Q$9^2*$C$11)*NORMSINV(P51)))*(Q$7-Q$5)*(Q$7-Q$6))))</f>
        <v>0.0503005870123989</v>
      </c>
      <c r="R51" s="2" t="n">
        <v>0.117129683</v>
      </c>
      <c r="S51" s="2" t="n">
        <f aca="false">IF(S$7=S$5,S$6,IF(NORMSDIST(S$9*SQRT($C$11)*NORMSINV($B51)+SQRT(1-S$9^2*$C$11)*NORMSINV(R51))&lt;S$8,S$5+SQRT(NORMSDIST(S$9*SQRT($C$11)*NORMSINV($B51)+SQRT(1-S$9^2*$C$11)*NORMSINV(R51))*(S$7-S$5)*(S$6-S$5)),S$7-SQRT((1-NORMSDIST(S$9*SQRT($C$11)*NORMSINV($B51)+SQRT(1-S$9^2*$C$11)*NORMSINV(R51)))*(S$7-S$5)*(S$7-S$6))))</f>
        <v>0.56081134785618</v>
      </c>
      <c r="T51" s="2" t="n">
        <v>0.577741019</v>
      </c>
      <c r="U51" s="2" t="n">
        <f aca="false">IF(U$7=U$5,U$6,IF(NORMSDIST(U$9*SQRT($C$11)*NORMSINV($B51)+SQRT(1-U$9^2*$C$11)*NORMSINV(T51))&lt;U$8,U$5+SQRT(NORMSDIST(U$9*SQRT($C$11)*NORMSINV($B51)+SQRT(1-U$9^2*$C$11)*NORMSINV(T51))*(U$7-U$5)*(U$6-U$5)),U$7-SQRT((1-NORMSDIST(U$9*SQRT($C$11)*NORMSINV($B51)+SQRT(1-U$9^2*$C$11)*NORMSINV(T51)))*(U$7-U$5)*(U$7-U$6))))</f>
        <v>0.79222080919524</v>
      </c>
      <c r="V51" s="2" t="n">
        <v>0.172956483</v>
      </c>
      <c r="W51" s="2" t="n">
        <f aca="false">IF(W$7=W$5,W$6,IF(NORMSDIST(W$9*SQRT($C$11)*NORMSINV($B51)+SQRT(1-W$9^2*$C$11)*NORMSINV(V51))&lt;W$8,W$5+SQRT(NORMSDIST(W$9*SQRT($C$11)*NORMSINV($B51)+SQRT(1-W$9^2*$C$11)*NORMSINV(V51))*(W$7-W$5)*(W$6-W$5)),W$7-SQRT((1-NORMSDIST(W$9*SQRT($C$11)*NORMSINV($B51)+SQRT(1-W$9^2*$C$11)*NORMSINV(V51)))*(W$7-W$5)*(W$7-W$6))))</f>
        <v>10.4124441722945</v>
      </c>
      <c r="X51" s="2" t="n">
        <v>0.197938349</v>
      </c>
      <c r="Y51" s="2" t="n">
        <f aca="false">IF(Y$7=Y$5,Y$6,IF(NORMSDIST(Y$9*SQRT($C$11)*NORMSINV($B51)+SQRT(1-Y$9^2*$C$11)*NORMSINV(X51))&lt;Y$8,Y$5+SQRT(NORMSDIST(Y$9*SQRT($C$11)*NORMSINV($B51)+SQRT(1-Y$9^2*$C$11)*NORMSINV(X51))*(Y$7-Y$5)*(Y$6-Y$5)),Y$7-SQRT((1-NORMSDIST(Y$9*SQRT($C$11)*NORMSINV($B51)+SQRT(1-Y$9^2*$C$11)*NORMSINV(X51)))*(Y$7-Y$5)*(Y$7-Y$6))))</f>
        <v>0.314593665702283</v>
      </c>
      <c r="Z51" s="2" t="n">
        <v>0.923601501</v>
      </c>
      <c r="AA51" s="2" t="n">
        <f aca="false">IF(AA$7=AA$5,AA$6,IF(NORMSDIST(AA$9*SQRT($C$11)*NORMSINV($B51)+SQRT(1-AA$9^2*$C$11)*NORMSINV(Z51))&lt;AA$8,AA$5+SQRT(NORMSDIST(AA$9*SQRT($C$11)*NORMSINV($B51)+SQRT(1-AA$9^2*$C$11)*NORMSINV(Z51))*(AA$7-AA$5)*(AA$6-AA$5)),AA$7-SQRT((1-NORMSDIST(AA$9*SQRT($C$11)*NORMSINV($B51)+SQRT(1-AA$9^2*$C$11)*NORMSINV(Z51)))*(AA$7-AA$5)*(AA$7-AA$6))))</f>
        <v>0.750252237282179</v>
      </c>
      <c r="AB51" s="2" t="n">
        <v>0.410637654</v>
      </c>
      <c r="AC51" s="2" t="n">
        <f aca="false">IF(AC$7=AC$5,AC$6,IF(NORMSDIST(AC$9*SQRT($C$11)*NORMSINV($B51)+SQRT(1-AC$9^2*$C$11)*NORMSINV(AB51))&lt;AC$8,AC$5+SQRT(NORMSDIST(AC$9*SQRT($C$11)*NORMSINV($B51)+SQRT(1-AC$9^2*$C$11)*NORMSINV(AB51))*(AC$7-AC$5)*(AC$6-AC$5)),AC$7-SQRT((1-NORMSDIST(AC$9*SQRT($C$11)*NORMSINV($B51)+SQRT(1-AC$9^2*$C$11)*NORMSINV(AB51)))*(AC$7-AC$5)*(AC$7-AC$6))))</f>
        <v>10.1951932959643</v>
      </c>
      <c r="AD51" s="2" t="n">
        <f aca="false">Entrées!$C$8*(1+E51)</f>
        <v>7453.37451483936</v>
      </c>
      <c r="AE51" s="2" t="n">
        <f aca="false">I51*Hypothèses!$J$24/12/Hypothèses!$J$19</f>
        <v>101.00597491032</v>
      </c>
      <c r="AF51" s="2" t="n">
        <f aca="false">Entrées!$C$36*S51*1000</f>
        <v>280.40567392809</v>
      </c>
      <c r="AG51" s="2" t="n">
        <f aca="false">-AF51/W51</f>
        <v>-26.9298609709905</v>
      </c>
      <c r="AH51" s="2" t="n">
        <f aca="false">AD51+AE51+AG51</f>
        <v>7527.45062877868</v>
      </c>
      <c r="AI51" s="2" t="n">
        <f aca="false">Entrées!$C$16-M51+Hypothèses!$J$22*1000-AF51+Hypothèses!$J$23</f>
        <v>22682.0763156352</v>
      </c>
      <c r="AJ51" s="2" t="n">
        <f aca="false">AI51/AH51</f>
        <v>3.01324810141138</v>
      </c>
      <c r="AK51" s="2" t="n">
        <f aca="false">AI51/(AH51+I51*(12-Hypothèses!$J$24)/12/Hypothèses!$J$19)</f>
        <v>2.98464169429868</v>
      </c>
      <c r="AL51" s="2" t="n">
        <f aca="false">(AD51+AG51+I51/Hypothèses!$J$19)*(1+G51)</f>
        <v>8100.68740874767</v>
      </c>
      <c r="AM51" s="2" t="n">
        <f aca="false">Entrées!$C$54*K51/Hypothèses!$J$19</f>
        <v>27.0743272777913</v>
      </c>
      <c r="AN51" s="2" t="n">
        <f aca="false">Y51*1000/AC51</f>
        <v>30.857057494615</v>
      </c>
      <c r="AO51" s="2" t="n">
        <f aca="false">(Entrées!$C$36*(1-S51)+MAX(0,Entrées!$C$30-Entrées!$C$35-Entrées!$C$36)*U51)*1000</f>
        <v>1328.70345894525</v>
      </c>
      <c r="AP51" s="2" t="n">
        <f aca="false">-AO51/W51</f>
        <v>-127.607258868256</v>
      </c>
      <c r="AQ51" s="2" t="n">
        <f aca="false">AL51+AM51+AN51+AP51</f>
        <v>8031.01153465182</v>
      </c>
      <c r="AR51" s="2" t="n">
        <f aca="false">O51*AQ51-Hypothèses!$J$25/Hypothèses!$J$19</f>
        <v>1491.97319874187</v>
      </c>
      <c r="AS51" s="2" t="n">
        <f aca="false">Entrées!$C$79*(1+Q51)+Hypothèses!$J$20</f>
        <v>1449.28034512663</v>
      </c>
      <c r="AT51" s="2" t="n">
        <f aca="false">AI51-AR51+AS51+Y51*1000-AO51+Hypothèses!$J$23</f>
        <v>21625.273668777</v>
      </c>
      <c r="AU51" s="2" t="n">
        <f aca="false">AT51/AQ51</f>
        <v>2.69272103214761</v>
      </c>
      <c r="AV51" s="2" t="n">
        <f aca="false">Hypothèses!$J$26*AQ51-AT51</f>
        <v>2467.76093517842</v>
      </c>
      <c r="AW51" s="2" t="n">
        <f aca="false">IF(AC51&gt;Hypothèses!$J$26,MAX(0,AV51)/(1-Hypothèses!$J$26/AC51),0)</f>
        <v>3496.68156329938</v>
      </c>
      <c r="AX51" s="2" t="n">
        <f aca="false">AQ51-Entrées!$C$17*1000</f>
        <v>31.011534651816</v>
      </c>
      <c r="AY51" s="2" t="n">
        <f aca="false">AI51+(Entrées!$C$244-Entrées!$C$13)</f>
        <v>28429.0763156352</v>
      </c>
      <c r="AZ51" s="2" t="n">
        <f aca="false">AA51*AH51</f>
        <v>5647.48667527235</v>
      </c>
      <c r="BA51" s="2" t="n">
        <f aca="false">AZ51/AY51</f>
        <v>0.198651782160308</v>
      </c>
      <c r="BB51" s="2" t="n">
        <f aca="false">AZ51/(Entrées!$C$151/100)-AY51</f>
        <v>2945.84965810005</v>
      </c>
      <c r="BC51" s="2" t="n">
        <f aca="false">AT51+(Entrées!$C$244-Entrées!$C$13)</f>
        <v>27372.273668777</v>
      </c>
      <c r="BD51" s="2" t="n">
        <f aca="false">AA51*AQ51</f>
        <v>6025.28437151151</v>
      </c>
      <c r="BE51" s="2" t="n">
        <f aca="false">BD51/BC51</f>
        <v>0.220123634756159</v>
      </c>
      <c r="BF51" s="2" t="n">
        <f aca="false">BD51/(Entrées!$C$151/100)-BC51</f>
        <v>6101.5283951758</v>
      </c>
      <c r="BG51" s="2" t="n">
        <f aca="false">MIN(AV51,BF51)</f>
        <v>2467.76093517842</v>
      </c>
      <c r="BH51" s="2" t="n">
        <f aca="false">IF(AC51&gt;Hypothèses!$J$26,MAX(0,BG51)/(1-Hypothèses!$J$26/AC51),0)</f>
        <v>3496.68156329938</v>
      </c>
    </row>
    <row r="52" customFormat="false" ht="15" hidden="false" customHeight="false" outlineLevel="0" collapsed="false">
      <c r="A52" s="2" t="n">
        <v>37</v>
      </c>
      <c r="B52" s="2" t="n">
        <v>0.345849449</v>
      </c>
      <c r="C52" s="2"/>
      <c r="D52" s="2" t="n">
        <v>0.410223657</v>
      </c>
      <c r="E52" s="2" t="n">
        <f aca="false">IF(E$7=E$5,E$6,IF(NORMSDIST(E$9*SQRT($C$11)*NORMSINV($B52)+SQRT(1-E$9^2*$C$11)*NORMSINV(D52))&lt;E$8,E$5+SQRT(NORMSDIST(E$9*SQRT($C$11)*NORMSINV($B52)+SQRT(1-E$9^2*$C$11)*NORMSINV(D52))*(E$7-E$5)*(E$6-E$5)),E$7-SQRT((1-NORMSDIST(E$9*SQRT($C$11)*NORMSINV($B52)+SQRT(1-E$9^2*$C$11)*NORMSINV(D52)))*(E$7-E$5)*(E$7-E$6))))</f>
        <v>0.0540916469618071</v>
      </c>
      <c r="F52" s="2" t="n">
        <v>0.538702932</v>
      </c>
      <c r="G52" s="2" t="n">
        <f aca="false">IF(G$7=G$5,G$6,IF(NORMSDIST(G$9*SQRT($C$11)*NORMSINV($B52)+SQRT(1-G$9^2*$C$11)*NORMSINV(F52))&lt;G$8,G$5+SQRT(NORMSDIST(G$9*SQRT($C$11)*NORMSINV($B52)+SQRT(1-G$9^2*$C$11)*NORMSINV(F52))*(G$7-G$5)*(G$6-G$5)),G$7-SQRT((1-NORMSDIST(G$9*SQRT($C$11)*NORMSINV($B52)+SQRT(1-G$9^2*$C$11)*NORMSINV(F52)))*(G$7-G$5)*(G$7-G$6))))</f>
        <v>0.0539157539176858</v>
      </c>
      <c r="H52" s="2" t="n">
        <v>0.045166811</v>
      </c>
      <c r="I52" s="2" t="n">
        <f aca="false">IF(I$7=I$5,I$6,IF(NORMSDIST(I$9*SQRT($C$11)*NORMSINV($B52)+SQRT(1-I$9^2*$C$11)*NORMSINV(H52))&lt;I$8,I$5+SQRT(NORMSDIST(I$9*SQRT($C$11)*NORMSINV($B52)+SQRT(1-I$9^2*$C$11)*NORMSINV(H52))*(I$7-I$5)*(I$6-I$5)),I$7-SQRT((1-NORMSDIST(I$9*SQRT($C$11)*NORMSINV($B52)+SQRT(1-I$9^2*$C$11)*NORMSINV(H52)))*(I$7-I$5)*(I$7-I$6))))</f>
        <v>186.873886548882</v>
      </c>
      <c r="J52" s="2" t="n">
        <v>0.945490948</v>
      </c>
      <c r="K52" s="2" t="n">
        <f aca="false">IF(K$7=K$5,K$6,IF(NORMSDIST(K$9*SQRT($C$11)*NORMSINV($B52)+SQRT(1-K$9^2*$C$11)*NORMSINV(J52))&lt;K$8,K$5+SQRT(NORMSDIST(K$9*SQRT($C$11)*NORMSINV($B52)+SQRT(1-K$9^2*$C$11)*NORMSINV(J52))*(K$7-K$5)*(K$6-K$5)),K$7-SQRT((1-NORMSDIST(K$9*SQRT($C$11)*NORMSINV($B52)+SQRT(1-K$9^2*$C$11)*NORMSINV(J52)))*(K$7-K$5)*(K$7-K$6))))</f>
        <v>0.358162022643588</v>
      </c>
      <c r="L52" s="2" t="n">
        <v>0.640462202</v>
      </c>
      <c r="M52" s="2" t="n">
        <f aca="false">IF(M$7=M$5,M$6,IF(NORMSDIST(M$9*SQRT($C$11)*NORMSINV($B52)+SQRT(1-M$9^2*$C$11)*NORMSINV(L52))&lt;M$8,M$5+SQRT(NORMSDIST(M$9*SQRT($C$11)*NORMSINV($B52)+SQRT(1-M$9^2*$C$11)*NORMSINV(L52))*(M$7-M$5)*(M$6-M$5)),M$7-SQRT((1-NORMSDIST(M$9*SQRT($C$11)*NORMSINV($B52)+SQRT(1-M$9^2*$C$11)*NORMSINV(L52)))*(M$7-M$5)*(M$7-M$6))))</f>
        <v>1588.4646929683</v>
      </c>
      <c r="N52" s="2" t="n">
        <v>0.562908033</v>
      </c>
      <c r="O52" s="2" t="n">
        <f aca="false">IF(O$7=O$5,O$6,IF(NORMSDIST(O$9*SQRT($C$11)*NORMSINV($B52)+SQRT(1-O$9^2*$C$11)*NORMSINV(N52))&lt;O$8,O$5+SQRT(NORMSDIST(O$9*SQRT($C$11)*NORMSINV($B52)+SQRT(1-O$9^2*$C$11)*NORMSINV(N52))*(O$7-O$5)*(O$6-O$5)),O$7-SQRT((1-NORMSDIST(O$9*SQRT($C$11)*NORMSINV($B52)+SQRT(1-O$9^2*$C$11)*NORMSINV(N52)))*(O$7-O$5)*(O$7-O$6))))</f>
        <v>0.165382224279319</v>
      </c>
      <c r="P52" s="2" t="n">
        <v>0.102579952</v>
      </c>
      <c r="Q52" s="2" t="n">
        <f aca="false">IF(Q$7=Q$5,Q$6,IF(NORMSDIST(Q$9*SQRT($C$11)*NORMSINV($B52)+SQRT(1-Q$9^2*$C$11)*NORMSINV(P52))&lt;Q$8,Q$5+SQRT(NORMSDIST(Q$9*SQRT($C$11)*NORMSINV($B52)+SQRT(1-Q$9^2*$C$11)*NORMSINV(P52))*(Q$7-Q$5)*(Q$6-Q$5)),Q$7-SQRT((1-NORMSDIST(Q$9*SQRT($C$11)*NORMSINV($B52)+SQRT(1-Q$9^2*$C$11)*NORMSINV(P52)))*(Q$7-Q$5)*(Q$7-Q$6))))</f>
        <v>0.058117832276517</v>
      </c>
      <c r="R52" s="2" t="n">
        <v>0.046282608</v>
      </c>
      <c r="S52" s="2" t="n">
        <f aca="false">IF(S$7=S$5,S$6,IF(NORMSDIST(S$9*SQRT($C$11)*NORMSINV($B52)+SQRT(1-S$9^2*$C$11)*NORMSINV(R52))&lt;S$8,S$5+SQRT(NORMSDIST(S$9*SQRT($C$11)*NORMSINV($B52)+SQRT(1-S$9^2*$C$11)*NORMSINV(R52))*(S$7-S$5)*(S$6-S$5)),S$7-SQRT((1-NORMSDIST(S$9*SQRT($C$11)*NORMSINV($B52)+SQRT(1-S$9^2*$C$11)*NORMSINV(R52)))*(S$7-S$5)*(S$7-S$6))))</f>
        <v>0.173392020108207</v>
      </c>
      <c r="T52" s="2" t="n">
        <v>0.673615867</v>
      </c>
      <c r="U52" s="2" t="n">
        <f aca="false">IF(U$7=U$5,U$6,IF(NORMSDIST(U$9*SQRT($C$11)*NORMSINV($B52)+SQRT(1-U$9^2*$C$11)*NORMSINV(T52))&lt;U$8,U$5+SQRT(NORMSDIST(U$9*SQRT($C$11)*NORMSINV($B52)+SQRT(1-U$9^2*$C$11)*NORMSINV(T52))*(U$7-U$5)*(U$6-U$5)),U$7-SQRT((1-NORMSDIST(U$9*SQRT($C$11)*NORMSINV($B52)+SQRT(1-U$9^2*$C$11)*NORMSINV(T52)))*(U$7-U$5)*(U$7-U$6))))</f>
        <v>0.519852644348647</v>
      </c>
      <c r="V52" s="2" t="n">
        <v>0.020065432</v>
      </c>
      <c r="W52" s="2" t="n">
        <f aca="false">IF(W$7=W$5,W$6,IF(NORMSDIST(W$9*SQRT($C$11)*NORMSINV($B52)+SQRT(1-W$9^2*$C$11)*NORMSINV(V52))&lt;W$8,W$5+SQRT(NORMSDIST(W$9*SQRT($C$11)*NORMSINV($B52)+SQRT(1-W$9^2*$C$11)*NORMSINV(V52))*(W$7-W$5)*(W$6-W$5)),W$7-SQRT((1-NORMSDIST(W$9*SQRT($C$11)*NORMSINV($B52)+SQRT(1-W$9^2*$C$11)*NORMSINV(V52)))*(W$7-W$5)*(W$7-W$6))))</f>
        <v>8.51257306793597</v>
      </c>
      <c r="X52" s="2" t="n">
        <v>0.175738515</v>
      </c>
      <c r="Y52" s="2" t="n">
        <f aca="false">IF(Y$7=Y$5,Y$6,IF(NORMSDIST(Y$9*SQRT($C$11)*NORMSINV($B52)+SQRT(1-Y$9^2*$C$11)*NORMSINV(X52))&lt;Y$8,Y$5+SQRT(NORMSDIST(Y$9*SQRT($C$11)*NORMSINV($B52)+SQRT(1-Y$9^2*$C$11)*NORMSINV(X52))*(Y$7-Y$5)*(Y$6-Y$5)),Y$7-SQRT((1-NORMSDIST(Y$9*SQRT($C$11)*NORMSINV($B52)+SQRT(1-Y$9^2*$C$11)*NORMSINV(X52)))*(Y$7-Y$5)*(Y$7-Y$6))))</f>
        <v>0.296427491134004</v>
      </c>
      <c r="Z52" s="2" t="n">
        <v>0.692156878</v>
      </c>
      <c r="AA52" s="2" t="n">
        <f aca="false">IF(AA$7=AA$5,AA$6,IF(NORMSDIST(AA$9*SQRT($C$11)*NORMSINV($B52)+SQRT(1-AA$9^2*$C$11)*NORMSINV(Z52))&lt;AA$8,AA$5+SQRT(NORMSDIST(AA$9*SQRT($C$11)*NORMSINV($B52)+SQRT(1-AA$9^2*$C$11)*NORMSINV(Z52))*(AA$7-AA$5)*(AA$6-AA$5)),AA$7-SQRT((1-NORMSDIST(AA$9*SQRT($C$11)*NORMSINV($B52)+SQRT(1-AA$9^2*$C$11)*NORMSINV(Z52)))*(AA$7-AA$5)*(AA$7-AA$6))))</f>
        <v>0.72980128024031</v>
      </c>
      <c r="AB52" s="2" t="n">
        <v>0.617870919</v>
      </c>
      <c r="AC52" s="2" t="n">
        <f aca="false">IF(AC$7=AC$5,AC$6,IF(NORMSDIST(AC$9*SQRT($C$11)*NORMSINV($B52)+SQRT(1-AC$9^2*$C$11)*NORMSINV(AB52))&lt;AC$8,AC$5+SQRT(NORMSDIST(AC$9*SQRT($C$11)*NORMSINV($B52)+SQRT(1-AC$9^2*$C$11)*NORMSINV(AB52))*(AC$7-AC$5)*(AC$6-AC$5)),AC$7-SQRT((1-NORMSDIST(AC$9*SQRT($C$11)*NORMSINV($B52)+SQRT(1-AC$9^2*$C$11)*NORMSINV(AB52)))*(AC$7-AC$5)*(AC$7-AC$6))))</f>
        <v>9.46306164760456</v>
      </c>
      <c r="AD52" s="2" t="n">
        <f aca="false">Entrées!$C$8*(1+E52)</f>
        <v>7431.34611108074</v>
      </c>
      <c r="AE52" s="2" t="n">
        <f aca="false">I52*Hypothèses!$J$24/12/Hypothèses!$J$19</f>
        <v>92.7075370037586</v>
      </c>
      <c r="AF52" s="2" t="n">
        <f aca="false">Entrées!$C$36*S52*1000</f>
        <v>86.6960100541035</v>
      </c>
      <c r="AG52" s="2" t="n">
        <f aca="false">-AF52/W52</f>
        <v>-10.1844658908901</v>
      </c>
      <c r="AH52" s="2" t="n">
        <f aca="false">AD52+AE52+AG52</f>
        <v>7513.86918219361</v>
      </c>
      <c r="AI52" s="2" t="n">
        <f aca="false">Entrées!$C$16-M52+Hypothèses!$J$22*1000-AF52+Hypothèses!$J$23</f>
        <v>22872.8392969776</v>
      </c>
      <c r="AJ52" s="2" t="n">
        <f aca="false">AI52/AH52</f>
        <v>3.04408271455959</v>
      </c>
      <c r="AK52" s="2" t="n">
        <f aca="false">AI52/(AH52+I52*(12-Hypothèses!$J$24)/12/Hypothèses!$J$19)</f>
        <v>3.01748960271167</v>
      </c>
      <c r="AL52" s="2" t="n">
        <f aca="false">(AD52+AG52+I52/Hypothèses!$J$19)*(1+G52)</f>
        <v>7988.7750566727</v>
      </c>
      <c r="AM52" s="2" t="n">
        <f aca="false">Entrées!$C$54*K52/Hypothèses!$J$19</f>
        <v>36.5519382359318</v>
      </c>
      <c r="AN52" s="2" t="n">
        <f aca="false">Y52*1000/AC52</f>
        <v>31.324691962568</v>
      </c>
      <c r="AO52" s="2" t="n">
        <f aca="false">(Entrées!$C$36*(1-S52)+MAX(0,Entrées!$C$30-Entrées!$C$35-Entrées!$C$36)*U52)*1000</f>
        <v>1141.097692034</v>
      </c>
      <c r="AP52" s="2" t="n">
        <f aca="false">-AO52/W52</f>
        <v>-134.048504832474</v>
      </c>
      <c r="AQ52" s="2" t="n">
        <f aca="false">AL52+AM52+AN52+AP52</f>
        <v>7922.60318203873</v>
      </c>
      <c r="AR52" s="2" t="n">
        <f aca="false">O52*AQ52-Hypothèses!$J$25/Hypothèses!$J$19</f>
        <v>1291.12257406635</v>
      </c>
      <c r="AS52" s="2" t="n">
        <f aca="false">Entrées!$C$79*(1+Q52)+Hypothèses!$J$20</f>
        <v>1457.87149767189</v>
      </c>
      <c r="AT52" s="2" t="n">
        <f aca="false">AI52-AR52+AS52+Y52*1000-AO52+Hypothèses!$J$23</f>
        <v>22194.9180196831</v>
      </c>
      <c r="AU52" s="2" t="n">
        <f aca="false">AT52/AQ52</f>
        <v>2.80146783951026</v>
      </c>
      <c r="AV52" s="2" t="n">
        <f aca="false">Hypothèses!$J$26*AQ52-AT52</f>
        <v>1572.89152643306</v>
      </c>
      <c r="AW52" s="2" t="n">
        <f aca="false">IF(AC52&gt;Hypothèses!$J$26,MAX(0,AV52)/(1-Hypothèses!$J$26/AC52),0)</f>
        <v>2302.99048519018</v>
      </c>
      <c r="AX52" s="2" t="n">
        <f aca="false">AQ52-Entrées!$C$17*1000</f>
        <v>-77.3968179612693</v>
      </c>
      <c r="AY52" s="2" t="n">
        <f aca="false">AI52+(Entrées!$C$244-Entrées!$C$13)</f>
        <v>28619.8392969776</v>
      </c>
      <c r="AZ52" s="2" t="n">
        <f aca="false">AA52*AH52</f>
        <v>5483.6313487231</v>
      </c>
      <c r="BA52" s="2" t="n">
        <f aca="false">AZ52/AY52</f>
        <v>0.191602450727325</v>
      </c>
      <c r="BB52" s="2" t="n">
        <f aca="false">AZ52/(Entrées!$C$151/100)-AY52</f>
        <v>1844.77930703964</v>
      </c>
      <c r="BC52" s="2" t="n">
        <f aca="false">AT52+(Entrées!$C$244-Entrées!$C$13)</f>
        <v>27941.9180196831</v>
      </c>
      <c r="BD52" s="2" t="n">
        <f aca="false">AA52*AQ52</f>
        <v>5781.92594508782</v>
      </c>
      <c r="BE52" s="2" t="n">
        <f aca="false">BD52/BC52</f>
        <v>0.206926594695999</v>
      </c>
      <c r="BF52" s="2" t="n">
        <f aca="false">BD52/(Entrées!$C$151/100)-BC52</f>
        <v>4179.89278636029</v>
      </c>
      <c r="BG52" s="2" t="n">
        <f aca="false">MIN(AV52,BF52)</f>
        <v>1572.89152643306</v>
      </c>
      <c r="BH52" s="2" t="n">
        <f aca="false">IF(AC52&gt;Hypothèses!$J$26,MAX(0,BG52)/(1-Hypothèses!$J$26/AC52),0)</f>
        <v>2302.99048519018</v>
      </c>
    </row>
    <row r="53" customFormat="false" ht="15" hidden="false" customHeight="false" outlineLevel="0" collapsed="false">
      <c r="A53" s="2" t="n">
        <v>38</v>
      </c>
      <c r="B53" s="2" t="n">
        <v>0.051349757</v>
      </c>
      <c r="C53" s="2"/>
      <c r="D53" s="2" t="n">
        <v>0.292093603</v>
      </c>
      <c r="E53" s="2" t="n">
        <f aca="false">IF(E$7=E$5,E$6,IF(NORMSDIST(E$9*SQRT($C$11)*NORMSINV($B53)+SQRT(1-E$9^2*$C$11)*NORMSINV(D53))&lt;E$8,E$5+SQRT(NORMSDIST(E$9*SQRT($C$11)*NORMSINV($B53)+SQRT(1-E$9^2*$C$11)*NORMSINV(D53))*(E$7-E$5)*(E$6-E$5)),E$7-SQRT((1-NORMSDIST(E$9*SQRT($C$11)*NORMSINV($B53)+SQRT(1-E$9^2*$C$11)*NORMSINV(D53)))*(E$7-E$5)*(E$7-E$6))))</f>
        <v>0.0519064691104219</v>
      </c>
      <c r="F53" s="2" t="n">
        <v>0.982828797</v>
      </c>
      <c r="G53" s="2" t="n">
        <f aca="false">IF(G$7=G$5,G$6,IF(NORMSDIST(G$9*SQRT($C$11)*NORMSINV($B53)+SQRT(1-G$9^2*$C$11)*NORMSINV(F53))&lt;G$8,G$5+SQRT(NORMSDIST(G$9*SQRT($C$11)*NORMSINV($B53)+SQRT(1-G$9^2*$C$11)*NORMSINV(F53))*(G$7-G$5)*(G$6-G$5)),G$7-SQRT((1-NORMSDIST(G$9*SQRT($C$11)*NORMSINV($B53)+SQRT(1-G$9^2*$C$11)*NORMSINV(F53)))*(G$7-G$5)*(G$7-G$6))))</f>
        <v>0.0589378003663297</v>
      </c>
      <c r="H53" s="2" t="n">
        <v>0.755245169</v>
      </c>
      <c r="I53" s="2" t="n">
        <f aca="false">IF(I$7=I$5,I$6,IF(NORMSDIST(I$9*SQRT($C$11)*NORMSINV($B53)+SQRT(1-I$9^2*$C$11)*NORMSINV(H53))&lt;I$8,I$5+SQRT(NORMSDIST(I$9*SQRT($C$11)*NORMSINV($B53)+SQRT(1-I$9^2*$C$11)*NORMSINV(H53))*(I$7-I$5)*(I$6-I$5)),I$7-SQRT((1-NORMSDIST(I$9*SQRT($C$11)*NORMSINV($B53)+SQRT(1-I$9^2*$C$11)*NORMSINV(H53)))*(I$7-I$5)*(I$7-I$6))))</f>
        <v>195.739576194407</v>
      </c>
      <c r="J53" s="2" t="n">
        <v>0.038574153</v>
      </c>
      <c r="K53" s="2" t="n">
        <f aca="false">IF(K$7=K$5,K$6,IF(NORMSDIST(K$9*SQRT($C$11)*NORMSINV($B53)+SQRT(1-K$9^2*$C$11)*NORMSINV(J53))&lt;K$8,K$5+SQRT(NORMSDIST(K$9*SQRT($C$11)*NORMSINV($B53)+SQRT(1-K$9^2*$C$11)*NORMSINV(J53))*(K$7-K$5)*(K$6-K$5)),K$7-SQRT((1-NORMSDIST(K$9*SQRT($C$11)*NORMSINV($B53)+SQRT(1-K$9^2*$C$11)*NORMSINV(J53)))*(K$7-K$5)*(K$7-K$6))))</f>
        <v>0.0319588350820216</v>
      </c>
      <c r="L53" s="2" t="n">
        <v>0.907805976</v>
      </c>
      <c r="M53" s="2" t="n">
        <f aca="false">IF(M$7=M$5,M$6,IF(NORMSDIST(M$9*SQRT($C$11)*NORMSINV($B53)+SQRT(1-M$9^2*$C$11)*NORMSINV(L53))&lt;M$8,M$5+SQRT(NORMSDIST(M$9*SQRT($C$11)*NORMSINV($B53)+SQRT(1-M$9^2*$C$11)*NORMSINV(L53))*(M$7-M$5)*(M$6-M$5)),M$7-SQRT((1-NORMSDIST(M$9*SQRT($C$11)*NORMSINV($B53)+SQRT(1-M$9^2*$C$11)*NORMSINV(L53)))*(M$7-M$5)*(M$7-M$6))))</f>
        <v>1584.90780078247</v>
      </c>
      <c r="N53" s="2" t="n">
        <v>0.565103121</v>
      </c>
      <c r="O53" s="2" t="n">
        <f aca="false">IF(O$7=O$5,O$6,IF(NORMSDIST(O$9*SQRT($C$11)*NORMSINV($B53)+SQRT(1-O$9^2*$C$11)*NORMSINV(N53))&lt;O$8,O$5+SQRT(NORMSDIST(O$9*SQRT($C$11)*NORMSINV($B53)+SQRT(1-O$9^2*$C$11)*NORMSINV(N53))*(O$7-O$5)*(O$6-O$5)),O$7-SQRT((1-NORMSDIST(O$9*SQRT($C$11)*NORMSINV($B53)+SQRT(1-O$9^2*$C$11)*NORMSINV(N53)))*(O$7-O$5)*(O$7-O$6))))</f>
        <v>0.156190641439886</v>
      </c>
      <c r="P53" s="2" t="n">
        <v>0.593425769</v>
      </c>
      <c r="Q53" s="2" t="n">
        <f aca="false">IF(Q$7=Q$5,Q$6,IF(NORMSDIST(Q$9*SQRT($C$11)*NORMSINV($B53)+SQRT(1-Q$9^2*$C$11)*NORMSINV(P53))&lt;Q$8,Q$5+SQRT(NORMSDIST(Q$9*SQRT($C$11)*NORMSINV($B53)+SQRT(1-Q$9^2*$C$11)*NORMSINV(P53))*(Q$7-Q$5)*(Q$6-Q$5)),Q$7-SQRT((1-NORMSDIST(Q$9*SQRT($C$11)*NORMSINV($B53)+SQRT(1-Q$9^2*$C$11)*NORMSINV(P53)))*(Q$7-Q$5)*(Q$7-Q$6))))</f>
        <v>0.0839301020350764</v>
      </c>
      <c r="R53" s="2" t="n">
        <v>0.454505381</v>
      </c>
      <c r="S53" s="2" t="n">
        <f aca="false">IF(S$7=S$5,S$6,IF(NORMSDIST(S$9*SQRT($C$11)*NORMSINV($B53)+SQRT(1-S$9^2*$C$11)*NORMSINV(R53))&lt;S$8,S$5+SQRT(NORMSDIST(S$9*SQRT($C$11)*NORMSINV($B53)+SQRT(1-S$9^2*$C$11)*NORMSINV(R53))*(S$7-S$5)*(S$6-S$5)),S$7-SQRT((1-NORMSDIST(S$9*SQRT($C$11)*NORMSINV($B53)+SQRT(1-S$9^2*$C$11)*NORMSINV(R53)))*(S$7-S$5)*(S$7-S$6))))</f>
        <v>0.256146461785765</v>
      </c>
      <c r="T53" s="2" t="n">
        <v>0.224704835</v>
      </c>
      <c r="U53" s="2" t="n">
        <f aca="false">IF(U$7=U$5,U$6,IF(NORMSDIST(U$9*SQRT($C$11)*NORMSINV($B53)+SQRT(1-U$9^2*$C$11)*NORMSINV(T53))&lt;U$8,U$5+SQRT(NORMSDIST(U$9*SQRT($C$11)*NORMSINV($B53)+SQRT(1-U$9^2*$C$11)*NORMSINV(T53))*(U$7-U$5)*(U$6-U$5)),U$7-SQRT((1-NORMSDIST(U$9*SQRT($C$11)*NORMSINV($B53)+SQRT(1-U$9^2*$C$11)*NORMSINV(T53)))*(U$7-U$5)*(U$7-U$6))))</f>
        <v>0.162526948533372</v>
      </c>
      <c r="V53" s="2" t="n">
        <v>0.44178807</v>
      </c>
      <c r="W53" s="2" t="n">
        <f aca="false">IF(W$7=W$5,W$6,IF(NORMSDIST(W$9*SQRT($C$11)*NORMSINV($B53)+SQRT(1-W$9^2*$C$11)*NORMSINV(V53))&lt;W$8,W$5+SQRT(NORMSDIST(W$9*SQRT($C$11)*NORMSINV($B53)+SQRT(1-W$9^2*$C$11)*NORMSINV(V53))*(W$7-W$5)*(W$6-W$5)),W$7-SQRT((1-NORMSDIST(W$9*SQRT($C$11)*NORMSINV($B53)+SQRT(1-W$9^2*$C$11)*NORMSINV(V53)))*(W$7-W$5)*(W$7-W$6))))</f>
        <v>9.00396553323643</v>
      </c>
      <c r="X53" s="2" t="n">
        <v>0.097577354</v>
      </c>
      <c r="Y53" s="2" t="n">
        <f aca="false">IF(Y$7=Y$5,Y$6,IF(NORMSDIST(Y$9*SQRT($C$11)*NORMSINV($B53)+SQRT(1-Y$9^2*$C$11)*NORMSINV(X53))&lt;Y$8,Y$5+SQRT(NORMSDIST(Y$9*SQRT($C$11)*NORMSINV($B53)+SQRT(1-Y$9^2*$C$11)*NORMSINV(X53))*(Y$7-Y$5)*(Y$6-Y$5)),Y$7-SQRT((1-NORMSDIST(Y$9*SQRT($C$11)*NORMSINV($B53)+SQRT(1-Y$9^2*$C$11)*NORMSINV(X53)))*(Y$7-Y$5)*(Y$7-Y$6))))</f>
        <v>0.22088159045063</v>
      </c>
      <c r="Z53" s="2" t="n">
        <v>0.414003643</v>
      </c>
      <c r="AA53" s="2" t="n">
        <f aca="false">IF(AA$7=AA$5,AA$6,IF(NORMSDIST(AA$9*SQRT($C$11)*NORMSINV($B53)+SQRT(1-AA$9^2*$C$11)*NORMSINV(Z53))&lt;AA$8,AA$5+SQRT(NORMSDIST(AA$9*SQRT($C$11)*NORMSINV($B53)+SQRT(1-AA$9^2*$C$11)*NORMSINV(Z53))*(AA$7-AA$5)*(AA$6-AA$5)),AA$7-SQRT((1-NORMSDIST(AA$9*SQRT($C$11)*NORMSINV($B53)+SQRT(1-AA$9^2*$C$11)*NORMSINV(Z53)))*(AA$7-AA$5)*(AA$7-AA$6))))</f>
        <v>0.711016500685598</v>
      </c>
      <c r="AB53" s="2" t="n">
        <v>0.928477071</v>
      </c>
      <c r="AC53" s="2" t="n">
        <f aca="false">IF(AC$7=AC$5,AC$6,IF(NORMSDIST(AC$9*SQRT($C$11)*NORMSINV($B53)+SQRT(1-AC$9^2*$C$11)*NORMSINV(AB53))&lt;AC$8,AC$5+SQRT(NORMSDIST(AC$9*SQRT($C$11)*NORMSINV($B53)+SQRT(1-AC$9^2*$C$11)*NORMSINV(AB53))*(AC$7-AC$5)*(AC$6-AC$5)),AC$7-SQRT((1-NORMSDIST(AC$9*SQRT($C$11)*NORMSINV($B53)+SQRT(1-AC$9^2*$C$11)*NORMSINV(AB53)))*(AC$7-AC$5)*(AC$7-AC$6))))</f>
        <v>9.56149855767171</v>
      </c>
      <c r="AD53" s="2" t="n">
        <f aca="false">Entrées!$C$8*(1+E53)</f>
        <v>7415.94060722847</v>
      </c>
      <c r="AE53" s="2" t="n">
        <f aca="false">I53*Hypothèses!$J$24/12/Hypothèses!$J$19</f>
        <v>97.1057772611596</v>
      </c>
      <c r="AF53" s="2" t="n">
        <f aca="false">Entrées!$C$36*S53*1000</f>
        <v>128.073230892883</v>
      </c>
      <c r="AG53" s="2" t="n">
        <f aca="false">-AF53/W53</f>
        <v>-14.2240916427461</v>
      </c>
      <c r="AH53" s="2" t="n">
        <f aca="false">AD53+AE53+AG53</f>
        <v>7498.82229284689</v>
      </c>
      <c r="AI53" s="2" t="n">
        <f aca="false">Entrées!$C$16-M53+Hypothèses!$J$22*1000-AF53+Hypothèses!$J$23</f>
        <v>22835.0189683246</v>
      </c>
      <c r="AJ53" s="2" t="n">
        <f aca="false">AI53/AH53</f>
        <v>3.04514736802163</v>
      </c>
      <c r="AK53" s="2" t="n">
        <f aca="false">AI53/(AH53+I53*(12-Hypothèses!$J$24)/12/Hypothèses!$J$19)</f>
        <v>3.01723904821981</v>
      </c>
      <c r="AL53" s="2" t="n">
        <f aca="false">(AD53+AG53+I53/Hypothèses!$J$19)*(1+G53)</f>
        <v>8014.23565425085</v>
      </c>
      <c r="AM53" s="2" t="n">
        <f aca="false">Entrées!$C$54*K53/Hypothèses!$J$19</f>
        <v>3.26153330659748</v>
      </c>
      <c r="AN53" s="2" t="n">
        <f aca="false">Y53*1000/AC53</f>
        <v>23.1011477038194</v>
      </c>
      <c r="AO53" s="2" t="n">
        <f aca="false">(Entrées!$C$36*(1-S53)+MAX(0,Entrées!$C$30-Entrées!$C$35-Entrées!$C$36)*U53)*1000</f>
        <v>599.464497053838</v>
      </c>
      <c r="AP53" s="2" t="n">
        <f aca="false">-AO53/W53</f>
        <v>-66.5778311612844</v>
      </c>
      <c r="AQ53" s="2" t="n">
        <f aca="false">AL53+AM53+AN53+AP53</f>
        <v>7974.02050409998</v>
      </c>
      <c r="AR53" s="2" t="n">
        <f aca="false">O53*AQ53-Hypothèses!$J$25/Hypothèses!$J$19</f>
        <v>1226.33221512855</v>
      </c>
      <c r="AS53" s="2" t="n">
        <f aca="false">Entrées!$C$79*(1+Q53)+Hypothèses!$J$20</f>
        <v>1486.23918213655</v>
      </c>
      <c r="AT53" s="2" t="n">
        <f aca="false">AI53-AR53+AS53+Y53*1000-AO53+Hypothèses!$J$23</f>
        <v>22716.3430287294</v>
      </c>
      <c r="AU53" s="2" t="n">
        <f aca="false">AT53/AQ53</f>
        <v>2.84879415811001</v>
      </c>
      <c r="AV53" s="2" t="n">
        <f aca="false">Hypothèses!$J$26*AQ53-AT53</f>
        <v>1205.7184835705</v>
      </c>
      <c r="AW53" s="2" t="n">
        <f aca="false">IF(AC53&gt;Hypothèses!$J$26,MAX(0,AV53)/(1-Hypothèses!$J$26/AC53),0)</f>
        <v>1756.98820022423</v>
      </c>
      <c r="AX53" s="2" t="n">
        <f aca="false">AQ53-Entrées!$C$17*1000</f>
        <v>-25.9794959000201</v>
      </c>
      <c r="AY53" s="2" t="n">
        <f aca="false">AI53+(Entrées!$C$244-Entrées!$C$13)</f>
        <v>28582.0189683246</v>
      </c>
      <c r="AZ53" s="2" t="n">
        <f aca="false">AA53*AH53</f>
        <v>5331.78638592315</v>
      </c>
      <c r="BA53" s="2" t="n">
        <f aca="false">AZ53/AY53</f>
        <v>0.186543378612686</v>
      </c>
      <c r="BB53" s="2" t="n">
        <f aca="false">AZ53/(Entrées!$C$151/100)-AY53</f>
        <v>1039.01650902618</v>
      </c>
      <c r="BC53" s="2" t="n">
        <f aca="false">AT53+(Entrées!$C$244-Entrées!$C$13)</f>
        <v>28463.3430287294</v>
      </c>
      <c r="BD53" s="2" t="n">
        <f aca="false">AA53*AQ53</f>
        <v>5669.66015522038</v>
      </c>
      <c r="BE53" s="2" t="n">
        <f aca="false">BD53/BC53</f>
        <v>0.199191646234166</v>
      </c>
      <c r="BF53" s="2" t="n">
        <f aca="false">BD53/(Entrées!$C$151/100)-BC53</f>
        <v>3034.76894471712</v>
      </c>
      <c r="BG53" s="2" t="n">
        <f aca="false">MIN(AV53,BF53)</f>
        <v>1205.7184835705</v>
      </c>
      <c r="BH53" s="2" t="n">
        <f aca="false">IF(AC53&gt;Hypothèses!$J$26,MAX(0,BG53)/(1-Hypothèses!$J$26/AC53),0)</f>
        <v>1756.98820022423</v>
      </c>
    </row>
    <row r="54" customFormat="false" ht="15" hidden="false" customHeight="false" outlineLevel="0" collapsed="false">
      <c r="A54" s="2" t="n">
        <v>39</v>
      </c>
      <c r="B54" s="2" t="n">
        <v>0.874400147</v>
      </c>
      <c r="C54" s="2"/>
      <c r="D54" s="2" t="n">
        <v>0.850161162</v>
      </c>
      <c r="E54" s="2" t="n">
        <f aca="false">IF(E$7=E$5,E$6,IF(NORMSDIST(E$9*SQRT($C$11)*NORMSINV($B54)+SQRT(1-E$9^2*$C$11)*NORMSINV(D54))&lt;E$8,E$5+SQRT(NORMSDIST(E$9*SQRT($C$11)*NORMSINV($B54)+SQRT(1-E$9^2*$C$11)*NORMSINV(D54))*(E$7-E$5)*(E$6-E$5)),E$7-SQRT((1-NORMSDIST(E$9*SQRT($C$11)*NORMSINV($B54)+SQRT(1-E$9^2*$C$11)*NORMSINV(D54)))*(E$7-E$5)*(E$7-E$6))))</f>
        <v>0.0582234164314192</v>
      </c>
      <c r="F54" s="2" t="n">
        <v>0.422831896</v>
      </c>
      <c r="G54" s="2" t="n">
        <f aca="false">IF(G$7=G$5,G$6,IF(NORMSDIST(G$9*SQRT($C$11)*NORMSINV($B54)+SQRT(1-G$9^2*$C$11)*NORMSINV(F54))&lt;G$8,G$5+SQRT(NORMSDIST(G$9*SQRT($C$11)*NORMSINV($B54)+SQRT(1-G$9^2*$C$11)*NORMSINV(F54))*(G$7-G$5)*(G$6-G$5)),G$7-SQRT((1-NORMSDIST(G$9*SQRT($C$11)*NORMSINV($B54)+SQRT(1-G$9^2*$C$11)*NORMSINV(F54)))*(G$7-G$5)*(G$7-G$6))))</f>
        <v>0.0587216262058108</v>
      </c>
      <c r="H54" s="2" t="n">
        <v>0.474619902</v>
      </c>
      <c r="I54" s="2" t="n">
        <f aca="false">IF(I$7=I$5,I$6,IF(NORMSDIST(I$9*SQRT($C$11)*NORMSINV($B54)+SQRT(1-I$9^2*$C$11)*NORMSINV(H54))&lt;I$8,I$5+SQRT(NORMSDIST(I$9*SQRT($C$11)*NORMSINV($B54)+SQRT(1-I$9^2*$C$11)*NORMSINV(H54))*(I$7-I$5)*(I$6-I$5)),I$7-SQRT((1-NORMSDIST(I$9*SQRT($C$11)*NORMSINV($B54)+SQRT(1-I$9^2*$C$11)*NORMSINV(H54)))*(I$7-I$5)*(I$7-I$6))))</f>
        <v>205.874970314418</v>
      </c>
      <c r="J54" s="2" t="n">
        <v>0.767426581</v>
      </c>
      <c r="K54" s="2" t="n">
        <f aca="false">IF(K$7=K$5,K$6,IF(NORMSDIST(K$9*SQRT($C$11)*NORMSINV($B54)+SQRT(1-K$9^2*$C$11)*NORMSINV(J54))&lt;K$8,K$5+SQRT(NORMSDIST(K$9*SQRT($C$11)*NORMSINV($B54)+SQRT(1-K$9^2*$C$11)*NORMSINV(J54))*(K$7-K$5)*(K$6-K$5)),K$7-SQRT((1-NORMSDIST(K$9*SQRT($C$11)*NORMSINV($B54)+SQRT(1-K$9^2*$C$11)*NORMSINV(J54)))*(K$7-K$5)*(K$7-K$6))))</f>
        <v>0.389167603834566</v>
      </c>
      <c r="L54" s="2" t="n">
        <v>0.066027794</v>
      </c>
      <c r="M54" s="2" t="n">
        <f aca="false">IF(M$7=M$5,M$6,IF(NORMSDIST(M$9*SQRT($C$11)*NORMSINV($B54)+SQRT(1-M$9^2*$C$11)*NORMSINV(L54))&lt;M$8,M$5+SQRT(NORMSDIST(M$9*SQRT($C$11)*NORMSINV($B54)+SQRT(1-M$9^2*$C$11)*NORMSINV(L54))*(M$7-M$5)*(M$6-M$5)),M$7-SQRT((1-NORMSDIST(M$9*SQRT($C$11)*NORMSINV($B54)+SQRT(1-M$9^2*$C$11)*NORMSINV(L54)))*(M$7-M$5)*(M$7-M$6))))</f>
        <v>1532.29993870637</v>
      </c>
      <c r="N54" s="2" t="n">
        <v>0.276987133</v>
      </c>
      <c r="O54" s="2" t="n">
        <f aca="false">IF(O$7=O$5,O$6,IF(NORMSDIST(O$9*SQRT($C$11)*NORMSINV($B54)+SQRT(1-O$9^2*$C$11)*NORMSINV(N54))&lt;O$8,O$5+SQRT(NORMSDIST(O$9*SQRT($C$11)*NORMSINV($B54)+SQRT(1-O$9^2*$C$11)*NORMSINV(N54))*(O$7-O$5)*(O$6-O$5)),O$7-SQRT((1-NORMSDIST(O$9*SQRT($C$11)*NORMSINV($B54)+SQRT(1-O$9^2*$C$11)*NORMSINV(N54)))*(O$7-O$5)*(O$7-O$6))))</f>
        <v>0.169497646714601</v>
      </c>
      <c r="P54" s="2" t="n">
        <v>0.3322742</v>
      </c>
      <c r="Q54" s="2" t="n">
        <f aca="false">IF(Q$7=Q$5,Q$6,IF(NORMSDIST(Q$9*SQRT($C$11)*NORMSINV($B54)+SQRT(1-Q$9^2*$C$11)*NORMSINV(P54))&lt;Q$8,Q$5+SQRT(NORMSDIST(Q$9*SQRT($C$11)*NORMSINV($B54)+SQRT(1-Q$9^2*$C$11)*NORMSINV(P54))*(Q$7-Q$5)*(Q$6-Q$5)),Q$7-SQRT((1-NORMSDIST(Q$9*SQRT($C$11)*NORMSINV($B54)+SQRT(1-Q$9^2*$C$11)*NORMSINV(P54)))*(Q$7-Q$5)*(Q$7-Q$6))))</f>
        <v>0.0726079352305539</v>
      </c>
      <c r="R54" s="2" t="n">
        <v>0.619673865</v>
      </c>
      <c r="S54" s="2" t="n">
        <f aca="false">IF(S$7=S$5,S$6,IF(NORMSDIST(S$9*SQRT($C$11)*NORMSINV($B54)+SQRT(1-S$9^2*$C$11)*NORMSINV(R54))&lt;S$8,S$5+SQRT(NORMSDIST(S$9*SQRT($C$11)*NORMSINV($B54)+SQRT(1-S$9^2*$C$11)*NORMSINV(R54))*(S$7-S$5)*(S$6-S$5)),S$7-SQRT((1-NORMSDIST(S$9*SQRT($C$11)*NORMSINV($B54)+SQRT(1-S$9^2*$C$11)*NORMSINV(R54)))*(S$7-S$5)*(S$7-S$6))))</f>
        <v>0.710078705117114</v>
      </c>
      <c r="T54" s="2" t="n">
        <v>0.999221779</v>
      </c>
      <c r="U54" s="2" t="n">
        <f aca="false">IF(U$7=U$5,U$6,IF(NORMSDIST(U$9*SQRT($C$11)*NORMSINV($B54)+SQRT(1-U$9^2*$C$11)*NORMSINV(T54))&lt;U$8,U$5+SQRT(NORMSDIST(U$9*SQRT($C$11)*NORMSINV($B54)+SQRT(1-U$9^2*$C$11)*NORMSINV(T54))*(U$7-U$5)*(U$6-U$5)),U$7-SQRT((1-NORMSDIST(U$9*SQRT($C$11)*NORMSINV($B54)+SQRT(1-U$9^2*$C$11)*NORMSINV(T54)))*(U$7-U$5)*(U$7-U$6))))</f>
        <v>0.980695247609113</v>
      </c>
      <c r="V54" s="2" t="n">
        <v>0.810201148</v>
      </c>
      <c r="W54" s="2" t="n">
        <f aca="false">IF(W$7=W$5,W$6,IF(NORMSDIST(W$9*SQRT($C$11)*NORMSINV($B54)+SQRT(1-W$9^2*$C$11)*NORMSINV(V54))&lt;W$8,W$5+SQRT(NORMSDIST(W$9*SQRT($C$11)*NORMSINV($B54)+SQRT(1-W$9^2*$C$11)*NORMSINV(V54))*(W$7-W$5)*(W$6-W$5)),W$7-SQRT((1-NORMSDIST(W$9*SQRT($C$11)*NORMSINV($B54)+SQRT(1-W$9^2*$C$11)*NORMSINV(V54)))*(W$7-W$5)*(W$7-W$6))))</f>
        <v>11.2009090406433</v>
      </c>
      <c r="X54" s="2" t="n">
        <v>0.116923435</v>
      </c>
      <c r="Y54" s="2" t="n">
        <f aca="false">IF(Y$7=Y$5,Y$6,IF(NORMSDIST(Y$9*SQRT($C$11)*NORMSINV($B54)+SQRT(1-Y$9^2*$C$11)*NORMSINV(X54))&lt;Y$8,Y$5+SQRT(NORMSDIST(Y$9*SQRT($C$11)*NORMSINV($B54)+SQRT(1-Y$9^2*$C$11)*NORMSINV(X54))*(Y$7-Y$5)*(Y$6-Y$5)),Y$7-SQRT((1-NORMSDIST(Y$9*SQRT($C$11)*NORMSINV($B54)+SQRT(1-Y$9^2*$C$11)*NORMSINV(X54)))*(Y$7-Y$5)*(Y$7-Y$6))))</f>
        <v>0.241788580168709</v>
      </c>
      <c r="Z54" s="2" t="n">
        <v>0.641178133</v>
      </c>
      <c r="AA54" s="2" t="n">
        <f aca="false">IF(AA$7=AA$5,AA$6,IF(NORMSDIST(AA$9*SQRT($C$11)*NORMSINV($B54)+SQRT(1-AA$9^2*$C$11)*NORMSINV(Z54))&lt;AA$8,AA$5+SQRT(NORMSDIST(AA$9*SQRT($C$11)*NORMSINV($B54)+SQRT(1-AA$9^2*$C$11)*NORMSINV(Z54))*(AA$7-AA$5)*(AA$6-AA$5)),AA$7-SQRT((1-NORMSDIST(AA$9*SQRT($C$11)*NORMSINV($B54)+SQRT(1-AA$9^2*$C$11)*NORMSINV(Z54)))*(AA$7-AA$5)*(AA$7-AA$6))))</f>
        <v>0.73965339196795</v>
      </c>
      <c r="AB54" s="2" t="n">
        <v>0.616525456</v>
      </c>
      <c r="AC54" s="2" t="n">
        <f aca="false">IF(AC$7=AC$5,AC$6,IF(NORMSDIST(AC$9*SQRT($C$11)*NORMSINV($B54)+SQRT(1-AC$9^2*$C$11)*NORMSINV(AB54))&lt;AC$8,AC$5+SQRT(NORMSDIST(AC$9*SQRT($C$11)*NORMSINV($B54)+SQRT(1-AC$9^2*$C$11)*NORMSINV(AB54))*(AC$7-AC$5)*(AC$6-AC$5)),AC$7-SQRT((1-NORMSDIST(AC$9*SQRT($C$11)*NORMSINV($B54)+SQRT(1-AC$9^2*$C$11)*NORMSINV(AB54)))*(AC$7-AC$5)*(AC$7-AC$6))))</f>
        <v>10.1437335115979</v>
      </c>
      <c r="AD54" s="2" t="n">
        <f aca="false">Entrées!$C$8*(1+E54)</f>
        <v>7460.47508584151</v>
      </c>
      <c r="AE54" s="2" t="n">
        <f aca="false">I54*Hypothèses!$J$24/12/Hypothèses!$J$19</f>
        <v>102.133913844506</v>
      </c>
      <c r="AF54" s="2" t="n">
        <f aca="false">Entrées!$C$36*S54*1000</f>
        <v>355.039352558557</v>
      </c>
      <c r="AG54" s="2" t="n">
        <f aca="false">-AF54/W54</f>
        <v>-31.6973694965534</v>
      </c>
      <c r="AH54" s="2" t="n">
        <f aca="false">AD54+AE54+AG54</f>
        <v>7530.91163018946</v>
      </c>
      <c r="AI54" s="2" t="n">
        <f aca="false">Entrées!$C$16-M54+Hypothèses!$J$22*1000-AF54+Hypothèses!$J$23</f>
        <v>22660.6607087351</v>
      </c>
      <c r="AJ54" s="2" t="n">
        <f aca="false">AI54/AH54</f>
        <v>3.00901960101276</v>
      </c>
      <c r="AK54" s="2" t="n">
        <f aca="false">AI54/(AH54+I54*(12-Hypothèses!$J$24)/12/Hypothèses!$J$19)</f>
        <v>2.98015054448749</v>
      </c>
      <c r="AL54" s="2" t="n">
        <f aca="false">(AD54+AG54+I54/Hypothèses!$J$19)*(1+G54)</f>
        <v>8050.37571032374</v>
      </c>
      <c r="AM54" s="2" t="n">
        <f aca="false">Entrées!$C$54*K54/Hypothèses!$J$19</f>
        <v>39.7161879804938</v>
      </c>
      <c r="AN54" s="2" t="n">
        <f aca="false">Y54*1000/AC54</f>
        <v>23.8362512079263</v>
      </c>
      <c r="AO54" s="2" t="n">
        <f aca="false">(Entrées!$C$36*(1-S54)+MAX(0,Entrées!$C$30-Entrées!$C$35-Entrées!$C$36)*U54)*1000</f>
        <v>1517.9339940942</v>
      </c>
      <c r="AP54" s="2" t="n">
        <f aca="false">-AO54/W54</f>
        <v>-135.518821605127</v>
      </c>
      <c r="AQ54" s="2" t="n">
        <f aca="false">AL54+AM54+AN54+AP54</f>
        <v>7978.40932790703</v>
      </c>
      <c r="AR54" s="2" t="n">
        <f aca="false">O54*AQ54-Hypothèses!$J$25/Hypothèses!$J$19</f>
        <v>1333.18644334443</v>
      </c>
      <c r="AS54" s="2" t="n">
        <f aca="false">Entrées!$C$79*(1+Q54)+Hypothèses!$J$20</f>
        <v>1473.79612081838</v>
      </c>
      <c r="AT54" s="2" t="n">
        <f aca="false">AI54-AR54+AS54+Y54*1000-AO54+Hypothèses!$J$23</f>
        <v>21525.1249722835</v>
      </c>
      <c r="AU54" s="2" t="n">
        <f aca="false">AT54/AQ54</f>
        <v>2.69792186482493</v>
      </c>
      <c r="AV54" s="2" t="n">
        <f aca="false">Hypothèses!$J$26*AQ54-AT54</f>
        <v>2410.10301143756</v>
      </c>
      <c r="AW54" s="2" t="n">
        <f aca="false">IF(AC54&gt;Hypothèses!$J$26,MAX(0,AV54)/(1-Hypothèses!$J$26/AC54),0)</f>
        <v>3422.22209770725</v>
      </c>
      <c r="AX54" s="2" t="n">
        <f aca="false">AQ54-Entrées!$C$17*1000</f>
        <v>-21.5906720929706</v>
      </c>
      <c r="AY54" s="2" t="n">
        <f aca="false">AI54+(Entrées!$C$244-Entrées!$C$13)</f>
        <v>28407.6607087351</v>
      </c>
      <c r="AZ54" s="2" t="n">
        <f aca="false">AA54*AH54</f>
        <v>5570.26433188052</v>
      </c>
      <c r="BA54" s="2" t="n">
        <f aca="false">AZ54/AY54</f>
        <v>0.196083175907818</v>
      </c>
      <c r="BB54" s="2" t="n">
        <f aca="false">AZ54/(Entrées!$C$151/100)-AY54</f>
        <v>2538.25224615669</v>
      </c>
      <c r="BC54" s="2" t="n">
        <f aca="false">AT54+(Entrées!$C$244-Entrées!$C$13)</f>
        <v>27272.1249722835</v>
      </c>
      <c r="BD54" s="2" t="n">
        <f aca="false">AA54*AQ54</f>
        <v>5901.25752189517</v>
      </c>
      <c r="BE54" s="2" t="n">
        <f aca="false">BD54/BC54</f>
        <v>0.216384221174279</v>
      </c>
      <c r="BF54" s="2" t="n">
        <f aca="false">BD54/(Entrées!$C$151/100)-BC54</f>
        <v>5512.63903824518</v>
      </c>
      <c r="BG54" s="2" t="n">
        <f aca="false">MIN(AV54,BF54)</f>
        <v>2410.10301143756</v>
      </c>
      <c r="BH54" s="2" t="n">
        <f aca="false">IF(AC54&gt;Hypothèses!$J$26,MAX(0,BG54)/(1-Hypothèses!$J$26/AC54),0)</f>
        <v>3422.22209770725</v>
      </c>
    </row>
    <row r="55" customFormat="false" ht="15" hidden="false" customHeight="false" outlineLevel="0" collapsed="false">
      <c r="A55" s="2" t="n">
        <v>40</v>
      </c>
      <c r="B55" s="2" t="n">
        <v>0.465867147</v>
      </c>
      <c r="C55" s="2"/>
      <c r="D55" s="2" t="n">
        <v>0.158401655</v>
      </c>
      <c r="E55" s="2" t="n">
        <f aca="false">IF(E$7=E$5,E$6,IF(NORMSDIST(E$9*SQRT($C$11)*NORMSINV($B55)+SQRT(1-E$9^2*$C$11)*NORMSINV(D55))&lt;E$8,E$5+SQRT(NORMSDIST(E$9*SQRT($C$11)*NORMSINV($B55)+SQRT(1-E$9^2*$C$11)*NORMSINV(D55))*(E$7-E$5)*(E$6-E$5)),E$7-SQRT((1-NORMSDIST(E$9*SQRT($C$11)*NORMSINV($B55)+SQRT(1-E$9^2*$C$11)*NORMSINV(D55)))*(E$7-E$5)*(E$7-E$6))))</f>
        <v>0.0531889353452348</v>
      </c>
      <c r="F55" s="2" t="n">
        <v>0.785338351</v>
      </c>
      <c r="G55" s="2" t="n">
        <f aca="false">IF(G$7=G$5,G$6,IF(NORMSDIST(G$9*SQRT($C$11)*NORMSINV($B55)+SQRT(1-G$9^2*$C$11)*NORMSINV(F55))&lt;G$8,G$5+SQRT(NORMSDIST(G$9*SQRT($C$11)*NORMSINV($B55)+SQRT(1-G$9^2*$C$11)*NORMSINV(F55))*(G$7-G$5)*(G$6-G$5)),G$7-SQRT((1-NORMSDIST(G$9*SQRT($C$11)*NORMSINV($B55)+SQRT(1-G$9^2*$C$11)*NORMSINV(F55)))*(G$7-G$5)*(G$7-G$6))))</f>
        <v>0.0586076247143049</v>
      </c>
      <c r="H55" s="2" t="n">
        <v>0.615770454</v>
      </c>
      <c r="I55" s="2" t="n">
        <f aca="false">IF(I$7=I$5,I$6,IF(NORMSDIST(I$9*SQRT($C$11)*NORMSINV($B55)+SQRT(1-I$9^2*$C$11)*NORMSINV(H55))&lt;I$8,I$5+SQRT(NORMSDIST(I$9*SQRT($C$11)*NORMSINV($B55)+SQRT(1-I$9^2*$C$11)*NORMSINV(H55))*(I$7-I$5)*(I$6-I$5)),I$7-SQRT((1-NORMSDIST(I$9*SQRT($C$11)*NORMSINV($B55)+SQRT(1-I$9^2*$C$11)*NORMSINV(H55)))*(I$7-I$5)*(I$7-I$6))))</f>
        <v>201.431441529646</v>
      </c>
      <c r="J55" s="2" t="n">
        <v>0.589912028</v>
      </c>
      <c r="K55" s="2" t="n">
        <f aca="false">IF(K$7=K$5,K$6,IF(NORMSDIST(K$9*SQRT($C$11)*NORMSINV($B55)+SQRT(1-K$9^2*$C$11)*NORMSINV(J55))&lt;K$8,K$5+SQRT(NORMSDIST(K$9*SQRT($C$11)*NORMSINV($B55)+SQRT(1-K$9^2*$C$11)*NORMSINV(J55))*(K$7-K$5)*(K$6-K$5)),K$7-SQRT((1-NORMSDIST(K$9*SQRT($C$11)*NORMSINV($B55)+SQRT(1-K$9^2*$C$11)*NORMSINV(J55)))*(K$7-K$5)*(K$7-K$6))))</f>
        <v>0.262437318755762</v>
      </c>
      <c r="L55" s="2" t="n">
        <v>0.662513086</v>
      </c>
      <c r="M55" s="2" t="n">
        <f aca="false">IF(M$7=M$5,M$6,IF(NORMSDIST(M$9*SQRT($C$11)*NORMSINV($B55)+SQRT(1-M$9^2*$C$11)*NORMSINV(L55))&lt;M$8,M$5+SQRT(NORMSDIST(M$9*SQRT($C$11)*NORMSINV($B55)+SQRT(1-M$9^2*$C$11)*NORMSINV(L55))*(M$7-M$5)*(M$6-M$5)),M$7-SQRT((1-NORMSDIST(M$9*SQRT($C$11)*NORMSINV($B55)+SQRT(1-M$9^2*$C$11)*NORMSINV(L55)))*(M$7-M$5)*(M$7-M$6))))</f>
        <v>1613.99271615242</v>
      </c>
      <c r="N55" s="2" t="n">
        <v>0.507782619</v>
      </c>
      <c r="O55" s="2" t="n">
        <f aca="false">IF(O$7=O$5,O$6,IF(NORMSDIST(O$9*SQRT($C$11)*NORMSINV($B55)+SQRT(1-O$9^2*$C$11)*NORMSINV(N55))&lt;O$8,O$5+SQRT(NORMSDIST(O$9*SQRT($C$11)*NORMSINV($B55)+SQRT(1-O$9^2*$C$11)*NORMSINV(N55))*(O$7-O$5)*(O$6-O$5)),O$7-SQRT((1-NORMSDIST(O$9*SQRT($C$11)*NORMSINV($B55)+SQRT(1-O$9^2*$C$11)*NORMSINV(N55)))*(O$7-O$5)*(O$7-O$6))))</f>
        <v>0.166363856886029</v>
      </c>
      <c r="P55" s="2" t="n">
        <v>0.575921862</v>
      </c>
      <c r="Q55" s="2" t="n">
        <f aca="false">IF(Q$7=Q$5,Q$6,IF(NORMSDIST(Q$9*SQRT($C$11)*NORMSINV($B55)+SQRT(1-Q$9^2*$C$11)*NORMSINV(P55))&lt;Q$8,Q$5+SQRT(NORMSDIST(Q$9*SQRT($C$11)*NORMSINV($B55)+SQRT(1-Q$9^2*$C$11)*NORMSINV(P55))*(Q$7-Q$5)*(Q$6-Q$5)),Q$7-SQRT((1-NORMSDIST(Q$9*SQRT($C$11)*NORMSINV($B55)+SQRT(1-Q$9^2*$C$11)*NORMSINV(P55)))*(Q$7-Q$5)*(Q$7-Q$6))))</f>
        <v>0.0831618398722195</v>
      </c>
      <c r="R55" s="2" t="n">
        <v>0.739475905</v>
      </c>
      <c r="S55" s="2" t="n">
        <f aca="false">IF(S$7=S$5,S$6,IF(NORMSDIST(S$9*SQRT($C$11)*NORMSINV($B55)+SQRT(1-S$9^2*$C$11)*NORMSINV(R55))&lt;S$8,S$5+SQRT(NORMSDIST(S$9*SQRT($C$11)*NORMSINV($B55)+SQRT(1-S$9^2*$C$11)*NORMSINV(R55))*(S$7-S$5)*(S$6-S$5)),S$7-SQRT((1-NORMSDIST(S$9*SQRT($C$11)*NORMSINV($B55)+SQRT(1-S$9^2*$C$11)*NORMSINV(R55)))*(S$7-S$5)*(S$7-S$6))))</f>
        <v>0.594464860270469</v>
      </c>
      <c r="T55" s="2" t="n">
        <v>0.934296623</v>
      </c>
      <c r="U55" s="2" t="n">
        <f aca="false">IF(U$7=U$5,U$6,IF(NORMSDIST(U$9*SQRT($C$11)*NORMSINV($B55)+SQRT(1-U$9^2*$C$11)*NORMSINV(T55))&lt;U$8,U$5+SQRT(NORMSDIST(U$9*SQRT($C$11)*NORMSINV($B55)+SQRT(1-U$9^2*$C$11)*NORMSINV(T55))*(U$7-U$5)*(U$6-U$5)),U$7-SQRT((1-NORMSDIST(U$9*SQRT($C$11)*NORMSINV($B55)+SQRT(1-U$9^2*$C$11)*NORMSINV(T55)))*(U$7-U$5)*(U$7-U$6))))</f>
        <v>0.742548897030948</v>
      </c>
      <c r="V55" s="2" t="n">
        <v>0.666200732</v>
      </c>
      <c r="W55" s="2" t="n">
        <f aca="false">IF(W$7=W$5,W$6,IF(NORMSDIST(W$9*SQRT($C$11)*NORMSINV($B55)+SQRT(1-W$9^2*$C$11)*NORMSINV(V55))&lt;W$8,W$5+SQRT(NORMSDIST(W$9*SQRT($C$11)*NORMSINV($B55)+SQRT(1-W$9^2*$C$11)*NORMSINV(V55))*(W$7-W$5)*(W$6-W$5)),W$7-SQRT((1-NORMSDIST(W$9*SQRT($C$11)*NORMSINV($B55)+SQRT(1-W$9^2*$C$11)*NORMSINV(V55)))*(W$7-W$5)*(W$7-W$6))))</f>
        <v>10.2329098021496</v>
      </c>
      <c r="X55" s="2" t="n">
        <v>0.915115132</v>
      </c>
      <c r="Y55" s="2" t="n">
        <f aca="false">IF(Y$7=Y$5,Y$6,IF(NORMSDIST(Y$9*SQRT($C$11)*NORMSINV($B55)+SQRT(1-Y$9^2*$C$11)*NORMSINV(X55))&lt;Y$8,Y$5+SQRT(NORMSDIST(Y$9*SQRT($C$11)*NORMSINV($B55)+SQRT(1-Y$9^2*$C$11)*NORMSINV(X55))*(Y$7-Y$5)*(Y$6-Y$5)),Y$7-SQRT((1-NORMSDIST(Y$9*SQRT($C$11)*NORMSINV($B55)+SQRT(1-Y$9^2*$C$11)*NORMSINV(X55)))*(Y$7-Y$5)*(Y$7-Y$6))))</f>
        <v>0.793984384087031</v>
      </c>
      <c r="Z55" s="2" t="n">
        <v>0.585610523</v>
      </c>
      <c r="AA55" s="2" t="n">
        <f aca="false">IF(AA$7=AA$5,AA$6,IF(NORMSDIST(AA$9*SQRT($C$11)*NORMSINV($B55)+SQRT(1-AA$9^2*$C$11)*NORMSINV(Z55))&lt;AA$8,AA$5+SQRT(NORMSDIST(AA$9*SQRT($C$11)*NORMSINV($B55)+SQRT(1-AA$9^2*$C$11)*NORMSINV(Z55))*(AA$7-AA$5)*(AA$6-AA$5)),AA$7-SQRT((1-NORMSDIST(AA$9*SQRT($C$11)*NORMSINV($B55)+SQRT(1-AA$9^2*$C$11)*NORMSINV(Z55)))*(AA$7-AA$5)*(AA$7-AA$6))))</f>
        <v>0.729496374407252</v>
      </c>
      <c r="AB55" s="2" t="n">
        <v>0.112457393</v>
      </c>
      <c r="AC55" s="2" t="n">
        <f aca="false">IF(AC$7=AC$5,AC$6,IF(NORMSDIST(AC$9*SQRT($C$11)*NORMSINV($B55)+SQRT(1-AC$9^2*$C$11)*NORMSINV(AB55))&lt;AC$8,AC$5+SQRT(NORMSDIST(AC$9*SQRT($C$11)*NORMSINV($B55)+SQRT(1-AC$9^2*$C$11)*NORMSINV(AB55))*(AC$7-AC$5)*(AC$6-AC$5)),AC$7-SQRT((1-NORMSDIST(AC$9*SQRT($C$11)*NORMSINV($B55)+SQRT(1-AC$9^2*$C$11)*NORMSINV(AB55)))*(AC$7-AC$5)*(AC$7-AC$6))))</f>
        <v>8.57598596344331</v>
      </c>
      <c r="AD55" s="2" t="n">
        <f aca="false">Entrées!$C$8*(1+E55)</f>
        <v>7424.98199418391</v>
      </c>
      <c r="AE55" s="2" t="n">
        <f aca="false">I55*Hypothèses!$J$24/12/Hypothèses!$J$19</f>
        <v>99.9294934364481</v>
      </c>
      <c r="AF55" s="2" t="n">
        <f aca="false">Entrées!$C$36*S55*1000</f>
        <v>297.232430135234</v>
      </c>
      <c r="AG55" s="2" t="n">
        <f aca="false">-AF55/W55</f>
        <v>-29.0467165138889</v>
      </c>
      <c r="AH55" s="2" t="n">
        <f aca="false">AD55+AE55+AG55</f>
        <v>7495.86477110647</v>
      </c>
      <c r="AI55" s="2" t="n">
        <f aca="false">Entrées!$C$16-M55+Hypothèses!$J$22*1000-AF55+Hypothèses!$J$23</f>
        <v>22636.7748537123</v>
      </c>
      <c r="AJ55" s="2" t="n">
        <f aca="false">AI55/AH55</f>
        <v>3.01990171180355</v>
      </c>
      <c r="AK55" s="2" t="n">
        <f aca="false">AI55/(AH55+I55*(12-Hypothèses!$J$24)/12/Hypothèses!$J$19)</f>
        <v>2.99141641300999</v>
      </c>
      <c r="AL55" s="2" t="n">
        <f aca="false">(AD55+AG55+I55/Hypothèses!$J$19)*(1+G55)</f>
        <v>8010.74111743898</v>
      </c>
      <c r="AM55" s="2" t="n">
        <f aca="false">Entrées!$C$54*K55/Hypothèses!$J$19</f>
        <v>26.7828302821203</v>
      </c>
      <c r="AN55" s="2" t="n">
        <f aca="false">Y55*1000/AC55</f>
        <v>92.5822858702816</v>
      </c>
      <c r="AO55" s="2" t="n">
        <f aca="false">(Entrées!$C$36*(1-S55)+MAX(0,Entrées!$C$30-Entrées!$C$35-Entrées!$C$36)*U55)*1000</f>
        <v>1242.33602570809</v>
      </c>
      <c r="AP55" s="2" t="n">
        <f aca="false">-AO55/W55</f>
        <v>-121.405939241946</v>
      </c>
      <c r="AQ55" s="2" t="n">
        <f aca="false">AL55+AM55+AN55+AP55</f>
        <v>8008.70029434944</v>
      </c>
      <c r="AR55" s="2" t="n">
        <f aca="false">O55*AQ55-Hypothèses!$J$25/Hypothèses!$J$19</f>
        <v>1313.22310735062</v>
      </c>
      <c r="AS55" s="2" t="n">
        <f aca="false">Entrées!$C$79*(1+Q55)+Hypothèses!$J$20</f>
        <v>1485.39486201957</v>
      </c>
      <c r="AT55" s="2" t="n">
        <f aca="false">AI55-AR55+AS55+Y55*1000-AO55+Hypothèses!$J$23</f>
        <v>22360.5949667602</v>
      </c>
      <c r="AU55" s="2" t="n">
        <f aca="false">AT55/AQ55</f>
        <v>2.79203792687021</v>
      </c>
      <c r="AV55" s="2" t="n">
        <f aca="false">Hypothèses!$J$26*AQ55-AT55</f>
        <v>1665.50591628808</v>
      </c>
      <c r="AW55" s="2" t="n">
        <f aca="false">IF(AC55&gt;Hypothèses!$J$26,MAX(0,AV55)/(1-Hypothèses!$J$26/AC55),0)</f>
        <v>2561.58380845314</v>
      </c>
      <c r="AX55" s="2" t="n">
        <f aca="false">AQ55-Entrées!$C$17*1000</f>
        <v>8.70029434943717</v>
      </c>
      <c r="AY55" s="2" t="n">
        <f aca="false">AI55+(Entrées!$C$244-Entrées!$C$13)</f>
        <v>28383.7748537123</v>
      </c>
      <c r="AZ55" s="2" t="n">
        <f aca="false">AA55*AH55</f>
        <v>5468.20617356922</v>
      </c>
      <c r="BA55" s="2" t="n">
        <f aca="false">AZ55/AY55</f>
        <v>0.192652534828503</v>
      </c>
      <c r="BB55" s="2" t="n">
        <f aca="false">AZ55/(Entrées!$C$151/100)-AY55</f>
        <v>1995.1483327833</v>
      </c>
      <c r="BC55" s="2" t="n">
        <f aca="false">AT55+(Entrées!$C$244-Entrées!$C$13)</f>
        <v>28107.5949667602</v>
      </c>
      <c r="BD55" s="2" t="n">
        <f aca="false">AA55*AQ55</f>
        <v>5842.31782844221</v>
      </c>
      <c r="BE55" s="2" t="n">
        <f aca="false">BD55/BC55</f>
        <v>0.207855486581163</v>
      </c>
      <c r="BF55" s="2" t="n">
        <f aca="false">BD55/(Entrées!$C$151/100)-BC55</f>
        <v>4349.72630236315</v>
      </c>
      <c r="BG55" s="2" t="n">
        <f aca="false">MIN(AV55,BF55)</f>
        <v>1665.50591628808</v>
      </c>
      <c r="BH55" s="2" t="n">
        <f aca="false">IF(AC55&gt;Hypothèses!$J$26,MAX(0,BG55)/(1-Hypothèses!$J$26/AC55),0)</f>
        <v>2561.58380845314</v>
      </c>
    </row>
    <row r="56" customFormat="false" ht="15" hidden="false" customHeight="false" outlineLevel="0" collapsed="false">
      <c r="A56" s="2" t="n">
        <v>41</v>
      </c>
      <c r="B56" s="2" t="n">
        <v>0.027525568</v>
      </c>
      <c r="C56" s="2"/>
      <c r="D56" s="2" t="n">
        <v>0.625413784</v>
      </c>
      <c r="E56" s="2" t="n">
        <f aca="false">IF(E$7=E$5,E$6,IF(NORMSDIST(E$9*SQRT($C$11)*NORMSINV($B56)+SQRT(1-E$9^2*$C$11)*NORMSINV(D56))&lt;E$8,E$5+SQRT(NORMSDIST(E$9*SQRT($C$11)*NORMSINV($B56)+SQRT(1-E$9^2*$C$11)*NORMSINV(D56))*(E$7-E$5)*(E$6-E$5)),E$7-SQRT((1-NORMSDIST(E$9*SQRT($C$11)*NORMSINV($B56)+SQRT(1-E$9^2*$C$11)*NORMSINV(D56)))*(E$7-E$5)*(E$7-E$6))))</f>
        <v>0.0528905071973342</v>
      </c>
      <c r="F56" s="2" t="n">
        <v>0.704233197</v>
      </c>
      <c r="G56" s="2" t="n">
        <f aca="false">IF(G$7=G$5,G$6,IF(NORMSDIST(G$9*SQRT($C$11)*NORMSINV($B56)+SQRT(1-G$9^2*$C$11)*NORMSINV(F56))&lt;G$8,G$5+SQRT(NORMSDIST(G$9*SQRT($C$11)*NORMSINV($B56)+SQRT(1-G$9^2*$C$11)*NORMSINV(F56))*(G$7-G$5)*(G$6-G$5)),G$7-SQRT((1-NORMSDIST(G$9*SQRT($C$11)*NORMSINV($B56)+SQRT(1-G$9^2*$C$11)*NORMSINV(F56)))*(G$7-G$5)*(G$7-G$6))))</f>
        <v>0.0497793946525997</v>
      </c>
      <c r="H56" s="2" t="n">
        <v>0.518658238</v>
      </c>
      <c r="I56" s="2" t="n">
        <f aca="false">IF(I$7=I$5,I$6,IF(NORMSDIST(I$9*SQRT($C$11)*NORMSINV($B56)+SQRT(1-I$9^2*$C$11)*NORMSINV(H56))&lt;I$8,I$5+SQRT(NORMSDIST(I$9*SQRT($C$11)*NORMSINV($B56)+SQRT(1-I$9^2*$C$11)*NORMSINV(H56))*(I$7-I$5)*(I$6-I$5)),I$7-SQRT((1-NORMSDIST(I$9*SQRT($C$11)*NORMSINV($B56)+SQRT(1-I$9^2*$C$11)*NORMSINV(H56)))*(I$7-I$5)*(I$7-I$6))))</f>
        <v>189.780642486793</v>
      </c>
      <c r="J56" s="2" t="n">
        <v>0.648211462</v>
      </c>
      <c r="K56" s="2" t="n">
        <f aca="false">IF(K$7=K$5,K$6,IF(NORMSDIST(K$9*SQRT($C$11)*NORMSINV($B56)+SQRT(1-K$9^2*$C$11)*NORMSINV(J56))&lt;K$8,K$5+SQRT(NORMSDIST(K$9*SQRT($C$11)*NORMSINV($B56)+SQRT(1-K$9^2*$C$11)*NORMSINV(J56))*(K$7-K$5)*(K$6-K$5)),K$7-SQRT((1-NORMSDIST(K$9*SQRT($C$11)*NORMSINV($B56)+SQRT(1-K$9^2*$C$11)*NORMSINV(J56)))*(K$7-K$5)*(K$7-K$6))))</f>
        <v>0.149644526053072</v>
      </c>
      <c r="L56" s="2" t="n">
        <v>0.318159423</v>
      </c>
      <c r="M56" s="2" t="n">
        <f aca="false">IF(M$7=M$5,M$6,IF(NORMSDIST(M$9*SQRT($C$11)*NORMSINV($B56)+SQRT(1-M$9^2*$C$11)*NORMSINV(L56))&lt;M$8,M$5+SQRT(NORMSDIST(M$9*SQRT($C$11)*NORMSINV($B56)+SQRT(1-M$9^2*$C$11)*NORMSINV(L56))*(M$7-M$5)*(M$6-M$5)),M$7-SQRT((1-NORMSDIST(M$9*SQRT($C$11)*NORMSINV($B56)+SQRT(1-M$9^2*$C$11)*NORMSINV(L56)))*(M$7-M$5)*(M$7-M$6))))</f>
        <v>1398.5463488911</v>
      </c>
      <c r="N56" s="2" t="n">
        <v>0.285666365</v>
      </c>
      <c r="O56" s="2" t="n">
        <f aca="false">IF(O$7=O$5,O$6,IF(NORMSDIST(O$9*SQRT($C$11)*NORMSINV($B56)+SQRT(1-O$9^2*$C$11)*NORMSINV(N56))&lt;O$8,O$5+SQRT(NORMSDIST(O$9*SQRT($C$11)*NORMSINV($B56)+SQRT(1-O$9^2*$C$11)*NORMSINV(N56))*(O$7-O$5)*(O$6-O$5)),O$7-SQRT((1-NORMSDIST(O$9*SQRT($C$11)*NORMSINV($B56)+SQRT(1-O$9^2*$C$11)*NORMSINV(N56)))*(O$7-O$5)*(O$7-O$6))))</f>
        <v>0.148409103404541</v>
      </c>
      <c r="P56" s="2" t="n">
        <v>0.282866185</v>
      </c>
      <c r="Q56" s="2" t="n">
        <f aca="false">IF(Q$7=Q$5,Q$6,IF(NORMSDIST(Q$9*SQRT($C$11)*NORMSINV($B56)+SQRT(1-Q$9^2*$C$11)*NORMSINV(P56))&lt;Q$8,Q$5+SQRT(NORMSDIST(Q$9*SQRT($C$11)*NORMSINV($B56)+SQRT(1-Q$9^2*$C$11)*NORMSINV(P56))*(Q$7-Q$5)*(Q$6-Q$5)),Q$7-SQRT((1-NORMSDIST(Q$9*SQRT($C$11)*NORMSINV($B56)+SQRT(1-Q$9^2*$C$11)*NORMSINV(P56)))*(Q$7-Q$5)*(Q$7-Q$6))))</f>
        <v>0.0700860730571472</v>
      </c>
      <c r="R56" s="2" t="n">
        <v>0.587559428</v>
      </c>
      <c r="S56" s="2" t="n">
        <f aca="false">IF(S$7=S$5,S$6,IF(NORMSDIST(S$9*SQRT($C$11)*NORMSINV($B56)+SQRT(1-S$9^2*$C$11)*NORMSINV(R56))&lt;S$8,S$5+SQRT(NORMSDIST(S$9*SQRT($C$11)*NORMSINV($B56)+SQRT(1-S$9^2*$C$11)*NORMSINV(R56))*(S$7-S$5)*(S$6-S$5)),S$7-SQRT((1-NORMSDIST(S$9*SQRT($C$11)*NORMSINV($B56)+SQRT(1-S$9^2*$C$11)*NORMSINV(R56)))*(S$7-S$5)*(S$7-S$6))))</f>
        <v>0.272687427940769</v>
      </c>
      <c r="T56" s="2" t="n">
        <v>0.888373945</v>
      </c>
      <c r="U56" s="2" t="n">
        <f aca="false">IF(U$7=U$5,U$6,IF(NORMSDIST(U$9*SQRT($C$11)*NORMSINV($B56)+SQRT(1-U$9^2*$C$11)*NORMSINV(T56))&lt;U$8,U$5+SQRT(NORMSDIST(U$9*SQRT($C$11)*NORMSINV($B56)+SQRT(1-U$9^2*$C$11)*NORMSINV(T56))*(U$7-U$5)*(U$6-U$5)),U$7-SQRT((1-NORMSDIST(U$9*SQRT($C$11)*NORMSINV($B56)+SQRT(1-U$9^2*$C$11)*NORMSINV(T56)))*(U$7-U$5)*(U$7-U$6))))</f>
        <v>0.443621727675194</v>
      </c>
      <c r="V56" s="2" t="n">
        <v>0.252508262</v>
      </c>
      <c r="W56" s="2" t="n">
        <f aca="false">IF(W$7=W$5,W$6,IF(NORMSDIST(W$9*SQRT($C$11)*NORMSINV($B56)+SQRT(1-W$9^2*$C$11)*NORMSINV(V56))&lt;W$8,W$5+SQRT(NORMSDIST(W$9*SQRT($C$11)*NORMSINV($B56)+SQRT(1-W$9^2*$C$11)*NORMSINV(V56))*(W$7-W$5)*(W$6-W$5)),W$7-SQRT((1-NORMSDIST(W$9*SQRT($C$11)*NORMSINV($B56)+SQRT(1-W$9^2*$C$11)*NORMSINV(V56)))*(W$7-W$5)*(W$7-W$6))))</f>
        <v>8.5785583202397</v>
      </c>
      <c r="X56" s="2" t="n">
        <v>0.448941449</v>
      </c>
      <c r="Y56" s="2" t="n">
        <f aca="false">IF(Y$7=Y$5,Y$6,IF(NORMSDIST(Y$9*SQRT($C$11)*NORMSINV($B56)+SQRT(1-Y$9^2*$C$11)*NORMSINV(X56))&lt;Y$8,Y$5+SQRT(NORMSDIST(Y$9*SQRT($C$11)*NORMSINV($B56)+SQRT(1-Y$9^2*$C$11)*NORMSINV(X56))*(Y$7-Y$5)*(Y$6-Y$5)),Y$7-SQRT((1-NORMSDIST(Y$9*SQRT($C$11)*NORMSINV($B56)+SQRT(1-Y$9^2*$C$11)*NORMSINV(X56)))*(Y$7-Y$5)*(Y$7-Y$6))))</f>
        <v>0.473783415180397</v>
      </c>
      <c r="Z56" s="2" t="n">
        <v>0.172723556</v>
      </c>
      <c r="AA56" s="2" t="n">
        <f aca="false">IF(AA$7=AA$5,AA$6,IF(NORMSDIST(AA$9*SQRT($C$11)*NORMSINV($B56)+SQRT(1-AA$9^2*$C$11)*NORMSINV(Z56))&lt;AA$8,AA$5+SQRT(NORMSDIST(AA$9*SQRT($C$11)*NORMSINV($B56)+SQRT(1-AA$9^2*$C$11)*NORMSINV(Z56))*(AA$7-AA$5)*(AA$6-AA$5)),AA$7-SQRT((1-NORMSDIST(AA$9*SQRT($C$11)*NORMSINV($B56)+SQRT(1-AA$9^2*$C$11)*NORMSINV(Z56)))*(AA$7-AA$5)*(AA$7-AA$6))))</f>
        <v>0.702774462457285</v>
      </c>
      <c r="AB56" s="2" t="n">
        <v>0.207802881</v>
      </c>
      <c r="AC56" s="2" t="n">
        <f aca="false">IF(AC$7=AC$5,AC$6,IF(NORMSDIST(AC$9*SQRT($C$11)*NORMSINV($B56)+SQRT(1-AC$9^2*$C$11)*NORMSINV(AB56))&lt;AC$8,AC$5+SQRT(NORMSDIST(AC$9*SQRT($C$11)*NORMSINV($B56)+SQRT(1-AC$9^2*$C$11)*NORMSINV(AB56))*(AC$7-AC$5)*(AC$6-AC$5)),AC$7-SQRT((1-NORMSDIST(AC$9*SQRT($C$11)*NORMSINV($B56)+SQRT(1-AC$9^2*$C$11)*NORMSINV(AB56)))*(AC$7-AC$5)*(AC$7-AC$6))))</f>
        <v>7.93069721814431</v>
      </c>
      <c r="AD56" s="2" t="n">
        <f aca="false">Entrées!$C$8*(1+E56)</f>
        <v>7422.87807574121</v>
      </c>
      <c r="AE56" s="2" t="n">
        <f aca="false">I56*Hypothèses!$J$24/12/Hypothèses!$J$19</f>
        <v>94.1495693211219</v>
      </c>
      <c r="AF56" s="2" t="n">
        <f aca="false">Entrées!$C$36*S56*1000</f>
        <v>136.343713970385</v>
      </c>
      <c r="AG56" s="2" t="n">
        <f aca="false">-AF56/W56</f>
        <v>-15.8935463140355</v>
      </c>
      <c r="AH56" s="2" t="n">
        <f aca="false">AD56+AE56+AG56</f>
        <v>7501.13409874829</v>
      </c>
      <c r="AI56" s="2" t="n">
        <f aca="false">Entrées!$C$16-M56+Hypothèses!$J$22*1000-AF56+Hypothèses!$J$23</f>
        <v>23013.1099371385</v>
      </c>
      <c r="AJ56" s="2" t="n">
        <f aca="false">AI56/AH56</f>
        <v>3.0679507437387</v>
      </c>
      <c r="AK56" s="2" t="n">
        <f aca="false">AI56/(AH56+I56*(12-Hypothèses!$J$24)/12/Hypothèses!$J$19)</f>
        <v>3.04069013573786</v>
      </c>
      <c r="AL56" s="2" t="n">
        <f aca="false">(AD56+AG56+I56/Hypothèses!$J$19)*(1+G56)</f>
        <v>7945.13335474105</v>
      </c>
      <c r="AM56" s="2" t="n">
        <f aca="false">Entrées!$C$54*K56/Hypothèses!$J$19</f>
        <v>15.2718522004781</v>
      </c>
      <c r="AN56" s="2" t="n">
        <f aca="false">Y56*1000/AC56</f>
        <v>59.7404493133905</v>
      </c>
      <c r="AO56" s="2" t="n">
        <f aca="false">(Entrées!$C$36*(1-S56)+MAX(0,Entrées!$C$30-Entrées!$C$35-Entrées!$C$36)*U56)*1000</f>
        <v>984.726704774887</v>
      </c>
      <c r="AP56" s="2" t="n">
        <f aca="false">-AO56/W56</f>
        <v>-114.789300021612</v>
      </c>
      <c r="AQ56" s="2" t="n">
        <f aca="false">AL56+AM56+AN56+AP56</f>
        <v>7905.35635623331</v>
      </c>
      <c r="AR56" s="2" t="n">
        <f aca="false">O56*AQ56-Hypothèses!$J$25/Hypothèses!$J$19</f>
        <v>1154.09168666035</v>
      </c>
      <c r="AS56" s="2" t="n">
        <f aca="false">Entrées!$C$79*(1+Q56)+Hypothèses!$J$20</f>
        <v>1471.02459428981</v>
      </c>
      <c r="AT56" s="2" t="n">
        <f aca="false">AI56-AR56+AS56+Y56*1000-AO56+Hypothèses!$J$23</f>
        <v>22819.0995551735</v>
      </c>
      <c r="AU56" s="2" t="n">
        <f aca="false">AT56/AQ56</f>
        <v>2.88653648575637</v>
      </c>
      <c r="AV56" s="2" t="n">
        <f aca="false">Hypothèses!$J$26*AQ56-AT56</f>
        <v>896.969513526437</v>
      </c>
      <c r="AW56" s="2" t="n">
        <f aca="false">IF(AC56&gt;Hypothèses!$J$26,MAX(0,AV56)/(1-Hypothèses!$J$26/AC56),0)</f>
        <v>1442.71556556085</v>
      </c>
      <c r="AX56" s="2" t="n">
        <f aca="false">AQ56-Entrées!$C$17*1000</f>
        <v>-94.6436437666926</v>
      </c>
      <c r="AY56" s="2" t="n">
        <f aca="false">AI56+(Entrées!$C$244-Entrées!$C$13)</f>
        <v>28760.1099371385</v>
      </c>
      <c r="AZ56" s="2" t="n">
        <f aca="false">AA56*AH56</f>
        <v>5271.60548406785</v>
      </c>
      <c r="BA56" s="2" t="n">
        <f aca="false">AZ56/AY56</f>
        <v>0.183295734807346</v>
      </c>
      <c r="BB56" s="2" t="n">
        <f aca="false">AZ56/(Entrées!$C$151/100)-AY56</f>
        <v>526.587196571734</v>
      </c>
      <c r="BC56" s="2" t="n">
        <f aca="false">AT56+(Entrées!$C$244-Entrées!$C$13)</f>
        <v>28566.0995551735</v>
      </c>
      <c r="BD56" s="2" t="n">
        <f aca="false">AA56*AQ56</f>
        <v>5555.68256378515</v>
      </c>
      <c r="BE56" s="2" t="n">
        <f aca="false">BD56/BC56</f>
        <v>0.194485164243537</v>
      </c>
      <c r="BF56" s="2" t="n">
        <f aca="false">BD56/(Entrées!$C$151/100)-BC56</f>
        <v>2298.80357696622</v>
      </c>
      <c r="BG56" s="2" t="n">
        <f aca="false">MIN(AV56,BF56)</f>
        <v>896.969513526437</v>
      </c>
      <c r="BH56" s="2" t="n">
        <f aca="false">IF(AC56&gt;Hypothèses!$J$26,MAX(0,BG56)/(1-Hypothèses!$J$26/AC56),0)</f>
        <v>1442.71556556085</v>
      </c>
    </row>
    <row r="57" customFormat="false" ht="15" hidden="false" customHeight="false" outlineLevel="0" collapsed="false">
      <c r="A57" s="2" t="n">
        <v>42</v>
      </c>
      <c r="B57" s="2" t="n">
        <v>0.650506091</v>
      </c>
      <c r="C57" s="2"/>
      <c r="D57" s="2" t="n">
        <v>0.951568173</v>
      </c>
      <c r="E57" s="2" t="n">
        <f aca="false">IF(E$7=E$5,E$6,IF(NORMSDIST(E$9*SQRT($C$11)*NORMSINV($B57)+SQRT(1-E$9^2*$C$11)*NORMSINV(D57))&lt;E$8,E$5+SQRT(NORMSDIST(E$9*SQRT($C$11)*NORMSINV($B57)+SQRT(1-E$9^2*$C$11)*NORMSINV(D57))*(E$7-E$5)*(E$6-E$5)),E$7-SQRT((1-NORMSDIST(E$9*SQRT($C$11)*NORMSINV($B57)+SQRT(1-E$9^2*$C$11)*NORMSINV(D57)))*(E$7-E$5)*(E$7-E$6))))</f>
        <v>0.0582260840306742</v>
      </c>
      <c r="F57" s="2" t="n">
        <v>0.168852316</v>
      </c>
      <c r="G57" s="2" t="n">
        <f aca="false">IF(G$7=G$5,G$6,IF(NORMSDIST(G$9*SQRT($C$11)*NORMSINV($B57)+SQRT(1-G$9^2*$C$11)*NORMSINV(F57))&lt;G$8,G$5+SQRT(NORMSDIST(G$9*SQRT($C$11)*NORMSINV($B57)+SQRT(1-G$9^2*$C$11)*NORMSINV(F57))*(G$7-G$5)*(G$6-G$5)),G$7-SQRT((1-NORMSDIST(G$9*SQRT($C$11)*NORMSINV($B57)+SQRT(1-G$9^2*$C$11)*NORMSINV(F57)))*(G$7-G$5)*(G$7-G$6))))</f>
        <v>0.0517962173936691</v>
      </c>
      <c r="H57" s="2" t="n">
        <v>0.309148763</v>
      </c>
      <c r="I57" s="2" t="n">
        <f aca="false">IF(I$7=I$5,I$6,IF(NORMSDIST(I$9*SQRT($C$11)*NORMSINV($B57)+SQRT(1-I$9^2*$C$11)*NORMSINV(H57))&lt;I$8,I$5+SQRT(NORMSDIST(I$9*SQRT($C$11)*NORMSINV($B57)+SQRT(1-I$9^2*$C$11)*NORMSINV(H57))*(I$7-I$5)*(I$6-I$5)),I$7-SQRT((1-NORMSDIST(I$9*SQRT($C$11)*NORMSINV($B57)+SQRT(1-I$9^2*$C$11)*NORMSINV(H57)))*(I$7-I$5)*(I$7-I$6))))</f>
        <v>198.842086035446</v>
      </c>
      <c r="J57" s="2" t="n">
        <v>0.560634542</v>
      </c>
      <c r="K57" s="2" t="n">
        <f aca="false">IF(K$7=K$5,K$6,IF(NORMSDIST(K$9*SQRT($C$11)*NORMSINV($B57)+SQRT(1-K$9^2*$C$11)*NORMSINV(J57))&lt;K$8,K$5+SQRT(NORMSDIST(K$9*SQRT($C$11)*NORMSINV($B57)+SQRT(1-K$9^2*$C$11)*NORMSINV(J57))*(K$7-K$5)*(K$6-K$5)),K$7-SQRT((1-NORMSDIST(K$9*SQRT($C$11)*NORMSINV($B57)+SQRT(1-K$9^2*$C$11)*NORMSINV(J57)))*(K$7-K$5)*(K$7-K$6))))</f>
        <v>0.288341018830726</v>
      </c>
      <c r="L57" s="2" t="n">
        <v>0.855542686</v>
      </c>
      <c r="M57" s="2" t="n">
        <f aca="false">IF(M$7=M$5,M$6,IF(NORMSDIST(M$9*SQRT($C$11)*NORMSINV($B57)+SQRT(1-M$9^2*$C$11)*NORMSINV(L57))&lt;M$8,M$5+SQRT(NORMSDIST(M$9*SQRT($C$11)*NORMSINV($B57)+SQRT(1-M$9^2*$C$11)*NORMSINV(L57))*(M$7-M$5)*(M$6-M$5)),M$7-SQRT((1-NORMSDIST(M$9*SQRT($C$11)*NORMSINV($B57)+SQRT(1-M$9^2*$C$11)*NORMSINV(L57)))*(M$7-M$5)*(M$7-M$6))))</f>
        <v>1685.12685397258</v>
      </c>
      <c r="N57" s="2" t="n">
        <v>0.437541043</v>
      </c>
      <c r="O57" s="2" t="n">
        <f aca="false">IF(O$7=O$5,O$6,IF(NORMSDIST(O$9*SQRT($C$11)*NORMSINV($B57)+SQRT(1-O$9^2*$C$11)*NORMSINV(N57))&lt;O$8,O$5+SQRT(NORMSDIST(O$9*SQRT($C$11)*NORMSINV($B57)+SQRT(1-O$9^2*$C$11)*NORMSINV(N57))*(O$7-O$5)*(O$6-O$5)),O$7-SQRT((1-NORMSDIST(O$9*SQRT($C$11)*NORMSINV($B57)+SQRT(1-O$9^2*$C$11)*NORMSINV(N57)))*(O$7-O$5)*(O$7-O$6))))</f>
        <v>0.168062778139984</v>
      </c>
      <c r="P57" s="2" t="n">
        <v>0.62021785</v>
      </c>
      <c r="Q57" s="2" t="n">
        <f aca="false">IF(Q$7=Q$5,Q$6,IF(NORMSDIST(Q$9*SQRT($C$11)*NORMSINV($B57)+SQRT(1-Q$9^2*$C$11)*NORMSINV(P57))&lt;Q$8,Q$5+SQRT(NORMSDIST(Q$9*SQRT($C$11)*NORMSINV($B57)+SQRT(1-Q$9^2*$C$11)*NORMSINV(P57))*(Q$7-Q$5)*(Q$6-Q$5)),Q$7-SQRT((1-NORMSDIST(Q$9*SQRT($C$11)*NORMSINV($B57)+SQRT(1-Q$9^2*$C$11)*NORMSINV(P57)))*(Q$7-Q$5)*(Q$7-Q$6))))</f>
        <v>0.0851388055282095</v>
      </c>
      <c r="R57" s="2" t="n">
        <v>0.872693296</v>
      </c>
      <c r="S57" s="2" t="n">
        <f aca="false">IF(S$7=S$5,S$6,IF(NORMSDIST(S$9*SQRT($C$11)*NORMSINV($B57)+SQRT(1-S$9^2*$C$11)*NORMSINV(R57))&lt;S$8,S$5+SQRT(NORMSDIST(S$9*SQRT($C$11)*NORMSINV($B57)+SQRT(1-S$9^2*$C$11)*NORMSINV(R57))*(S$7-S$5)*(S$6-S$5)),S$7-SQRT((1-NORMSDIST(S$9*SQRT($C$11)*NORMSINV($B57)+SQRT(1-S$9^2*$C$11)*NORMSINV(R57)))*(S$7-S$5)*(S$7-S$6))))</f>
        <v>0.745174222926675</v>
      </c>
      <c r="T57" s="2" t="n">
        <v>0.453258441</v>
      </c>
      <c r="U57" s="2" t="n">
        <f aca="false">IF(U$7=U$5,U$6,IF(NORMSDIST(U$9*SQRT($C$11)*NORMSINV($B57)+SQRT(1-U$9^2*$C$11)*NORMSINV(T57))&lt;U$8,U$5+SQRT(NORMSDIST(U$9*SQRT($C$11)*NORMSINV($B57)+SQRT(1-U$9^2*$C$11)*NORMSINV(T57))*(U$7-U$5)*(U$6-U$5)),U$7-SQRT((1-NORMSDIST(U$9*SQRT($C$11)*NORMSINV($B57)+SQRT(1-U$9^2*$C$11)*NORMSINV(T57)))*(U$7-U$5)*(U$7-U$6))))</f>
        <v>0.531511529738677</v>
      </c>
      <c r="V57" s="2" t="n">
        <v>0.131318772</v>
      </c>
      <c r="W57" s="2" t="n">
        <f aca="false">IF(W$7=W$5,W$6,IF(NORMSDIST(W$9*SQRT($C$11)*NORMSINV($B57)+SQRT(1-W$9^2*$C$11)*NORMSINV(V57))&lt;W$8,W$5+SQRT(NORMSDIST(W$9*SQRT($C$11)*NORMSINV($B57)+SQRT(1-W$9^2*$C$11)*NORMSINV(V57))*(W$7-W$5)*(W$6-W$5)),W$7-SQRT((1-NORMSDIST(W$9*SQRT($C$11)*NORMSINV($B57)+SQRT(1-W$9^2*$C$11)*NORMSINV(V57)))*(W$7-W$5)*(W$7-W$6))))</f>
        <v>9.46041471418021</v>
      </c>
      <c r="X57" s="2" t="n">
        <v>0.83510753</v>
      </c>
      <c r="Y57" s="2" t="n">
        <f aca="false">IF(Y$7=Y$5,Y$6,IF(NORMSDIST(Y$9*SQRT($C$11)*NORMSINV($B57)+SQRT(1-Y$9^2*$C$11)*NORMSINV(X57))&lt;Y$8,Y$5+SQRT(NORMSDIST(Y$9*SQRT($C$11)*NORMSINV($B57)+SQRT(1-Y$9^2*$C$11)*NORMSINV(X57))*(Y$7-Y$5)*(Y$6-Y$5)),Y$7-SQRT((1-NORMSDIST(Y$9*SQRT($C$11)*NORMSINV($B57)+SQRT(1-Y$9^2*$C$11)*NORMSINV(X57)))*(Y$7-Y$5)*(Y$7-Y$6))))</f>
        <v>0.712865475778338</v>
      </c>
      <c r="Z57" s="2" t="n">
        <v>0.509173384</v>
      </c>
      <c r="AA57" s="2" t="n">
        <f aca="false">IF(AA$7=AA$5,AA$6,IF(NORMSDIST(AA$9*SQRT($C$11)*NORMSINV($B57)+SQRT(1-AA$9^2*$C$11)*NORMSINV(Z57))&lt;AA$8,AA$5+SQRT(NORMSDIST(AA$9*SQRT($C$11)*NORMSINV($B57)+SQRT(1-AA$9^2*$C$11)*NORMSINV(Z57))*(AA$7-AA$5)*(AA$6-AA$5)),AA$7-SQRT((1-NORMSDIST(AA$9*SQRT($C$11)*NORMSINV($B57)+SQRT(1-AA$9^2*$C$11)*NORMSINV(Z57)))*(AA$7-AA$5)*(AA$7-AA$6))))</f>
        <v>0.731279459874245</v>
      </c>
      <c r="AB57" s="2" t="n">
        <v>0.227129719</v>
      </c>
      <c r="AC57" s="2" t="n">
        <f aca="false">IF(AC$7=AC$5,AC$6,IF(NORMSDIST(AC$9*SQRT($C$11)*NORMSINV($B57)+SQRT(1-AC$9^2*$C$11)*NORMSINV(AB57))&lt;AC$8,AC$5+SQRT(NORMSDIST(AC$9*SQRT($C$11)*NORMSINV($B57)+SQRT(1-AC$9^2*$C$11)*NORMSINV(AB57))*(AC$7-AC$5)*(AC$6-AC$5)),AC$7-SQRT((1-NORMSDIST(AC$9*SQRT($C$11)*NORMSINV($B57)+SQRT(1-AC$9^2*$C$11)*NORMSINV(AB57)))*(AC$7-AC$5)*(AC$7-AC$6))))</f>
        <v>9.18500284093528</v>
      </c>
      <c r="AD57" s="2" t="n">
        <f aca="false">Entrées!$C$8*(1+E57)</f>
        <v>7460.49389241625</v>
      </c>
      <c r="AE57" s="2" t="n">
        <f aca="false">I57*Hypothèses!$J$24/12/Hypothèses!$J$19</f>
        <v>98.6449224633304</v>
      </c>
      <c r="AF57" s="2" t="n">
        <f aca="false">Entrées!$C$36*S57*1000</f>
        <v>372.587111463337</v>
      </c>
      <c r="AG57" s="2" t="n">
        <f aca="false">-AF57/W57</f>
        <v>-39.3838032179358</v>
      </c>
      <c r="AH57" s="2" t="n">
        <f aca="false">AD57+AE57+AG57</f>
        <v>7519.75501166165</v>
      </c>
      <c r="AI57" s="2" t="n">
        <f aca="false">Entrées!$C$16-M57+Hypothèses!$J$22*1000-AF57+Hypothèses!$J$23</f>
        <v>22490.2860345641</v>
      </c>
      <c r="AJ57" s="2" t="n">
        <f aca="false">AI57/AH57</f>
        <v>2.99082696174092</v>
      </c>
      <c r="AK57" s="2" t="n">
        <f aca="false">AI57/(AH57+I57*(12-Hypothèses!$J$24)/12/Hypothèses!$J$19)</f>
        <v>2.96306284441755</v>
      </c>
      <c r="AL57" s="2" t="n">
        <f aca="false">(AD57+AG57+I57/Hypothèses!$J$19)*(1+G57)</f>
        <v>7983.36013150139</v>
      </c>
      <c r="AM57" s="2" t="n">
        <f aca="false">Entrées!$C$54*K57/Hypothèses!$J$19</f>
        <v>29.4264116373786</v>
      </c>
      <c r="AN57" s="2" t="n">
        <f aca="false">Y57*1000/AC57</f>
        <v>77.6118949687499</v>
      </c>
      <c r="AO57" s="2" t="n">
        <f aca="false">(Entrées!$C$36*(1-S57)+MAX(0,Entrées!$C$30-Entrées!$C$35-Entrées!$C$36)*U57)*1000</f>
        <v>871.529030170811</v>
      </c>
      <c r="AP57" s="2" t="n">
        <f aca="false">-AO57/W57</f>
        <v>-92.1237658709059</v>
      </c>
      <c r="AQ57" s="2" t="n">
        <f aca="false">AL57+AM57+AN57+AP57</f>
        <v>7998.27467223662</v>
      </c>
      <c r="AR57" s="2" t="n">
        <f aca="false">O57*AQ57-Hypothèses!$J$25/Hypothèses!$J$19</f>
        <v>1325.07709948113</v>
      </c>
      <c r="AS57" s="2" t="n">
        <f aca="false">Entrées!$C$79*(1+Q57)+Hypothèses!$J$20</f>
        <v>1487.5675472755</v>
      </c>
      <c r="AT57" s="2" t="n">
        <f aca="false">AI57-AR57+AS57+Y57*1000-AO57+Hypothèses!$J$23</f>
        <v>22494.112927966</v>
      </c>
      <c r="AU57" s="2" t="n">
        <f aca="false">AT57/AQ57</f>
        <v>2.81237064864088</v>
      </c>
      <c r="AV57" s="2" t="n">
        <f aca="false">Hypothèses!$J$26*AQ57-AT57</f>
        <v>1500.71108874386</v>
      </c>
      <c r="AW57" s="2" t="n">
        <f aca="false">IF(AC57&gt;Hypothèses!$J$26,MAX(0,AV57)/(1-Hypothèses!$J$26/AC57),0)</f>
        <v>2228.62235766589</v>
      </c>
      <c r="AX57" s="2" t="n">
        <f aca="false">AQ57-Entrées!$C$17*1000</f>
        <v>-1.72532776338358</v>
      </c>
      <c r="AY57" s="2" t="n">
        <f aca="false">AI57+(Entrées!$C$244-Entrées!$C$13)</f>
        <v>28237.2860345641</v>
      </c>
      <c r="AZ57" s="2" t="n">
        <f aca="false">AA57*AH57</f>
        <v>5499.04238331458</v>
      </c>
      <c r="BA57" s="2" t="n">
        <f aca="false">AZ57/AY57</f>
        <v>0.194744012458684</v>
      </c>
      <c r="BB57" s="2" t="n">
        <f aca="false">AZ57/(Entrées!$C$151/100)-AY57</f>
        <v>2312.94942829468</v>
      </c>
      <c r="BC57" s="2" t="n">
        <f aca="false">AT57+(Entrées!$C$244-Entrées!$C$13)</f>
        <v>28241.112927966</v>
      </c>
      <c r="BD57" s="2" t="n">
        <f aca="false">AA57*AQ57</f>
        <v>5848.97398223905</v>
      </c>
      <c r="BE57" s="2" t="n">
        <f aca="false">BD57/BC57</f>
        <v>0.207108480361872</v>
      </c>
      <c r="BF57" s="2" t="n">
        <f aca="false">BD57/(Entrées!$C$151/100)-BC57</f>
        <v>4253.18697336206</v>
      </c>
      <c r="BG57" s="2" t="n">
        <f aca="false">MIN(AV57,BF57)</f>
        <v>1500.71108874386</v>
      </c>
      <c r="BH57" s="2" t="n">
        <f aca="false">IF(AC57&gt;Hypothèses!$J$26,MAX(0,BG57)/(1-Hypothèses!$J$26/AC57),0)</f>
        <v>2228.62235766589</v>
      </c>
    </row>
    <row r="58" customFormat="false" ht="15" hidden="false" customHeight="false" outlineLevel="0" collapsed="false">
      <c r="A58" s="2" t="n">
        <v>43</v>
      </c>
      <c r="B58" s="2" t="n">
        <v>0.640950009</v>
      </c>
      <c r="C58" s="2"/>
      <c r="D58" s="2" t="n">
        <v>0.086322549</v>
      </c>
      <c r="E58" s="2" t="n">
        <f aca="false">IF(E$7=E$5,E$6,IF(NORMSDIST(E$9*SQRT($C$11)*NORMSINV($B58)+SQRT(1-E$9^2*$C$11)*NORMSINV(D58))&lt;E$8,E$5+SQRT(NORMSDIST(E$9*SQRT($C$11)*NORMSINV($B58)+SQRT(1-E$9^2*$C$11)*NORMSINV(D58))*(E$7-E$5)*(E$6-E$5)),E$7-SQRT((1-NORMSDIST(E$9*SQRT($C$11)*NORMSINV($B58)+SQRT(1-E$9^2*$C$11)*NORMSINV(D58)))*(E$7-E$5)*(E$7-E$6))))</f>
        <v>0.0531923584743573</v>
      </c>
      <c r="F58" s="2" t="n">
        <v>0.078387338</v>
      </c>
      <c r="G58" s="2" t="n">
        <f aca="false">IF(G$7=G$5,G$6,IF(NORMSDIST(G$9*SQRT($C$11)*NORMSINV($B58)+SQRT(1-G$9^2*$C$11)*NORMSINV(F58))&lt;G$8,G$5+SQRT(NORMSDIST(G$9*SQRT($C$11)*NORMSINV($B58)+SQRT(1-G$9^2*$C$11)*NORMSINV(F58))*(G$7-G$5)*(G$6-G$5)),G$7-SQRT((1-NORMSDIST(G$9*SQRT($C$11)*NORMSINV($B58)+SQRT(1-G$9^2*$C$11)*NORMSINV(F58)))*(G$7-G$5)*(G$7-G$6))))</f>
        <v>0.049308613994912</v>
      </c>
      <c r="H58" s="2" t="n">
        <v>0.823274893</v>
      </c>
      <c r="I58" s="2" t="n">
        <f aca="false">IF(I$7=I$5,I$6,IF(NORMSDIST(I$9*SQRT($C$11)*NORMSINV($B58)+SQRT(1-I$9^2*$C$11)*NORMSINV(H58))&lt;I$8,I$5+SQRT(NORMSDIST(I$9*SQRT($C$11)*NORMSINV($B58)+SQRT(1-I$9^2*$C$11)*NORMSINV(H58))*(I$7-I$5)*(I$6-I$5)),I$7-SQRT((1-NORMSDIST(I$9*SQRT($C$11)*NORMSINV($B58)+SQRT(1-I$9^2*$C$11)*NORMSINV(H58)))*(I$7-I$5)*(I$7-I$6))))</f>
        <v>208.27653599195</v>
      </c>
      <c r="J58" s="2" t="n">
        <v>0.247387801</v>
      </c>
      <c r="K58" s="2" t="n">
        <f aca="false">IF(K$7=K$5,K$6,IF(NORMSDIST(K$9*SQRT($C$11)*NORMSINV($B58)+SQRT(1-K$9^2*$C$11)*NORMSINV(J58))&lt;K$8,K$5+SQRT(NORMSDIST(K$9*SQRT($C$11)*NORMSINV($B58)+SQRT(1-K$9^2*$C$11)*NORMSINV(J58))*(K$7-K$5)*(K$6-K$5)),K$7-SQRT((1-NORMSDIST(K$9*SQRT($C$11)*NORMSINV($B58)+SQRT(1-K$9^2*$C$11)*NORMSINV(J58)))*(K$7-K$5)*(K$7-K$6))))</f>
        <v>0.218485618834833</v>
      </c>
      <c r="L58" s="2" t="n">
        <v>0.480852937</v>
      </c>
      <c r="M58" s="2" t="n">
        <f aca="false">IF(M$7=M$5,M$6,IF(NORMSDIST(M$9*SQRT($C$11)*NORMSINV($B58)+SQRT(1-M$9^2*$C$11)*NORMSINV(L58))&lt;M$8,M$5+SQRT(NORMSDIST(M$9*SQRT($C$11)*NORMSINV($B58)+SQRT(1-M$9^2*$C$11)*NORMSINV(L58))*(M$7-M$5)*(M$6-M$5)),M$7-SQRT((1-NORMSDIST(M$9*SQRT($C$11)*NORMSINV($B58)+SQRT(1-M$9^2*$C$11)*NORMSINV(L58)))*(M$7-M$5)*(M$7-M$6))))</f>
        <v>1605.98012553809</v>
      </c>
      <c r="N58" s="2" t="n">
        <v>0.411377967</v>
      </c>
      <c r="O58" s="2" t="n">
        <f aca="false">IF(O$7=O$5,O$6,IF(NORMSDIST(O$9*SQRT($C$11)*NORMSINV($B58)+SQRT(1-O$9^2*$C$11)*NORMSINV(N58))&lt;O$8,O$5+SQRT(NORMSDIST(O$9*SQRT($C$11)*NORMSINV($B58)+SQRT(1-O$9^2*$C$11)*NORMSINV(N58))*(O$7-O$5)*(O$6-O$5)),O$7-SQRT((1-NORMSDIST(O$9*SQRT($C$11)*NORMSINV($B58)+SQRT(1-O$9^2*$C$11)*NORMSINV(N58)))*(O$7-O$5)*(O$7-O$6))))</f>
        <v>0.167363558115154</v>
      </c>
      <c r="P58" s="2" t="n">
        <v>0.320639224</v>
      </c>
      <c r="Q58" s="2" t="n">
        <f aca="false">IF(Q$7=Q$5,Q$6,IF(NORMSDIST(Q$9*SQRT($C$11)*NORMSINV($B58)+SQRT(1-Q$9^2*$C$11)*NORMSINV(P58))&lt;Q$8,Q$5+SQRT(NORMSDIST(Q$9*SQRT($C$11)*NORMSINV($B58)+SQRT(1-Q$9^2*$C$11)*NORMSINV(P58))*(Q$7-Q$5)*(Q$6-Q$5)),Q$7-SQRT((1-NORMSDIST(Q$9*SQRT($C$11)*NORMSINV($B58)+SQRT(1-Q$9^2*$C$11)*NORMSINV(P58)))*(Q$7-Q$5)*(Q$7-Q$6))))</f>
        <v>0.0720319452546985</v>
      </c>
      <c r="R58" s="2" t="n">
        <v>0.202043185</v>
      </c>
      <c r="S58" s="2" t="n">
        <f aca="false">IF(S$7=S$5,S$6,IF(NORMSDIST(S$9*SQRT($C$11)*NORMSINV($B58)+SQRT(1-S$9^2*$C$11)*NORMSINV(R58))&lt;S$8,S$5+SQRT(NORMSDIST(S$9*SQRT($C$11)*NORMSINV($B58)+SQRT(1-S$9^2*$C$11)*NORMSINV(R58))*(S$7-S$5)*(S$6-S$5)),S$7-SQRT((1-NORMSDIST(S$9*SQRT($C$11)*NORMSINV($B58)+SQRT(1-S$9^2*$C$11)*NORMSINV(R58)))*(S$7-S$5)*(S$7-S$6))))</f>
        <v>0.411087756781846</v>
      </c>
      <c r="T58" s="2" t="n">
        <v>0.953452905</v>
      </c>
      <c r="U58" s="2" t="n">
        <f aca="false">IF(U$7=U$5,U$6,IF(NORMSDIST(U$9*SQRT($C$11)*NORMSINV($B58)+SQRT(1-U$9^2*$C$11)*NORMSINV(T58))&lt;U$8,U$5+SQRT(NORMSDIST(U$9*SQRT($C$11)*NORMSINV($B58)+SQRT(1-U$9^2*$C$11)*NORMSINV(T58))*(U$7-U$5)*(U$6-U$5)),U$7-SQRT((1-NORMSDIST(U$9*SQRT($C$11)*NORMSINV($B58)+SQRT(1-U$9^2*$C$11)*NORMSINV(T58)))*(U$7-U$5)*(U$7-U$6))))</f>
        <v>0.822347817117604</v>
      </c>
      <c r="V58" s="2" t="n">
        <v>0.644379157</v>
      </c>
      <c r="W58" s="2" t="n">
        <f aca="false">IF(W$7=W$5,W$6,IF(NORMSDIST(W$9*SQRT($C$11)*NORMSINV($B58)+SQRT(1-W$9^2*$C$11)*NORMSINV(V58))&lt;W$8,W$5+SQRT(NORMSDIST(W$9*SQRT($C$11)*NORMSINV($B58)+SQRT(1-W$9^2*$C$11)*NORMSINV(V58))*(W$7-W$5)*(W$6-W$5)),W$7-SQRT((1-NORMSDIST(W$9*SQRT($C$11)*NORMSINV($B58)+SQRT(1-W$9^2*$C$11)*NORMSINV(V58)))*(W$7-W$5)*(W$7-W$6))))</f>
        <v>10.4424263810591</v>
      </c>
      <c r="X58" s="2" t="n">
        <v>0.967777814</v>
      </c>
      <c r="Y58" s="2" t="n">
        <f aca="false">IF(Y$7=Y$5,Y$6,IF(NORMSDIST(Y$9*SQRT($C$11)*NORMSINV($B58)+SQRT(1-Y$9^2*$C$11)*NORMSINV(X58))&lt;Y$8,Y$5+SQRT(NORMSDIST(Y$9*SQRT($C$11)*NORMSINV($B58)+SQRT(1-Y$9^2*$C$11)*NORMSINV(X58))*(Y$7-Y$5)*(Y$6-Y$5)),Y$7-SQRT((1-NORMSDIST(Y$9*SQRT($C$11)*NORMSINV($B58)+SQRT(1-Y$9^2*$C$11)*NORMSINV(X58)))*(Y$7-Y$5)*(Y$7-Y$6))))</f>
        <v>0.873070519578783</v>
      </c>
      <c r="Z58" s="2" t="n">
        <v>0.818906118</v>
      </c>
      <c r="AA58" s="2" t="n">
        <f aca="false">IF(AA$7=AA$5,AA$6,IF(NORMSDIST(AA$9*SQRT($C$11)*NORMSINV($B58)+SQRT(1-AA$9^2*$C$11)*NORMSINV(Z58))&lt;AA$8,AA$5+SQRT(NORMSDIST(AA$9*SQRT($C$11)*NORMSINV($B58)+SQRT(1-AA$9^2*$C$11)*NORMSINV(Z58))*(AA$7-AA$5)*(AA$6-AA$5)),AA$7-SQRT((1-NORMSDIST(AA$9*SQRT($C$11)*NORMSINV($B58)+SQRT(1-AA$9^2*$C$11)*NORMSINV(Z58)))*(AA$7-AA$5)*(AA$7-AA$6))))</f>
        <v>0.738867494073509</v>
      </c>
      <c r="AB58" s="2" t="n">
        <v>0.169329153</v>
      </c>
      <c r="AC58" s="2" t="n">
        <f aca="false">IF(AC$7=AC$5,AC$6,IF(NORMSDIST(AC$9*SQRT($C$11)*NORMSINV($B58)+SQRT(1-AC$9^2*$C$11)*NORMSINV(AB58))&lt;AC$8,AC$5+SQRT(NORMSDIST(AC$9*SQRT($C$11)*NORMSINV($B58)+SQRT(1-AC$9^2*$C$11)*NORMSINV(AB58))*(AC$7-AC$5)*(AC$6-AC$5)),AC$7-SQRT((1-NORMSDIST(AC$9*SQRT($C$11)*NORMSINV($B58)+SQRT(1-AC$9^2*$C$11)*NORMSINV(AB58)))*(AC$7-AC$5)*(AC$7-AC$6))))</f>
        <v>9.02075706970044</v>
      </c>
      <c r="AD58" s="2" t="n">
        <f aca="false">Entrées!$C$8*(1+E58)</f>
        <v>7425.00612724422</v>
      </c>
      <c r="AE58" s="2" t="n">
        <f aca="false">I58*Hypothèses!$J$24/12/Hypothèses!$J$19</f>
        <v>103.32532289062</v>
      </c>
      <c r="AF58" s="2" t="n">
        <f aca="false">Entrées!$C$36*S58*1000</f>
        <v>205.543878390923</v>
      </c>
      <c r="AG58" s="2" t="n">
        <f aca="false">-AF58/W58</f>
        <v>-19.6835362673704</v>
      </c>
      <c r="AH58" s="2" t="n">
        <f aca="false">AD58+AE58+AG58</f>
        <v>7508.64791386747</v>
      </c>
      <c r="AI58" s="2" t="n">
        <f aca="false">Entrées!$C$16-M58+Hypothèses!$J$22*1000-AF58+Hypothèses!$J$23</f>
        <v>22736.475996071</v>
      </c>
      <c r="AJ58" s="2" t="n">
        <f aca="false">AI58/AH58</f>
        <v>3.02803863716659</v>
      </c>
      <c r="AK58" s="2" t="n">
        <f aca="false">AI58/(AH58+I58*(12-Hypothèses!$J$24)/12/Hypothèses!$J$19)</f>
        <v>2.99856521978205</v>
      </c>
      <c r="AL58" s="2" t="n">
        <f aca="false">(AD58+AG58+I58/Hypothèses!$J$19)*(1+G58)</f>
        <v>7956.33190072816</v>
      </c>
      <c r="AM58" s="2" t="n">
        <f aca="false">Entrées!$C$54*K58/Hypothèses!$J$19</f>
        <v>22.2973747639269</v>
      </c>
      <c r="AN58" s="2" t="n">
        <f aca="false">Y58*1000/AC58</f>
        <v>96.7846171704717</v>
      </c>
      <c r="AO58" s="2" t="n">
        <f aca="false">(Entrées!$C$36*(1-S58)+MAX(0,Entrées!$C$30-Entrées!$C$35-Entrées!$C$36)*U58)*1000</f>
        <v>1445.74306557372</v>
      </c>
      <c r="AP58" s="2" t="n">
        <f aca="false">-AO58/W58</f>
        <v>-138.448959352595</v>
      </c>
      <c r="AQ58" s="2" t="n">
        <f aca="false">AL58+AM58+AN58+AP58</f>
        <v>7936.96493330996</v>
      </c>
      <c r="AR58" s="2" t="n">
        <f aca="false">O58*AQ58-Hypothèses!$J$25/Hypothèses!$J$19</f>
        <v>1309.22352961233</v>
      </c>
      <c r="AS58" s="2" t="n">
        <f aca="false">Entrées!$C$79*(1+Q58)+Hypothèses!$J$20</f>
        <v>1473.16310783491</v>
      </c>
      <c r="AT58" s="2" t="n">
        <f aca="false">AI58-AR58+AS58+Y58*1000-AO58+Hypothèses!$J$23</f>
        <v>22327.7430282986</v>
      </c>
      <c r="AU58" s="2" t="n">
        <f aca="false">AT58/AQ58</f>
        <v>2.81313363683809</v>
      </c>
      <c r="AV58" s="2" t="n">
        <f aca="false">Hypothèses!$J$26*AQ58-AT58</f>
        <v>1483.15177163124</v>
      </c>
      <c r="AW58" s="2" t="n">
        <f aca="false">IF(AC58&gt;Hypothèses!$J$26,MAX(0,AV58)/(1-Hypothèses!$J$26/AC58),0)</f>
        <v>2222.17101180051</v>
      </c>
      <c r="AX58" s="2" t="n">
        <f aca="false">AQ58-Entrées!$C$17*1000</f>
        <v>-63.0350666900413</v>
      </c>
      <c r="AY58" s="2" t="n">
        <f aca="false">AI58+(Entrées!$C$244-Entrées!$C$13)</f>
        <v>28483.475996071</v>
      </c>
      <c r="AZ58" s="2" t="n">
        <f aca="false">AA58*AH58</f>
        <v>5547.89586799954</v>
      </c>
      <c r="BA58" s="2" t="n">
        <f aca="false">AZ58/AY58</f>
        <v>0.194775941980003</v>
      </c>
      <c r="BB58" s="2" t="n">
        <f aca="false">AZ58/(Entrées!$C$151/100)-AY58</f>
        <v>2338.16771503754</v>
      </c>
      <c r="BC58" s="2" t="n">
        <f aca="false">AT58+(Entrées!$C$244-Entrées!$C$13)</f>
        <v>28074.7430282986</v>
      </c>
      <c r="BD58" s="2" t="n">
        <f aca="false">AA58*AQ58</f>
        <v>5864.36539082404</v>
      </c>
      <c r="BE58" s="2" t="n">
        <f aca="false">BD58/BC58</f>
        <v>0.208884027359143</v>
      </c>
      <c r="BF58" s="2" t="n">
        <f aca="false">BD58/(Entrées!$C$151/100)-BC58</f>
        <v>4505.06469850161</v>
      </c>
      <c r="BG58" s="2" t="n">
        <f aca="false">MIN(AV58,BF58)</f>
        <v>1483.15177163124</v>
      </c>
      <c r="BH58" s="2" t="n">
        <f aca="false">IF(AC58&gt;Hypothèses!$J$26,MAX(0,BG58)/(1-Hypothèses!$J$26/AC58),0)</f>
        <v>2222.17101180051</v>
      </c>
    </row>
    <row r="59" customFormat="false" ht="15" hidden="false" customHeight="false" outlineLevel="0" collapsed="false">
      <c r="A59" s="2" t="n">
        <v>44</v>
      </c>
      <c r="B59" s="2" t="n">
        <v>0.535507305</v>
      </c>
      <c r="C59" s="2"/>
      <c r="D59" s="2" t="n">
        <v>0.018648781</v>
      </c>
      <c r="E59" s="2" t="n">
        <f aca="false">IF(E$7=E$5,E$6,IF(NORMSDIST(E$9*SQRT($C$11)*NORMSINV($B59)+SQRT(1-E$9^2*$C$11)*NORMSINV(D59))&lt;E$8,E$5+SQRT(NORMSDIST(E$9*SQRT($C$11)*NORMSINV($B59)+SQRT(1-E$9^2*$C$11)*NORMSINV(D59))*(E$7-E$5)*(E$6-E$5)),E$7-SQRT((1-NORMSDIST(E$9*SQRT($C$11)*NORMSINV($B59)+SQRT(1-E$9^2*$C$11)*NORMSINV(D59)))*(E$7-E$5)*(E$7-E$6))))</f>
        <v>0.0517286958120043</v>
      </c>
      <c r="F59" s="2" t="n">
        <v>0.27121581</v>
      </c>
      <c r="G59" s="2" t="n">
        <f aca="false">IF(G$7=G$5,G$6,IF(NORMSDIST(G$9*SQRT($C$11)*NORMSINV($B59)+SQRT(1-G$9^2*$C$11)*NORMSINV(F59))&lt;G$8,G$5+SQRT(NORMSDIST(G$9*SQRT($C$11)*NORMSINV($B59)+SQRT(1-G$9^2*$C$11)*NORMSINV(F59))*(G$7-G$5)*(G$6-G$5)),G$7-SQRT((1-NORMSDIST(G$9*SQRT($C$11)*NORMSINV($B59)+SQRT(1-G$9^2*$C$11)*NORMSINV(F59)))*(G$7-G$5)*(G$7-G$6))))</f>
        <v>0.0523492554844197</v>
      </c>
      <c r="H59" s="2" t="n">
        <v>0.06416196</v>
      </c>
      <c r="I59" s="2" t="n">
        <f aca="false">IF(I$7=I$5,I$6,IF(NORMSDIST(I$9*SQRT($C$11)*NORMSINV($B59)+SQRT(1-I$9^2*$C$11)*NORMSINV(H59))&lt;I$8,I$5+SQRT(NORMSDIST(I$9*SQRT($C$11)*NORMSINV($B59)+SQRT(1-I$9^2*$C$11)*NORMSINV(H59))*(I$7-I$5)*(I$6-I$5)),I$7-SQRT((1-NORMSDIST(I$9*SQRT($C$11)*NORMSINV($B59)+SQRT(1-I$9^2*$C$11)*NORMSINV(H59)))*(I$7-I$5)*(I$7-I$6))))</f>
        <v>190.237836218701</v>
      </c>
      <c r="J59" s="2" t="n">
        <v>0.956321733</v>
      </c>
      <c r="K59" s="2" t="n">
        <f aca="false">IF(K$7=K$5,K$6,IF(NORMSDIST(K$9*SQRT($C$11)*NORMSINV($B59)+SQRT(1-K$9^2*$C$11)*NORMSINV(J59))&lt;K$8,K$5+SQRT(NORMSDIST(K$9*SQRT($C$11)*NORMSINV($B59)+SQRT(1-K$9^2*$C$11)*NORMSINV(J59))*(K$7-K$5)*(K$6-K$5)),K$7-SQRT((1-NORMSDIST(K$9*SQRT($C$11)*NORMSINV($B59)+SQRT(1-K$9^2*$C$11)*NORMSINV(J59)))*(K$7-K$5)*(K$7-K$6))))</f>
        <v>0.397707960775366</v>
      </c>
      <c r="L59" s="2" t="n">
        <v>0.646581982</v>
      </c>
      <c r="M59" s="2" t="n">
        <f aca="false">IF(M$7=M$5,M$6,IF(NORMSDIST(M$9*SQRT($C$11)*NORMSINV($B59)+SQRT(1-M$9^2*$C$11)*NORMSINV(L59))&lt;M$8,M$5+SQRT(NORMSDIST(M$9*SQRT($C$11)*NORMSINV($B59)+SQRT(1-M$9^2*$C$11)*NORMSINV(L59))*(M$7-M$5)*(M$6-M$5)),M$7-SQRT((1-NORMSDIST(M$9*SQRT($C$11)*NORMSINV($B59)+SQRT(1-M$9^2*$C$11)*NORMSINV(L59)))*(M$7-M$5)*(M$7-M$6))))</f>
        <v>1621.40999994567</v>
      </c>
      <c r="N59" s="2" t="n">
        <v>0.948573873</v>
      </c>
      <c r="O59" s="2" t="n">
        <f aca="false">IF(O$7=O$5,O$6,IF(NORMSDIST(O$9*SQRT($C$11)*NORMSINV($B59)+SQRT(1-O$9^2*$C$11)*NORMSINV(N59))&lt;O$8,O$5+SQRT(NORMSDIST(O$9*SQRT($C$11)*NORMSINV($B59)+SQRT(1-O$9^2*$C$11)*NORMSINV(N59))*(O$7-O$5)*(O$6-O$5)),O$7-SQRT((1-NORMSDIST(O$9*SQRT($C$11)*NORMSINV($B59)+SQRT(1-O$9^2*$C$11)*NORMSINV(N59)))*(O$7-O$5)*(O$7-O$6))))</f>
        <v>0.180023560705165</v>
      </c>
      <c r="P59" s="2" t="n">
        <v>0.005832202</v>
      </c>
      <c r="Q59" s="2" t="n">
        <f aca="false">IF(Q$7=Q$5,Q$6,IF(NORMSDIST(Q$9*SQRT($C$11)*NORMSINV($B59)+SQRT(1-Q$9^2*$C$11)*NORMSINV(P59))&lt;Q$8,Q$5+SQRT(NORMSDIST(Q$9*SQRT($C$11)*NORMSINV($B59)+SQRT(1-Q$9^2*$C$11)*NORMSINV(P59))*(Q$7-Q$5)*(Q$6-Q$5)),Q$7-SQRT((1-NORMSDIST(Q$9*SQRT($C$11)*NORMSINV($B59)+SQRT(1-Q$9^2*$C$11)*NORMSINV(P59)))*(Q$7-Q$5)*(Q$7-Q$6))))</f>
        <v>0.044320074814167</v>
      </c>
      <c r="R59" s="2" t="n">
        <v>0.973657159</v>
      </c>
      <c r="S59" s="2" t="n">
        <f aca="false">IF(S$7=S$5,S$6,IF(NORMSDIST(S$9*SQRT($C$11)*NORMSINV($B59)+SQRT(1-S$9^2*$C$11)*NORMSINV(R59))&lt;S$8,S$5+SQRT(NORMSDIST(S$9*SQRT($C$11)*NORMSINV($B59)+SQRT(1-S$9^2*$C$11)*NORMSINV(R59))*(S$7-S$5)*(S$6-S$5)),S$7-SQRT((1-NORMSDIST(S$9*SQRT($C$11)*NORMSINV($B59)+SQRT(1-S$9^2*$C$11)*NORMSINV(R59)))*(S$7-S$5)*(S$7-S$6))))</f>
        <v>0.82720106958214</v>
      </c>
      <c r="T59" s="2" t="n">
        <v>0.599445577</v>
      </c>
      <c r="U59" s="2" t="n">
        <f aca="false">IF(U$7=U$5,U$6,IF(NORMSDIST(U$9*SQRT($C$11)*NORMSINV($B59)+SQRT(1-U$9^2*$C$11)*NORMSINV(T59))&lt;U$8,U$5+SQRT(NORMSDIST(U$9*SQRT($C$11)*NORMSINV($B59)+SQRT(1-U$9^2*$C$11)*NORMSINV(T59))*(U$7-U$5)*(U$6-U$5)),U$7-SQRT((1-NORMSDIST(U$9*SQRT($C$11)*NORMSINV($B59)+SQRT(1-U$9^2*$C$11)*NORMSINV(T59)))*(U$7-U$5)*(U$7-U$6))))</f>
        <v>0.552386657551763</v>
      </c>
      <c r="V59" s="2" t="n">
        <v>0.706677273</v>
      </c>
      <c r="W59" s="2" t="n">
        <f aca="false">IF(W$7=W$5,W$6,IF(NORMSDIST(W$9*SQRT($C$11)*NORMSINV($B59)+SQRT(1-W$9^2*$C$11)*NORMSINV(V59))&lt;W$8,W$5+SQRT(NORMSDIST(W$9*SQRT($C$11)*NORMSINV($B59)+SQRT(1-W$9^2*$C$11)*NORMSINV(V59))*(W$7-W$5)*(W$6-W$5)),W$7-SQRT((1-NORMSDIST(W$9*SQRT($C$11)*NORMSINV($B59)+SQRT(1-W$9^2*$C$11)*NORMSINV(V59)))*(W$7-W$5)*(W$7-W$6))))</f>
        <v>10.4087809969236</v>
      </c>
      <c r="X59" s="2" t="n">
        <v>0.248451102</v>
      </c>
      <c r="Y59" s="2" t="n">
        <f aca="false">IF(Y$7=Y$5,Y$6,IF(NORMSDIST(Y$9*SQRT($C$11)*NORMSINV($B59)+SQRT(1-Y$9^2*$C$11)*NORMSINV(X59))&lt;Y$8,Y$5+SQRT(NORMSDIST(Y$9*SQRT($C$11)*NORMSINV($B59)+SQRT(1-Y$9^2*$C$11)*NORMSINV(X59))*(Y$7-Y$5)*(Y$6-Y$5)),Y$7-SQRT((1-NORMSDIST(Y$9*SQRT($C$11)*NORMSINV($B59)+SQRT(1-Y$9^2*$C$11)*NORMSINV(X59)))*(Y$7-Y$5)*(Y$7-Y$6))))</f>
        <v>0.352456452629257</v>
      </c>
      <c r="Z59" s="2" t="n">
        <v>0.587965645</v>
      </c>
      <c r="AA59" s="2" t="n">
        <f aca="false">IF(AA$7=AA$5,AA$6,IF(NORMSDIST(AA$9*SQRT($C$11)*NORMSINV($B59)+SQRT(1-AA$9^2*$C$11)*NORMSINV(Z59))&lt;AA$8,AA$5+SQRT(NORMSDIST(AA$9*SQRT($C$11)*NORMSINV($B59)+SQRT(1-AA$9^2*$C$11)*NORMSINV(Z59))*(AA$7-AA$5)*(AA$6-AA$5)),AA$7-SQRT((1-NORMSDIST(AA$9*SQRT($C$11)*NORMSINV($B59)+SQRT(1-AA$9^2*$C$11)*NORMSINV(Z59)))*(AA$7-AA$5)*(AA$7-AA$6))))</f>
        <v>0.730887451931712</v>
      </c>
      <c r="AB59" s="2" t="n">
        <v>0.562956681</v>
      </c>
      <c r="AC59" s="2" t="n">
        <f aca="false">IF(AC$7=AC$5,AC$6,IF(NORMSDIST(AC$9*SQRT($C$11)*NORMSINV($B59)+SQRT(1-AC$9^2*$C$11)*NORMSINV(AB59))&lt;AC$8,AC$5+SQRT(NORMSDIST(AC$9*SQRT($C$11)*NORMSINV($B59)+SQRT(1-AC$9^2*$C$11)*NORMSINV(AB59))*(AC$7-AC$5)*(AC$6-AC$5)),AC$7-SQRT((1-NORMSDIST(AC$9*SQRT($C$11)*NORMSINV($B59)+SQRT(1-AC$9^2*$C$11)*NORMSINV(AB59)))*(AC$7-AC$5)*(AC$7-AC$6))))</f>
        <v>9.62128362696652</v>
      </c>
      <c r="AD59" s="2" t="n">
        <f aca="false">Entrées!$C$8*(1+E59)</f>
        <v>7414.68730547463</v>
      </c>
      <c r="AE59" s="2" t="n">
        <f aca="false">I59*Hypothèses!$J$24/12/Hypothèses!$J$19</f>
        <v>94.376381668216</v>
      </c>
      <c r="AF59" s="2" t="n">
        <f aca="false">Entrées!$C$36*S59*1000</f>
        <v>413.60053479107</v>
      </c>
      <c r="AG59" s="2" t="n">
        <f aca="false">-AF59/W59</f>
        <v>-39.7357322546524</v>
      </c>
      <c r="AH59" s="2" t="n">
        <f aca="false">AD59+AE59+AG59</f>
        <v>7469.32795488819</v>
      </c>
      <c r="AI59" s="2" t="n">
        <f aca="false">Entrées!$C$16-M59+Hypothèses!$J$22*1000-AF59+Hypothèses!$J$23</f>
        <v>22512.9894652633</v>
      </c>
      <c r="AJ59" s="2" t="n">
        <f aca="false">AI59/AH59</f>
        <v>3.01405823940693</v>
      </c>
      <c r="AK59" s="2" t="n">
        <f aca="false">AI59/(AH59+I59*(12-Hypothèses!$J$24)/12/Hypothèses!$J$19)</f>
        <v>2.98709926209304</v>
      </c>
      <c r="AL59" s="2" t="n">
        <f aca="false">(AD59+AG59+I59/Hypothèses!$J$19)*(1+G59)</f>
        <v>7931.28236585546</v>
      </c>
      <c r="AM59" s="2" t="n">
        <f aca="false">Entrées!$C$54*K59/Hypothèses!$J$19</f>
        <v>40.587767264944</v>
      </c>
      <c r="AN59" s="2" t="n">
        <f aca="false">Y59*1000/AC59</f>
        <v>36.6329968322931</v>
      </c>
      <c r="AO59" s="2" t="n">
        <f aca="false">(Entrées!$C$36*(1-S59)+MAX(0,Entrées!$C$30-Entrées!$C$35-Entrées!$C$36)*U59)*1000</f>
        <v>859.740785781399</v>
      </c>
      <c r="AP59" s="2" t="n">
        <f aca="false">-AO59/W59</f>
        <v>-82.5976438581522</v>
      </c>
      <c r="AQ59" s="2" t="n">
        <f aca="false">AL59+AM59+AN59+AP59</f>
        <v>7925.90548609454</v>
      </c>
      <c r="AR59" s="2" t="n">
        <f aca="false">O59*AQ59-Hypothèses!$J$25/Hypothèses!$J$19</f>
        <v>1407.71456515772</v>
      </c>
      <c r="AS59" s="2" t="n">
        <f aca="false">Entrées!$C$79*(1+Q59)+Hypothèses!$J$20</f>
        <v>1442.70776222077</v>
      </c>
      <c r="AT59" s="2" t="n">
        <f aca="false">AI59-AR59+AS59+Y59*1000-AO59+Hypothèses!$J$23</f>
        <v>22040.6983291742</v>
      </c>
      <c r="AU59" s="2" t="n">
        <f aca="false">AT59/AQ59</f>
        <v>2.78084294190021</v>
      </c>
      <c r="AV59" s="2" t="n">
        <f aca="false">Hypothèses!$J$26*AQ59-AT59</f>
        <v>1737.01812910946</v>
      </c>
      <c r="AW59" s="2" t="n">
        <f aca="false">IF(AC59&gt;Hypothèses!$J$26,MAX(0,AV59)/(1-Hypothèses!$J$26/AC59),0)</f>
        <v>2524.03386214728</v>
      </c>
      <c r="AX59" s="2" t="n">
        <f aca="false">AQ59-Entrées!$C$17*1000</f>
        <v>-74.0945139054593</v>
      </c>
      <c r="AY59" s="2" t="n">
        <f aca="false">AI59+(Entrées!$C$244-Entrées!$C$13)</f>
        <v>28259.9894652633</v>
      </c>
      <c r="AZ59" s="2" t="n">
        <f aca="false">AA59*AH59</f>
        <v>5459.23807659054</v>
      </c>
      <c r="BA59" s="2" t="n">
        <f aca="false">AZ59/AY59</f>
        <v>0.19317905561504</v>
      </c>
      <c r="BB59" s="2" t="n">
        <f aca="false">AZ59/(Entrées!$C$151/100)-AY59</f>
        <v>2069.11096023971</v>
      </c>
      <c r="BC59" s="2" t="n">
        <f aca="false">AT59+(Entrées!$C$244-Entrées!$C$13)</f>
        <v>27787.6983291742</v>
      </c>
      <c r="BD59" s="2" t="n">
        <f aca="false">AA59*AQ59</f>
        <v>5792.94486498321</v>
      </c>
      <c r="BE59" s="2" t="n">
        <f aca="false">BD59/BC59</f>
        <v>0.208471561637087</v>
      </c>
      <c r="BF59" s="2" t="n">
        <f aca="false">BD59/(Entrées!$C$151/100)-BC59</f>
        <v>4395.32869851035</v>
      </c>
      <c r="BG59" s="2" t="n">
        <f aca="false">MIN(AV59,BF59)</f>
        <v>1737.01812910946</v>
      </c>
      <c r="BH59" s="2" t="n">
        <f aca="false">IF(AC59&gt;Hypothèses!$J$26,MAX(0,BG59)/(1-Hypothèses!$J$26/AC59),0)</f>
        <v>2524.03386214728</v>
      </c>
    </row>
    <row r="60" customFormat="false" ht="15" hidden="false" customHeight="false" outlineLevel="0" collapsed="false">
      <c r="A60" s="2" t="n">
        <v>45</v>
      </c>
      <c r="B60" s="2" t="n">
        <v>0.647692525</v>
      </c>
      <c r="C60" s="2"/>
      <c r="D60" s="2" t="n">
        <v>0.171706433</v>
      </c>
      <c r="E60" s="2" t="n">
        <f aca="false">IF(E$7=E$5,E$6,IF(NORMSDIST(E$9*SQRT($C$11)*NORMSINV($B60)+SQRT(1-E$9^2*$C$11)*NORMSINV(D60))&lt;E$8,E$5+SQRT(NORMSDIST(E$9*SQRT($C$11)*NORMSINV($B60)+SQRT(1-E$9^2*$C$11)*NORMSINV(D60))*(E$7-E$5)*(E$6-E$5)),E$7-SQRT((1-NORMSDIST(E$9*SQRT($C$11)*NORMSINV($B60)+SQRT(1-E$9^2*$C$11)*NORMSINV(D60)))*(E$7-E$5)*(E$7-E$6))))</f>
        <v>0.0539408716123702</v>
      </c>
      <c r="F60" s="2" t="n">
        <v>0.508920585</v>
      </c>
      <c r="G60" s="2" t="n">
        <f aca="false">IF(G$7=G$5,G$6,IF(NORMSDIST(G$9*SQRT($C$11)*NORMSINV($B60)+SQRT(1-G$9^2*$C$11)*NORMSINV(F60))&lt;G$8,G$5+SQRT(NORMSDIST(G$9*SQRT($C$11)*NORMSINV($B60)+SQRT(1-G$9^2*$C$11)*NORMSINV(F60))*(G$7-G$5)*(G$6-G$5)),G$7-SQRT((1-NORMSDIST(G$9*SQRT($C$11)*NORMSINV($B60)+SQRT(1-G$9^2*$C$11)*NORMSINV(F60)))*(G$7-G$5)*(G$7-G$6))))</f>
        <v>0.0566078185318857</v>
      </c>
      <c r="H60" s="2" t="n">
        <v>0.877225987</v>
      </c>
      <c r="I60" s="2" t="n">
        <f aca="false">IF(I$7=I$5,I$6,IF(NORMSDIST(I$9*SQRT($C$11)*NORMSINV($B60)+SQRT(1-I$9^2*$C$11)*NORMSINV(H60))&lt;I$8,I$5+SQRT(NORMSDIST(I$9*SQRT($C$11)*NORMSINV($B60)+SQRT(1-I$9^2*$C$11)*NORMSINV(H60))*(I$7-I$5)*(I$6-I$5)),I$7-SQRT((1-NORMSDIST(I$9*SQRT($C$11)*NORMSINV($B60)+SQRT(1-I$9^2*$C$11)*NORMSINV(H60)))*(I$7-I$5)*(I$7-I$6))))</f>
        <v>209.908427240556</v>
      </c>
      <c r="J60" s="2" t="n">
        <v>0.435213888</v>
      </c>
      <c r="K60" s="2" t="n">
        <f aca="false">IF(K$7=K$5,K$6,IF(NORMSDIST(K$9*SQRT($C$11)*NORMSINV($B60)+SQRT(1-K$9^2*$C$11)*NORMSINV(J60))&lt;K$8,K$5+SQRT(NORMSDIST(K$9*SQRT($C$11)*NORMSINV($B60)+SQRT(1-K$9^2*$C$11)*NORMSINV(J60))*(K$7-K$5)*(K$6-K$5)),K$7-SQRT((1-NORMSDIST(K$9*SQRT($C$11)*NORMSINV($B60)+SQRT(1-K$9^2*$C$11)*NORMSINV(J60)))*(K$7-K$5)*(K$7-K$6))))</f>
        <v>0.261554237961667</v>
      </c>
      <c r="L60" s="2" t="n">
        <v>0.813520764</v>
      </c>
      <c r="M60" s="2" t="n">
        <f aca="false">IF(M$7=M$5,M$6,IF(NORMSDIST(M$9*SQRT($C$11)*NORMSINV($B60)+SQRT(1-M$9^2*$C$11)*NORMSINV(L60))&lt;M$8,M$5+SQRT(NORMSDIST(M$9*SQRT($C$11)*NORMSINV($B60)+SQRT(1-M$9^2*$C$11)*NORMSINV(L60))*(M$7-M$5)*(M$6-M$5)),M$7-SQRT((1-NORMSDIST(M$9*SQRT($C$11)*NORMSINV($B60)+SQRT(1-M$9^2*$C$11)*NORMSINV(L60)))*(M$7-M$5)*(M$7-M$6))))</f>
        <v>1673.45869207139</v>
      </c>
      <c r="N60" s="2" t="n">
        <v>0.638826536</v>
      </c>
      <c r="O60" s="2" t="n">
        <f aca="false">IF(O$7=O$5,O$6,IF(NORMSDIST(O$9*SQRT($C$11)*NORMSINV($B60)+SQRT(1-O$9^2*$C$11)*NORMSINV(N60))&lt;O$8,O$5+SQRT(NORMSDIST(O$9*SQRT($C$11)*NORMSINV($B60)+SQRT(1-O$9^2*$C$11)*NORMSINV(N60))*(O$7-O$5)*(O$6-O$5)),O$7-SQRT((1-NORMSDIST(O$9*SQRT($C$11)*NORMSINV($B60)+SQRT(1-O$9^2*$C$11)*NORMSINV(N60)))*(O$7-O$5)*(O$7-O$6))))</f>
        <v>0.172026511383876</v>
      </c>
      <c r="P60" s="2" t="n">
        <v>0.920926369</v>
      </c>
      <c r="Q60" s="2" t="n">
        <f aca="false">IF(Q$7=Q$5,Q$6,IF(NORMSDIST(Q$9*SQRT($C$11)*NORMSINV($B60)+SQRT(1-Q$9^2*$C$11)*NORMSINV(P60))&lt;Q$8,Q$5+SQRT(NORMSDIST(Q$9*SQRT($C$11)*NORMSINV($B60)+SQRT(1-Q$9^2*$C$11)*NORMSINV(P60))*(Q$7-Q$5)*(Q$6-Q$5)),Q$7-SQRT((1-NORMSDIST(Q$9*SQRT($C$11)*NORMSINV($B60)+SQRT(1-Q$9^2*$C$11)*NORMSINV(P60)))*(Q$7-Q$5)*(Q$7-Q$6))))</f>
        <v>0.104092906638861</v>
      </c>
      <c r="R60" s="2" t="n">
        <v>0.75690344</v>
      </c>
      <c r="S60" s="2" t="n">
        <f aca="false">IF(S$7=S$5,S$6,IF(NORMSDIST(S$9*SQRT($C$11)*NORMSINV($B60)+SQRT(1-S$9^2*$C$11)*NORMSINV(R60))&lt;S$8,S$5+SQRT(NORMSDIST(S$9*SQRT($C$11)*NORMSINV($B60)+SQRT(1-S$9^2*$C$11)*NORMSINV(R60))*(S$7-S$5)*(S$6-S$5)),S$7-SQRT((1-NORMSDIST(S$9*SQRT($C$11)*NORMSINV($B60)+SQRT(1-S$9^2*$C$11)*NORMSINV(R60)))*(S$7-S$5)*(S$7-S$6))))</f>
        <v>0.669894920925094</v>
      </c>
      <c r="T60" s="2" t="n">
        <v>0.697889173</v>
      </c>
      <c r="U60" s="2" t="n">
        <f aca="false">IF(U$7=U$5,U$6,IF(NORMSDIST(U$9*SQRT($C$11)*NORMSINV($B60)+SQRT(1-U$9^2*$C$11)*NORMSINV(T60))&lt;U$8,U$5+SQRT(NORMSDIST(U$9*SQRT($C$11)*NORMSINV($B60)+SQRT(1-U$9^2*$C$11)*NORMSINV(T60))*(U$7-U$5)*(U$6-U$5)),U$7-SQRT((1-NORMSDIST(U$9*SQRT($C$11)*NORMSINV($B60)+SQRT(1-U$9^2*$C$11)*NORMSINV(T60)))*(U$7-U$5)*(U$7-U$6))))</f>
        <v>0.638977311250104</v>
      </c>
      <c r="V60" s="2" t="n">
        <v>0.81898021</v>
      </c>
      <c r="W60" s="2" t="n">
        <f aca="false">IF(W$7=W$5,W$6,IF(NORMSDIST(W$9*SQRT($C$11)*NORMSINV($B60)+SQRT(1-W$9^2*$C$11)*NORMSINV(V60))&lt;W$8,W$5+SQRT(NORMSDIST(W$9*SQRT($C$11)*NORMSINV($B60)+SQRT(1-W$9^2*$C$11)*NORMSINV(V60))*(W$7-W$5)*(W$6-W$5)),W$7-SQRT((1-NORMSDIST(W$9*SQRT($C$11)*NORMSINV($B60)+SQRT(1-W$9^2*$C$11)*NORMSINV(V60)))*(W$7-W$5)*(W$7-W$6))))</f>
        <v>10.8265394414398</v>
      </c>
      <c r="X60" s="2" t="n">
        <v>0.209859744</v>
      </c>
      <c r="Y60" s="2" t="n">
        <f aca="false">IF(Y$7=Y$5,Y$6,IF(NORMSDIST(Y$9*SQRT($C$11)*NORMSINV($B60)+SQRT(1-Y$9^2*$C$11)*NORMSINV(X60))&lt;Y$8,Y$5+SQRT(NORMSDIST(Y$9*SQRT($C$11)*NORMSINV($B60)+SQRT(1-Y$9^2*$C$11)*NORMSINV(X60))*(Y$7-Y$5)*(Y$6-Y$5)),Y$7-SQRT((1-NORMSDIST(Y$9*SQRT($C$11)*NORMSINV($B60)+SQRT(1-Y$9^2*$C$11)*NORMSINV(X60)))*(Y$7-Y$5)*(Y$7-Y$6))))</f>
        <v>0.323928806993142</v>
      </c>
      <c r="Z60" s="2" t="n">
        <v>0.091503287</v>
      </c>
      <c r="AA60" s="2" t="n">
        <f aca="false">IF(AA$7=AA$5,AA$6,IF(NORMSDIST(AA$9*SQRT($C$11)*NORMSINV($B60)+SQRT(1-AA$9^2*$C$11)*NORMSINV(Z60))&lt;AA$8,AA$5+SQRT(NORMSDIST(AA$9*SQRT($C$11)*NORMSINV($B60)+SQRT(1-AA$9^2*$C$11)*NORMSINV(Z60))*(AA$7-AA$5)*(AA$6-AA$5)),AA$7-SQRT((1-NORMSDIST(AA$9*SQRT($C$11)*NORMSINV($B60)+SQRT(1-AA$9^2*$C$11)*NORMSINV(Z60)))*(AA$7-AA$5)*(AA$7-AA$6))))</f>
        <v>0.716747183094627</v>
      </c>
      <c r="AB60" s="2" t="n">
        <v>0.555940128</v>
      </c>
      <c r="AC60" s="2" t="n">
        <f aca="false">IF(AC$7=AC$5,AC$6,IF(NORMSDIST(AC$9*SQRT($C$11)*NORMSINV($B60)+SQRT(1-AC$9^2*$C$11)*NORMSINV(AB60))&lt;AC$8,AC$5+SQRT(NORMSDIST(AC$9*SQRT($C$11)*NORMSINV($B60)+SQRT(1-AC$9^2*$C$11)*NORMSINV(AB60))*(AC$7-AC$5)*(AC$6-AC$5)),AC$7-SQRT((1-NORMSDIST(AC$9*SQRT($C$11)*NORMSINV($B60)+SQRT(1-AC$9^2*$C$11)*NORMSINV(AB60)))*(AC$7-AC$5)*(AC$7-AC$6))))</f>
        <v>9.74480655368342</v>
      </c>
      <c r="AD60" s="2" t="n">
        <f aca="false">Entrées!$C$8*(1+E60)</f>
        <v>7430.28314486721</v>
      </c>
      <c r="AE60" s="2" t="n">
        <f aca="false">I60*Hypothèses!$J$24/12/Hypothèses!$J$19</f>
        <v>104.134898915982</v>
      </c>
      <c r="AF60" s="2" t="n">
        <f aca="false">Entrées!$C$36*S60*1000</f>
        <v>334.947460462547</v>
      </c>
      <c r="AG60" s="2" t="n">
        <f aca="false">-AF60/W60</f>
        <v>-30.9376289879384</v>
      </c>
      <c r="AH60" s="2" t="n">
        <f aca="false">AD60+AE60+AG60</f>
        <v>7503.48041479525</v>
      </c>
      <c r="AI60" s="2" t="n">
        <f aca="false">Entrées!$C$16-M60+Hypothèses!$J$22*1000-AF60+Hypothèses!$J$23</f>
        <v>22539.5938474661</v>
      </c>
      <c r="AJ60" s="2" t="n">
        <f aca="false">AI60/AH60</f>
        <v>3.00388521079136</v>
      </c>
      <c r="AK60" s="2" t="n">
        <f aca="false">AI60/(AH60+I60*(12-Hypothèses!$J$24)/12/Hypothèses!$J$19)</f>
        <v>2.97439995655041</v>
      </c>
      <c r="AL60" s="2" t="n">
        <f aca="false">(AD60+AG60+I60/Hypothèses!$J$19)*(1+G60)</f>
        <v>8006.82874988544</v>
      </c>
      <c r="AM60" s="2" t="n">
        <f aca="false">Entrées!$C$54*K60/Hypothèses!$J$19</f>
        <v>26.6927081792662</v>
      </c>
      <c r="AN60" s="2" t="n">
        <f aca="false">Y60*1000/AC60</f>
        <v>33.2411736660591</v>
      </c>
      <c r="AO60" s="2" t="n">
        <f aca="false">(Entrées!$C$36*(1-S60)+MAX(0,Entrées!$C$30-Entrées!$C$35-Entrées!$C$36)*U60)*1000</f>
        <v>1059.6207752876</v>
      </c>
      <c r="AP60" s="2" t="n">
        <f aca="false">-AO60/W60</f>
        <v>-97.8725271375059</v>
      </c>
      <c r="AQ60" s="2" t="n">
        <f aca="false">AL60+AM60+AN60+AP60</f>
        <v>7968.89010459326</v>
      </c>
      <c r="AR60" s="2" t="n">
        <f aca="false">O60*AQ60-Hypothèses!$J$25/Hypothèses!$J$19</f>
        <v>1351.72520203304</v>
      </c>
      <c r="AS60" s="2" t="n">
        <f aca="false">Entrées!$C$79*(1+Q60)+Hypothèses!$J$20</f>
        <v>1508.39810439611</v>
      </c>
      <c r="AT60" s="2" t="n">
        <f aca="false">AI60-AR60+AS60+Y60*1000-AO60+Hypothèses!$J$23</f>
        <v>21960.5747815347</v>
      </c>
      <c r="AU60" s="2" t="n">
        <f aca="false">AT60/AQ60</f>
        <v>2.75578838373949</v>
      </c>
      <c r="AV60" s="2" t="n">
        <f aca="false">Hypothèses!$J$26*AQ60-AT60</f>
        <v>1946.09553224509</v>
      </c>
      <c r="AW60" s="2" t="n">
        <f aca="false">IF(AC60&gt;Hypothèses!$J$26,MAX(0,AV60)/(1-Hypothèses!$J$26/AC60),0)</f>
        <v>2811.69287002892</v>
      </c>
      <c r="AX60" s="2" t="n">
        <f aca="false">AQ60-Entrées!$C$17*1000</f>
        <v>-31.1098954067429</v>
      </c>
      <c r="AY60" s="2" t="n">
        <f aca="false">AI60+(Entrées!$C$244-Entrées!$C$13)</f>
        <v>28286.5938474661</v>
      </c>
      <c r="AZ60" s="2" t="n">
        <f aca="false">AA60*AH60</f>
        <v>5378.0984507102</v>
      </c>
      <c r="BA60" s="2" t="n">
        <f aca="false">AZ60/AY60</f>
        <v>0.190128881537003</v>
      </c>
      <c r="BB60" s="2" t="n">
        <f aca="false">AZ60/(Entrées!$C$151/100)-AY60</f>
        <v>1591.7308787017</v>
      </c>
      <c r="BC60" s="2" t="n">
        <f aca="false">AT60+(Entrées!$C$244-Entrées!$C$13)</f>
        <v>27707.5747815347</v>
      </c>
      <c r="BD60" s="2" t="n">
        <f aca="false">AA60*AQ60</f>
        <v>5711.67953485786</v>
      </c>
      <c r="BE60" s="2" t="n">
        <f aca="false">BD60/BC60</f>
        <v>0.206141446152997</v>
      </c>
      <c r="BF60" s="2" t="n">
        <f aca="false">BD60/(Entrées!$C$151/100)-BC60</f>
        <v>4023.97818989788</v>
      </c>
      <c r="BG60" s="2" t="n">
        <f aca="false">MIN(AV60,BF60)</f>
        <v>1946.09553224509</v>
      </c>
      <c r="BH60" s="2" t="n">
        <f aca="false">IF(AC60&gt;Hypothèses!$J$26,MAX(0,BG60)/(1-Hypothèses!$J$26/AC60),0)</f>
        <v>2811.69287002892</v>
      </c>
    </row>
    <row r="61" customFormat="false" ht="15" hidden="false" customHeight="false" outlineLevel="0" collapsed="false">
      <c r="A61" s="2" t="n">
        <v>46</v>
      </c>
      <c r="B61" s="2" t="n">
        <v>0.271657975</v>
      </c>
      <c r="C61" s="2"/>
      <c r="D61" s="2" t="n">
        <v>0.039274022</v>
      </c>
      <c r="E61" s="2" t="n">
        <f aca="false">IF(E$7=E$5,E$6,IF(NORMSDIST(E$9*SQRT($C$11)*NORMSINV($B61)+SQRT(1-E$9^2*$C$11)*NORMSINV(D61))&lt;E$8,E$5+SQRT(NORMSDIST(E$9*SQRT($C$11)*NORMSINV($B61)+SQRT(1-E$9^2*$C$11)*NORMSINV(D61))*(E$7-E$5)*(E$6-E$5)),E$7-SQRT((1-NORMSDIST(E$9*SQRT($C$11)*NORMSINV($B61)+SQRT(1-E$9^2*$C$11)*NORMSINV(D61)))*(E$7-E$5)*(E$7-E$6))))</f>
        <v>0.0514197434912022</v>
      </c>
      <c r="F61" s="2" t="n">
        <v>0.545540557</v>
      </c>
      <c r="G61" s="2" t="n">
        <f aca="false">IF(G$7=G$5,G$6,IF(NORMSDIST(G$9*SQRT($C$11)*NORMSINV($B61)+SQRT(1-G$9^2*$C$11)*NORMSINV(F61))&lt;G$8,G$5+SQRT(NORMSDIST(G$9*SQRT($C$11)*NORMSINV($B61)+SQRT(1-G$9^2*$C$11)*NORMSINV(F61))*(G$7-G$5)*(G$6-G$5)),G$7-SQRT((1-NORMSDIST(G$9*SQRT($C$11)*NORMSINV($B61)+SQRT(1-G$9^2*$C$11)*NORMSINV(F61)))*(G$7-G$5)*(G$7-G$6))))</f>
        <v>0.0531400923391845</v>
      </c>
      <c r="H61" s="2" t="n">
        <v>0.104673905</v>
      </c>
      <c r="I61" s="2" t="n">
        <f aca="false">IF(I$7=I$5,I$6,IF(NORMSDIST(I$9*SQRT($C$11)*NORMSINV($B61)+SQRT(1-I$9^2*$C$11)*NORMSINV(H61))&lt;I$8,I$5+SQRT(NORMSDIST(I$9*SQRT($C$11)*NORMSINV($B61)+SQRT(1-I$9^2*$C$11)*NORMSINV(H61))*(I$7-I$5)*(I$6-I$5)),I$7-SQRT((1-NORMSDIST(I$9*SQRT($C$11)*NORMSINV($B61)+SQRT(1-I$9^2*$C$11)*NORMSINV(H61)))*(I$7-I$5)*(I$7-I$6))))</f>
        <v>188.36282210967</v>
      </c>
      <c r="J61" s="2" t="n">
        <v>0.504619242</v>
      </c>
      <c r="K61" s="2" t="n">
        <f aca="false">IF(K$7=K$5,K$6,IF(NORMSDIST(K$9*SQRT($C$11)*NORMSINV($B61)+SQRT(1-K$9^2*$C$11)*NORMSINV(J61))&lt;K$8,K$5+SQRT(NORMSDIST(K$9*SQRT($C$11)*NORMSINV($B61)+SQRT(1-K$9^2*$C$11)*NORMSINV(J61))*(K$7-K$5)*(K$6-K$5)),K$7-SQRT((1-NORMSDIST(K$9*SQRT($C$11)*NORMSINV($B61)+SQRT(1-K$9^2*$C$11)*NORMSINV(J61)))*(K$7-K$5)*(K$7-K$6))))</f>
        <v>0.210257610983763</v>
      </c>
      <c r="L61" s="2" t="n">
        <v>0.12555078</v>
      </c>
      <c r="M61" s="2" t="n">
        <f aca="false">IF(M$7=M$5,M$6,IF(NORMSDIST(M$9*SQRT($C$11)*NORMSINV($B61)+SQRT(1-M$9^2*$C$11)*NORMSINV(L61))&lt;M$8,M$5+SQRT(NORMSDIST(M$9*SQRT($C$11)*NORMSINV($B61)+SQRT(1-M$9^2*$C$11)*NORMSINV(L61))*(M$7-M$5)*(M$6-M$5)),M$7-SQRT((1-NORMSDIST(M$9*SQRT($C$11)*NORMSINV($B61)+SQRT(1-M$9^2*$C$11)*NORMSINV(L61)))*(M$7-M$5)*(M$7-M$6))))</f>
        <v>1430.28607901724</v>
      </c>
      <c r="N61" s="2" t="n">
        <v>0.232700116</v>
      </c>
      <c r="O61" s="2" t="n">
        <f aca="false">IF(O$7=O$5,O$6,IF(NORMSDIST(O$9*SQRT($C$11)*NORMSINV($B61)+SQRT(1-O$9^2*$C$11)*NORMSINV(N61))&lt;O$8,O$5+SQRT(NORMSDIST(O$9*SQRT($C$11)*NORMSINV($B61)+SQRT(1-O$9^2*$C$11)*NORMSINV(N61))*(O$7-O$5)*(O$6-O$5)),O$7-SQRT((1-NORMSDIST(O$9*SQRT($C$11)*NORMSINV($B61)+SQRT(1-O$9^2*$C$11)*NORMSINV(N61)))*(O$7-O$5)*(O$7-O$6))))</f>
        <v>0.155668054430644</v>
      </c>
      <c r="P61" s="2" t="n">
        <v>0.713983707</v>
      </c>
      <c r="Q61" s="2" t="n">
        <f aca="false">IF(Q$7=Q$5,Q$6,IF(NORMSDIST(Q$9*SQRT($C$11)*NORMSINV($B61)+SQRT(1-Q$9^2*$C$11)*NORMSINV(P61))&lt;Q$8,Q$5+SQRT(NORMSDIST(Q$9*SQRT($C$11)*NORMSINV($B61)+SQRT(1-Q$9^2*$C$11)*NORMSINV(P61))*(Q$7-Q$5)*(Q$6-Q$5)),Q$7-SQRT((1-NORMSDIST(Q$9*SQRT($C$11)*NORMSINV($B61)+SQRT(1-Q$9^2*$C$11)*NORMSINV(P61)))*(Q$7-Q$5)*(Q$7-Q$6))))</f>
        <v>0.0897468656565968</v>
      </c>
      <c r="R61" s="2" t="n">
        <v>0.587204892</v>
      </c>
      <c r="S61" s="2" t="n">
        <f aca="false">IF(S$7=S$5,S$6,IF(NORMSDIST(S$9*SQRT($C$11)*NORMSINV($B61)+SQRT(1-S$9^2*$C$11)*NORMSINV(R61))&lt;S$8,S$5+SQRT(NORMSDIST(S$9*SQRT($C$11)*NORMSINV($B61)+SQRT(1-S$9^2*$C$11)*NORMSINV(R61))*(S$7-S$5)*(S$6-S$5)),S$7-SQRT((1-NORMSDIST(S$9*SQRT($C$11)*NORMSINV($B61)+SQRT(1-S$9^2*$C$11)*NORMSINV(R61)))*(S$7-S$5)*(S$7-S$6))))</f>
        <v>0.455731719804609</v>
      </c>
      <c r="T61" s="2" t="n">
        <v>0.256274558</v>
      </c>
      <c r="U61" s="2" t="n">
        <f aca="false">IF(U$7=U$5,U$6,IF(NORMSDIST(U$9*SQRT($C$11)*NORMSINV($B61)+SQRT(1-U$9^2*$C$11)*NORMSINV(T61))&lt;U$8,U$5+SQRT(NORMSDIST(U$9*SQRT($C$11)*NORMSINV($B61)+SQRT(1-U$9^2*$C$11)*NORMSINV(T61))*(U$7-U$5)*(U$6-U$5)),U$7-SQRT((1-NORMSDIST(U$9*SQRT($C$11)*NORMSINV($B61)+SQRT(1-U$9^2*$C$11)*NORMSINV(T61)))*(U$7-U$5)*(U$7-U$6))))</f>
        <v>0.305191750486622</v>
      </c>
      <c r="V61" s="2" t="n">
        <v>0.358612944</v>
      </c>
      <c r="W61" s="2" t="n">
        <f aca="false">IF(W$7=W$5,W$6,IF(NORMSDIST(W$9*SQRT($C$11)*NORMSINV($B61)+SQRT(1-W$9^2*$C$11)*NORMSINV(V61))&lt;W$8,W$5+SQRT(NORMSDIST(W$9*SQRT($C$11)*NORMSINV($B61)+SQRT(1-W$9^2*$C$11)*NORMSINV(V61))*(W$7-W$5)*(W$6-W$5)),W$7-SQRT((1-NORMSDIST(W$9*SQRT($C$11)*NORMSINV($B61)+SQRT(1-W$9^2*$C$11)*NORMSINV(V61)))*(W$7-W$5)*(W$7-W$6))))</f>
        <v>9.42279378473775</v>
      </c>
      <c r="X61" s="2" t="n">
        <v>0.881907146</v>
      </c>
      <c r="Y61" s="2" t="n">
        <f aca="false">IF(Y$7=Y$5,Y$6,IF(NORMSDIST(Y$9*SQRT($C$11)*NORMSINV($B61)+SQRT(1-Y$9^2*$C$11)*NORMSINV(X61))&lt;Y$8,Y$5+SQRT(NORMSDIST(Y$9*SQRT($C$11)*NORMSINV($B61)+SQRT(1-Y$9^2*$C$11)*NORMSINV(X61))*(Y$7-Y$5)*(Y$6-Y$5)),Y$7-SQRT((1-NORMSDIST(Y$9*SQRT($C$11)*NORMSINV($B61)+SQRT(1-Y$9^2*$C$11)*NORMSINV(X61)))*(Y$7-Y$5)*(Y$7-Y$6))))</f>
        <v>0.757005294296357</v>
      </c>
      <c r="Z61" s="2" t="n">
        <v>0.545110579</v>
      </c>
      <c r="AA61" s="2" t="n">
        <f aca="false">IF(AA$7=AA$5,AA$6,IF(NORMSDIST(AA$9*SQRT($C$11)*NORMSINV($B61)+SQRT(1-AA$9^2*$C$11)*NORMSINV(Z61))&lt;AA$8,AA$5+SQRT(NORMSDIST(AA$9*SQRT($C$11)*NORMSINV($B61)+SQRT(1-AA$9^2*$C$11)*NORMSINV(Z61))*(AA$7-AA$5)*(AA$6-AA$5)),AA$7-SQRT((1-NORMSDIST(AA$9*SQRT($C$11)*NORMSINV($B61)+SQRT(1-AA$9^2*$C$11)*NORMSINV(Z61)))*(AA$7-AA$5)*(AA$7-AA$6))))</f>
        <v>0.723980792483096</v>
      </c>
      <c r="AB61" s="2" t="n">
        <v>0.839648791</v>
      </c>
      <c r="AC61" s="2" t="n">
        <f aca="false">IF(AC$7=AC$5,AC$6,IF(NORMSDIST(AC$9*SQRT($C$11)*NORMSINV($B61)+SQRT(1-AC$9^2*$C$11)*NORMSINV(AB61))&lt;AC$8,AC$5+SQRT(NORMSDIST(AC$9*SQRT($C$11)*NORMSINV($B61)+SQRT(1-AC$9^2*$C$11)*NORMSINV(AB61))*(AC$7-AC$5)*(AC$6-AC$5)),AC$7-SQRT((1-NORMSDIST(AC$9*SQRT($C$11)*NORMSINV($B61)+SQRT(1-AC$9^2*$C$11)*NORMSINV(AB61)))*(AC$7-AC$5)*(AC$7-AC$6))))</f>
        <v>9.7694424315329</v>
      </c>
      <c r="AD61" s="2" t="n">
        <f aca="false">Entrées!$C$8*(1+E61)</f>
        <v>7412.50919161297</v>
      </c>
      <c r="AE61" s="2" t="n">
        <f aca="false">I61*Hypothèses!$J$24/12/Hypothèses!$J$19</f>
        <v>93.4461931699416</v>
      </c>
      <c r="AF61" s="2" t="n">
        <f aca="false">Entrées!$C$36*S61*1000</f>
        <v>227.865859902304</v>
      </c>
      <c r="AG61" s="2" t="n">
        <f aca="false">-AF61/W61</f>
        <v>-24.1824097086134</v>
      </c>
      <c r="AH61" s="2" t="n">
        <f aca="false">AD61+AE61+AG61</f>
        <v>7481.7729750743</v>
      </c>
      <c r="AI61" s="2" t="n">
        <f aca="false">Entrées!$C$16-M61+Hypothèses!$J$22*1000-AF61+Hypothèses!$J$23</f>
        <v>22889.8480610805</v>
      </c>
      <c r="AJ61" s="2" t="n">
        <f aca="false">AI61/AH61</f>
        <v>3.05941494580743</v>
      </c>
      <c r="AK61" s="2" t="n">
        <f aca="false">AI61/(AH61+I61*(12-Hypothèses!$J$24)/12/Hypothèses!$J$19)</f>
        <v>3.03236227566049</v>
      </c>
      <c r="AL61" s="2" t="n">
        <f aca="false">(AD61+AG61+I61/Hypothèses!$J$19)*(1+G61)</f>
        <v>7949.64931933324</v>
      </c>
      <c r="AM61" s="2" t="n">
        <f aca="false">Entrées!$C$54*K61/Hypothèses!$J$19</f>
        <v>21.4576720155528</v>
      </c>
      <c r="AN61" s="2" t="n">
        <f aca="false">Y61*1000/AC61</f>
        <v>77.487052060716</v>
      </c>
      <c r="AO61" s="2" t="n">
        <f aca="false">(Entrées!$C$36*(1-S61)+MAX(0,Entrées!$C$30-Entrées!$C$35-Entrées!$C$36)*U61)*1000</f>
        <v>699.402590778967</v>
      </c>
      <c r="AP61" s="2" t="n">
        <f aca="false">-AO61/W61</f>
        <v>-74.2245460058566</v>
      </c>
      <c r="AQ61" s="2" t="n">
        <f aca="false">AL61+AM61+AN61+AP61</f>
        <v>7974.36949740365</v>
      </c>
      <c r="AR61" s="2" t="n">
        <f aca="false">O61*AQ61-Hypothèses!$J$25/Hypothèses!$J$19</f>
        <v>1222.21942271027</v>
      </c>
      <c r="AS61" s="2" t="n">
        <f aca="false">Entrées!$C$79*(1+Q61)+Hypothèses!$J$20</f>
        <v>1492.6318053566</v>
      </c>
      <c r="AT61" s="2" t="n">
        <f aca="false">AI61-AR61+AS61+Y61*1000-AO61+Hypothèses!$J$23</f>
        <v>23217.8631472442</v>
      </c>
      <c r="AU61" s="2" t="n">
        <f aca="false">AT61/AQ61</f>
        <v>2.91156098984423</v>
      </c>
      <c r="AV61" s="2" t="n">
        <f aca="false">Hypothèses!$J$26*AQ61-AT61</f>
        <v>705.24534496677</v>
      </c>
      <c r="AW61" s="2" t="n">
        <f aca="false">IF(AC61&gt;Hypothèses!$J$26,MAX(0,AV61)/(1-Hypothèses!$J$26/AC61),0)</f>
        <v>1017.78748655364</v>
      </c>
      <c r="AX61" s="2" t="n">
        <f aca="false">AQ61-Entrées!$C$17*1000</f>
        <v>-25.6305025963529</v>
      </c>
      <c r="AY61" s="2" t="n">
        <f aca="false">AI61+(Entrées!$C$244-Entrées!$C$13)</f>
        <v>28636.8480610805</v>
      </c>
      <c r="AZ61" s="2" t="n">
        <f aca="false">AA61*AH61</f>
        <v>5416.65992767291</v>
      </c>
      <c r="BA61" s="2" t="n">
        <f aca="false">AZ61/AY61</f>
        <v>0.189150004082835</v>
      </c>
      <c r="BB61" s="2" t="n">
        <f aca="false">AZ61/(Entrées!$C$151/100)-AY61</f>
        <v>1455.70709265792</v>
      </c>
      <c r="BC61" s="2" t="n">
        <f aca="false">AT61+(Entrées!$C$244-Entrées!$C$13)</f>
        <v>28964.8631472442</v>
      </c>
      <c r="BD61" s="2" t="n">
        <f aca="false">AA61*AQ61</f>
        <v>5773.29034828332</v>
      </c>
      <c r="BE61" s="2" t="n">
        <f aca="false">BD61/BC61</f>
        <v>0.199320477329188</v>
      </c>
      <c r="BF61" s="2" t="n">
        <f aca="false">BD61/(Entrées!$C$151/100)-BC61</f>
        <v>3108.97212099651</v>
      </c>
      <c r="BG61" s="2" t="n">
        <f aca="false">MIN(AV61,BF61)</f>
        <v>705.24534496677</v>
      </c>
      <c r="BH61" s="2" t="n">
        <f aca="false">IF(AC61&gt;Hypothèses!$J$26,MAX(0,BG61)/(1-Hypothèses!$J$26/AC61),0)</f>
        <v>1017.78748655364</v>
      </c>
    </row>
    <row r="62" customFormat="false" ht="15" hidden="false" customHeight="false" outlineLevel="0" collapsed="false">
      <c r="A62" s="2" t="n">
        <v>47</v>
      </c>
      <c r="B62" s="2" t="n">
        <v>0.86225143</v>
      </c>
      <c r="C62" s="2"/>
      <c r="D62" s="2" t="n">
        <v>0.700814488</v>
      </c>
      <c r="E62" s="2" t="n">
        <f aca="false">IF(E$7=E$5,E$6,IF(NORMSDIST(E$9*SQRT($C$11)*NORMSINV($B62)+SQRT(1-E$9^2*$C$11)*NORMSINV(D62))&lt;E$8,E$5+SQRT(NORMSDIST(E$9*SQRT($C$11)*NORMSINV($B62)+SQRT(1-E$9^2*$C$11)*NORMSINV(D62))*(E$7-E$5)*(E$6-E$5)),E$7-SQRT((1-NORMSDIST(E$9*SQRT($C$11)*NORMSINV($B62)+SQRT(1-E$9^2*$C$11)*NORMSINV(D62)))*(E$7-E$5)*(E$7-E$6))))</f>
        <v>0.0573907139435306</v>
      </c>
      <c r="F62" s="2" t="n">
        <v>0.082676882</v>
      </c>
      <c r="G62" s="2" t="n">
        <f aca="false">IF(G$7=G$5,G$6,IF(NORMSDIST(G$9*SQRT($C$11)*NORMSINV($B62)+SQRT(1-G$9^2*$C$11)*NORMSINV(F62))&lt;G$8,G$5+SQRT(NORMSDIST(G$9*SQRT($C$11)*NORMSINV($B62)+SQRT(1-G$9^2*$C$11)*NORMSINV(F62))*(G$7-G$5)*(G$6-G$5)),G$7-SQRT((1-NORMSDIST(G$9*SQRT($C$11)*NORMSINV($B62)+SQRT(1-G$9^2*$C$11)*NORMSINV(F62)))*(G$7-G$5)*(G$7-G$6))))</f>
        <v>0.0525526764184048</v>
      </c>
      <c r="H62" s="2" t="n">
        <v>0.095276051</v>
      </c>
      <c r="I62" s="2" t="n">
        <f aca="false">IF(I$7=I$5,I$6,IF(NORMSDIST(I$9*SQRT($C$11)*NORMSINV($B62)+SQRT(1-I$9^2*$C$11)*NORMSINV(H62))&lt;I$8,I$5+SQRT(NORMSDIST(I$9*SQRT($C$11)*NORMSINV($B62)+SQRT(1-I$9^2*$C$11)*NORMSINV(H62))*(I$7-I$5)*(I$6-I$5)),I$7-SQRT((1-NORMSDIST(I$9*SQRT($C$11)*NORMSINV($B62)+SQRT(1-I$9^2*$C$11)*NORMSINV(H62)))*(I$7-I$5)*(I$7-I$6))))</f>
        <v>197.271614910692</v>
      </c>
      <c r="J62" s="2" t="n">
        <v>0.594436014</v>
      </c>
      <c r="K62" s="2" t="n">
        <f aca="false">IF(K$7=K$5,K$6,IF(NORMSDIST(K$9*SQRT($C$11)*NORMSINV($B62)+SQRT(1-K$9^2*$C$11)*NORMSINV(J62))&lt;K$8,K$5+SQRT(NORMSDIST(K$9*SQRT($C$11)*NORMSINV($B62)+SQRT(1-K$9^2*$C$11)*NORMSINV(J62))*(K$7-K$5)*(K$6-K$5)),K$7-SQRT((1-NORMSDIST(K$9*SQRT($C$11)*NORMSINV($B62)+SQRT(1-K$9^2*$C$11)*NORMSINV(J62)))*(K$7-K$5)*(K$7-K$6))))</f>
        <v>0.34554803405524</v>
      </c>
      <c r="L62" s="2" t="n">
        <v>0.120886185</v>
      </c>
      <c r="M62" s="2" t="n">
        <f aca="false">IF(M$7=M$5,M$6,IF(NORMSDIST(M$9*SQRT($C$11)*NORMSINV($B62)+SQRT(1-M$9^2*$C$11)*NORMSINV(L62))&lt;M$8,M$5+SQRT(NORMSDIST(M$9*SQRT($C$11)*NORMSINV($B62)+SQRT(1-M$9^2*$C$11)*NORMSINV(L62))*(M$7-M$5)*(M$6-M$5)),M$7-SQRT((1-NORMSDIST(M$9*SQRT($C$11)*NORMSINV($B62)+SQRT(1-M$9^2*$C$11)*NORMSINV(L62)))*(M$7-M$5)*(M$7-M$6))))</f>
        <v>1559.97046822646</v>
      </c>
      <c r="N62" s="2" t="n">
        <v>0.905205906</v>
      </c>
      <c r="O62" s="2" t="n">
        <f aca="false">IF(O$7=O$5,O$6,IF(NORMSDIST(O$9*SQRT($C$11)*NORMSINV($B62)+SQRT(1-O$9^2*$C$11)*NORMSINV(N62))&lt;O$8,O$5+SQRT(NORMSDIST(O$9*SQRT($C$11)*NORMSINV($B62)+SQRT(1-O$9^2*$C$11)*NORMSINV(N62))*(O$7-O$5)*(O$6-O$5)),O$7-SQRT((1-NORMSDIST(O$9*SQRT($C$11)*NORMSINV($B62)+SQRT(1-O$9^2*$C$11)*NORMSINV(N62)))*(O$7-O$5)*(O$7-O$6))))</f>
        <v>0.18315222650882</v>
      </c>
      <c r="P62" s="2" t="n">
        <v>0.325561392</v>
      </c>
      <c r="Q62" s="2" t="n">
        <f aca="false">IF(Q$7=Q$5,Q$6,IF(NORMSDIST(Q$9*SQRT($C$11)*NORMSINV($B62)+SQRT(1-Q$9^2*$C$11)*NORMSINV(P62))&lt;Q$8,Q$5+SQRT(NORMSDIST(Q$9*SQRT($C$11)*NORMSINV($B62)+SQRT(1-Q$9^2*$C$11)*NORMSINV(P62))*(Q$7-Q$5)*(Q$6-Q$5)),Q$7-SQRT((1-NORMSDIST(Q$9*SQRT($C$11)*NORMSINV($B62)+SQRT(1-Q$9^2*$C$11)*NORMSINV(P62)))*(Q$7-Q$5)*(Q$7-Q$6))))</f>
        <v>0.0722768718186878</v>
      </c>
      <c r="R62" s="2" t="n">
        <v>0.138181434</v>
      </c>
      <c r="S62" s="2" t="n">
        <f aca="false">IF(S$7=S$5,S$6,IF(NORMSDIST(S$9*SQRT($C$11)*NORMSINV($B62)+SQRT(1-S$9^2*$C$11)*NORMSINV(R62))&lt;S$8,S$5+SQRT(NORMSDIST(S$9*SQRT($C$11)*NORMSINV($B62)+SQRT(1-S$9^2*$C$11)*NORMSINV(R62))*(S$7-S$5)*(S$6-S$5)),S$7-SQRT((1-NORMSDIST(S$9*SQRT($C$11)*NORMSINV($B62)+SQRT(1-S$9^2*$C$11)*NORMSINV(R62)))*(S$7-S$5)*(S$7-S$6))))</f>
        <v>0.468513113960181</v>
      </c>
      <c r="T62" s="2" t="n">
        <v>0.109131744</v>
      </c>
      <c r="U62" s="2" t="n">
        <f aca="false">IF(U$7=U$5,U$6,IF(NORMSDIST(U$9*SQRT($C$11)*NORMSINV($B62)+SQRT(1-U$9^2*$C$11)*NORMSINV(T62))&lt;U$8,U$5+SQRT(NORMSDIST(U$9*SQRT($C$11)*NORMSINV($B62)+SQRT(1-U$9^2*$C$11)*NORMSINV(T62))*(U$7-U$5)*(U$6-U$5)),U$7-SQRT((1-NORMSDIST(U$9*SQRT($C$11)*NORMSINV($B62)+SQRT(1-U$9^2*$C$11)*NORMSINV(T62)))*(U$7-U$5)*(U$7-U$6))))</f>
        <v>0.444917713924392</v>
      </c>
      <c r="V62" s="2" t="n">
        <v>0.38448048</v>
      </c>
      <c r="W62" s="2" t="n">
        <f aca="false">IF(W$7=W$5,W$6,IF(NORMSDIST(W$9*SQRT($C$11)*NORMSINV($B62)+SQRT(1-W$9^2*$C$11)*NORMSINV(V62))&lt;W$8,W$5+SQRT(NORMSDIST(W$9*SQRT($C$11)*NORMSINV($B62)+SQRT(1-W$9^2*$C$11)*NORMSINV(V62))*(W$7-W$5)*(W$6-W$5)),W$7-SQRT((1-NORMSDIST(W$9*SQRT($C$11)*NORMSINV($B62)+SQRT(1-W$9^2*$C$11)*NORMSINV(V62)))*(W$7-W$5)*(W$7-W$6))))</f>
        <v>10.3950504551737</v>
      </c>
      <c r="X62" s="2" t="n">
        <v>0.826990888</v>
      </c>
      <c r="Y62" s="2" t="n">
        <f aca="false">IF(Y$7=Y$5,Y$6,IF(NORMSDIST(Y$9*SQRT($C$11)*NORMSINV($B62)+SQRT(1-Y$9^2*$C$11)*NORMSINV(X62))&lt;Y$8,Y$5+SQRT(NORMSDIST(Y$9*SQRT($C$11)*NORMSINV($B62)+SQRT(1-Y$9^2*$C$11)*NORMSINV(X62))*(Y$7-Y$5)*(Y$6-Y$5)),Y$7-SQRT((1-NORMSDIST(Y$9*SQRT($C$11)*NORMSINV($B62)+SQRT(1-Y$9^2*$C$11)*NORMSINV(X62)))*(Y$7-Y$5)*(Y$7-Y$6))))</f>
        <v>0.705883431272565</v>
      </c>
      <c r="Z62" s="2" t="n">
        <v>0.540340202</v>
      </c>
      <c r="AA62" s="2" t="n">
        <f aca="false">IF(AA$7=AA$5,AA$6,IF(NORMSDIST(AA$9*SQRT($C$11)*NORMSINV($B62)+SQRT(1-AA$9^2*$C$11)*NORMSINV(Z62))&lt;AA$8,AA$5+SQRT(NORMSDIST(AA$9*SQRT($C$11)*NORMSINV($B62)+SQRT(1-AA$9^2*$C$11)*NORMSINV(Z62))*(AA$7-AA$5)*(AA$6-AA$5)),AA$7-SQRT((1-NORMSDIST(AA$9*SQRT($C$11)*NORMSINV($B62)+SQRT(1-AA$9^2*$C$11)*NORMSINV(Z62)))*(AA$7-AA$5)*(AA$7-AA$6))))</f>
        <v>0.737008405962548</v>
      </c>
      <c r="AB62" s="2" t="n">
        <v>0.677831998</v>
      </c>
      <c r="AC62" s="2" t="n">
        <f aca="false">IF(AC$7=AC$5,AC$6,IF(NORMSDIST(AC$9*SQRT($C$11)*NORMSINV($B62)+SQRT(1-AC$9^2*$C$11)*NORMSINV(AB62))&lt;AC$8,AC$5+SQRT(NORMSDIST(AC$9*SQRT($C$11)*NORMSINV($B62)+SQRT(1-AC$9^2*$C$11)*NORMSINV(AB62))*(AC$7-AC$5)*(AC$6-AC$5)),AC$7-SQRT((1-NORMSDIST(AC$9*SQRT($C$11)*NORMSINV($B62)+SQRT(1-AC$9^2*$C$11)*NORMSINV(AB62)))*(AC$7-AC$5)*(AC$7-AC$6))))</f>
        <v>10.2017889760133</v>
      </c>
      <c r="AD62" s="2" t="n">
        <f aca="false">Entrées!$C$8*(1+E62)</f>
        <v>7454.60453330189</v>
      </c>
      <c r="AE62" s="2" t="n">
        <f aca="false">I62*Hypothèses!$J$24/12/Hypothèses!$J$19</f>
        <v>97.865816764828</v>
      </c>
      <c r="AF62" s="2" t="n">
        <f aca="false">Entrées!$C$36*S62*1000</f>
        <v>234.256556980091</v>
      </c>
      <c r="AG62" s="2" t="n">
        <f aca="false">-AF62/W62</f>
        <v>-22.5353939348606</v>
      </c>
      <c r="AH62" s="2" t="n">
        <f aca="false">AD62+AE62+AG62</f>
        <v>7529.93495613186</v>
      </c>
      <c r="AI62" s="2" t="n">
        <f aca="false">Entrées!$C$16-M62+Hypothèses!$J$22*1000-AF62+Hypothèses!$J$23</f>
        <v>22753.7729747935</v>
      </c>
      <c r="AJ62" s="2" t="n">
        <f aca="false">AI62/AH62</f>
        <v>3.02177550103064</v>
      </c>
      <c r="AK62" s="2" t="n">
        <f aca="false">AI62/(AH62+I62*(12-Hypothèses!$J$24)/12/Hypothèses!$J$19)</f>
        <v>2.99398087809093</v>
      </c>
      <c r="AL62" s="2" t="n">
        <f aca="false">(AD62+AG62+I62/Hypothèses!$J$19)*(1+G62)</f>
        <v>7999.2309965943</v>
      </c>
      <c r="AM62" s="2" t="n">
        <f aca="false">Entrées!$C$54*K62/Hypothèses!$J$19</f>
        <v>35.2646277377753</v>
      </c>
      <c r="AN62" s="2" t="n">
        <f aca="false">Y62*1000/AC62</f>
        <v>69.1921223750319</v>
      </c>
      <c r="AO62" s="2" t="n">
        <f aca="false">(Entrées!$C$36*(1-S62)+MAX(0,Entrées!$C$30-Entrées!$C$35-Entrées!$C$36)*U62)*1000</f>
        <v>888.628242514058</v>
      </c>
      <c r="AP62" s="2" t="n">
        <f aca="false">-AO62/W62</f>
        <v>-85.4857074860836</v>
      </c>
      <c r="AQ62" s="2" t="n">
        <f aca="false">AL62+AM62+AN62+AP62</f>
        <v>8018.20203922102</v>
      </c>
      <c r="AR62" s="2" t="n">
        <f aca="false">O62*AQ62-Hypothèses!$J$25/Hypothèses!$J$19</f>
        <v>1449.41639381926</v>
      </c>
      <c r="AS62" s="2" t="n">
        <f aca="false">Entrées!$C$79*(1+Q62)+Hypothèses!$J$20</f>
        <v>1473.43228212874</v>
      </c>
      <c r="AT62" s="2" t="n">
        <f aca="false">AI62-AR62+AS62+Y62*1000-AO62+Hypothèses!$J$23</f>
        <v>22595.0440518614</v>
      </c>
      <c r="AU62" s="2" t="n">
        <f aca="false">AT62/AQ62</f>
        <v>2.81796890890724</v>
      </c>
      <c r="AV62" s="2" t="n">
        <f aca="false">Hypothèses!$J$26*AQ62-AT62</f>
        <v>1459.56206580163</v>
      </c>
      <c r="AW62" s="2" t="n">
        <f aca="false">IF(AC62&gt;Hypothèses!$J$26,MAX(0,AV62)/(1-Hypothèses!$J$26/AC62),0)</f>
        <v>2067.5618575185</v>
      </c>
      <c r="AX62" s="2" t="n">
        <f aca="false">AQ62-Entrées!$C$17*1000</f>
        <v>18.2020392210225</v>
      </c>
      <c r="AY62" s="2" t="n">
        <f aca="false">AI62+(Entrées!$C$244-Entrées!$C$13)</f>
        <v>28500.7729747935</v>
      </c>
      <c r="AZ62" s="2" t="n">
        <f aca="false">AA62*AH62</f>
        <v>5549.62535902041</v>
      </c>
      <c r="BA62" s="2" t="n">
        <f aca="false">AZ62/AY62</f>
        <v>0.19471841566994</v>
      </c>
      <c r="BB62" s="2" t="n">
        <f aca="false">AZ62/(Entrées!$C$151/100)-AY62</f>
        <v>2330.47901976438</v>
      </c>
      <c r="BC62" s="2" t="n">
        <f aca="false">AT62+(Entrées!$C$244-Entrées!$C$13)</f>
        <v>28342.0440518614</v>
      </c>
      <c r="BD62" s="2" t="n">
        <f aca="false">AA62*AQ62</f>
        <v>5909.48230361194</v>
      </c>
      <c r="BE62" s="2" t="n">
        <f aca="false">BD62/BC62</f>
        <v>0.208505861214474</v>
      </c>
      <c r="BF62" s="2" t="n">
        <f aca="false">BD62/(Entrées!$C$151/100)-BC62</f>
        <v>4488.41319042711</v>
      </c>
      <c r="BG62" s="2" t="n">
        <f aca="false">MIN(AV62,BF62)</f>
        <v>1459.56206580163</v>
      </c>
      <c r="BH62" s="2" t="n">
        <f aca="false">IF(AC62&gt;Hypothèses!$J$26,MAX(0,BG62)/(1-Hypothèses!$J$26/AC62),0)</f>
        <v>2067.5618575185</v>
      </c>
    </row>
    <row r="63" customFormat="false" ht="15" hidden="false" customHeight="false" outlineLevel="0" collapsed="false">
      <c r="A63" s="2" t="n">
        <v>48</v>
      </c>
      <c r="B63" s="2" t="n">
        <v>0.462190755</v>
      </c>
      <c r="C63" s="2"/>
      <c r="D63" s="2" t="n">
        <v>0.437599081</v>
      </c>
      <c r="E63" s="2" t="n">
        <f aca="false">IF(E$7=E$5,E$6,IF(NORMSDIST(E$9*SQRT($C$11)*NORMSINV($B63)+SQRT(1-E$9^2*$C$11)*NORMSINV(D63))&lt;E$8,E$5+SQRT(NORMSDIST(E$9*SQRT($C$11)*NORMSINV($B63)+SQRT(1-E$9^2*$C$11)*NORMSINV(D63))*(E$7-E$5)*(E$6-E$5)),E$7-SQRT((1-NORMSDIST(E$9*SQRT($C$11)*NORMSINV($B63)+SQRT(1-E$9^2*$C$11)*NORMSINV(D63)))*(E$7-E$5)*(E$7-E$6))))</f>
        <v>0.0546255480384156</v>
      </c>
      <c r="F63" s="2" t="n">
        <v>0.488366299</v>
      </c>
      <c r="G63" s="2" t="n">
        <f aca="false">IF(G$7=G$5,G$6,IF(NORMSDIST(G$9*SQRT($C$11)*NORMSINV($B63)+SQRT(1-G$9^2*$C$11)*NORMSINV(F63))&lt;G$8,G$5+SQRT(NORMSDIST(G$9*SQRT($C$11)*NORMSINV($B63)+SQRT(1-G$9^2*$C$11)*NORMSINV(F63))*(G$7-G$5)*(G$6-G$5)),G$7-SQRT((1-NORMSDIST(G$9*SQRT($C$11)*NORMSINV($B63)+SQRT(1-G$9^2*$C$11)*NORMSINV(F63)))*(G$7-G$5)*(G$7-G$6))))</f>
        <v>0.0544977336846568</v>
      </c>
      <c r="H63" s="2" t="n">
        <v>0.346468018</v>
      </c>
      <c r="I63" s="2" t="n">
        <f aca="false">IF(I$7=I$5,I$6,IF(NORMSDIST(I$9*SQRT($C$11)*NORMSINV($B63)+SQRT(1-I$9^2*$C$11)*NORMSINV(H63))&lt;I$8,I$5+SQRT(NORMSDIST(I$9*SQRT($C$11)*NORMSINV($B63)+SQRT(1-I$9^2*$C$11)*NORMSINV(H63))*(I$7-I$5)*(I$6-I$5)),I$7-SQRT((1-NORMSDIST(I$9*SQRT($C$11)*NORMSINV($B63)+SQRT(1-I$9^2*$C$11)*NORMSINV(H63)))*(I$7-I$5)*(I$7-I$6))))</f>
        <v>196.904923713486</v>
      </c>
      <c r="J63" s="2" t="n">
        <v>0.539433622</v>
      </c>
      <c r="K63" s="2" t="n">
        <f aca="false">IF(K$7=K$5,K$6,IF(NORMSDIST(K$9*SQRT($C$11)*NORMSINV($B63)+SQRT(1-K$9^2*$C$11)*NORMSINV(J63))&lt;K$8,K$5+SQRT(NORMSDIST(K$9*SQRT($C$11)*NORMSINV($B63)+SQRT(1-K$9^2*$C$11)*NORMSINV(J63))*(K$7-K$5)*(K$6-K$5)),K$7-SQRT((1-NORMSDIST(K$9*SQRT($C$11)*NORMSINV($B63)+SQRT(1-K$9^2*$C$11)*NORMSINV(J63)))*(K$7-K$5)*(K$7-K$6))))</f>
        <v>0.251667103167117</v>
      </c>
      <c r="L63" s="2" t="n">
        <v>0.005425537</v>
      </c>
      <c r="M63" s="2" t="n">
        <f aca="false">IF(M$7=M$5,M$6,IF(NORMSDIST(M$9*SQRT($C$11)*NORMSINV($B63)+SQRT(1-M$9^2*$C$11)*NORMSINV(L63))&lt;M$8,M$5+SQRT(NORMSDIST(M$9*SQRT($C$11)*NORMSINV($B63)+SQRT(1-M$9^2*$C$11)*NORMSINV(L63))*(M$7-M$5)*(M$6-M$5)),M$7-SQRT((1-NORMSDIST(M$9*SQRT($C$11)*NORMSINV($B63)+SQRT(1-M$9^2*$C$11)*NORMSINV(L63)))*(M$7-M$5)*(M$7-M$6))))</f>
        <v>1361.04023439903</v>
      </c>
      <c r="N63" s="2" t="n">
        <v>0.006040842</v>
      </c>
      <c r="O63" s="2" t="n">
        <f aca="false">IF(O$7=O$5,O$6,IF(NORMSDIST(O$9*SQRT($C$11)*NORMSINV($B63)+SQRT(1-O$9^2*$C$11)*NORMSINV(N63))&lt;O$8,O$5+SQRT(NORMSDIST(O$9*SQRT($C$11)*NORMSINV($B63)+SQRT(1-O$9^2*$C$11)*NORMSINV(N63))*(O$7-O$5)*(O$6-O$5)),O$7-SQRT((1-NORMSDIST(O$9*SQRT($C$11)*NORMSINV($B63)+SQRT(1-O$9^2*$C$11)*NORMSINV(N63)))*(O$7-O$5)*(O$7-O$6))))</f>
        <v>0.145685772025398</v>
      </c>
      <c r="P63" s="2" t="n">
        <v>0.894594641</v>
      </c>
      <c r="Q63" s="2" t="n">
        <f aca="false">IF(Q$7=Q$5,Q$6,IF(NORMSDIST(Q$9*SQRT($C$11)*NORMSINV($B63)+SQRT(1-Q$9^2*$C$11)*NORMSINV(P63))&lt;Q$8,Q$5+SQRT(NORMSDIST(Q$9*SQRT($C$11)*NORMSINV($B63)+SQRT(1-Q$9^2*$C$11)*NORMSINV(P63))*(Q$7-Q$5)*(Q$6-Q$5)),Q$7-SQRT((1-NORMSDIST(Q$9*SQRT($C$11)*NORMSINV($B63)+SQRT(1-Q$9^2*$C$11)*NORMSINV(P63)))*(Q$7-Q$5)*(Q$7-Q$6))))</f>
        <v>0.101634348669323</v>
      </c>
      <c r="R63" s="2" t="n">
        <v>0.51059181</v>
      </c>
      <c r="S63" s="2" t="n">
        <f aca="false">IF(S$7=S$5,S$6,IF(NORMSDIST(S$9*SQRT($C$11)*NORMSINV($B63)+SQRT(1-S$9^2*$C$11)*NORMSINV(R63))&lt;S$8,S$5+SQRT(NORMSDIST(S$9*SQRT($C$11)*NORMSINV($B63)+SQRT(1-S$9^2*$C$11)*NORMSINV(R63))*(S$7-S$5)*(S$6-S$5)),S$7-SQRT((1-NORMSDIST(S$9*SQRT($C$11)*NORMSINV($B63)+SQRT(1-S$9^2*$C$11)*NORMSINV(R63)))*(S$7-S$5)*(S$7-S$6))))</f>
        <v>0.492067502164274</v>
      </c>
      <c r="T63" s="2" t="n">
        <v>0.877345538</v>
      </c>
      <c r="U63" s="2" t="n">
        <f aca="false">IF(U$7=U$5,U$6,IF(NORMSDIST(U$9*SQRT($C$11)*NORMSINV($B63)+SQRT(1-U$9^2*$C$11)*NORMSINV(T63))&lt;U$8,U$5+SQRT(NORMSDIST(U$9*SQRT($C$11)*NORMSINV($B63)+SQRT(1-U$9^2*$C$11)*NORMSINV(T63))*(U$7-U$5)*(U$6-U$5)),U$7-SQRT((1-NORMSDIST(U$9*SQRT($C$11)*NORMSINV($B63)+SQRT(1-U$9^2*$C$11)*NORMSINV(T63)))*(U$7-U$5)*(U$7-U$6))))</f>
        <v>0.683393681724439</v>
      </c>
      <c r="V63" s="2" t="n">
        <v>0.913005902</v>
      </c>
      <c r="W63" s="2" t="n">
        <f aca="false">IF(W$7=W$5,W$6,IF(NORMSDIST(W$9*SQRT($C$11)*NORMSINV($B63)+SQRT(1-W$9^2*$C$11)*NORMSINV(V63))&lt;W$8,W$5+SQRT(NORMSDIST(W$9*SQRT($C$11)*NORMSINV($B63)+SQRT(1-W$9^2*$C$11)*NORMSINV(V63))*(W$7-W$5)*(W$6-W$5)),W$7-SQRT((1-NORMSDIST(W$9*SQRT($C$11)*NORMSINV($B63)+SQRT(1-W$9^2*$C$11)*NORMSINV(V63)))*(W$7-W$5)*(W$7-W$6))))</f>
        <v>10.8674040764916</v>
      </c>
      <c r="X63" s="2" t="n">
        <v>0.1474493</v>
      </c>
      <c r="Y63" s="2" t="n">
        <f aca="false">IF(Y$7=Y$5,Y$6,IF(NORMSDIST(Y$9*SQRT($C$11)*NORMSINV($B63)+SQRT(1-Y$9^2*$C$11)*NORMSINV(X63))&lt;Y$8,Y$5+SQRT(NORMSDIST(Y$9*SQRT($C$11)*NORMSINV($B63)+SQRT(1-Y$9^2*$C$11)*NORMSINV(X63))*(Y$7-Y$5)*(Y$6-Y$5)),Y$7-SQRT((1-NORMSDIST(Y$9*SQRT($C$11)*NORMSINV($B63)+SQRT(1-Y$9^2*$C$11)*NORMSINV(X63)))*(Y$7-Y$5)*(Y$7-Y$6))))</f>
        <v>0.271522835135463</v>
      </c>
      <c r="Z63" s="2" t="n">
        <v>0.690092163</v>
      </c>
      <c r="AA63" s="2" t="n">
        <f aca="false">IF(AA$7=AA$5,AA$6,IF(NORMSDIST(AA$9*SQRT($C$11)*NORMSINV($B63)+SQRT(1-AA$9^2*$C$11)*NORMSINV(Z63))&lt;AA$8,AA$5+SQRT(NORMSDIST(AA$9*SQRT($C$11)*NORMSINV($B63)+SQRT(1-AA$9^2*$C$11)*NORMSINV(Z63))*(AA$7-AA$5)*(AA$6-AA$5)),AA$7-SQRT((1-NORMSDIST(AA$9*SQRT($C$11)*NORMSINV($B63)+SQRT(1-AA$9^2*$C$11)*NORMSINV(Z63)))*(AA$7-AA$5)*(AA$7-AA$6))))</f>
        <v>0.731977281886386</v>
      </c>
      <c r="AB63" s="2" t="n">
        <v>0.633634204</v>
      </c>
      <c r="AC63" s="2" t="n">
        <f aca="false">IF(AC$7=AC$5,AC$6,IF(NORMSDIST(AC$9*SQRT($C$11)*NORMSINV($B63)+SQRT(1-AC$9^2*$C$11)*NORMSINV(AB63))&lt;AC$8,AC$5+SQRT(NORMSDIST(AC$9*SQRT($C$11)*NORMSINV($B63)+SQRT(1-AC$9^2*$C$11)*NORMSINV(AB63))*(AC$7-AC$5)*(AC$6-AC$5)),AC$7-SQRT((1-NORMSDIST(AC$9*SQRT($C$11)*NORMSINV($B63)+SQRT(1-AC$9^2*$C$11)*NORMSINV(AB63)))*(AC$7-AC$5)*(AC$7-AC$6))))</f>
        <v>9.64052833369864</v>
      </c>
      <c r="AD63" s="2" t="n">
        <f aca="false">Entrées!$C$8*(1+E63)</f>
        <v>7435.11011367083</v>
      </c>
      <c r="AE63" s="2" t="n">
        <f aca="false">I63*Hypothèses!$J$24/12/Hypothèses!$J$19</f>
        <v>97.6839024355352</v>
      </c>
      <c r="AF63" s="2" t="n">
        <f aca="false">Entrées!$C$36*S63*1000</f>
        <v>246.033751082137</v>
      </c>
      <c r="AG63" s="2" t="n">
        <f aca="false">-AF63/W63</f>
        <v>-22.63960641846</v>
      </c>
      <c r="AH63" s="2" t="n">
        <f aca="false">AD63+AE63+AG63</f>
        <v>7510.15440968791</v>
      </c>
      <c r="AI63" s="2" t="n">
        <f aca="false">Entrées!$C$16-M63+Hypothèses!$J$22*1000-AF63+Hypothèses!$J$23</f>
        <v>22940.9260145188</v>
      </c>
      <c r="AJ63" s="2" t="n">
        <f aca="false">AI63/AH63</f>
        <v>3.05465437367381</v>
      </c>
      <c r="AK63" s="2" t="n">
        <f aca="false">AI63/(AH63+I63*(12-Hypothèses!$J$24)/12/Hypothèses!$J$19)</f>
        <v>3.02653588804209</v>
      </c>
      <c r="AL63" s="2" t="n">
        <f aca="false">(AD63+AG63+I63/Hypothèses!$J$19)*(1+G63)</f>
        <v>7993.01755730612</v>
      </c>
      <c r="AM63" s="2" t="n">
        <f aca="false">Entrées!$C$54*K63/Hypothèses!$J$19</f>
        <v>25.6836845600862</v>
      </c>
      <c r="AN63" s="2" t="n">
        <f aca="false">Y63*1000/AC63</f>
        <v>28.1647255976989</v>
      </c>
      <c r="AO63" s="2" t="n">
        <f aca="false">(Entrées!$C$36*(1-S63)+MAX(0,Entrées!$C$30-Entrées!$C$35-Entrées!$C$36)*U63)*1000</f>
        <v>1210.71740333208</v>
      </c>
      <c r="AP63" s="2" t="n">
        <f aca="false">-AO63/W63</f>
        <v>-111.408151828191</v>
      </c>
      <c r="AQ63" s="2" t="n">
        <f aca="false">AL63+AM63+AN63+AP63</f>
        <v>7935.45781563571</v>
      </c>
      <c r="AR63" s="2" t="n">
        <f aca="false">O63*AQ63-Hypothèses!$J$25/Hypothèses!$J$19</f>
        <v>1136.94813598424</v>
      </c>
      <c r="AS63" s="2" t="n">
        <f aca="false">Entrées!$C$79*(1+Q63)+Hypothèses!$J$20</f>
        <v>1505.69614918759</v>
      </c>
      <c r="AT63" s="2" t="n">
        <f aca="false">AI63-AR63+AS63+Y63*1000-AO63+Hypothèses!$J$23</f>
        <v>22370.4794595256</v>
      </c>
      <c r="AU63" s="2" t="n">
        <f aca="false">AT63/AQ63</f>
        <v>2.81905341560101</v>
      </c>
      <c r="AV63" s="2" t="n">
        <f aca="false">Hypothèses!$J$26*AQ63-AT63</f>
        <v>1435.89398738157</v>
      </c>
      <c r="AW63" s="2" t="n">
        <f aca="false">IF(AC63&gt;Hypothèses!$J$26,MAX(0,AV63)/(1-Hypothèses!$J$26/AC63),0)</f>
        <v>2084.58965520736</v>
      </c>
      <c r="AX63" s="2" t="n">
        <f aca="false">AQ63-Entrées!$C$17*1000</f>
        <v>-64.542184364288</v>
      </c>
      <c r="AY63" s="2" t="n">
        <f aca="false">AI63+(Entrées!$C$244-Entrées!$C$13)</f>
        <v>28687.9260145188</v>
      </c>
      <c r="AZ63" s="2" t="n">
        <f aca="false">AA63*AH63</f>
        <v>5497.26241135041</v>
      </c>
      <c r="BA63" s="2" t="n">
        <f aca="false">AZ63/AY63</f>
        <v>0.191622859337</v>
      </c>
      <c r="BB63" s="2" t="n">
        <f aca="false">AZ63/(Entrées!$C$151/100)-AY63</f>
        <v>1852.42071520568</v>
      </c>
      <c r="BC63" s="2" t="n">
        <f aca="false">AT63+(Entrées!$C$244-Entrées!$C$13)</f>
        <v>28117.4794595256</v>
      </c>
      <c r="BD63" s="2" t="n">
        <f aca="false">AA63*AQ63</f>
        <v>5808.57484241311</v>
      </c>
      <c r="BE63" s="2" t="n">
        <f aca="false">BD63/BC63</f>
        <v>0.206582345006223</v>
      </c>
      <c r="BF63" s="2" t="n">
        <f aca="false">BD63/(Entrées!$C$151/100)-BC63</f>
        <v>4152.38077610282</v>
      </c>
      <c r="BG63" s="2" t="n">
        <f aca="false">MIN(AV63,BF63)</f>
        <v>1435.89398738157</v>
      </c>
      <c r="BH63" s="2" t="n">
        <f aca="false">IF(AC63&gt;Hypothèses!$J$26,MAX(0,BG63)/(1-Hypothèses!$J$26/AC63),0)</f>
        <v>2084.58965520736</v>
      </c>
    </row>
    <row r="64" customFormat="false" ht="15" hidden="false" customHeight="false" outlineLevel="0" collapsed="false">
      <c r="A64" s="2" t="n">
        <v>49</v>
      </c>
      <c r="B64" s="2" t="n">
        <v>0.736004913</v>
      </c>
      <c r="C64" s="2"/>
      <c r="D64" s="2" t="n">
        <v>0.823053345</v>
      </c>
      <c r="E64" s="2" t="n">
        <f aca="false">IF(E$7=E$5,E$6,IF(NORMSDIST(E$9*SQRT($C$11)*NORMSINV($B64)+SQRT(1-E$9^2*$C$11)*NORMSINV(D64))&lt;E$8,E$5+SQRT(NORMSDIST(E$9*SQRT($C$11)*NORMSINV($B64)+SQRT(1-E$9^2*$C$11)*NORMSINV(D64))*(E$7-E$5)*(E$6-E$5)),E$7-SQRT((1-NORMSDIST(E$9*SQRT($C$11)*NORMSINV($B64)+SQRT(1-E$9^2*$C$11)*NORMSINV(D64)))*(E$7-E$5)*(E$7-E$6))))</f>
        <v>0.0574314571314897</v>
      </c>
      <c r="F64" s="2" t="n">
        <v>0.059778537</v>
      </c>
      <c r="G64" s="2" t="n">
        <f aca="false">IF(G$7=G$5,G$6,IF(NORMSDIST(G$9*SQRT($C$11)*NORMSINV($B64)+SQRT(1-G$9^2*$C$11)*NORMSINV(F64))&lt;G$8,G$5+SQRT(NORMSDIST(G$9*SQRT($C$11)*NORMSINV($B64)+SQRT(1-G$9^2*$C$11)*NORMSINV(F64))*(G$7-G$5)*(G$6-G$5)),G$7-SQRT((1-NORMSDIST(G$9*SQRT($C$11)*NORMSINV($B64)+SQRT(1-G$9^2*$C$11)*NORMSINV(F64)))*(G$7-G$5)*(G$7-G$6))))</f>
        <v>0.0497196755294924</v>
      </c>
      <c r="H64" s="2" t="n">
        <v>0.619539493</v>
      </c>
      <c r="I64" s="2" t="n">
        <f aca="false">IF(I$7=I$5,I$6,IF(NORMSDIST(I$9*SQRT($C$11)*NORMSINV($B64)+SQRT(1-I$9^2*$C$11)*NORMSINV(H64))&lt;I$8,I$5+SQRT(NORMSDIST(I$9*SQRT($C$11)*NORMSINV($B64)+SQRT(1-I$9^2*$C$11)*NORMSINV(H64))*(I$7-I$5)*(I$6-I$5)),I$7-SQRT((1-NORMSDIST(I$9*SQRT($C$11)*NORMSINV($B64)+SQRT(1-I$9^2*$C$11)*NORMSINV(H64)))*(I$7-I$5)*(I$7-I$6))))</f>
        <v>205.501055121059</v>
      </c>
      <c r="J64" s="2" t="n">
        <v>0.115931329</v>
      </c>
      <c r="K64" s="2" t="n">
        <f aca="false">IF(K$7=K$5,K$6,IF(NORMSDIST(K$9*SQRT($C$11)*NORMSINV($B64)+SQRT(1-K$9^2*$C$11)*NORMSINV(J64))&lt;K$8,K$5+SQRT(NORMSDIST(K$9*SQRT($C$11)*NORMSINV($B64)+SQRT(1-K$9^2*$C$11)*NORMSINV(J64))*(K$7-K$5)*(K$6-K$5)),K$7-SQRT((1-NORMSDIST(K$9*SQRT($C$11)*NORMSINV($B64)+SQRT(1-K$9^2*$C$11)*NORMSINV(J64)))*(K$7-K$5)*(K$7-K$6))))</f>
        <v>0.19336194419349</v>
      </c>
      <c r="L64" s="2" t="n">
        <v>0.859249083</v>
      </c>
      <c r="M64" s="2" t="n">
        <f aca="false">IF(M$7=M$5,M$6,IF(NORMSDIST(M$9*SQRT($C$11)*NORMSINV($B64)+SQRT(1-M$9^2*$C$11)*NORMSINV(L64))&lt;M$8,M$5+SQRT(NORMSDIST(M$9*SQRT($C$11)*NORMSINV($B64)+SQRT(1-M$9^2*$C$11)*NORMSINV(L64))*(M$7-M$5)*(M$6-M$5)),M$7-SQRT((1-NORMSDIST(M$9*SQRT($C$11)*NORMSINV($B64)+SQRT(1-M$9^2*$C$11)*NORMSINV(L64)))*(M$7-M$5)*(M$7-M$6))))</f>
        <v>1698.8645251985</v>
      </c>
      <c r="N64" s="2" t="n">
        <v>0.374750832</v>
      </c>
      <c r="O64" s="2" t="n">
        <f aca="false">IF(O$7=O$5,O$6,IF(NORMSDIST(O$9*SQRT($C$11)*NORMSINV($B64)+SQRT(1-O$9^2*$C$11)*NORMSINV(N64))&lt;O$8,O$5+SQRT(NORMSDIST(O$9*SQRT($C$11)*NORMSINV($B64)+SQRT(1-O$9^2*$C$11)*NORMSINV(N64))*(O$7-O$5)*(O$6-O$5)),O$7-SQRT((1-NORMSDIST(O$9*SQRT($C$11)*NORMSINV($B64)+SQRT(1-O$9^2*$C$11)*NORMSINV(N64)))*(O$7-O$5)*(O$7-O$6))))</f>
        <v>0.168354356516507</v>
      </c>
      <c r="P64" s="2" t="n">
        <v>0.841397286</v>
      </c>
      <c r="Q64" s="2" t="n">
        <f aca="false">IF(Q$7=Q$5,Q$6,IF(NORMSDIST(Q$9*SQRT($C$11)*NORMSINV($B64)+SQRT(1-Q$9^2*$C$11)*NORMSINV(P64))&lt;Q$8,Q$5+SQRT(NORMSDIST(Q$9*SQRT($C$11)*NORMSINV($B64)+SQRT(1-Q$9^2*$C$11)*NORMSINV(P64))*(Q$7-Q$5)*(Q$6-Q$5)),Q$7-SQRT((1-NORMSDIST(Q$9*SQRT($C$11)*NORMSINV($B64)+SQRT(1-Q$9^2*$C$11)*NORMSINV(P64)))*(Q$7-Q$5)*(Q$7-Q$6))))</f>
        <v>0.097471602702367</v>
      </c>
      <c r="R64" s="2" t="n">
        <v>0.748217385</v>
      </c>
      <c r="S64" s="2" t="n">
        <f aca="false">IF(S$7=S$5,S$6,IF(NORMSDIST(S$9*SQRT($C$11)*NORMSINV($B64)+SQRT(1-S$9^2*$C$11)*NORMSINV(R64))&lt;S$8,S$5+SQRT(NORMSDIST(S$9*SQRT($C$11)*NORMSINV($B64)+SQRT(1-S$9^2*$C$11)*NORMSINV(R64))*(S$7-S$5)*(S$6-S$5)),S$7-SQRT((1-NORMSDIST(S$9*SQRT($C$11)*NORMSINV($B64)+SQRT(1-S$9^2*$C$11)*NORMSINV(R64)))*(S$7-S$5)*(S$7-S$6))))</f>
        <v>0.70041179330563</v>
      </c>
      <c r="T64" s="2" t="n">
        <v>0.021553368</v>
      </c>
      <c r="U64" s="2" t="n">
        <f aca="false">IF(U$7=U$5,U$6,IF(NORMSDIST(U$9*SQRT($C$11)*NORMSINV($B64)+SQRT(1-U$9^2*$C$11)*NORMSINV(T64))&lt;U$8,U$5+SQRT(NORMSDIST(U$9*SQRT($C$11)*NORMSINV($B64)+SQRT(1-U$9^2*$C$11)*NORMSINV(T64))*(U$7-U$5)*(U$6-U$5)),U$7-SQRT((1-NORMSDIST(U$9*SQRT($C$11)*NORMSINV($B64)+SQRT(1-U$9^2*$C$11)*NORMSINV(T64)))*(U$7-U$5)*(U$7-U$6))))</f>
        <v>0.24645313410682</v>
      </c>
      <c r="V64" s="2" t="n">
        <v>0.477911753</v>
      </c>
      <c r="W64" s="2" t="n">
        <f aca="false">IF(W$7=W$5,W$6,IF(NORMSDIST(W$9*SQRT($C$11)*NORMSINV($B64)+SQRT(1-W$9^2*$C$11)*NORMSINV(V64))&lt;W$8,W$5+SQRT(NORMSDIST(W$9*SQRT($C$11)*NORMSINV($B64)+SQRT(1-W$9^2*$C$11)*NORMSINV(V64))*(W$7-W$5)*(W$6-W$5)),W$7-SQRT((1-NORMSDIST(W$9*SQRT($C$11)*NORMSINV($B64)+SQRT(1-W$9^2*$C$11)*NORMSINV(V64)))*(W$7-W$5)*(W$7-W$6))))</f>
        <v>10.3009691094225</v>
      </c>
      <c r="X64" s="2" t="n">
        <v>0.475583614</v>
      </c>
      <c r="Y64" s="2" t="n">
        <f aca="false">IF(Y$7=Y$5,Y$6,IF(NORMSDIST(Y$9*SQRT($C$11)*NORMSINV($B64)+SQRT(1-Y$9^2*$C$11)*NORMSINV(X64))&lt;Y$8,Y$5+SQRT(NORMSDIST(Y$9*SQRT($C$11)*NORMSINV($B64)+SQRT(1-Y$9^2*$C$11)*NORMSINV(X64))*(Y$7-Y$5)*(Y$6-Y$5)),Y$7-SQRT((1-NORMSDIST(Y$9*SQRT($C$11)*NORMSINV($B64)+SQRT(1-Y$9^2*$C$11)*NORMSINV(X64)))*(Y$7-Y$5)*(Y$7-Y$6))))</f>
        <v>0.487639013000396</v>
      </c>
      <c r="Z64" s="2" t="n">
        <v>0.624503005</v>
      </c>
      <c r="AA64" s="2" t="n">
        <f aca="false">IF(AA$7=AA$5,AA$6,IF(NORMSDIST(AA$9*SQRT($C$11)*NORMSINV($B64)+SQRT(1-AA$9^2*$C$11)*NORMSINV(Z64))&lt;AA$8,AA$5+SQRT(NORMSDIST(AA$9*SQRT($C$11)*NORMSINV($B64)+SQRT(1-AA$9^2*$C$11)*NORMSINV(Z64))*(AA$7-AA$5)*(AA$6-AA$5)),AA$7-SQRT((1-NORMSDIST(AA$9*SQRT($C$11)*NORMSINV($B64)+SQRT(1-AA$9^2*$C$11)*NORMSINV(Z64)))*(AA$7-AA$5)*(AA$7-AA$6))))</f>
        <v>0.735607185098831</v>
      </c>
      <c r="AB64" s="2" t="n">
        <v>0.614364563</v>
      </c>
      <c r="AC64" s="2" t="n">
        <f aca="false">IF(AC$7=AC$5,AC$6,IF(NORMSDIST(AC$9*SQRT($C$11)*NORMSINV($B64)+SQRT(1-AC$9^2*$C$11)*NORMSINV(AB64))&lt;AC$8,AC$5+SQRT(NORMSDIST(AC$9*SQRT($C$11)*NORMSINV($B64)+SQRT(1-AC$9^2*$C$11)*NORMSINV(AB64))*(AC$7-AC$5)*(AC$6-AC$5)),AC$7-SQRT((1-NORMSDIST(AC$9*SQRT($C$11)*NORMSINV($B64)+SQRT(1-AC$9^2*$C$11)*NORMSINV(AB64)))*(AC$7-AC$5)*(AC$7-AC$6))))</f>
        <v>9.92760500352159</v>
      </c>
      <c r="AD64" s="2" t="n">
        <f aca="false">Entrées!$C$8*(1+E64)</f>
        <v>7454.891772777</v>
      </c>
      <c r="AE64" s="2" t="n">
        <f aca="false">I64*Hypothèses!$J$24/12/Hypothèses!$J$19</f>
        <v>101.948415713843</v>
      </c>
      <c r="AF64" s="2" t="n">
        <f aca="false">Entrées!$C$36*S64*1000</f>
        <v>350.205896652815</v>
      </c>
      <c r="AG64" s="2" t="n">
        <f aca="false">-AF64/W64</f>
        <v>-33.9973737356882</v>
      </c>
      <c r="AH64" s="2" t="n">
        <f aca="false">AD64+AE64+AG64</f>
        <v>7522.84281475516</v>
      </c>
      <c r="AI64" s="2" t="n">
        <f aca="false">Entrées!$C$16-M64+Hypothèses!$J$22*1000-AF64+Hypothèses!$J$23</f>
        <v>22498.9295781487</v>
      </c>
      <c r="AJ64" s="2" t="n">
        <f aca="false">AI64/AH64</f>
        <v>2.99074832907843</v>
      </c>
      <c r="AK64" s="2" t="n">
        <f aca="false">AI64/(AH64+I64*(12-Hypothèses!$J$24)/12/Hypothèses!$J$19)</f>
        <v>2.9620757591936</v>
      </c>
      <c r="AL64" s="2" t="n">
        <f aca="false">(AD64+AG64+I64/Hypothèses!$J$19)*(1+G64)</f>
        <v>7973.31701703836</v>
      </c>
      <c r="AM64" s="2" t="n">
        <f aca="false">Entrées!$C$54*K64/Hypothèses!$J$19</f>
        <v>19.7333982792848</v>
      </c>
      <c r="AN64" s="2" t="n">
        <f aca="false">Y64*1000/AC64</f>
        <v>49.1195019168689</v>
      </c>
      <c r="AO64" s="2" t="n">
        <f aca="false">(Entrées!$C$36*(1-S64)+MAX(0,Entrées!$C$30-Entrées!$C$35-Entrées!$C$36)*U64)*1000</f>
        <v>494.828491096734</v>
      </c>
      <c r="AP64" s="2" t="n">
        <f aca="false">-AO64/W64</f>
        <v>-48.0370813503465</v>
      </c>
      <c r="AQ64" s="2" t="n">
        <f aca="false">AL64+AM64+AN64+AP64</f>
        <v>7994.13283588417</v>
      </c>
      <c r="AR64" s="2" t="n">
        <f aca="false">O64*AQ64-Hypothèses!$J$25/Hypothèses!$J$19</f>
        <v>1326.71192723113</v>
      </c>
      <c r="AS64" s="2" t="n">
        <f aca="false">Entrées!$C$79*(1+Q64)+Hypothèses!$J$20</f>
        <v>1501.1212913699</v>
      </c>
      <c r="AT64" s="2" t="n">
        <f aca="false">AI64-AR64+AS64+Y64*1000-AO64+Hypothèses!$J$23</f>
        <v>22666.1494641911</v>
      </c>
      <c r="AU64" s="2" t="n">
        <f aca="false">AT64/AQ64</f>
        <v>2.83534811461314</v>
      </c>
      <c r="AV64" s="2" t="n">
        <f aca="false">Hypothèses!$J$26*AQ64-AT64</f>
        <v>1316.24904346138</v>
      </c>
      <c r="AW64" s="2" t="n">
        <f aca="false">IF(AC64&gt;Hypothèses!$J$26,MAX(0,AV64)/(1-Hypothèses!$J$26/AC64),0)</f>
        <v>1886.25081584546</v>
      </c>
      <c r="AX64" s="2" t="n">
        <f aca="false">AQ64-Entrées!$C$17*1000</f>
        <v>-5.86716411583439</v>
      </c>
      <c r="AY64" s="2" t="n">
        <f aca="false">AI64+(Entrées!$C$244-Entrées!$C$13)</f>
        <v>28245.9295781487</v>
      </c>
      <c r="AZ64" s="2" t="n">
        <f aca="false">AA64*AH64</f>
        <v>5533.85722690301</v>
      </c>
      <c r="BA64" s="2" t="n">
        <f aca="false">AZ64/AY64</f>
        <v>0.195916980235766</v>
      </c>
      <c r="BB64" s="2" t="n">
        <f aca="false">AZ64/(Entrées!$C$151/100)-AY64</f>
        <v>2497.72168242357</v>
      </c>
      <c r="BC64" s="2" t="n">
        <f aca="false">AT64+(Entrées!$C$244-Entrées!$C$13)</f>
        <v>28413.1494641911</v>
      </c>
      <c r="BD64" s="2" t="n">
        <f aca="false">AA64*AQ64</f>
        <v>5880.54155271088</v>
      </c>
      <c r="BE64" s="2" t="n">
        <f aca="false">BD64/BC64</f>
        <v>0.206965495328918</v>
      </c>
      <c r="BF64" s="2" t="n">
        <f aca="false">BD64/(Entrées!$C$151/100)-BC64</f>
        <v>4256.52582864712</v>
      </c>
      <c r="BG64" s="2" t="n">
        <f aca="false">MIN(AV64,BF64)</f>
        <v>1316.24904346138</v>
      </c>
      <c r="BH64" s="2" t="n">
        <f aca="false">IF(AC64&gt;Hypothèses!$J$26,MAX(0,BG64)/(1-Hypothèses!$J$26/AC64),0)</f>
        <v>1886.25081584546</v>
      </c>
    </row>
    <row r="65" customFormat="false" ht="15" hidden="false" customHeight="false" outlineLevel="0" collapsed="false">
      <c r="A65" s="2" t="n">
        <v>50</v>
      </c>
      <c r="B65" s="2" t="n">
        <v>0.067165008</v>
      </c>
      <c r="C65" s="2"/>
      <c r="D65" s="2" t="n">
        <v>0.564091635</v>
      </c>
      <c r="E65" s="2" t="n">
        <f aca="false">IF(E$7=E$5,E$6,IF(NORMSDIST(E$9*SQRT($C$11)*NORMSINV($B65)+SQRT(1-E$9^2*$C$11)*NORMSINV(D65))&lt;E$8,E$5+SQRT(NORMSDIST(E$9*SQRT($C$11)*NORMSINV($B65)+SQRT(1-E$9^2*$C$11)*NORMSINV(D65))*(E$7-E$5)*(E$6-E$5)),E$7-SQRT((1-NORMSDIST(E$9*SQRT($C$11)*NORMSINV($B65)+SQRT(1-E$9^2*$C$11)*NORMSINV(D65)))*(E$7-E$5)*(E$7-E$6))))</f>
        <v>0.0532058582384664</v>
      </c>
      <c r="F65" s="2" t="n">
        <v>0.663317824</v>
      </c>
      <c r="G65" s="2" t="n">
        <f aca="false">IF(G$7=G$5,G$6,IF(NORMSDIST(G$9*SQRT($C$11)*NORMSINV($B65)+SQRT(1-G$9^2*$C$11)*NORMSINV(F65))&lt;G$8,G$5+SQRT(NORMSDIST(G$9*SQRT($C$11)*NORMSINV($B65)+SQRT(1-G$9^2*$C$11)*NORMSINV(F65))*(G$7-G$5)*(G$6-G$5)),G$7-SQRT((1-NORMSDIST(G$9*SQRT($C$11)*NORMSINV($B65)+SQRT(1-G$9^2*$C$11)*NORMSINV(F65)))*(G$7-G$5)*(G$7-G$6))))</f>
        <v>0.0509713627588486</v>
      </c>
      <c r="H65" s="2" t="n">
        <v>0.541722208</v>
      </c>
      <c r="I65" s="2" t="n">
        <f aca="false">IF(I$7=I$5,I$6,IF(NORMSDIST(I$9*SQRT($C$11)*NORMSINV($B65)+SQRT(1-I$9^2*$C$11)*NORMSINV(H65))&lt;I$8,I$5+SQRT(NORMSDIST(I$9*SQRT($C$11)*NORMSINV($B65)+SQRT(1-I$9^2*$C$11)*NORMSINV(H65))*(I$7-I$5)*(I$6-I$5)),I$7-SQRT((1-NORMSDIST(I$9*SQRT($C$11)*NORMSINV($B65)+SQRT(1-I$9^2*$C$11)*NORMSINV(H65)))*(I$7-I$5)*(I$7-I$6))))</f>
        <v>192.435585034363</v>
      </c>
      <c r="J65" s="2" t="n">
        <v>0.193383125</v>
      </c>
      <c r="K65" s="2" t="n">
        <f aca="false">IF(K$7=K$5,K$6,IF(NORMSDIST(K$9*SQRT($C$11)*NORMSINV($B65)+SQRT(1-K$9^2*$C$11)*NORMSINV(J65))&lt;K$8,K$5+SQRT(NORMSDIST(K$9*SQRT($C$11)*NORMSINV($B65)+SQRT(1-K$9^2*$C$11)*NORMSINV(J65))*(K$7-K$5)*(K$6-K$5)),K$7-SQRT((1-NORMSDIST(K$9*SQRT($C$11)*NORMSINV($B65)+SQRT(1-K$9^2*$C$11)*NORMSINV(J65)))*(K$7-K$5)*(K$7-K$6))))</f>
        <v>0.0813182955646075</v>
      </c>
      <c r="L65" s="2" t="n">
        <v>0.314564413</v>
      </c>
      <c r="M65" s="2" t="n">
        <f aca="false">IF(M$7=M$5,M$6,IF(NORMSDIST(M$9*SQRT($C$11)*NORMSINV($B65)+SQRT(1-M$9^2*$C$11)*NORMSINV(L65))&lt;M$8,M$5+SQRT(NORMSDIST(M$9*SQRT($C$11)*NORMSINV($B65)+SQRT(1-M$9^2*$C$11)*NORMSINV(L65))*(M$7-M$5)*(M$6-M$5)),M$7-SQRT((1-NORMSDIST(M$9*SQRT($C$11)*NORMSINV($B65)+SQRT(1-M$9^2*$C$11)*NORMSINV(L65)))*(M$7-M$5)*(M$7-M$6))))</f>
        <v>1425.04553170134</v>
      </c>
      <c r="N65" s="2" t="n">
        <v>0.497515004</v>
      </c>
      <c r="O65" s="2" t="n">
        <f aca="false">IF(O$7=O$5,O$6,IF(NORMSDIST(O$9*SQRT($C$11)*NORMSINV($B65)+SQRT(1-O$9^2*$C$11)*NORMSINV(N65))&lt;O$8,O$5+SQRT(NORMSDIST(O$9*SQRT($C$11)*NORMSINV($B65)+SQRT(1-O$9^2*$C$11)*NORMSINV(N65))*(O$7-O$5)*(O$6-O$5)),O$7-SQRT((1-NORMSDIST(O$9*SQRT($C$11)*NORMSINV($B65)+SQRT(1-O$9^2*$C$11)*NORMSINV(N65)))*(O$7-O$5)*(O$7-O$6))))</f>
        <v>0.155645821304227</v>
      </c>
      <c r="P65" s="2" t="n">
        <v>0.109514027</v>
      </c>
      <c r="Q65" s="2" t="n">
        <f aca="false">IF(Q$7=Q$5,Q$6,IF(NORMSDIST(Q$9*SQRT($C$11)*NORMSINV($B65)+SQRT(1-Q$9^2*$C$11)*NORMSINV(P65))&lt;Q$8,Q$5+SQRT(NORMSDIST(Q$9*SQRT($C$11)*NORMSINV($B65)+SQRT(1-Q$9^2*$C$11)*NORMSINV(P65))*(Q$7-Q$5)*(Q$6-Q$5)),Q$7-SQRT((1-NORMSDIST(Q$9*SQRT($C$11)*NORMSINV($B65)+SQRT(1-Q$9^2*$C$11)*NORMSINV(P65)))*(Q$7-Q$5)*(Q$7-Q$6))))</f>
        <v>0.0587201732470616</v>
      </c>
      <c r="R65" s="2" t="n">
        <v>0.284935518</v>
      </c>
      <c r="S65" s="2" t="n">
        <f aca="false">IF(S$7=S$5,S$6,IF(NORMSDIST(S$9*SQRT($C$11)*NORMSINV($B65)+SQRT(1-S$9^2*$C$11)*NORMSINV(R65))&lt;S$8,S$5+SQRT(NORMSDIST(S$9*SQRT($C$11)*NORMSINV($B65)+SQRT(1-S$9^2*$C$11)*NORMSINV(R65))*(S$7-S$5)*(S$6-S$5)),S$7-SQRT((1-NORMSDIST(S$9*SQRT($C$11)*NORMSINV($B65)+SQRT(1-S$9^2*$C$11)*NORMSINV(R65)))*(S$7-S$5)*(S$7-S$6))))</f>
        <v>0.203354371940776</v>
      </c>
      <c r="T65" s="2" t="n">
        <v>0.995037762</v>
      </c>
      <c r="U65" s="2" t="n">
        <f aca="false">IF(U$7=U$5,U$6,IF(NORMSDIST(U$9*SQRT($C$11)*NORMSINV($B65)+SQRT(1-U$9^2*$C$11)*NORMSINV(T65))&lt;U$8,U$5+SQRT(NORMSDIST(U$9*SQRT($C$11)*NORMSINV($B65)+SQRT(1-U$9^2*$C$11)*NORMSINV(T65))*(U$7-U$5)*(U$6-U$5)),U$7-SQRT((1-NORMSDIST(U$9*SQRT($C$11)*NORMSINV($B65)+SQRT(1-U$9^2*$C$11)*NORMSINV(T65)))*(U$7-U$5)*(U$7-U$6))))</f>
        <v>0.729088784395337</v>
      </c>
      <c r="V65" s="2" t="n">
        <v>0.532791025</v>
      </c>
      <c r="W65" s="2" t="n">
        <f aca="false">IF(W$7=W$5,W$6,IF(NORMSDIST(W$9*SQRT($C$11)*NORMSINV($B65)+SQRT(1-W$9^2*$C$11)*NORMSINV(V65))&lt;W$8,W$5+SQRT(NORMSDIST(W$9*SQRT($C$11)*NORMSINV($B65)+SQRT(1-W$9^2*$C$11)*NORMSINV(V65))*(W$7-W$5)*(W$6-W$5)),W$7-SQRT((1-NORMSDIST(W$9*SQRT($C$11)*NORMSINV($B65)+SQRT(1-W$9^2*$C$11)*NORMSINV(V65)))*(W$7-W$5)*(W$7-W$6))))</f>
        <v>9.22821540183282</v>
      </c>
      <c r="X65" s="2" t="n">
        <v>0.533297966</v>
      </c>
      <c r="Y65" s="2" t="n">
        <f aca="false">IF(Y$7=Y$5,Y$6,IF(NORMSDIST(Y$9*SQRT($C$11)*NORMSINV($B65)+SQRT(1-Y$9^2*$C$11)*NORMSINV(X65))&lt;Y$8,Y$5+SQRT(NORMSDIST(Y$9*SQRT($C$11)*NORMSINV($B65)+SQRT(1-Y$9^2*$C$11)*NORMSINV(X65))*(Y$7-Y$5)*(Y$6-Y$5)),Y$7-SQRT((1-NORMSDIST(Y$9*SQRT($C$11)*NORMSINV($B65)+SQRT(1-Y$9^2*$C$11)*NORMSINV(X65)))*(Y$7-Y$5)*(Y$7-Y$6))))</f>
        <v>0.516935804473153</v>
      </c>
      <c r="Z65" s="2" t="n">
        <v>0.219181924</v>
      </c>
      <c r="AA65" s="2" t="n">
        <f aca="false">IF(AA$7=AA$5,AA$6,IF(NORMSDIST(AA$9*SQRT($C$11)*NORMSINV($B65)+SQRT(1-AA$9^2*$C$11)*NORMSINV(Z65))&lt;AA$8,AA$5+SQRT(NORMSDIST(AA$9*SQRT($C$11)*NORMSINV($B65)+SQRT(1-AA$9^2*$C$11)*NORMSINV(Z65))*(AA$7-AA$5)*(AA$6-AA$5)),AA$7-SQRT((1-NORMSDIST(AA$9*SQRT($C$11)*NORMSINV($B65)+SQRT(1-AA$9^2*$C$11)*NORMSINV(Z65)))*(AA$7-AA$5)*(AA$7-AA$6))))</f>
        <v>0.70674312415033</v>
      </c>
      <c r="AB65" s="2" t="n">
        <v>0.098505484</v>
      </c>
      <c r="AC65" s="2" t="n">
        <f aca="false">IF(AC$7=AC$5,AC$6,IF(NORMSDIST(AC$9*SQRT($C$11)*NORMSINV($B65)+SQRT(1-AC$9^2*$C$11)*NORMSINV(AB65))&lt;AC$8,AC$5+SQRT(NORMSDIST(AC$9*SQRT($C$11)*NORMSINV($B65)+SQRT(1-AC$9^2*$C$11)*NORMSINV(AB65))*(AC$7-AC$5)*(AC$6-AC$5)),AC$7-SQRT((1-NORMSDIST(AC$9*SQRT($C$11)*NORMSINV($B65)+SQRT(1-AC$9^2*$C$11)*NORMSINV(AB65)))*(AC$7-AC$5)*(AC$7-AC$6))))</f>
        <v>7.87224428003706</v>
      </c>
      <c r="AD65" s="2" t="n">
        <f aca="false">Entrées!$C$8*(1+E65)</f>
        <v>7425.10130058119</v>
      </c>
      <c r="AE65" s="2" t="n">
        <f aca="false">I65*Hypothèses!$J$24/12/Hypothèses!$J$19</f>
        <v>95.4666778214969</v>
      </c>
      <c r="AF65" s="2" t="n">
        <f aca="false">Entrées!$C$36*S65*1000</f>
        <v>101.677185970388</v>
      </c>
      <c r="AG65" s="2" t="n">
        <f aca="false">-AF65/W65</f>
        <v>-11.0180767941539</v>
      </c>
      <c r="AH65" s="2" t="n">
        <f aca="false">AD65+AE65+AG65</f>
        <v>7509.54990160853</v>
      </c>
      <c r="AI65" s="2" t="n">
        <f aca="false">Entrées!$C$16-M65+Hypothèses!$J$22*1000-AF65+Hypothèses!$J$23</f>
        <v>23021.2772823283</v>
      </c>
      <c r="AJ65" s="2" t="n">
        <f aca="false">AI65/AH65</f>
        <v>3.0656001470071</v>
      </c>
      <c r="AK65" s="2" t="n">
        <f aca="false">AI65/(AH65+I65*(12-Hypothèses!$J$24)/12/Hypothèses!$J$19)</f>
        <v>3.038013459206</v>
      </c>
      <c r="AL65" s="2" t="n">
        <f aca="false">(AD65+AG65+I65/Hypothèses!$J$19)*(1+G65)</f>
        <v>7963.98813986204</v>
      </c>
      <c r="AM65" s="2" t="n">
        <f aca="false">Entrées!$C$54*K65/Hypothèses!$J$19</f>
        <v>8.29887349582732</v>
      </c>
      <c r="AN65" s="2" t="n">
        <f aca="false">Y65*1000/AC65</f>
        <v>65.665620385286</v>
      </c>
      <c r="AO65" s="2" t="n">
        <f aca="false">(Entrées!$C$36*(1-S65)+MAX(0,Entrées!$C$30-Entrées!$C$35-Entrées!$C$36)*U65)*1000</f>
        <v>1419.04711218308</v>
      </c>
      <c r="AP65" s="2" t="n">
        <f aca="false">-AO65/W65</f>
        <v>-153.772647298767</v>
      </c>
      <c r="AQ65" s="2" t="n">
        <f aca="false">AL65+AM65+AN65+AP65</f>
        <v>7884.17998644439</v>
      </c>
      <c r="AR65" s="2" t="n">
        <f aca="false">O65*AQ65-Hypothèses!$J$25/Hypothèses!$J$19</f>
        <v>1208.00450703886</v>
      </c>
      <c r="AS65" s="2" t="n">
        <f aca="false">Entrées!$C$79*(1+Q65)+Hypothèses!$J$20</f>
        <v>1458.53347039852</v>
      </c>
      <c r="AT65" s="2" t="n">
        <f aca="false">AI65-AR65+AS65+Y65*1000-AO65+Hypothèses!$J$23</f>
        <v>22369.694937978</v>
      </c>
      <c r="AU65" s="2" t="n">
        <f aca="false">AT65/AQ65</f>
        <v>2.83728871949134</v>
      </c>
      <c r="AV65" s="2" t="n">
        <f aca="false">Hypothèses!$J$26*AQ65-AT65</f>
        <v>1282.84502135515</v>
      </c>
      <c r="AW65" s="2" t="n">
        <f aca="false">IF(AC65&gt;Hypothèses!$J$26,MAX(0,AV65)/(1-Hypothèses!$J$26/AC65),0)</f>
        <v>2072.73461696388</v>
      </c>
      <c r="AX65" s="2" t="n">
        <f aca="false">AQ65-Entrées!$C$17*1000</f>
        <v>-115.820013555615</v>
      </c>
      <c r="AY65" s="2" t="n">
        <f aca="false">AI65+(Entrées!$C$244-Entrées!$C$13)</f>
        <v>28768.2772823283</v>
      </c>
      <c r="AZ65" s="2" t="n">
        <f aca="false">AA65*AH65</f>
        <v>5307.32275842562</v>
      </c>
      <c r="BA65" s="2" t="n">
        <f aca="false">AZ65/AY65</f>
        <v>0.184485247633712</v>
      </c>
      <c r="BB65" s="2" t="n">
        <f aca="false">AZ65/(Entrées!$C$151/100)-AY65</f>
        <v>716.849153369611</v>
      </c>
      <c r="BC65" s="2" t="n">
        <f aca="false">AT65+(Entrées!$C$244-Entrées!$C$13)</f>
        <v>28116.694937978</v>
      </c>
      <c r="BD65" s="2" t="n">
        <f aca="false">AA65*AQ65</f>
        <v>5572.08999498321</v>
      </c>
      <c r="BE65" s="2" t="n">
        <f aca="false">BD65/BC65</f>
        <v>0.198177275361651</v>
      </c>
      <c r="BF65" s="2" t="n">
        <f aca="false">BD65/(Entrées!$C$151/100)-BC65</f>
        <v>2839.36058970651</v>
      </c>
      <c r="BG65" s="2" t="n">
        <f aca="false">MIN(AV65,BF65)</f>
        <v>1282.84502135515</v>
      </c>
      <c r="BH65" s="2" t="n">
        <f aca="false">IF(AC65&gt;Hypothèses!$J$26,MAX(0,BG65)/(1-Hypothèses!$J$26/AC65),0)</f>
        <v>2072.73461696388</v>
      </c>
    </row>
    <row r="66" customFormat="false" ht="15" hidden="false" customHeight="false" outlineLevel="0" collapsed="false">
      <c r="A66" s="2" t="n">
        <v>51</v>
      </c>
      <c r="B66" s="2" t="n">
        <v>0.96448363</v>
      </c>
      <c r="C66" s="2"/>
      <c r="D66" s="2" t="n">
        <v>0.586008632</v>
      </c>
      <c r="E66" s="2" t="n">
        <f aca="false">IF(E$7=E$5,E$6,IF(NORMSDIST(E$9*SQRT($C$11)*NORMSINV($B66)+SQRT(1-E$9^2*$C$11)*NORMSINV(D66))&lt;E$8,E$5+SQRT(NORMSDIST(E$9*SQRT($C$11)*NORMSINV($B66)+SQRT(1-E$9^2*$C$11)*NORMSINV(D66))*(E$7-E$5)*(E$6-E$5)),E$7-SQRT((1-NORMSDIST(E$9*SQRT($C$11)*NORMSINV($B66)+SQRT(1-E$9^2*$C$11)*NORMSINV(D66)))*(E$7-E$5)*(E$7-E$6))))</f>
        <v>0.0578195508000599</v>
      </c>
      <c r="F66" s="2" t="n">
        <v>0.766277908</v>
      </c>
      <c r="G66" s="2" t="n">
        <f aca="false">IF(G$7=G$5,G$6,IF(NORMSDIST(G$9*SQRT($C$11)*NORMSINV($B66)+SQRT(1-G$9^2*$C$11)*NORMSINV(F66))&lt;G$8,G$5+SQRT(NORMSDIST(G$9*SQRT($C$11)*NORMSINV($B66)+SQRT(1-G$9^2*$C$11)*NORMSINV(F66))*(G$7-G$5)*(G$6-G$5)),G$7-SQRT((1-NORMSDIST(G$9*SQRT($C$11)*NORMSINV($B66)+SQRT(1-G$9^2*$C$11)*NORMSINV(F66)))*(G$7-G$5)*(G$7-G$6))))</f>
        <v>0.0655435199270638</v>
      </c>
      <c r="H66" s="2" t="n">
        <v>0.483548413</v>
      </c>
      <c r="I66" s="2" t="n">
        <f aca="false">IF(I$7=I$5,I$6,IF(NORMSDIST(I$9*SQRT($C$11)*NORMSINV($B66)+SQRT(1-I$9^2*$C$11)*NORMSINV(H66))&lt;I$8,I$5+SQRT(NORMSDIST(I$9*SQRT($C$11)*NORMSINV($B66)+SQRT(1-I$9^2*$C$11)*NORMSINV(H66))*(I$7-I$5)*(I$6-I$5)),I$7-SQRT((1-NORMSDIST(I$9*SQRT($C$11)*NORMSINV($B66)+SQRT(1-I$9^2*$C$11)*NORMSINV(H66)))*(I$7-I$5)*(I$7-I$6))))</f>
        <v>209.663941564789</v>
      </c>
      <c r="J66" s="2" t="n">
        <v>0.087536625</v>
      </c>
      <c r="K66" s="2" t="n">
        <f aca="false">IF(K$7=K$5,K$6,IF(NORMSDIST(K$9*SQRT($C$11)*NORMSINV($B66)+SQRT(1-K$9^2*$C$11)*NORMSINV(J66))&lt;K$8,K$5+SQRT(NORMSDIST(K$9*SQRT($C$11)*NORMSINV($B66)+SQRT(1-K$9^2*$C$11)*NORMSINV(J66))*(K$7-K$5)*(K$6-K$5)),K$7-SQRT((1-NORMSDIST(K$9*SQRT($C$11)*NORMSINV($B66)+SQRT(1-K$9^2*$C$11)*NORMSINV(J66)))*(K$7-K$5)*(K$7-K$6))))</f>
        <v>0.259268572168144</v>
      </c>
      <c r="L66" s="2" t="n">
        <v>0.854367679</v>
      </c>
      <c r="M66" s="2" t="n">
        <f aca="false">IF(M$7=M$5,M$6,IF(NORMSDIST(M$9*SQRT($C$11)*NORMSINV($B66)+SQRT(1-M$9^2*$C$11)*NORMSINV(L66))&lt;M$8,M$5+SQRT(NORMSDIST(M$9*SQRT($C$11)*NORMSINV($B66)+SQRT(1-M$9^2*$C$11)*NORMSINV(L66))*(M$7-M$5)*(M$6-M$5)),M$7-SQRT((1-NORMSDIST(M$9*SQRT($C$11)*NORMSINV($B66)+SQRT(1-M$9^2*$C$11)*NORMSINV(L66)))*(M$7-M$5)*(M$7-M$6))))</f>
        <v>1747.24937077153</v>
      </c>
      <c r="N66" s="2" t="n">
        <v>0.227919672</v>
      </c>
      <c r="O66" s="2" t="n">
        <f aca="false">IF(O$7=O$5,O$6,IF(NORMSDIST(O$9*SQRT($C$11)*NORMSINV($B66)+SQRT(1-O$9^2*$C$11)*NORMSINV(N66))&lt;O$8,O$5+SQRT(NORMSDIST(O$9*SQRT($C$11)*NORMSINV($B66)+SQRT(1-O$9^2*$C$11)*NORMSINV(N66))*(O$7-O$5)*(O$6-O$5)),O$7-SQRT((1-NORMSDIST(O$9*SQRT($C$11)*NORMSINV($B66)+SQRT(1-O$9^2*$C$11)*NORMSINV(N66)))*(O$7-O$5)*(O$7-O$6))))</f>
        <v>0.172535779155378</v>
      </c>
      <c r="P66" s="2" t="n">
        <v>0.628954859</v>
      </c>
      <c r="Q66" s="2" t="n">
        <f aca="false">IF(Q$7=Q$5,Q$6,IF(NORMSDIST(Q$9*SQRT($C$11)*NORMSINV($B66)+SQRT(1-Q$9^2*$C$11)*NORMSINV(P66))&lt;Q$8,Q$5+SQRT(NORMSDIST(Q$9*SQRT($C$11)*NORMSINV($B66)+SQRT(1-Q$9^2*$C$11)*NORMSINV(P66))*(Q$7-Q$5)*(Q$6-Q$5)),Q$7-SQRT((1-NORMSDIST(Q$9*SQRT($C$11)*NORMSINV($B66)+SQRT(1-Q$9^2*$C$11)*NORMSINV(P66)))*(Q$7-Q$5)*(Q$7-Q$6))))</f>
        <v>0.0855421351328902</v>
      </c>
      <c r="R66" s="2" t="n">
        <v>0.75452664</v>
      </c>
      <c r="S66" s="2" t="n">
        <f aca="false">IF(S$7=S$5,S$6,IF(NORMSDIST(S$9*SQRT($C$11)*NORMSINV($B66)+SQRT(1-S$9^2*$C$11)*NORMSINV(R66))&lt;S$8,S$5+SQRT(NORMSDIST(S$9*SQRT($C$11)*NORMSINV($B66)+SQRT(1-S$9^2*$C$11)*NORMSINV(R66))*(S$7-S$5)*(S$6-S$5)),S$7-SQRT((1-NORMSDIST(S$9*SQRT($C$11)*NORMSINV($B66)+SQRT(1-S$9^2*$C$11)*NORMSINV(R66)))*(S$7-S$5)*(S$7-S$6))))</f>
        <v>0.846804060620936</v>
      </c>
      <c r="T66" s="2" t="n">
        <v>0.454574609</v>
      </c>
      <c r="U66" s="2" t="n">
        <f aca="false">IF(U$7=U$5,U$6,IF(NORMSDIST(U$9*SQRT($C$11)*NORMSINV($B66)+SQRT(1-U$9^2*$C$11)*NORMSINV(T66))&lt;U$8,U$5+SQRT(NORMSDIST(U$9*SQRT($C$11)*NORMSINV($B66)+SQRT(1-U$9^2*$C$11)*NORMSINV(T66))*(U$7-U$5)*(U$6-U$5)),U$7-SQRT((1-NORMSDIST(U$9*SQRT($C$11)*NORMSINV($B66)+SQRT(1-U$9^2*$C$11)*NORMSINV(T66)))*(U$7-U$5)*(U$7-U$6))))</f>
        <v>0.729733709896318</v>
      </c>
      <c r="V66" s="2" t="n">
        <v>0.588115025</v>
      </c>
      <c r="W66" s="2" t="n">
        <f aca="false">IF(W$7=W$5,W$6,IF(NORMSDIST(W$9*SQRT($C$11)*NORMSINV($B66)+SQRT(1-W$9^2*$C$11)*NORMSINV(V66))&lt;W$8,W$5+SQRT(NORMSDIST(W$9*SQRT($C$11)*NORMSINV($B66)+SQRT(1-W$9^2*$C$11)*NORMSINV(V66))*(W$7-W$5)*(W$6-W$5)),W$7-SQRT((1-NORMSDIST(W$9*SQRT($C$11)*NORMSINV($B66)+SQRT(1-W$9^2*$C$11)*NORMSINV(V66)))*(W$7-W$5)*(W$7-W$6))))</f>
        <v>11.1310675492165</v>
      </c>
      <c r="X66" s="2" t="n">
        <v>0.678922799</v>
      </c>
      <c r="Y66" s="2" t="n">
        <f aca="false">IF(Y$7=Y$5,Y$6,IF(NORMSDIST(Y$9*SQRT($C$11)*NORMSINV($B66)+SQRT(1-Y$9^2*$C$11)*NORMSINV(X66))&lt;Y$8,Y$5+SQRT(NORMSDIST(Y$9*SQRT($C$11)*NORMSINV($B66)+SQRT(1-Y$9^2*$C$11)*NORMSINV(X66))*(Y$7-Y$5)*(Y$6-Y$5)),Y$7-SQRT((1-NORMSDIST(Y$9*SQRT($C$11)*NORMSINV($B66)+SQRT(1-Y$9^2*$C$11)*NORMSINV(X66)))*(Y$7-Y$5)*(Y$7-Y$6))))</f>
        <v>0.599327315006376</v>
      </c>
      <c r="Z66" s="2" t="n">
        <v>0.153293886</v>
      </c>
      <c r="AA66" s="2" t="n">
        <f aca="false">IF(AA$7=AA$5,AA$6,IF(NORMSDIST(AA$9*SQRT($C$11)*NORMSINV($B66)+SQRT(1-AA$9^2*$C$11)*NORMSINV(Z66))&lt;AA$8,AA$5+SQRT(NORMSDIST(AA$9*SQRT($C$11)*NORMSINV($B66)+SQRT(1-AA$9^2*$C$11)*NORMSINV(Z66))*(AA$7-AA$5)*(AA$6-AA$5)),AA$7-SQRT((1-NORMSDIST(AA$9*SQRT($C$11)*NORMSINV($B66)+SQRT(1-AA$9^2*$C$11)*NORMSINV(Z66)))*(AA$7-AA$5)*(AA$7-AA$6))))</f>
        <v>0.732261774012742</v>
      </c>
      <c r="AB66" s="2" t="n">
        <v>0.625916505</v>
      </c>
      <c r="AC66" s="2" t="n">
        <f aca="false">IF(AC$7=AC$5,AC$6,IF(NORMSDIST(AC$9*SQRT($C$11)*NORMSINV($B66)+SQRT(1-AC$9^2*$C$11)*NORMSINV(AB66))&lt;AC$8,AC$5+SQRT(NORMSDIST(AC$9*SQRT($C$11)*NORMSINV($B66)+SQRT(1-AC$9^2*$C$11)*NORMSINV(AB66))*(AC$7-AC$5)*(AC$6-AC$5)),AC$7-SQRT((1-NORMSDIST(AC$9*SQRT($C$11)*NORMSINV($B66)+SQRT(1-AC$9^2*$C$11)*NORMSINV(AB66)))*(AC$7-AC$5)*(AC$7-AC$6))))</f>
        <v>10.4041033994127</v>
      </c>
      <c r="AD66" s="2" t="n">
        <f aca="false">Entrées!$C$8*(1+E66)</f>
        <v>7457.62783314042</v>
      </c>
      <c r="AE66" s="2" t="n">
        <f aca="false">I66*Hypothèses!$J$24/12/Hypothèses!$J$19</f>
        <v>104.013610354741</v>
      </c>
      <c r="AF66" s="2" t="n">
        <f aca="false">Entrées!$C$36*S66*1000</f>
        <v>423.402030310468</v>
      </c>
      <c r="AG66" s="2" t="n">
        <f aca="false">-AF66/W66</f>
        <v>-38.037863703403</v>
      </c>
      <c r="AH66" s="2" t="n">
        <f aca="false">AD66+AE66+AG66</f>
        <v>7523.60357979176</v>
      </c>
      <c r="AI66" s="2" t="n">
        <f aca="false">Entrées!$C$16-M66+Hypothèses!$J$22*1000-AF66+Hypothèses!$J$23</f>
        <v>22377.348598918</v>
      </c>
      <c r="AJ66" s="2" t="n">
        <f aca="false">AI66/AH66</f>
        <v>2.97428597368196</v>
      </c>
      <c r="AK66" s="2" t="n">
        <f aca="false">AI66/(AH66+I66*(12-Hypothèses!$J$24)/12/Hypothèses!$J$19)</f>
        <v>2.94520216082147</v>
      </c>
      <c r="AL66" s="2" t="n">
        <f aca="false">(AD66+AG66+I66/Hypothèses!$J$19)*(1+G66)</f>
        <v>8095.89206130268</v>
      </c>
      <c r="AM66" s="2" t="n">
        <f aca="false">Entrées!$C$54*K66/Hypothèses!$J$19</f>
        <v>26.4594463881468</v>
      </c>
      <c r="AN66" s="2" t="n">
        <f aca="false">Y66*1000/AC66</f>
        <v>57.6048979905567</v>
      </c>
      <c r="AO66" s="2" t="n">
        <f aca="false">(Entrées!$C$36*(1-S66)+MAX(0,Entrées!$C$30-Entrées!$C$35-Entrées!$C$36)*U66)*1000</f>
        <v>1098.22516354438</v>
      </c>
      <c r="AP66" s="2" t="n">
        <f aca="false">-AO66/W66</f>
        <v>-98.6630580300165</v>
      </c>
      <c r="AQ66" s="2" t="n">
        <f aca="false">AL66+AM66+AN66+AP66</f>
        <v>8081.29334765137</v>
      </c>
      <c r="AR66" s="2" t="n">
        <f aca="false">O66*AQ66-Hypothèses!$J$25/Hypothèses!$J$19</f>
        <v>1375.17708205857</v>
      </c>
      <c r="AS66" s="2" t="n">
        <f aca="false">Entrées!$C$79*(1+Q66)+Hypothèses!$J$20</f>
        <v>1488.01080651105</v>
      </c>
      <c r="AT66" s="2" t="n">
        <f aca="false">AI66-AR66+AS66+Y66*1000-AO66+Hypothèses!$J$23</f>
        <v>21991.2844748325</v>
      </c>
      <c r="AU66" s="2" t="n">
        <f aca="false">AT66/AQ66</f>
        <v>2.72125803739369</v>
      </c>
      <c r="AV66" s="2" t="n">
        <f aca="false">Hypothèses!$J$26*AQ66-AT66</f>
        <v>2252.59556812163</v>
      </c>
      <c r="AW66" s="2" t="n">
        <f aca="false">IF(AC66&gt;Hypothèses!$J$26,MAX(0,AV66)/(1-Hypothèses!$J$26/AC66),0)</f>
        <v>3165.30387861076</v>
      </c>
      <c r="AX66" s="2" t="n">
        <f aca="false">AQ66-Entrées!$C$17*1000</f>
        <v>81.2933476513663</v>
      </c>
      <c r="AY66" s="2" t="n">
        <f aca="false">AI66+(Entrées!$C$244-Entrées!$C$13)</f>
        <v>28124.348598918</v>
      </c>
      <c r="AZ66" s="2" t="n">
        <f aca="false">AA66*AH66</f>
        <v>5509.24730430693</v>
      </c>
      <c r="BA66" s="2" t="n">
        <f aca="false">AZ66/AY66</f>
        <v>0.195888885565829</v>
      </c>
      <c r="BB66" s="2" t="n">
        <f aca="false">AZ66/(Entrées!$C$151/100)-AY66</f>
        <v>2482.58086945383</v>
      </c>
      <c r="BC66" s="2" t="n">
        <f aca="false">AT66+(Entrées!$C$244-Entrées!$C$13)</f>
        <v>27738.2844748325</v>
      </c>
      <c r="BD66" s="2" t="n">
        <f aca="false">AA66*AQ66</f>
        <v>5917.62220306856</v>
      </c>
      <c r="BE66" s="2" t="n">
        <f aca="false">BD66/BC66</f>
        <v>0.21333771410549</v>
      </c>
      <c r="BF66" s="2" t="n">
        <f aca="false">BD66/(Entrées!$C$151/100)-BC66</f>
        <v>5137.39443110396</v>
      </c>
      <c r="BG66" s="2" t="n">
        <f aca="false">MIN(AV66,BF66)</f>
        <v>2252.59556812163</v>
      </c>
      <c r="BH66" s="2" t="n">
        <f aca="false">IF(AC66&gt;Hypothèses!$J$26,MAX(0,BG66)/(1-Hypothèses!$J$26/AC66),0)</f>
        <v>3165.30387861076</v>
      </c>
    </row>
    <row r="67" customFormat="false" ht="15" hidden="false" customHeight="false" outlineLevel="0" collapsed="false">
      <c r="A67" s="2" t="n">
        <v>52</v>
      </c>
      <c r="B67" s="2" t="n">
        <v>0.511188579</v>
      </c>
      <c r="C67" s="2"/>
      <c r="D67" s="2" t="n">
        <v>0.098704114</v>
      </c>
      <c r="E67" s="2" t="n">
        <f aca="false">IF(E$7=E$5,E$6,IF(NORMSDIST(E$9*SQRT($C$11)*NORMSINV($B67)+SQRT(1-E$9^2*$C$11)*NORMSINV(D67))&lt;E$8,E$5+SQRT(NORMSDIST(E$9*SQRT($C$11)*NORMSINV($B67)+SQRT(1-E$9^2*$C$11)*NORMSINV(D67))*(E$7-E$5)*(E$6-E$5)),E$7-SQRT((1-NORMSDIST(E$9*SQRT($C$11)*NORMSINV($B67)+SQRT(1-E$9^2*$C$11)*NORMSINV(D67)))*(E$7-E$5)*(E$7-E$6))))</f>
        <v>0.0528580778573263</v>
      </c>
      <c r="F67" s="2" t="n">
        <v>0.483733176</v>
      </c>
      <c r="G67" s="2" t="n">
        <f aca="false">IF(G$7=G$5,G$6,IF(NORMSDIST(G$9*SQRT($C$11)*NORMSINV($B67)+SQRT(1-G$9^2*$C$11)*NORMSINV(F67))&lt;G$8,G$5+SQRT(NORMSDIST(G$9*SQRT($C$11)*NORMSINV($B67)+SQRT(1-G$9^2*$C$11)*NORMSINV(F67))*(G$7-G$5)*(G$6-G$5)),G$7-SQRT((1-NORMSDIST(G$9*SQRT($C$11)*NORMSINV($B67)+SQRT(1-G$9^2*$C$11)*NORMSINV(F67)))*(G$7-G$5)*(G$7-G$6))))</f>
        <v>0.0549168746040192</v>
      </c>
      <c r="H67" s="2" t="n">
        <v>0.798972245</v>
      </c>
      <c r="I67" s="2" t="n">
        <f aca="false">IF(I$7=I$5,I$6,IF(NORMSDIST(I$9*SQRT($C$11)*NORMSINV($B67)+SQRT(1-I$9^2*$C$11)*NORMSINV(H67))&lt;I$8,I$5+SQRT(NORMSDIST(I$9*SQRT($C$11)*NORMSINV($B67)+SQRT(1-I$9^2*$C$11)*NORMSINV(H67))*(I$7-I$5)*(I$6-I$5)),I$7-SQRT((1-NORMSDIST(I$9*SQRT($C$11)*NORMSINV($B67)+SQRT(1-I$9^2*$C$11)*NORMSINV(H67)))*(I$7-I$5)*(I$7-I$6))))</f>
        <v>205.78889770727</v>
      </c>
      <c r="J67" s="2" t="n">
        <v>0.861365433</v>
      </c>
      <c r="K67" s="2" t="n">
        <f aca="false">IF(K$7=K$5,K$6,IF(NORMSDIST(K$9*SQRT($C$11)*NORMSINV($B67)+SQRT(1-K$9^2*$C$11)*NORMSINV(J67))&lt;K$8,K$5+SQRT(NORMSDIST(K$9*SQRT($C$11)*NORMSINV($B67)+SQRT(1-K$9^2*$C$11)*NORMSINV(J67))*(K$7-K$5)*(K$6-K$5)),K$7-SQRT((1-NORMSDIST(K$9*SQRT($C$11)*NORMSINV($B67)+SQRT(1-K$9^2*$C$11)*NORMSINV(J67)))*(K$7-K$5)*(K$7-K$6))))</f>
        <v>0.343842165147382</v>
      </c>
      <c r="L67" s="2" t="n">
        <v>0.728871648</v>
      </c>
      <c r="M67" s="2" t="n">
        <f aca="false">IF(M$7=M$5,M$6,IF(NORMSDIST(M$9*SQRT($C$11)*NORMSINV($B67)+SQRT(1-M$9^2*$C$11)*NORMSINV(L67))&lt;M$8,M$5+SQRT(NORMSDIST(M$9*SQRT($C$11)*NORMSINV($B67)+SQRT(1-M$9^2*$C$11)*NORMSINV(L67))*(M$7-M$5)*(M$6-M$5)),M$7-SQRT((1-NORMSDIST(M$9*SQRT($C$11)*NORMSINV($B67)+SQRT(1-M$9^2*$C$11)*NORMSINV(L67)))*(M$7-M$5)*(M$7-M$6))))</f>
        <v>1634.26261811955</v>
      </c>
      <c r="N67" s="2" t="n">
        <v>0.827785817</v>
      </c>
      <c r="O67" s="2" t="n">
        <f aca="false">IF(O$7=O$5,O$6,IF(NORMSDIST(O$9*SQRT($C$11)*NORMSINV($B67)+SQRT(1-O$9^2*$C$11)*NORMSINV(N67))&lt;O$8,O$5+SQRT(NORMSDIST(O$9*SQRT($C$11)*NORMSINV($B67)+SQRT(1-O$9^2*$C$11)*NORMSINV(N67))*(O$7-O$5)*(O$6-O$5)),O$7-SQRT((1-NORMSDIST(O$9*SQRT($C$11)*NORMSINV($B67)+SQRT(1-O$9^2*$C$11)*NORMSINV(N67)))*(O$7-O$5)*(O$7-O$6))))</f>
        <v>0.17446383208904</v>
      </c>
      <c r="P67" s="2" t="n">
        <v>0.882983525</v>
      </c>
      <c r="Q67" s="2" t="n">
        <f aca="false">IF(Q$7=Q$5,Q$6,IF(NORMSDIST(Q$9*SQRT($C$11)*NORMSINV($B67)+SQRT(1-Q$9^2*$C$11)*NORMSINV(P67))&lt;Q$8,Q$5+SQRT(NORMSDIST(Q$9*SQRT($C$11)*NORMSINV($B67)+SQRT(1-Q$9^2*$C$11)*NORMSINV(P67))*(Q$7-Q$5)*(Q$6-Q$5)),Q$7-SQRT((1-NORMSDIST(Q$9*SQRT($C$11)*NORMSINV($B67)+SQRT(1-Q$9^2*$C$11)*NORMSINV(P67)))*(Q$7-Q$5)*(Q$7-Q$6))))</f>
        <v>0.100649219137203</v>
      </c>
      <c r="R67" s="2" t="n">
        <v>0.222789374</v>
      </c>
      <c r="S67" s="2" t="n">
        <f aca="false">IF(S$7=S$5,S$6,IF(NORMSDIST(S$9*SQRT($C$11)*NORMSINV($B67)+SQRT(1-S$9^2*$C$11)*NORMSINV(R67))&lt;S$8,S$5+SQRT(NORMSDIST(S$9*SQRT($C$11)*NORMSINV($B67)+SQRT(1-S$9^2*$C$11)*NORMSINV(R67))*(S$7-S$5)*(S$6-S$5)),S$7-SQRT((1-NORMSDIST(S$9*SQRT($C$11)*NORMSINV($B67)+SQRT(1-S$9^2*$C$11)*NORMSINV(R67)))*(S$7-S$5)*(S$7-S$6))))</f>
        <v>0.37635035354503</v>
      </c>
      <c r="T67" s="2" t="n">
        <v>0.321994089</v>
      </c>
      <c r="U67" s="2" t="n">
        <f aca="false">IF(U$7=U$5,U$6,IF(NORMSDIST(U$9*SQRT($C$11)*NORMSINV($B67)+SQRT(1-U$9^2*$C$11)*NORMSINV(T67))&lt;U$8,U$5+SQRT(NORMSDIST(U$9*SQRT($C$11)*NORMSINV($B67)+SQRT(1-U$9^2*$C$11)*NORMSINV(T67))*(U$7-U$5)*(U$6-U$5)),U$7-SQRT((1-NORMSDIST(U$9*SQRT($C$11)*NORMSINV($B67)+SQRT(1-U$9^2*$C$11)*NORMSINV(T67)))*(U$7-U$5)*(U$7-U$6))))</f>
        <v>0.428277826066146</v>
      </c>
      <c r="V67" s="2" t="n">
        <v>0.0742572</v>
      </c>
      <c r="W67" s="2" t="n">
        <f aca="false">IF(W$7=W$5,W$6,IF(NORMSDIST(W$9*SQRT($C$11)*NORMSINV($B67)+SQRT(1-W$9^2*$C$11)*NORMSINV(V67))&lt;W$8,W$5+SQRT(NORMSDIST(W$9*SQRT($C$11)*NORMSINV($B67)+SQRT(1-W$9^2*$C$11)*NORMSINV(V67))*(W$7-W$5)*(W$6-W$5)),W$7-SQRT((1-NORMSDIST(W$9*SQRT($C$11)*NORMSINV($B67)+SQRT(1-W$9^2*$C$11)*NORMSINV(V67)))*(W$7-W$5)*(W$7-W$6))))</f>
        <v>9.04062319100285</v>
      </c>
      <c r="X67" s="2" t="n">
        <v>0.239521328</v>
      </c>
      <c r="Y67" s="2" t="n">
        <f aca="false">IF(Y$7=Y$5,Y$6,IF(NORMSDIST(Y$9*SQRT($C$11)*NORMSINV($B67)+SQRT(1-Y$9^2*$C$11)*NORMSINV(X67))&lt;Y$8,Y$5+SQRT(NORMSDIST(Y$9*SQRT($C$11)*NORMSINV($B67)+SQRT(1-Y$9^2*$C$11)*NORMSINV(X67))*(Y$7-Y$5)*(Y$6-Y$5)),Y$7-SQRT((1-NORMSDIST(Y$9*SQRT($C$11)*NORMSINV($B67)+SQRT(1-Y$9^2*$C$11)*NORMSINV(X67)))*(Y$7-Y$5)*(Y$7-Y$6))))</f>
        <v>0.346064537333718</v>
      </c>
      <c r="Z67" s="2" t="n">
        <v>0.977575089</v>
      </c>
      <c r="AA67" s="2" t="n">
        <f aca="false">IF(AA$7=AA$5,AA$6,IF(NORMSDIST(AA$9*SQRT($C$11)*NORMSINV($B67)+SQRT(1-AA$9^2*$C$11)*NORMSINV(Z67))&lt;AA$8,AA$5+SQRT(NORMSDIST(AA$9*SQRT($C$11)*NORMSINV($B67)+SQRT(1-AA$9^2*$C$11)*NORMSINV(Z67))*(AA$7-AA$5)*(AA$6-AA$5)),AA$7-SQRT((1-NORMSDIST(AA$9*SQRT($C$11)*NORMSINV($B67)+SQRT(1-AA$9^2*$C$11)*NORMSINV(Z67)))*(AA$7-AA$5)*(AA$7-AA$6))))</f>
        <v>0.745235609536556</v>
      </c>
      <c r="AB67" s="2" t="n">
        <v>0.038818107</v>
      </c>
      <c r="AC67" s="2" t="n">
        <f aca="false">IF(AC$7=AC$5,AC$6,IF(NORMSDIST(AC$9*SQRT($C$11)*NORMSINV($B67)+SQRT(1-AC$9^2*$C$11)*NORMSINV(AB67))&lt;AC$8,AC$5+SQRT(NORMSDIST(AC$9*SQRT($C$11)*NORMSINV($B67)+SQRT(1-AC$9^2*$C$11)*NORMSINV(AB67))*(AC$7-AC$5)*(AC$6-AC$5)),AC$7-SQRT((1-NORMSDIST(AC$9*SQRT($C$11)*NORMSINV($B67)+SQRT(1-AC$9^2*$C$11)*NORMSINV(AB67)))*(AC$7-AC$5)*(AC$7-AC$6))))</f>
        <v>8.27519805240195</v>
      </c>
      <c r="AD67" s="2" t="n">
        <f aca="false">Entrées!$C$8*(1+E67)</f>
        <v>7422.64944889415</v>
      </c>
      <c r="AE67" s="2" t="n">
        <f aca="false">I67*Hypothèses!$J$24/12/Hypothèses!$J$19</f>
        <v>102.091213499587</v>
      </c>
      <c r="AF67" s="2" t="n">
        <f aca="false">Entrées!$C$36*S67*1000</f>
        <v>188.175176772515</v>
      </c>
      <c r="AG67" s="2" t="n">
        <f aca="false">-AF67/W67</f>
        <v>-20.8144032548315</v>
      </c>
      <c r="AH67" s="2" t="n">
        <f aca="false">AD67+AE67+AG67</f>
        <v>7503.92625913891</v>
      </c>
      <c r="AI67" s="2" t="n">
        <f aca="false">Entrées!$C$16-M67+Hypothèses!$J$22*1000-AF67+Hypothèses!$J$23</f>
        <v>22725.5622051079</v>
      </c>
      <c r="AJ67" s="2" t="n">
        <f aca="false">AI67/AH67</f>
        <v>3.02848954271517</v>
      </c>
      <c r="AK67" s="2" t="n">
        <f aca="false">AI67/(AH67+I67*(12-Hypothèses!$J$24)/12/Hypothèses!$J$19)</f>
        <v>2.99934227821191</v>
      </c>
      <c r="AL67" s="2" t="n">
        <f aca="false">(AD67+AG67+I67/Hypothèses!$J$19)*(1+G67)</f>
        <v>7992.94539645664</v>
      </c>
      <c r="AM67" s="2" t="n">
        <f aca="false">Entrées!$C$54*K67/Hypothèses!$J$19</f>
        <v>35.0905366532477</v>
      </c>
      <c r="AN67" s="2" t="n">
        <f aca="false">Y67*1000/AC67</f>
        <v>41.8194869950296</v>
      </c>
      <c r="AO67" s="2" t="n">
        <f aca="false">(Entrées!$C$36*(1-S67)+MAX(0,Entrées!$C$30-Entrées!$C$35-Entrées!$C$36)*U67)*1000</f>
        <v>911.41377972009</v>
      </c>
      <c r="AP67" s="2" t="n">
        <f aca="false">-AO67/W67</f>
        <v>-100.81315861357</v>
      </c>
      <c r="AQ67" s="2" t="n">
        <f aca="false">AL67+AM67+AN67+AP67</f>
        <v>7969.04226149135</v>
      </c>
      <c r="AR67" s="2" t="n">
        <f aca="false">O67*AQ67-Hypothèses!$J$25/Hypothèses!$J$19</f>
        <v>1371.17448875766</v>
      </c>
      <c r="AS67" s="2" t="n">
        <f aca="false">Entrées!$C$79*(1+Q67)+Hypothèses!$J$20</f>
        <v>1504.61349183179</v>
      </c>
      <c r="AT67" s="2" t="n">
        <f aca="false">AI67-AR67+AS67+Y67*1000-AO67+Hypothèses!$J$23</f>
        <v>22293.6519657957</v>
      </c>
      <c r="AU67" s="2" t="n">
        <f aca="false">AT67/AQ67</f>
        <v>2.7975321543374</v>
      </c>
      <c r="AV67" s="2" t="n">
        <f aca="false">Hypothèses!$J$26*AQ67-AT67</f>
        <v>1613.47481867835</v>
      </c>
      <c r="AW67" s="2" t="n">
        <f aca="false">IF(AC67&gt;Hypothèses!$J$26,MAX(0,AV67)/(1-Hypothèses!$J$26/AC67),0)</f>
        <v>2531.0563782619</v>
      </c>
      <c r="AX67" s="2" t="n">
        <f aca="false">AQ67-Entrées!$C$17*1000</f>
        <v>-30.9577385086513</v>
      </c>
      <c r="AY67" s="2" t="n">
        <f aca="false">AI67+(Entrées!$C$244-Entrées!$C$13)</f>
        <v>28472.5622051079</v>
      </c>
      <c r="AZ67" s="2" t="n">
        <f aca="false">AA67*AH67</f>
        <v>5592.19305964675</v>
      </c>
      <c r="BA67" s="2" t="n">
        <f aca="false">AZ67/AY67</f>
        <v>0.196406386589385</v>
      </c>
      <c r="BB67" s="2" t="n">
        <f aca="false">AZ67/(Entrées!$C$151/100)-AY67</f>
        <v>2595.17701515178</v>
      </c>
      <c r="BC67" s="2" t="n">
        <f aca="false">AT67+(Entrées!$C$244-Entrées!$C$13)</f>
        <v>28040.6519657957</v>
      </c>
      <c r="BD67" s="2" t="n">
        <f aca="false">AA67*AQ67</f>
        <v>5938.81406716508</v>
      </c>
      <c r="BE67" s="2" t="n">
        <f aca="false">BD67/BC67</f>
        <v>0.211793009463878</v>
      </c>
      <c r="BF67" s="2" t="n">
        <f aca="false">BD67/(Entrées!$C$151/100)-BC67</f>
        <v>4952.75951845474</v>
      </c>
      <c r="BG67" s="2" t="n">
        <f aca="false">MIN(AV67,BF67)</f>
        <v>1613.47481867835</v>
      </c>
      <c r="BH67" s="2" t="n">
        <f aca="false">IF(AC67&gt;Hypothèses!$J$26,MAX(0,BG67)/(1-Hypothèses!$J$26/AC67),0)</f>
        <v>2531.0563782619</v>
      </c>
    </row>
    <row r="68" customFormat="false" ht="15" hidden="false" customHeight="false" outlineLevel="0" collapsed="false">
      <c r="A68" s="2" t="n">
        <v>53</v>
      </c>
      <c r="B68" s="2" t="n">
        <v>0.52898345</v>
      </c>
      <c r="C68" s="2"/>
      <c r="D68" s="2" t="n">
        <v>0.461320569</v>
      </c>
      <c r="E68" s="2" t="n">
        <f aca="false">IF(E$7=E$5,E$6,IF(NORMSDIST(E$9*SQRT($C$11)*NORMSINV($B68)+SQRT(1-E$9^2*$C$11)*NORMSINV(D68))&lt;E$8,E$5+SQRT(NORMSDIST(E$9*SQRT($C$11)*NORMSINV($B68)+SQRT(1-E$9^2*$C$11)*NORMSINV(D68))*(E$7-E$5)*(E$6-E$5)),E$7-SQRT((1-NORMSDIST(E$9*SQRT($C$11)*NORMSINV($B68)+SQRT(1-E$9^2*$C$11)*NORMSINV(D68)))*(E$7-E$5)*(E$7-E$6))))</f>
        <v>0.0549413586451016</v>
      </c>
      <c r="F68" s="2" t="n">
        <v>0.980032374</v>
      </c>
      <c r="G68" s="2" t="n">
        <f aca="false">IF(G$7=G$5,G$6,IF(NORMSDIST(G$9*SQRT($C$11)*NORMSINV($B68)+SQRT(1-G$9^2*$C$11)*NORMSINV(F68))&lt;G$8,G$5+SQRT(NORMSDIST(G$9*SQRT($C$11)*NORMSINV($B68)+SQRT(1-G$9^2*$C$11)*NORMSINV(F68))*(G$7-G$5)*(G$6-G$5)),G$7-SQRT((1-NORMSDIST(G$9*SQRT($C$11)*NORMSINV($B68)+SQRT(1-G$9^2*$C$11)*NORMSINV(F68)))*(G$7-G$5)*(G$7-G$6))))</f>
        <v>0.0652197125282344</v>
      </c>
      <c r="H68" s="2" t="n">
        <v>0.751701597</v>
      </c>
      <c r="I68" s="2" t="n">
        <f aca="false">IF(I$7=I$5,I$6,IF(NORMSDIST(I$9*SQRT($C$11)*NORMSINV($B68)+SQRT(1-I$9^2*$C$11)*NORMSINV(H68))&lt;I$8,I$5+SQRT(NORMSDIST(I$9*SQRT($C$11)*NORMSINV($B68)+SQRT(1-I$9^2*$C$11)*NORMSINV(H68))*(I$7-I$5)*(I$6-I$5)),I$7-SQRT((1-NORMSDIST(I$9*SQRT($C$11)*NORMSINV($B68)+SQRT(1-I$9^2*$C$11)*NORMSINV(H68)))*(I$7-I$5)*(I$7-I$6))))</f>
        <v>204.941255587264</v>
      </c>
      <c r="J68" s="2" t="n">
        <v>0.933472394</v>
      </c>
      <c r="K68" s="2" t="n">
        <f aca="false">IF(K$7=K$5,K$6,IF(NORMSDIST(K$9*SQRT($C$11)*NORMSINV($B68)+SQRT(1-K$9^2*$C$11)*NORMSINV(J68))&lt;K$8,K$5+SQRT(NORMSDIST(K$9*SQRT($C$11)*NORMSINV($B68)+SQRT(1-K$9^2*$C$11)*NORMSINV(J68))*(K$7-K$5)*(K$6-K$5)),K$7-SQRT((1-NORMSDIST(K$9*SQRT($C$11)*NORMSINV($B68)+SQRT(1-K$9^2*$C$11)*NORMSINV(J68)))*(K$7-K$5)*(K$7-K$6))))</f>
        <v>0.381033549114437</v>
      </c>
      <c r="L68" s="2" t="n">
        <v>0.444843728</v>
      </c>
      <c r="M68" s="2" t="n">
        <f aca="false">IF(M$7=M$5,M$6,IF(NORMSDIST(M$9*SQRT($C$11)*NORMSINV($B68)+SQRT(1-M$9^2*$C$11)*NORMSINV(L68))&lt;M$8,M$5+SQRT(NORMSDIST(M$9*SQRT($C$11)*NORMSINV($B68)+SQRT(1-M$9^2*$C$11)*NORMSINV(L68))*(M$7-M$5)*(M$6-M$5)),M$7-SQRT((1-NORMSDIST(M$9*SQRT($C$11)*NORMSINV($B68)+SQRT(1-M$9^2*$C$11)*NORMSINV(L68)))*(M$7-M$5)*(M$7-M$6))))</f>
        <v>1578.3519661</v>
      </c>
      <c r="N68" s="2" t="n">
        <v>0.762353341</v>
      </c>
      <c r="O68" s="2" t="n">
        <f aca="false">IF(O$7=O$5,O$6,IF(NORMSDIST(O$9*SQRT($C$11)*NORMSINV($B68)+SQRT(1-O$9^2*$C$11)*NORMSINV(N68))&lt;O$8,O$5+SQRT(NORMSDIST(O$9*SQRT($C$11)*NORMSINV($B68)+SQRT(1-O$9^2*$C$11)*NORMSINV(N68))*(O$7-O$5)*(O$6-O$5)),O$7-SQRT((1-NORMSDIST(O$9*SQRT($C$11)*NORMSINV($B68)+SQRT(1-O$9^2*$C$11)*NORMSINV(N68)))*(O$7-O$5)*(O$7-O$6))))</f>
        <v>0.172897490562987</v>
      </c>
      <c r="P68" s="2" t="n">
        <v>0.049405042</v>
      </c>
      <c r="Q68" s="2" t="n">
        <f aca="false">IF(Q$7=Q$5,Q$6,IF(NORMSDIST(Q$9*SQRT($C$11)*NORMSINV($B68)+SQRT(1-Q$9^2*$C$11)*NORMSINV(P68))&lt;Q$8,Q$5+SQRT(NORMSDIST(Q$9*SQRT($C$11)*NORMSINV($B68)+SQRT(1-Q$9^2*$C$11)*NORMSINV(P68))*(Q$7-Q$5)*(Q$6-Q$5)),Q$7-SQRT((1-NORMSDIST(Q$9*SQRT($C$11)*NORMSINV($B68)+SQRT(1-Q$9^2*$C$11)*NORMSINV(P68)))*(Q$7-Q$5)*(Q$7-Q$6))))</f>
        <v>0.0525736285295853</v>
      </c>
      <c r="R68" s="2" t="n">
        <v>0.591547822</v>
      </c>
      <c r="S68" s="2" t="n">
        <f aca="false">IF(S$7=S$5,S$6,IF(NORMSDIST(S$9*SQRT($C$11)*NORMSINV($B68)+SQRT(1-S$9^2*$C$11)*NORMSINV(R68))&lt;S$8,S$5+SQRT(NORMSDIST(S$9*SQRT($C$11)*NORMSINV($B68)+SQRT(1-S$9^2*$C$11)*NORMSINV(R68))*(S$7-S$5)*(S$6-S$5)),S$7-SQRT((1-NORMSDIST(S$9*SQRT($C$11)*NORMSINV($B68)+SQRT(1-S$9^2*$C$11)*NORMSINV(R68)))*(S$7-S$5)*(S$7-S$6))))</f>
        <v>0.546755418851327</v>
      </c>
      <c r="T68" s="2" t="n">
        <v>0.861989994</v>
      </c>
      <c r="U68" s="2" t="n">
        <f aca="false">IF(U$7=U$5,U$6,IF(NORMSDIST(U$9*SQRT($C$11)*NORMSINV($B68)+SQRT(1-U$9^2*$C$11)*NORMSINV(T68))&lt;U$8,U$5+SQRT(NORMSDIST(U$9*SQRT($C$11)*NORMSINV($B68)+SQRT(1-U$9^2*$C$11)*NORMSINV(T68))*(U$7-U$5)*(U$6-U$5)),U$7-SQRT((1-NORMSDIST(U$9*SQRT($C$11)*NORMSINV($B68)+SQRT(1-U$9^2*$C$11)*NORMSINV(T68)))*(U$7-U$5)*(U$7-U$6))))</f>
        <v>0.694387964005154</v>
      </c>
      <c r="V68" s="2" t="n">
        <v>0.788743654</v>
      </c>
      <c r="W68" s="2" t="n">
        <f aca="false">IF(W$7=W$5,W$6,IF(NORMSDIST(W$9*SQRT($C$11)*NORMSINV($B68)+SQRT(1-W$9^2*$C$11)*NORMSINV(V68))&lt;W$8,W$5+SQRT(NORMSDIST(W$9*SQRT($C$11)*NORMSINV($B68)+SQRT(1-W$9^2*$C$11)*NORMSINV(V68))*(W$7-W$5)*(W$6-W$5)),W$7-SQRT((1-NORMSDIST(W$9*SQRT($C$11)*NORMSINV($B68)+SQRT(1-W$9^2*$C$11)*NORMSINV(V68)))*(W$7-W$5)*(W$7-W$6))))</f>
        <v>10.5792957666753</v>
      </c>
      <c r="X68" s="2" t="n">
        <v>0.550030355</v>
      </c>
      <c r="Y68" s="2" t="n">
        <f aca="false">IF(Y$7=Y$5,Y$6,IF(NORMSDIST(Y$9*SQRT($C$11)*NORMSINV($B68)+SQRT(1-Y$9^2*$C$11)*NORMSINV(X68))&lt;Y$8,Y$5+SQRT(NORMSDIST(Y$9*SQRT($C$11)*NORMSINV($B68)+SQRT(1-Y$9^2*$C$11)*NORMSINV(X68))*(Y$7-Y$5)*(Y$6-Y$5)),Y$7-SQRT((1-NORMSDIST(Y$9*SQRT($C$11)*NORMSINV($B68)+SQRT(1-Y$9^2*$C$11)*NORMSINV(X68)))*(Y$7-Y$5)*(Y$7-Y$6))))</f>
        <v>0.525674349734278</v>
      </c>
      <c r="Z68" s="2" t="n">
        <v>0.301804387</v>
      </c>
      <c r="AA68" s="2" t="n">
        <f aca="false">IF(AA$7=AA$5,AA$6,IF(NORMSDIST(AA$9*SQRT($C$11)*NORMSINV($B68)+SQRT(1-AA$9^2*$C$11)*NORMSINV(Z68))&lt;AA$8,AA$5+SQRT(NORMSDIST(AA$9*SQRT($C$11)*NORMSINV($B68)+SQRT(1-AA$9^2*$C$11)*NORMSINV(Z68))*(AA$7-AA$5)*(AA$6-AA$5)),AA$7-SQRT((1-NORMSDIST(AA$9*SQRT($C$11)*NORMSINV($B68)+SQRT(1-AA$9^2*$C$11)*NORMSINV(Z68)))*(AA$7-AA$5)*(AA$7-AA$6))))</f>
        <v>0.723126021697153</v>
      </c>
      <c r="AB68" s="2" t="n">
        <v>0.095115731</v>
      </c>
      <c r="AC68" s="2" t="n">
        <f aca="false">IF(AC$7=AC$5,AC$6,IF(NORMSDIST(AC$9*SQRT($C$11)*NORMSINV($B68)+SQRT(1-AC$9^2*$C$11)*NORMSINV(AB68))&lt;AC$8,AC$5+SQRT(NORMSDIST(AC$9*SQRT($C$11)*NORMSINV($B68)+SQRT(1-AC$9^2*$C$11)*NORMSINV(AB68))*(AC$7-AC$5)*(AC$6-AC$5)),AC$7-SQRT((1-NORMSDIST(AC$9*SQRT($C$11)*NORMSINV($B68)+SQRT(1-AC$9^2*$C$11)*NORMSINV(AB68)))*(AC$7-AC$5)*(AC$7-AC$6))))</f>
        <v>8.59889412557105</v>
      </c>
      <c r="AD68" s="2" t="n">
        <f aca="false">Entrées!$C$8*(1+E68)</f>
        <v>7437.33657844797</v>
      </c>
      <c r="AE68" s="2" t="n">
        <f aca="false">I68*Hypothèses!$J$24/12/Hypothèses!$J$19</f>
        <v>101.670700956835</v>
      </c>
      <c r="AF68" s="2" t="n">
        <f aca="false">Entrées!$C$36*S68*1000</f>
        <v>273.377709425663</v>
      </c>
      <c r="AG68" s="2" t="n">
        <f aca="false">-AF68/W68</f>
        <v>-25.8408230051382</v>
      </c>
      <c r="AH68" s="2" t="n">
        <f aca="false">AD68+AE68+AG68</f>
        <v>7513.16645639966</v>
      </c>
      <c r="AI68" s="2" t="n">
        <f aca="false">Entrées!$C$16-M68+Hypothèses!$J$22*1000-AF68+Hypothèses!$J$23</f>
        <v>22696.2703244743</v>
      </c>
      <c r="AJ68" s="2" t="n">
        <f aca="false">AI68/AH68</f>
        <v>3.02086616291348</v>
      </c>
      <c r="AK68" s="2" t="n">
        <f aca="false">AI68/(AH68+I68*(12-Hypothèses!$J$24)/12/Hypothèses!$J$19)</f>
        <v>2.99194614595303</v>
      </c>
      <c r="AL68" s="2" t="n">
        <f aca="false">(AD68+AG68+I68/Hypothèses!$J$19)*(1+G68)</f>
        <v>8080.53132346695</v>
      </c>
      <c r="AM68" s="2" t="n">
        <f aca="false">Entrées!$C$54*K68/Hypothèses!$J$19</f>
        <v>38.8860735436159</v>
      </c>
      <c r="AN68" s="2" t="n">
        <f aca="false">Y68*1000/AC68</f>
        <v>61.1327854556377</v>
      </c>
      <c r="AO68" s="2" t="n">
        <f aca="false">(Entrées!$C$36*(1-S68)+MAX(0,Entrées!$C$30-Entrées!$C$35-Entrées!$C$36)*U68)*1000</f>
        <v>1198.76544018155</v>
      </c>
      <c r="AP68" s="2" t="n">
        <f aca="false">-AO68/W68</f>
        <v>-113.312404400079</v>
      </c>
      <c r="AQ68" s="2" t="n">
        <f aca="false">AL68+AM68+AN68+AP68</f>
        <v>8067.23777806613</v>
      </c>
      <c r="AR68" s="2" t="n">
        <f aca="false">O68*AQ68-Hypothèses!$J$25/Hypothèses!$J$19</f>
        <v>1375.67000534093</v>
      </c>
      <c r="AS68" s="2" t="n">
        <f aca="false">Entrées!$C$79*(1+Q68)+Hypothèses!$J$20</f>
        <v>1451.77841775401</v>
      </c>
      <c r="AT68" s="2" t="n">
        <f aca="false">AI68-AR68+AS68+Y68*1000-AO68+Hypothèses!$J$23</f>
        <v>22099.2876464402</v>
      </c>
      <c r="AU68" s="2" t="n">
        <f aca="false">AT68/AQ68</f>
        <v>2.73938716750429</v>
      </c>
      <c r="AV68" s="2" t="n">
        <f aca="false">Hypothèses!$J$26*AQ68-AT68</f>
        <v>2102.42568775823</v>
      </c>
      <c r="AW68" s="2" t="n">
        <f aca="false">IF(AC68&gt;Hypothèses!$J$26,MAX(0,AV68)/(1-Hypothèses!$J$26/AC68),0)</f>
        <v>3228.94762616538</v>
      </c>
      <c r="AX68" s="2" t="n">
        <f aca="false">AQ68-Entrées!$C$17*1000</f>
        <v>67.2377780661273</v>
      </c>
      <c r="AY68" s="2" t="n">
        <f aca="false">AI68+(Entrées!$C$244-Entrées!$C$13)</f>
        <v>28443.2703244743</v>
      </c>
      <c r="AZ68" s="2" t="n">
        <f aca="false">AA68*AH68</f>
        <v>5432.96616996478</v>
      </c>
      <c r="BA68" s="2" t="n">
        <f aca="false">AZ68/AY68</f>
        <v>0.191010601382568</v>
      </c>
      <c r="BB68" s="2" t="n">
        <f aca="false">AZ68/(Entrées!$C$151/100)-AY68</f>
        <v>1739.87506421889</v>
      </c>
      <c r="BC68" s="2" t="n">
        <f aca="false">AT68+(Entrées!$C$244-Entrées!$C$13)</f>
        <v>27846.2876464402</v>
      </c>
      <c r="BD68" s="2" t="n">
        <f aca="false">AA68*AQ68</f>
        <v>5833.62956053794</v>
      </c>
      <c r="BE68" s="2" t="n">
        <f aca="false">BD68/BC68</f>
        <v>0.209493977603284</v>
      </c>
      <c r="BF68" s="2" t="n">
        <f aca="false">BD68/(Entrées!$C$151/100)-BC68</f>
        <v>4562.76546765949</v>
      </c>
      <c r="BG68" s="2" t="n">
        <f aca="false">MIN(AV68,BF68)</f>
        <v>2102.42568775823</v>
      </c>
      <c r="BH68" s="2" t="n">
        <f aca="false">IF(AC68&gt;Hypothèses!$J$26,MAX(0,BG68)/(1-Hypothèses!$J$26/AC68),0)</f>
        <v>3228.94762616538</v>
      </c>
    </row>
    <row r="69" customFormat="false" ht="15" hidden="false" customHeight="false" outlineLevel="0" collapsed="false">
      <c r="A69" s="2" t="n">
        <v>54</v>
      </c>
      <c r="B69" s="2" t="n">
        <v>0.172912718</v>
      </c>
      <c r="C69" s="2"/>
      <c r="D69" s="2" t="n">
        <v>0.92615778</v>
      </c>
      <c r="E69" s="2" t="n">
        <f aca="false">IF(E$7=E$5,E$6,IF(NORMSDIST(E$9*SQRT($C$11)*NORMSINV($B69)+SQRT(1-E$9^2*$C$11)*NORMSINV(D69))&lt;E$8,E$5+SQRT(NORMSDIST(E$9*SQRT($C$11)*NORMSINV($B69)+SQRT(1-E$9^2*$C$11)*NORMSINV(D69))*(E$7-E$5)*(E$6-E$5)),E$7-SQRT((1-NORMSDIST(E$9*SQRT($C$11)*NORMSINV($B69)+SQRT(1-E$9^2*$C$11)*NORMSINV(D69)))*(E$7-E$5)*(E$7-E$6))))</f>
        <v>0.0561288165964942</v>
      </c>
      <c r="F69" s="2" t="n">
        <v>0.773873522</v>
      </c>
      <c r="G69" s="2" t="n">
        <f aca="false">IF(G$7=G$5,G$6,IF(NORMSDIST(G$9*SQRT($C$11)*NORMSINV($B69)+SQRT(1-G$9^2*$C$11)*NORMSINV(F69))&lt;G$8,G$5+SQRT(NORMSDIST(G$9*SQRT($C$11)*NORMSINV($B69)+SQRT(1-G$9^2*$C$11)*NORMSINV(F69))*(G$7-G$5)*(G$6-G$5)),G$7-SQRT((1-NORMSDIST(G$9*SQRT($C$11)*NORMSINV($B69)+SQRT(1-G$9^2*$C$11)*NORMSINV(F69)))*(G$7-G$5)*(G$7-G$6))))</f>
        <v>0.0549160485454544</v>
      </c>
      <c r="H69" s="2" t="n">
        <v>0.570651259</v>
      </c>
      <c r="I69" s="2" t="n">
        <f aca="false">IF(I$7=I$5,I$6,IF(NORMSDIST(I$9*SQRT($C$11)*NORMSINV($B69)+SQRT(1-I$9^2*$C$11)*NORMSINV(H69))&lt;I$8,I$5+SQRT(NORMSDIST(I$9*SQRT($C$11)*NORMSINV($B69)+SQRT(1-I$9^2*$C$11)*NORMSINV(H69))*(I$7-I$5)*(I$6-I$5)),I$7-SQRT((1-NORMSDIST(I$9*SQRT($C$11)*NORMSINV($B69)+SQRT(1-I$9^2*$C$11)*NORMSINV(H69)))*(I$7-I$5)*(I$7-I$6))))</f>
        <v>196.083780956381</v>
      </c>
      <c r="J69" s="2" t="n">
        <v>0.811860074</v>
      </c>
      <c r="K69" s="2" t="n">
        <f aca="false">IF(K$7=K$5,K$6,IF(NORMSDIST(K$9*SQRT($C$11)*NORMSINV($B69)+SQRT(1-K$9^2*$C$11)*NORMSINV(J69))&lt;K$8,K$5+SQRT(NORMSDIST(K$9*SQRT($C$11)*NORMSINV($B69)+SQRT(1-K$9^2*$C$11)*NORMSINV(J69))*(K$7-K$5)*(K$6-K$5)),K$7-SQRT((1-NORMSDIST(K$9*SQRT($C$11)*NORMSINV($B69)+SQRT(1-K$9^2*$C$11)*NORMSINV(J69)))*(K$7-K$5)*(K$7-K$6))))</f>
        <v>0.259039534768597</v>
      </c>
      <c r="L69" s="2" t="n">
        <v>0.171950414</v>
      </c>
      <c r="M69" s="2" t="n">
        <f aca="false">IF(M$7=M$5,M$6,IF(NORMSDIST(M$9*SQRT($C$11)*NORMSINV($B69)+SQRT(1-M$9^2*$C$11)*NORMSINV(L69))&lt;M$8,M$5+SQRT(NORMSDIST(M$9*SQRT($C$11)*NORMSINV($B69)+SQRT(1-M$9^2*$C$11)*NORMSINV(L69))*(M$7-M$5)*(M$6-M$5)),M$7-SQRT((1-NORMSDIST(M$9*SQRT($C$11)*NORMSINV($B69)+SQRT(1-M$9^2*$C$11)*NORMSINV(L69)))*(M$7-M$5)*(M$7-M$6))))</f>
        <v>1424.13897559057</v>
      </c>
      <c r="N69" s="2" t="n">
        <v>0.729556416</v>
      </c>
      <c r="O69" s="2" t="n">
        <f aca="false">IF(O$7=O$5,O$6,IF(NORMSDIST(O$9*SQRT($C$11)*NORMSINV($B69)+SQRT(1-O$9^2*$C$11)*NORMSINV(N69))&lt;O$8,O$5+SQRT(NORMSDIST(O$9*SQRT($C$11)*NORMSINV($B69)+SQRT(1-O$9^2*$C$11)*NORMSINV(N69))*(O$7-O$5)*(O$6-O$5)),O$7-SQRT((1-NORMSDIST(O$9*SQRT($C$11)*NORMSINV($B69)+SQRT(1-O$9^2*$C$11)*NORMSINV(N69)))*(O$7-O$5)*(O$7-O$6))))</f>
        <v>0.165444388577403</v>
      </c>
      <c r="P69" s="2" t="n">
        <v>0.784732307</v>
      </c>
      <c r="Q69" s="2" t="n">
        <f aca="false">IF(Q$7=Q$5,Q$6,IF(NORMSDIST(Q$9*SQRT($C$11)*NORMSINV($B69)+SQRT(1-Q$9^2*$C$11)*NORMSINV(P69))&lt;Q$8,Q$5+SQRT(NORMSDIST(Q$9*SQRT($C$11)*NORMSINV($B69)+SQRT(1-Q$9^2*$C$11)*NORMSINV(P69))*(Q$7-Q$5)*(Q$6-Q$5)),Q$7-SQRT((1-NORMSDIST(Q$9*SQRT($C$11)*NORMSINV($B69)+SQRT(1-Q$9^2*$C$11)*NORMSINV(P69)))*(Q$7-Q$5)*(Q$7-Q$6))))</f>
        <v>0.0937539218624953</v>
      </c>
      <c r="R69" s="2" t="n">
        <v>0.645839707</v>
      </c>
      <c r="S69" s="2" t="n">
        <f aca="false">IF(S$7=S$5,S$6,IF(NORMSDIST(S$9*SQRT($C$11)*NORMSINV($B69)+SQRT(1-S$9^2*$C$11)*NORMSINV(R69))&lt;S$8,S$5+SQRT(NORMSDIST(S$9*SQRT($C$11)*NORMSINV($B69)+SQRT(1-S$9^2*$C$11)*NORMSINV(R69))*(S$7-S$5)*(S$6-S$5)),S$7-SQRT((1-NORMSDIST(S$9*SQRT($C$11)*NORMSINV($B69)+SQRT(1-S$9^2*$C$11)*NORMSINV(R69)))*(S$7-S$5)*(S$7-S$6))))</f>
        <v>0.43568028423967</v>
      </c>
      <c r="T69" s="2" t="n">
        <v>0.599621372</v>
      </c>
      <c r="U69" s="2" t="n">
        <f aca="false">IF(U$7=U$5,U$6,IF(NORMSDIST(U$9*SQRT($C$11)*NORMSINV($B69)+SQRT(1-U$9^2*$C$11)*NORMSINV(T69))&lt;U$8,U$5+SQRT(NORMSDIST(U$9*SQRT($C$11)*NORMSINV($B69)+SQRT(1-U$9^2*$C$11)*NORMSINV(T69))*(U$7-U$5)*(U$6-U$5)),U$7-SQRT((1-NORMSDIST(U$9*SQRT($C$11)*NORMSINV($B69)+SQRT(1-U$9^2*$C$11)*NORMSINV(T69)))*(U$7-U$5)*(U$7-U$6))))</f>
        <v>0.414912203179914</v>
      </c>
      <c r="V69" s="2" t="n">
        <v>0.976962687</v>
      </c>
      <c r="W69" s="2" t="n">
        <f aca="false">IF(W$7=W$5,W$6,IF(NORMSDIST(W$9*SQRT($C$11)*NORMSINV($B69)+SQRT(1-W$9^2*$C$11)*NORMSINV(V69))&lt;W$8,W$5+SQRT(NORMSDIST(W$9*SQRT($C$11)*NORMSINV($B69)+SQRT(1-W$9^2*$C$11)*NORMSINV(V69))*(W$7-W$5)*(W$6-W$5)),W$7-SQRT((1-NORMSDIST(W$9*SQRT($C$11)*NORMSINV($B69)+SQRT(1-W$9^2*$C$11)*NORMSINV(V69)))*(W$7-W$5)*(W$7-W$6))))</f>
        <v>10.8292093069051</v>
      </c>
      <c r="X69" s="2" t="n">
        <v>0.526487053</v>
      </c>
      <c r="Y69" s="2" t="n">
        <f aca="false">IF(Y$7=Y$5,Y$6,IF(NORMSDIST(Y$9*SQRT($C$11)*NORMSINV($B69)+SQRT(1-Y$9^2*$C$11)*NORMSINV(X69))&lt;Y$8,Y$5+SQRT(NORMSDIST(Y$9*SQRT($C$11)*NORMSINV($B69)+SQRT(1-Y$9^2*$C$11)*NORMSINV(X69))*(Y$7-Y$5)*(Y$6-Y$5)),Y$7-SQRT((1-NORMSDIST(Y$9*SQRT($C$11)*NORMSINV($B69)+SQRT(1-Y$9^2*$C$11)*NORMSINV(X69)))*(Y$7-Y$5)*(Y$7-Y$6))))</f>
        <v>0.513423722834744</v>
      </c>
      <c r="Z69" s="2" t="n">
        <v>0.257922626</v>
      </c>
      <c r="AA69" s="2" t="n">
        <f aca="false">IF(AA$7=AA$5,AA$6,IF(NORMSDIST(AA$9*SQRT($C$11)*NORMSINV($B69)+SQRT(1-AA$9^2*$C$11)*NORMSINV(Z69))&lt;AA$8,AA$5+SQRT(NORMSDIST(AA$9*SQRT($C$11)*NORMSINV($B69)+SQRT(1-AA$9^2*$C$11)*NORMSINV(Z69))*(AA$7-AA$5)*(AA$6-AA$5)),AA$7-SQRT((1-NORMSDIST(AA$9*SQRT($C$11)*NORMSINV($B69)+SQRT(1-AA$9^2*$C$11)*NORMSINV(Z69)))*(AA$7-AA$5)*(AA$7-AA$6))))</f>
        <v>0.712375637617737</v>
      </c>
      <c r="AB69" s="2" t="n">
        <v>0.558355113</v>
      </c>
      <c r="AC69" s="2" t="n">
        <f aca="false">IF(AC$7=AC$5,AC$6,IF(NORMSDIST(AC$9*SQRT($C$11)*NORMSINV($B69)+SQRT(1-AC$9^2*$C$11)*NORMSINV(AB69))&lt;AC$8,AC$5+SQRT(NORMSDIST(AC$9*SQRT($C$11)*NORMSINV($B69)+SQRT(1-AC$9^2*$C$11)*NORMSINV(AB69))*(AC$7-AC$5)*(AC$6-AC$5)),AC$7-SQRT((1-NORMSDIST(AC$9*SQRT($C$11)*NORMSINV($B69)+SQRT(1-AC$9^2*$C$11)*NORMSINV(AB69)))*(AC$7-AC$5)*(AC$7-AC$6))))</f>
        <v>9.04899315532519</v>
      </c>
      <c r="AD69" s="2" t="n">
        <f aca="false">Entrées!$C$8*(1+E69)</f>
        <v>7445.70815700528</v>
      </c>
      <c r="AE69" s="2" t="n">
        <f aca="false">I69*Hypothèses!$J$24/12/Hypothèses!$J$19</f>
        <v>97.2765361419049</v>
      </c>
      <c r="AF69" s="2" t="n">
        <f aca="false">Entrées!$C$36*S69*1000</f>
        <v>217.840142119835</v>
      </c>
      <c r="AG69" s="2" t="n">
        <f aca="false">-AF69/W69</f>
        <v>-20.115978548954</v>
      </c>
      <c r="AH69" s="2" t="n">
        <f aca="false">AD69+AE69+AG69</f>
        <v>7522.86871459824</v>
      </c>
      <c r="AI69" s="2" t="n">
        <f aca="false">Entrées!$C$16-M69+Hypothèses!$J$22*1000-AF69+Hypothèses!$J$23</f>
        <v>22906.0208822896</v>
      </c>
      <c r="AJ69" s="2" t="n">
        <f aca="false">AI69/AH69</f>
        <v>3.04485187118049</v>
      </c>
      <c r="AK69" s="2" t="n">
        <f aca="false">AI69/(AH69+I69*(12-Hypothèses!$J$24)/12/Hypothèses!$J$19)</f>
        <v>3.01698617489815</v>
      </c>
      <c r="AL69" s="2" t="n">
        <f aca="false">(AD69+AG69+I69/Hypothèses!$J$19)*(1+G69)</f>
        <v>8009.29392321805</v>
      </c>
      <c r="AM69" s="2" t="n">
        <f aca="false">Entrées!$C$54*K69/Hypothèses!$J$19</f>
        <v>26.4360721598571</v>
      </c>
      <c r="AN69" s="2" t="n">
        <f aca="false">Y69*1000/AC69</f>
        <v>56.7382154038433</v>
      </c>
      <c r="AO69" s="2" t="n">
        <f aca="false">(Entrées!$C$36*(1-S69)+MAX(0,Entrées!$C$30-Entrées!$C$35-Entrées!$C$36)*U69)*1000</f>
        <v>863.036942332045</v>
      </c>
      <c r="AP69" s="2" t="n">
        <f aca="false">-AO69/W69</f>
        <v>-79.6952868739682</v>
      </c>
      <c r="AQ69" s="2" t="n">
        <f aca="false">AL69+AM69+AN69+AP69</f>
        <v>8012.77292390779</v>
      </c>
      <c r="AR69" s="2" t="n">
        <f aca="false">O69*AQ69-Hypothèses!$J$25/Hypothèses!$J$19</f>
        <v>1306.53315494387</v>
      </c>
      <c r="AS69" s="2" t="n">
        <f aca="false">Entrées!$C$79*(1+Q69)+Hypothèses!$J$20</f>
        <v>1497.03556012688</v>
      </c>
      <c r="AT69" s="2" t="n">
        <f aca="false">AI69-AR69+AS69+Y69*1000-AO69+Hypothèses!$J$23</f>
        <v>22746.9100679753</v>
      </c>
      <c r="AU69" s="2" t="n">
        <f aca="false">AT69/AQ69</f>
        <v>2.83883123657543</v>
      </c>
      <c r="AV69" s="2" t="n">
        <f aca="false">Hypothèses!$J$26*AQ69-AT69</f>
        <v>1291.40870374806</v>
      </c>
      <c r="AW69" s="2" t="n">
        <f aca="false">IF(AC69&gt;Hypothèses!$J$26,MAX(0,AV69)/(1-Hypothèses!$J$26/AC69),0)</f>
        <v>1931.88324418187</v>
      </c>
      <c r="AX69" s="2" t="n">
        <f aca="false">AQ69-Entrées!$C$17*1000</f>
        <v>12.7729239077862</v>
      </c>
      <c r="AY69" s="2" t="n">
        <f aca="false">AI69+(Entrées!$C$244-Entrées!$C$13)</f>
        <v>28653.0208822896</v>
      </c>
      <c r="AZ69" s="2" t="n">
        <f aca="false">AA69*AH69</f>
        <v>5359.10839727644</v>
      </c>
      <c r="BA69" s="2" t="n">
        <f aca="false">AZ69/AY69</f>
        <v>0.187034673212726</v>
      </c>
      <c r="BB69" s="2" t="n">
        <f aca="false">AZ69/(Entrées!$C$151/100)-AY69</f>
        <v>1119.80354702398</v>
      </c>
      <c r="BC69" s="2" t="n">
        <f aca="false">AT69+(Entrées!$C$244-Entrées!$C$13)</f>
        <v>28493.9100679753</v>
      </c>
      <c r="BD69" s="2" t="n">
        <f aca="false">AA69*AQ69</f>
        <v>5708.10422075495</v>
      </c>
      <c r="BE69" s="2" t="n">
        <f aca="false">BD69/BC69</f>
        <v>0.200327164897259</v>
      </c>
      <c r="BF69" s="2" t="n">
        <f aca="false">BD69/(Entrées!$C$151/100)-BC69</f>
        <v>3217.78004732996</v>
      </c>
      <c r="BG69" s="2" t="n">
        <f aca="false">MIN(AV69,BF69)</f>
        <v>1291.40870374806</v>
      </c>
      <c r="BH69" s="2" t="n">
        <f aca="false">IF(AC69&gt;Hypothèses!$J$26,MAX(0,BG69)/(1-Hypothèses!$J$26/AC69),0)</f>
        <v>1931.88324418187</v>
      </c>
    </row>
    <row r="70" customFormat="false" ht="15" hidden="false" customHeight="false" outlineLevel="0" collapsed="false">
      <c r="A70" s="2" t="n">
        <v>55</v>
      </c>
      <c r="B70" s="2" t="n">
        <v>0.004114374</v>
      </c>
      <c r="C70" s="2"/>
      <c r="D70" s="2" t="n">
        <v>0.271228241</v>
      </c>
      <c r="E70" s="2" t="n">
        <f aca="false">IF(E$7=E$5,E$6,IF(NORMSDIST(E$9*SQRT($C$11)*NORMSINV($B70)+SQRT(1-E$9^2*$C$11)*NORMSINV(D70))&lt;E$8,E$5+SQRT(NORMSDIST(E$9*SQRT($C$11)*NORMSINV($B70)+SQRT(1-E$9^2*$C$11)*NORMSINV(D70))*(E$7-E$5)*(E$6-E$5)),E$7-SQRT((1-NORMSDIST(E$9*SQRT($C$11)*NORMSINV($B70)+SQRT(1-E$9^2*$C$11)*NORMSINV(D70)))*(E$7-E$5)*(E$7-E$6))))</f>
        <v>0.0508958989503799</v>
      </c>
      <c r="F70" s="2" t="n">
        <v>0.402333225</v>
      </c>
      <c r="G70" s="2" t="n">
        <f aca="false">IF(G$7=G$5,G$6,IF(NORMSDIST(G$9*SQRT($C$11)*NORMSINV($B70)+SQRT(1-G$9^2*$C$11)*NORMSINV(F70))&lt;G$8,G$5+SQRT(NORMSDIST(G$9*SQRT($C$11)*NORMSINV($B70)+SQRT(1-G$9^2*$C$11)*NORMSINV(F70))*(G$7-G$5)*(G$6-G$5)),G$7-SQRT((1-NORMSDIST(G$9*SQRT($C$11)*NORMSINV($B70)+SQRT(1-G$9^2*$C$11)*NORMSINV(F70)))*(G$7-G$5)*(G$7-G$6))))</f>
        <v>0.0437494821465437</v>
      </c>
      <c r="H70" s="2" t="n">
        <v>0.831791216</v>
      </c>
      <c r="I70" s="2" t="n">
        <f aca="false">IF(I$7=I$5,I$6,IF(NORMSDIST(I$9*SQRT($C$11)*NORMSINV($B70)+SQRT(1-I$9^2*$C$11)*NORMSINV(H70))&lt;I$8,I$5+SQRT(NORMSDIST(I$9*SQRT($C$11)*NORMSINV($B70)+SQRT(1-I$9^2*$C$11)*NORMSINV(H70))*(I$7-I$5)*(I$6-I$5)),I$7-SQRT((1-NORMSDIST(I$9*SQRT($C$11)*NORMSINV($B70)+SQRT(1-I$9^2*$C$11)*NORMSINV(H70)))*(I$7-I$5)*(I$7-I$6))))</f>
        <v>191.901030091968</v>
      </c>
      <c r="J70" s="2" t="n">
        <v>0.338614298</v>
      </c>
      <c r="K70" s="2" t="n">
        <f aca="false">IF(K$7=K$5,K$6,IF(NORMSDIST(K$9*SQRT($C$11)*NORMSINV($B70)+SQRT(1-K$9^2*$C$11)*NORMSINV(J70))&lt;K$8,K$5+SQRT(NORMSDIST(K$9*SQRT($C$11)*NORMSINV($B70)+SQRT(1-K$9^2*$C$11)*NORMSINV(J70))*(K$7-K$5)*(K$6-K$5)),K$7-SQRT((1-NORMSDIST(K$9*SQRT($C$11)*NORMSINV($B70)+SQRT(1-K$9^2*$C$11)*NORMSINV(J70)))*(K$7-K$5)*(K$7-K$6))))</f>
        <v>0.053725927581815</v>
      </c>
      <c r="L70" s="2" t="n">
        <v>0.661903108</v>
      </c>
      <c r="M70" s="2" t="n">
        <f aca="false">IF(M$7=M$5,M$6,IF(NORMSDIST(M$9*SQRT($C$11)*NORMSINV($B70)+SQRT(1-M$9^2*$C$11)*NORMSINV(L70))&lt;M$8,M$5+SQRT(NORMSDIST(M$9*SQRT($C$11)*NORMSINV($B70)+SQRT(1-M$9^2*$C$11)*NORMSINV(L70))*(M$7-M$5)*(M$6-M$5)),M$7-SQRT((1-NORMSDIST(M$9*SQRT($C$11)*NORMSINV($B70)+SQRT(1-M$9^2*$C$11)*NORMSINV(L70)))*(M$7-M$5)*(M$7-M$6))))</f>
        <v>1422.150465076</v>
      </c>
      <c r="N70" s="2" t="n">
        <v>0.034041146</v>
      </c>
      <c r="O70" s="2" t="n">
        <f aca="false">IF(O$7=O$5,O$6,IF(NORMSDIST(O$9*SQRT($C$11)*NORMSINV($B70)+SQRT(1-O$9^2*$C$11)*NORMSINV(N70))&lt;O$8,O$5+SQRT(NORMSDIST(O$9*SQRT($C$11)*NORMSINV($B70)+SQRT(1-O$9^2*$C$11)*NORMSINV(N70))*(O$7-O$5)*(O$6-O$5)),O$7-SQRT((1-NORMSDIST(O$9*SQRT($C$11)*NORMSINV($B70)+SQRT(1-O$9^2*$C$11)*NORMSINV(N70)))*(O$7-O$5)*(O$7-O$6))))</f>
        <v>0.141209426971409</v>
      </c>
      <c r="P70" s="2" t="n">
        <v>0.492977842</v>
      </c>
      <c r="Q70" s="2" t="n">
        <f aca="false">IF(Q$7=Q$5,Q$6,IF(NORMSDIST(Q$9*SQRT($C$11)*NORMSINV($B70)+SQRT(1-Q$9^2*$C$11)*NORMSINV(P70))&lt;Q$8,Q$5+SQRT(NORMSDIST(Q$9*SQRT($C$11)*NORMSINV($B70)+SQRT(1-Q$9^2*$C$11)*NORMSINV(P70))*(Q$7-Q$5)*(Q$6-Q$5)),Q$7-SQRT((1-NORMSDIST(Q$9*SQRT($C$11)*NORMSINV($B70)+SQRT(1-Q$9^2*$C$11)*NORMSINV(P70)))*(Q$7-Q$5)*(Q$7-Q$6))))</f>
        <v>0.0797181204791969</v>
      </c>
      <c r="R70" s="2" t="n">
        <v>0.937216018</v>
      </c>
      <c r="S70" s="2" t="n">
        <f aca="false">IF(S$7=S$5,S$6,IF(NORMSDIST(S$9*SQRT($C$11)*NORMSINV($B70)+SQRT(1-S$9^2*$C$11)*NORMSINV(R70))&lt;S$8,S$5+SQRT(NORMSDIST(S$9*SQRT($C$11)*NORMSINV($B70)+SQRT(1-S$9^2*$C$11)*NORMSINV(R70))*(S$7-S$5)*(S$6-S$5)),S$7-SQRT((1-NORMSDIST(S$9*SQRT($C$11)*NORMSINV($B70)+SQRT(1-S$9^2*$C$11)*NORMSINV(R70)))*(S$7-S$5)*(S$7-S$6))))</f>
        <v>0.396186561463383</v>
      </c>
      <c r="T70" s="2" t="n">
        <v>0.767199727</v>
      </c>
      <c r="U70" s="2" t="n">
        <f aca="false">IF(U$7=U$5,U$6,IF(NORMSDIST(U$9*SQRT($C$11)*NORMSINV($B70)+SQRT(1-U$9^2*$C$11)*NORMSINV(T70))&lt;U$8,U$5+SQRT(NORMSDIST(U$9*SQRT($C$11)*NORMSINV($B70)+SQRT(1-U$9^2*$C$11)*NORMSINV(T70))*(U$7-U$5)*(U$6-U$5)),U$7-SQRT((1-NORMSDIST(U$9*SQRT($C$11)*NORMSINV($B70)+SQRT(1-U$9^2*$C$11)*NORMSINV(T70)))*(U$7-U$5)*(U$7-U$6))))</f>
        <v>0.259173716039948</v>
      </c>
      <c r="V70" s="2" t="n">
        <v>0.202803013</v>
      </c>
      <c r="W70" s="2" t="n">
        <f aca="false">IF(W$7=W$5,W$6,IF(NORMSDIST(W$9*SQRT($C$11)*NORMSINV($B70)+SQRT(1-W$9^2*$C$11)*NORMSINV(V70))&lt;W$8,W$5+SQRT(NORMSDIST(W$9*SQRT($C$11)*NORMSINV($B70)+SQRT(1-W$9^2*$C$11)*NORMSINV(V70))*(W$7-W$5)*(W$6-W$5)),W$7-SQRT((1-NORMSDIST(W$9*SQRT($C$11)*NORMSINV($B70)+SQRT(1-W$9^2*$C$11)*NORMSINV(V70)))*(W$7-W$5)*(W$7-W$6))))</f>
        <v>8.2869607323093</v>
      </c>
      <c r="X70" s="2" t="n">
        <v>0.311588004</v>
      </c>
      <c r="Y70" s="2" t="n">
        <f aca="false">IF(Y$7=Y$5,Y$6,IF(NORMSDIST(Y$9*SQRT($C$11)*NORMSINV($B70)+SQRT(1-Y$9^2*$C$11)*NORMSINV(X70))&lt;Y$8,Y$5+SQRT(NORMSDIST(Y$9*SQRT($C$11)*NORMSINV($B70)+SQRT(1-Y$9^2*$C$11)*NORMSINV(X70))*(Y$7-Y$5)*(Y$6-Y$5)),Y$7-SQRT((1-NORMSDIST(Y$9*SQRT($C$11)*NORMSINV($B70)+SQRT(1-Y$9^2*$C$11)*NORMSINV(X70)))*(Y$7-Y$5)*(Y$7-Y$6))))</f>
        <v>0.394707489161278</v>
      </c>
      <c r="Z70" s="2" t="n">
        <v>0.747662594</v>
      </c>
      <c r="AA70" s="2" t="n">
        <f aca="false">IF(AA$7=AA$5,AA$6,IF(NORMSDIST(AA$9*SQRT($C$11)*NORMSINV($B70)+SQRT(1-AA$9^2*$C$11)*NORMSINV(Z70))&lt;AA$8,AA$5+SQRT(NORMSDIST(AA$9*SQRT($C$11)*NORMSINV($B70)+SQRT(1-AA$9^2*$C$11)*NORMSINV(Z70))*(AA$7-AA$5)*(AA$6-AA$5)),AA$7-SQRT((1-NORMSDIST(AA$9*SQRT($C$11)*NORMSINV($B70)+SQRT(1-AA$9^2*$C$11)*NORMSINV(Z70)))*(AA$7-AA$5)*(AA$7-AA$6))))</f>
        <v>0.711629190759524</v>
      </c>
      <c r="AB70" s="2" t="n">
        <v>0.250084028</v>
      </c>
      <c r="AC70" s="2" t="n">
        <f aca="false">IF(AC$7=AC$5,AC$6,IF(NORMSDIST(AC$9*SQRT($C$11)*NORMSINV($B70)+SQRT(1-AC$9^2*$C$11)*NORMSINV(AB70))&lt;AC$8,AC$5+SQRT(NORMSDIST(AC$9*SQRT($C$11)*NORMSINV($B70)+SQRT(1-AC$9^2*$C$11)*NORMSINV(AB70))*(AC$7-AC$5)*(AC$6-AC$5)),AC$7-SQRT((1-NORMSDIST(AC$9*SQRT($C$11)*NORMSINV($B70)+SQRT(1-AC$9^2*$C$11)*NORMSINV(AB70)))*(AC$7-AC$5)*(AC$7-AC$6))))</f>
        <v>7.74945665356388</v>
      </c>
      <c r="AD70" s="2" t="n">
        <f aca="false">Entrées!$C$8*(1+E70)</f>
        <v>7408.81608760018</v>
      </c>
      <c r="AE70" s="2" t="n">
        <f aca="false">I70*Hypothèses!$J$24/12/Hypothèses!$J$19</f>
        <v>95.2014868254846</v>
      </c>
      <c r="AF70" s="2" t="n">
        <f aca="false">Entrées!$C$36*S70*1000</f>
        <v>198.093280731691</v>
      </c>
      <c r="AG70" s="2" t="n">
        <f aca="false">-AF70/W70</f>
        <v>-23.9042137558783</v>
      </c>
      <c r="AH70" s="2" t="n">
        <f aca="false">AD70+AE70+AG70</f>
        <v>7480.11336066979</v>
      </c>
      <c r="AI70" s="2" t="n">
        <f aca="false">Entrées!$C$16-M70+Hypothèses!$J$22*1000-AF70+Hypothèses!$J$23</f>
        <v>22927.7562541923</v>
      </c>
      <c r="AJ70" s="2" t="n">
        <f aca="false">AI70/AH70</f>
        <v>3.06516160232889</v>
      </c>
      <c r="AK70" s="2" t="n">
        <f aca="false">AI70/(AH70+I70*(12-Hypothèses!$J$24)/12/Hypothèses!$J$19)</f>
        <v>3.03754752117648</v>
      </c>
      <c r="AL70" s="2" t="n">
        <f aca="false">(AD70+AG70+I70/Hypothèses!$J$19)*(1+G70)</f>
        <v>7878.34051986345</v>
      </c>
      <c r="AM70" s="2" t="n">
        <f aca="false">Entrées!$C$54*K70/Hypothèses!$J$19</f>
        <v>5.48295649031678</v>
      </c>
      <c r="AN70" s="2" t="n">
        <f aca="false">Y70*1000/AC70</f>
        <v>50.9335695141616</v>
      </c>
      <c r="AO70" s="2" t="n">
        <f aca="false">(Entrées!$C$36*(1-S70)+MAX(0,Entrées!$C$30-Entrées!$C$35-Entrées!$C$36)*U70)*1000</f>
        <v>664.749921724236</v>
      </c>
      <c r="AP70" s="2" t="n">
        <f aca="false">-AO70/W70</f>
        <v>-80.2163716225299</v>
      </c>
      <c r="AQ70" s="2" t="n">
        <f aca="false">AL70+AM70+AN70+AP70</f>
        <v>7854.54067424539</v>
      </c>
      <c r="AR70" s="2" t="n">
        <f aca="false">O70*AQ70-Hypothèses!$J$25/Hypothèses!$J$19</f>
        <v>1090.00002547219</v>
      </c>
      <c r="AS70" s="2" t="n">
        <f aca="false">Entrées!$C$79*(1+Q70)+Hypothèses!$J$20</f>
        <v>1481.61021440664</v>
      </c>
      <c r="AT70" s="2" t="n">
        <f aca="false">AI70-AR70+AS70+Y70*1000-AO70+Hypothèses!$J$23</f>
        <v>23049.3240105638</v>
      </c>
      <c r="AU70" s="2" t="n">
        <f aca="false">AT70/AQ70</f>
        <v>2.93452220397066</v>
      </c>
      <c r="AV70" s="2" t="n">
        <f aca="false">Hypothèses!$J$26*AQ70-AT70</f>
        <v>514.298012172396</v>
      </c>
      <c r="AW70" s="2" t="n">
        <f aca="false">IF(AC70&gt;Hypothèses!$J$26,MAX(0,AV70)/(1-Hypothèses!$J$26/AC70),0)</f>
        <v>839.154969306521</v>
      </c>
      <c r="AX70" s="2" t="n">
        <f aca="false">AQ70-Entrées!$C$17*1000</f>
        <v>-145.459325754606</v>
      </c>
      <c r="AY70" s="2" t="n">
        <f aca="false">AI70+(Entrées!$C$244-Entrées!$C$13)</f>
        <v>28674.7562541923</v>
      </c>
      <c r="AZ70" s="2" t="n">
        <f aca="false">AA70*AH70</f>
        <v>5323.06701764295</v>
      </c>
      <c r="BA70" s="2" t="n">
        <f aca="false">AZ70/AY70</f>
        <v>0.185635998801723</v>
      </c>
      <c r="BB70" s="2" t="n">
        <f aca="false">AZ70/(Entrées!$C$151/100)-AY70</f>
        <v>897.838288268504</v>
      </c>
      <c r="BC70" s="2" t="n">
        <f aca="false">AT70+(Entrées!$C$244-Entrées!$C$13)</f>
        <v>28796.3240105638</v>
      </c>
      <c r="BD70" s="2" t="n">
        <f aca="false">AA70*AQ70</f>
        <v>5589.52042380102</v>
      </c>
      <c r="BE70" s="2" t="n">
        <f aca="false">BD70/BC70</f>
        <v>0.19410534559031</v>
      </c>
      <c r="BF70" s="2" t="n">
        <f aca="false">BD70/(Entrées!$C$151/100)-BC70</f>
        <v>2256.5672327752</v>
      </c>
      <c r="BG70" s="2" t="n">
        <f aca="false">MIN(AV70,BF70)</f>
        <v>514.298012172396</v>
      </c>
      <c r="BH70" s="2" t="n">
        <f aca="false">IF(AC70&gt;Hypothèses!$J$26,MAX(0,BG70)/(1-Hypothèses!$J$26/AC70),0)</f>
        <v>839.154969306521</v>
      </c>
    </row>
    <row r="71" customFormat="false" ht="15" hidden="false" customHeight="false" outlineLevel="0" collapsed="false">
      <c r="A71" s="2" t="n">
        <v>56</v>
      </c>
      <c r="B71" s="2" t="n">
        <v>0.866411198</v>
      </c>
      <c r="C71" s="2"/>
      <c r="D71" s="2" t="n">
        <v>0.478290956</v>
      </c>
      <c r="E71" s="2" t="n">
        <f aca="false">IF(E$7=E$5,E$6,IF(NORMSDIST(E$9*SQRT($C$11)*NORMSINV($B71)+SQRT(1-E$9^2*$C$11)*NORMSINV(D71))&lt;E$8,E$5+SQRT(NORMSDIST(E$9*SQRT($C$11)*NORMSINV($B71)+SQRT(1-E$9^2*$C$11)*NORMSINV(D71))*(E$7-E$5)*(E$6-E$5)),E$7-SQRT((1-NORMSDIST(E$9*SQRT($C$11)*NORMSINV($B71)+SQRT(1-E$9^2*$C$11)*NORMSINV(D71)))*(E$7-E$5)*(E$7-E$6))))</f>
        <v>0.0564309814711403</v>
      </c>
      <c r="F71" s="2" t="n">
        <v>0.649019728</v>
      </c>
      <c r="G71" s="2" t="n">
        <f aca="false">IF(G$7=G$5,G$6,IF(NORMSDIST(G$9*SQRT($C$11)*NORMSINV($B71)+SQRT(1-G$9^2*$C$11)*NORMSINV(F71))&lt;G$8,G$5+SQRT(NORMSDIST(G$9*SQRT($C$11)*NORMSINV($B71)+SQRT(1-G$9^2*$C$11)*NORMSINV(F71))*(G$7-G$5)*(G$6-G$5)),G$7-SQRT((1-NORMSDIST(G$9*SQRT($C$11)*NORMSINV($B71)+SQRT(1-G$9^2*$C$11)*NORMSINV(F71)))*(G$7-G$5)*(G$7-G$6))))</f>
        <v>0.0615387391698953</v>
      </c>
      <c r="H71" s="2" t="n">
        <v>0.345818664</v>
      </c>
      <c r="I71" s="2" t="n">
        <f aca="false">IF(I$7=I$5,I$6,IF(NORMSDIST(I$9*SQRT($C$11)*NORMSINV($B71)+SQRT(1-I$9^2*$C$11)*NORMSINV(H71))&lt;I$8,I$5+SQRT(NORMSDIST(I$9*SQRT($C$11)*NORMSINV($B71)+SQRT(1-I$9^2*$C$11)*NORMSINV(H71))*(I$7-I$5)*(I$6-I$5)),I$7-SQRT((1-NORMSDIST(I$9*SQRT($C$11)*NORMSINV($B71)+SQRT(1-I$9^2*$C$11)*NORMSINV(H71)))*(I$7-I$5)*(I$7-I$6))))</f>
        <v>203.348415376672</v>
      </c>
      <c r="J71" s="2" t="n">
        <v>0.782457843</v>
      </c>
      <c r="K71" s="2" t="n">
        <f aca="false">IF(K$7=K$5,K$6,IF(NORMSDIST(K$9*SQRT($C$11)*NORMSINV($B71)+SQRT(1-K$9^2*$C$11)*NORMSINV(J71))&lt;K$8,K$5+SQRT(NORMSDIST(K$9*SQRT($C$11)*NORMSINV($B71)+SQRT(1-K$9^2*$C$11)*NORMSINV(J71))*(K$7-K$5)*(K$6-K$5)),K$7-SQRT((1-NORMSDIST(K$9*SQRT($C$11)*NORMSINV($B71)+SQRT(1-K$9^2*$C$11)*NORMSINV(J71)))*(K$7-K$5)*(K$7-K$6))))</f>
        <v>0.390617441277528</v>
      </c>
      <c r="L71" s="2" t="n">
        <v>0.16915515</v>
      </c>
      <c r="M71" s="2" t="n">
        <f aca="false">IF(M$7=M$5,M$6,IF(NORMSDIST(M$9*SQRT($C$11)*NORMSINV($B71)+SQRT(1-M$9^2*$C$11)*NORMSINV(L71))&lt;M$8,M$5+SQRT(NORMSDIST(M$9*SQRT($C$11)*NORMSINV($B71)+SQRT(1-M$9^2*$C$11)*NORMSINV(L71))*(M$7-M$5)*(M$6-M$5)),M$7-SQRT((1-NORMSDIST(M$9*SQRT($C$11)*NORMSINV($B71)+SQRT(1-M$9^2*$C$11)*NORMSINV(L71)))*(M$7-M$5)*(M$7-M$6))))</f>
        <v>1580.82246997771</v>
      </c>
      <c r="N71" s="2" t="n">
        <v>0.596631105</v>
      </c>
      <c r="O71" s="2" t="n">
        <f aca="false">IF(O$7=O$5,O$6,IF(NORMSDIST(O$9*SQRT($C$11)*NORMSINV($B71)+SQRT(1-O$9^2*$C$11)*NORMSINV(N71))&lt;O$8,O$5+SQRT(NORMSDIST(O$9*SQRT($C$11)*NORMSINV($B71)+SQRT(1-O$9^2*$C$11)*NORMSINV(N71))*(O$7-O$5)*(O$6-O$5)),O$7-SQRT((1-NORMSDIST(O$9*SQRT($C$11)*NORMSINV($B71)+SQRT(1-O$9^2*$C$11)*NORMSINV(N71)))*(O$7-O$5)*(O$7-O$6))))</f>
        <v>0.175909404708204</v>
      </c>
      <c r="P71" s="2" t="n">
        <v>0.022412912</v>
      </c>
      <c r="Q71" s="2" t="n">
        <f aca="false">IF(Q$7=Q$5,Q$6,IF(NORMSDIST(Q$9*SQRT($C$11)*NORMSINV($B71)+SQRT(1-Q$9^2*$C$11)*NORMSINV(P71))&lt;Q$8,Q$5+SQRT(NORMSDIST(Q$9*SQRT($C$11)*NORMSINV($B71)+SQRT(1-Q$9^2*$C$11)*NORMSINV(P71))*(Q$7-Q$5)*(Q$6-Q$5)),Q$7-SQRT((1-NORMSDIST(Q$9*SQRT($C$11)*NORMSINV($B71)+SQRT(1-Q$9^2*$C$11)*NORMSINV(P71)))*(Q$7-Q$5)*(Q$7-Q$6))))</f>
        <v>0.0484688439825043</v>
      </c>
      <c r="R71" s="2" t="n">
        <v>0.416163705</v>
      </c>
      <c r="S71" s="2" t="n">
        <f aca="false">IF(S$7=S$5,S$6,IF(NORMSDIST(S$9*SQRT($C$11)*NORMSINV($B71)+SQRT(1-S$9^2*$C$11)*NORMSINV(R71))&lt;S$8,S$5+SQRT(NORMSDIST(S$9*SQRT($C$11)*NORMSINV($B71)+SQRT(1-S$9^2*$C$11)*NORMSINV(R71))*(S$7-S$5)*(S$6-S$5)),S$7-SQRT((1-NORMSDIST(S$9*SQRT($C$11)*NORMSINV($B71)+SQRT(1-S$9^2*$C$11)*NORMSINV(R71)))*(S$7-S$5)*(S$7-S$6))))</f>
        <v>0.615702820007973</v>
      </c>
      <c r="T71" s="2" t="n">
        <v>0.002557938</v>
      </c>
      <c r="U71" s="2" t="n">
        <f aca="false">IF(U$7=U$5,U$6,IF(NORMSDIST(U$9*SQRT($C$11)*NORMSINV($B71)+SQRT(1-U$9^2*$C$11)*NORMSINV(T71))&lt;U$8,U$5+SQRT(NORMSDIST(U$9*SQRT($C$11)*NORMSINV($B71)+SQRT(1-U$9^2*$C$11)*NORMSINV(T71))*(U$7-U$5)*(U$6-U$5)),U$7-SQRT((1-NORMSDIST(U$9*SQRT($C$11)*NORMSINV($B71)+SQRT(1-U$9^2*$C$11)*NORMSINV(T71)))*(U$7-U$5)*(U$7-U$6))))</f>
        <v>0.188693958090182</v>
      </c>
      <c r="V71" s="2" t="n">
        <v>0.140183271</v>
      </c>
      <c r="W71" s="2" t="n">
        <f aca="false">IF(W$7=W$5,W$6,IF(NORMSDIST(W$9*SQRT($C$11)*NORMSINV($B71)+SQRT(1-W$9^2*$C$11)*NORMSINV(V71))&lt;W$8,W$5+SQRT(NORMSDIST(W$9*SQRT($C$11)*NORMSINV($B71)+SQRT(1-W$9^2*$C$11)*NORMSINV(V71))*(W$7-W$5)*(W$6-W$5)),W$7-SQRT((1-NORMSDIST(W$9*SQRT($C$11)*NORMSINV($B71)+SQRT(1-W$9^2*$C$11)*NORMSINV(V71)))*(W$7-W$5)*(W$7-W$6))))</f>
        <v>9.8900559477833</v>
      </c>
      <c r="X71" s="2" t="n">
        <v>0.637301187</v>
      </c>
      <c r="Y71" s="2" t="n">
        <f aca="false">IF(Y$7=Y$5,Y$6,IF(NORMSDIST(Y$9*SQRT($C$11)*NORMSINV($B71)+SQRT(1-Y$9^2*$C$11)*NORMSINV(X71))&lt;Y$8,Y$5+SQRT(NORMSDIST(Y$9*SQRT($C$11)*NORMSINV($B71)+SQRT(1-Y$9^2*$C$11)*NORMSINV(X71))*(Y$7-Y$5)*(Y$6-Y$5)),Y$7-SQRT((1-NORMSDIST(Y$9*SQRT($C$11)*NORMSINV($B71)+SQRT(1-Y$9^2*$C$11)*NORMSINV(X71)))*(Y$7-Y$5)*(Y$7-Y$6))))</f>
        <v>0.574148609841414</v>
      </c>
      <c r="Z71" s="2" t="n">
        <v>0.339616447</v>
      </c>
      <c r="AA71" s="2" t="n">
        <f aca="false">IF(AA$7=AA$5,AA$6,IF(NORMSDIST(AA$9*SQRT($C$11)*NORMSINV($B71)+SQRT(1-AA$9^2*$C$11)*NORMSINV(Z71))&lt;AA$8,AA$5+SQRT(NORMSDIST(AA$9*SQRT($C$11)*NORMSINV($B71)+SQRT(1-AA$9^2*$C$11)*NORMSINV(Z71))*(AA$7-AA$5)*(AA$6-AA$5)),AA$7-SQRT((1-NORMSDIST(AA$9*SQRT($C$11)*NORMSINV($B71)+SQRT(1-AA$9^2*$C$11)*NORMSINV(Z71)))*(AA$7-AA$5)*(AA$7-AA$6))))</f>
        <v>0.732616111556898</v>
      </c>
      <c r="AB71" s="2" t="n">
        <v>0.81010931</v>
      </c>
      <c r="AC71" s="2" t="n">
        <f aca="false">IF(AC$7=AC$5,AC$6,IF(NORMSDIST(AC$9*SQRT($C$11)*NORMSINV($B71)+SQRT(1-AC$9^2*$C$11)*NORMSINV(AB71))&lt;AC$8,AC$5+SQRT(NORMSDIST(AC$9*SQRT($C$11)*NORMSINV($B71)+SQRT(1-AC$9^2*$C$11)*NORMSINV(AB71))*(AC$7-AC$5)*(AC$6-AC$5)),AC$7-SQRT((1-NORMSDIST(AC$9*SQRT($C$11)*NORMSINV($B71)+SQRT(1-AC$9^2*$C$11)*NORMSINV(AB71)))*(AC$7-AC$5)*(AC$7-AC$6))))</f>
        <v>10.3995015595624</v>
      </c>
      <c r="AD71" s="2" t="n">
        <f aca="false">Entrées!$C$8*(1+E71)</f>
        <v>7447.83841937154</v>
      </c>
      <c r="AE71" s="2" t="n">
        <f aca="false">I71*Hypothèses!$J$24/12/Hypothèses!$J$19</f>
        <v>100.880498026444</v>
      </c>
      <c r="AF71" s="2" t="n">
        <f aca="false">Entrées!$C$36*S71*1000</f>
        <v>307.851410003987</v>
      </c>
      <c r="AG71" s="2" t="n">
        <f aca="false">-AF71/W71</f>
        <v>-31.1273678965372</v>
      </c>
      <c r="AH71" s="2" t="n">
        <f aca="false">AD71+AE71+AG71</f>
        <v>7517.59154950145</v>
      </c>
      <c r="AI71" s="2" t="n">
        <f aca="false">Entrées!$C$16-M71+Hypothèses!$J$22*1000-AF71+Hypothèses!$J$23</f>
        <v>22659.3261200183</v>
      </c>
      <c r="AJ71" s="2" t="n">
        <f aca="false">AI71/AH71</f>
        <v>3.01417361808132</v>
      </c>
      <c r="AK71" s="2" t="n">
        <f aca="false">AI71/(AH71+I71*(12-Hypothèses!$J$24)/12/Hypothèses!$J$19)</f>
        <v>2.98555650945619</v>
      </c>
      <c r="AL71" s="2" t="n">
        <f aca="false">(AD71+AG71+I71/Hypothèses!$J$19)*(1+G71)</f>
        <v>8056.70648125333</v>
      </c>
      <c r="AM71" s="2" t="n">
        <f aca="false">Entrées!$C$54*K71/Hypothèses!$J$19</f>
        <v>39.8641499790221</v>
      </c>
      <c r="AN71" s="2" t="n">
        <f aca="false">Y71*1000/AC71</f>
        <v>55.2092431116067</v>
      </c>
      <c r="AO71" s="2" t="n">
        <f aca="false">(Entrées!$C$36*(1-S71)+MAX(0,Entrées!$C$30-Entrées!$C$35-Entrées!$C$36)*U71)*1000</f>
        <v>456.320131322267</v>
      </c>
      <c r="AP71" s="2" t="n">
        <f aca="false">-AO71/W71</f>
        <v>-46.1392871518128</v>
      </c>
      <c r="AQ71" s="2" t="n">
        <f aca="false">AL71+AM71+AN71+AP71</f>
        <v>8105.64058719214</v>
      </c>
      <c r="AR71" s="2" t="n">
        <f aca="false">O71*AQ71-Hypothèses!$J$25/Hypothèses!$J$19</f>
        <v>1406.72324821</v>
      </c>
      <c r="AS71" s="2" t="n">
        <f aca="false">Entrées!$C$79*(1+Q71)+Hypothèses!$J$20</f>
        <v>1447.26725953677</v>
      </c>
      <c r="AT71" s="2" t="n">
        <f aca="false">AI71-AR71+AS71+Y71*1000-AO71+Hypothèses!$J$23</f>
        <v>22817.6986098642</v>
      </c>
      <c r="AU71" s="2" t="n">
        <f aca="false">AT71/AQ71</f>
        <v>2.81503952271445</v>
      </c>
      <c r="AV71" s="2" t="n">
        <f aca="false">Hypothèses!$J$26*AQ71-AT71</f>
        <v>1499.2231517122</v>
      </c>
      <c r="AW71" s="2" t="n">
        <f aca="false">IF(AC71&gt;Hypothèses!$J$26,MAX(0,AV71)/(1-Hypothèses!$J$26/AC71),0)</f>
        <v>2107.05726309559</v>
      </c>
      <c r="AX71" s="2" t="n">
        <f aca="false">AQ71-Entrées!$C$17*1000</f>
        <v>105.640587192142</v>
      </c>
      <c r="AY71" s="2" t="n">
        <f aca="false">AI71+(Entrées!$C$244-Entrées!$C$13)</f>
        <v>28406.3261200183</v>
      </c>
      <c r="AZ71" s="2" t="n">
        <f aca="false">AA71*AH71</f>
        <v>5507.50868926874</v>
      </c>
      <c r="BA71" s="2" t="n">
        <f aca="false">AZ71/AY71</f>
        <v>0.193883174684372</v>
      </c>
      <c r="BB71" s="2" t="n">
        <f aca="false">AZ71/(Entrées!$C$151/100)-AY71</f>
        <v>2190.94437591915</v>
      </c>
      <c r="BC71" s="2" t="n">
        <f aca="false">AT71+(Entrées!$C$244-Entrées!$C$13)</f>
        <v>28564.6986098642</v>
      </c>
      <c r="BD71" s="2" t="n">
        <f aca="false">AA71*AQ71</f>
        <v>5938.32288866648</v>
      </c>
      <c r="BE71" s="2" t="n">
        <f aca="false">BD71/BC71</f>
        <v>0.207890269376614</v>
      </c>
      <c r="BF71" s="2" t="n">
        <f aca="false">BD71/(Entrées!$C$151/100)-BC71</f>
        <v>4425.98410494953</v>
      </c>
      <c r="BG71" s="2" t="n">
        <f aca="false">MIN(AV71,BF71)</f>
        <v>1499.2231517122</v>
      </c>
      <c r="BH71" s="2" t="n">
        <f aca="false">IF(AC71&gt;Hypothèses!$J$26,MAX(0,BG71)/(1-Hypothèses!$J$26/AC71),0)</f>
        <v>2107.05726309559</v>
      </c>
    </row>
    <row r="72" customFormat="false" ht="15" hidden="false" customHeight="false" outlineLevel="0" collapsed="false">
      <c r="A72" s="2" t="n">
        <v>57</v>
      </c>
      <c r="B72" s="2" t="n">
        <v>0.345627731</v>
      </c>
      <c r="C72" s="2"/>
      <c r="D72" s="2" t="n">
        <v>0.733454446</v>
      </c>
      <c r="E72" s="2" t="n">
        <f aca="false">IF(E$7=E$5,E$6,IF(NORMSDIST(E$9*SQRT($C$11)*NORMSINV($B72)+SQRT(1-E$9^2*$C$11)*NORMSINV(D72))&lt;E$8,E$5+SQRT(NORMSDIST(E$9*SQRT($C$11)*NORMSINV($B72)+SQRT(1-E$9^2*$C$11)*NORMSINV(D72))*(E$7-E$5)*(E$6-E$5)),E$7-SQRT((1-NORMSDIST(E$9*SQRT($C$11)*NORMSINV($B72)+SQRT(1-E$9^2*$C$11)*NORMSINV(D72)))*(E$7-E$5)*(E$7-E$6))))</f>
        <v>0.055481060600152</v>
      </c>
      <c r="F72" s="2" t="n">
        <v>0.547441457</v>
      </c>
      <c r="G72" s="2" t="n">
        <f aca="false">IF(G$7=G$5,G$6,IF(NORMSDIST(G$9*SQRT($C$11)*NORMSINV($B72)+SQRT(1-G$9^2*$C$11)*NORMSINV(F72))&lt;G$8,G$5+SQRT(NORMSDIST(G$9*SQRT($C$11)*NORMSINV($B72)+SQRT(1-G$9^2*$C$11)*NORMSINV(F72))*(G$7-G$5)*(G$6-G$5)),G$7-SQRT((1-NORMSDIST(G$9*SQRT($C$11)*NORMSINV($B72)+SQRT(1-G$9^2*$C$11)*NORMSINV(F72)))*(G$7-G$5)*(G$7-G$6))))</f>
        <v>0.0540214919513873</v>
      </c>
      <c r="H72" s="2" t="n">
        <v>0.180538781</v>
      </c>
      <c r="I72" s="2" t="n">
        <f aca="false">IF(I$7=I$5,I$6,IF(NORMSDIST(I$9*SQRT($C$11)*NORMSINV($B72)+SQRT(1-I$9^2*$C$11)*NORMSINV(H72))&lt;I$8,I$5+SQRT(NORMSDIST(I$9*SQRT($C$11)*NORMSINV($B72)+SQRT(1-I$9^2*$C$11)*NORMSINV(H72))*(I$7-I$5)*(I$6-I$5)),I$7-SQRT((1-NORMSDIST(I$9*SQRT($C$11)*NORMSINV($B72)+SQRT(1-I$9^2*$C$11)*NORMSINV(H72)))*(I$7-I$5)*(I$7-I$6))))</f>
        <v>191.623163609834</v>
      </c>
      <c r="J72" s="2" t="n">
        <v>0.630374424</v>
      </c>
      <c r="K72" s="2" t="n">
        <f aca="false">IF(K$7=K$5,K$6,IF(NORMSDIST(K$9*SQRT($C$11)*NORMSINV($B72)+SQRT(1-K$9^2*$C$11)*NORMSINV(J72))&lt;K$8,K$5+SQRT(NORMSDIST(K$9*SQRT($C$11)*NORMSINV($B72)+SQRT(1-K$9^2*$C$11)*NORMSINV(J72))*(K$7-K$5)*(K$6-K$5)),K$7-SQRT((1-NORMSDIST(K$9*SQRT($C$11)*NORMSINV($B72)+SQRT(1-K$9^2*$C$11)*NORMSINV(J72)))*(K$7-K$5)*(K$7-K$6))))</f>
        <v>0.250663104996638</v>
      </c>
      <c r="L72" s="2" t="n">
        <v>0.232477908</v>
      </c>
      <c r="M72" s="2" t="n">
        <f aca="false">IF(M$7=M$5,M$6,IF(NORMSDIST(M$9*SQRT($C$11)*NORMSINV($B72)+SQRT(1-M$9^2*$C$11)*NORMSINV(L72))&lt;M$8,M$5+SQRT(NORMSDIST(M$9*SQRT($C$11)*NORMSINV($B72)+SQRT(1-M$9^2*$C$11)*NORMSINV(L72))*(M$7-M$5)*(M$6-M$5)),M$7-SQRT((1-NORMSDIST(M$9*SQRT($C$11)*NORMSINV($B72)+SQRT(1-M$9^2*$C$11)*NORMSINV(L72)))*(M$7-M$5)*(M$7-M$6))))</f>
        <v>1484.70485913457</v>
      </c>
      <c r="N72" s="2" t="n">
        <v>0.592785343</v>
      </c>
      <c r="O72" s="2" t="n">
        <f aca="false">IF(O$7=O$5,O$6,IF(NORMSDIST(O$9*SQRT($C$11)*NORMSINV($B72)+SQRT(1-O$9^2*$C$11)*NORMSINV(N72))&lt;O$8,O$5+SQRT(NORMSDIST(O$9*SQRT($C$11)*NORMSINV($B72)+SQRT(1-O$9^2*$C$11)*NORMSINV(N72))*(O$7-O$5)*(O$6-O$5)),O$7-SQRT((1-NORMSDIST(O$9*SQRT($C$11)*NORMSINV($B72)+SQRT(1-O$9^2*$C$11)*NORMSINV(N72)))*(O$7-O$5)*(O$7-O$6))))</f>
        <v>0.166033294266566</v>
      </c>
      <c r="P72" s="2" t="n">
        <v>0.259733214</v>
      </c>
      <c r="Q72" s="2" t="n">
        <f aca="false">IF(Q$7=Q$5,Q$6,IF(NORMSDIST(Q$9*SQRT($C$11)*NORMSINV($B72)+SQRT(1-Q$9^2*$C$11)*NORMSINV(P72))&lt;Q$8,Q$5+SQRT(NORMSDIST(Q$9*SQRT($C$11)*NORMSINV($B72)+SQRT(1-Q$9^2*$C$11)*NORMSINV(P72))*(Q$7-Q$5)*(Q$6-Q$5)),Q$7-SQRT((1-NORMSDIST(Q$9*SQRT($C$11)*NORMSINV($B72)+SQRT(1-Q$9^2*$C$11)*NORMSINV(P72)))*(Q$7-Q$5)*(Q$7-Q$6))))</f>
        <v>0.0688296077808908</v>
      </c>
      <c r="R72" s="2" t="n">
        <v>0.36521854</v>
      </c>
      <c r="S72" s="2" t="n">
        <f aca="false">IF(S$7=S$5,S$6,IF(NORMSDIST(S$9*SQRT($C$11)*NORMSINV($B72)+SQRT(1-S$9^2*$C$11)*NORMSINV(R72))&lt;S$8,S$5+SQRT(NORMSDIST(S$9*SQRT($C$11)*NORMSINV($B72)+SQRT(1-S$9^2*$C$11)*NORMSINV(R72))*(S$7-S$5)*(S$6-S$5)),S$7-SQRT((1-NORMSDIST(S$9*SQRT($C$11)*NORMSINV($B72)+SQRT(1-S$9^2*$C$11)*NORMSINV(R72)))*(S$7-S$5)*(S$7-S$6))))</f>
        <v>0.388720285823448</v>
      </c>
      <c r="T72" s="2" t="n">
        <v>0.571055263</v>
      </c>
      <c r="U72" s="2" t="n">
        <f aca="false">IF(U$7=U$5,U$6,IF(NORMSDIST(U$9*SQRT($C$11)*NORMSINV($B72)+SQRT(1-U$9^2*$C$11)*NORMSINV(T72))&lt;U$8,U$5+SQRT(NORMSDIST(U$9*SQRT($C$11)*NORMSINV($B72)+SQRT(1-U$9^2*$C$11)*NORMSINV(T72))*(U$7-U$5)*(U$6-U$5)),U$7-SQRT((1-NORMSDIST(U$9*SQRT($C$11)*NORMSINV($B72)+SQRT(1-U$9^2*$C$11)*NORMSINV(T72)))*(U$7-U$5)*(U$7-U$6))))</f>
        <v>0.477085529602168</v>
      </c>
      <c r="V72" s="2" t="n">
        <v>0.922640091</v>
      </c>
      <c r="W72" s="2" t="n">
        <f aca="false">IF(W$7=W$5,W$6,IF(NORMSDIST(W$9*SQRT($C$11)*NORMSINV($B72)+SQRT(1-W$9^2*$C$11)*NORMSINV(V72))&lt;W$8,W$5+SQRT(NORMSDIST(W$9*SQRT($C$11)*NORMSINV($B72)+SQRT(1-W$9^2*$C$11)*NORMSINV(V72))*(W$7-W$5)*(W$6-W$5)),W$7-SQRT((1-NORMSDIST(W$9*SQRT($C$11)*NORMSINV($B72)+SQRT(1-W$9^2*$C$11)*NORMSINV(V72)))*(W$7-W$5)*(W$7-W$6))))</f>
        <v>10.7434871515503</v>
      </c>
      <c r="X72" s="2" t="n">
        <v>0.567250096</v>
      </c>
      <c r="Y72" s="2" t="n">
        <f aca="false">IF(Y$7=Y$5,Y$6,IF(NORMSDIST(Y$9*SQRT($C$11)*NORMSINV($B72)+SQRT(1-Y$9^2*$C$11)*NORMSINV(X72))&lt;Y$8,Y$5+SQRT(NORMSDIST(Y$9*SQRT($C$11)*NORMSINV($B72)+SQRT(1-Y$9^2*$C$11)*NORMSINV(X72))*(Y$7-Y$5)*(Y$6-Y$5)),Y$7-SQRT((1-NORMSDIST(Y$9*SQRT($C$11)*NORMSINV($B72)+SQRT(1-Y$9^2*$C$11)*NORMSINV(X72)))*(Y$7-Y$5)*(Y$7-Y$6))))</f>
        <v>0.534838789235388</v>
      </c>
      <c r="Z72" s="2" t="n">
        <v>0.303241139</v>
      </c>
      <c r="AA72" s="2" t="n">
        <f aca="false">IF(AA$7=AA$5,AA$6,IF(NORMSDIST(AA$9*SQRT($C$11)*NORMSINV($B72)+SQRT(1-AA$9^2*$C$11)*NORMSINV(Z72))&lt;AA$8,AA$5+SQRT(NORMSDIST(AA$9*SQRT($C$11)*NORMSINV($B72)+SQRT(1-AA$9^2*$C$11)*NORMSINV(Z72))*(AA$7-AA$5)*(AA$6-AA$5)),AA$7-SQRT((1-NORMSDIST(AA$9*SQRT($C$11)*NORMSINV($B72)+SQRT(1-AA$9^2*$C$11)*NORMSINV(Z72)))*(AA$7-AA$5)*(AA$7-AA$6))))</f>
        <v>0.718822123679479</v>
      </c>
      <c r="AB72" s="2" t="n">
        <v>0.813655581</v>
      </c>
      <c r="AC72" s="2" t="n">
        <f aca="false">IF(AC$7=AC$5,AC$6,IF(NORMSDIST(AC$9*SQRT($C$11)*NORMSINV($B72)+SQRT(1-AC$9^2*$C$11)*NORMSINV(AB72))&lt;AC$8,AC$5+SQRT(NORMSDIST(AC$9*SQRT($C$11)*NORMSINV($B72)+SQRT(1-AC$9^2*$C$11)*NORMSINV(AB72))*(AC$7-AC$5)*(AC$6-AC$5)),AC$7-SQRT((1-NORMSDIST(AC$9*SQRT($C$11)*NORMSINV($B72)+SQRT(1-AC$9^2*$C$11)*NORMSINV(AB72)))*(AC$7-AC$5)*(AC$7-AC$6))))</f>
        <v>9.80563420592621</v>
      </c>
      <c r="AD72" s="2" t="n">
        <f aca="false">Entrées!$C$8*(1+E72)</f>
        <v>7441.14147723107</v>
      </c>
      <c r="AE72" s="2" t="n">
        <f aca="false">I72*Hypothèses!$J$24/12/Hypothèses!$J$19</f>
        <v>95.063638153044</v>
      </c>
      <c r="AF72" s="2" t="n">
        <f aca="false">Entrées!$C$36*S72*1000</f>
        <v>194.360142911724</v>
      </c>
      <c r="AG72" s="2" t="n">
        <f aca="false">-AF72/W72</f>
        <v>-18.0909736447795</v>
      </c>
      <c r="AH72" s="2" t="n">
        <f aca="false">AD72+AE72+AG72</f>
        <v>7518.11414173934</v>
      </c>
      <c r="AI72" s="2" t="n">
        <f aca="false">Entrées!$C$16-M72+Hypothèses!$J$22*1000-AF72+Hypothèses!$J$23</f>
        <v>22868.9349979537</v>
      </c>
      <c r="AJ72" s="2" t="n">
        <f aca="false">AI72/AH72</f>
        <v>3.04184461246593</v>
      </c>
      <c r="AK72" s="2" t="n">
        <f aca="false">AI72/(AH72+I72*(12-Hypothèses!$J$24)/12/Hypothèses!$J$19)</f>
        <v>3.01461699604519</v>
      </c>
      <c r="AL72" s="2" t="n">
        <f aca="false">(AD72+AG72+I72/Hypothèses!$J$19)*(1+G72)</f>
        <v>7995.82468270577</v>
      </c>
      <c r="AM72" s="2" t="n">
        <f aca="false">Entrées!$C$54*K72/Hypothèses!$J$19</f>
        <v>25.5812223312728</v>
      </c>
      <c r="AN72" s="2" t="n">
        <f aca="false">Y72*1000/AC72</f>
        <v>54.5440282600128</v>
      </c>
      <c r="AO72" s="2" t="n">
        <f aca="false">(Entrées!$C$36*(1-S72)+MAX(0,Entrées!$C$30-Entrées!$C$35-Entrées!$C$36)*U72)*1000</f>
        <v>973.559598531312</v>
      </c>
      <c r="AP72" s="2" t="n">
        <f aca="false">-AO72/W72</f>
        <v>-90.6185845245622</v>
      </c>
      <c r="AQ72" s="2" t="n">
        <f aca="false">AL72+AM72+AN72+AP72</f>
        <v>7985.3313487725</v>
      </c>
      <c r="AR72" s="2" t="n">
        <f aca="false">O72*AQ72-Hypothèses!$J$25/Hypothèses!$J$19</f>
        <v>1306.69570738515</v>
      </c>
      <c r="AS72" s="2" t="n">
        <f aca="false">Entrées!$C$79*(1+Q72)+Hypothèses!$J$20</f>
        <v>1469.6437389512</v>
      </c>
      <c r="AT72" s="2" t="n">
        <f aca="false">AI72-AR72+AS72+Y72*1000-AO72+Hypothèses!$J$23</f>
        <v>22593.1622202238</v>
      </c>
      <c r="AU72" s="2" t="n">
        <f aca="false">AT72/AQ72</f>
        <v>2.82933309006605</v>
      </c>
      <c r="AV72" s="2" t="n">
        <f aca="false">Hypothèses!$J$26*AQ72-AT72</f>
        <v>1362.83182609366</v>
      </c>
      <c r="AW72" s="2" t="n">
        <f aca="false">IF(AC72&gt;Hypothèses!$J$26,MAX(0,AV72)/(1-Hypothèses!$J$26/AC72),0)</f>
        <v>1963.58340259197</v>
      </c>
      <c r="AX72" s="2" t="n">
        <f aca="false">AQ72-Entrées!$C$17*1000</f>
        <v>-14.6686512275019</v>
      </c>
      <c r="AY72" s="2" t="n">
        <f aca="false">AI72+(Entrées!$C$244-Entrées!$C$13)</f>
        <v>28615.9349979537</v>
      </c>
      <c r="AZ72" s="2" t="n">
        <f aca="false">AA72*AH72</f>
        <v>5404.18677342979</v>
      </c>
      <c r="BA72" s="2" t="n">
        <f aca="false">AZ72/AY72</f>
        <v>0.188852357045689</v>
      </c>
      <c r="BB72" s="2" t="n">
        <f aca="false">AZ72/(Entrées!$C$151/100)-AY72</f>
        <v>1407.32485443402</v>
      </c>
      <c r="BC72" s="2" t="n">
        <f aca="false">AT72+(Entrées!$C$244-Entrées!$C$13)</f>
        <v>28340.1622202238</v>
      </c>
      <c r="BD72" s="2" t="n">
        <f aca="false">AA72*AQ72</f>
        <v>5740.03283840896</v>
      </c>
      <c r="BE72" s="2" t="n">
        <f aca="false">BD72/BC72</f>
        <v>0.202540578060376</v>
      </c>
      <c r="BF72" s="2" t="n">
        <f aca="false">BD72/(Entrées!$C$151/100)-BC72</f>
        <v>3548.90910427041</v>
      </c>
      <c r="BG72" s="2" t="n">
        <f aca="false">MIN(AV72,BF72)</f>
        <v>1362.83182609366</v>
      </c>
      <c r="BH72" s="2" t="n">
        <f aca="false">IF(AC72&gt;Hypothèses!$J$26,MAX(0,BG72)/(1-Hypothèses!$J$26/AC72),0)</f>
        <v>1963.58340259197</v>
      </c>
    </row>
    <row r="73" customFormat="false" ht="15" hidden="false" customHeight="false" outlineLevel="0" collapsed="false">
      <c r="A73" s="2" t="n">
        <v>58</v>
      </c>
      <c r="B73" s="2" t="n">
        <v>0.590457885</v>
      </c>
      <c r="C73" s="2"/>
      <c r="D73" s="2" t="n">
        <v>0.210550598</v>
      </c>
      <c r="E73" s="2" t="n">
        <f aca="false">IF(E$7=E$5,E$6,IF(NORMSDIST(E$9*SQRT($C$11)*NORMSINV($B73)+SQRT(1-E$9^2*$C$11)*NORMSINV(D73))&lt;E$8,E$5+SQRT(NORMSDIST(E$9*SQRT($C$11)*NORMSINV($B73)+SQRT(1-E$9^2*$C$11)*NORMSINV(D73))*(E$7-E$5)*(E$6-E$5)),E$7-SQRT((1-NORMSDIST(E$9*SQRT($C$11)*NORMSINV($B73)+SQRT(1-E$9^2*$C$11)*NORMSINV(D73)))*(E$7-E$5)*(E$7-E$6))))</f>
        <v>0.0539758125571962</v>
      </c>
      <c r="F73" s="2" t="n">
        <v>0.880341051</v>
      </c>
      <c r="G73" s="2" t="n">
        <f aca="false">IF(G$7=G$5,G$6,IF(NORMSDIST(G$9*SQRT($C$11)*NORMSINV($B73)+SQRT(1-G$9^2*$C$11)*NORMSINV(F73))&lt;G$8,G$5+SQRT(NORMSDIST(G$9*SQRT($C$11)*NORMSINV($B73)+SQRT(1-G$9^2*$C$11)*NORMSINV(F73))*(G$7-G$5)*(G$6-G$5)),G$7-SQRT((1-NORMSDIST(G$9*SQRT($C$11)*NORMSINV($B73)+SQRT(1-G$9^2*$C$11)*NORMSINV(F73)))*(G$7-G$5)*(G$7-G$6))))</f>
        <v>0.0619095412698972</v>
      </c>
      <c r="H73" s="2" t="n">
        <v>0.663094125</v>
      </c>
      <c r="I73" s="2" t="n">
        <f aca="false">IF(I$7=I$5,I$6,IF(NORMSDIST(I$9*SQRT($C$11)*NORMSINV($B73)+SQRT(1-I$9^2*$C$11)*NORMSINV(H73))&lt;I$8,I$5+SQRT(NORMSDIST(I$9*SQRT($C$11)*NORMSINV($B73)+SQRT(1-I$9^2*$C$11)*NORMSINV(H73))*(I$7-I$5)*(I$6-I$5)),I$7-SQRT((1-NORMSDIST(I$9*SQRT($C$11)*NORMSINV($B73)+SQRT(1-I$9^2*$C$11)*NORMSINV(H73)))*(I$7-I$5)*(I$7-I$6))))</f>
        <v>204.026854898401</v>
      </c>
      <c r="J73" s="2" t="n">
        <v>0.621982294</v>
      </c>
      <c r="K73" s="2" t="n">
        <f aca="false">IF(K$7=K$5,K$6,IF(NORMSDIST(K$9*SQRT($C$11)*NORMSINV($B73)+SQRT(1-K$9^2*$C$11)*NORMSINV(J73))&lt;K$8,K$5+SQRT(NORMSDIST(K$9*SQRT($C$11)*NORMSINV($B73)+SQRT(1-K$9^2*$C$11)*NORMSINV(J73))*(K$7-K$5)*(K$6-K$5)),K$7-SQRT((1-NORMSDIST(K$9*SQRT($C$11)*NORMSINV($B73)+SQRT(1-K$9^2*$C$11)*NORMSINV(J73)))*(K$7-K$5)*(K$7-K$6))))</f>
        <v>0.290834660651787</v>
      </c>
      <c r="L73" s="2" t="n">
        <v>0.20418883</v>
      </c>
      <c r="M73" s="2" t="n">
        <f aca="false">IF(M$7=M$5,M$6,IF(NORMSDIST(M$9*SQRT($C$11)*NORMSINV($B73)+SQRT(1-M$9^2*$C$11)*NORMSINV(L73))&lt;M$8,M$5+SQRT(NORMSDIST(M$9*SQRT($C$11)*NORMSINV($B73)+SQRT(1-M$9^2*$C$11)*NORMSINV(L73))*(M$7-M$5)*(M$6-M$5)),M$7-SQRT((1-NORMSDIST(M$9*SQRT($C$11)*NORMSINV($B73)+SQRT(1-M$9^2*$C$11)*NORMSINV(L73)))*(M$7-M$5)*(M$7-M$6))))</f>
        <v>1525.37965101562</v>
      </c>
      <c r="N73" s="2" t="n">
        <v>0.396590359</v>
      </c>
      <c r="O73" s="2" t="n">
        <f aca="false">IF(O$7=O$5,O$6,IF(NORMSDIST(O$9*SQRT($C$11)*NORMSINV($B73)+SQRT(1-O$9^2*$C$11)*NORMSINV(N73))&lt;O$8,O$5+SQRT(NORMSDIST(O$9*SQRT($C$11)*NORMSINV($B73)+SQRT(1-O$9^2*$C$11)*NORMSINV(N73))*(O$7-O$5)*(O$6-O$5)),O$7-SQRT((1-NORMSDIST(O$9*SQRT($C$11)*NORMSINV($B73)+SQRT(1-O$9^2*$C$11)*NORMSINV(N73)))*(O$7-O$5)*(O$7-O$6))))</f>
        <v>0.166153069339869</v>
      </c>
      <c r="P73" s="2" t="n">
        <v>0.898041105</v>
      </c>
      <c r="Q73" s="2" t="n">
        <f aca="false">IF(Q$7=Q$5,Q$6,IF(NORMSDIST(Q$9*SQRT($C$11)*NORMSINV($B73)+SQRT(1-Q$9^2*$C$11)*NORMSINV(P73))&lt;Q$8,Q$5+SQRT(NORMSDIST(Q$9*SQRT($C$11)*NORMSINV($B73)+SQRT(1-Q$9^2*$C$11)*NORMSINV(P73))*(Q$7-Q$5)*(Q$6-Q$5)),Q$7-SQRT((1-NORMSDIST(Q$9*SQRT($C$11)*NORMSINV($B73)+SQRT(1-Q$9^2*$C$11)*NORMSINV(P73)))*(Q$7-Q$5)*(Q$7-Q$6))))</f>
        <v>0.101937097021796</v>
      </c>
      <c r="R73" s="2" t="n">
        <v>0.140095587</v>
      </c>
      <c r="S73" s="2" t="n">
        <f aca="false">IF(S$7=S$5,S$6,IF(NORMSDIST(S$9*SQRT($C$11)*NORMSINV($B73)+SQRT(1-S$9^2*$C$11)*NORMSINV(R73))&lt;S$8,S$5+SQRT(NORMSDIST(S$9*SQRT($C$11)*NORMSINV($B73)+SQRT(1-S$9^2*$C$11)*NORMSINV(R73))*(S$7-S$5)*(S$6-S$5)),S$7-SQRT((1-NORMSDIST(S$9*SQRT($C$11)*NORMSINV($B73)+SQRT(1-S$9^2*$C$11)*NORMSINV(R73)))*(S$7-S$5)*(S$7-S$6))))</f>
        <v>0.349660219332906</v>
      </c>
      <c r="T73" s="2" t="n">
        <v>0.535087494</v>
      </c>
      <c r="U73" s="2" t="n">
        <f aca="false">IF(U$7=U$5,U$6,IF(NORMSDIST(U$9*SQRT($C$11)*NORMSINV($B73)+SQRT(1-U$9^2*$C$11)*NORMSINV(T73))&lt;U$8,U$5+SQRT(NORMSDIST(U$9*SQRT($C$11)*NORMSINV($B73)+SQRT(1-U$9^2*$C$11)*NORMSINV(T73))*(U$7-U$5)*(U$6-U$5)),U$7-SQRT((1-NORMSDIST(U$9*SQRT($C$11)*NORMSINV($B73)+SQRT(1-U$9^2*$C$11)*NORMSINV(T73)))*(U$7-U$5)*(U$7-U$6))))</f>
        <v>0.544086953788994</v>
      </c>
      <c r="V73" s="2" t="n">
        <v>0.17350826</v>
      </c>
      <c r="W73" s="2" t="n">
        <f aca="false">IF(W$7=W$5,W$6,IF(NORMSDIST(W$9*SQRT($C$11)*NORMSINV($B73)+SQRT(1-W$9^2*$C$11)*NORMSINV(V73))&lt;W$8,W$5+SQRT(NORMSDIST(W$9*SQRT($C$11)*NORMSINV($B73)+SQRT(1-W$9^2*$C$11)*NORMSINV(V73))*(W$7-W$5)*(W$6-W$5)),W$7-SQRT((1-NORMSDIST(W$9*SQRT($C$11)*NORMSINV($B73)+SQRT(1-W$9^2*$C$11)*NORMSINV(V73)))*(W$7-W$5)*(W$7-W$6))))</f>
        <v>9.49582995460639</v>
      </c>
      <c r="X73" s="2" t="n">
        <v>0.226344975</v>
      </c>
      <c r="Y73" s="2" t="n">
        <f aca="false">IF(Y$7=Y$5,Y$6,IF(NORMSDIST(Y$9*SQRT($C$11)*NORMSINV($B73)+SQRT(1-Y$9^2*$C$11)*NORMSINV(X73))&lt;Y$8,Y$5+SQRT(NORMSDIST(Y$9*SQRT($C$11)*NORMSINV($B73)+SQRT(1-Y$9^2*$C$11)*NORMSINV(X73))*(Y$7-Y$5)*(Y$6-Y$5)),Y$7-SQRT((1-NORMSDIST(Y$9*SQRT($C$11)*NORMSINV($B73)+SQRT(1-Y$9^2*$C$11)*NORMSINV(X73)))*(Y$7-Y$5)*(Y$7-Y$6))))</f>
        <v>0.336411188131429</v>
      </c>
      <c r="Z73" s="2" t="n">
        <v>0.492120804</v>
      </c>
      <c r="AA73" s="2" t="n">
        <f aca="false">IF(AA$7=AA$5,AA$6,IF(NORMSDIST(AA$9*SQRT($C$11)*NORMSINV($B73)+SQRT(1-AA$9^2*$C$11)*NORMSINV(Z73))&lt;AA$8,AA$5+SQRT(NORMSDIST(AA$9*SQRT($C$11)*NORMSINV($B73)+SQRT(1-AA$9^2*$C$11)*NORMSINV(Z73))*(AA$7-AA$5)*(AA$6-AA$5)),AA$7-SQRT((1-NORMSDIST(AA$9*SQRT($C$11)*NORMSINV($B73)+SQRT(1-AA$9^2*$C$11)*NORMSINV(Z73)))*(AA$7-AA$5)*(AA$7-AA$6))))</f>
        <v>0.729694618855907</v>
      </c>
      <c r="AB73" s="2" t="n">
        <v>0.484562275</v>
      </c>
      <c r="AC73" s="2" t="n">
        <f aca="false">IF(AC$7=AC$5,AC$6,IF(NORMSDIST(AC$9*SQRT($C$11)*NORMSINV($B73)+SQRT(1-AC$9^2*$C$11)*NORMSINV(AB73))&lt;AC$8,AC$5+SQRT(NORMSDIST(AC$9*SQRT($C$11)*NORMSINV($B73)+SQRT(1-AC$9^2*$C$11)*NORMSINV(AB73))*(AC$7-AC$5)*(AC$6-AC$5)),AC$7-SQRT((1-NORMSDIST(AC$9*SQRT($C$11)*NORMSINV($B73)+SQRT(1-AC$9^2*$C$11)*NORMSINV(AB73)))*(AC$7-AC$5)*(AC$7-AC$6))))</f>
        <v>9.57126815143811</v>
      </c>
      <c r="AD73" s="2" t="n">
        <f aca="false">Entrées!$C$8*(1+E73)</f>
        <v>7430.52947852823</v>
      </c>
      <c r="AE73" s="2" t="n">
        <f aca="false">I73*Hypothèses!$J$24/12/Hypothèses!$J$19</f>
        <v>101.217069701744</v>
      </c>
      <c r="AF73" s="2" t="n">
        <f aca="false">Entrées!$C$36*S73*1000</f>
        <v>174.830109666453</v>
      </c>
      <c r="AG73" s="2" t="n">
        <f aca="false">-AF73/W73</f>
        <v>-18.4112510967662</v>
      </c>
      <c r="AH73" s="2" t="n">
        <f aca="false">AD73+AE73+AG73</f>
        <v>7513.33529713321</v>
      </c>
      <c r="AI73" s="2" t="n">
        <f aca="false">Entrées!$C$16-M73+Hypothèses!$J$22*1000-AF73+Hypothèses!$J$23</f>
        <v>22847.7902393179</v>
      </c>
      <c r="AJ73" s="2" t="n">
        <f aca="false">AI73/AH73</f>
        <v>3.04096507552854</v>
      </c>
      <c r="AK73" s="2" t="n">
        <f aca="false">AI73/(AH73+I73*(12-Hypothèses!$J$24)/12/Hypothèses!$J$19)</f>
        <v>3.01198194332415</v>
      </c>
      <c r="AL73" s="2" t="n">
        <f aca="false">(AD73+AG73+I73/Hypothèses!$J$19)*(1+G73)</f>
        <v>8055.25627596827</v>
      </c>
      <c r="AM73" s="2" t="n">
        <f aca="false">Entrées!$C$54*K73/Hypothèses!$J$19</f>
        <v>29.6808982553433</v>
      </c>
      <c r="AN73" s="2" t="n">
        <f aca="false">Y73*1000/AC73</f>
        <v>35.1480266573539</v>
      </c>
      <c r="AO73" s="2" t="n">
        <f aca="false">(Entrées!$C$36*(1-S73)+MAX(0,Entrées!$C$30-Entrées!$C$35-Entrées!$C$36)*U73)*1000</f>
        <v>1086.89162563814</v>
      </c>
      <c r="AP73" s="2" t="n">
        <f aca="false">-AO73/W73</f>
        <v>-114.459887217219</v>
      </c>
      <c r="AQ73" s="2" t="n">
        <f aca="false">AL73+AM73+AN73+AP73</f>
        <v>8005.62531366375</v>
      </c>
      <c r="AR73" s="2" t="n">
        <f aca="false">O73*AQ73-Hypothèses!$J$25/Hypothèses!$J$19</f>
        <v>1311.02405558856</v>
      </c>
      <c r="AS73" s="2" t="n">
        <f aca="false">Entrées!$C$79*(1+Q73)+Hypothèses!$J$20</f>
        <v>1506.02886962695</v>
      </c>
      <c r="AT73" s="2" t="n">
        <f aca="false">AI73-AR73+AS73+Y73*1000-AO73+Hypothèses!$J$23</f>
        <v>22292.3146158496</v>
      </c>
      <c r="AU73" s="2" t="n">
        <f aca="false">AT73/AQ73</f>
        <v>2.78458130907049</v>
      </c>
      <c r="AV73" s="2" t="n">
        <f aca="false">Hypothèses!$J$26*AQ73-AT73</f>
        <v>1724.56132514163</v>
      </c>
      <c r="AW73" s="2" t="n">
        <f aca="false">IF(AC73&gt;Hypothèses!$J$26,MAX(0,AV73)/(1-Hypothèses!$J$26/AC73),0)</f>
        <v>2511.88028035618</v>
      </c>
      <c r="AX73" s="2" t="n">
        <f aca="false">AQ73-Entrées!$C$17*1000</f>
        <v>5.62531366374788</v>
      </c>
      <c r="AY73" s="2" t="n">
        <f aca="false">AI73+(Entrées!$C$244-Entrées!$C$13)</f>
        <v>28594.7902393179</v>
      </c>
      <c r="AZ73" s="2" t="n">
        <f aca="false">AA73*AH73</f>
        <v>5482.44033597825</v>
      </c>
      <c r="BA73" s="2" t="n">
        <f aca="false">AZ73/AY73</f>
        <v>0.19172864322816</v>
      </c>
      <c r="BB73" s="2" t="n">
        <f aca="false">AZ73/(Entrées!$C$151/100)-AY73</f>
        <v>1863.21162722791</v>
      </c>
      <c r="BC73" s="2" t="n">
        <f aca="false">AT73+(Entrées!$C$244-Entrées!$C$13)</f>
        <v>28039.3146158496</v>
      </c>
      <c r="BD73" s="2" t="n">
        <f aca="false">AA73*AQ73</f>
        <v>5841.66171195707</v>
      </c>
      <c r="BE73" s="2" t="n">
        <f aca="false">BD73/BC73</f>
        <v>0.20833824906173</v>
      </c>
      <c r="BF73" s="2" t="n">
        <f aca="false">BD73/(Entrées!$C$151/100)-BC73</f>
        <v>4414.36156168966</v>
      </c>
      <c r="BG73" s="2" t="n">
        <f aca="false">MIN(AV73,BF73)</f>
        <v>1724.56132514163</v>
      </c>
      <c r="BH73" s="2" t="n">
        <f aca="false">IF(AC73&gt;Hypothèses!$J$26,MAX(0,BG73)/(1-Hypothèses!$J$26/AC73),0)</f>
        <v>2511.88028035618</v>
      </c>
    </row>
    <row r="74" customFormat="false" ht="15" hidden="false" customHeight="false" outlineLevel="0" collapsed="false">
      <c r="A74" s="2" t="n">
        <v>59</v>
      </c>
      <c r="B74" s="2" t="n">
        <v>0.469036945</v>
      </c>
      <c r="C74" s="2"/>
      <c r="D74" s="2" t="n">
        <v>0.012156283</v>
      </c>
      <c r="E74" s="2" t="n">
        <f aca="false">IF(E$7=E$5,E$6,IF(NORMSDIST(E$9*SQRT($C$11)*NORMSINV($B74)+SQRT(1-E$9^2*$C$11)*NORMSINV(D74))&lt;E$8,E$5+SQRT(NORMSDIST(E$9*SQRT($C$11)*NORMSINV($B74)+SQRT(1-E$9^2*$C$11)*NORMSINV(D74))*(E$7-E$5)*(E$6-E$5)),E$7-SQRT((1-NORMSDIST(E$9*SQRT($C$11)*NORMSINV($B74)+SQRT(1-E$9^2*$C$11)*NORMSINV(D74)))*(E$7-E$5)*(E$7-E$6))))</f>
        <v>0.0513497181873505</v>
      </c>
      <c r="F74" s="2" t="n">
        <v>0.806900369</v>
      </c>
      <c r="G74" s="2" t="n">
        <f aca="false">IF(G$7=G$5,G$6,IF(NORMSDIST(G$9*SQRT($C$11)*NORMSINV($B74)+SQRT(1-G$9^2*$C$11)*NORMSINV(F74))&lt;G$8,G$5+SQRT(NORMSDIST(G$9*SQRT($C$11)*NORMSINV($B74)+SQRT(1-G$9^2*$C$11)*NORMSINV(F74))*(G$7-G$5)*(G$6-G$5)),G$7-SQRT((1-NORMSDIST(G$9*SQRT($C$11)*NORMSINV($B74)+SQRT(1-G$9^2*$C$11)*NORMSINV(F74)))*(G$7-G$5)*(G$7-G$6))))</f>
        <v>0.0590398115374687</v>
      </c>
      <c r="H74" s="2" t="n">
        <v>0.736033804</v>
      </c>
      <c r="I74" s="2" t="n">
        <f aca="false">IF(I$7=I$5,I$6,IF(NORMSDIST(I$9*SQRT($C$11)*NORMSINV($B74)+SQRT(1-I$9^2*$C$11)*NORMSINV(H74))&lt;I$8,I$5+SQRT(NORMSDIST(I$9*SQRT($C$11)*NORMSINV($B74)+SQRT(1-I$9^2*$C$11)*NORMSINV(H74))*(I$7-I$5)*(I$6-I$5)),I$7-SQRT((1-NORMSDIST(I$9*SQRT($C$11)*NORMSINV($B74)+SQRT(1-I$9^2*$C$11)*NORMSINV(H74)))*(I$7-I$5)*(I$7-I$6))))</f>
        <v>203.750580228579</v>
      </c>
      <c r="J74" s="2" t="n">
        <v>0.022866514</v>
      </c>
      <c r="K74" s="2" t="n">
        <f aca="false">IF(K$7=K$5,K$6,IF(NORMSDIST(K$9*SQRT($C$11)*NORMSINV($B74)+SQRT(1-K$9^2*$C$11)*NORMSINV(J74))&lt;K$8,K$5+SQRT(NORMSDIST(K$9*SQRT($C$11)*NORMSINV($B74)+SQRT(1-K$9^2*$C$11)*NORMSINV(J74))*(K$7-K$5)*(K$6-K$5)),K$7-SQRT((1-NORMSDIST(K$9*SQRT($C$11)*NORMSINV($B74)+SQRT(1-K$9^2*$C$11)*NORMSINV(J74)))*(K$7-K$5)*(K$7-K$6))))</f>
        <v>0.0830439576352075</v>
      </c>
      <c r="L74" s="2" t="n">
        <v>0.955535197</v>
      </c>
      <c r="M74" s="2" t="n">
        <f aca="false">IF(M$7=M$5,M$6,IF(NORMSDIST(M$9*SQRT($C$11)*NORMSINV($B74)+SQRT(1-M$9^2*$C$11)*NORMSINV(L74))&lt;M$8,M$5+SQRT(NORMSDIST(M$9*SQRT($C$11)*NORMSINV($B74)+SQRT(1-M$9^2*$C$11)*NORMSINV(L74))*(M$7-M$5)*(M$6-M$5)),M$7-SQRT((1-NORMSDIST(M$9*SQRT($C$11)*NORMSINV($B74)+SQRT(1-M$9^2*$C$11)*NORMSINV(L74)))*(M$7-M$5)*(M$7-M$6))))</f>
        <v>1701.65209737091</v>
      </c>
      <c r="N74" s="2" t="n">
        <v>0.647028544</v>
      </c>
      <c r="O74" s="2" t="n">
        <f aca="false">IF(O$7=O$5,O$6,IF(NORMSDIST(O$9*SQRT($C$11)*NORMSINV($B74)+SQRT(1-O$9^2*$C$11)*NORMSINV(N74))&lt;O$8,O$5+SQRT(NORMSDIST(O$9*SQRT($C$11)*NORMSINV($B74)+SQRT(1-O$9^2*$C$11)*NORMSINV(N74))*(O$7-O$5)*(O$6-O$5)),O$7-SQRT((1-NORMSDIST(O$9*SQRT($C$11)*NORMSINV($B74)+SQRT(1-O$9^2*$C$11)*NORMSINV(N74)))*(O$7-O$5)*(O$7-O$6))))</f>
        <v>0.169256717345432</v>
      </c>
      <c r="P74" s="2" t="n">
        <v>0.663543388</v>
      </c>
      <c r="Q74" s="2" t="n">
        <f aca="false">IF(Q$7=Q$5,Q$6,IF(NORMSDIST(Q$9*SQRT($C$11)*NORMSINV($B74)+SQRT(1-Q$9^2*$C$11)*NORMSINV(P74))&lt;Q$8,Q$5+SQRT(NORMSDIST(Q$9*SQRT($C$11)*NORMSINV($B74)+SQRT(1-Q$9^2*$C$11)*NORMSINV(P74))*(Q$7-Q$5)*(Q$6-Q$5)),Q$7-SQRT((1-NORMSDIST(Q$9*SQRT($C$11)*NORMSINV($B74)+SQRT(1-Q$9^2*$C$11)*NORMSINV(P74)))*(Q$7-Q$5)*(Q$7-Q$6))))</f>
        <v>0.0871874847291464</v>
      </c>
      <c r="R74" s="2" t="n">
        <v>0.707106165</v>
      </c>
      <c r="S74" s="2" t="n">
        <f aca="false">IF(S$7=S$5,S$6,IF(NORMSDIST(S$9*SQRT($C$11)*NORMSINV($B74)+SQRT(1-S$9^2*$C$11)*NORMSINV(R74))&lt;S$8,S$5+SQRT(NORMSDIST(S$9*SQRT($C$11)*NORMSINV($B74)+SQRT(1-S$9^2*$C$11)*NORMSINV(R74))*(S$7-S$5)*(S$6-S$5)),S$7-SQRT((1-NORMSDIST(S$9*SQRT($C$11)*NORMSINV($B74)+SQRT(1-S$9^2*$C$11)*NORMSINV(R74)))*(S$7-S$5)*(S$7-S$6))))</f>
        <v>0.57894096394164</v>
      </c>
      <c r="T74" s="2" t="n">
        <v>0.127878526</v>
      </c>
      <c r="U74" s="2" t="n">
        <f aca="false">IF(U$7=U$5,U$6,IF(NORMSDIST(U$9*SQRT($C$11)*NORMSINV($B74)+SQRT(1-U$9^2*$C$11)*NORMSINV(T74))&lt;U$8,U$5+SQRT(NORMSDIST(U$9*SQRT($C$11)*NORMSINV($B74)+SQRT(1-U$9^2*$C$11)*NORMSINV(T74))*(U$7-U$5)*(U$6-U$5)),U$7-SQRT((1-NORMSDIST(U$9*SQRT($C$11)*NORMSINV($B74)+SQRT(1-U$9^2*$C$11)*NORMSINV(T74)))*(U$7-U$5)*(U$7-U$6))))</f>
        <v>0.29692480118709</v>
      </c>
      <c r="V74" s="2" t="n">
        <v>0.778983308</v>
      </c>
      <c r="W74" s="2" t="n">
        <f aca="false">IF(W$7=W$5,W$6,IF(NORMSDIST(W$9*SQRT($C$11)*NORMSINV($B74)+SQRT(1-W$9^2*$C$11)*NORMSINV(V74))&lt;W$8,W$5+SQRT(NORMSDIST(W$9*SQRT($C$11)*NORMSINV($B74)+SQRT(1-W$9^2*$C$11)*NORMSINV(V74))*(W$7-W$5)*(W$6-W$5)),W$7-SQRT((1-NORMSDIST(W$9*SQRT($C$11)*NORMSINV($B74)+SQRT(1-W$9^2*$C$11)*NORMSINV(V74)))*(W$7-W$5)*(W$7-W$6))))</f>
        <v>10.4705188938638</v>
      </c>
      <c r="X74" s="2" t="n">
        <v>0.207219154</v>
      </c>
      <c r="Y74" s="2" t="n">
        <f aca="false">IF(Y$7=Y$5,Y$6,IF(NORMSDIST(Y$9*SQRT($C$11)*NORMSINV($B74)+SQRT(1-Y$9^2*$C$11)*NORMSINV(X74))&lt;Y$8,Y$5+SQRT(NORMSDIST(Y$9*SQRT($C$11)*NORMSINV($B74)+SQRT(1-Y$9^2*$C$11)*NORMSINV(X74))*(Y$7-Y$5)*(Y$6-Y$5)),Y$7-SQRT((1-NORMSDIST(Y$9*SQRT($C$11)*NORMSINV($B74)+SQRT(1-Y$9^2*$C$11)*NORMSINV(X74)))*(Y$7-Y$5)*(Y$7-Y$6))))</f>
        <v>0.321884415590441</v>
      </c>
      <c r="Z74" s="2" t="n">
        <v>0.015030752</v>
      </c>
      <c r="AA74" s="2" t="n">
        <f aca="false">IF(AA$7=AA$5,AA$6,IF(NORMSDIST(AA$9*SQRT($C$11)*NORMSINV($B74)+SQRT(1-AA$9^2*$C$11)*NORMSINV(Z74))&lt;AA$8,AA$5+SQRT(NORMSDIST(AA$9*SQRT($C$11)*NORMSINV($B74)+SQRT(1-AA$9^2*$C$11)*NORMSINV(Z74))*(AA$7-AA$5)*(AA$6-AA$5)),AA$7-SQRT((1-NORMSDIST(AA$9*SQRT($C$11)*NORMSINV($B74)+SQRT(1-AA$9^2*$C$11)*NORMSINV(Z74)))*(AA$7-AA$5)*(AA$7-AA$6))))</f>
        <v>0.704790487228803</v>
      </c>
      <c r="AB74" s="2" t="n">
        <v>0.323075661</v>
      </c>
      <c r="AC74" s="2" t="n">
        <f aca="false">IF(AC$7=AC$5,AC$6,IF(NORMSDIST(AC$9*SQRT($C$11)*NORMSINV($B74)+SQRT(1-AC$9^2*$C$11)*NORMSINV(AB74))&lt;AC$8,AC$5+SQRT(NORMSDIST(AC$9*SQRT($C$11)*NORMSINV($B74)+SQRT(1-AC$9^2*$C$11)*NORMSINV(AB74))*(AC$7-AC$5)*(AC$6-AC$5)),AC$7-SQRT((1-NORMSDIST(AC$9*SQRT($C$11)*NORMSINV($B74)+SQRT(1-AC$9^2*$C$11)*NORMSINV(AB74)))*(AC$7-AC$5)*(AC$7-AC$6))))</f>
        <v>9.12104855765583</v>
      </c>
      <c r="AD74" s="2" t="n">
        <f aca="false">Entrées!$C$8*(1+E74)</f>
        <v>7412.01551322082</v>
      </c>
      <c r="AE74" s="2" t="n">
        <f aca="false">I74*Hypothèses!$J$24/12/Hypothèses!$J$19</f>
        <v>101.080010722297</v>
      </c>
      <c r="AF74" s="2" t="n">
        <f aca="false">Entrées!$C$36*S74*1000</f>
        <v>289.47048197082</v>
      </c>
      <c r="AG74" s="2" t="n">
        <f aca="false">-AF74/W74</f>
        <v>-27.6462403539966</v>
      </c>
      <c r="AH74" s="2" t="n">
        <f aca="false">AD74+AE74+AG74</f>
        <v>7485.44928358912</v>
      </c>
      <c r="AI74" s="2" t="n">
        <f aca="false">Entrées!$C$16-M74+Hypothèses!$J$22*1000-AF74+Hypothèses!$J$23</f>
        <v>22556.8774206583</v>
      </c>
      <c r="AJ74" s="2" t="n">
        <f aca="false">AI74/AH74</f>
        <v>3.01342999813135</v>
      </c>
      <c r="AK74" s="2" t="n">
        <f aca="false">AI74/(AH74+I74*(12-Hypothèses!$J$24)/12/Hypothèses!$J$19)</f>
        <v>2.98464199004049</v>
      </c>
      <c r="AL74" s="2" t="n">
        <f aca="false">(AD74+AG74+I74/Hypothèses!$J$19)*(1+G74)</f>
        <v>8003.85148106947</v>
      </c>
      <c r="AM74" s="2" t="n">
        <f aca="false">Entrées!$C$54*K74/Hypothèses!$J$19</f>
        <v>8.47498455571887</v>
      </c>
      <c r="AN74" s="2" t="n">
        <f aca="false">Y74*1000/AC74</f>
        <v>35.2902863695715</v>
      </c>
      <c r="AO74" s="2" t="n">
        <f aca="false">(Entrées!$C$36*(1-S74)+MAX(0,Entrées!$C$30-Entrées!$C$35-Entrées!$C$36)*U74)*1000</f>
        <v>626.224239691107</v>
      </c>
      <c r="AP74" s="2" t="n">
        <f aca="false">-AO74/W74</f>
        <v>-59.8083290846364</v>
      </c>
      <c r="AQ74" s="2" t="n">
        <f aca="false">AL74+AM74+AN74+AP74</f>
        <v>7987.80842291012</v>
      </c>
      <c r="AR74" s="2" t="n">
        <f aca="false">O74*AQ74-Hypothèses!$J$25/Hypothèses!$J$19</f>
        <v>1332.85507018433</v>
      </c>
      <c r="AS74" s="2" t="n">
        <f aca="false">Entrées!$C$79*(1+Q74)+Hypothèses!$J$20</f>
        <v>1489.81904571733</v>
      </c>
      <c r="AT74" s="2" t="n">
        <f aca="false">AI74-AR74+AS74+Y74*1000-AO74+Hypothèses!$J$23</f>
        <v>22409.5015720906</v>
      </c>
      <c r="AU74" s="2" t="n">
        <f aca="false">AT74/AQ74</f>
        <v>2.80546307392865</v>
      </c>
      <c r="AV74" s="2" t="n">
        <f aca="false">Hypothèses!$J$26*AQ74-AT74</f>
        <v>1553.92369663976</v>
      </c>
      <c r="AW74" s="2" t="n">
        <f aca="false">IF(AC74&gt;Hypothèses!$J$26,MAX(0,AV74)/(1-Hypothèses!$J$26/AC74),0)</f>
        <v>2315.52051228479</v>
      </c>
      <c r="AX74" s="2" t="n">
        <f aca="false">AQ74-Entrées!$C$17*1000</f>
        <v>-12.1915770898804</v>
      </c>
      <c r="AY74" s="2" t="n">
        <f aca="false">AI74+(Entrées!$C$244-Entrées!$C$13)</f>
        <v>28303.8774206583</v>
      </c>
      <c r="AZ74" s="2" t="n">
        <f aca="false">AA74*AH74</f>
        <v>5275.67344770727</v>
      </c>
      <c r="BA74" s="2" t="n">
        <f aca="false">AZ74/AY74</f>
        <v>0.1863940183636</v>
      </c>
      <c r="BB74" s="2" t="n">
        <f aca="false">AZ74/(Entrées!$C$151/100)-AY74</f>
        <v>1005.41951104881</v>
      </c>
      <c r="BC74" s="2" t="n">
        <f aca="false">AT74+(Entrées!$C$244-Entrées!$C$13)</f>
        <v>28156.5015720906</v>
      </c>
      <c r="BD74" s="2" t="n">
        <f aca="false">AA74*AQ74</f>
        <v>5629.73139027316</v>
      </c>
      <c r="BE74" s="2" t="n">
        <f aca="false">BD74/BC74</f>
        <v>0.199944278441661</v>
      </c>
      <c r="BF74" s="2" t="n">
        <f aca="false">BD74/(Entrées!$C$151/100)-BC74</f>
        <v>3119.78392942696</v>
      </c>
      <c r="BG74" s="2" t="n">
        <f aca="false">MIN(AV74,BF74)</f>
        <v>1553.92369663976</v>
      </c>
      <c r="BH74" s="2" t="n">
        <f aca="false">IF(AC74&gt;Hypothèses!$J$26,MAX(0,BG74)/(1-Hypothèses!$J$26/AC74),0)</f>
        <v>2315.52051228479</v>
      </c>
    </row>
    <row r="75" customFormat="false" ht="15" hidden="false" customHeight="false" outlineLevel="0" collapsed="false">
      <c r="A75" s="2" t="n">
        <v>60</v>
      </c>
      <c r="B75" s="2" t="n">
        <v>0.346917602</v>
      </c>
      <c r="C75" s="2"/>
      <c r="D75" s="2" t="n">
        <v>0.404618977</v>
      </c>
      <c r="E75" s="2" t="n">
        <f aca="false">IF(E$7=E$5,E$6,IF(NORMSDIST(E$9*SQRT($C$11)*NORMSINV($B75)+SQRT(1-E$9^2*$C$11)*NORMSINV(D75))&lt;E$8,E$5+SQRT(NORMSDIST(E$9*SQRT($C$11)*NORMSINV($B75)+SQRT(1-E$9^2*$C$11)*NORMSINV(D75))*(E$7-E$5)*(E$6-E$5)),E$7-SQRT((1-NORMSDIST(E$9*SQRT($C$11)*NORMSINV($B75)+SQRT(1-E$9^2*$C$11)*NORMSINV(D75)))*(E$7-E$5)*(E$7-E$6))))</f>
        <v>0.0540708182366816</v>
      </c>
      <c r="F75" s="2" t="n">
        <v>0.073478932</v>
      </c>
      <c r="G75" s="2" t="n">
        <f aca="false">IF(G$7=G$5,G$6,IF(NORMSDIST(G$9*SQRT($C$11)*NORMSINV($B75)+SQRT(1-G$9^2*$C$11)*NORMSINV(F75))&lt;G$8,G$5+SQRT(NORMSDIST(G$9*SQRT($C$11)*NORMSINV($B75)+SQRT(1-G$9^2*$C$11)*NORMSINV(F75))*(G$7-G$5)*(G$6-G$5)),G$7-SQRT((1-NORMSDIST(G$9*SQRT($C$11)*NORMSINV($B75)+SQRT(1-G$9^2*$C$11)*NORMSINV(F75)))*(G$7-G$5)*(G$7-G$6))))</f>
        <v>0.0461834651785898</v>
      </c>
      <c r="H75" s="2" t="n">
        <v>0.979863005</v>
      </c>
      <c r="I75" s="2" t="n">
        <f aca="false">IF(I$7=I$5,I$6,IF(NORMSDIST(I$9*SQRT($C$11)*NORMSINV($B75)+SQRT(1-I$9^2*$C$11)*NORMSINV(H75))&lt;I$8,I$5+SQRT(NORMSDIST(I$9*SQRT($C$11)*NORMSINV($B75)+SQRT(1-I$9^2*$C$11)*NORMSINV(H75))*(I$7-I$5)*(I$6-I$5)),I$7-SQRT((1-NORMSDIST(I$9*SQRT($C$11)*NORMSINV($B75)+SQRT(1-I$9^2*$C$11)*NORMSINV(H75)))*(I$7-I$5)*(I$7-I$6))))</f>
        <v>211.506425731472</v>
      </c>
      <c r="J75" s="2" t="n">
        <v>0.940351069</v>
      </c>
      <c r="K75" s="2" t="n">
        <f aca="false">IF(K$7=K$5,K$6,IF(NORMSDIST(K$9*SQRT($C$11)*NORMSINV($B75)+SQRT(1-K$9^2*$C$11)*NORMSINV(J75))&lt;K$8,K$5+SQRT(NORMSDIST(K$9*SQRT($C$11)*NORMSINV($B75)+SQRT(1-K$9^2*$C$11)*NORMSINV(J75))*(K$7-K$5)*(K$6-K$5)),K$7-SQRT((1-NORMSDIST(K$9*SQRT($C$11)*NORMSINV($B75)+SQRT(1-K$9^2*$C$11)*NORMSINV(J75)))*(K$7-K$5)*(K$7-K$6))))</f>
        <v>0.354603142148685</v>
      </c>
      <c r="L75" s="2" t="n">
        <v>0.856236325</v>
      </c>
      <c r="M75" s="2" t="n">
        <f aca="false">IF(M$7=M$5,M$6,IF(NORMSDIST(M$9*SQRT($C$11)*NORMSINV($B75)+SQRT(1-M$9^2*$C$11)*NORMSINV(L75))&lt;M$8,M$5+SQRT(NORMSDIST(M$9*SQRT($C$11)*NORMSINV($B75)+SQRT(1-M$9^2*$C$11)*NORMSINV(L75))*(M$7-M$5)*(M$6-M$5)),M$7-SQRT((1-NORMSDIST(M$9*SQRT($C$11)*NORMSINV($B75)+SQRT(1-M$9^2*$C$11)*NORMSINV(L75)))*(M$7-M$5)*(M$7-M$6))))</f>
        <v>1641.88356403007</v>
      </c>
      <c r="N75" s="2" t="n">
        <v>0.272239565</v>
      </c>
      <c r="O75" s="2" t="n">
        <f aca="false">IF(O$7=O$5,O$6,IF(NORMSDIST(O$9*SQRT($C$11)*NORMSINV($B75)+SQRT(1-O$9^2*$C$11)*NORMSINV(N75))&lt;O$8,O$5+SQRT(NORMSDIST(O$9*SQRT($C$11)*NORMSINV($B75)+SQRT(1-O$9^2*$C$11)*NORMSINV(N75))*(O$7-O$5)*(O$6-O$5)),O$7-SQRT((1-NORMSDIST(O$9*SQRT($C$11)*NORMSINV($B75)+SQRT(1-O$9^2*$C$11)*NORMSINV(N75)))*(O$7-O$5)*(O$7-O$6))))</f>
        <v>0.158411300808298</v>
      </c>
      <c r="P75" s="2" t="n">
        <v>0.029586758</v>
      </c>
      <c r="Q75" s="2" t="n">
        <f aca="false">IF(Q$7=Q$5,Q$6,IF(NORMSDIST(Q$9*SQRT($C$11)*NORMSINV($B75)+SQRT(1-Q$9^2*$C$11)*NORMSINV(P75))&lt;Q$8,Q$5+SQRT(NORMSDIST(Q$9*SQRT($C$11)*NORMSINV($B75)+SQRT(1-Q$9^2*$C$11)*NORMSINV(P75))*(Q$7-Q$5)*(Q$6-Q$5)),Q$7-SQRT((1-NORMSDIST(Q$9*SQRT($C$11)*NORMSINV($B75)+SQRT(1-Q$9^2*$C$11)*NORMSINV(P75)))*(Q$7-Q$5)*(Q$7-Q$6))))</f>
        <v>0.0497302428335577</v>
      </c>
      <c r="R75" s="2" t="n">
        <v>0.305810691</v>
      </c>
      <c r="S75" s="2" t="n">
        <f aca="false">IF(S$7=S$5,S$6,IF(NORMSDIST(S$9*SQRT($C$11)*NORMSINV($B75)+SQRT(1-S$9^2*$C$11)*NORMSINV(R75))&lt;S$8,S$5+SQRT(NORMSDIST(S$9*SQRT($C$11)*NORMSINV($B75)+SQRT(1-S$9^2*$C$11)*NORMSINV(R75))*(S$7-S$5)*(S$6-S$5)),S$7-SQRT((1-NORMSDIST(S$9*SQRT($C$11)*NORMSINV($B75)+SQRT(1-S$9^2*$C$11)*NORMSINV(R75)))*(S$7-S$5)*(S$7-S$6))))</f>
        <v>0.360794908099973</v>
      </c>
      <c r="T75" s="2" t="n">
        <v>0.08262783</v>
      </c>
      <c r="U75" s="2" t="n">
        <f aca="false">IF(U$7=U$5,U$6,IF(NORMSDIST(U$9*SQRT($C$11)*NORMSINV($B75)+SQRT(1-U$9^2*$C$11)*NORMSINV(T75))&lt;U$8,U$5+SQRT(NORMSDIST(U$9*SQRT($C$11)*NORMSINV($B75)+SQRT(1-U$9^2*$C$11)*NORMSINV(T75))*(U$7-U$5)*(U$6-U$5)),U$7-SQRT((1-NORMSDIST(U$9*SQRT($C$11)*NORMSINV($B75)+SQRT(1-U$9^2*$C$11)*NORMSINV(T75)))*(U$7-U$5)*(U$7-U$6))))</f>
        <v>0.215387279466907</v>
      </c>
      <c r="V75" s="2" t="n">
        <v>0.683794241</v>
      </c>
      <c r="W75" s="2" t="n">
        <f aca="false">IF(W$7=W$5,W$6,IF(NORMSDIST(W$9*SQRT($C$11)*NORMSINV($B75)+SQRT(1-W$9^2*$C$11)*NORMSINV(V75))&lt;W$8,W$5+SQRT(NORMSDIST(W$9*SQRT($C$11)*NORMSINV($B75)+SQRT(1-W$9^2*$C$11)*NORMSINV(V75))*(W$7-W$5)*(W$6-W$5)),W$7-SQRT((1-NORMSDIST(W$9*SQRT($C$11)*NORMSINV($B75)+SQRT(1-W$9^2*$C$11)*NORMSINV(V75)))*(W$7-W$5)*(W$7-W$6))))</f>
        <v>10.0992026823765</v>
      </c>
      <c r="X75" s="2" t="n">
        <v>0.305590642</v>
      </c>
      <c r="Y75" s="2" t="n">
        <f aca="false">IF(Y$7=Y$5,Y$6,IF(NORMSDIST(Y$9*SQRT($C$11)*NORMSINV($B75)+SQRT(1-Y$9^2*$C$11)*NORMSINV(X75))&lt;Y$8,Y$5+SQRT(NORMSDIST(Y$9*SQRT($C$11)*NORMSINV($B75)+SQRT(1-Y$9^2*$C$11)*NORMSINV(X75))*(Y$7-Y$5)*(Y$6-Y$5)),Y$7-SQRT((1-NORMSDIST(Y$9*SQRT($C$11)*NORMSINV($B75)+SQRT(1-Y$9^2*$C$11)*NORMSINV(X75)))*(Y$7-Y$5)*(Y$7-Y$6))))</f>
        <v>0.390890420706366</v>
      </c>
      <c r="Z75" s="2" t="n">
        <v>0.100482608</v>
      </c>
      <c r="AA75" s="2" t="n">
        <f aca="false">IF(AA$7=AA$5,AA$6,IF(NORMSDIST(AA$9*SQRT($C$11)*NORMSINV($B75)+SQRT(1-AA$9^2*$C$11)*NORMSINV(Z75))&lt;AA$8,AA$5+SQRT(NORMSDIST(AA$9*SQRT($C$11)*NORMSINV($B75)+SQRT(1-AA$9^2*$C$11)*NORMSINV(Z75))*(AA$7-AA$5)*(AA$6-AA$5)),AA$7-SQRT((1-NORMSDIST(AA$9*SQRT($C$11)*NORMSINV($B75)+SQRT(1-AA$9^2*$C$11)*NORMSINV(Z75)))*(AA$7-AA$5)*(AA$7-AA$6))))</f>
        <v>0.710501740598626</v>
      </c>
      <c r="AB75" s="2" t="n">
        <v>0.253859854</v>
      </c>
      <c r="AC75" s="2" t="n">
        <f aca="false">IF(AC$7=AC$5,AC$6,IF(NORMSDIST(AC$9*SQRT($C$11)*NORMSINV($B75)+SQRT(1-AC$9^2*$C$11)*NORMSINV(AB75))&lt;AC$8,AC$5+SQRT(NORMSDIST(AC$9*SQRT($C$11)*NORMSINV($B75)+SQRT(1-AC$9^2*$C$11)*NORMSINV(AB75))*(AC$7-AC$5)*(AC$6-AC$5)),AC$7-SQRT((1-NORMSDIST(AC$9*SQRT($C$11)*NORMSINV($B75)+SQRT(1-AC$9^2*$C$11)*NORMSINV(AB75)))*(AC$7-AC$5)*(AC$7-AC$6))))</f>
        <v>8.78810402815727</v>
      </c>
      <c r="AD75" s="2" t="n">
        <f aca="false">Entrées!$C$8*(1+E75)</f>
        <v>7431.19926856861</v>
      </c>
      <c r="AE75" s="2" t="n">
        <f aca="false">I75*Hypothèses!$J$24/12/Hypothèses!$J$19</f>
        <v>104.927660852732</v>
      </c>
      <c r="AF75" s="2" t="n">
        <f aca="false">Entrées!$C$36*S75*1000</f>
        <v>180.397454049987</v>
      </c>
      <c r="AG75" s="2" t="n">
        <f aca="false">-AF75/W75</f>
        <v>-17.862544175372</v>
      </c>
      <c r="AH75" s="2" t="n">
        <f aca="false">AD75+AE75+AG75</f>
        <v>7518.26438524597</v>
      </c>
      <c r="AI75" s="2" t="n">
        <f aca="false">Entrées!$C$16-M75+Hypothèses!$J$22*1000-AF75+Hypothèses!$J$23</f>
        <v>22725.7189819199</v>
      </c>
      <c r="AJ75" s="2" t="n">
        <f aca="false">AI75/AH75</f>
        <v>3.02273474533796</v>
      </c>
      <c r="AK75" s="2" t="n">
        <f aca="false">AI75/(AH75+I75*(12-Hypothèses!$J$24)/12/Hypothèses!$J$19)</f>
        <v>2.99289903188711</v>
      </c>
      <c r="AL75" s="2" t="n">
        <f aca="false">(AD75+AG75+I75/Hypothèses!$J$19)*(1+G75)</f>
        <v>7943.89358941683</v>
      </c>
      <c r="AM75" s="2" t="n">
        <f aca="false">Entrées!$C$54*K75/Hypothèses!$J$19</f>
        <v>36.1887395386534</v>
      </c>
      <c r="AN75" s="2" t="n">
        <f aca="false">Y75*1000/AC75</f>
        <v>44.4794940357949</v>
      </c>
      <c r="AO75" s="2" t="n">
        <f aca="false">(Entrées!$C$36*(1-S75)+MAX(0,Entrées!$C$30-Entrées!$C$35-Entrées!$C$36)*U75)*1000</f>
        <v>621.144737203683</v>
      </c>
      <c r="AP75" s="2" t="n">
        <f aca="false">-AO75/W75</f>
        <v>-61.5043342270577</v>
      </c>
      <c r="AQ75" s="2" t="n">
        <f aca="false">AL75+AM75+AN75+AP75</f>
        <v>7963.05748876422</v>
      </c>
      <c r="AR75" s="2" t="n">
        <f aca="false">O75*AQ75-Hypothèses!$J$25/Hypothèses!$J$19</f>
        <v>1242.30313294478</v>
      </c>
      <c r="AS75" s="2" t="n">
        <f aca="false">Entrées!$C$79*(1+Q75)+Hypothèses!$J$20</f>
        <v>1448.65353687408</v>
      </c>
      <c r="AT75" s="2" t="n">
        <f aca="false">AI75-AR75+AS75+Y75*1000-AO75+Hypothèses!$J$23</f>
        <v>22701.8150693519</v>
      </c>
      <c r="AU75" s="2" t="n">
        <f aca="false">AT75/AQ75</f>
        <v>2.85089177133079</v>
      </c>
      <c r="AV75" s="2" t="n">
        <f aca="false">Hypothèses!$J$26*AQ75-AT75</f>
        <v>1187.35739694073</v>
      </c>
      <c r="AW75" s="2" t="n">
        <f aca="false">IF(AC75&gt;Hypothèses!$J$26,MAX(0,AV75)/(1-Hypothèses!$J$26/AC75),0)</f>
        <v>1802.77000415957</v>
      </c>
      <c r="AX75" s="2" t="n">
        <f aca="false">AQ75-Entrées!$C$17*1000</f>
        <v>-36.9425112357803</v>
      </c>
      <c r="AY75" s="2" t="n">
        <f aca="false">AI75+(Entrées!$C$244-Entrées!$C$13)</f>
        <v>28472.7189819199</v>
      </c>
      <c r="AZ75" s="2" t="n">
        <f aca="false">AA75*AH75</f>
        <v>5341.73993199792</v>
      </c>
      <c r="BA75" s="2" t="n">
        <f aca="false">AZ75/AY75</f>
        <v>0.187609056071881</v>
      </c>
      <c r="BB75" s="2" t="n">
        <f aca="false">AZ75/(Entrées!$C$151/100)-AY75</f>
        <v>1203.61397362406</v>
      </c>
      <c r="BC75" s="2" t="n">
        <f aca="false">AT75+(Entrées!$C$244-Entrées!$C$13)</f>
        <v>28448.8150693519</v>
      </c>
      <c r="BD75" s="2" t="n">
        <f aca="false">AA75*AQ75</f>
        <v>5657.7662062539</v>
      </c>
      <c r="BE75" s="2" t="n">
        <f aca="false">BD75/BC75</f>
        <v>0.198875285050063</v>
      </c>
      <c r="BF75" s="2" t="n">
        <f aca="false">BD75/(Entrées!$C$151/100)-BC75</f>
        <v>2983.21940983642</v>
      </c>
      <c r="BG75" s="2" t="n">
        <f aca="false">MIN(AV75,BF75)</f>
        <v>1187.35739694073</v>
      </c>
      <c r="BH75" s="2" t="n">
        <f aca="false">IF(AC75&gt;Hypothèses!$J$26,MAX(0,BG75)/(1-Hypothèses!$J$26/AC75),0)</f>
        <v>1802.77000415957</v>
      </c>
    </row>
    <row r="76" customFormat="false" ht="15" hidden="false" customHeight="false" outlineLevel="0" collapsed="false">
      <c r="A76" s="2" t="n">
        <v>61</v>
      </c>
      <c r="B76" s="2" t="n">
        <v>0.014666261</v>
      </c>
      <c r="C76" s="2"/>
      <c r="D76" s="2" t="n">
        <v>0.647732075</v>
      </c>
      <c r="E76" s="2" t="n">
        <f aca="false">IF(E$7=E$5,E$6,IF(NORMSDIST(E$9*SQRT($C$11)*NORMSINV($B76)+SQRT(1-E$9^2*$C$11)*NORMSINV(D76))&lt;E$8,E$5+SQRT(NORMSDIST(E$9*SQRT($C$11)*NORMSINV($B76)+SQRT(1-E$9^2*$C$11)*NORMSINV(D76))*(E$7-E$5)*(E$6-E$5)),E$7-SQRT((1-NORMSDIST(E$9*SQRT($C$11)*NORMSINV($B76)+SQRT(1-E$9^2*$C$11)*NORMSINV(D76)))*(E$7-E$5)*(E$7-E$6))))</f>
        <v>0.0526372105712691</v>
      </c>
      <c r="F76" s="2" t="n">
        <v>0.008133846</v>
      </c>
      <c r="G76" s="2" t="n">
        <f aca="false">IF(G$7=G$5,G$6,IF(NORMSDIST(G$9*SQRT($C$11)*NORMSINV($B76)+SQRT(1-G$9^2*$C$11)*NORMSINV(F76))&lt;G$8,G$5+SQRT(NORMSDIST(G$9*SQRT($C$11)*NORMSINV($B76)+SQRT(1-G$9^2*$C$11)*NORMSINV(F76))*(G$7-G$5)*(G$6-G$5)),G$7-SQRT((1-NORMSDIST(G$9*SQRT($C$11)*NORMSINV($B76)+SQRT(1-G$9^2*$C$11)*NORMSINV(F76)))*(G$7-G$5)*(G$7-G$6))))</f>
        <v>0.0405191820642507</v>
      </c>
      <c r="H76" s="2" t="n">
        <v>0.079508096</v>
      </c>
      <c r="I76" s="2" t="n">
        <f aca="false">IF(I$7=I$5,I$6,IF(NORMSDIST(I$9*SQRT($C$11)*NORMSINV($B76)+SQRT(1-I$9^2*$C$11)*NORMSINV(H76))&lt;I$8,I$5+SQRT(NORMSDIST(I$9*SQRT($C$11)*NORMSINV($B76)+SQRT(1-I$9^2*$C$11)*NORMSINV(H76))*(I$7-I$5)*(I$6-I$5)),I$7-SQRT((1-NORMSDIST(I$9*SQRT($C$11)*NORMSINV($B76)+SQRT(1-I$9^2*$C$11)*NORMSINV(H76)))*(I$7-I$5)*(I$7-I$6))))</f>
        <v>182.327864153344</v>
      </c>
      <c r="J76" s="2" t="n">
        <v>0.458000142</v>
      </c>
      <c r="K76" s="2" t="n">
        <f aca="false">IF(K$7=K$5,K$6,IF(NORMSDIST(K$9*SQRT($C$11)*NORMSINV($B76)+SQRT(1-K$9^2*$C$11)*NORMSINV(J76))&lt;K$8,K$5+SQRT(NORMSDIST(K$9*SQRT($C$11)*NORMSINV($B76)+SQRT(1-K$9^2*$C$11)*NORMSINV(J76))*(K$7-K$5)*(K$6-K$5)),K$7-SQRT((1-NORMSDIST(K$9*SQRT($C$11)*NORMSINV($B76)+SQRT(1-K$9^2*$C$11)*NORMSINV(J76)))*(K$7-K$5)*(K$7-K$6))))</f>
        <v>0.0949807848050312</v>
      </c>
      <c r="L76" s="2" t="n">
        <v>0.19054159</v>
      </c>
      <c r="M76" s="2" t="n">
        <f aca="false">IF(M$7=M$5,M$6,IF(NORMSDIST(M$9*SQRT($C$11)*NORMSINV($B76)+SQRT(1-M$9^2*$C$11)*NORMSINV(L76))&lt;M$8,M$5+SQRT(NORMSDIST(M$9*SQRT($C$11)*NORMSINV($B76)+SQRT(1-M$9^2*$C$11)*NORMSINV(L76))*(M$7-M$5)*(M$6-M$5)),M$7-SQRT((1-NORMSDIST(M$9*SQRT($C$11)*NORMSINV($B76)+SQRT(1-M$9^2*$C$11)*NORMSINV(L76)))*(M$7-M$5)*(M$7-M$6))))</f>
        <v>1359.43677258766</v>
      </c>
      <c r="N76" s="2" t="n">
        <v>0.992406868</v>
      </c>
      <c r="O76" s="2" t="n">
        <f aca="false">IF(O$7=O$5,O$6,IF(NORMSDIST(O$9*SQRT($C$11)*NORMSINV($B76)+SQRT(1-O$9^2*$C$11)*NORMSINV(N76))&lt;O$8,O$5+SQRT(NORMSDIST(O$9*SQRT($C$11)*NORMSINV($B76)+SQRT(1-O$9^2*$C$11)*NORMSINV(N76))*(O$7-O$5)*(O$6-O$5)),O$7-SQRT((1-NORMSDIST(O$9*SQRT($C$11)*NORMSINV($B76)+SQRT(1-O$9^2*$C$11)*NORMSINV(N76)))*(O$7-O$5)*(O$7-O$6))))</f>
        <v>0.171897553525954</v>
      </c>
      <c r="P76" s="2" t="n">
        <v>0.205410748</v>
      </c>
      <c r="Q76" s="2" t="n">
        <f aca="false">IF(Q$7=Q$5,Q$6,IF(NORMSDIST(Q$9*SQRT($C$11)*NORMSINV($B76)+SQRT(1-Q$9^2*$C$11)*NORMSINV(P76))&lt;Q$8,Q$5+SQRT(NORMSDIST(Q$9*SQRT($C$11)*NORMSINV($B76)+SQRT(1-Q$9^2*$C$11)*NORMSINV(P76))*(Q$7-Q$5)*(Q$6-Q$5)),Q$7-SQRT((1-NORMSDIST(Q$9*SQRT($C$11)*NORMSINV($B76)+SQRT(1-Q$9^2*$C$11)*NORMSINV(P76)))*(Q$7-Q$5)*(Q$7-Q$6))))</f>
        <v>0.0656381433337128</v>
      </c>
      <c r="R76" s="2" t="n">
        <v>0.921234975</v>
      </c>
      <c r="S76" s="2" t="n">
        <f aca="false">IF(S$7=S$5,S$6,IF(NORMSDIST(S$9*SQRT($C$11)*NORMSINV($B76)+SQRT(1-S$9^2*$C$11)*NORMSINV(R76))&lt;S$8,S$5+SQRT(NORMSDIST(S$9*SQRT($C$11)*NORMSINV($B76)+SQRT(1-S$9^2*$C$11)*NORMSINV(R76))*(S$7-S$5)*(S$6-S$5)),S$7-SQRT((1-NORMSDIST(S$9*SQRT($C$11)*NORMSINV($B76)+SQRT(1-S$9^2*$C$11)*NORMSINV(R76)))*(S$7-S$5)*(S$7-S$6))))</f>
        <v>0.440727937084213</v>
      </c>
      <c r="T76" s="2" t="n">
        <v>0.354235985</v>
      </c>
      <c r="U76" s="2" t="n">
        <f aca="false">IF(U$7=U$5,U$6,IF(NORMSDIST(U$9*SQRT($C$11)*NORMSINV($B76)+SQRT(1-U$9^2*$C$11)*NORMSINV(T76))&lt;U$8,U$5+SQRT(NORMSDIST(U$9*SQRT($C$11)*NORMSINV($B76)+SQRT(1-U$9^2*$C$11)*NORMSINV(T76))*(U$7-U$5)*(U$6-U$5)),U$7-SQRT((1-NORMSDIST(U$9*SQRT($C$11)*NORMSINV($B76)+SQRT(1-U$9^2*$C$11)*NORMSINV(T76)))*(U$7-U$5)*(U$7-U$6))))</f>
        <v>0.154407693542811</v>
      </c>
      <c r="V76" s="2" t="n">
        <v>0.080299057</v>
      </c>
      <c r="W76" s="2" t="n">
        <f aca="false">IF(W$7=W$5,W$6,IF(NORMSDIST(W$9*SQRT($C$11)*NORMSINV($B76)+SQRT(1-W$9^2*$C$11)*NORMSINV(V76))&lt;W$8,W$5+SQRT(NORMSDIST(W$9*SQRT($C$11)*NORMSINV($B76)+SQRT(1-W$9^2*$C$11)*NORMSINV(V76))*(W$7-W$5)*(W$6-W$5)),W$7-SQRT((1-NORMSDIST(W$9*SQRT($C$11)*NORMSINV($B76)+SQRT(1-W$9^2*$C$11)*NORMSINV(V76)))*(W$7-W$5)*(W$7-W$6))))</f>
        <v>8.23413109425311</v>
      </c>
      <c r="X76" s="2" t="n">
        <v>0.406779549</v>
      </c>
      <c r="Y76" s="2" t="n">
        <f aca="false">IF(Y$7=Y$5,Y$6,IF(NORMSDIST(Y$9*SQRT($C$11)*NORMSINV($B76)+SQRT(1-Y$9^2*$C$11)*NORMSINV(X76))&lt;Y$8,Y$5+SQRT(NORMSDIST(Y$9*SQRT($C$11)*NORMSINV($B76)+SQRT(1-Y$9^2*$C$11)*NORMSINV(X76))*(Y$7-Y$5)*(Y$6-Y$5)),Y$7-SQRT((1-NORMSDIST(Y$9*SQRT($C$11)*NORMSINV($B76)+SQRT(1-Y$9^2*$C$11)*NORMSINV(X76)))*(Y$7-Y$5)*(Y$7-Y$6))))</f>
        <v>0.450987554706336</v>
      </c>
      <c r="Z76" s="2" t="n">
        <v>0.425695382</v>
      </c>
      <c r="AA76" s="2" t="n">
        <f aca="false">IF(AA$7=AA$5,AA$6,IF(NORMSDIST(AA$9*SQRT($C$11)*NORMSINV($B76)+SQRT(1-AA$9^2*$C$11)*NORMSINV(Z76))&lt;AA$8,AA$5+SQRT(NORMSDIST(AA$9*SQRT($C$11)*NORMSINV($B76)+SQRT(1-AA$9^2*$C$11)*NORMSINV(Z76))*(AA$7-AA$5)*(AA$6-AA$5)),AA$7-SQRT((1-NORMSDIST(AA$9*SQRT($C$11)*NORMSINV($B76)+SQRT(1-AA$9^2*$C$11)*NORMSINV(Z76)))*(AA$7-AA$5)*(AA$7-AA$6))))</f>
        <v>0.707016114831404</v>
      </c>
      <c r="AB76" s="2" t="n">
        <v>0.209393947</v>
      </c>
      <c r="AC76" s="2" t="n">
        <f aca="false">IF(AC$7=AC$5,AC$6,IF(NORMSDIST(AC$9*SQRT($C$11)*NORMSINV($B76)+SQRT(1-AC$9^2*$C$11)*NORMSINV(AB76))&lt;AC$8,AC$5+SQRT(NORMSDIST(AC$9*SQRT($C$11)*NORMSINV($B76)+SQRT(1-AC$9^2*$C$11)*NORMSINV(AB76))*(AC$7-AC$5)*(AC$6-AC$5)),AC$7-SQRT((1-NORMSDIST(AC$9*SQRT($C$11)*NORMSINV($B76)+SQRT(1-AC$9^2*$C$11)*NORMSINV(AB76)))*(AC$7-AC$5)*(AC$7-AC$6))))</f>
        <v>7.84104424686898</v>
      </c>
      <c r="AD76" s="2" t="n">
        <f aca="false">Entrées!$C$8*(1+E76)</f>
        <v>7421.09233452745</v>
      </c>
      <c r="AE76" s="2" t="n">
        <f aca="false">I76*Hypothèses!$J$24/12/Hypothèses!$J$19</f>
        <v>90.4522698434427</v>
      </c>
      <c r="AF76" s="2" t="n">
        <f aca="false">Entrées!$C$36*S76*1000</f>
        <v>220.363968542107</v>
      </c>
      <c r="AG76" s="2" t="n">
        <f aca="false">-AF76/W76</f>
        <v>-26.7622613752053</v>
      </c>
      <c r="AH76" s="2" t="n">
        <f aca="false">AD76+AE76+AG76</f>
        <v>7484.78234299569</v>
      </c>
      <c r="AI76" s="2" t="n">
        <f aca="false">Entrées!$C$16-M76+Hypothèses!$J$22*1000-AF76+Hypothèses!$J$23</f>
        <v>22968.1992588702</v>
      </c>
      <c r="AJ76" s="2" t="n">
        <f aca="false">AI76/AH76</f>
        <v>3.06865292888096</v>
      </c>
      <c r="AK76" s="2" t="n">
        <f aca="false">AI76/(AH76+I76*(12-Hypothèses!$J$24)/12/Hypothèses!$J$19)</f>
        <v>3.04239096012095</v>
      </c>
      <c r="AL76" s="2" t="n">
        <f aca="false">(AD76+AG76+I76/Hypothèses!$J$19)*(1+G76)</f>
        <v>7855.28625991521</v>
      </c>
      <c r="AM76" s="2" t="n">
        <f aca="false">Entrées!$C$54*K76/Hypothèses!$J$19</f>
        <v>9.69318788789786</v>
      </c>
      <c r="AN76" s="2" t="n">
        <f aca="false">Y76*1000/AC76</f>
        <v>57.5162619298342</v>
      </c>
      <c r="AO76" s="2" t="n">
        <f aca="false">(Entrées!$C$36*(1-S76)+MAX(0,Entrées!$C$30-Entrées!$C$35-Entrées!$C$36)*U76)*1000</f>
        <v>495.806802417829</v>
      </c>
      <c r="AP76" s="2" t="n">
        <f aca="false">-AO76/W76</f>
        <v>-60.2136153459921</v>
      </c>
      <c r="AQ76" s="2" t="n">
        <f aca="false">AL76+AM76+AN76+AP76</f>
        <v>7862.28209438695</v>
      </c>
      <c r="AR76" s="2" t="n">
        <f aca="false">O76*AQ76-Hypothèses!$J$25/Hypothèses!$J$19</f>
        <v>1332.37189489441</v>
      </c>
      <c r="AS76" s="2" t="n">
        <f aca="false">Entrées!$C$79*(1+Q76)+Hypothèses!$J$20</f>
        <v>1466.13631952375</v>
      </c>
      <c r="AT76" s="2" t="n">
        <f aca="false">AI76-AR76+AS76+Y76*1000-AO76+Hypothèses!$J$23</f>
        <v>23057.1444357881</v>
      </c>
      <c r="AU76" s="2" t="n">
        <f aca="false">AT76/AQ76</f>
        <v>2.93262746858817</v>
      </c>
      <c r="AV76" s="2" t="n">
        <f aca="false">Hypothèses!$J$26*AQ76-AT76</f>
        <v>529.70184737278</v>
      </c>
      <c r="AW76" s="2" t="n">
        <f aca="false">IF(AC76&gt;Hypothèses!$J$26,MAX(0,AV76)/(1-Hypothèses!$J$26/AC76),0)</f>
        <v>857.958616177594</v>
      </c>
      <c r="AX76" s="2" t="n">
        <f aca="false">AQ76-Entrées!$C$17*1000</f>
        <v>-137.717905613048</v>
      </c>
      <c r="AY76" s="2" t="n">
        <f aca="false">AI76+(Entrées!$C$244-Entrées!$C$13)</f>
        <v>28715.1992588702</v>
      </c>
      <c r="AZ76" s="2" t="n">
        <f aca="false">AA76*AH76</f>
        <v>5291.8617325035</v>
      </c>
      <c r="BA76" s="2" t="n">
        <f aca="false">AZ76/AY76</f>
        <v>0.184287829062124</v>
      </c>
      <c r="BB76" s="2" t="n">
        <f aca="false">AZ76/(Entrées!$C$151/100)-AY76</f>
        <v>684.032588371447</v>
      </c>
      <c r="BC76" s="2" t="n">
        <f aca="false">AT76+(Entrées!$C$244-Entrées!$C$13)</f>
        <v>28804.1444357881</v>
      </c>
      <c r="BD76" s="2" t="n">
        <f aca="false">AA76*AQ76</f>
        <v>5558.76014008198</v>
      </c>
      <c r="BE76" s="2" t="n">
        <f aca="false">BD76/BC76</f>
        <v>0.192984733584915</v>
      </c>
      <c r="BF76" s="2" t="n">
        <f aca="false">BD76/(Entrées!$C$151/100)-BC76</f>
        <v>2077.85634244512</v>
      </c>
      <c r="BG76" s="2" t="n">
        <f aca="false">MIN(AV76,BF76)</f>
        <v>529.70184737278</v>
      </c>
      <c r="BH76" s="2" t="n">
        <f aca="false">IF(AC76&gt;Hypothèses!$J$26,MAX(0,BG76)/(1-Hypothèses!$J$26/AC76),0)</f>
        <v>857.958616177594</v>
      </c>
    </row>
    <row r="77" customFormat="false" ht="15" hidden="false" customHeight="false" outlineLevel="0" collapsed="false">
      <c r="A77" s="2" t="n">
        <v>62</v>
      </c>
      <c r="B77" s="2" t="n">
        <v>0.573475714</v>
      </c>
      <c r="C77" s="2"/>
      <c r="D77" s="2" t="n">
        <v>0.681226058</v>
      </c>
      <c r="E77" s="2" t="n">
        <f aca="false">IF(E$7=E$5,E$6,IF(NORMSDIST(E$9*SQRT($C$11)*NORMSINV($B77)+SQRT(1-E$9^2*$C$11)*NORMSINV(D77))&lt;E$8,E$5+SQRT(NORMSDIST(E$9*SQRT($C$11)*NORMSINV($B77)+SQRT(1-E$9^2*$C$11)*NORMSINV(D77))*(E$7-E$5)*(E$6-E$5)),E$7-SQRT((1-NORMSDIST(E$9*SQRT($C$11)*NORMSINV($B77)+SQRT(1-E$9^2*$C$11)*NORMSINV(D77)))*(E$7-E$5)*(E$7-E$6))))</f>
        <v>0.056032175721776</v>
      </c>
      <c r="F77" s="2" t="n">
        <v>0.519919582</v>
      </c>
      <c r="G77" s="2" t="n">
        <f aca="false">IF(G$7=G$5,G$6,IF(NORMSDIST(G$9*SQRT($C$11)*NORMSINV($B77)+SQRT(1-G$9^2*$C$11)*NORMSINV(F77))&lt;G$8,G$5+SQRT(NORMSDIST(G$9*SQRT($C$11)*NORMSINV($B77)+SQRT(1-G$9^2*$C$11)*NORMSINV(F77))*(G$7-G$5)*(G$6-G$5)),G$7-SQRT((1-NORMSDIST(G$9*SQRT($C$11)*NORMSINV($B77)+SQRT(1-G$9^2*$C$11)*NORMSINV(F77)))*(G$7-G$5)*(G$7-G$6))))</f>
        <v>0.0559595083131682</v>
      </c>
      <c r="H77" s="2" t="n">
        <v>0.382009561</v>
      </c>
      <c r="I77" s="2" t="n">
        <f aca="false">IF(I$7=I$5,I$6,IF(NORMSDIST(I$9*SQRT($C$11)*NORMSINV($B77)+SQRT(1-I$9^2*$C$11)*NORMSINV(H77))&lt;I$8,I$5+SQRT(NORMSDIST(I$9*SQRT($C$11)*NORMSINV($B77)+SQRT(1-I$9^2*$C$11)*NORMSINV(H77))*(I$7-I$5)*(I$6-I$5)),I$7-SQRT((1-NORMSDIST(I$9*SQRT($C$11)*NORMSINV($B77)+SQRT(1-I$9^2*$C$11)*NORMSINV(H77)))*(I$7-I$5)*(I$7-I$6))))</f>
        <v>199.059236563873</v>
      </c>
      <c r="J77" s="2" t="n">
        <v>0.147356837</v>
      </c>
      <c r="K77" s="2" t="n">
        <f aca="false">IF(K$7=K$5,K$6,IF(NORMSDIST(K$9*SQRT($C$11)*NORMSINV($B77)+SQRT(1-K$9^2*$C$11)*NORMSINV(J77))&lt;K$8,K$5+SQRT(NORMSDIST(K$9*SQRT($C$11)*NORMSINV($B77)+SQRT(1-K$9^2*$C$11)*NORMSINV(J77))*(K$7-K$5)*(K$6-K$5)),K$7-SQRT((1-NORMSDIST(K$9*SQRT($C$11)*NORMSINV($B77)+SQRT(1-K$9^2*$C$11)*NORMSINV(J77)))*(K$7-K$5)*(K$7-K$6))))</f>
        <v>0.174529344278779</v>
      </c>
      <c r="L77" s="2" t="n">
        <v>0.944596359</v>
      </c>
      <c r="M77" s="2" t="n">
        <f aca="false">IF(M$7=M$5,M$6,IF(NORMSDIST(M$9*SQRT($C$11)*NORMSINV($B77)+SQRT(1-M$9^2*$C$11)*NORMSINV(L77))&lt;M$8,M$5+SQRT(NORMSDIST(M$9*SQRT($C$11)*NORMSINV($B77)+SQRT(1-M$9^2*$C$11)*NORMSINV(L77))*(M$7-M$5)*(M$6-M$5)),M$7-SQRT((1-NORMSDIST(M$9*SQRT($C$11)*NORMSINV($B77)+SQRT(1-M$9^2*$C$11)*NORMSINV(L77)))*(M$7-M$5)*(M$7-M$6))))</f>
        <v>1708.13424230299</v>
      </c>
      <c r="N77" s="2" t="n">
        <v>0.495738646</v>
      </c>
      <c r="O77" s="2" t="n">
        <f aca="false">IF(O$7=O$5,O$6,IF(NORMSDIST(O$9*SQRT($C$11)*NORMSINV($B77)+SQRT(1-O$9^2*$C$11)*NORMSINV(N77))&lt;O$8,O$5+SQRT(NORMSDIST(O$9*SQRT($C$11)*NORMSINV($B77)+SQRT(1-O$9^2*$C$11)*NORMSINV(N77))*(O$7-O$5)*(O$6-O$5)),O$7-SQRT((1-NORMSDIST(O$9*SQRT($C$11)*NORMSINV($B77)+SQRT(1-O$9^2*$C$11)*NORMSINV(N77)))*(O$7-O$5)*(O$7-O$6))))</f>
        <v>0.167921455817515</v>
      </c>
      <c r="P77" s="2" t="n">
        <v>0.891574858</v>
      </c>
      <c r="Q77" s="2" t="n">
        <f aca="false">IF(Q$7=Q$5,Q$6,IF(NORMSDIST(Q$9*SQRT($C$11)*NORMSINV($B77)+SQRT(1-Q$9^2*$C$11)*NORMSINV(P77))&lt;Q$8,Q$5+SQRT(NORMSDIST(Q$9*SQRT($C$11)*NORMSINV($B77)+SQRT(1-Q$9^2*$C$11)*NORMSINV(P77))*(Q$7-Q$5)*(Q$6-Q$5)),Q$7-SQRT((1-NORMSDIST(Q$9*SQRT($C$11)*NORMSINV($B77)+SQRT(1-Q$9^2*$C$11)*NORMSINV(P77)))*(Q$7-Q$5)*(Q$7-Q$6))))</f>
        <v>0.101373125479566</v>
      </c>
      <c r="R77" s="2" t="n">
        <v>0.732548148</v>
      </c>
      <c r="S77" s="2" t="n">
        <f aca="false">IF(S$7=S$5,S$6,IF(NORMSDIST(S$9*SQRT($C$11)*NORMSINV($B77)+SQRT(1-S$9^2*$C$11)*NORMSINV(R77))&lt;S$8,S$5+SQRT(NORMSDIST(S$9*SQRT($C$11)*NORMSINV($B77)+SQRT(1-S$9^2*$C$11)*NORMSINV(R77))*(S$7-S$5)*(S$6-S$5)),S$7-SQRT((1-NORMSDIST(S$9*SQRT($C$11)*NORMSINV($B77)+SQRT(1-S$9^2*$C$11)*NORMSINV(R77)))*(S$7-S$5)*(S$7-S$6))))</f>
        <v>0.629202732907428</v>
      </c>
      <c r="T77" s="2" t="n">
        <v>0.60495014</v>
      </c>
      <c r="U77" s="2" t="n">
        <f aca="false">IF(U$7=U$5,U$6,IF(NORMSDIST(U$9*SQRT($C$11)*NORMSINV($B77)+SQRT(1-U$9^2*$C$11)*NORMSINV(T77))&lt;U$8,U$5+SQRT(NORMSDIST(U$9*SQRT($C$11)*NORMSINV($B77)+SQRT(1-U$9^2*$C$11)*NORMSINV(T77))*(U$7-U$5)*(U$6-U$5)),U$7-SQRT((1-NORMSDIST(U$9*SQRT($C$11)*NORMSINV($B77)+SQRT(1-U$9^2*$C$11)*NORMSINV(T77)))*(U$7-U$5)*(U$7-U$6))))</f>
        <v>0.568015274359927</v>
      </c>
      <c r="V77" s="2" t="n">
        <v>0.747053282</v>
      </c>
      <c r="W77" s="2" t="n">
        <f aca="false">IF(W$7=W$5,W$6,IF(NORMSDIST(W$9*SQRT($C$11)*NORMSINV($B77)+SQRT(1-W$9^2*$C$11)*NORMSINV(V77))&lt;W$8,W$5+SQRT(NORMSDIST(W$9*SQRT($C$11)*NORMSINV($B77)+SQRT(1-W$9^2*$C$11)*NORMSINV(V77))*(W$7-W$5)*(W$6-W$5)),W$7-SQRT((1-NORMSDIST(W$9*SQRT($C$11)*NORMSINV($B77)+SQRT(1-W$9^2*$C$11)*NORMSINV(V77)))*(W$7-W$5)*(W$7-W$6))))</f>
        <v>10.5479738811219</v>
      </c>
      <c r="X77" s="2" t="n">
        <v>0.084656141</v>
      </c>
      <c r="Y77" s="2" t="n">
        <f aca="false">IF(Y$7=Y$5,Y$6,IF(NORMSDIST(Y$9*SQRT($C$11)*NORMSINV($B77)+SQRT(1-Y$9^2*$C$11)*NORMSINV(X77))&lt;Y$8,Y$5+SQRT(NORMSDIST(Y$9*SQRT($C$11)*NORMSINV($B77)+SQRT(1-Y$9^2*$C$11)*NORMSINV(X77))*(Y$7-Y$5)*(Y$6-Y$5)),Y$7-SQRT((1-NORMSDIST(Y$9*SQRT($C$11)*NORMSINV($B77)+SQRT(1-Y$9^2*$C$11)*NORMSINV(X77)))*(Y$7-Y$5)*(Y$7-Y$6))))</f>
        <v>0.205737868415127</v>
      </c>
      <c r="Z77" s="2" t="n">
        <v>0.342176531</v>
      </c>
      <c r="AA77" s="2" t="n">
        <f aca="false">IF(AA$7=AA$5,AA$6,IF(NORMSDIST(AA$9*SQRT($C$11)*NORMSINV($B77)+SQRT(1-AA$9^2*$C$11)*NORMSINV(Z77))&lt;AA$8,AA$5+SQRT(NORMSDIST(AA$9*SQRT($C$11)*NORMSINV($B77)+SQRT(1-AA$9^2*$C$11)*NORMSINV(Z77))*(AA$7-AA$5)*(AA$6-AA$5)),AA$7-SQRT((1-NORMSDIST(AA$9*SQRT($C$11)*NORMSINV($B77)+SQRT(1-AA$9^2*$C$11)*NORMSINV(Z77)))*(AA$7-AA$5)*(AA$7-AA$6))))</f>
        <v>0.725376584665787</v>
      </c>
      <c r="AB77" s="2" t="n">
        <v>0.636992229</v>
      </c>
      <c r="AC77" s="2" t="n">
        <f aca="false">IF(AC$7=AC$5,AC$6,IF(NORMSDIST(AC$9*SQRT($C$11)*NORMSINV($B77)+SQRT(1-AC$9^2*$C$11)*NORMSINV(AB77))&lt;AC$8,AC$5+SQRT(NORMSDIST(AC$9*SQRT($C$11)*NORMSINV($B77)+SQRT(1-AC$9^2*$C$11)*NORMSINV(AB77))*(AC$7-AC$5)*(AC$6-AC$5)),AC$7-SQRT((1-NORMSDIST(AC$9*SQRT($C$11)*NORMSINV($B77)+SQRT(1-AC$9^2*$C$11)*NORMSINV(AB77)))*(AC$7-AC$5)*(AC$7-AC$6))))</f>
        <v>9.77201680344253</v>
      </c>
      <c r="AD77" s="2" t="n">
        <f aca="false">Entrées!$C$8*(1+E77)</f>
        <v>7445.02683883852</v>
      </c>
      <c r="AE77" s="2" t="n">
        <f aca="false">I77*Hypothèses!$J$24/12/Hypothèses!$J$19</f>
        <v>98.7526501454654</v>
      </c>
      <c r="AF77" s="2" t="n">
        <f aca="false">Entrées!$C$36*S77*1000</f>
        <v>314.601366453714</v>
      </c>
      <c r="AG77" s="2" t="n">
        <f aca="false">-AF77/W77</f>
        <v>-29.8257627483103</v>
      </c>
      <c r="AH77" s="2" t="n">
        <f aca="false">AD77+AE77+AG77</f>
        <v>7513.95372623568</v>
      </c>
      <c r="AI77" s="2" t="n">
        <f aca="false">Entrées!$C$16-M77+Hypothèses!$J$22*1000-AF77+Hypothèses!$J$23</f>
        <v>22525.2643912433</v>
      </c>
      <c r="AJ77" s="2" t="n">
        <f aca="false">AI77/AH77</f>
        <v>2.99779120446194</v>
      </c>
      <c r="AK77" s="2" t="n">
        <f aca="false">AI77/(AH77+I77*(12-Hypothèses!$J$24)/12/Hypothèses!$J$19)</f>
        <v>2.96991101984697</v>
      </c>
      <c r="AL77" s="2" t="n">
        <f aca="false">(AD77+AG77+I77/Hypothèses!$J$19)*(1+G77)</f>
        <v>8008.9157393096</v>
      </c>
      <c r="AM77" s="2" t="n">
        <f aca="false">Entrées!$C$54*K77/Hypothèses!$J$19</f>
        <v>17.8114523850113</v>
      </c>
      <c r="AN77" s="2" t="n">
        <f aca="false">Y77*1000/AC77</f>
        <v>21.0537775930398</v>
      </c>
      <c r="AO77" s="2" t="n">
        <f aca="false">(Entrées!$C$36*(1-S77)+MAX(0,Entrées!$C$30-Entrées!$C$35-Entrées!$C$36)*U77)*1000</f>
        <v>980.620017650183</v>
      </c>
      <c r="AP77" s="2" t="n">
        <f aca="false">-AO77/W77</f>
        <v>-92.9676190614426</v>
      </c>
      <c r="AQ77" s="2" t="n">
        <f aca="false">AL77+AM77+AN77+AP77</f>
        <v>7954.81335022621</v>
      </c>
      <c r="AR77" s="2" t="n">
        <f aca="false">O77*AQ77-Hypothèses!$J$25/Hypothèses!$J$19</f>
        <v>1316.64867626496</v>
      </c>
      <c r="AS77" s="2" t="n">
        <f aca="false">Entrées!$C$79*(1+Q77)+Hypothèses!$J$20</f>
        <v>1505.40906490204</v>
      </c>
      <c r="AT77" s="2" t="n">
        <f aca="false">AI77-AR77+AS77+Y77*1000-AO77+Hypothèses!$J$23</f>
        <v>21939.1426306453</v>
      </c>
      <c r="AU77" s="2" t="n">
        <f aca="false">AT77/AQ77</f>
        <v>2.7579707611897</v>
      </c>
      <c r="AV77" s="2" t="n">
        <f aca="false">Hypothèses!$J$26*AQ77-AT77</f>
        <v>1925.2974200333</v>
      </c>
      <c r="AW77" s="2" t="n">
        <f aca="false">IF(AC77&gt;Hypothèses!$J$26,MAX(0,AV77)/(1-Hypothèses!$J$26/AC77),0)</f>
        <v>2778.20319799353</v>
      </c>
      <c r="AX77" s="2" t="n">
        <f aca="false">AQ77-Entrées!$C$17*1000</f>
        <v>-45.1866497737929</v>
      </c>
      <c r="AY77" s="2" t="n">
        <f aca="false">AI77+(Entrées!$C$244-Entrées!$C$13)</f>
        <v>28272.2643912433</v>
      </c>
      <c r="AZ77" s="2" t="n">
        <f aca="false">AA77*AH77</f>
        <v>5450.4460912736</v>
      </c>
      <c r="BA77" s="2" t="n">
        <f aca="false">AZ77/AY77</f>
        <v>0.192784207725567</v>
      </c>
      <c r="BB77" s="2" t="n">
        <f aca="false">AZ77/(Entrées!$C$151/100)-AY77</f>
        <v>2007.9916713878</v>
      </c>
      <c r="BC77" s="2" t="n">
        <f aca="false">AT77+(Entrées!$C$244-Entrées!$C$13)</f>
        <v>27686.1426306453</v>
      </c>
      <c r="BD77" s="2" t="n">
        <f aca="false">AA77*AQ77</f>
        <v>5770.23533964089</v>
      </c>
      <c r="BE77" s="2" t="n">
        <f aca="false">BD77/BC77</f>
        <v>0.208416008565018</v>
      </c>
      <c r="BF77" s="2" t="n">
        <f aca="false">BD77/(Entrées!$C$151/100)-BC77</f>
        <v>4370.72036735963</v>
      </c>
      <c r="BG77" s="2" t="n">
        <f aca="false">MIN(AV77,BF77)</f>
        <v>1925.2974200333</v>
      </c>
      <c r="BH77" s="2" t="n">
        <f aca="false">IF(AC77&gt;Hypothèses!$J$26,MAX(0,BG77)/(1-Hypothèses!$J$26/AC77),0)</f>
        <v>2778.20319799353</v>
      </c>
    </row>
    <row r="78" customFormat="false" ht="15" hidden="false" customHeight="false" outlineLevel="0" collapsed="false">
      <c r="A78" s="2" t="n">
        <v>63</v>
      </c>
      <c r="B78" s="2" t="n">
        <v>0.976856464</v>
      </c>
      <c r="C78" s="2"/>
      <c r="D78" s="2" t="n">
        <v>0.556106031</v>
      </c>
      <c r="E78" s="2" t="n">
        <f aca="false">IF(E$7=E$5,E$6,IF(NORMSDIST(E$9*SQRT($C$11)*NORMSINV($B78)+SQRT(1-E$9^2*$C$11)*NORMSINV(D78))&lt;E$8,E$5+SQRT(NORMSDIST(E$9*SQRT($C$11)*NORMSINV($B78)+SQRT(1-E$9^2*$C$11)*NORMSINV(D78))*(E$7-E$5)*(E$6-E$5)),E$7-SQRT((1-NORMSDIST(E$9*SQRT($C$11)*NORMSINV($B78)+SQRT(1-E$9^2*$C$11)*NORMSINV(D78)))*(E$7-E$5)*(E$7-E$6))))</f>
        <v>0.0579335958641478</v>
      </c>
      <c r="F78" s="2" t="n">
        <v>0.052193143</v>
      </c>
      <c r="G78" s="2" t="n">
        <f aca="false">IF(G$7=G$5,G$6,IF(NORMSDIST(G$9*SQRT($C$11)*NORMSINV($B78)+SQRT(1-G$9^2*$C$11)*NORMSINV(F78))&lt;G$8,G$5+SQRT(NORMSDIST(G$9*SQRT($C$11)*NORMSINV($B78)+SQRT(1-G$9^2*$C$11)*NORMSINV(F78))*(G$7-G$5)*(G$6-G$5)),G$7-SQRT((1-NORMSDIST(G$9*SQRT($C$11)*NORMSINV($B78)+SQRT(1-G$9^2*$C$11)*NORMSINV(F78)))*(G$7-G$5)*(G$7-G$6))))</f>
        <v>0.0550145421428141</v>
      </c>
      <c r="H78" s="2" t="n">
        <v>0.907684201</v>
      </c>
      <c r="I78" s="2" t="n">
        <f aca="false">IF(I$7=I$5,I$6,IF(NORMSDIST(I$9*SQRT($C$11)*NORMSINV($B78)+SQRT(1-I$9^2*$C$11)*NORMSINV(H78))&lt;I$8,I$5+SQRT(NORMSDIST(I$9*SQRT($C$11)*NORMSINV($B78)+SQRT(1-I$9^2*$C$11)*NORMSINV(H78))*(I$7-I$5)*(I$6-I$5)),I$7-SQRT((1-NORMSDIST(I$9*SQRT($C$11)*NORMSINV($B78)+SQRT(1-I$9^2*$C$11)*NORMSINV(H78)))*(I$7-I$5)*(I$7-I$6))))</f>
        <v>217.024020452327</v>
      </c>
      <c r="J78" s="2" t="n">
        <v>0.747930699</v>
      </c>
      <c r="K78" s="2" t="n">
        <f aca="false">IF(K$7=K$5,K$6,IF(NORMSDIST(K$9*SQRT($C$11)*NORMSINV($B78)+SQRT(1-K$9^2*$C$11)*NORMSINV(J78))&lt;K$8,K$5+SQRT(NORMSDIST(K$9*SQRT($C$11)*NORMSINV($B78)+SQRT(1-K$9^2*$C$11)*NORMSINV(J78))*(K$7-K$5)*(K$6-K$5)),K$7-SQRT((1-NORMSDIST(K$9*SQRT($C$11)*NORMSINV($B78)+SQRT(1-K$9^2*$C$11)*NORMSINV(J78)))*(K$7-K$5)*(K$7-K$6))))</f>
        <v>0.431332679492173</v>
      </c>
      <c r="L78" s="2" t="n">
        <v>0.028541179</v>
      </c>
      <c r="M78" s="2" t="n">
        <f aca="false">IF(M$7=M$5,M$6,IF(NORMSDIST(M$9*SQRT($C$11)*NORMSINV($B78)+SQRT(1-M$9^2*$C$11)*NORMSINV(L78))&lt;M$8,M$5+SQRT(NORMSDIST(M$9*SQRT($C$11)*NORMSINV($B78)+SQRT(1-M$9^2*$C$11)*NORMSINV(L78))*(M$7-M$5)*(M$6-M$5)),M$7-SQRT((1-NORMSDIST(M$9*SQRT($C$11)*NORMSINV($B78)+SQRT(1-M$9^2*$C$11)*NORMSINV(L78)))*(M$7-M$5)*(M$7-M$6))))</f>
        <v>1560.40012494865</v>
      </c>
      <c r="N78" s="2" t="n">
        <v>0.212597562</v>
      </c>
      <c r="O78" s="2" t="n">
        <f aca="false">IF(O$7=O$5,O$6,IF(NORMSDIST(O$9*SQRT($C$11)*NORMSINV($B78)+SQRT(1-O$9^2*$C$11)*NORMSINV(N78))&lt;O$8,O$5+SQRT(NORMSDIST(O$9*SQRT($C$11)*NORMSINV($B78)+SQRT(1-O$9^2*$C$11)*NORMSINV(N78))*(O$7-O$5)*(O$6-O$5)),O$7-SQRT((1-NORMSDIST(O$9*SQRT($C$11)*NORMSINV($B78)+SQRT(1-O$9^2*$C$11)*NORMSINV(N78)))*(O$7-O$5)*(O$7-O$6))))</f>
        <v>0.173350955021781</v>
      </c>
      <c r="P78" s="2" t="n">
        <v>0.337863887</v>
      </c>
      <c r="Q78" s="2" t="n">
        <f aca="false">IF(Q$7=Q$5,Q$6,IF(NORMSDIST(Q$9*SQRT($C$11)*NORMSINV($B78)+SQRT(1-Q$9^2*$C$11)*NORMSINV(P78))&lt;Q$8,Q$5+SQRT(NORMSDIST(Q$9*SQRT($C$11)*NORMSINV($B78)+SQRT(1-Q$9^2*$C$11)*NORMSINV(P78))*(Q$7-Q$5)*(Q$6-Q$5)),Q$7-SQRT((1-NORMSDIST(Q$9*SQRT($C$11)*NORMSINV($B78)+SQRT(1-Q$9^2*$C$11)*NORMSINV(P78)))*(Q$7-Q$5)*(Q$7-Q$6))))</f>
        <v>0.0728810650435779</v>
      </c>
      <c r="R78" s="2" t="n">
        <v>0.879719906</v>
      </c>
      <c r="S78" s="2" t="n">
        <f aca="false">IF(S$7=S$5,S$6,IF(NORMSDIST(S$9*SQRT($C$11)*NORMSINV($B78)+SQRT(1-S$9^2*$C$11)*NORMSINV(R78))&lt;S$8,S$5+SQRT(NORMSDIST(S$9*SQRT($C$11)*NORMSINV($B78)+SQRT(1-S$9^2*$C$11)*NORMSINV(R78))*(S$7-S$5)*(S$6-S$5)),S$7-SQRT((1-NORMSDIST(S$9*SQRT($C$11)*NORMSINV($B78)+SQRT(1-S$9^2*$C$11)*NORMSINV(R78)))*(S$7-S$5)*(S$7-S$6))))</f>
        <v>0.913321204390363</v>
      </c>
      <c r="T78" s="2" t="n">
        <v>0.15933333</v>
      </c>
      <c r="U78" s="2" t="n">
        <f aca="false">IF(U$7=U$5,U$6,IF(NORMSDIST(U$9*SQRT($C$11)*NORMSINV($B78)+SQRT(1-U$9^2*$C$11)*NORMSINV(T78))&lt;U$8,U$5+SQRT(NORMSDIST(U$9*SQRT($C$11)*NORMSINV($B78)+SQRT(1-U$9^2*$C$11)*NORMSINV(T78))*(U$7-U$5)*(U$6-U$5)),U$7-SQRT((1-NORMSDIST(U$9*SQRT($C$11)*NORMSINV($B78)+SQRT(1-U$9^2*$C$11)*NORMSINV(T78)))*(U$7-U$5)*(U$7-U$6))))</f>
        <v>0.604520602837305</v>
      </c>
      <c r="V78" s="2" t="n">
        <v>0.826392355</v>
      </c>
      <c r="W78" s="2" t="n">
        <f aca="false">IF(W$7=W$5,W$6,IF(NORMSDIST(W$9*SQRT($C$11)*NORMSINV($B78)+SQRT(1-W$9^2*$C$11)*NORMSINV(V78))&lt;W$8,W$5+SQRT(NORMSDIST(W$9*SQRT($C$11)*NORMSINV($B78)+SQRT(1-W$9^2*$C$11)*NORMSINV(V78))*(W$7-W$5)*(W$6-W$5)),W$7-SQRT((1-NORMSDIST(W$9*SQRT($C$11)*NORMSINV($B78)+SQRT(1-W$9^2*$C$11)*NORMSINV(V78)))*(W$7-W$5)*(W$7-W$6))))</f>
        <v>11.5675150126374</v>
      </c>
      <c r="X78" s="2" t="n">
        <v>0.020885895</v>
      </c>
      <c r="Y78" s="2" t="n">
        <f aca="false">IF(Y$7=Y$5,Y$6,IF(NORMSDIST(Y$9*SQRT($C$11)*NORMSINV($B78)+SQRT(1-Y$9^2*$C$11)*NORMSINV(X78))&lt;Y$8,Y$5+SQRT(NORMSDIST(Y$9*SQRT($C$11)*NORMSINV($B78)+SQRT(1-Y$9^2*$C$11)*NORMSINV(X78))*(Y$7-Y$5)*(Y$6-Y$5)),Y$7-SQRT((1-NORMSDIST(Y$9*SQRT($C$11)*NORMSINV($B78)+SQRT(1-Y$9^2*$C$11)*NORMSINV(X78)))*(Y$7-Y$5)*(Y$7-Y$6))))</f>
        <v>0.102190740774299</v>
      </c>
      <c r="Z78" s="2" t="n">
        <v>0.284606143</v>
      </c>
      <c r="AA78" s="2" t="n">
        <f aca="false">IF(AA$7=AA$5,AA$6,IF(NORMSDIST(AA$9*SQRT($C$11)*NORMSINV($B78)+SQRT(1-AA$9^2*$C$11)*NORMSINV(Z78))&lt;AA$8,AA$5+SQRT(NORMSDIST(AA$9*SQRT($C$11)*NORMSINV($B78)+SQRT(1-AA$9^2*$C$11)*NORMSINV(Z78))*(AA$7-AA$5)*(AA$6-AA$5)),AA$7-SQRT((1-NORMSDIST(AA$9*SQRT($C$11)*NORMSINV($B78)+SQRT(1-AA$9^2*$C$11)*NORMSINV(Z78)))*(AA$7-AA$5)*(AA$7-AA$6))))</f>
        <v>0.737587407518747</v>
      </c>
      <c r="AB78" s="2" t="n">
        <v>0.676610248</v>
      </c>
      <c r="AC78" s="2" t="n">
        <f aca="false">IF(AC$7=AC$5,AC$6,IF(NORMSDIST(AC$9*SQRT($C$11)*NORMSINV($B78)+SQRT(1-AC$9^2*$C$11)*NORMSINV(AB78))&lt;AC$8,AC$5+SQRT(NORMSDIST(AC$9*SQRT($C$11)*NORMSINV($B78)+SQRT(1-AC$9^2*$C$11)*NORMSINV(AB78))*(AC$7-AC$5)*(AC$6-AC$5)),AC$7-SQRT((1-NORMSDIST(AC$9*SQRT($C$11)*NORMSINV($B78)+SQRT(1-AC$9^2*$C$11)*NORMSINV(AB78)))*(AC$7-AC$5)*(AC$7-AC$6))))</f>
        <v>10.5209419844515</v>
      </c>
      <c r="AD78" s="2" t="n">
        <f aca="false">Entrées!$C$8*(1+E78)</f>
        <v>7458.43185084224</v>
      </c>
      <c r="AE78" s="2" t="n">
        <f aca="false">I78*Hypothèses!$J$24/12/Hypothèses!$J$19</f>
        <v>107.664921934</v>
      </c>
      <c r="AF78" s="2" t="n">
        <f aca="false">Entrées!$C$36*S78*1000</f>
        <v>456.660602195181</v>
      </c>
      <c r="AG78" s="2" t="n">
        <f aca="false">-AF78/W78</f>
        <v>-39.4778482410686</v>
      </c>
      <c r="AH78" s="2" t="n">
        <f aca="false">AD78+AE78+AG78</f>
        <v>7526.61892453517</v>
      </c>
      <c r="AI78" s="2" t="n">
        <f aca="false">Entrées!$C$16-M78+Hypothèses!$J$22*1000-AF78+Hypothèses!$J$23</f>
        <v>22530.9392728562</v>
      </c>
      <c r="AJ78" s="2" t="n">
        <f aca="false">AI78/AH78</f>
        <v>2.99350073369732</v>
      </c>
      <c r="AK78" s="2" t="n">
        <f aca="false">AI78/(AH78+I78*(12-Hypothèses!$J$24)/12/Hypothèses!$J$19)</f>
        <v>2.96322388078027</v>
      </c>
      <c r="AL78" s="2" t="n">
        <f aca="false">(AD78+AG78+I78/Hypothèses!$J$19)*(1+G78)</f>
        <v>8021.82674592266</v>
      </c>
      <c r="AM78" s="2" t="n">
        <f aca="false">Entrées!$C$54*K78/Hypothèses!$J$19</f>
        <v>44.0193109910647</v>
      </c>
      <c r="AN78" s="2" t="n">
        <f aca="false">Y78*1000/AC78</f>
        <v>9.71307901187207</v>
      </c>
      <c r="AO78" s="2" t="n">
        <f aca="false">(Entrées!$C$36*(1-S78)+MAX(0,Entrées!$C$30-Entrées!$C$35-Entrées!$C$36)*U78)*1000</f>
        <v>889.668241777046</v>
      </c>
      <c r="AP78" s="2" t="n">
        <f aca="false">-AO78/W78</f>
        <v>-76.9109217325495</v>
      </c>
      <c r="AQ78" s="2" t="n">
        <f aca="false">AL78+AM78+AN78+AP78</f>
        <v>7998.64821419305</v>
      </c>
      <c r="AR78" s="2" t="n">
        <f aca="false">O78*AQ78-Hypothèses!$J$25/Hypothèses!$J$19</f>
        <v>1367.438144552</v>
      </c>
      <c r="AS78" s="2" t="n">
        <f aca="false">Entrées!$C$79*(1+Q78)+Hypothèses!$J$20</f>
        <v>1474.09629048289</v>
      </c>
      <c r="AT78" s="2" t="n">
        <f aca="false">AI78-AR78+AS78+Y78*1000-AO78+Hypothèses!$J$23</f>
        <v>21850.1199177843</v>
      </c>
      <c r="AU78" s="2" t="n">
        <f aca="false">AT78/AQ78</f>
        <v>2.73172657837518</v>
      </c>
      <c r="AV78" s="2" t="n">
        <f aca="false">Hypothèses!$J$26*AQ78-AT78</f>
        <v>2145.82472479483</v>
      </c>
      <c r="AW78" s="2" t="n">
        <f aca="false">IF(AC78&gt;Hypothèses!$J$26,MAX(0,AV78)/(1-Hypothèses!$J$26/AC78),0)</f>
        <v>3001.76460409361</v>
      </c>
      <c r="AX78" s="2" t="n">
        <f aca="false">AQ78-Entrées!$C$17*1000</f>
        <v>-1.35178580695265</v>
      </c>
      <c r="AY78" s="2" t="n">
        <f aca="false">AI78+(Entrées!$C$244-Entrées!$C$13)</f>
        <v>28277.9392728562</v>
      </c>
      <c r="AZ78" s="2" t="n">
        <f aca="false">AA78*AH78</f>
        <v>5551.53933992944</v>
      </c>
      <c r="BA78" s="2" t="n">
        <f aca="false">AZ78/AY78</f>
        <v>0.196320505761123</v>
      </c>
      <c r="BB78" s="2" t="n">
        <f aca="false">AZ78/(Entrées!$C$151/100)-AY78</f>
        <v>2563.94594897406</v>
      </c>
      <c r="BC78" s="2" t="n">
        <f aca="false">AT78+(Entrées!$C$244-Entrées!$C$13)</f>
        <v>27597.1199177843</v>
      </c>
      <c r="BD78" s="2" t="n">
        <f aca="false">AA78*AQ78</f>
        <v>5899.70219996111</v>
      </c>
      <c r="BE78" s="2" t="n">
        <f aca="false">BD78/BC78</f>
        <v>0.213779634162447</v>
      </c>
      <c r="BF78" s="2" t="n">
        <f aca="false">BD78/(Entrées!$C$151/100)-BC78</f>
        <v>5179.00341533296</v>
      </c>
      <c r="BG78" s="2" t="n">
        <f aca="false">MIN(AV78,BF78)</f>
        <v>2145.82472479483</v>
      </c>
      <c r="BH78" s="2" t="n">
        <f aca="false">IF(AC78&gt;Hypothèses!$J$26,MAX(0,BG78)/(1-Hypothèses!$J$26/AC78),0)</f>
        <v>3001.76460409361</v>
      </c>
    </row>
    <row r="79" customFormat="false" ht="15" hidden="false" customHeight="false" outlineLevel="0" collapsed="false">
      <c r="A79" s="2" t="n">
        <v>64</v>
      </c>
      <c r="B79" s="2" t="n">
        <v>0.25221233</v>
      </c>
      <c r="C79" s="2"/>
      <c r="D79" s="2" t="n">
        <v>0.613797809</v>
      </c>
      <c r="E79" s="2" t="n">
        <f aca="false">IF(E$7=E$5,E$6,IF(NORMSDIST(E$9*SQRT($C$11)*NORMSINV($B79)+SQRT(1-E$9^2*$C$11)*NORMSINV(D79))&lt;E$8,E$5+SQRT(NORMSDIST(E$9*SQRT($C$11)*NORMSINV($B79)+SQRT(1-E$9^2*$C$11)*NORMSINV(D79))*(E$7-E$5)*(E$6-E$5)),E$7-SQRT((1-NORMSDIST(E$9*SQRT($C$11)*NORMSINV($B79)+SQRT(1-E$9^2*$C$11)*NORMSINV(D79)))*(E$7-E$5)*(E$7-E$6))))</f>
        <v>0.0545905454565548</v>
      </c>
      <c r="F79" s="2" t="n">
        <v>0.026346131</v>
      </c>
      <c r="G79" s="2" t="n">
        <f aca="false">IF(G$7=G$5,G$6,IF(NORMSDIST(G$9*SQRT($C$11)*NORMSINV($B79)+SQRT(1-G$9^2*$C$11)*NORMSINV(F79))&lt;G$8,G$5+SQRT(NORMSDIST(G$9*SQRT($C$11)*NORMSINV($B79)+SQRT(1-G$9^2*$C$11)*NORMSINV(F79))*(G$7-G$5)*(G$6-G$5)),G$7-SQRT((1-NORMSDIST(G$9*SQRT($C$11)*NORMSINV($B79)+SQRT(1-G$9^2*$C$11)*NORMSINV(F79)))*(G$7-G$5)*(G$7-G$6))))</f>
        <v>0.0435014582301211</v>
      </c>
      <c r="H79" s="2" t="n">
        <v>0.074131045</v>
      </c>
      <c r="I79" s="2" t="n">
        <f aca="false">IF(I$7=I$5,I$6,IF(NORMSDIST(I$9*SQRT($C$11)*NORMSINV($B79)+SQRT(1-I$9^2*$C$11)*NORMSINV(H79))&lt;I$8,I$5+SQRT(NORMSDIST(I$9*SQRT($C$11)*NORMSINV($B79)+SQRT(1-I$9^2*$C$11)*NORMSINV(H79))*(I$7-I$5)*(I$6-I$5)),I$7-SQRT((1-NORMSDIST(I$9*SQRT($C$11)*NORMSINV($B79)+SQRT(1-I$9^2*$C$11)*NORMSINV(H79)))*(I$7-I$5)*(I$7-I$6))))</f>
        <v>187.016200575087</v>
      </c>
      <c r="J79" s="2" t="n">
        <v>0.406400351</v>
      </c>
      <c r="K79" s="2" t="n">
        <f aca="false">IF(K$7=K$5,K$6,IF(NORMSDIST(K$9*SQRT($C$11)*NORMSINV($B79)+SQRT(1-K$9^2*$C$11)*NORMSINV(J79))&lt;K$8,K$5+SQRT(NORMSDIST(K$9*SQRT($C$11)*NORMSINV($B79)+SQRT(1-K$9^2*$C$11)*NORMSINV(J79))*(K$7-K$5)*(K$6-K$5)),K$7-SQRT((1-NORMSDIST(K$9*SQRT($C$11)*NORMSINV($B79)+SQRT(1-K$9^2*$C$11)*NORMSINV(J79)))*(K$7-K$5)*(K$7-K$6))))</f>
        <v>0.184519989150448</v>
      </c>
      <c r="L79" s="2" t="n">
        <v>0.039884762</v>
      </c>
      <c r="M79" s="2" t="n">
        <f aca="false">IF(M$7=M$5,M$6,IF(NORMSDIST(M$9*SQRT($C$11)*NORMSINV($B79)+SQRT(1-M$9^2*$C$11)*NORMSINV(L79))&lt;M$8,M$5+SQRT(NORMSDIST(M$9*SQRT($C$11)*NORMSINV($B79)+SQRT(1-M$9^2*$C$11)*NORMSINV(L79))*(M$7-M$5)*(M$6-M$5)),M$7-SQRT((1-NORMSDIST(M$9*SQRT($C$11)*NORMSINV($B79)+SQRT(1-M$9^2*$C$11)*NORMSINV(L79)))*(M$7-M$5)*(M$7-M$6))))</f>
        <v>1380.56798358695</v>
      </c>
      <c r="N79" s="2" t="n">
        <v>0.643467968</v>
      </c>
      <c r="O79" s="2" t="n">
        <f aca="false">IF(O$7=O$5,O$6,IF(NORMSDIST(O$9*SQRT($C$11)*NORMSINV($B79)+SQRT(1-O$9^2*$C$11)*NORMSINV(N79))&lt;O$8,O$5+SQRT(NORMSDIST(O$9*SQRT($C$11)*NORMSINV($B79)+SQRT(1-O$9^2*$C$11)*NORMSINV(N79))*(O$7-O$5)*(O$6-O$5)),O$7-SQRT((1-NORMSDIST(O$9*SQRT($C$11)*NORMSINV($B79)+SQRT(1-O$9^2*$C$11)*NORMSINV(N79)))*(O$7-O$5)*(O$7-O$6))))</f>
        <v>0.165279272248632</v>
      </c>
      <c r="P79" s="2" t="n">
        <v>0.309144719</v>
      </c>
      <c r="Q79" s="2" t="n">
        <f aca="false">IF(Q$7=Q$5,Q$6,IF(NORMSDIST(Q$9*SQRT($C$11)*NORMSINV($B79)+SQRT(1-Q$9^2*$C$11)*NORMSINV(P79))&lt;Q$8,Q$5+SQRT(NORMSDIST(Q$9*SQRT($C$11)*NORMSINV($B79)+SQRT(1-Q$9^2*$C$11)*NORMSINV(P79))*(Q$7-Q$5)*(Q$6-Q$5)),Q$7-SQRT((1-NORMSDIST(Q$9*SQRT($C$11)*NORMSINV($B79)+SQRT(1-Q$9^2*$C$11)*NORMSINV(P79)))*(Q$7-Q$5)*(Q$7-Q$6))))</f>
        <v>0.0714525531682247</v>
      </c>
      <c r="R79" s="2" t="n">
        <v>0.46682071</v>
      </c>
      <c r="S79" s="2" t="n">
        <f aca="false">IF(S$7=S$5,S$6,IF(NORMSDIST(S$9*SQRT($C$11)*NORMSINV($B79)+SQRT(1-S$9^2*$C$11)*NORMSINV(R79))&lt;S$8,S$5+SQRT(NORMSDIST(S$9*SQRT($C$11)*NORMSINV($B79)+SQRT(1-S$9^2*$C$11)*NORMSINV(R79))*(S$7-S$5)*(S$6-S$5)),S$7-SQRT((1-NORMSDIST(S$9*SQRT($C$11)*NORMSINV($B79)+SQRT(1-S$9^2*$C$11)*NORMSINV(R79)))*(S$7-S$5)*(S$7-S$6))))</f>
        <v>0.395752237151673</v>
      </c>
      <c r="T79" s="2" t="n">
        <v>0.738913893</v>
      </c>
      <c r="U79" s="2" t="n">
        <f aca="false">IF(U$7=U$5,U$6,IF(NORMSDIST(U$9*SQRT($C$11)*NORMSINV($B79)+SQRT(1-U$9^2*$C$11)*NORMSINV(T79))&lt;U$8,U$5+SQRT(NORMSDIST(U$9*SQRT($C$11)*NORMSINV($B79)+SQRT(1-U$9^2*$C$11)*NORMSINV(T79))*(U$7-U$5)*(U$6-U$5)),U$7-SQRT((1-NORMSDIST(U$9*SQRT($C$11)*NORMSINV($B79)+SQRT(1-U$9^2*$C$11)*NORMSINV(T79)))*(U$7-U$5)*(U$7-U$6))))</f>
        <v>0.51487935605654</v>
      </c>
      <c r="V79" s="2" t="n">
        <v>0.908369064</v>
      </c>
      <c r="W79" s="2" t="n">
        <f aca="false">IF(W$7=W$5,W$6,IF(NORMSDIST(W$9*SQRT($C$11)*NORMSINV($B79)+SQRT(1-W$9^2*$C$11)*NORMSINV(V79))&lt;W$8,W$5+SQRT(NORMSDIST(W$9*SQRT($C$11)*NORMSINV($B79)+SQRT(1-W$9^2*$C$11)*NORMSINV(V79))*(W$7-W$5)*(W$6-W$5)),W$7-SQRT((1-NORMSDIST(W$9*SQRT($C$11)*NORMSINV($B79)+SQRT(1-W$9^2*$C$11)*NORMSINV(V79)))*(W$7-W$5)*(W$7-W$6))))</f>
        <v>10.5265371192824</v>
      </c>
      <c r="X79" s="2" t="n">
        <v>0.400920609</v>
      </c>
      <c r="Y79" s="2" t="n">
        <f aca="false">IF(Y$7=Y$5,Y$6,IF(NORMSDIST(Y$9*SQRT($C$11)*NORMSINV($B79)+SQRT(1-Y$9^2*$C$11)*NORMSINV(X79))&lt;Y$8,Y$5+SQRT(NORMSDIST(Y$9*SQRT($C$11)*NORMSINV($B79)+SQRT(1-Y$9^2*$C$11)*NORMSINV(X79))*(Y$7-Y$5)*(Y$6-Y$5)),Y$7-SQRT((1-NORMSDIST(Y$9*SQRT($C$11)*NORMSINV($B79)+SQRT(1-Y$9^2*$C$11)*NORMSINV(X79)))*(Y$7-Y$5)*(Y$7-Y$6))))</f>
        <v>0.44772793580477</v>
      </c>
      <c r="Z79" s="2" t="n">
        <v>0.519182633</v>
      </c>
      <c r="AA79" s="2" t="n">
        <f aca="false">IF(AA$7=AA$5,AA$6,IF(NORMSDIST(AA$9*SQRT($C$11)*NORMSINV($B79)+SQRT(1-AA$9^2*$C$11)*NORMSINV(Z79))&lt;AA$8,AA$5+SQRT(NORMSDIST(AA$9*SQRT($C$11)*NORMSINV($B79)+SQRT(1-AA$9^2*$C$11)*NORMSINV(Z79))*(AA$7-AA$5)*(AA$6-AA$5)),AA$7-SQRT((1-NORMSDIST(AA$9*SQRT($C$11)*NORMSINV($B79)+SQRT(1-AA$9^2*$C$11)*NORMSINV(Z79)))*(AA$7-AA$5)*(AA$7-AA$6))))</f>
        <v>0.722710524422161</v>
      </c>
      <c r="AB79" s="2" t="n">
        <v>0.162794909</v>
      </c>
      <c r="AC79" s="2" t="n">
        <f aca="false">IF(AC$7=AC$5,AC$6,IF(NORMSDIST(AC$9*SQRT($C$11)*NORMSINV($B79)+SQRT(1-AC$9^2*$C$11)*NORMSINV(AB79))&lt;AC$8,AC$5+SQRT(NORMSDIST(AC$9*SQRT($C$11)*NORMSINV($B79)+SQRT(1-AC$9^2*$C$11)*NORMSINV(AB79))*(AC$7-AC$5)*(AC$6-AC$5)),AC$7-SQRT((1-NORMSDIST(AC$9*SQRT($C$11)*NORMSINV($B79)+SQRT(1-AC$9^2*$C$11)*NORMSINV(AB79)))*(AC$7-AC$5)*(AC$7-AC$6))))</f>
        <v>8.41089373656459</v>
      </c>
      <c r="AD79" s="2" t="n">
        <f aca="false">Entrées!$C$8*(1+E79)</f>
        <v>7434.86334546871</v>
      </c>
      <c r="AE79" s="2" t="n">
        <f aca="false">I79*Hypothèses!$J$24/12/Hypothèses!$J$19</f>
        <v>92.7781385366651</v>
      </c>
      <c r="AF79" s="2" t="n">
        <f aca="false">Entrées!$C$36*S79*1000</f>
        <v>197.876118575837</v>
      </c>
      <c r="AG79" s="2" t="n">
        <f aca="false">-AF79/W79</f>
        <v>-18.7978360151668</v>
      </c>
      <c r="AH79" s="2" t="n">
        <f aca="false">AD79+AE79+AG79</f>
        <v>7508.84364799021</v>
      </c>
      <c r="AI79" s="2" t="n">
        <f aca="false">Entrées!$C$16-M79+Hypothèses!$J$22*1000-AF79+Hypothèses!$J$23</f>
        <v>22969.5558978372</v>
      </c>
      <c r="AJ79" s="2" t="n">
        <f aca="false">AI79/AH79</f>
        <v>3.05900042331886</v>
      </c>
      <c r="AK79" s="2" t="n">
        <f aca="false">AI79/(AH79+I79*(12-Hypothèses!$J$24)/12/Hypothèses!$J$19)</f>
        <v>3.03223907457506</v>
      </c>
      <c r="AL79" s="2" t="n">
        <f aca="false">(AD79+AG79+I79/Hypothèses!$J$19)*(1+G79)</f>
        <v>7904.64224119611</v>
      </c>
      <c r="AM79" s="2" t="n">
        <f aca="false">Entrées!$C$54*K79/Hypothèses!$J$19</f>
        <v>18.8310396421722</v>
      </c>
      <c r="AN79" s="2" t="n">
        <f aca="false">Y79*1000/AC79</f>
        <v>53.2319096909246</v>
      </c>
      <c r="AO79" s="2" t="n">
        <f aca="false">(Entrées!$C$36*(1-S79)+MAX(0,Entrées!$C$30-Entrées!$C$35-Entrées!$C$36)*U79)*1000</f>
        <v>1022.95497990332</v>
      </c>
      <c r="AP79" s="2" t="n">
        <f aca="false">-AO79/W79</f>
        <v>-97.1786797796481</v>
      </c>
      <c r="AQ79" s="2" t="n">
        <f aca="false">AL79+AM79+AN79+AP79</f>
        <v>7879.52651074956</v>
      </c>
      <c r="AR79" s="2" t="n">
        <f aca="false">O79*AQ79-Hypothèses!$J$25/Hypothèses!$J$19</f>
        <v>1283.18724509886</v>
      </c>
      <c r="AS79" s="2" t="n">
        <f aca="false">Entrées!$C$79*(1+Q79)+Hypothèses!$J$20</f>
        <v>1472.52635593188</v>
      </c>
      <c r="AT79" s="2" t="n">
        <f aca="false">AI79-AR79+AS79+Y79*1000-AO79+Hypothèses!$J$23</f>
        <v>22583.6679645717</v>
      </c>
      <c r="AU79" s="2" t="n">
        <f aca="false">AT79/AQ79</f>
        <v>2.86611992913053</v>
      </c>
      <c r="AV79" s="2" t="n">
        <f aca="false">Hypothèses!$J$26*AQ79-AT79</f>
        <v>1054.91156767701</v>
      </c>
      <c r="AW79" s="2" t="n">
        <f aca="false">IF(AC79&gt;Hypothèses!$J$26,MAX(0,AV79)/(1-Hypothèses!$J$26/AC79),0)</f>
        <v>1639.79363284215</v>
      </c>
      <c r="AX79" s="2" t="n">
        <f aca="false">AQ79-Entrées!$C$17*1000</f>
        <v>-120.473489250438</v>
      </c>
      <c r="AY79" s="2" t="n">
        <f aca="false">AI79+(Entrées!$C$244-Entrées!$C$13)</f>
        <v>28716.5558978372</v>
      </c>
      <c r="AZ79" s="2" t="n">
        <f aca="false">AA79*AH79</f>
        <v>5426.72033064302</v>
      </c>
      <c r="BA79" s="2" t="n">
        <f aca="false">AZ79/AY79</f>
        <v>0.188975319670968</v>
      </c>
      <c r="BB79" s="2" t="n">
        <f aca="false">AZ79/(Entrées!$C$151/100)-AY79</f>
        <v>1431.89038351287</v>
      </c>
      <c r="BC79" s="2" t="n">
        <f aca="false">AT79+(Entrées!$C$244-Entrées!$C$13)</f>
        <v>28330.6679645717</v>
      </c>
      <c r="BD79" s="2" t="n">
        <f aca="false">AA79*AQ79</f>
        <v>5694.61673678213</v>
      </c>
      <c r="BE79" s="2" t="n">
        <f aca="false">BD79/BC79</f>
        <v>0.201005382008762</v>
      </c>
      <c r="BF79" s="2" t="n">
        <f aca="false">BD79/(Entrées!$C$151/100)-BC79</f>
        <v>3306.09168421796</v>
      </c>
      <c r="BG79" s="2" t="n">
        <f aca="false">MIN(AV79,BF79)</f>
        <v>1054.91156767701</v>
      </c>
      <c r="BH79" s="2" t="n">
        <f aca="false">IF(AC79&gt;Hypothèses!$J$26,MAX(0,BG79)/(1-Hypothèses!$J$26/AC79),0)</f>
        <v>1639.79363284215</v>
      </c>
    </row>
    <row r="80" customFormat="false" ht="15" hidden="false" customHeight="false" outlineLevel="0" collapsed="false">
      <c r="A80" s="2" t="n">
        <v>65</v>
      </c>
      <c r="B80" s="2" t="n">
        <v>0.797030181</v>
      </c>
      <c r="C80" s="2"/>
      <c r="D80" s="2" t="n">
        <v>0.865039225</v>
      </c>
      <c r="E80" s="2" t="n">
        <f aca="false">IF(E$7=E$5,E$6,IF(NORMSDIST(E$9*SQRT($C$11)*NORMSINV($B80)+SQRT(1-E$9^2*$C$11)*NORMSINV(D80))&lt;E$8,E$5+SQRT(NORMSDIST(E$9*SQRT($C$11)*NORMSINV($B80)+SQRT(1-E$9^2*$C$11)*NORMSINV(D80))*(E$7-E$5)*(E$6-E$5)),E$7-SQRT((1-NORMSDIST(E$9*SQRT($C$11)*NORMSINV($B80)+SQRT(1-E$9^2*$C$11)*NORMSINV(D80)))*(E$7-E$5)*(E$7-E$6))))</f>
        <v>0.0579534656672384</v>
      </c>
      <c r="F80" s="2" t="n">
        <v>0.663845273</v>
      </c>
      <c r="G80" s="2" t="n">
        <f aca="false">IF(G$7=G$5,G$6,IF(NORMSDIST(G$9*SQRT($C$11)*NORMSINV($B80)+SQRT(1-G$9^2*$C$11)*NORMSINV(F80))&lt;G$8,G$5+SQRT(NORMSDIST(G$9*SQRT($C$11)*NORMSINV($B80)+SQRT(1-G$9^2*$C$11)*NORMSINV(F80))*(G$7-G$5)*(G$6-G$5)),G$7-SQRT((1-NORMSDIST(G$9*SQRT($C$11)*NORMSINV($B80)+SQRT(1-G$9^2*$C$11)*NORMSINV(F80)))*(G$7-G$5)*(G$7-G$6))))</f>
        <v>0.0605903022374564</v>
      </c>
      <c r="H80" s="2" t="n">
        <v>0.647216773</v>
      </c>
      <c r="I80" s="2" t="n">
        <f aca="false">IF(I$7=I$5,I$6,IF(NORMSDIST(I$9*SQRT($C$11)*NORMSINV($B80)+SQRT(1-I$9^2*$C$11)*NORMSINV(H80))&lt;I$8,I$5+SQRT(NORMSDIST(I$9*SQRT($C$11)*NORMSINV($B80)+SQRT(1-I$9^2*$C$11)*NORMSINV(H80))*(I$7-I$5)*(I$6-I$5)),I$7-SQRT((1-NORMSDIST(I$9*SQRT($C$11)*NORMSINV($B80)+SQRT(1-I$9^2*$C$11)*NORMSINV(H80)))*(I$7-I$5)*(I$7-I$6))))</f>
        <v>207.14377691883</v>
      </c>
      <c r="J80" s="2" t="n">
        <v>0.92228699</v>
      </c>
      <c r="K80" s="2" t="n">
        <f aca="false">IF(K$7=K$5,K$6,IF(NORMSDIST(K$9*SQRT($C$11)*NORMSINV($B80)+SQRT(1-K$9^2*$C$11)*NORMSINV(J80))&lt;K$8,K$5+SQRT(NORMSDIST(K$9*SQRT($C$11)*NORMSINV($B80)+SQRT(1-K$9^2*$C$11)*NORMSINV(J80))*(K$7-K$5)*(K$6-K$5)),K$7-SQRT((1-NORMSDIST(K$9*SQRT($C$11)*NORMSINV($B80)+SQRT(1-K$9^2*$C$11)*NORMSINV(J80)))*(K$7-K$5)*(K$7-K$6))))</f>
        <v>0.419398541235506</v>
      </c>
      <c r="L80" s="2" t="n">
        <v>0.93767107</v>
      </c>
      <c r="M80" s="2" t="n">
        <f aca="false">IF(M$7=M$5,M$6,IF(NORMSDIST(M$9*SQRT($C$11)*NORMSINV($B80)+SQRT(1-M$9^2*$C$11)*NORMSINV(L80))&lt;M$8,M$5+SQRT(NORMSDIST(M$9*SQRT($C$11)*NORMSINV($B80)+SQRT(1-M$9^2*$C$11)*NORMSINV(L80))*(M$7-M$5)*(M$6-M$5)),M$7-SQRT((1-NORMSDIST(M$9*SQRT($C$11)*NORMSINV($B80)+SQRT(1-M$9^2*$C$11)*NORMSINV(L80)))*(M$7-M$5)*(M$7-M$6))))</f>
        <v>1733.27533087745</v>
      </c>
      <c r="N80" s="2" t="n">
        <v>0.648361962</v>
      </c>
      <c r="O80" s="2" t="n">
        <f aca="false">IF(O$7=O$5,O$6,IF(NORMSDIST(O$9*SQRT($C$11)*NORMSINV($B80)+SQRT(1-O$9^2*$C$11)*NORMSINV(N80))&lt;O$8,O$5+SQRT(NORMSDIST(O$9*SQRT($C$11)*NORMSINV($B80)+SQRT(1-O$9^2*$C$11)*NORMSINV(N80))*(O$7-O$5)*(O$6-O$5)),O$7-SQRT((1-NORMSDIST(O$9*SQRT($C$11)*NORMSINV($B80)+SQRT(1-O$9^2*$C$11)*NORMSINV(N80)))*(O$7-O$5)*(O$7-O$6))))</f>
        <v>0.175189731321007</v>
      </c>
      <c r="P80" s="2" t="n">
        <v>0.525122574</v>
      </c>
      <c r="Q80" s="2" t="n">
        <f aca="false">IF(Q$7=Q$5,Q$6,IF(NORMSDIST(Q$9*SQRT($C$11)*NORMSINV($B80)+SQRT(1-Q$9^2*$C$11)*NORMSINV(P80))&lt;Q$8,Q$5+SQRT(NORMSDIST(Q$9*SQRT($C$11)*NORMSINV($B80)+SQRT(1-Q$9^2*$C$11)*NORMSINV(P80))*(Q$7-Q$5)*(Q$6-Q$5)),Q$7-SQRT((1-NORMSDIST(Q$9*SQRT($C$11)*NORMSINV($B80)+SQRT(1-Q$9^2*$C$11)*NORMSINV(P80)))*(Q$7-Q$5)*(Q$7-Q$6))))</f>
        <v>0.0810178532761471</v>
      </c>
      <c r="R80" s="2" t="n">
        <v>0.320120377</v>
      </c>
      <c r="S80" s="2" t="n">
        <f aca="false">IF(S$7=S$5,S$6,IF(NORMSDIST(S$9*SQRT($C$11)*NORMSINV($B80)+SQRT(1-S$9^2*$C$11)*NORMSINV(R80))&lt;S$8,S$5+SQRT(NORMSDIST(S$9*SQRT($C$11)*NORMSINV($B80)+SQRT(1-S$9^2*$C$11)*NORMSINV(R80))*(S$7-S$5)*(S$6-S$5)),S$7-SQRT((1-NORMSDIST(S$9*SQRT($C$11)*NORMSINV($B80)+SQRT(1-S$9^2*$C$11)*NORMSINV(R80)))*(S$7-S$5)*(S$7-S$6))))</f>
        <v>0.533616889667772</v>
      </c>
      <c r="T80" s="2" t="n">
        <v>0.063181504</v>
      </c>
      <c r="U80" s="2" t="n">
        <f aca="false">IF(U$7=U$5,U$6,IF(NORMSDIST(U$9*SQRT($C$11)*NORMSINV($B80)+SQRT(1-U$9^2*$C$11)*NORMSINV(T80))&lt;U$8,U$5+SQRT(NORMSDIST(U$9*SQRT($C$11)*NORMSINV($B80)+SQRT(1-U$9^2*$C$11)*NORMSINV(T80))*(U$7-U$5)*(U$6-U$5)),U$7-SQRT((1-NORMSDIST(U$9*SQRT($C$11)*NORMSINV($B80)+SQRT(1-U$9^2*$C$11)*NORMSINV(T80)))*(U$7-U$5)*(U$7-U$6))))</f>
        <v>0.357160421283655</v>
      </c>
      <c r="V80" s="2" t="n">
        <v>0.447145898</v>
      </c>
      <c r="W80" s="2" t="n">
        <f aca="false">IF(W$7=W$5,W$6,IF(NORMSDIST(W$9*SQRT($C$11)*NORMSINV($B80)+SQRT(1-W$9^2*$C$11)*NORMSINV(V80))&lt;W$8,W$5+SQRT(NORMSDIST(W$9*SQRT($C$11)*NORMSINV($B80)+SQRT(1-W$9^2*$C$11)*NORMSINV(V80))*(W$7-W$5)*(W$6-W$5)),W$7-SQRT((1-NORMSDIST(W$9*SQRT($C$11)*NORMSINV($B80)+SQRT(1-W$9^2*$C$11)*NORMSINV(V80)))*(W$7-W$5)*(W$7-W$6))))</f>
        <v>10.3598462321327</v>
      </c>
      <c r="X80" s="2" t="n">
        <v>0.80837135</v>
      </c>
      <c r="Y80" s="2" t="n">
        <f aca="false">IF(Y$7=Y$5,Y$6,IF(NORMSDIST(Y$9*SQRT($C$11)*NORMSINV($B80)+SQRT(1-Y$9^2*$C$11)*NORMSINV(X80))&lt;Y$8,Y$5+SQRT(NORMSDIST(Y$9*SQRT($C$11)*NORMSINV($B80)+SQRT(1-Y$9^2*$C$11)*NORMSINV(X80))*(Y$7-Y$5)*(Y$6-Y$5)),Y$7-SQRT((1-NORMSDIST(Y$9*SQRT($C$11)*NORMSINV($B80)+SQRT(1-Y$9^2*$C$11)*NORMSINV(X80)))*(Y$7-Y$5)*(Y$7-Y$6))))</f>
        <v>0.690461109067051</v>
      </c>
      <c r="Z80" s="2" t="n">
        <v>0.984920177</v>
      </c>
      <c r="AA80" s="2" t="n">
        <f aca="false">IF(AA$7=AA$5,AA$6,IF(NORMSDIST(AA$9*SQRT($C$11)*NORMSINV($B80)+SQRT(1-AA$9^2*$C$11)*NORMSINV(Z80))&lt;AA$8,AA$5+SQRT(NORMSDIST(AA$9*SQRT($C$11)*NORMSINV($B80)+SQRT(1-AA$9^2*$C$11)*NORMSINV(Z80))*(AA$7-AA$5)*(AA$6-AA$5)),AA$7-SQRT((1-NORMSDIST(AA$9*SQRT($C$11)*NORMSINV($B80)+SQRT(1-AA$9^2*$C$11)*NORMSINV(Z80)))*(AA$7-AA$5)*(AA$7-AA$6))))</f>
        <v>0.749670914398842</v>
      </c>
      <c r="AB80" s="2" t="n">
        <v>0.289562997</v>
      </c>
      <c r="AC80" s="2" t="n">
        <f aca="false">IF(AC$7=AC$5,AC$6,IF(NORMSDIST(AC$9*SQRT($C$11)*NORMSINV($B80)+SQRT(1-AC$9^2*$C$11)*NORMSINV(AB80))&lt;AC$8,AC$5+SQRT(NORMSDIST(AC$9*SQRT($C$11)*NORMSINV($B80)+SQRT(1-AC$9^2*$C$11)*NORMSINV(AB80))*(AC$7-AC$5)*(AC$6-AC$5)),AC$7-SQRT((1-NORMSDIST(AC$9*SQRT($C$11)*NORMSINV($B80)+SQRT(1-AC$9^2*$C$11)*NORMSINV(AB80)))*(AC$7-AC$5)*(AC$7-AC$6))))</f>
        <v>9.55645221295785</v>
      </c>
      <c r="AD80" s="2" t="n">
        <f aca="false">Entrées!$C$8*(1+E80)</f>
        <v>7458.57193295403</v>
      </c>
      <c r="AE80" s="2" t="n">
        <f aca="false">I80*Hypothèses!$J$24/12/Hypothèses!$J$19</f>
        <v>102.763364739982</v>
      </c>
      <c r="AF80" s="2" t="n">
        <f aca="false">Entrées!$C$36*S80*1000</f>
        <v>266.808444833886</v>
      </c>
      <c r="AG80" s="2" t="n">
        <f aca="false">-AF80/W80</f>
        <v>-25.7540931453536</v>
      </c>
      <c r="AH80" s="2" t="n">
        <f aca="false">AD80+AE80+AG80</f>
        <v>7535.58120454866</v>
      </c>
      <c r="AI80" s="2" t="n">
        <f aca="false">Entrées!$C$16-M80+Hypothèses!$J$22*1000-AF80+Hypothèses!$J$23</f>
        <v>22547.9162242887</v>
      </c>
      <c r="AJ80" s="2" t="n">
        <f aca="false">AI80/AH80</f>
        <v>2.99219338392614</v>
      </c>
      <c r="AK80" s="2" t="n">
        <f aca="false">AI80/(AH80+I80*(12-Hypothèses!$J$24)/12/Hypothèses!$J$19)</f>
        <v>2.96332826907086</v>
      </c>
      <c r="AL80" s="2" t="n">
        <f aca="false">(AD80+AG80+I80/Hypothèses!$J$19)*(1+G80)</f>
        <v>8070.01422445896</v>
      </c>
      <c r="AM80" s="2" t="n">
        <f aca="false">Entrées!$C$54*K80/Hypothèses!$J$19</f>
        <v>42.8013820737634</v>
      </c>
      <c r="AN80" s="2" t="n">
        <f aca="false">Y80*1000/AC80</f>
        <v>72.250778184276</v>
      </c>
      <c r="AO80" s="2" t="n">
        <f aca="false">(Entrées!$C$36*(1-S80)+MAX(0,Entrées!$C$30-Entrées!$C$35-Entrées!$C$36)*U80)*1000</f>
        <v>733.216144963232</v>
      </c>
      <c r="AP80" s="2" t="n">
        <f aca="false">-AO80/W80</f>
        <v>-70.7748096384911</v>
      </c>
      <c r="AQ80" s="2" t="n">
        <f aca="false">AL80+AM80+AN80+AP80</f>
        <v>8114.2915750785</v>
      </c>
      <c r="AR80" s="2" t="n">
        <f aca="false">O80*AQ80-Hypothèses!$J$25/Hypothèses!$J$19</f>
        <v>1402.40539863669</v>
      </c>
      <c r="AS80" s="2" t="n">
        <f aca="false">Entrées!$C$79*(1+Q80)+Hypothèses!$J$20</f>
        <v>1483.03862075049</v>
      </c>
      <c r="AT80" s="2" t="n">
        <f aca="false">AI80-AR80+AS80+Y80*1000-AO80+Hypothèses!$J$23</f>
        <v>22585.7944105063</v>
      </c>
      <c r="AU80" s="2" t="n">
        <f aca="false">AT80/AQ80</f>
        <v>2.78345856832089</v>
      </c>
      <c r="AV80" s="2" t="n">
        <f aca="false">Hypothèses!$J$26*AQ80-AT80</f>
        <v>1757.08031472922</v>
      </c>
      <c r="AW80" s="2" t="n">
        <f aca="false">IF(AC80&gt;Hypothèses!$J$26,MAX(0,AV80)/(1-Hypothèses!$J$26/AC80),0)</f>
        <v>2561.05794973278</v>
      </c>
      <c r="AX80" s="2" t="n">
        <f aca="false">AQ80-Entrées!$C$17*1000</f>
        <v>114.291575078503</v>
      </c>
      <c r="AY80" s="2" t="n">
        <f aca="false">AI80+(Entrées!$C$244-Entrées!$C$13)</f>
        <v>28294.9162242887</v>
      </c>
      <c r="AZ80" s="2" t="n">
        <f aca="false">AA80*AH80</f>
        <v>5649.20605214072</v>
      </c>
      <c r="BA80" s="2" t="n">
        <f aca="false">AZ80/AY80</f>
        <v>0.199654454084984</v>
      </c>
      <c r="BB80" s="2" t="n">
        <f aca="false">AZ80/(Entrées!$C$151/100)-AY80</f>
        <v>3089.56184315978</v>
      </c>
      <c r="BC80" s="2" t="n">
        <f aca="false">AT80+(Entrées!$C$244-Entrées!$C$13)</f>
        <v>28332.7944105063</v>
      </c>
      <c r="BD80" s="2" t="n">
        <f aca="false">AA80*AQ80</f>
        <v>6083.04838478792</v>
      </c>
      <c r="BE80" s="2" t="n">
        <f aca="false">BD80/BC80</f>
        <v>0.214699909110703</v>
      </c>
      <c r="BF80" s="2" t="n">
        <f aca="false">BD80/(Entrées!$C$151/100)-BC80</f>
        <v>5461.9188383155</v>
      </c>
      <c r="BG80" s="2" t="n">
        <f aca="false">MIN(AV80,BF80)</f>
        <v>1757.08031472922</v>
      </c>
      <c r="BH80" s="2" t="n">
        <f aca="false">IF(AC80&gt;Hypothèses!$J$26,MAX(0,BG80)/(1-Hypothèses!$J$26/AC80),0)</f>
        <v>2561.05794973278</v>
      </c>
    </row>
    <row r="81" customFormat="false" ht="15" hidden="false" customHeight="false" outlineLevel="0" collapsed="false">
      <c r="A81" s="2" t="n">
        <v>66</v>
      </c>
      <c r="B81" s="2" t="n">
        <v>0.019188309</v>
      </c>
      <c r="C81" s="2"/>
      <c r="D81" s="2" t="n">
        <v>0.501909623</v>
      </c>
      <c r="E81" s="2" t="n">
        <f aca="false">IF(E$7=E$5,E$6,IF(NORMSDIST(E$9*SQRT($C$11)*NORMSINV($B81)+SQRT(1-E$9^2*$C$11)*NORMSINV(D81))&lt;E$8,E$5+SQRT(NORMSDIST(E$9*SQRT($C$11)*NORMSINV($B81)+SQRT(1-E$9^2*$C$11)*NORMSINV(D81))*(E$7-E$5)*(E$6-E$5)),E$7-SQRT((1-NORMSDIST(E$9*SQRT($C$11)*NORMSINV($B81)+SQRT(1-E$9^2*$C$11)*NORMSINV(D81)))*(E$7-E$5)*(E$7-E$6))))</f>
        <v>0.0521883610802451</v>
      </c>
      <c r="F81" s="2" t="n">
        <v>0.463480449</v>
      </c>
      <c r="G81" s="2" t="n">
        <f aca="false">IF(G$7=G$5,G$6,IF(NORMSDIST(G$9*SQRT($C$11)*NORMSINV($B81)+SQRT(1-G$9^2*$C$11)*NORMSINV(F81))&lt;G$8,G$5+SQRT(NORMSDIST(G$9*SQRT($C$11)*NORMSINV($B81)+SQRT(1-G$9^2*$C$11)*NORMSINV(F81))*(G$7-G$5)*(G$6-G$5)),G$7-SQRT((1-NORMSDIST(G$9*SQRT($C$11)*NORMSINV($B81)+SQRT(1-G$9^2*$C$11)*NORMSINV(F81)))*(G$7-G$5)*(G$7-G$6))))</f>
        <v>0.0461366460516947</v>
      </c>
      <c r="H81" s="2" t="n">
        <v>0.552260079</v>
      </c>
      <c r="I81" s="2" t="n">
        <f aca="false">IF(I$7=I$5,I$6,IF(NORMSDIST(I$9*SQRT($C$11)*NORMSINV($B81)+SQRT(1-I$9^2*$C$11)*NORMSINV(H81))&lt;I$8,I$5+SQRT(NORMSDIST(I$9*SQRT($C$11)*NORMSINV($B81)+SQRT(1-I$9^2*$C$11)*NORMSINV(H81))*(I$7-I$5)*(I$6-I$5)),I$7-SQRT((1-NORMSDIST(I$9*SQRT($C$11)*NORMSINV($B81)+SQRT(1-I$9^2*$C$11)*NORMSINV(H81)))*(I$7-I$5)*(I$7-I$6))))</f>
        <v>189.530433507258</v>
      </c>
      <c r="J81" s="2" t="n">
        <v>0.818809347</v>
      </c>
      <c r="K81" s="2" t="n">
        <f aca="false">IF(K$7=K$5,K$6,IF(NORMSDIST(K$9*SQRT($C$11)*NORMSINV($B81)+SQRT(1-K$9^2*$C$11)*NORMSINV(J81))&lt;K$8,K$5+SQRT(NORMSDIST(K$9*SQRT($C$11)*NORMSINV($B81)+SQRT(1-K$9^2*$C$11)*NORMSINV(J81))*(K$7-K$5)*(K$6-K$5)),K$7-SQRT((1-NORMSDIST(K$9*SQRT($C$11)*NORMSINV($B81)+SQRT(1-K$9^2*$C$11)*NORMSINV(J81)))*(K$7-K$5)*(K$7-K$6))))</f>
        <v>0.184684680192688</v>
      </c>
      <c r="L81" s="2" t="n">
        <v>0.446904833</v>
      </c>
      <c r="M81" s="2" t="n">
        <f aca="false">IF(M$7=M$5,M$6,IF(NORMSDIST(M$9*SQRT($C$11)*NORMSINV($B81)+SQRT(1-M$9^2*$C$11)*NORMSINV(L81))&lt;M$8,M$5+SQRT(NORMSDIST(M$9*SQRT($C$11)*NORMSINV($B81)+SQRT(1-M$9^2*$C$11)*NORMSINV(L81))*(M$7-M$5)*(M$6-M$5)),M$7-SQRT((1-NORMSDIST(M$9*SQRT($C$11)*NORMSINV($B81)+SQRT(1-M$9^2*$C$11)*NORMSINV(L81)))*(M$7-M$5)*(M$7-M$6))))</f>
        <v>1415.22096778315</v>
      </c>
      <c r="N81" s="2" t="n">
        <v>0.388952275</v>
      </c>
      <c r="O81" s="2" t="n">
        <f aca="false">IF(O$7=O$5,O$6,IF(NORMSDIST(O$9*SQRT($C$11)*NORMSINV($B81)+SQRT(1-O$9^2*$C$11)*NORMSINV(N81))&lt;O$8,O$5+SQRT(NORMSDIST(O$9*SQRT($C$11)*NORMSINV($B81)+SQRT(1-O$9^2*$C$11)*NORMSINV(N81))*(O$7-O$5)*(O$6-O$5)),O$7-SQRT((1-NORMSDIST(O$9*SQRT($C$11)*NORMSINV($B81)+SQRT(1-O$9^2*$C$11)*NORMSINV(N81)))*(O$7-O$5)*(O$7-O$6))))</f>
        <v>0.149525276552164</v>
      </c>
      <c r="P81" s="2" t="n">
        <v>0.03482667</v>
      </c>
      <c r="Q81" s="2" t="n">
        <f aca="false">IF(Q$7=Q$5,Q$6,IF(NORMSDIST(Q$9*SQRT($C$11)*NORMSINV($B81)+SQRT(1-Q$9^2*$C$11)*NORMSINV(P81))&lt;Q$8,Q$5+SQRT(NORMSDIST(Q$9*SQRT($C$11)*NORMSINV($B81)+SQRT(1-Q$9^2*$C$11)*NORMSINV(P81))*(Q$7-Q$5)*(Q$6-Q$5)),Q$7-SQRT((1-NORMSDIST(Q$9*SQRT($C$11)*NORMSINV($B81)+SQRT(1-Q$9^2*$C$11)*NORMSINV(P81)))*(Q$7-Q$5)*(Q$7-Q$6))))</f>
        <v>0.0505567676871285</v>
      </c>
      <c r="R81" s="2" t="n">
        <v>0.858789993</v>
      </c>
      <c r="S81" s="2" t="n">
        <f aca="false">IF(S$7=S$5,S$6,IF(NORMSDIST(S$9*SQRT($C$11)*NORMSINV($B81)+SQRT(1-S$9^2*$C$11)*NORMSINV(R81))&lt;S$8,S$5+SQRT(NORMSDIST(S$9*SQRT($C$11)*NORMSINV($B81)+SQRT(1-S$9^2*$C$11)*NORMSINV(R81))*(S$7-S$5)*(S$6-S$5)),S$7-SQRT((1-NORMSDIST(S$9*SQRT($C$11)*NORMSINV($B81)+SQRT(1-S$9^2*$C$11)*NORMSINV(R81)))*(S$7-S$5)*(S$7-S$6))))</f>
        <v>0.397901971310767</v>
      </c>
      <c r="T81" s="2" t="n">
        <v>0.276587585</v>
      </c>
      <c r="U81" s="2" t="n">
        <f aca="false">IF(U$7=U$5,U$6,IF(NORMSDIST(U$9*SQRT($C$11)*NORMSINV($B81)+SQRT(1-U$9^2*$C$11)*NORMSINV(T81))&lt;U$8,U$5+SQRT(NORMSDIST(U$9*SQRT($C$11)*NORMSINV($B81)+SQRT(1-U$9^2*$C$11)*NORMSINV(T81))*(U$7-U$5)*(U$6-U$5)),U$7-SQRT((1-NORMSDIST(U$9*SQRT($C$11)*NORMSINV($B81)+SQRT(1-U$9^2*$C$11)*NORMSINV(T81)))*(U$7-U$5)*(U$7-U$6))))</f>
        <v>0.138643072158374</v>
      </c>
      <c r="V81" s="2" t="n">
        <v>0.080878533</v>
      </c>
      <c r="W81" s="2" t="n">
        <f aca="false">IF(W$7=W$5,W$6,IF(NORMSDIST(W$9*SQRT($C$11)*NORMSINV($B81)+SQRT(1-W$9^2*$C$11)*NORMSINV(V81))&lt;W$8,W$5+SQRT(NORMSDIST(W$9*SQRT($C$11)*NORMSINV($B81)+SQRT(1-W$9^2*$C$11)*NORMSINV(V81))*(W$7-W$5)*(W$6-W$5)),W$7-SQRT((1-NORMSDIST(W$9*SQRT($C$11)*NORMSINV($B81)+SQRT(1-W$9^2*$C$11)*NORMSINV(V81)))*(W$7-W$5)*(W$7-W$6))))</f>
        <v>8.25836780544362</v>
      </c>
      <c r="X81" s="2" t="n">
        <v>0.562685097</v>
      </c>
      <c r="Y81" s="2" t="n">
        <f aca="false">IF(Y$7=Y$5,Y$6,IF(NORMSDIST(Y$9*SQRT($C$11)*NORMSINV($B81)+SQRT(1-Y$9^2*$C$11)*NORMSINV(X81))&lt;Y$8,Y$5+SQRT(NORMSDIST(Y$9*SQRT($C$11)*NORMSINV($B81)+SQRT(1-Y$9^2*$C$11)*NORMSINV(X81))*(Y$7-Y$5)*(Y$6-Y$5)),Y$7-SQRT((1-NORMSDIST(Y$9*SQRT($C$11)*NORMSINV($B81)+SQRT(1-Y$9^2*$C$11)*NORMSINV(X81)))*(Y$7-Y$5)*(Y$7-Y$6))))</f>
        <v>0.532391775628358</v>
      </c>
      <c r="Z81" s="2" t="n">
        <v>0.290133607</v>
      </c>
      <c r="AA81" s="2" t="n">
        <f aca="false">IF(AA$7=AA$5,AA$6,IF(NORMSDIST(AA$9*SQRT($C$11)*NORMSINV($B81)+SQRT(1-AA$9^2*$C$11)*NORMSINV(Z81))&lt;AA$8,AA$5+SQRT(NORMSDIST(AA$9*SQRT($C$11)*NORMSINV($B81)+SQRT(1-AA$9^2*$C$11)*NORMSINV(Z81))*(AA$7-AA$5)*(AA$6-AA$5)),AA$7-SQRT((1-NORMSDIST(AA$9*SQRT($C$11)*NORMSINV($B81)+SQRT(1-AA$9^2*$C$11)*NORMSINV(Z81)))*(AA$7-AA$5)*(AA$7-AA$6))))</f>
        <v>0.704703846662666</v>
      </c>
      <c r="AB81" s="2" t="n">
        <v>0.342779707</v>
      </c>
      <c r="AC81" s="2" t="n">
        <f aca="false">IF(AC$7=AC$5,AC$6,IF(NORMSDIST(AC$9*SQRT($C$11)*NORMSINV($B81)+SQRT(1-AC$9^2*$C$11)*NORMSINV(AB81))&lt;AC$8,AC$5+SQRT(NORMSDIST(AC$9*SQRT($C$11)*NORMSINV($B81)+SQRT(1-AC$9^2*$C$11)*NORMSINV(AB81))*(AC$7-AC$5)*(AC$6-AC$5)),AC$7-SQRT((1-NORMSDIST(AC$9*SQRT($C$11)*NORMSINV($B81)+SQRT(1-AC$9^2*$C$11)*NORMSINV(AB81)))*(AC$7-AC$5)*(AC$7-AC$6))))</f>
        <v>8.071960297833</v>
      </c>
      <c r="AD81" s="2" t="n">
        <f aca="false">Entrées!$C$8*(1+E81)</f>
        <v>7417.92794561573</v>
      </c>
      <c r="AE81" s="2" t="n">
        <f aca="false">I81*Hypothèses!$J$24/12/Hypothèses!$J$19</f>
        <v>94.0254414471994</v>
      </c>
      <c r="AF81" s="2" t="n">
        <f aca="false">Entrées!$C$36*S81*1000</f>
        <v>198.950985655384</v>
      </c>
      <c r="AG81" s="2" t="n">
        <f aca="false">-AF81/W81</f>
        <v>-24.0908361485477</v>
      </c>
      <c r="AH81" s="2" t="n">
        <f aca="false">AD81+AE81+AG81</f>
        <v>7487.86255091438</v>
      </c>
      <c r="AI81" s="2" t="n">
        <f aca="false">Entrées!$C$16-M81+Hypothèses!$J$22*1000-AF81+Hypothèses!$J$23</f>
        <v>22933.8280465615</v>
      </c>
      <c r="AJ81" s="2" t="n">
        <f aca="false">AI81/AH81</f>
        <v>3.06280035065025</v>
      </c>
      <c r="AK81" s="2" t="n">
        <f aca="false">AI81/(AH81+I81*(12-Hypothèses!$J$24)/12/Hypothèses!$J$19)</f>
        <v>3.03557332444281</v>
      </c>
      <c r="AL81" s="2" t="n">
        <f aca="false">(AD81+AG81+I81/Hypothèses!$J$19)*(1+G81)</f>
        <v>7903.58702936616</v>
      </c>
      <c r="AM81" s="2" t="n">
        <f aca="false">Entrées!$C$54*K81/Hypothèses!$J$19</f>
        <v>18.8478470545258</v>
      </c>
      <c r="AN81" s="2" t="n">
        <f aca="false">Y81*1000/AC81</f>
        <v>65.9556979946103</v>
      </c>
      <c r="AO81" s="2" t="n">
        <f aca="false">(Entrées!$C$36*(1-S81)+MAX(0,Entrées!$C$30-Entrées!$C$35-Entrées!$C$36)*U81)*1000</f>
        <v>495.14931536634</v>
      </c>
      <c r="AP81" s="2" t="n">
        <f aca="false">-AO81/W81</f>
        <v>-59.957285389972</v>
      </c>
      <c r="AQ81" s="2" t="n">
        <f aca="false">AL81+AM81+AN81+AP81</f>
        <v>7928.43328902532</v>
      </c>
      <c r="AR81" s="2" t="n">
        <f aca="false">O81*AQ81-Hypothèses!$J$25/Hypothèses!$J$19</f>
        <v>1166.36601790527</v>
      </c>
      <c r="AS81" s="2" t="n">
        <f aca="false">Entrées!$C$79*(1+Q81)+Hypothèses!$J$20</f>
        <v>1449.56188768815</v>
      </c>
      <c r="AT81" s="2" t="n">
        <f aca="false">AI81-AR81+AS81+Y81*1000-AO81+Hypothèses!$J$23</f>
        <v>23254.2663766064</v>
      </c>
      <c r="AU81" s="2" t="n">
        <f aca="false">AT81/AQ81</f>
        <v>2.93302163603941</v>
      </c>
      <c r="AV81" s="2" t="n">
        <f aca="false">Hypothèses!$J$26*AQ81-AT81</f>
        <v>531.033490469607</v>
      </c>
      <c r="AW81" s="2" t="n">
        <f aca="false">IF(AC81&gt;Hypothèses!$J$26,MAX(0,AV81)/(1-Hypothèses!$J$26/AC81),0)</f>
        <v>845.133045249141</v>
      </c>
      <c r="AX81" s="2" t="n">
        <f aca="false">AQ81-Entrées!$C$17*1000</f>
        <v>-71.5667109746764</v>
      </c>
      <c r="AY81" s="2" t="n">
        <f aca="false">AI81+(Entrées!$C$244-Entrées!$C$13)</f>
        <v>28680.8280465615</v>
      </c>
      <c r="AZ81" s="2" t="n">
        <f aca="false">AA81*AH81</f>
        <v>5276.72554291068</v>
      </c>
      <c r="BA81" s="2" t="n">
        <f aca="false">AZ81/AY81</f>
        <v>0.183980934383912</v>
      </c>
      <c r="BB81" s="2" t="n">
        <f aca="false">AZ81/(Entrées!$C$151/100)-AY81</f>
        <v>634.313858497892</v>
      </c>
      <c r="BC81" s="2" t="n">
        <f aca="false">AT81+(Entrées!$C$244-Entrées!$C$13)</f>
        <v>29001.2663766064</v>
      </c>
      <c r="BD81" s="2" t="n">
        <f aca="false">AA81*AQ81</f>
        <v>5587.19743678448</v>
      </c>
      <c r="BE81" s="2" t="n">
        <f aca="false">BD81/BC81</f>
        <v>0.192653567752177</v>
      </c>
      <c r="BF81" s="2" t="n">
        <f aca="false">BD81/(Entrées!$C$151/100)-BC81</f>
        <v>2038.71938330739</v>
      </c>
      <c r="BG81" s="2" t="n">
        <f aca="false">MIN(AV81,BF81)</f>
        <v>531.033490469607</v>
      </c>
      <c r="BH81" s="2" t="n">
        <f aca="false">IF(AC81&gt;Hypothèses!$J$26,MAX(0,BG81)/(1-Hypothèses!$J$26/AC81),0)</f>
        <v>845.133045249141</v>
      </c>
    </row>
    <row r="82" customFormat="false" ht="15" hidden="false" customHeight="false" outlineLevel="0" collapsed="false">
      <c r="A82" s="2" t="n">
        <v>67</v>
      </c>
      <c r="B82" s="2" t="n">
        <v>0.196486125</v>
      </c>
      <c r="C82" s="2"/>
      <c r="D82" s="2" t="n">
        <v>0.621024474</v>
      </c>
      <c r="E82" s="2" t="n">
        <f aca="false">IF(E$7=E$5,E$6,IF(NORMSDIST(E$9*SQRT($C$11)*NORMSINV($B82)+SQRT(1-E$9^2*$C$11)*NORMSINV(D82))&lt;E$8,E$5+SQRT(NORMSDIST(E$9*SQRT($C$11)*NORMSINV($B82)+SQRT(1-E$9^2*$C$11)*NORMSINV(D82))*(E$7-E$5)*(E$6-E$5)),E$7-SQRT((1-NORMSDIST(E$9*SQRT($C$11)*NORMSINV($B82)+SQRT(1-E$9^2*$C$11)*NORMSINV(D82)))*(E$7-E$5)*(E$7-E$6))))</f>
        <v>0.0543674596767495</v>
      </c>
      <c r="F82" s="2" t="n">
        <v>0.107284832</v>
      </c>
      <c r="G82" s="2" t="n">
        <f aca="false">IF(G$7=G$5,G$6,IF(NORMSDIST(G$9*SQRT($C$11)*NORMSINV($B82)+SQRT(1-G$9^2*$C$11)*NORMSINV(F82))&lt;G$8,G$5+SQRT(NORMSDIST(G$9*SQRT($C$11)*NORMSINV($B82)+SQRT(1-G$9^2*$C$11)*NORMSINV(F82))*(G$7-G$5)*(G$6-G$5)),G$7-SQRT((1-NORMSDIST(G$9*SQRT($C$11)*NORMSINV($B82)+SQRT(1-G$9^2*$C$11)*NORMSINV(F82)))*(G$7-G$5)*(G$7-G$6))))</f>
        <v>0.0454743961363116</v>
      </c>
      <c r="H82" s="2" t="n">
        <v>0.33968222</v>
      </c>
      <c r="I82" s="2" t="n">
        <f aca="false">IF(I$7=I$5,I$6,IF(NORMSDIST(I$9*SQRT($C$11)*NORMSINV($B82)+SQRT(1-I$9^2*$C$11)*NORMSINV(H82))&lt;I$8,I$5+SQRT(NORMSDIST(I$9*SQRT($C$11)*NORMSINV($B82)+SQRT(1-I$9^2*$C$11)*NORMSINV(H82))*(I$7-I$5)*(I$6-I$5)),I$7-SQRT((1-NORMSDIST(I$9*SQRT($C$11)*NORMSINV($B82)+SQRT(1-I$9^2*$C$11)*NORMSINV(H82)))*(I$7-I$5)*(I$7-I$6))))</f>
        <v>192.482794284338</v>
      </c>
      <c r="J82" s="2" t="n">
        <v>0.75916796</v>
      </c>
      <c r="K82" s="2" t="n">
        <f aca="false">IF(K$7=K$5,K$6,IF(NORMSDIST(K$9*SQRT($C$11)*NORMSINV($B82)+SQRT(1-K$9^2*$C$11)*NORMSINV(J82))&lt;K$8,K$5+SQRT(NORMSDIST(K$9*SQRT($C$11)*NORMSINV($B82)+SQRT(1-K$9^2*$C$11)*NORMSINV(J82))*(K$7-K$5)*(K$6-K$5)),K$7-SQRT((1-NORMSDIST(K$9*SQRT($C$11)*NORMSINV($B82)+SQRT(1-K$9^2*$C$11)*NORMSINV(J82)))*(K$7-K$5)*(K$7-K$6))))</f>
        <v>0.250475174498685</v>
      </c>
      <c r="L82" s="2" t="n">
        <v>0.301556907</v>
      </c>
      <c r="M82" s="2" t="n">
        <f aca="false">IF(M$7=M$5,M$6,IF(NORMSDIST(M$9*SQRT($C$11)*NORMSINV($B82)+SQRT(1-M$9^2*$C$11)*NORMSINV(L82))&lt;M$8,M$5+SQRT(NORMSDIST(M$9*SQRT($C$11)*NORMSINV($B82)+SQRT(1-M$9^2*$C$11)*NORMSINV(L82))*(M$7-M$5)*(M$6-M$5)),M$7-SQRT((1-NORMSDIST(M$9*SQRT($C$11)*NORMSINV($B82)+SQRT(1-M$9^2*$C$11)*NORMSINV(L82)))*(M$7-M$5)*(M$7-M$6))))</f>
        <v>1469.0893266068</v>
      </c>
      <c r="N82" s="2" t="n">
        <v>0.688326025</v>
      </c>
      <c r="O82" s="2" t="n">
        <f aca="false">IF(O$7=O$5,O$6,IF(NORMSDIST(O$9*SQRT($C$11)*NORMSINV($B82)+SQRT(1-O$9^2*$C$11)*NORMSINV(N82))&lt;O$8,O$5+SQRT(NORMSDIST(O$9*SQRT($C$11)*NORMSINV($B82)+SQRT(1-O$9^2*$C$11)*NORMSINV(N82))*(O$7-O$5)*(O$6-O$5)),O$7-SQRT((1-NORMSDIST(O$9*SQRT($C$11)*NORMSINV($B82)+SQRT(1-O$9^2*$C$11)*NORMSINV(N82)))*(O$7-O$5)*(O$7-O$6))))</f>
        <v>0.165025875216112</v>
      </c>
      <c r="P82" s="2" t="n">
        <v>0.01529513</v>
      </c>
      <c r="Q82" s="2" t="n">
        <f aca="false">IF(Q$7=Q$5,Q$6,IF(NORMSDIST(Q$9*SQRT($C$11)*NORMSINV($B82)+SQRT(1-Q$9^2*$C$11)*NORMSINV(P82))&lt;Q$8,Q$5+SQRT(NORMSDIST(Q$9*SQRT($C$11)*NORMSINV($B82)+SQRT(1-Q$9^2*$C$11)*NORMSINV(P82))*(Q$7-Q$5)*(Q$6-Q$5)),Q$7-SQRT((1-NORMSDIST(Q$9*SQRT($C$11)*NORMSINV($B82)+SQRT(1-Q$9^2*$C$11)*NORMSINV(P82)))*(Q$7-Q$5)*(Q$7-Q$6))))</f>
        <v>0.046996028587706</v>
      </c>
      <c r="R82" s="2" t="n">
        <v>0.016346382</v>
      </c>
      <c r="S82" s="2" t="n">
        <f aca="false">IF(S$7=S$5,S$6,IF(NORMSDIST(S$9*SQRT($C$11)*NORMSINV($B82)+SQRT(1-S$9^2*$C$11)*NORMSINV(R82))&lt;S$8,S$5+SQRT(NORMSDIST(S$9*SQRT($C$11)*NORMSINV($B82)+SQRT(1-S$9^2*$C$11)*NORMSINV(R82))*(S$7-S$5)*(S$6-S$5)),S$7-SQRT((1-NORMSDIST(S$9*SQRT($C$11)*NORMSINV($B82)+SQRT(1-S$9^2*$C$11)*NORMSINV(R82)))*(S$7-S$5)*(S$7-S$6))))</f>
        <v>0.0839442470032079</v>
      </c>
      <c r="T82" s="2" t="n">
        <v>0.682625982</v>
      </c>
      <c r="U82" s="2" t="n">
        <f aca="false">IF(U$7=U$5,U$6,IF(NORMSDIST(U$9*SQRT($C$11)*NORMSINV($B82)+SQRT(1-U$9^2*$C$11)*NORMSINV(T82))&lt;U$8,U$5+SQRT(NORMSDIST(U$9*SQRT($C$11)*NORMSINV($B82)+SQRT(1-U$9^2*$C$11)*NORMSINV(T82))*(U$7-U$5)*(U$6-U$5)),U$7-SQRT((1-NORMSDIST(U$9*SQRT($C$11)*NORMSINV($B82)+SQRT(1-U$9^2*$C$11)*NORMSINV(T82)))*(U$7-U$5)*(U$7-U$6))))</f>
        <v>0.464544757492697</v>
      </c>
      <c r="V82" s="2" t="n">
        <v>0.153094951</v>
      </c>
      <c r="W82" s="2" t="n">
        <f aca="false">IF(W$7=W$5,W$6,IF(NORMSDIST(W$9*SQRT($C$11)*NORMSINV($B82)+SQRT(1-W$9^2*$C$11)*NORMSINV(V82))&lt;W$8,W$5+SQRT(NORMSDIST(W$9*SQRT($C$11)*NORMSINV($B82)+SQRT(1-W$9^2*$C$11)*NORMSINV(V82))*(W$7-W$5)*(W$6-W$5)),W$7-SQRT((1-NORMSDIST(W$9*SQRT($C$11)*NORMSINV($B82)+SQRT(1-W$9^2*$C$11)*NORMSINV(V82)))*(W$7-W$5)*(W$7-W$6))))</f>
        <v>8.85457145135986</v>
      </c>
      <c r="X82" s="2" t="n">
        <v>0.9496435</v>
      </c>
      <c r="Y82" s="2" t="n">
        <f aca="false">IF(Y$7=Y$5,Y$6,IF(NORMSDIST(Y$9*SQRT($C$11)*NORMSINV($B82)+SQRT(1-Y$9^2*$C$11)*NORMSINV(X82))&lt;Y$8,Y$5+SQRT(NORMSDIST(Y$9*SQRT($C$11)*NORMSINV($B82)+SQRT(1-Y$9^2*$C$11)*NORMSINV(X82))*(Y$7-Y$5)*(Y$6-Y$5)),Y$7-SQRT((1-NORMSDIST(Y$9*SQRT($C$11)*NORMSINV($B82)+SQRT(1-Y$9^2*$C$11)*NORMSINV(X82)))*(Y$7-Y$5)*(Y$7-Y$6))))</f>
        <v>0.841323442185054</v>
      </c>
      <c r="Z82" s="2" t="n">
        <v>0.288330684</v>
      </c>
      <c r="AA82" s="2" t="n">
        <f aca="false">IF(AA$7=AA$5,AA$6,IF(NORMSDIST(AA$9*SQRT($C$11)*NORMSINV($B82)+SQRT(1-AA$9^2*$C$11)*NORMSINV(Z82))&lt;AA$8,AA$5+SQRT(NORMSDIST(AA$9*SQRT($C$11)*NORMSINV($B82)+SQRT(1-AA$9^2*$C$11)*NORMSINV(Z82))*(AA$7-AA$5)*(AA$6-AA$5)),AA$7-SQRT((1-NORMSDIST(AA$9*SQRT($C$11)*NORMSINV($B82)+SQRT(1-AA$9^2*$C$11)*NORMSINV(Z82)))*(AA$7-AA$5)*(AA$7-AA$6))))</f>
        <v>0.714142368479823</v>
      </c>
      <c r="AB82" s="2" t="n">
        <v>0.928882896</v>
      </c>
      <c r="AC82" s="2" t="n">
        <f aca="false">IF(AC$7=AC$5,AC$6,IF(NORMSDIST(AC$9*SQRT($C$11)*NORMSINV($B82)+SQRT(1-AC$9^2*$C$11)*NORMSINV(AB82))&lt;AC$8,AC$5+SQRT(NORMSDIST(AC$9*SQRT($C$11)*NORMSINV($B82)+SQRT(1-AC$9^2*$C$11)*NORMSINV(AB82))*(AC$7-AC$5)*(AC$6-AC$5)),AC$7-SQRT((1-NORMSDIST(AC$9*SQRT($C$11)*NORMSINV($B82)+SQRT(1-AC$9^2*$C$11)*NORMSINV(AB82)))*(AC$7-AC$5)*(AC$7-AC$6))))</f>
        <v>9.90919199941292</v>
      </c>
      <c r="AD82" s="2" t="n">
        <f aca="false">Entrées!$C$8*(1+E82)</f>
        <v>7433.29059072108</v>
      </c>
      <c r="AE82" s="2" t="n">
        <f aca="false">I82*Hypothèses!$J$24/12/Hypothèses!$J$19</f>
        <v>95.4900981793106</v>
      </c>
      <c r="AF82" s="2" t="n">
        <f aca="false">Entrées!$C$36*S82*1000</f>
        <v>41.972123501604</v>
      </c>
      <c r="AG82" s="2" t="n">
        <f aca="false">-AF82/W82</f>
        <v>-4.74016430181474</v>
      </c>
      <c r="AH82" s="2" t="n">
        <f aca="false">AD82+AE82+AG82</f>
        <v>7524.04052459858</v>
      </c>
      <c r="AI82" s="2" t="n">
        <f aca="false">Entrées!$C$16-M82+Hypothèses!$J$22*1000-AF82+Hypothèses!$J$23</f>
        <v>23036.9385498916</v>
      </c>
      <c r="AJ82" s="2" t="n">
        <f aca="false">AI82/AH82</f>
        <v>3.06177757477199</v>
      </c>
      <c r="AK82" s="2" t="n">
        <f aca="false">AI82/(AH82+I82*(12-Hypothèses!$J$24)/12/Hypothèses!$J$19)</f>
        <v>3.0342711863645</v>
      </c>
      <c r="AL82" s="2" t="n">
        <f aca="false">(AD82+AG82+I82/Hypothèses!$J$19)*(1+G82)</f>
        <v>7937.5006187677</v>
      </c>
      <c r="AM82" s="2" t="n">
        <f aca="false">Entrées!$C$54*K82/Hypothèses!$J$19</f>
        <v>25.5620432348875</v>
      </c>
      <c r="AN82" s="2" t="n">
        <f aca="false">Y82*1000/AC82</f>
        <v>84.9033344227157</v>
      </c>
      <c r="AO82" s="2" t="n">
        <f aca="false">(Entrées!$C$36*(1-S82)+MAX(0,Entrées!$C$30-Entrées!$C$35-Entrées!$C$36)*U82)*1000</f>
        <v>1108.39053698817</v>
      </c>
      <c r="AP82" s="2" t="n">
        <f aca="false">-AO82/W82</f>
        <v>-125.177208527461</v>
      </c>
      <c r="AQ82" s="2" t="n">
        <f aca="false">AL82+AM82+AN82+AP82</f>
        <v>7922.78878789784</v>
      </c>
      <c r="AR82" s="2" t="n">
        <f aca="false">O82*AQ82-Hypothèses!$J$25/Hypothèses!$J$19</f>
        <v>1288.32999161361</v>
      </c>
      <c r="AS82" s="2" t="n">
        <f aca="false">Entrées!$C$79*(1+Q82)+Hypothèses!$J$20</f>
        <v>1445.64863541789</v>
      </c>
      <c r="AT82" s="2" t="n">
        <f aca="false">AI82-AR82+AS82+Y82*1000-AO82+Hypothèses!$J$23</f>
        <v>22927.1900988928</v>
      </c>
      <c r="AU82" s="2" t="n">
        <f aca="false">AT82/AQ82</f>
        <v>2.89382826081573</v>
      </c>
      <c r="AV82" s="2" t="n">
        <f aca="false">Hypothèses!$J$26*AQ82-AT82</f>
        <v>841.176264800779</v>
      </c>
      <c r="AW82" s="2" t="n">
        <f aca="false">IF(AC82&gt;Hypothèses!$J$26,MAX(0,AV82)/(1-Hypothèses!$J$26/AC82),0)</f>
        <v>1206.41850942457</v>
      </c>
      <c r="AX82" s="2" t="n">
        <f aca="false">AQ82-Entrées!$C$17*1000</f>
        <v>-77.2112121021555</v>
      </c>
      <c r="AY82" s="2" t="n">
        <f aca="false">AI82+(Entrées!$C$244-Entrées!$C$13)</f>
        <v>28783.9385498916</v>
      </c>
      <c r="AZ82" s="2" t="n">
        <f aca="false">AA82*AH82</f>
        <v>5373.236120775</v>
      </c>
      <c r="BA82" s="2" t="n">
        <f aca="false">AZ82/AY82</f>
        <v>0.186674805168219</v>
      </c>
      <c r="BB82" s="2" t="n">
        <f aca="false">AZ82/(Entrées!$C$151/100)-AY82</f>
        <v>1067.37323219174</v>
      </c>
      <c r="BC82" s="2" t="n">
        <f aca="false">AT82+(Entrées!$C$244-Entrées!$C$13)</f>
        <v>28674.1900988928</v>
      </c>
      <c r="BD82" s="2" t="n">
        <f aca="false">AA82*AQ82</f>
        <v>5657.99914995475</v>
      </c>
      <c r="BE82" s="2" t="n">
        <f aca="false">BD82/BC82</f>
        <v>0.197320277589052</v>
      </c>
      <c r="BF82" s="2" t="n">
        <f aca="false">BD82/(Entrées!$C$151/100)-BC82</f>
        <v>2759.13851196699</v>
      </c>
      <c r="BG82" s="2" t="n">
        <f aca="false">MIN(AV82,BF82)</f>
        <v>841.176264800779</v>
      </c>
      <c r="BH82" s="2" t="n">
        <f aca="false">IF(AC82&gt;Hypothèses!$J$26,MAX(0,BG82)/(1-Hypothèses!$J$26/AC82),0)</f>
        <v>1206.41850942457</v>
      </c>
    </row>
    <row r="83" customFormat="false" ht="15" hidden="false" customHeight="false" outlineLevel="0" collapsed="false">
      <c r="A83" s="2" t="n">
        <v>68</v>
      </c>
      <c r="B83" s="2" t="n">
        <v>0.389983853</v>
      </c>
      <c r="C83" s="2"/>
      <c r="D83" s="2" t="n">
        <v>0.961528295</v>
      </c>
      <c r="E83" s="2" t="n">
        <f aca="false">IF(E$7=E$5,E$6,IF(NORMSDIST(E$9*SQRT($C$11)*NORMSINV($B83)+SQRT(1-E$9^2*$C$11)*NORMSINV(D83))&lt;E$8,E$5+SQRT(NORMSDIST(E$9*SQRT($C$11)*NORMSINV($B83)+SQRT(1-E$9^2*$C$11)*NORMSINV(D83))*(E$7-E$5)*(E$6-E$5)),E$7-SQRT((1-NORMSDIST(E$9*SQRT($C$11)*NORMSINV($B83)+SQRT(1-E$9^2*$C$11)*NORMSINV(D83)))*(E$7-E$5)*(E$7-E$6))))</f>
        <v>0.0575878793109557</v>
      </c>
      <c r="F83" s="2" t="n">
        <v>0.301034298</v>
      </c>
      <c r="G83" s="2" t="n">
        <f aca="false">IF(G$7=G$5,G$6,IF(NORMSDIST(G$9*SQRT($C$11)*NORMSINV($B83)+SQRT(1-G$9^2*$C$11)*NORMSINV(F83))&lt;G$8,G$5+SQRT(NORMSDIST(G$9*SQRT($C$11)*NORMSINV($B83)+SQRT(1-G$9^2*$C$11)*NORMSINV(F83))*(G$7-G$5)*(G$6-G$5)),G$7-SQRT((1-NORMSDIST(G$9*SQRT($C$11)*NORMSINV($B83)+SQRT(1-G$9^2*$C$11)*NORMSINV(F83)))*(G$7-G$5)*(G$7-G$6))))</f>
        <v>0.0512402317275172</v>
      </c>
      <c r="H83" s="2" t="n">
        <v>0.679031881</v>
      </c>
      <c r="I83" s="2" t="n">
        <f aca="false">IF(I$7=I$5,I$6,IF(NORMSDIST(I$9*SQRT($C$11)*NORMSINV($B83)+SQRT(1-I$9^2*$C$11)*NORMSINV(H83))&lt;I$8,I$5+SQRT(NORMSDIST(I$9*SQRT($C$11)*NORMSINV($B83)+SQRT(1-I$9^2*$C$11)*NORMSINV(H83))*(I$7-I$5)*(I$6-I$5)),I$7-SQRT((1-NORMSDIST(I$9*SQRT($C$11)*NORMSINV($B83)+SQRT(1-I$9^2*$C$11)*NORMSINV(H83)))*(I$7-I$5)*(I$7-I$6))))</f>
        <v>201.513175881931</v>
      </c>
      <c r="J83" s="2" t="n">
        <v>0.515596324</v>
      </c>
      <c r="K83" s="2" t="n">
        <f aca="false">IF(K$7=K$5,K$6,IF(NORMSDIST(K$9*SQRT($C$11)*NORMSINV($B83)+SQRT(1-K$9^2*$C$11)*NORMSINV(J83))&lt;K$8,K$5+SQRT(NORMSDIST(K$9*SQRT($C$11)*NORMSINV($B83)+SQRT(1-K$9^2*$C$11)*NORMSINV(J83))*(K$7-K$5)*(K$6-K$5)),K$7-SQRT((1-NORMSDIST(K$9*SQRT($C$11)*NORMSINV($B83)+SQRT(1-K$9^2*$C$11)*NORMSINV(J83)))*(K$7-K$5)*(K$7-K$6))))</f>
        <v>0.235001426342625</v>
      </c>
      <c r="L83" s="2" t="n">
        <v>0.944347288</v>
      </c>
      <c r="M83" s="2" t="n">
        <f aca="false">IF(M$7=M$5,M$6,IF(NORMSDIST(M$9*SQRT($C$11)*NORMSINV($B83)+SQRT(1-M$9^2*$C$11)*NORMSINV(L83))&lt;M$8,M$5+SQRT(NORMSDIST(M$9*SQRT($C$11)*NORMSINV($B83)+SQRT(1-M$9^2*$C$11)*NORMSINV(L83))*(M$7-M$5)*(M$6-M$5)),M$7-SQRT((1-NORMSDIST(M$9*SQRT($C$11)*NORMSINV($B83)+SQRT(1-M$9^2*$C$11)*NORMSINV(L83)))*(M$7-M$5)*(M$7-M$6))))</f>
        <v>1684.34404212983</v>
      </c>
      <c r="N83" s="2" t="n">
        <v>0.517570603</v>
      </c>
      <c r="O83" s="2" t="n">
        <f aca="false">IF(O$7=O$5,O$6,IF(NORMSDIST(O$9*SQRT($C$11)*NORMSINV($B83)+SQRT(1-O$9^2*$C$11)*NORMSINV(N83))&lt;O$8,O$5+SQRT(NORMSDIST(O$9*SQRT($C$11)*NORMSINV($B83)+SQRT(1-O$9^2*$C$11)*NORMSINV(N83))*(O$7-O$5)*(O$6-O$5)),O$7-SQRT((1-NORMSDIST(O$9*SQRT($C$11)*NORMSINV($B83)+SQRT(1-O$9^2*$C$11)*NORMSINV(N83)))*(O$7-O$5)*(O$7-O$6))))</f>
        <v>0.165220699995623</v>
      </c>
      <c r="P83" s="2" t="n">
        <v>0.267617209</v>
      </c>
      <c r="Q83" s="2" t="n">
        <f aca="false">IF(Q$7=Q$5,Q$6,IF(NORMSDIST(Q$9*SQRT($C$11)*NORMSINV($B83)+SQRT(1-Q$9^2*$C$11)*NORMSINV(P83))&lt;Q$8,Q$5+SQRT(NORMSDIST(Q$9*SQRT($C$11)*NORMSINV($B83)+SQRT(1-Q$9^2*$C$11)*NORMSINV(P83))*(Q$7-Q$5)*(Q$6-Q$5)),Q$7-SQRT((1-NORMSDIST(Q$9*SQRT($C$11)*NORMSINV($B83)+SQRT(1-Q$9^2*$C$11)*NORMSINV(P83)))*(Q$7-Q$5)*(Q$7-Q$6))))</f>
        <v>0.069263886768507</v>
      </c>
      <c r="R83" s="2" t="n">
        <v>0.829081966</v>
      </c>
      <c r="S83" s="2" t="n">
        <f aca="false">IF(S$7=S$5,S$6,IF(NORMSDIST(S$9*SQRT($C$11)*NORMSINV($B83)+SQRT(1-S$9^2*$C$11)*NORMSINV(R83))&lt;S$8,S$5+SQRT(NORMSDIST(S$9*SQRT($C$11)*NORMSINV($B83)+SQRT(1-S$9^2*$C$11)*NORMSINV(R83))*(S$7-S$5)*(S$6-S$5)),S$7-SQRT((1-NORMSDIST(S$9*SQRT($C$11)*NORMSINV($B83)+SQRT(1-S$9^2*$C$11)*NORMSINV(R83)))*(S$7-S$5)*(S$7-S$6))))</f>
        <v>0.620609289820017</v>
      </c>
      <c r="T83" s="2" t="n">
        <v>0.192485338</v>
      </c>
      <c r="U83" s="2" t="n">
        <f aca="false">IF(U$7=U$5,U$6,IF(NORMSDIST(U$9*SQRT($C$11)*NORMSINV($B83)+SQRT(1-U$9^2*$C$11)*NORMSINV(T83))&lt;U$8,U$5+SQRT(NORMSDIST(U$9*SQRT($C$11)*NORMSINV($B83)+SQRT(1-U$9^2*$C$11)*NORMSINV(T83))*(U$7-U$5)*(U$6-U$5)),U$7-SQRT((1-NORMSDIST(U$9*SQRT($C$11)*NORMSINV($B83)+SQRT(1-U$9^2*$C$11)*NORMSINV(T83)))*(U$7-U$5)*(U$7-U$6))))</f>
        <v>0.314455534658267</v>
      </c>
      <c r="V83" s="2" t="n">
        <v>0.255106358</v>
      </c>
      <c r="W83" s="2" t="n">
        <f aca="false">IF(W$7=W$5,W$6,IF(NORMSDIST(W$9*SQRT($C$11)*NORMSINV($B83)+SQRT(1-W$9^2*$C$11)*NORMSINV(V83))&lt;W$8,W$5+SQRT(NORMSDIST(W$9*SQRT($C$11)*NORMSINV($B83)+SQRT(1-W$9^2*$C$11)*NORMSINV(V83))*(W$7-W$5)*(W$6-W$5)),W$7-SQRT((1-NORMSDIST(W$9*SQRT($C$11)*NORMSINV($B83)+SQRT(1-W$9^2*$C$11)*NORMSINV(V83)))*(W$7-W$5)*(W$7-W$6))))</f>
        <v>9.40318738129361</v>
      </c>
      <c r="X83" s="2" t="n">
        <v>0.038721628</v>
      </c>
      <c r="Y83" s="2" t="n">
        <f aca="false">IF(Y$7=Y$5,Y$6,IF(NORMSDIST(Y$9*SQRT($C$11)*NORMSINV($B83)+SQRT(1-Y$9^2*$C$11)*NORMSINV(X83))&lt;Y$8,Y$5+SQRT(NORMSDIST(Y$9*SQRT($C$11)*NORMSINV($B83)+SQRT(1-Y$9^2*$C$11)*NORMSINV(X83))*(Y$7-Y$5)*(Y$6-Y$5)),Y$7-SQRT((1-NORMSDIST(Y$9*SQRT($C$11)*NORMSINV($B83)+SQRT(1-Y$9^2*$C$11)*NORMSINV(X83)))*(Y$7-Y$5)*(Y$7-Y$6))))</f>
        <v>0.139143142123498</v>
      </c>
      <c r="Z83" s="2" t="n">
        <v>0.175059027</v>
      </c>
      <c r="AA83" s="2" t="n">
        <f aca="false">IF(AA$7=AA$5,AA$6,IF(NORMSDIST(AA$9*SQRT($C$11)*NORMSINV($B83)+SQRT(1-AA$9^2*$C$11)*NORMSINV(Z83))&lt;AA$8,AA$5+SQRT(NORMSDIST(AA$9*SQRT($C$11)*NORMSINV($B83)+SQRT(1-AA$9^2*$C$11)*NORMSINV(Z83))*(AA$7-AA$5)*(AA$6-AA$5)),AA$7-SQRT((1-NORMSDIST(AA$9*SQRT($C$11)*NORMSINV($B83)+SQRT(1-AA$9^2*$C$11)*NORMSINV(Z83)))*(AA$7-AA$5)*(AA$7-AA$6))))</f>
        <v>0.715172489342585</v>
      </c>
      <c r="AB83" s="2" t="n">
        <v>0.21048889</v>
      </c>
      <c r="AC83" s="2" t="n">
        <f aca="false">IF(AC$7=AC$5,AC$6,IF(NORMSDIST(AC$9*SQRT($C$11)*NORMSINV($B83)+SQRT(1-AC$9^2*$C$11)*NORMSINV(AB83))&lt;AC$8,AC$5+SQRT(NORMSDIST(AC$9*SQRT($C$11)*NORMSINV($B83)+SQRT(1-AC$9^2*$C$11)*NORMSINV(AB83))*(AC$7-AC$5)*(AC$6-AC$5)),AC$7-SQRT((1-NORMSDIST(AC$9*SQRT($C$11)*NORMSINV($B83)+SQRT(1-AC$9^2*$C$11)*NORMSINV(AB83)))*(AC$7-AC$5)*(AC$7-AC$6))))</f>
        <v>8.75291409939079</v>
      </c>
      <c r="AD83" s="2" t="n">
        <f aca="false">Entrées!$C$8*(1+E83)</f>
        <v>7455.99454914224</v>
      </c>
      <c r="AE83" s="2" t="n">
        <f aca="false">I83*Hypothèses!$J$24/12/Hypothèses!$J$19</f>
        <v>99.9700415870158</v>
      </c>
      <c r="AF83" s="2" t="n">
        <f aca="false">Entrées!$C$36*S83*1000</f>
        <v>310.304644910008</v>
      </c>
      <c r="AG83" s="2" t="n">
        <f aca="false">-AF83/W83</f>
        <v>-32.9999427138205</v>
      </c>
      <c r="AH83" s="2" t="n">
        <f aca="false">AD83+AE83+AG83</f>
        <v>7522.96464801543</v>
      </c>
      <c r="AI83" s="2" t="n">
        <f aca="false">Entrées!$C$16-M83+Hypothèses!$J$22*1000-AF83+Hypothèses!$J$23</f>
        <v>22553.3513129602</v>
      </c>
      <c r="AJ83" s="2" t="n">
        <f aca="false">AI83/AH83</f>
        <v>2.99793397525931</v>
      </c>
      <c r="AK83" s="2" t="n">
        <f aca="false">AI83/(AH83+I83*(12-Hypothèses!$J$24)/12/Hypothèses!$J$19)</f>
        <v>2.96974547017174</v>
      </c>
      <c r="AL83" s="2" t="n">
        <f aca="false">(AD83+AG83+I83/Hypothèses!$J$19)*(1+G83)</f>
        <v>7983.50919248891</v>
      </c>
      <c r="AM83" s="2" t="n">
        <f aca="false">Entrées!$C$54*K83/Hypothèses!$J$19</f>
        <v>23.9828822654916</v>
      </c>
      <c r="AN83" s="2" t="n">
        <f aca="false">Y83*1000/AC83</f>
        <v>15.8967791233302</v>
      </c>
      <c r="AO83" s="2" t="n">
        <f aca="false">(Entrées!$C$36*(1-S83)+MAX(0,Entrées!$C$30-Entrées!$C$35-Entrées!$C$36)*U83)*1000</f>
        <v>629.933103611565</v>
      </c>
      <c r="AP83" s="2" t="n">
        <f aca="false">-AO83/W83</f>
        <v>-66.9914442909788</v>
      </c>
      <c r="AQ83" s="2" t="n">
        <f aca="false">AL83+AM83+AN83+AP83</f>
        <v>7956.39740958675</v>
      </c>
      <c r="AR83" s="2" t="n">
        <f aca="false">O83*AQ83-Hypothèses!$J$25/Hypothèses!$J$19</f>
        <v>1295.42638719366</v>
      </c>
      <c r="AS83" s="2" t="n">
        <f aca="false">Entrées!$C$79*(1+Q83)+Hypothèses!$J$20</f>
        <v>1470.12101155859</v>
      </c>
      <c r="AT83" s="2" t="n">
        <f aca="false">AI83-AR83+AS83+Y83*1000-AO83+Hypothèses!$J$23</f>
        <v>22237.255975837</v>
      </c>
      <c r="AU83" s="2" t="n">
        <f aca="false">AT83/AQ83</f>
        <v>2.79489005275718</v>
      </c>
      <c r="AV83" s="2" t="n">
        <f aca="false">Hypothèses!$J$26*AQ83-AT83</f>
        <v>1631.93625292323</v>
      </c>
      <c r="AW83" s="2" t="n">
        <f aca="false">IF(AC83&gt;Hypothèses!$J$26,MAX(0,AV83)/(1-Hypothèses!$J$26/AC83),0)</f>
        <v>2482.94996079141</v>
      </c>
      <c r="AX83" s="2" t="n">
        <f aca="false">AQ83-Entrées!$C$17*1000</f>
        <v>-43.6025904132475</v>
      </c>
      <c r="AY83" s="2" t="n">
        <f aca="false">AI83+(Entrées!$C$244-Entrées!$C$13)</f>
        <v>28300.3513129602</v>
      </c>
      <c r="AZ83" s="2" t="n">
        <f aca="false">AA83*AH83</f>
        <v>5380.21735455746</v>
      </c>
      <c r="BA83" s="2" t="n">
        <f aca="false">AZ83/AY83</f>
        <v>0.190111327419939</v>
      </c>
      <c r="BB83" s="2" t="n">
        <f aca="false">AZ83/(Entrées!$C$151/100)-AY83</f>
        <v>1589.74510124796</v>
      </c>
      <c r="BC83" s="2" t="n">
        <f aca="false">AT83+(Entrées!$C$244-Entrées!$C$13)</f>
        <v>27984.255975837</v>
      </c>
      <c r="BD83" s="2" t="n">
        <f aca="false">AA83*AQ83</f>
        <v>5690.19654161305</v>
      </c>
      <c r="BE83" s="2" t="n">
        <f aca="false">BD83/BC83</f>
        <v>0.203335637957509</v>
      </c>
      <c r="BF83" s="2" t="n">
        <f aca="false">BD83/(Entrées!$C$151/100)-BC83</f>
        <v>3627.94703312439</v>
      </c>
      <c r="BG83" s="2" t="n">
        <f aca="false">MIN(AV83,BF83)</f>
        <v>1631.93625292323</v>
      </c>
      <c r="BH83" s="2" t="n">
        <f aca="false">IF(AC83&gt;Hypothèses!$J$26,MAX(0,BG83)/(1-Hypothèses!$J$26/AC83),0)</f>
        <v>2482.94996079141</v>
      </c>
    </row>
    <row r="84" customFormat="false" ht="15" hidden="false" customHeight="false" outlineLevel="0" collapsed="false">
      <c r="A84" s="2" t="n">
        <v>69</v>
      </c>
      <c r="B84" s="2" t="n">
        <v>0.424891168</v>
      </c>
      <c r="C84" s="2"/>
      <c r="D84" s="2" t="n">
        <v>0.875309262</v>
      </c>
      <c r="E84" s="2" t="n">
        <f aca="false">IF(E$7=E$5,E$6,IF(NORMSDIST(E$9*SQRT($C$11)*NORMSINV($B84)+SQRT(1-E$9^2*$C$11)*NORMSINV(D84))&lt;E$8,E$5+SQRT(NORMSDIST(E$9*SQRT($C$11)*NORMSINV($B84)+SQRT(1-E$9^2*$C$11)*NORMSINV(D84))*(E$7-E$5)*(E$6-E$5)),E$7-SQRT((1-NORMSDIST(E$9*SQRT($C$11)*NORMSINV($B84)+SQRT(1-E$9^2*$C$11)*NORMSINV(D84)))*(E$7-E$5)*(E$7-E$6))))</f>
        <v>0.0566839190065755</v>
      </c>
      <c r="F84" s="2" t="n">
        <v>0.166713029</v>
      </c>
      <c r="G84" s="2" t="n">
        <f aca="false">IF(G$7=G$5,G$6,IF(NORMSDIST(G$9*SQRT($C$11)*NORMSINV($B84)+SQRT(1-G$9^2*$C$11)*NORMSINV(F84))&lt;G$8,G$5+SQRT(NORMSDIST(G$9*SQRT($C$11)*NORMSINV($B84)+SQRT(1-G$9^2*$C$11)*NORMSINV(F84))*(G$7-G$5)*(G$6-G$5)),G$7-SQRT((1-NORMSDIST(G$9*SQRT($C$11)*NORMSINV($B84)+SQRT(1-G$9^2*$C$11)*NORMSINV(F84)))*(G$7-G$5)*(G$7-G$6))))</f>
        <v>0.0493053910732868</v>
      </c>
      <c r="H84" s="2" t="n">
        <v>0.012699036</v>
      </c>
      <c r="I84" s="2" t="n">
        <f aca="false">IF(I$7=I$5,I$6,IF(NORMSDIST(I$9*SQRT($C$11)*NORMSINV($B84)+SQRT(1-I$9^2*$C$11)*NORMSINV(H84))&lt;I$8,I$5+SQRT(NORMSDIST(I$9*SQRT($C$11)*NORMSINV($B84)+SQRT(1-I$9^2*$C$11)*NORMSINV(H84))*(I$7-I$5)*(I$6-I$5)),I$7-SQRT((1-NORMSDIST(I$9*SQRT($C$11)*NORMSINV($B84)+SQRT(1-I$9^2*$C$11)*NORMSINV(H84)))*(I$7-I$5)*(I$7-I$6))))</f>
        <v>185.065003424561</v>
      </c>
      <c r="J84" s="2" t="n">
        <v>0.589255417</v>
      </c>
      <c r="K84" s="2" t="n">
        <f aca="false">IF(K$7=K$5,K$6,IF(NORMSDIST(K$9*SQRT($C$11)*NORMSINV($B84)+SQRT(1-K$9^2*$C$11)*NORMSINV(J84))&lt;K$8,K$5+SQRT(NORMSDIST(K$9*SQRT($C$11)*NORMSINV($B84)+SQRT(1-K$9^2*$C$11)*NORMSINV(J84))*(K$7-K$5)*(K$6-K$5)),K$7-SQRT((1-NORMSDIST(K$9*SQRT($C$11)*NORMSINV($B84)+SQRT(1-K$9^2*$C$11)*NORMSINV(J84)))*(K$7-K$5)*(K$7-K$6))))</f>
        <v>0.255542908703394</v>
      </c>
      <c r="L84" s="2" t="n">
        <v>0.611830367</v>
      </c>
      <c r="M84" s="2" t="n">
        <f aca="false">IF(M$7=M$5,M$6,IF(NORMSDIST(M$9*SQRT($C$11)*NORMSINV($B84)+SQRT(1-M$9^2*$C$11)*NORMSINV(L84))&lt;M$8,M$5+SQRT(NORMSDIST(M$9*SQRT($C$11)*NORMSINV($B84)+SQRT(1-M$9^2*$C$11)*NORMSINV(L84))*(M$7-M$5)*(M$6-M$5)),M$7-SQRT((1-NORMSDIST(M$9*SQRT($C$11)*NORMSINV($B84)+SQRT(1-M$9^2*$C$11)*NORMSINV(L84)))*(M$7-M$5)*(M$7-M$6))))</f>
        <v>1596.40264517394</v>
      </c>
      <c r="N84" s="2" t="n">
        <v>0.094761613</v>
      </c>
      <c r="O84" s="2" t="n">
        <f aca="false">IF(O$7=O$5,O$6,IF(NORMSDIST(O$9*SQRT($C$11)*NORMSINV($B84)+SQRT(1-O$9^2*$C$11)*NORMSINV(N84))&lt;O$8,O$5+SQRT(NORMSDIST(O$9*SQRT($C$11)*NORMSINV($B84)+SQRT(1-O$9^2*$C$11)*NORMSINV(N84))*(O$7-O$5)*(O$6-O$5)),O$7-SQRT((1-NORMSDIST(O$9*SQRT($C$11)*NORMSINV($B84)+SQRT(1-O$9^2*$C$11)*NORMSINV(N84)))*(O$7-O$5)*(O$7-O$6))))</f>
        <v>0.153550315336553</v>
      </c>
      <c r="P84" s="2" t="n">
        <v>0.092811983</v>
      </c>
      <c r="Q84" s="2" t="n">
        <f aca="false">IF(Q$7=Q$5,Q$6,IF(NORMSDIST(Q$9*SQRT($C$11)*NORMSINV($B84)+SQRT(1-Q$9^2*$C$11)*NORMSINV(P84))&lt;Q$8,Q$5+SQRT(NORMSDIST(Q$9*SQRT($C$11)*NORMSINV($B84)+SQRT(1-Q$9^2*$C$11)*NORMSINV(P84))*(Q$7-Q$5)*(Q$6-Q$5)),Q$7-SQRT((1-NORMSDIST(Q$9*SQRT($C$11)*NORMSINV($B84)+SQRT(1-Q$9^2*$C$11)*NORMSINV(P84)))*(Q$7-Q$5)*(Q$7-Q$6))))</f>
        <v>0.0572336399405349</v>
      </c>
      <c r="R84" s="2" t="n">
        <v>0.990568336</v>
      </c>
      <c r="S84" s="2" t="n">
        <f aca="false">IF(S$7=S$5,S$6,IF(NORMSDIST(S$9*SQRT($C$11)*NORMSINV($B84)+SQRT(1-S$9^2*$C$11)*NORMSINV(R84))&lt;S$8,S$5+SQRT(NORMSDIST(S$9*SQRT($C$11)*NORMSINV($B84)+SQRT(1-S$9^2*$C$11)*NORMSINV(R84))*(S$7-S$5)*(S$6-S$5)),S$7-SQRT((1-NORMSDIST(S$9*SQRT($C$11)*NORMSINV($B84)+SQRT(1-S$9^2*$C$11)*NORMSINV(R84)))*(S$7-S$5)*(S$7-S$6))))</f>
        <v>0.850590406164644</v>
      </c>
      <c r="T84" s="2" t="n">
        <v>0.900765039</v>
      </c>
      <c r="U84" s="2" t="n">
        <f aca="false">IF(U$7=U$5,U$6,IF(NORMSDIST(U$9*SQRT($C$11)*NORMSINV($B84)+SQRT(1-U$9^2*$C$11)*NORMSINV(T84))&lt;U$8,U$5+SQRT(NORMSDIST(U$9*SQRT($C$11)*NORMSINV($B84)+SQRT(1-U$9^2*$C$11)*NORMSINV(T84))*(U$7-U$5)*(U$6-U$5)),U$7-SQRT((1-NORMSDIST(U$9*SQRT($C$11)*NORMSINV($B84)+SQRT(1-U$9^2*$C$11)*NORMSINV(T84)))*(U$7-U$5)*(U$7-U$6))))</f>
        <v>0.691425049606774</v>
      </c>
      <c r="V84" s="2" t="n">
        <v>0.322360546</v>
      </c>
      <c r="W84" s="2" t="n">
        <f aca="false">IF(W$7=W$5,W$6,IF(NORMSDIST(W$9*SQRT($C$11)*NORMSINV($B84)+SQRT(1-W$9^2*$C$11)*NORMSINV(V84))&lt;W$8,W$5+SQRT(NORMSDIST(W$9*SQRT($C$11)*NORMSINV($B84)+SQRT(1-W$9^2*$C$11)*NORMSINV(V84))*(W$7-W$5)*(W$6-W$5)),W$7-SQRT((1-NORMSDIST(W$9*SQRT($C$11)*NORMSINV($B84)+SQRT(1-W$9^2*$C$11)*NORMSINV(V84)))*(W$7-W$5)*(W$7-W$6))))</f>
        <v>9.59171914099826</v>
      </c>
      <c r="X84" s="2" t="n">
        <v>0.672945571</v>
      </c>
      <c r="Y84" s="2" t="n">
        <f aca="false">IF(Y$7=Y$5,Y$6,IF(NORMSDIST(Y$9*SQRT($C$11)*NORMSINV($B84)+SQRT(1-Y$9^2*$C$11)*NORMSINV(X84))&lt;Y$8,Y$5+SQRT(NORMSDIST(Y$9*SQRT($C$11)*NORMSINV($B84)+SQRT(1-Y$9^2*$C$11)*NORMSINV(X84))*(Y$7-Y$5)*(Y$6-Y$5)),Y$7-SQRT((1-NORMSDIST(Y$9*SQRT($C$11)*NORMSINV($B84)+SQRT(1-Y$9^2*$C$11)*NORMSINV(X84)))*(Y$7-Y$5)*(Y$7-Y$6))))</f>
        <v>0.595615016970214</v>
      </c>
      <c r="Z84" s="2" t="n">
        <v>0.009853111</v>
      </c>
      <c r="AA84" s="2" t="n">
        <f aca="false">IF(AA$7=AA$5,AA$6,IF(NORMSDIST(AA$9*SQRT($C$11)*NORMSINV($B84)+SQRT(1-AA$9^2*$C$11)*NORMSINV(Z84))&lt;AA$8,AA$5+SQRT(NORMSDIST(AA$9*SQRT($C$11)*NORMSINV($B84)+SQRT(1-AA$9^2*$C$11)*NORMSINV(Z84))*(AA$7-AA$5)*(AA$6-AA$5)),AA$7-SQRT((1-NORMSDIST(AA$9*SQRT($C$11)*NORMSINV($B84)+SQRT(1-AA$9^2*$C$11)*NORMSINV(Z84)))*(AA$7-AA$5)*(AA$7-AA$6))))</f>
        <v>0.702932228555327</v>
      </c>
      <c r="AB84" s="2" t="n">
        <v>0.379593122</v>
      </c>
      <c r="AC84" s="2" t="n">
        <f aca="false">IF(AC$7=AC$5,AC$6,IF(NORMSDIST(AC$9*SQRT($C$11)*NORMSINV($B84)+SQRT(1-AC$9^2*$C$11)*NORMSINV(AB84))&lt;AC$8,AC$5+SQRT(NORMSDIST(AC$9*SQRT($C$11)*NORMSINV($B84)+SQRT(1-AC$9^2*$C$11)*NORMSINV(AB84))*(AC$7-AC$5)*(AC$6-AC$5)),AC$7-SQRT((1-NORMSDIST(AC$9*SQRT($C$11)*NORMSINV($B84)+SQRT(1-AC$9^2*$C$11)*NORMSINV(AB84)))*(AC$7-AC$5)*(AC$7-AC$6))))</f>
        <v>9.16475222304559</v>
      </c>
      <c r="AD84" s="2" t="n">
        <f aca="false">Entrées!$C$8*(1+E84)</f>
        <v>7449.62162899636</v>
      </c>
      <c r="AE84" s="2" t="n">
        <f aca="false">I84*Hypothèses!$J$24/12/Hypothèses!$J$19</f>
        <v>91.8101558753384</v>
      </c>
      <c r="AF84" s="2" t="n">
        <f aca="false">Entrées!$C$36*S84*1000</f>
        <v>425.295203082322</v>
      </c>
      <c r="AG84" s="2" t="n">
        <f aca="false">-AF84/W84</f>
        <v>-44.3398307259088</v>
      </c>
      <c r="AH84" s="2" t="n">
        <f aca="false">AD84+AE84+AG84</f>
        <v>7497.09195414579</v>
      </c>
      <c r="AI84" s="2" t="n">
        <f aca="false">Entrées!$C$16-M84+Hypothèses!$J$22*1000-AF84+Hypothèses!$J$23</f>
        <v>22526.3021517437</v>
      </c>
      <c r="AJ84" s="2" t="n">
        <f aca="false">AI84/AH84</f>
        <v>3.00467198341979</v>
      </c>
      <c r="AK84" s="2" t="n">
        <f aca="false">AI84/(AH84+I84*(12-Hypothèses!$J$24)/12/Hypothèses!$J$19)</f>
        <v>2.97861737384032</v>
      </c>
      <c r="AL84" s="2" t="n">
        <f aca="false">(AD84+AG84+I84/Hypothèses!$J$19)*(1+G84)</f>
        <v>7935.55107022539</v>
      </c>
      <c r="AM84" s="2" t="n">
        <f aca="false">Entrées!$C$54*K84/Hypothèses!$J$19</f>
        <v>26.079226788519</v>
      </c>
      <c r="AN84" s="2" t="n">
        <f aca="false">Y84*1000/AC84</f>
        <v>64.9897566758529</v>
      </c>
      <c r="AO84" s="2" t="n">
        <f aca="false">(Entrées!$C$36*(1-S84)+MAX(0,Entrées!$C$30-Entrées!$C$35-Entrées!$C$36)*U84)*1000</f>
        <v>1042.69986636716</v>
      </c>
      <c r="AP84" s="2" t="n">
        <f aca="false">-AO84/W84</f>
        <v>-108.70834008372</v>
      </c>
      <c r="AQ84" s="2" t="n">
        <f aca="false">AL84+AM84+AN84+AP84</f>
        <v>7917.91171360604</v>
      </c>
      <c r="AR84" s="2" t="n">
        <f aca="false">O84*AQ84-Hypothèses!$J$25/Hypothèses!$J$19</f>
        <v>1196.66267816957</v>
      </c>
      <c r="AS84" s="2" t="n">
        <f aca="false">Entrées!$C$79*(1+Q84)+Hypothèses!$J$20</f>
        <v>1456.89977029465</v>
      </c>
      <c r="AT84" s="2" t="n">
        <f aca="false">AI84-AR84+AS84+Y84*1000-AO84+Hypothèses!$J$23</f>
        <v>22339.4543944719</v>
      </c>
      <c r="AU84" s="2" t="n">
        <f aca="false">AT84/AQ84</f>
        <v>2.82138210206159</v>
      </c>
      <c r="AV84" s="2" t="n">
        <f aca="false">Hypothèses!$J$26*AQ84-AT84</f>
        <v>1414.28074634625</v>
      </c>
      <c r="AW84" s="2" t="n">
        <f aca="false">IF(AC84&gt;Hypothèses!$J$26,MAX(0,AV84)/(1-Hypothèses!$J$26/AC84),0)</f>
        <v>2102.52288253103</v>
      </c>
      <c r="AX84" s="2" t="n">
        <f aca="false">AQ84-Entrées!$C$17*1000</f>
        <v>-82.0882863939596</v>
      </c>
      <c r="AY84" s="2" t="n">
        <f aca="false">AI84+(Entrées!$C$244-Entrées!$C$13)</f>
        <v>28273.3021517437</v>
      </c>
      <c r="AZ84" s="2" t="n">
        <f aca="false">AA84*AH84</f>
        <v>5269.94755501191</v>
      </c>
      <c r="BA84" s="2" t="n">
        <f aca="false">AZ84/AY84</f>
        <v>0.186393068865035</v>
      </c>
      <c r="BB84" s="2" t="n">
        <f aca="false">AZ84/(Entrées!$C$151/100)-AY84</f>
        <v>1004.18426498912</v>
      </c>
      <c r="BC84" s="2" t="n">
        <f aca="false">AT84+(Entrées!$C$244-Entrées!$C$13)</f>
        <v>28086.4543944719</v>
      </c>
      <c r="BD84" s="2" t="n">
        <f aca="false">AA84*AQ84</f>
        <v>5565.75532634943</v>
      </c>
      <c r="BE84" s="2" t="n">
        <f aca="false">BD84/BC84</f>
        <v>0.198165110062625</v>
      </c>
      <c r="BF84" s="2" t="n">
        <f aca="false">BD84/(Entrées!$C$151/100)-BC84</f>
        <v>2834.40852969161</v>
      </c>
      <c r="BG84" s="2" t="n">
        <f aca="false">MIN(AV84,BF84)</f>
        <v>1414.28074634625</v>
      </c>
      <c r="BH84" s="2" t="n">
        <f aca="false">IF(AC84&gt;Hypothèses!$J$26,MAX(0,BG84)/(1-Hypothèses!$J$26/AC84),0)</f>
        <v>2102.52288253103</v>
      </c>
    </row>
    <row r="85" customFormat="false" ht="15" hidden="false" customHeight="false" outlineLevel="0" collapsed="false">
      <c r="A85" s="2" t="n">
        <v>70</v>
      </c>
      <c r="B85" s="2" t="n">
        <v>0.611388926</v>
      </c>
      <c r="C85" s="2"/>
      <c r="D85" s="2" t="n">
        <v>0.541524084</v>
      </c>
      <c r="E85" s="2" t="n">
        <f aca="false">IF(E$7=E$5,E$6,IF(NORMSDIST(E$9*SQRT($C$11)*NORMSINV($B85)+SQRT(1-E$9^2*$C$11)*NORMSINV(D85))&lt;E$8,E$5+SQRT(NORMSDIST(E$9*SQRT($C$11)*NORMSINV($B85)+SQRT(1-E$9^2*$C$11)*NORMSINV(D85))*(E$7-E$5)*(E$6-E$5)),E$7-SQRT((1-NORMSDIST(E$9*SQRT($C$11)*NORMSINV($B85)+SQRT(1-E$9^2*$C$11)*NORMSINV(D85)))*(E$7-E$5)*(E$7-E$6))))</f>
        <v>0.0555416331944942</v>
      </c>
      <c r="F85" s="2" t="n">
        <v>0.408685075</v>
      </c>
      <c r="G85" s="2" t="n">
        <f aca="false">IF(G$7=G$5,G$6,IF(NORMSDIST(G$9*SQRT($C$11)*NORMSINV($B85)+SQRT(1-G$9^2*$C$11)*NORMSINV(F85))&lt;G$8,G$5+SQRT(NORMSDIST(G$9*SQRT($C$11)*NORMSINV($B85)+SQRT(1-G$9^2*$C$11)*NORMSINV(F85))*(G$7-G$5)*(G$6-G$5)),G$7-SQRT((1-NORMSDIST(G$9*SQRT($C$11)*NORMSINV($B85)+SQRT(1-G$9^2*$C$11)*NORMSINV(F85)))*(G$7-G$5)*(G$7-G$6))))</f>
        <v>0.0550004241994795</v>
      </c>
      <c r="H85" s="2" t="n">
        <v>0.686123225</v>
      </c>
      <c r="I85" s="2" t="n">
        <f aca="false">IF(I$7=I$5,I$6,IF(NORMSDIST(I$9*SQRT($C$11)*NORMSINV($B85)+SQRT(1-I$9^2*$C$11)*NORMSINV(H85))&lt;I$8,I$5+SQRT(NORMSDIST(I$9*SQRT($C$11)*NORMSINV($B85)+SQRT(1-I$9^2*$C$11)*NORMSINV(H85))*(I$7-I$5)*(I$6-I$5)),I$7-SQRT((1-NORMSDIST(I$9*SQRT($C$11)*NORMSINV($B85)+SQRT(1-I$9^2*$C$11)*NORMSINV(H85)))*(I$7-I$5)*(I$7-I$6))))</f>
        <v>204.778862713746</v>
      </c>
      <c r="J85" s="2" t="n">
        <v>0.790251096</v>
      </c>
      <c r="K85" s="2" t="n">
        <f aca="false">IF(K$7=K$5,K$6,IF(NORMSDIST(K$9*SQRT($C$11)*NORMSINV($B85)+SQRT(1-K$9^2*$C$11)*NORMSINV(J85))&lt;K$8,K$5+SQRT(NORMSDIST(K$9*SQRT($C$11)*NORMSINV($B85)+SQRT(1-K$9^2*$C$11)*NORMSINV(J85))*(K$7-K$5)*(K$6-K$5)),K$7-SQRT((1-NORMSDIST(K$9*SQRT($C$11)*NORMSINV($B85)+SQRT(1-K$9^2*$C$11)*NORMSINV(J85)))*(K$7-K$5)*(K$7-K$6))))</f>
        <v>0.33774271272244</v>
      </c>
      <c r="L85" s="2" t="n">
        <v>0.647122376</v>
      </c>
      <c r="M85" s="2" t="n">
        <f aca="false">IF(M$7=M$5,M$6,IF(NORMSDIST(M$9*SQRT($C$11)*NORMSINV($B85)+SQRT(1-M$9^2*$C$11)*NORMSINV(L85))&lt;M$8,M$5+SQRT(NORMSDIST(M$9*SQRT($C$11)*NORMSINV($B85)+SQRT(1-M$9^2*$C$11)*NORMSINV(L85))*(M$7-M$5)*(M$6-M$5)),M$7-SQRT((1-NORMSDIST(M$9*SQRT($C$11)*NORMSINV($B85)+SQRT(1-M$9^2*$C$11)*NORMSINV(L85)))*(M$7-M$5)*(M$7-M$6))))</f>
        <v>1632.62197904703</v>
      </c>
      <c r="N85" s="2" t="n">
        <v>0.82512124</v>
      </c>
      <c r="O85" s="2" t="n">
        <f aca="false">IF(O$7=O$5,O$6,IF(NORMSDIST(O$9*SQRT($C$11)*NORMSINV($B85)+SQRT(1-O$9^2*$C$11)*NORMSINV(N85))&lt;O$8,O$5+SQRT(NORMSDIST(O$9*SQRT($C$11)*NORMSINV($B85)+SQRT(1-O$9^2*$C$11)*NORMSINV(N85))*(O$7-O$5)*(O$6-O$5)),O$7-SQRT((1-NORMSDIST(O$9*SQRT($C$11)*NORMSINV($B85)+SQRT(1-O$9^2*$C$11)*NORMSINV(N85)))*(O$7-O$5)*(O$7-O$6))))</f>
        <v>0.176030746448041</v>
      </c>
      <c r="P85" s="2" t="n">
        <v>0.487115834</v>
      </c>
      <c r="Q85" s="2" t="n">
        <f aca="false">IF(Q$7=Q$5,Q$6,IF(NORMSDIST(Q$9*SQRT($C$11)*NORMSINV($B85)+SQRT(1-Q$9^2*$C$11)*NORMSINV(P85))&lt;Q$8,Q$5+SQRT(NORMSDIST(Q$9*SQRT($C$11)*NORMSINV($B85)+SQRT(1-Q$9^2*$C$11)*NORMSINV(P85))*(Q$7-Q$5)*(Q$6-Q$5)),Q$7-SQRT((1-NORMSDIST(Q$9*SQRT($C$11)*NORMSINV($B85)+SQRT(1-Q$9^2*$C$11)*NORMSINV(P85)))*(Q$7-Q$5)*(Q$7-Q$6))))</f>
        <v>0.0794812698478658</v>
      </c>
      <c r="R85" s="2" t="n">
        <v>0.067219478</v>
      </c>
      <c r="S85" s="2" t="n">
        <f aca="false">IF(S$7=S$5,S$6,IF(NORMSDIST(S$9*SQRT($C$11)*NORMSINV($B85)+SQRT(1-S$9^2*$C$11)*NORMSINV(R85))&lt;S$8,S$5+SQRT(NORMSDIST(S$9*SQRT($C$11)*NORMSINV($B85)+SQRT(1-S$9^2*$C$11)*NORMSINV(R85))*(S$7-S$5)*(S$6-S$5)),S$7-SQRT((1-NORMSDIST(S$9*SQRT($C$11)*NORMSINV($B85)+SQRT(1-S$9^2*$C$11)*NORMSINV(R85)))*(S$7-S$5)*(S$7-S$6))))</f>
        <v>0.285851997201717</v>
      </c>
      <c r="T85" s="2" t="n">
        <v>0.946288572</v>
      </c>
      <c r="U85" s="2" t="n">
        <f aca="false">IF(U$7=U$5,U$6,IF(NORMSDIST(U$9*SQRT($C$11)*NORMSINV($B85)+SQRT(1-U$9^2*$C$11)*NORMSINV(T85))&lt;U$8,U$5+SQRT(NORMSDIST(U$9*SQRT($C$11)*NORMSINV($B85)+SQRT(1-U$9^2*$C$11)*NORMSINV(T85))*(U$7-U$5)*(U$6-U$5)),U$7-SQRT((1-NORMSDIST(U$9*SQRT($C$11)*NORMSINV($B85)+SQRT(1-U$9^2*$C$11)*NORMSINV(T85)))*(U$7-U$5)*(U$7-U$6))))</f>
        <v>0.803862267690696</v>
      </c>
      <c r="V85" s="2" t="n">
        <v>0.820808176</v>
      </c>
      <c r="W85" s="2" t="n">
        <f aca="false">IF(W$7=W$5,W$6,IF(NORMSDIST(W$9*SQRT($C$11)*NORMSINV($B85)+SQRT(1-W$9^2*$C$11)*NORMSINV(V85))&lt;W$8,W$5+SQRT(NORMSDIST(W$9*SQRT($C$11)*NORMSINV($B85)+SQRT(1-W$9^2*$C$11)*NORMSINV(V85))*(W$7-W$5)*(W$6-W$5)),W$7-SQRT((1-NORMSDIST(W$9*SQRT($C$11)*NORMSINV($B85)+SQRT(1-W$9^2*$C$11)*NORMSINV(V85)))*(W$7-W$5)*(W$7-W$6))))</f>
        <v>10.7780926934532</v>
      </c>
      <c r="X85" s="2" t="n">
        <v>0.731183001</v>
      </c>
      <c r="Y85" s="2" t="n">
        <f aca="false">IF(Y$7=Y$5,Y$6,IF(NORMSDIST(Y$9*SQRT($C$11)*NORMSINV($B85)+SQRT(1-Y$9^2*$C$11)*NORMSINV(X85))&lt;Y$8,Y$5+SQRT(NORMSDIST(Y$9*SQRT($C$11)*NORMSINV($B85)+SQRT(1-Y$9^2*$C$11)*NORMSINV(X85))*(Y$7-Y$5)*(Y$6-Y$5)),Y$7-SQRT((1-NORMSDIST(Y$9*SQRT($C$11)*NORMSINV($B85)+SQRT(1-Y$9^2*$C$11)*NORMSINV(X85)))*(Y$7-Y$5)*(Y$7-Y$6))))</f>
        <v>0.633382352443312</v>
      </c>
      <c r="Z85" s="2" t="n">
        <v>0.803106039</v>
      </c>
      <c r="AA85" s="2" t="n">
        <f aca="false">IF(AA$7=AA$5,AA$6,IF(NORMSDIST(AA$9*SQRT($C$11)*NORMSINV($B85)+SQRT(1-AA$9^2*$C$11)*NORMSINV(Z85))&lt;AA$8,AA$5+SQRT(NORMSDIST(AA$9*SQRT($C$11)*NORMSINV($B85)+SQRT(1-AA$9^2*$C$11)*NORMSINV(Z85))*(AA$7-AA$5)*(AA$6-AA$5)),AA$7-SQRT((1-NORMSDIST(AA$9*SQRT($C$11)*NORMSINV($B85)+SQRT(1-AA$9^2*$C$11)*NORMSINV(Z85)))*(AA$7-AA$5)*(AA$7-AA$6))))</f>
        <v>0.737813064892506</v>
      </c>
      <c r="AB85" s="2" t="n">
        <v>0.440147155</v>
      </c>
      <c r="AC85" s="2" t="n">
        <f aca="false">IF(AC$7=AC$5,AC$6,IF(NORMSDIST(AC$9*SQRT($C$11)*NORMSINV($B85)+SQRT(1-AC$9^2*$C$11)*NORMSINV(AB85))&lt;AC$8,AC$5+SQRT(NORMSDIST(AC$9*SQRT($C$11)*NORMSINV($B85)+SQRT(1-AC$9^2*$C$11)*NORMSINV(AB85))*(AC$7-AC$5)*(AC$6-AC$5)),AC$7-SQRT((1-NORMSDIST(AC$9*SQRT($C$11)*NORMSINV($B85)+SQRT(1-AC$9^2*$C$11)*NORMSINV(AB85)))*(AC$7-AC$5)*(AC$7-AC$6))))</f>
        <v>9.5294571577448</v>
      </c>
      <c r="AD85" s="2" t="n">
        <f aca="false">Entrées!$C$8*(1+E85)</f>
        <v>7441.56851402118</v>
      </c>
      <c r="AE85" s="2" t="n">
        <f aca="false">I85*Hypothèses!$J$24/12/Hypothèses!$J$19</f>
        <v>101.590138372042</v>
      </c>
      <c r="AF85" s="2" t="n">
        <f aca="false">Entrées!$C$36*S85*1000</f>
        <v>142.925998600858</v>
      </c>
      <c r="AG85" s="2" t="n">
        <f aca="false">-AF85/W85</f>
        <v>-13.2607876612226</v>
      </c>
      <c r="AH85" s="2" t="n">
        <f aca="false">AD85+AE85+AG85</f>
        <v>7529.897864732</v>
      </c>
      <c r="AI85" s="2" t="n">
        <f aca="false">Entrées!$C$16-M85+Hypothèses!$J$22*1000-AF85+Hypothèses!$J$23</f>
        <v>22772.4520223521</v>
      </c>
      <c r="AJ85" s="2" t="n">
        <f aca="false">AI85/AH85</f>
        <v>3.02427103679747</v>
      </c>
      <c r="AK85" s="2" t="n">
        <f aca="false">AI85/(AH85+I85*(12-Hypothèses!$J$24)/12/Hypothèses!$J$19)</f>
        <v>2.99540481434136</v>
      </c>
      <c r="AL85" s="2" t="n">
        <f aca="false">(AD85+AG85+I85/Hypothèses!$J$19)*(1+G85)</f>
        <v>8020.60089795458</v>
      </c>
      <c r="AM85" s="2" t="n">
        <f aca="false">Entrées!$C$54*K85/Hypothèses!$J$19</f>
        <v>34.4680619233366</v>
      </c>
      <c r="AN85" s="2" t="n">
        <f aca="false">Y85*1000/AC85</f>
        <v>66.4657327231435</v>
      </c>
      <c r="AO85" s="2" t="n">
        <f aca="false">(Entrées!$C$36*(1-S85)+MAX(0,Entrées!$C$30-Entrées!$C$35-Entrées!$C$36)*U85)*1000</f>
        <v>1482.48117616612</v>
      </c>
      <c r="AP85" s="2" t="n">
        <f aca="false">-AO85/W85</f>
        <v>-137.545780903016</v>
      </c>
      <c r="AQ85" s="2" t="n">
        <f aca="false">AL85+AM85+AN85+AP85</f>
        <v>7983.98891169805</v>
      </c>
      <c r="AR85" s="2" t="n">
        <f aca="false">O85*AQ85-Hypothèses!$J$25/Hypothèses!$J$19</f>
        <v>1386.29236549746</v>
      </c>
      <c r="AS85" s="2" t="n">
        <f aca="false">Entrées!$C$79*(1+Q85)+Hypothèses!$J$20</f>
        <v>1481.3499155628</v>
      </c>
      <c r="AT85" s="2" t="n">
        <f aca="false">AI85-AR85+AS85+Y85*1000-AO85+Hypothèses!$J$23</f>
        <v>22018.4107486947</v>
      </c>
      <c r="AU85" s="2" t="n">
        <f aca="false">AT85/AQ85</f>
        <v>2.75782080764586</v>
      </c>
      <c r="AV85" s="2" t="n">
        <f aca="false">Hypothèses!$J$26*AQ85-AT85</f>
        <v>1933.55598639948</v>
      </c>
      <c r="AW85" s="2" t="n">
        <f aca="false">IF(AC85&gt;Hypothèses!$J$26,MAX(0,AV85)/(1-Hypothèses!$J$26/AC85),0)</f>
        <v>2821.94039861942</v>
      </c>
      <c r="AX85" s="2" t="n">
        <f aca="false">AQ85-Entrées!$C$17*1000</f>
        <v>-16.0110883019552</v>
      </c>
      <c r="AY85" s="2" t="n">
        <f aca="false">AI85+(Entrées!$C$244-Entrées!$C$13)</f>
        <v>28519.4520223521</v>
      </c>
      <c r="AZ85" s="2" t="n">
        <f aca="false">AA85*AH85</f>
        <v>5555.65702190546</v>
      </c>
      <c r="BA85" s="2" t="n">
        <f aca="false">AZ85/AY85</f>
        <v>0.19480237620103</v>
      </c>
      <c r="BB85" s="2" t="n">
        <f aca="false">AZ85/(Entrées!$C$151/100)-AY85</f>
        <v>2345.30921045598</v>
      </c>
      <c r="BC85" s="2" t="n">
        <f aca="false">AT85+(Entrées!$C$244-Entrées!$C$13)</f>
        <v>27765.4107486947</v>
      </c>
      <c r="BD85" s="2" t="n">
        <f aca="false">AA85*AQ85</f>
        <v>5890.69132900772</v>
      </c>
      <c r="BE85" s="2" t="n">
        <f aca="false">BD85/BC85</f>
        <v>0.212159343952247</v>
      </c>
      <c r="BF85" s="2" t="n">
        <f aca="false">BD85/(Entrées!$C$151/100)-BC85</f>
        <v>4960.65219023711</v>
      </c>
      <c r="BG85" s="2" t="n">
        <f aca="false">MIN(AV85,BF85)</f>
        <v>1933.55598639948</v>
      </c>
      <c r="BH85" s="2" t="n">
        <f aca="false">IF(AC85&gt;Hypothèses!$J$26,MAX(0,BG85)/(1-Hypothèses!$J$26/AC85),0)</f>
        <v>2821.94039861942</v>
      </c>
    </row>
    <row r="86" customFormat="false" ht="15" hidden="false" customHeight="false" outlineLevel="0" collapsed="false">
      <c r="A86" s="2" t="n">
        <v>71</v>
      </c>
      <c r="B86" s="2" t="n">
        <v>0.591844203</v>
      </c>
      <c r="C86" s="2"/>
      <c r="D86" s="2" t="n">
        <v>0.075374323</v>
      </c>
      <c r="E86" s="2" t="n">
        <f aca="false">IF(E$7=E$5,E$6,IF(NORMSDIST(E$9*SQRT($C$11)*NORMSINV($B86)+SQRT(1-E$9^2*$C$11)*NORMSINV(D86))&lt;E$8,E$5+SQRT(NORMSDIST(E$9*SQRT($C$11)*NORMSINV($B86)+SQRT(1-E$9^2*$C$11)*NORMSINV(D86))*(E$7-E$5)*(E$6-E$5)),E$7-SQRT((1-NORMSDIST(E$9*SQRT($C$11)*NORMSINV($B86)+SQRT(1-E$9^2*$C$11)*NORMSINV(D86)))*(E$7-E$5)*(E$7-E$6))))</f>
        <v>0.0528896160899017</v>
      </c>
      <c r="F86" s="2" t="n">
        <v>0.781033384</v>
      </c>
      <c r="G86" s="2" t="n">
        <f aca="false">IF(G$7=G$5,G$6,IF(NORMSDIST(G$9*SQRT($C$11)*NORMSINV($B86)+SQRT(1-G$9^2*$C$11)*NORMSINV(F86))&lt;G$8,G$5+SQRT(NORMSDIST(G$9*SQRT($C$11)*NORMSINV($B86)+SQRT(1-G$9^2*$C$11)*NORMSINV(F86))*(G$7-G$5)*(G$6-G$5)),G$7-SQRT((1-NORMSDIST(G$9*SQRT($C$11)*NORMSINV($B86)+SQRT(1-G$9^2*$C$11)*NORMSINV(F86)))*(G$7-G$5)*(G$7-G$6))))</f>
        <v>0.0598863363660117</v>
      </c>
      <c r="H86" s="2" t="n">
        <v>0.271640476</v>
      </c>
      <c r="I86" s="2" t="n">
        <f aca="false">IF(I$7=I$5,I$6,IF(NORMSDIST(I$9*SQRT($C$11)*NORMSINV($B86)+SQRT(1-I$9^2*$C$11)*NORMSINV(H86))&lt;I$8,I$5+SQRT(NORMSDIST(I$9*SQRT($C$11)*NORMSINV($B86)+SQRT(1-I$9^2*$C$11)*NORMSINV(H86))*(I$7-I$5)*(I$6-I$5)),I$7-SQRT((1-NORMSDIST(I$9*SQRT($C$11)*NORMSINV($B86)+SQRT(1-I$9^2*$C$11)*NORMSINV(H86)))*(I$7-I$5)*(I$7-I$6))))</f>
        <v>197.274140911209</v>
      </c>
      <c r="J86" s="2" t="n">
        <v>0.440210938</v>
      </c>
      <c r="K86" s="2" t="n">
        <f aca="false">IF(K$7=K$5,K$6,IF(NORMSDIST(K$9*SQRT($C$11)*NORMSINV($B86)+SQRT(1-K$9^2*$C$11)*NORMSINV(J86))&lt;K$8,K$5+SQRT(NORMSDIST(K$9*SQRT($C$11)*NORMSINV($B86)+SQRT(1-K$9^2*$C$11)*NORMSINV(J86))*(K$7-K$5)*(K$6-K$5)),K$7-SQRT((1-NORMSDIST(K$9*SQRT($C$11)*NORMSINV($B86)+SQRT(1-K$9^2*$C$11)*NORMSINV(J86)))*(K$7-K$5)*(K$7-K$6))))</f>
        <v>0.253048894514492</v>
      </c>
      <c r="L86" s="2" t="n">
        <v>0.884792918</v>
      </c>
      <c r="M86" s="2" t="n">
        <f aca="false">IF(M$7=M$5,M$6,IF(NORMSDIST(M$9*SQRT($C$11)*NORMSINV($B86)+SQRT(1-M$9^2*$C$11)*NORMSINV(L86))&lt;M$8,M$5+SQRT(NORMSDIST(M$9*SQRT($C$11)*NORMSINV($B86)+SQRT(1-M$9^2*$C$11)*NORMSINV(L86))*(M$7-M$5)*(M$6-M$5)),M$7-SQRT((1-NORMSDIST(M$9*SQRT($C$11)*NORMSINV($B86)+SQRT(1-M$9^2*$C$11)*NORMSINV(L86)))*(M$7-M$5)*(M$7-M$6))))</f>
        <v>1685.95612971627</v>
      </c>
      <c r="N86" s="2" t="n">
        <v>0.663831962</v>
      </c>
      <c r="O86" s="2" t="n">
        <f aca="false">IF(O$7=O$5,O$6,IF(NORMSDIST(O$9*SQRT($C$11)*NORMSINV($B86)+SQRT(1-O$9^2*$C$11)*NORMSINV(N86))&lt;O$8,O$5+SQRT(NORMSDIST(O$9*SQRT($C$11)*NORMSINV($B86)+SQRT(1-O$9^2*$C$11)*NORMSINV(N86))*(O$7-O$5)*(O$6-O$5)),O$7-SQRT((1-NORMSDIST(O$9*SQRT($C$11)*NORMSINV($B86)+SQRT(1-O$9^2*$C$11)*NORMSINV(N86)))*(O$7-O$5)*(O$7-O$6))))</f>
        <v>0.171608098290378</v>
      </c>
      <c r="P86" s="2" t="n">
        <v>0.185652046</v>
      </c>
      <c r="Q86" s="2" t="n">
        <f aca="false">IF(Q$7=Q$5,Q$6,IF(NORMSDIST(Q$9*SQRT($C$11)*NORMSINV($B86)+SQRT(1-Q$9^2*$C$11)*NORMSINV(P86))&lt;Q$8,Q$5+SQRT(NORMSDIST(Q$9*SQRT($C$11)*NORMSINV($B86)+SQRT(1-Q$9^2*$C$11)*NORMSINV(P86))*(Q$7-Q$5)*(Q$6-Q$5)),Q$7-SQRT((1-NORMSDIST(Q$9*SQRT($C$11)*NORMSINV($B86)+SQRT(1-Q$9^2*$C$11)*NORMSINV(P86)))*(Q$7-Q$5)*(Q$7-Q$6))))</f>
        <v>0.0643738906865523</v>
      </c>
      <c r="R86" s="2" t="n">
        <v>0.1641144</v>
      </c>
      <c r="S86" s="2" t="n">
        <f aca="false">IF(S$7=S$5,S$6,IF(NORMSDIST(S$9*SQRT($C$11)*NORMSINV($B86)+SQRT(1-S$9^2*$C$11)*NORMSINV(R86))&lt;S$8,S$5+SQRT(NORMSDIST(S$9*SQRT($C$11)*NORMSINV($B86)+SQRT(1-S$9^2*$C$11)*NORMSINV(R86))*(S$7-S$5)*(S$6-S$5)),S$7-SQRT((1-NORMSDIST(S$9*SQRT($C$11)*NORMSINV($B86)+SQRT(1-S$9^2*$C$11)*NORMSINV(R86)))*(S$7-S$5)*(S$7-S$6))))</f>
        <v>0.367966418979509</v>
      </c>
      <c r="T86" s="2" t="n">
        <v>0.905010206</v>
      </c>
      <c r="U86" s="2" t="n">
        <f aca="false">IF(U$7=U$5,U$6,IF(NORMSDIST(U$9*SQRT($C$11)*NORMSINV($B86)+SQRT(1-U$9^2*$C$11)*NORMSINV(T86))&lt;U$8,U$5+SQRT(NORMSDIST(U$9*SQRT($C$11)*NORMSINV($B86)+SQRT(1-U$9^2*$C$11)*NORMSINV(T86))*(U$7-U$5)*(U$6-U$5)),U$7-SQRT((1-NORMSDIST(U$9*SQRT($C$11)*NORMSINV($B86)+SQRT(1-U$9^2*$C$11)*NORMSINV(T86)))*(U$7-U$5)*(U$7-U$6))))</f>
        <v>0.75242060038744</v>
      </c>
      <c r="V86" s="2" t="n">
        <v>0.504882716</v>
      </c>
      <c r="W86" s="2" t="n">
        <f aca="false">IF(W$7=W$5,W$6,IF(NORMSDIST(W$9*SQRT($C$11)*NORMSINV($B86)+SQRT(1-W$9^2*$C$11)*NORMSINV(V86))&lt;W$8,W$5+SQRT(NORMSDIST(W$9*SQRT($C$11)*NORMSINV($B86)+SQRT(1-W$9^2*$C$11)*NORMSINV(V86))*(W$7-W$5)*(W$6-W$5)),W$7-SQRT((1-NORMSDIST(W$9*SQRT($C$11)*NORMSINV($B86)+SQRT(1-W$9^2*$C$11)*NORMSINV(V86)))*(W$7-W$5)*(W$7-W$6))))</f>
        <v>10.1283997108597</v>
      </c>
      <c r="X86" s="2" t="n">
        <v>0.825840062</v>
      </c>
      <c r="Y86" s="2" t="n">
        <f aca="false">IF(Y$7=Y$5,Y$6,IF(NORMSDIST(Y$9*SQRT($C$11)*NORMSINV($B86)+SQRT(1-Y$9^2*$C$11)*NORMSINV(X86))&lt;Y$8,Y$5+SQRT(NORMSDIST(Y$9*SQRT($C$11)*NORMSINV($B86)+SQRT(1-Y$9^2*$C$11)*NORMSINV(X86))*(Y$7-Y$5)*(Y$6-Y$5)),Y$7-SQRT((1-NORMSDIST(Y$9*SQRT($C$11)*NORMSINV($B86)+SQRT(1-Y$9^2*$C$11)*NORMSINV(X86)))*(Y$7-Y$5)*(Y$7-Y$6))))</f>
        <v>0.704906846911014</v>
      </c>
      <c r="Z86" s="2" t="n">
        <v>0.960228716</v>
      </c>
      <c r="AA86" s="2" t="n">
        <f aca="false">IF(AA$7=AA$5,AA$6,IF(NORMSDIST(AA$9*SQRT($C$11)*NORMSINV($B86)+SQRT(1-AA$9^2*$C$11)*NORMSINV(Z86))&lt;AA$8,AA$5+SQRT(NORMSDIST(AA$9*SQRT($C$11)*NORMSINV($B86)+SQRT(1-AA$9^2*$C$11)*NORMSINV(Z86))*(AA$7-AA$5)*(AA$6-AA$5)),AA$7-SQRT((1-NORMSDIST(AA$9*SQRT($C$11)*NORMSINV($B86)+SQRT(1-AA$9^2*$C$11)*NORMSINV(Z86)))*(AA$7-AA$5)*(AA$7-AA$6))))</f>
        <v>0.74464982459954</v>
      </c>
      <c r="AB86" s="2" t="n">
        <v>0.489048066</v>
      </c>
      <c r="AC86" s="2" t="n">
        <f aca="false">IF(AC$7=AC$5,AC$6,IF(NORMSDIST(AC$9*SQRT($C$11)*NORMSINV($B86)+SQRT(1-AC$9^2*$C$11)*NORMSINV(AB86))&lt;AC$8,AC$5+SQRT(NORMSDIST(AC$9*SQRT($C$11)*NORMSINV($B86)+SQRT(1-AC$9^2*$C$11)*NORMSINV(AB86))*(AC$7-AC$5)*(AC$6-AC$5)),AC$7-SQRT((1-NORMSDIST(AC$9*SQRT($C$11)*NORMSINV($B86)+SQRT(1-AC$9^2*$C$11)*NORMSINV(AB86)))*(AC$7-AC$5)*(AC$7-AC$6))))</f>
        <v>9.57989686812321</v>
      </c>
      <c r="AD86" s="2" t="n">
        <f aca="false">Entrées!$C$8*(1+E86)</f>
        <v>7422.87179343381</v>
      </c>
      <c r="AE86" s="2" t="n">
        <f aca="false">I86*Hypothèses!$J$24/12/Hypothèses!$J$19</f>
        <v>97.8670699055996</v>
      </c>
      <c r="AF86" s="2" t="n">
        <f aca="false">Entrées!$C$36*S86*1000</f>
        <v>183.983209489755</v>
      </c>
      <c r="AG86" s="2" t="n">
        <f aca="false">-AF86/W86</f>
        <v>-18.1650818235863</v>
      </c>
      <c r="AH86" s="2" t="n">
        <f aca="false">AD86+AE86+AG86</f>
        <v>7502.57378151582</v>
      </c>
      <c r="AI86" s="2" t="n">
        <f aca="false">Entrées!$C$16-M86+Hypothèses!$J$22*1000-AF86+Hypothèses!$J$23</f>
        <v>22678.060660794</v>
      </c>
      <c r="AJ86" s="2" t="n">
        <f aca="false">AI86/AH86</f>
        <v>3.02270411744116</v>
      </c>
      <c r="AK86" s="2" t="n">
        <f aca="false">AI86/(AH86+I86*(12-Hypothèses!$J$24)/12/Hypothèses!$J$19)</f>
        <v>2.99480013950152</v>
      </c>
      <c r="AL86" s="2" t="n">
        <f aca="false">(AD86+AG86+I86/Hypothèses!$J$19)*(1+G86)</f>
        <v>8025.96684587301</v>
      </c>
      <c r="AM86" s="2" t="n">
        <f aca="false">Entrées!$C$54*K86/Hypothèses!$J$19</f>
        <v>25.8247021688527</v>
      </c>
      <c r="AN86" s="2" t="n">
        <f aca="false">Y86*1000/AC86</f>
        <v>73.5818826251218</v>
      </c>
      <c r="AO86" s="2" t="n">
        <f aca="false">(Entrées!$C$36*(1-S86)+MAX(0,Entrées!$C$30-Entrées!$C$35-Entrées!$C$36)*U86)*1000</f>
        <v>1369.40563105266</v>
      </c>
      <c r="AP86" s="2" t="n">
        <f aca="false">-AO86/W86</f>
        <v>-135.204540711834</v>
      </c>
      <c r="AQ86" s="2" t="n">
        <f aca="false">AL86+AM86+AN86+AP86</f>
        <v>7990.16888995516</v>
      </c>
      <c r="AR86" s="2" t="n">
        <f aca="false">O86*AQ86-Hypothèses!$J$25/Hypothèses!$J$19</f>
        <v>1352.04252596252</v>
      </c>
      <c r="AS86" s="2" t="n">
        <f aca="false">Entrées!$C$79*(1+Q86)+Hypothèses!$J$20</f>
        <v>1464.74690586452</v>
      </c>
      <c r="AT86" s="2" t="n">
        <f aca="false">AI86-AR86+AS86+Y86*1000-AO86+Hypothèses!$J$23</f>
        <v>22126.2662565543</v>
      </c>
      <c r="AU86" s="2" t="n">
        <f aca="false">AT86/AQ86</f>
        <v>2.76918630398043</v>
      </c>
      <c r="AV86" s="2" t="n">
        <f aca="false">Hypothèses!$J$26*AQ86-AT86</f>
        <v>1844.24041331113</v>
      </c>
      <c r="AW86" s="2" t="n">
        <f aca="false">IF(AC86&gt;Hypothèses!$J$26,MAX(0,AV86)/(1-Hypothèses!$J$26/AC86),0)</f>
        <v>2685.09268665557</v>
      </c>
      <c r="AX86" s="2" t="n">
        <f aca="false">AQ86-Entrées!$C$17*1000</f>
        <v>-9.83111004484545</v>
      </c>
      <c r="AY86" s="2" t="n">
        <f aca="false">AI86+(Entrées!$C$244-Entrées!$C$13)</f>
        <v>28425.060660794</v>
      </c>
      <c r="AZ86" s="2" t="n">
        <f aca="false">AA86*AH86</f>
        <v>5586.79025045087</v>
      </c>
      <c r="BA86" s="2" t="n">
        <f aca="false">AZ86/AY86</f>
        <v>0.196544532204168</v>
      </c>
      <c r="BB86" s="2" t="n">
        <f aca="false">AZ86/(Entrées!$C$151/100)-AY86</f>
        <v>2612.66295282193</v>
      </c>
      <c r="BC86" s="2" t="n">
        <f aca="false">AT86+(Entrées!$C$244-Entrées!$C$13)</f>
        <v>27873.2662565543</v>
      </c>
      <c r="BD86" s="2" t="n">
        <f aca="false">AA86*AQ86</f>
        <v>5949.87786242581</v>
      </c>
      <c r="BE86" s="2" t="n">
        <f aca="false">BD86/BC86</f>
        <v>0.213461809881241</v>
      </c>
      <c r="BF86" s="2" t="n">
        <f aca="false">BD86/(Entrées!$C$151/100)-BC86</f>
        <v>5181.61075692238</v>
      </c>
      <c r="BG86" s="2" t="n">
        <f aca="false">MIN(AV86,BF86)</f>
        <v>1844.24041331113</v>
      </c>
      <c r="BH86" s="2" t="n">
        <f aca="false">IF(AC86&gt;Hypothèses!$J$26,MAX(0,BG86)/(1-Hypothèses!$J$26/AC86),0)</f>
        <v>2685.09268665557</v>
      </c>
    </row>
    <row r="87" customFormat="false" ht="15" hidden="false" customHeight="false" outlineLevel="0" collapsed="false">
      <c r="A87" s="2" t="n">
        <v>72</v>
      </c>
      <c r="B87" s="2" t="n">
        <v>0.073271201</v>
      </c>
      <c r="C87" s="2"/>
      <c r="D87" s="2" t="n">
        <v>0.408755411</v>
      </c>
      <c r="E87" s="2" t="n">
        <f aca="false">IF(E$7=E$5,E$6,IF(NORMSDIST(E$9*SQRT($C$11)*NORMSINV($B87)+SQRT(1-E$9^2*$C$11)*NORMSINV(D87))&lt;E$8,E$5+SQRT(NORMSDIST(E$9*SQRT($C$11)*NORMSINV($B87)+SQRT(1-E$9^2*$C$11)*NORMSINV(D87))*(E$7-E$5)*(E$6-E$5)),E$7-SQRT((1-NORMSDIST(E$9*SQRT($C$11)*NORMSINV($B87)+SQRT(1-E$9^2*$C$11)*NORMSINV(D87)))*(E$7-E$5)*(E$7-E$6))))</f>
        <v>0.0526108184869255</v>
      </c>
      <c r="F87" s="2" t="n">
        <v>0.652033505</v>
      </c>
      <c r="G87" s="2" t="n">
        <f aca="false">IF(G$7=G$5,G$6,IF(NORMSDIST(G$9*SQRT($C$11)*NORMSINV($B87)+SQRT(1-G$9^2*$C$11)*NORMSINV(F87))&lt;G$8,G$5+SQRT(NORMSDIST(G$9*SQRT($C$11)*NORMSINV($B87)+SQRT(1-G$9^2*$C$11)*NORMSINV(F87))*(G$7-G$5)*(G$6-G$5)),G$7-SQRT((1-NORMSDIST(G$9*SQRT($C$11)*NORMSINV($B87)+SQRT(1-G$9^2*$C$11)*NORMSINV(F87)))*(G$7-G$5)*(G$7-G$6))))</f>
        <v>0.0510045171818923</v>
      </c>
      <c r="H87" s="2" t="n">
        <v>0.720682943</v>
      </c>
      <c r="I87" s="2" t="n">
        <f aca="false">IF(I$7=I$5,I$6,IF(NORMSDIST(I$9*SQRT($C$11)*NORMSINV($B87)+SQRT(1-I$9^2*$C$11)*NORMSINV(H87))&lt;I$8,I$5+SQRT(NORMSDIST(I$9*SQRT($C$11)*NORMSINV($B87)+SQRT(1-I$9^2*$C$11)*NORMSINV(H87))*(I$7-I$5)*(I$6-I$5)),I$7-SQRT((1-NORMSDIST(I$9*SQRT($C$11)*NORMSINV($B87)+SQRT(1-I$9^2*$C$11)*NORMSINV(H87)))*(I$7-I$5)*(I$7-I$6))))</f>
        <v>196.022398884918</v>
      </c>
      <c r="J87" s="2" t="n">
        <v>0.527495071</v>
      </c>
      <c r="K87" s="2" t="n">
        <f aca="false">IF(K$7=K$5,K$6,IF(NORMSDIST(K$9*SQRT($C$11)*NORMSINV($B87)+SQRT(1-K$9^2*$C$11)*NORMSINV(J87))&lt;K$8,K$5+SQRT(NORMSDIST(K$9*SQRT($C$11)*NORMSINV($B87)+SQRT(1-K$9^2*$C$11)*NORMSINV(J87))*(K$7-K$5)*(K$6-K$5)),K$7-SQRT((1-NORMSDIST(K$9*SQRT($C$11)*NORMSINV($B87)+SQRT(1-K$9^2*$C$11)*NORMSINV(J87)))*(K$7-K$5)*(K$7-K$6))))</f>
        <v>0.155552590071854</v>
      </c>
      <c r="L87" s="2" t="n">
        <v>0.492570334</v>
      </c>
      <c r="M87" s="2" t="n">
        <f aca="false">IF(M$7=M$5,M$6,IF(NORMSDIST(M$9*SQRT($C$11)*NORMSINV($B87)+SQRT(1-M$9^2*$C$11)*NORMSINV(L87))&lt;M$8,M$5+SQRT(NORMSDIST(M$9*SQRT($C$11)*NORMSINV($B87)+SQRT(1-M$9^2*$C$11)*NORMSINV(L87))*(M$7-M$5)*(M$6-M$5)),M$7-SQRT((1-NORMSDIST(M$9*SQRT($C$11)*NORMSINV($B87)+SQRT(1-M$9^2*$C$11)*NORMSINV(L87)))*(M$7-M$5)*(M$7-M$6))))</f>
        <v>1470.36016706258</v>
      </c>
      <c r="N87" s="2" t="n">
        <v>0.848171154</v>
      </c>
      <c r="O87" s="2" t="n">
        <f aca="false">IF(O$7=O$5,O$6,IF(NORMSDIST(O$9*SQRT($C$11)*NORMSINV($B87)+SQRT(1-O$9^2*$C$11)*NORMSINV(N87))&lt;O$8,O$5+SQRT(NORMSDIST(O$9*SQRT($C$11)*NORMSINV($B87)+SQRT(1-O$9^2*$C$11)*NORMSINV(N87))*(O$7-O$5)*(O$6-O$5)),O$7-SQRT((1-NORMSDIST(O$9*SQRT($C$11)*NORMSINV($B87)+SQRT(1-O$9^2*$C$11)*NORMSINV(N87)))*(O$7-O$5)*(O$7-O$6))))</f>
        <v>0.165456852901113</v>
      </c>
      <c r="P87" s="2" t="n">
        <v>0.645525912</v>
      </c>
      <c r="Q87" s="2" t="n">
        <f aca="false">IF(Q$7=Q$5,Q$6,IF(NORMSDIST(Q$9*SQRT($C$11)*NORMSINV($B87)+SQRT(1-Q$9^2*$C$11)*NORMSINV(P87))&lt;Q$8,Q$5+SQRT(NORMSDIST(Q$9*SQRT($C$11)*NORMSINV($B87)+SQRT(1-Q$9^2*$C$11)*NORMSINV(P87))*(Q$7-Q$5)*(Q$6-Q$5)),Q$7-SQRT((1-NORMSDIST(Q$9*SQRT($C$11)*NORMSINV($B87)+SQRT(1-Q$9^2*$C$11)*NORMSINV(P87)))*(Q$7-Q$5)*(Q$7-Q$6))))</f>
        <v>0.0863203758690807</v>
      </c>
      <c r="R87" s="2" t="n">
        <v>0.709791554</v>
      </c>
      <c r="S87" s="2" t="n">
        <f aca="false">IF(S$7=S$5,S$6,IF(NORMSDIST(S$9*SQRT($C$11)*NORMSINV($B87)+SQRT(1-S$9^2*$C$11)*NORMSINV(R87))&lt;S$8,S$5+SQRT(NORMSDIST(S$9*SQRT($C$11)*NORMSINV($B87)+SQRT(1-S$9^2*$C$11)*NORMSINV(R87))*(S$7-S$5)*(S$6-S$5)),S$7-SQRT((1-NORMSDIST(S$9*SQRT($C$11)*NORMSINV($B87)+SQRT(1-S$9^2*$C$11)*NORMSINV(R87)))*(S$7-S$5)*(S$7-S$6))))</f>
        <v>0.394998568772615</v>
      </c>
      <c r="T87" s="2" t="n">
        <v>0.468024161</v>
      </c>
      <c r="U87" s="2" t="n">
        <f aca="false">IF(U$7=U$5,U$6,IF(NORMSDIST(U$9*SQRT($C$11)*NORMSINV($B87)+SQRT(1-U$9^2*$C$11)*NORMSINV(T87))&lt;U$8,U$5+SQRT(NORMSDIST(U$9*SQRT($C$11)*NORMSINV($B87)+SQRT(1-U$9^2*$C$11)*NORMSINV(T87))*(U$7-U$5)*(U$6-U$5)),U$7-SQRT((1-NORMSDIST(U$9*SQRT($C$11)*NORMSINV($B87)+SQRT(1-U$9^2*$C$11)*NORMSINV(T87)))*(U$7-U$5)*(U$7-U$6))))</f>
        <v>0.285874278528646</v>
      </c>
      <c r="V87" s="2" t="n">
        <v>0.36808785</v>
      </c>
      <c r="W87" s="2" t="n">
        <f aca="false">IF(W$7=W$5,W$6,IF(NORMSDIST(W$9*SQRT($C$11)*NORMSINV($B87)+SQRT(1-W$9^2*$C$11)*NORMSINV(V87))&lt;W$8,W$5+SQRT(NORMSDIST(W$9*SQRT($C$11)*NORMSINV($B87)+SQRT(1-W$9^2*$C$11)*NORMSINV(V87))*(W$7-W$5)*(W$6-W$5)),W$7-SQRT((1-NORMSDIST(W$9*SQRT($C$11)*NORMSINV($B87)+SQRT(1-W$9^2*$C$11)*NORMSINV(V87)))*(W$7-W$5)*(W$7-W$6))))</f>
        <v>8.97634839105513</v>
      </c>
      <c r="X87" s="2" t="n">
        <v>0.362163429</v>
      </c>
      <c r="Y87" s="2" t="n">
        <f aca="false">IF(Y$7=Y$5,Y$6,IF(NORMSDIST(Y$9*SQRT($C$11)*NORMSINV($B87)+SQRT(1-Y$9^2*$C$11)*NORMSINV(X87))&lt;Y$8,Y$5+SQRT(NORMSDIST(Y$9*SQRT($C$11)*NORMSINV($B87)+SQRT(1-Y$9^2*$C$11)*NORMSINV(X87))*(Y$7-Y$5)*(Y$6-Y$5)),Y$7-SQRT((1-NORMSDIST(Y$9*SQRT($C$11)*NORMSINV($B87)+SQRT(1-Y$9^2*$C$11)*NORMSINV(X87)))*(Y$7-Y$5)*(Y$7-Y$6))))</f>
        <v>0.425536971954259</v>
      </c>
      <c r="Z87" s="2" t="n">
        <v>0.331618574</v>
      </c>
      <c r="AA87" s="2" t="n">
        <f aca="false">IF(AA$7=AA$5,AA$6,IF(NORMSDIST(AA$9*SQRT($C$11)*NORMSINV($B87)+SQRT(1-AA$9^2*$C$11)*NORMSINV(Z87))&lt;AA$8,AA$5+SQRT(NORMSDIST(AA$9*SQRT($C$11)*NORMSINV($B87)+SQRT(1-AA$9^2*$C$11)*NORMSINV(Z87))*(AA$7-AA$5)*(AA$6-AA$5)),AA$7-SQRT((1-NORMSDIST(AA$9*SQRT($C$11)*NORMSINV($B87)+SQRT(1-AA$9^2*$C$11)*NORMSINV(Z87)))*(AA$7-AA$5)*(AA$7-AA$6))))</f>
        <v>0.7102934429195</v>
      </c>
      <c r="AB87" s="2" t="n">
        <v>0.038096307</v>
      </c>
      <c r="AC87" s="2" t="n">
        <f aca="false">IF(AC$7=AC$5,AC$6,IF(NORMSDIST(AC$9*SQRT($C$11)*NORMSINV($B87)+SQRT(1-AC$9^2*$C$11)*NORMSINV(AB87))&lt;AC$8,AC$5+SQRT(NORMSDIST(AC$9*SQRT($C$11)*NORMSINV($B87)+SQRT(1-AC$9^2*$C$11)*NORMSINV(AB87))*(AC$7-AC$5)*(AC$6-AC$5)),AC$7-SQRT((1-NORMSDIST(AC$9*SQRT($C$11)*NORMSINV($B87)+SQRT(1-AC$9^2*$C$11)*NORMSINV(AB87)))*(AC$7-AC$5)*(AC$7-AC$6))))</f>
        <v>7.70772049038808</v>
      </c>
      <c r="AD87" s="2" t="n">
        <f aca="false">Entrées!$C$8*(1+E87)</f>
        <v>7420.90627033282</v>
      </c>
      <c r="AE87" s="2" t="n">
        <f aca="false">I87*Hypothèses!$J$24/12/Hypothèses!$J$19</f>
        <v>97.2460846927132</v>
      </c>
      <c r="AF87" s="2" t="n">
        <f aca="false">Entrées!$C$36*S87*1000</f>
        <v>197.499284386308</v>
      </c>
      <c r="AG87" s="2" t="n">
        <f aca="false">-AF87/W87</f>
        <v>-22.0021857198763</v>
      </c>
      <c r="AH87" s="2" t="n">
        <f aca="false">AD87+AE87+AG87</f>
        <v>7496.15016930566</v>
      </c>
      <c r="AI87" s="2" t="n">
        <f aca="false">Entrées!$C$16-M87+Hypothèses!$J$22*1000-AF87+Hypothèses!$J$23</f>
        <v>22880.1405485511</v>
      </c>
      <c r="AJ87" s="2" t="n">
        <f aca="false">AI87/AH87</f>
        <v>3.05225216034732</v>
      </c>
      <c r="AK87" s="2" t="n">
        <f aca="false">AI87/(AH87+I87*(12-Hypothèses!$J$24)/12/Hypothèses!$J$19)</f>
        <v>3.02422878436175</v>
      </c>
      <c r="AL87" s="2" t="n">
        <f aca="false">(AD87+AG87+I87/Hypothèses!$J$19)*(1+G87)</f>
        <v>7951.49202819284</v>
      </c>
      <c r="AM87" s="2" t="n">
        <f aca="false">Entrées!$C$54*K87/Hypothèses!$J$19</f>
        <v>15.8747949399526</v>
      </c>
      <c r="AN87" s="2" t="n">
        <f aca="false">Y87*1000/AC87</f>
        <v>55.2091857099548</v>
      </c>
      <c r="AO87" s="2" t="n">
        <f aca="false">(Entrées!$C$36*(1-S87)+MAX(0,Entrées!$C$30-Entrées!$C$35-Entrées!$C$36)*U87)*1000</f>
        <v>702.724705553797</v>
      </c>
      <c r="AP87" s="2" t="n">
        <f aca="false">-AO87/W87</f>
        <v>-78.2862557177546</v>
      </c>
      <c r="AQ87" s="2" t="n">
        <f aca="false">AL87+AM87+AN87+AP87</f>
        <v>7944.28975312499</v>
      </c>
      <c r="AR87" s="2" t="n">
        <f aca="false">O87*AQ87-Hypothèses!$J$25/Hypothèses!$J$19</f>
        <v>1295.302018825</v>
      </c>
      <c r="AS87" s="2" t="n">
        <f aca="false">Entrées!$C$79*(1+Q87)+Hypothèses!$J$20</f>
        <v>1488.86609308012</v>
      </c>
      <c r="AT87" s="2" t="n">
        <f aca="false">AI87-AR87+AS87+Y87*1000-AO87+Hypothèses!$J$23</f>
        <v>22796.5168892067</v>
      </c>
      <c r="AU87" s="2" t="n">
        <f aca="false">AT87/AQ87</f>
        <v>2.86954751118429</v>
      </c>
      <c r="AV87" s="2" t="n">
        <f aca="false">Hypothèses!$J$26*AQ87-AT87</f>
        <v>1036.35237016827</v>
      </c>
      <c r="AW87" s="2" t="n">
        <f aca="false">IF(AC87&gt;Hypothèses!$J$26,MAX(0,AV87)/(1-Hypothèses!$J$26/AC87),0)</f>
        <v>1696.76904461882</v>
      </c>
      <c r="AX87" s="2" t="n">
        <f aca="false">AQ87-Entrées!$C$17*1000</f>
        <v>-55.7102468750109</v>
      </c>
      <c r="AY87" s="2" t="n">
        <f aca="false">AI87+(Entrées!$C$244-Entrées!$C$13)</f>
        <v>28627.1405485511</v>
      </c>
      <c r="AZ87" s="2" t="n">
        <f aca="false">AA87*AH87</f>
        <v>5324.46631239771</v>
      </c>
      <c r="BA87" s="2" t="n">
        <f aca="false">AZ87/AY87</f>
        <v>0.18599364834806</v>
      </c>
      <c r="BB87" s="2" t="n">
        <f aca="false">AZ87/(Entrées!$C$151/100)-AY87</f>
        <v>953.227853658395</v>
      </c>
      <c r="BC87" s="2" t="n">
        <f aca="false">AT87+(Entrées!$C$244-Entrées!$C$13)</f>
        <v>28543.5168892067</v>
      </c>
      <c r="BD87" s="2" t="n">
        <f aca="false">AA87*AQ87</f>
        <v>5642.77692029725</v>
      </c>
      <c r="BE87" s="2" t="n">
        <f aca="false">BD87/BC87</f>
        <v>0.197690317636752</v>
      </c>
      <c r="BF87" s="2" t="n">
        <f aca="false">BD87/(Entrées!$C$151/100)-BC87</f>
        <v>2805.24377911138</v>
      </c>
      <c r="BG87" s="2" t="n">
        <f aca="false">MIN(AV87,BF87)</f>
        <v>1036.35237016827</v>
      </c>
      <c r="BH87" s="2" t="n">
        <f aca="false">IF(AC87&gt;Hypothèses!$J$26,MAX(0,BG87)/(1-Hypothèses!$J$26/AC87),0)</f>
        <v>1696.76904461882</v>
      </c>
    </row>
    <row r="88" customFormat="false" ht="15" hidden="false" customHeight="false" outlineLevel="0" collapsed="false">
      <c r="A88" s="2" t="n">
        <v>73</v>
      </c>
      <c r="B88" s="2" t="n">
        <v>0.650005752</v>
      </c>
      <c r="C88" s="2"/>
      <c r="D88" s="2" t="n">
        <v>0.605636008</v>
      </c>
      <c r="E88" s="2" t="n">
        <f aca="false">IF(E$7=E$5,E$6,IF(NORMSDIST(E$9*SQRT($C$11)*NORMSINV($B88)+SQRT(1-E$9^2*$C$11)*NORMSINV(D88))&lt;E$8,E$5+SQRT(NORMSDIST(E$9*SQRT($C$11)*NORMSINV($B88)+SQRT(1-E$9^2*$C$11)*NORMSINV(D88))*(E$7-E$5)*(E$6-E$5)),E$7-SQRT((1-NORMSDIST(E$9*SQRT($C$11)*NORMSINV($B88)+SQRT(1-E$9^2*$C$11)*NORMSINV(D88)))*(E$7-E$5)*(E$7-E$6))))</f>
        <v>0.0559633111215904</v>
      </c>
      <c r="F88" s="2" t="n">
        <v>0.044063854</v>
      </c>
      <c r="G88" s="2" t="n">
        <f aca="false">IF(G$7=G$5,G$6,IF(NORMSDIST(G$9*SQRT($C$11)*NORMSINV($B88)+SQRT(1-G$9^2*$C$11)*NORMSINV(F88))&lt;G$8,G$5+SQRT(NORMSDIST(G$9*SQRT($C$11)*NORMSINV($B88)+SQRT(1-G$9^2*$C$11)*NORMSINV(F88))*(G$7-G$5)*(G$6-G$5)),G$7-SQRT((1-NORMSDIST(G$9*SQRT($C$11)*NORMSINV($B88)+SQRT(1-G$9^2*$C$11)*NORMSINV(F88)))*(G$7-G$5)*(G$7-G$6))))</f>
        <v>0.047956586509295</v>
      </c>
      <c r="H88" s="2" t="n">
        <v>0.834132367</v>
      </c>
      <c r="I88" s="2" t="n">
        <f aca="false">IF(I$7=I$5,I$6,IF(NORMSDIST(I$9*SQRT($C$11)*NORMSINV($B88)+SQRT(1-I$9^2*$C$11)*NORMSINV(H88))&lt;I$8,I$5+SQRT(NORMSDIST(I$9*SQRT($C$11)*NORMSINV($B88)+SQRT(1-I$9^2*$C$11)*NORMSINV(H88))*(I$7-I$5)*(I$6-I$5)),I$7-SQRT((1-NORMSDIST(I$9*SQRT($C$11)*NORMSINV($B88)+SQRT(1-I$9^2*$C$11)*NORMSINV(H88)))*(I$7-I$5)*(I$7-I$6))))</f>
        <v>208.695688887377</v>
      </c>
      <c r="J88" s="2" t="n">
        <v>0.212632255</v>
      </c>
      <c r="K88" s="2" t="n">
        <f aca="false">IF(K$7=K$5,K$6,IF(NORMSDIST(K$9*SQRT($C$11)*NORMSINV($B88)+SQRT(1-K$9^2*$C$11)*NORMSINV(J88))&lt;K$8,K$5+SQRT(NORMSDIST(K$9*SQRT($C$11)*NORMSINV($B88)+SQRT(1-K$9^2*$C$11)*NORMSINV(J88))*(K$7-K$5)*(K$6-K$5)),K$7-SQRT((1-NORMSDIST(K$9*SQRT($C$11)*NORMSINV($B88)+SQRT(1-K$9^2*$C$11)*NORMSINV(J88)))*(K$7-K$5)*(K$7-K$6))))</f>
        <v>0.210428555950573</v>
      </c>
      <c r="L88" s="2" t="n">
        <v>0.84820958</v>
      </c>
      <c r="M88" s="2" t="n">
        <f aca="false">IF(M$7=M$5,M$6,IF(NORMSDIST(M$9*SQRT($C$11)*NORMSINV($B88)+SQRT(1-M$9^2*$C$11)*NORMSINV(L88))&lt;M$8,M$5+SQRT(NORMSDIST(M$9*SQRT($C$11)*NORMSINV($B88)+SQRT(1-M$9^2*$C$11)*NORMSINV(L88))*(M$7-M$5)*(M$6-M$5)),M$7-SQRT((1-NORMSDIST(M$9*SQRT($C$11)*NORMSINV($B88)+SQRT(1-M$9^2*$C$11)*NORMSINV(L88)))*(M$7-M$5)*(M$7-M$6))))</f>
        <v>1682.97712832783</v>
      </c>
      <c r="N88" s="2" t="n">
        <v>0.859866364</v>
      </c>
      <c r="O88" s="2" t="n">
        <f aca="false">IF(O$7=O$5,O$6,IF(NORMSDIST(O$9*SQRT($C$11)*NORMSINV($B88)+SQRT(1-O$9^2*$C$11)*NORMSINV(N88))&lt;O$8,O$5+SQRT(NORMSDIST(O$9*SQRT($C$11)*NORMSINV($B88)+SQRT(1-O$9^2*$C$11)*NORMSINV(N88))*(O$7-O$5)*(O$6-O$5)),O$7-SQRT((1-NORMSDIST(O$9*SQRT($C$11)*NORMSINV($B88)+SQRT(1-O$9^2*$C$11)*NORMSINV(N88)))*(O$7-O$5)*(O$7-O$6))))</f>
        <v>0.177785738086336</v>
      </c>
      <c r="P88" s="2" t="n">
        <v>0.936454993</v>
      </c>
      <c r="Q88" s="2" t="n">
        <f aca="false">IF(Q$7=Q$5,Q$6,IF(NORMSDIST(Q$9*SQRT($C$11)*NORMSINV($B88)+SQRT(1-Q$9^2*$C$11)*NORMSINV(P88))&lt;Q$8,Q$5+SQRT(NORMSDIST(Q$9*SQRT($C$11)*NORMSINV($B88)+SQRT(1-Q$9^2*$C$11)*NORMSINV(P88))*(Q$7-Q$5)*(Q$6-Q$5)),Q$7-SQRT((1-NORMSDIST(Q$9*SQRT($C$11)*NORMSINV($B88)+SQRT(1-Q$9^2*$C$11)*NORMSINV(P88)))*(Q$7-Q$5)*(Q$7-Q$6))))</f>
        <v>0.105740125442347</v>
      </c>
      <c r="R88" s="2" t="n">
        <v>0.171623183</v>
      </c>
      <c r="S88" s="2" t="n">
        <f aca="false">IF(S$7=S$5,S$6,IF(NORMSDIST(S$9*SQRT($C$11)*NORMSINV($B88)+SQRT(1-S$9^2*$C$11)*NORMSINV(R88))&lt;S$8,S$5+SQRT(NORMSDIST(S$9*SQRT($C$11)*NORMSINV($B88)+SQRT(1-S$9^2*$C$11)*NORMSINV(R88))*(S$7-S$5)*(S$6-S$5)),S$7-SQRT((1-NORMSDIST(S$9*SQRT($C$11)*NORMSINV($B88)+SQRT(1-S$9^2*$C$11)*NORMSINV(R88)))*(S$7-S$5)*(S$7-S$6))))</f>
        <v>0.394914013894157</v>
      </c>
      <c r="T88" s="2" t="n">
        <v>0.539030277</v>
      </c>
      <c r="U88" s="2" t="n">
        <f aca="false">IF(U$7=U$5,U$6,IF(NORMSDIST(U$9*SQRT($C$11)*NORMSINV($B88)+SQRT(1-U$9^2*$C$11)*NORMSINV(T88))&lt;U$8,U$5+SQRT(NORMSDIST(U$9*SQRT($C$11)*NORMSINV($B88)+SQRT(1-U$9^2*$C$11)*NORMSINV(T88))*(U$7-U$5)*(U$6-U$5)),U$7-SQRT((1-NORMSDIST(U$9*SQRT($C$11)*NORMSINV($B88)+SQRT(1-U$9^2*$C$11)*NORMSINV(T88)))*(U$7-U$5)*(U$7-U$6))))</f>
        <v>0.56720011906956</v>
      </c>
      <c r="V88" s="2" t="n">
        <v>0.595674228</v>
      </c>
      <c r="W88" s="2" t="n">
        <f aca="false">IF(W$7=W$5,W$6,IF(NORMSDIST(W$9*SQRT($C$11)*NORMSINV($B88)+SQRT(1-W$9^2*$C$11)*NORMSINV(V88))&lt;W$8,W$5+SQRT(NORMSDIST(W$9*SQRT($C$11)*NORMSINV($B88)+SQRT(1-W$9^2*$C$11)*NORMSINV(V88))*(W$7-W$5)*(W$6-W$5)),W$7-SQRT((1-NORMSDIST(W$9*SQRT($C$11)*NORMSINV($B88)+SQRT(1-W$9^2*$C$11)*NORMSINV(V88)))*(W$7-W$5)*(W$7-W$6))))</f>
        <v>10.3675069941283</v>
      </c>
      <c r="X88" s="2" t="n">
        <v>0.747427662</v>
      </c>
      <c r="Y88" s="2" t="n">
        <f aca="false">IF(Y$7=Y$5,Y$6,IF(NORMSDIST(Y$9*SQRT($C$11)*NORMSINV($B88)+SQRT(1-Y$9^2*$C$11)*NORMSINV(X88))&lt;Y$8,Y$5+SQRT(NORMSDIST(Y$9*SQRT($C$11)*NORMSINV($B88)+SQRT(1-Y$9^2*$C$11)*NORMSINV(X88))*(Y$7-Y$5)*(Y$6-Y$5)),Y$7-SQRT((1-NORMSDIST(Y$9*SQRT($C$11)*NORMSINV($B88)+SQRT(1-Y$9^2*$C$11)*NORMSINV(X88)))*(Y$7-Y$5)*(Y$7-Y$6))))</f>
        <v>0.644632346716812</v>
      </c>
      <c r="Z88" s="2" t="n">
        <v>0.619871831</v>
      </c>
      <c r="AA88" s="2" t="n">
        <f aca="false">IF(AA$7=AA$5,AA$6,IF(NORMSDIST(AA$9*SQRT($C$11)*NORMSINV($B88)+SQRT(1-AA$9^2*$C$11)*NORMSINV(Z88))&lt;AA$8,AA$5+SQRT(NORMSDIST(AA$9*SQRT($C$11)*NORMSINV($B88)+SQRT(1-AA$9^2*$C$11)*NORMSINV(Z88))*(AA$7-AA$5)*(AA$6-AA$5)),AA$7-SQRT((1-NORMSDIST(AA$9*SQRT($C$11)*NORMSINV($B88)+SQRT(1-AA$9^2*$C$11)*NORMSINV(Z88)))*(AA$7-AA$5)*(AA$7-AA$6))))</f>
        <v>0.733729225847533</v>
      </c>
      <c r="AB88" s="2" t="n">
        <v>0.18815899</v>
      </c>
      <c r="AC88" s="2" t="n">
        <f aca="false">IF(AC$7=AC$5,AC$6,IF(NORMSDIST(AC$9*SQRT($C$11)*NORMSINV($B88)+SQRT(1-AC$9^2*$C$11)*NORMSINV(AB88))&lt;AC$8,AC$5+SQRT(NORMSDIST(AC$9*SQRT($C$11)*NORMSINV($B88)+SQRT(1-AC$9^2*$C$11)*NORMSINV(AB88))*(AC$7-AC$5)*(AC$6-AC$5)),AC$7-SQRT((1-NORMSDIST(AC$9*SQRT($C$11)*NORMSINV($B88)+SQRT(1-AC$9^2*$C$11)*NORMSINV(AB88)))*(AC$7-AC$5)*(AC$7-AC$6))))</f>
        <v>9.0870065852985</v>
      </c>
      <c r="AD88" s="2" t="n">
        <f aca="false">Entrées!$C$8*(1+E88)</f>
        <v>7444.54134340721</v>
      </c>
      <c r="AE88" s="2" t="n">
        <f aca="false">I88*Hypothèses!$J$24/12/Hypothèses!$J$19</f>
        <v>103.53326330049</v>
      </c>
      <c r="AF88" s="2" t="n">
        <f aca="false">Entrées!$C$36*S88*1000</f>
        <v>197.457006947079</v>
      </c>
      <c r="AG88" s="2" t="n">
        <f aca="false">-AF88/W88</f>
        <v>-19.0457558465029</v>
      </c>
      <c r="AH88" s="2" t="n">
        <f aca="false">AD88+AE88+AG88</f>
        <v>7529.0288508612</v>
      </c>
      <c r="AI88" s="2" t="n">
        <f aca="false">Entrées!$C$16-M88+Hypothèses!$J$22*1000-AF88+Hypothèses!$J$23</f>
        <v>22667.5658647251</v>
      </c>
      <c r="AJ88" s="2" t="n">
        <f aca="false">AI88/AH88</f>
        <v>3.01068920225114</v>
      </c>
      <c r="AK88" s="2" t="n">
        <f aca="false">AI88/(AH88+I88*(12-Hypothèses!$J$24)/12/Hypothèses!$J$19)</f>
        <v>2.98140496770084</v>
      </c>
      <c r="AL88" s="2" t="n">
        <f aca="false">(AD88+AG88+I88/Hypothèses!$J$19)*(1+G88)</f>
        <v>7967.59420656318</v>
      </c>
      <c r="AM88" s="2" t="n">
        <f aca="false">Entrées!$C$54*K88/Hypothèses!$J$19</f>
        <v>21.4751176671673</v>
      </c>
      <c r="AN88" s="2" t="n">
        <f aca="false">Y88*1000/AC88</f>
        <v>70.9400109558341</v>
      </c>
      <c r="AO88" s="2" t="n">
        <f aca="false">(Entrées!$C$36*(1-S88)+MAX(0,Entrées!$C$30-Entrées!$C$35-Entrées!$C$36)*U88)*1000</f>
        <v>1096.62315975031</v>
      </c>
      <c r="AP88" s="2" t="n">
        <f aca="false">-AO88/W88</f>
        <v>-105.775010363763</v>
      </c>
      <c r="AQ88" s="2" t="n">
        <f aca="false">AL88+AM88+AN88+AP88</f>
        <v>7954.23432482242</v>
      </c>
      <c r="AR88" s="2" t="n">
        <f aca="false">O88*AQ88-Hypothèses!$J$25/Hypothèses!$J$19</f>
        <v>1395.0142580886</v>
      </c>
      <c r="AS88" s="2" t="n">
        <f aca="false">Entrées!$C$79*(1+Q88)+Hypothèses!$J$20</f>
        <v>1510.20839786114</v>
      </c>
      <c r="AT88" s="2" t="n">
        <f aca="false">AI88-AR88+AS88+Y88*1000-AO88+Hypothèses!$J$23</f>
        <v>22330.7691914641</v>
      </c>
      <c r="AU88" s="2" t="n">
        <f aca="false">AT88/AQ88</f>
        <v>2.807406505712</v>
      </c>
      <c r="AV88" s="2" t="n">
        <f aca="false">Hypothèses!$J$26*AQ88-AT88</f>
        <v>1531.93378300312</v>
      </c>
      <c r="AW88" s="2" t="n">
        <f aca="false">IF(AC88&gt;Hypothèses!$J$26,MAX(0,AV88)/(1-Hypothèses!$J$26/AC88),0)</f>
        <v>2286.95208052053</v>
      </c>
      <c r="AX88" s="2" t="n">
        <f aca="false">AQ88-Entrées!$C$17*1000</f>
        <v>-45.7656751775812</v>
      </c>
      <c r="AY88" s="2" t="n">
        <f aca="false">AI88+(Entrées!$C$244-Entrées!$C$13)</f>
        <v>28414.5658647251</v>
      </c>
      <c r="AZ88" s="2" t="n">
        <f aca="false">AA88*AH88</f>
        <v>5524.26851012613</v>
      </c>
      <c r="BA88" s="2" t="n">
        <f aca="false">AZ88/AY88</f>
        <v>0.194416783857471</v>
      </c>
      <c r="BB88" s="2" t="n">
        <f aca="false">AZ88/(Entrées!$C$151/100)-AY88</f>
        <v>2275.81474708672</v>
      </c>
      <c r="BC88" s="2" t="n">
        <f aca="false">AT88+(Entrées!$C$244-Entrées!$C$13)</f>
        <v>28077.7691914641</v>
      </c>
      <c r="BD88" s="2" t="n">
        <f aca="false">AA88*AQ88</f>
        <v>5836.25419336182</v>
      </c>
      <c r="BE88" s="2" t="n">
        <f aca="false">BD88/BC88</f>
        <v>0.207860323716034</v>
      </c>
      <c r="BF88" s="2" t="n">
        <f aca="false">BD88/(Entrées!$C$151/100)-BC88</f>
        <v>4345.86521610155</v>
      </c>
      <c r="BG88" s="2" t="n">
        <f aca="false">MIN(AV88,BF88)</f>
        <v>1531.93378300312</v>
      </c>
      <c r="BH88" s="2" t="n">
        <f aca="false">IF(AC88&gt;Hypothèses!$J$26,MAX(0,BG88)/(1-Hypothèses!$J$26/AC88),0)</f>
        <v>2286.95208052053</v>
      </c>
    </row>
    <row r="89" customFormat="false" ht="15" hidden="false" customHeight="false" outlineLevel="0" collapsed="false">
      <c r="A89" s="2" t="n">
        <v>74</v>
      </c>
      <c r="B89" s="2" t="n">
        <v>0.027845105</v>
      </c>
      <c r="C89" s="2"/>
      <c r="D89" s="2" t="n">
        <v>0.849747316</v>
      </c>
      <c r="E89" s="2" t="n">
        <f aca="false">IF(E$7=E$5,E$6,IF(NORMSDIST(E$9*SQRT($C$11)*NORMSINV($B89)+SQRT(1-E$9^2*$C$11)*NORMSINV(D89))&lt;E$8,E$5+SQRT(NORMSDIST(E$9*SQRT($C$11)*NORMSINV($B89)+SQRT(1-E$9^2*$C$11)*NORMSINV(D89))*(E$7-E$5)*(E$6-E$5)),E$7-SQRT((1-NORMSDIST(E$9*SQRT($C$11)*NORMSINV($B89)+SQRT(1-E$9^2*$C$11)*NORMSINV(D89)))*(E$7-E$5)*(E$7-E$6))))</f>
        <v>0.0541325867110788</v>
      </c>
      <c r="F89" s="2" t="n">
        <v>0.575056739</v>
      </c>
      <c r="G89" s="2" t="n">
        <f aca="false">IF(G$7=G$5,G$6,IF(NORMSDIST(G$9*SQRT($C$11)*NORMSINV($B89)+SQRT(1-G$9^2*$C$11)*NORMSINV(F89))&lt;G$8,G$5+SQRT(NORMSDIST(G$9*SQRT($C$11)*NORMSINV($B89)+SQRT(1-G$9^2*$C$11)*NORMSINV(F89))*(G$7-G$5)*(G$6-G$5)),G$7-SQRT((1-NORMSDIST(G$9*SQRT($C$11)*NORMSINV($B89)+SQRT(1-G$9^2*$C$11)*NORMSINV(F89)))*(G$7-G$5)*(G$7-G$6))))</f>
        <v>0.0480431790407853</v>
      </c>
      <c r="H89" s="2" t="n">
        <v>0.327303009</v>
      </c>
      <c r="I89" s="2" t="n">
        <f aca="false">IF(I$7=I$5,I$6,IF(NORMSDIST(I$9*SQRT($C$11)*NORMSINV($B89)+SQRT(1-I$9^2*$C$11)*NORMSINV(H89))&lt;I$8,I$5+SQRT(NORMSDIST(I$9*SQRT($C$11)*NORMSINV($B89)+SQRT(1-I$9^2*$C$11)*NORMSINV(H89))*(I$7-I$5)*(I$6-I$5)),I$7-SQRT((1-NORMSDIST(I$9*SQRT($C$11)*NORMSINV($B89)+SQRT(1-I$9^2*$C$11)*NORMSINV(H89)))*(I$7-I$5)*(I$7-I$6))))</f>
        <v>186.914915507674</v>
      </c>
      <c r="J89" s="2" t="n">
        <v>0.011526222</v>
      </c>
      <c r="K89" s="2" t="n">
        <f aca="false">IF(K$7=K$5,K$6,IF(NORMSDIST(K$9*SQRT($C$11)*NORMSINV($B89)+SQRT(1-K$9^2*$C$11)*NORMSINV(J89))&lt;K$8,K$5+SQRT(NORMSDIST(K$9*SQRT($C$11)*NORMSINV($B89)+SQRT(1-K$9^2*$C$11)*NORMSINV(J89))*(K$7-K$5)*(K$6-K$5)),K$7-SQRT((1-NORMSDIST(K$9*SQRT($C$11)*NORMSINV($B89)+SQRT(1-K$9^2*$C$11)*NORMSINV(J89)))*(K$7-K$5)*(K$7-K$6))))</f>
        <v>0.0136317895551198</v>
      </c>
      <c r="L89" s="2" t="n">
        <v>0.549150498</v>
      </c>
      <c r="M89" s="2" t="n">
        <f aca="false">IF(M$7=M$5,M$6,IF(NORMSDIST(M$9*SQRT($C$11)*NORMSINV($B89)+SQRT(1-M$9^2*$C$11)*NORMSINV(L89))&lt;M$8,M$5+SQRT(NORMSDIST(M$9*SQRT($C$11)*NORMSINV($B89)+SQRT(1-M$9^2*$C$11)*NORMSINV(L89))*(M$7-M$5)*(M$6-M$5)),M$7-SQRT((1-NORMSDIST(M$9*SQRT($C$11)*NORMSINV($B89)+SQRT(1-M$9^2*$C$11)*NORMSINV(L89)))*(M$7-M$5)*(M$7-M$6))))</f>
        <v>1448.46404858755</v>
      </c>
      <c r="N89" s="2" t="n">
        <v>0.070387405</v>
      </c>
      <c r="O89" s="2" t="n">
        <f aca="false">IF(O$7=O$5,O$6,IF(NORMSDIST(O$9*SQRT($C$11)*NORMSINV($B89)+SQRT(1-O$9^2*$C$11)*NORMSINV(N89))&lt;O$8,O$5+SQRT(NORMSDIST(O$9*SQRT($C$11)*NORMSINV($B89)+SQRT(1-O$9^2*$C$11)*NORMSINV(N89))*(O$7-O$5)*(O$6-O$5)),O$7-SQRT((1-NORMSDIST(O$9*SQRT($C$11)*NORMSINV($B89)+SQRT(1-O$9^2*$C$11)*NORMSINV(N89)))*(O$7-O$5)*(O$7-O$6))))</f>
        <v>0.143664556429974</v>
      </c>
      <c r="P89" s="2" t="n">
        <v>0.870735206</v>
      </c>
      <c r="Q89" s="2" t="n">
        <f aca="false">IF(Q$7=Q$5,Q$6,IF(NORMSDIST(Q$9*SQRT($C$11)*NORMSINV($B89)+SQRT(1-Q$9^2*$C$11)*NORMSINV(P89))&lt;Q$8,Q$5+SQRT(NORMSDIST(Q$9*SQRT($C$11)*NORMSINV($B89)+SQRT(1-Q$9^2*$C$11)*NORMSINV(P89))*(Q$7-Q$5)*(Q$6-Q$5)),Q$7-SQRT((1-NORMSDIST(Q$9*SQRT($C$11)*NORMSINV($B89)+SQRT(1-Q$9^2*$C$11)*NORMSINV(P89)))*(Q$7-Q$5)*(Q$7-Q$6))))</f>
        <v>0.0996616780239863</v>
      </c>
      <c r="R89" s="2" t="n">
        <v>0.579969254</v>
      </c>
      <c r="S89" s="2" t="n">
        <f aca="false">IF(S$7=S$5,S$6,IF(NORMSDIST(S$9*SQRT($C$11)*NORMSINV($B89)+SQRT(1-S$9^2*$C$11)*NORMSINV(R89))&lt;S$8,S$5+SQRT(NORMSDIST(S$9*SQRT($C$11)*NORMSINV($B89)+SQRT(1-S$9^2*$C$11)*NORMSINV(R89))*(S$7-S$5)*(S$6-S$5)),S$7-SQRT((1-NORMSDIST(S$9*SQRT($C$11)*NORMSINV($B89)+SQRT(1-S$9^2*$C$11)*NORMSINV(R89)))*(S$7-S$5)*(S$7-S$6))))</f>
        <v>0.270163103464842</v>
      </c>
      <c r="T89" s="2" t="n">
        <v>0.114101667</v>
      </c>
      <c r="U89" s="2" t="n">
        <f aca="false">IF(U$7=U$5,U$6,IF(NORMSDIST(U$9*SQRT($C$11)*NORMSINV($B89)+SQRT(1-U$9^2*$C$11)*NORMSINV(T89))&lt;U$8,U$5+SQRT(NORMSDIST(U$9*SQRT($C$11)*NORMSINV($B89)+SQRT(1-U$9^2*$C$11)*NORMSINV(T89))*(U$7-U$5)*(U$6-U$5)),U$7-SQRT((1-NORMSDIST(U$9*SQRT($C$11)*NORMSINV($B89)+SQRT(1-U$9^2*$C$11)*NORMSINV(T89)))*(U$7-U$5)*(U$7-U$6))))</f>
        <v>0.0895376724536392</v>
      </c>
      <c r="V89" s="2" t="n">
        <v>0.22014576</v>
      </c>
      <c r="W89" s="2" t="n">
        <f aca="false">IF(W$7=W$5,W$6,IF(NORMSDIST(W$9*SQRT($C$11)*NORMSINV($B89)+SQRT(1-W$9^2*$C$11)*NORMSINV(V89))&lt;W$8,W$5+SQRT(NORMSDIST(W$9*SQRT($C$11)*NORMSINV($B89)+SQRT(1-W$9^2*$C$11)*NORMSINV(V89))*(W$7-W$5)*(W$6-W$5)),W$7-SQRT((1-NORMSDIST(W$9*SQRT($C$11)*NORMSINV($B89)+SQRT(1-W$9^2*$C$11)*NORMSINV(V89)))*(W$7-W$5)*(W$7-W$6))))</f>
        <v>8.5314784628692</v>
      </c>
      <c r="X89" s="2" t="n">
        <v>0.663803649</v>
      </c>
      <c r="Y89" s="2" t="n">
        <f aca="false">IF(Y$7=Y$5,Y$6,IF(NORMSDIST(Y$9*SQRT($C$11)*NORMSINV($B89)+SQRT(1-Y$9^2*$C$11)*NORMSINV(X89))&lt;Y$8,Y$5+SQRT(NORMSDIST(Y$9*SQRT($C$11)*NORMSINV($B89)+SQRT(1-Y$9^2*$C$11)*NORMSINV(X89))*(Y$7-Y$5)*(Y$6-Y$5)),Y$7-SQRT((1-NORMSDIST(Y$9*SQRT($C$11)*NORMSINV($B89)+SQRT(1-Y$9^2*$C$11)*NORMSINV(X89)))*(Y$7-Y$5)*(Y$7-Y$6))))</f>
        <v>0.590002225006037</v>
      </c>
      <c r="Z89" s="2" t="n">
        <v>0.220863663</v>
      </c>
      <c r="AA89" s="2" t="n">
        <f aca="false">IF(AA$7=AA$5,AA$6,IF(NORMSDIST(AA$9*SQRT($C$11)*NORMSINV($B89)+SQRT(1-AA$9^2*$C$11)*NORMSINV(Z89))&lt;AA$8,AA$5+SQRT(NORMSDIST(AA$9*SQRT($C$11)*NORMSINV($B89)+SQRT(1-AA$9^2*$C$11)*NORMSINV(Z89))*(AA$7-AA$5)*(AA$6-AA$5)),AA$7-SQRT((1-NORMSDIST(AA$9*SQRT($C$11)*NORMSINV($B89)+SQRT(1-AA$9^2*$C$11)*NORMSINV(Z89)))*(AA$7-AA$5)*(AA$7-AA$6))))</f>
        <v>0.704035378749101</v>
      </c>
      <c r="AB89" s="2" t="n">
        <v>0.312729237</v>
      </c>
      <c r="AC89" s="2" t="n">
        <f aca="false">IF(AC$7=AC$5,AC$6,IF(NORMSDIST(AC$9*SQRT($C$11)*NORMSINV($B89)+SQRT(1-AC$9^2*$C$11)*NORMSINV(AB89))&lt;AC$8,AC$5+SQRT(NORMSDIST(AC$9*SQRT($C$11)*NORMSINV($B89)+SQRT(1-AC$9^2*$C$11)*NORMSINV(AB89))*(AC$7-AC$5)*(AC$6-AC$5)),AC$7-SQRT((1-NORMSDIST(AC$9*SQRT($C$11)*NORMSINV($B89)+SQRT(1-AC$9^2*$C$11)*NORMSINV(AB89)))*(AC$7-AC$5)*(AC$7-AC$6))))</f>
        <v>8.09628085449293</v>
      </c>
      <c r="AD89" s="2" t="n">
        <f aca="false">Entrées!$C$8*(1+E89)</f>
        <v>7431.6347363131</v>
      </c>
      <c r="AE89" s="2" t="n">
        <f aca="false">I89*Hypothèses!$J$24/12/Hypothèses!$J$19</f>
        <v>92.7278913388971</v>
      </c>
      <c r="AF89" s="2" t="n">
        <f aca="false">Entrées!$C$36*S89*1000</f>
        <v>135.081551732421</v>
      </c>
      <c r="AG89" s="2" t="n">
        <f aca="false">-AF89/W89</f>
        <v>-15.8333109929685</v>
      </c>
      <c r="AH89" s="2" t="n">
        <f aca="false">AD89+AE89+AG89</f>
        <v>7508.52931665903</v>
      </c>
      <c r="AI89" s="2" t="n">
        <f aca="false">Entrées!$C$16-M89+Hypothèses!$J$22*1000-AF89+Hypothèses!$J$23</f>
        <v>22964.45439968</v>
      </c>
      <c r="AJ89" s="2" t="n">
        <f aca="false">AI89/AH89</f>
        <v>3.05844905589291</v>
      </c>
      <c r="AK89" s="2" t="n">
        <f aca="false">AI89/(AH89+I89*(12-Hypothèses!$J$24)/12/Hypothèses!$J$19)</f>
        <v>3.03170578521961</v>
      </c>
      <c r="AL89" s="2" t="n">
        <f aca="false">(AD89+AG89+I89/Hypothèses!$J$19)*(1+G89)</f>
        <v>7938.67924496982</v>
      </c>
      <c r="AM89" s="2" t="n">
        <f aca="false">Entrées!$C$54*K89/Hypothèses!$J$19</f>
        <v>1.39118136028562</v>
      </c>
      <c r="AN89" s="2" t="n">
        <f aca="false">Y89*1000/AC89</f>
        <v>72.8732408879594</v>
      </c>
      <c r="AO89" s="2" t="n">
        <f aca="false">(Entrées!$C$36*(1-S89)+MAX(0,Entrées!$C$30-Entrées!$C$35-Entrées!$C$36)*U89)*1000</f>
        <v>490.271189702674</v>
      </c>
      <c r="AP89" s="2" t="n">
        <f aca="false">-AO89/W89</f>
        <v>-57.4661463234582</v>
      </c>
      <c r="AQ89" s="2" t="n">
        <f aca="false">AL89+AM89+AN89+AP89</f>
        <v>7955.4775208946</v>
      </c>
      <c r="AR89" s="2" t="n">
        <f aca="false">O89*AQ89-Hypothèses!$J$25/Hypothèses!$J$19</f>
        <v>1123.78498696633</v>
      </c>
      <c r="AS89" s="2" t="n">
        <f aca="false">Entrées!$C$79*(1+Q89)+Hypothèses!$J$20</f>
        <v>1503.52818414836</v>
      </c>
      <c r="AT89" s="2" t="n">
        <f aca="false">AI89-AR89+AS89+Y89*1000-AO89+Hypothèses!$J$23</f>
        <v>23443.9286321654</v>
      </c>
      <c r="AU89" s="2" t="n">
        <f aca="false">AT89/AQ89</f>
        <v>2.94689144310838</v>
      </c>
      <c r="AV89" s="2" t="n">
        <f aca="false">Hypothèses!$J$26*AQ89-AT89</f>
        <v>422.503930518396</v>
      </c>
      <c r="AW89" s="2" t="n">
        <f aca="false">IF(AC89&gt;Hypothèses!$J$26,MAX(0,AV89)/(1-Hypothèses!$J$26/AC89),0)</f>
        <v>671.217026940023</v>
      </c>
      <c r="AX89" s="2" t="n">
        <f aca="false">AQ89-Entrées!$C$17*1000</f>
        <v>-44.5224791053961</v>
      </c>
      <c r="AY89" s="2" t="n">
        <f aca="false">AI89+(Entrées!$C$244-Entrées!$C$13)</f>
        <v>28711.45439968</v>
      </c>
      <c r="AZ89" s="2" t="n">
        <f aca="false">AA89*AH89</f>
        <v>5286.27028130277</v>
      </c>
      <c r="BA89" s="2" t="n">
        <f aca="false">AZ89/AY89</f>
        <v>0.184117119520134</v>
      </c>
      <c r="BB89" s="2" t="n">
        <f aca="false">AZ89/(Entrées!$C$151/100)-AY89</f>
        <v>656.713829779834</v>
      </c>
      <c r="BC89" s="2" t="n">
        <f aca="false">AT89+(Entrées!$C$244-Entrées!$C$13)</f>
        <v>29190.9286321654</v>
      </c>
      <c r="BD89" s="2" t="n">
        <f aca="false">AA89*AQ89</f>
        <v>5600.937629553</v>
      </c>
      <c r="BE89" s="2" t="n">
        <f aca="false">BD89/BC89</f>
        <v>0.191872540272026</v>
      </c>
      <c r="BF89" s="2" t="n">
        <f aca="false">BD89/(Entrées!$C$151/100)-BC89</f>
        <v>1925.39153201789</v>
      </c>
      <c r="BG89" s="2" t="n">
        <f aca="false">MIN(AV89,BF89)</f>
        <v>422.503930518396</v>
      </c>
      <c r="BH89" s="2" t="n">
        <f aca="false">IF(AC89&gt;Hypothèses!$J$26,MAX(0,BG89)/(1-Hypothèses!$J$26/AC89),0)</f>
        <v>671.217026940023</v>
      </c>
    </row>
    <row r="90" customFormat="false" ht="15" hidden="false" customHeight="false" outlineLevel="0" collapsed="false">
      <c r="A90" s="2" t="n">
        <v>75</v>
      </c>
      <c r="B90" s="2" t="n">
        <v>0.366272263</v>
      </c>
      <c r="C90" s="2"/>
      <c r="D90" s="2" t="n">
        <v>0.040050681</v>
      </c>
      <c r="E90" s="2" t="n">
        <f aca="false">IF(E$7=E$5,E$6,IF(NORMSDIST(E$9*SQRT($C$11)*NORMSINV($B90)+SQRT(1-E$9^2*$C$11)*NORMSINV(D90))&lt;E$8,E$5+SQRT(NORMSDIST(E$9*SQRT($C$11)*NORMSINV($B90)+SQRT(1-E$9^2*$C$11)*NORMSINV(D90))*(E$7-E$5)*(E$6-E$5)),E$7-SQRT((1-NORMSDIST(E$9*SQRT($C$11)*NORMSINV($B90)+SQRT(1-E$9^2*$C$11)*NORMSINV(D90)))*(E$7-E$5)*(E$7-E$6))))</f>
        <v>0.0517029888281491</v>
      </c>
      <c r="F90" s="2" t="n">
        <v>0.576133215</v>
      </c>
      <c r="G90" s="2" t="n">
        <f aca="false">IF(G$7=G$5,G$6,IF(NORMSDIST(G$9*SQRT($C$11)*NORMSINV($B90)+SQRT(1-G$9^2*$C$11)*NORMSINV(F90))&lt;G$8,G$5+SQRT(NORMSDIST(G$9*SQRT($C$11)*NORMSINV($B90)+SQRT(1-G$9^2*$C$11)*NORMSINV(F90))*(G$7-G$5)*(G$6-G$5)),G$7-SQRT((1-NORMSDIST(G$9*SQRT($C$11)*NORMSINV($B90)+SQRT(1-G$9^2*$C$11)*NORMSINV(F90)))*(G$7-G$5)*(G$7-G$6))))</f>
        <v>0.0545913730159142</v>
      </c>
      <c r="H90" s="2" t="n">
        <v>0.337438059</v>
      </c>
      <c r="I90" s="2" t="n">
        <f aca="false">IF(I$7=I$5,I$6,IF(NORMSDIST(I$9*SQRT($C$11)*NORMSINV($B90)+SQRT(1-I$9^2*$C$11)*NORMSINV(H90))&lt;I$8,I$5+SQRT(NORMSDIST(I$9*SQRT($C$11)*NORMSINV($B90)+SQRT(1-I$9^2*$C$11)*NORMSINV(H90))*(I$7-I$5)*(I$6-I$5)),I$7-SQRT((1-NORMSDIST(I$9*SQRT($C$11)*NORMSINV($B90)+SQRT(1-I$9^2*$C$11)*NORMSINV(H90)))*(I$7-I$5)*(I$7-I$6))))</f>
        <v>195.342369034026</v>
      </c>
      <c r="J90" s="2" t="n">
        <v>0.144539589</v>
      </c>
      <c r="K90" s="2" t="n">
        <f aca="false">IF(K$7=K$5,K$6,IF(NORMSDIST(K$9*SQRT($C$11)*NORMSINV($B90)+SQRT(1-K$9^2*$C$11)*NORMSINV(J90))&lt;K$8,K$5+SQRT(NORMSDIST(K$9*SQRT($C$11)*NORMSINV($B90)+SQRT(1-K$9^2*$C$11)*NORMSINV(J90))*(K$7-K$5)*(K$6-K$5)),K$7-SQRT((1-NORMSDIST(K$9*SQRT($C$11)*NORMSINV($B90)+SQRT(1-K$9^2*$C$11)*NORMSINV(J90)))*(K$7-K$5)*(K$7-K$6))))</f>
        <v>0.136836195923947</v>
      </c>
      <c r="L90" s="2" t="n">
        <v>0.905074539</v>
      </c>
      <c r="M90" s="2" t="n">
        <f aca="false">IF(M$7=M$5,M$6,IF(NORMSDIST(M$9*SQRT($C$11)*NORMSINV($B90)+SQRT(1-M$9^2*$C$11)*NORMSINV(L90))&lt;M$8,M$5+SQRT(NORMSDIST(M$9*SQRT($C$11)*NORMSINV($B90)+SQRT(1-M$9^2*$C$11)*NORMSINV(L90))*(M$7-M$5)*(M$6-M$5)),M$7-SQRT((1-NORMSDIST(M$9*SQRT($C$11)*NORMSINV($B90)+SQRT(1-M$9^2*$C$11)*NORMSINV(L90)))*(M$7-M$5)*(M$7-M$6))))</f>
        <v>1661.97669177969</v>
      </c>
      <c r="N90" s="2" t="n">
        <v>0.136685112</v>
      </c>
      <c r="O90" s="2" t="n">
        <f aca="false">IF(O$7=O$5,O$6,IF(NORMSDIST(O$9*SQRT($C$11)*NORMSINV($B90)+SQRT(1-O$9^2*$C$11)*NORMSINV(N90))&lt;O$8,O$5+SQRT(NORMSDIST(O$9*SQRT($C$11)*NORMSINV($B90)+SQRT(1-O$9^2*$C$11)*NORMSINV(N90))*(O$7-O$5)*(O$6-O$5)),O$7-SQRT((1-NORMSDIST(O$9*SQRT($C$11)*NORMSINV($B90)+SQRT(1-O$9^2*$C$11)*NORMSINV(N90)))*(O$7-O$5)*(O$7-O$6))))</f>
        <v>0.154350749251652</v>
      </c>
      <c r="P90" s="2" t="n">
        <v>0.894000281</v>
      </c>
      <c r="Q90" s="2" t="n">
        <f aca="false">IF(Q$7=Q$5,Q$6,IF(NORMSDIST(Q$9*SQRT($C$11)*NORMSINV($B90)+SQRT(1-Q$9^2*$C$11)*NORMSINV(P90))&lt;Q$8,Q$5+SQRT(NORMSDIST(Q$9*SQRT($C$11)*NORMSINV($B90)+SQRT(1-Q$9^2*$C$11)*NORMSINV(P90))*(Q$7-Q$5)*(Q$6-Q$5)),Q$7-SQRT((1-NORMSDIST(Q$9*SQRT($C$11)*NORMSINV($B90)+SQRT(1-Q$9^2*$C$11)*NORMSINV(P90)))*(Q$7-Q$5)*(Q$7-Q$6))))</f>
        <v>0.101582641318582</v>
      </c>
      <c r="R90" s="2" t="n">
        <v>0.302118278</v>
      </c>
      <c r="S90" s="2" t="n">
        <f aca="false">IF(S$7=S$5,S$6,IF(NORMSDIST(S$9*SQRT($C$11)*NORMSINV($B90)+SQRT(1-S$9^2*$C$11)*NORMSINV(R90))&lt;S$8,S$5+SQRT(NORMSDIST(S$9*SQRT($C$11)*NORMSINV($B90)+SQRT(1-S$9^2*$C$11)*NORMSINV(R90))*(S$7-S$5)*(S$6-S$5)),S$7-SQRT((1-NORMSDIST(S$9*SQRT($C$11)*NORMSINV($B90)+SQRT(1-S$9^2*$C$11)*NORMSINV(R90)))*(S$7-S$5)*(S$7-S$6))))</f>
        <v>0.36634103519081</v>
      </c>
      <c r="T90" s="2" t="n">
        <v>0.580362656</v>
      </c>
      <c r="U90" s="2" t="n">
        <f aca="false">IF(U$7=U$5,U$6,IF(NORMSDIST(U$9*SQRT($C$11)*NORMSINV($B90)+SQRT(1-U$9^2*$C$11)*NORMSINV(T90))&lt;U$8,U$5+SQRT(NORMSDIST(U$9*SQRT($C$11)*NORMSINV($B90)+SQRT(1-U$9^2*$C$11)*NORMSINV(T90))*(U$7-U$5)*(U$6-U$5)),U$7-SQRT((1-NORMSDIST(U$9*SQRT($C$11)*NORMSINV($B90)+SQRT(1-U$9^2*$C$11)*NORMSINV(T90)))*(U$7-U$5)*(U$7-U$6))))</f>
        <v>0.488089732022734</v>
      </c>
      <c r="V90" s="2" t="n">
        <v>0.924741347</v>
      </c>
      <c r="W90" s="2" t="n">
        <f aca="false">IF(W$7=W$5,W$6,IF(NORMSDIST(W$9*SQRT($C$11)*NORMSINV($B90)+SQRT(1-W$9^2*$C$11)*NORMSINV(V90))&lt;W$8,W$5+SQRT(NORMSDIST(W$9*SQRT($C$11)*NORMSINV($B90)+SQRT(1-W$9^2*$C$11)*NORMSINV(V90))*(W$7-W$5)*(W$6-W$5)),W$7-SQRT((1-NORMSDIST(W$9*SQRT($C$11)*NORMSINV($B90)+SQRT(1-W$9^2*$C$11)*NORMSINV(V90)))*(W$7-W$5)*(W$7-W$6))))</f>
        <v>10.7843534616634</v>
      </c>
      <c r="X90" s="2" t="n">
        <v>0.211187848</v>
      </c>
      <c r="Y90" s="2" t="n">
        <f aca="false">IF(Y$7=Y$5,Y$6,IF(NORMSDIST(Y$9*SQRT($C$11)*NORMSINV($B90)+SQRT(1-Y$9^2*$C$11)*NORMSINV(X90))&lt;Y$8,Y$5+SQRT(NORMSDIST(Y$9*SQRT($C$11)*NORMSINV($B90)+SQRT(1-Y$9^2*$C$11)*NORMSINV(X90))*(Y$7-Y$5)*(Y$6-Y$5)),Y$7-SQRT((1-NORMSDIST(Y$9*SQRT($C$11)*NORMSINV($B90)+SQRT(1-Y$9^2*$C$11)*NORMSINV(X90)))*(Y$7-Y$5)*(Y$7-Y$6))))</f>
        <v>0.324952187252217</v>
      </c>
      <c r="Z90" s="2" t="n">
        <v>0.824840876</v>
      </c>
      <c r="AA90" s="2" t="n">
        <f aca="false">IF(AA$7=AA$5,AA$6,IF(NORMSDIST(AA$9*SQRT($C$11)*NORMSINV($B90)+SQRT(1-AA$9^2*$C$11)*NORMSINV(Z90))&lt;AA$8,AA$5+SQRT(NORMSDIST(AA$9*SQRT($C$11)*NORMSINV($B90)+SQRT(1-AA$9^2*$C$11)*NORMSINV(Z90))*(AA$7-AA$5)*(AA$6-AA$5)),AA$7-SQRT((1-NORMSDIST(AA$9*SQRT($C$11)*NORMSINV($B90)+SQRT(1-AA$9^2*$C$11)*NORMSINV(Z90)))*(AA$7-AA$5)*(AA$7-AA$6))))</f>
        <v>0.734038650579824</v>
      </c>
      <c r="AB90" s="2" t="n">
        <v>0.40433536</v>
      </c>
      <c r="AC90" s="2" t="n">
        <f aca="false">IF(AC$7=AC$5,AC$6,IF(NORMSDIST(AC$9*SQRT($C$11)*NORMSINV($B90)+SQRT(1-AC$9^2*$C$11)*NORMSINV(AB90))&lt;AC$8,AC$5+SQRT(NORMSDIST(AC$9*SQRT($C$11)*NORMSINV($B90)+SQRT(1-AC$9^2*$C$11)*NORMSINV(AB90))*(AC$7-AC$5)*(AC$6-AC$5)),AC$7-SQRT((1-NORMSDIST(AC$9*SQRT($C$11)*NORMSINV($B90)+SQRT(1-AC$9^2*$C$11)*NORMSINV(AB90)))*(AC$7-AC$5)*(AC$7-AC$6))))</f>
        <v>9.12203240854647</v>
      </c>
      <c r="AD90" s="2" t="n">
        <f aca="false">Entrées!$C$8*(1+E90)</f>
        <v>7414.50607123845</v>
      </c>
      <c r="AE90" s="2" t="n">
        <f aca="false">I90*Hypothèses!$J$24/12/Hypothèses!$J$19</f>
        <v>96.908724060206</v>
      </c>
      <c r="AF90" s="2" t="n">
        <f aca="false">Entrées!$C$36*S90*1000</f>
        <v>183.170517595405</v>
      </c>
      <c r="AG90" s="2" t="n">
        <f aca="false">-AF90/W90</f>
        <v>-16.9848399578654</v>
      </c>
      <c r="AH90" s="2" t="n">
        <f aca="false">AD90+AE90+AG90</f>
        <v>7494.42995534079</v>
      </c>
      <c r="AI90" s="2" t="n">
        <f aca="false">Entrées!$C$16-M90+Hypothèses!$J$22*1000-AF90+Hypothèses!$J$23</f>
        <v>22702.8527906249</v>
      </c>
      <c r="AJ90" s="2" t="n">
        <f aca="false">AI90/AH90</f>
        <v>3.02929681455573</v>
      </c>
      <c r="AK90" s="2" t="n">
        <f aca="false">AI90/(AH90+I90*(12-Hypothèses!$J$24)/12/Hypothèses!$J$19)</f>
        <v>3.00157349590494</v>
      </c>
      <c r="AL90" s="2" t="n">
        <f aca="false">(AD90+AG90+I90/Hypothèses!$J$19)*(1+G90)</f>
        <v>7976.56053683435</v>
      </c>
      <c r="AM90" s="2" t="n">
        <f aca="false">Entrées!$C$54*K90/Hypothèses!$J$19</f>
        <v>13.9647083320979</v>
      </c>
      <c r="AN90" s="2" t="n">
        <f aca="false">Y90*1000/AC90</f>
        <v>35.6227836844526</v>
      </c>
      <c r="AO90" s="2" t="n">
        <f aca="false">(Entrées!$C$36*(1-S90)+MAX(0,Entrées!$C$30-Entrées!$C$35-Entrées!$C$36)*U90)*1000</f>
        <v>1000.15510723642</v>
      </c>
      <c r="AP90" s="2" t="n">
        <f aca="false">-AO90/W90</f>
        <v>-92.7413136811407</v>
      </c>
      <c r="AQ90" s="2" t="n">
        <f aca="false">AL90+AM90+AN90+AP90</f>
        <v>7933.40671516976</v>
      </c>
      <c r="AR90" s="2" t="n">
        <f aca="false">O90*AQ90-Hypothèses!$J$25/Hypothèses!$J$19</f>
        <v>1205.39210834291</v>
      </c>
      <c r="AS90" s="2" t="n">
        <f aca="false">Entrées!$C$79*(1+Q90)+Hypothèses!$J$20</f>
        <v>1505.63932280912</v>
      </c>
      <c r="AT90" s="2" t="n">
        <f aca="false">AI90-AR90+AS90+Y90*1000-AO90+Hypothèses!$J$23</f>
        <v>22327.8970851069</v>
      </c>
      <c r="AU90" s="2" t="n">
        <f aca="false">AT90/AQ90</f>
        <v>2.81441477624145</v>
      </c>
      <c r="AV90" s="2" t="n">
        <f aca="false">Hypothèses!$J$26*AQ90-AT90</f>
        <v>1472.32306040237</v>
      </c>
      <c r="AW90" s="2" t="n">
        <f aca="false">IF(AC90&gt;Hypothèses!$J$26,MAX(0,AV90)/(1-Hypothèses!$J$26/AC90),0)</f>
        <v>2193.81044995636</v>
      </c>
      <c r="AX90" s="2" t="n">
        <f aca="false">AQ90-Entrées!$C$17*1000</f>
        <v>-66.5932848302391</v>
      </c>
      <c r="AY90" s="2" t="n">
        <f aca="false">AI90+(Entrées!$C$244-Entrées!$C$13)</f>
        <v>28449.8527906249</v>
      </c>
      <c r="AZ90" s="2" t="n">
        <f aca="false">AA90*AH90</f>
        <v>5501.20125128337</v>
      </c>
      <c r="BA90" s="2" t="n">
        <f aca="false">AZ90/AY90</f>
        <v>0.193364840646774</v>
      </c>
      <c r="BB90" s="2" t="n">
        <f aca="false">AZ90/(Entrées!$C$151/100)-AY90</f>
        <v>2112.37638317158</v>
      </c>
      <c r="BC90" s="2" t="n">
        <f aca="false">AT90+(Entrées!$C$244-Entrées!$C$13)</f>
        <v>28074.8970851069</v>
      </c>
      <c r="BD90" s="2" t="n">
        <f aca="false">AA90*AQ90</f>
        <v>5823.42715970413</v>
      </c>
      <c r="BE90" s="2" t="n">
        <f aca="false">BD90/BC90</f>
        <v>0.207424701933932</v>
      </c>
      <c r="BF90" s="2" t="n">
        <f aca="false">BD90/(Entrées!$C$151/100)-BC90</f>
        <v>4277.47602436047</v>
      </c>
      <c r="BG90" s="2" t="n">
        <f aca="false">MIN(AV90,BF90)</f>
        <v>1472.32306040237</v>
      </c>
      <c r="BH90" s="2" t="n">
        <f aca="false">IF(AC90&gt;Hypothèses!$J$26,MAX(0,BG90)/(1-Hypothèses!$J$26/AC90),0)</f>
        <v>2193.81044995636</v>
      </c>
    </row>
    <row r="91" customFormat="false" ht="15" hidden="false" customHeight="false" outlineLevel="0" collapsed="false">
      <c r="A91" s="2" t="n">
        <v>76</v>
      </c>
      <c r="B91" s="2" t="n">
        <v>0.298912002</v>
      </c>
      <c r="C91" s="2"/>
      <c r="D91" s="2" t="n">
        <v>0.110817648</v>
      </c>
      <c r="E91" s="2" t="n">
        <f aca="false">IF(E$7=E$5,E$6,IF(NORMSDIST(E$9*SQRT($C$11)*NORMSINV($B91)+SQRT(1-E$9^2*$C$11)*NORMSINV(D91))&lt;E$8,E$5+SQRT(NORMSDIST(E$9*SQRT($C$11)*NORMSINV($B91)+SQRT(1-E$9^2*$C$11)*NORMSINV(D91))*(E$7-E$5)*(E$6-E$5)),E$7-SQRT((1-NORMSDIST(E$9*SQRT($C$11)*NORMSINV($B91)+SQRT(1-E$9^2*$C$11)*NORMSINV(D91)))*(E$7-E$5)*(E$7-E$6))))</f>
        <v>0.0522384340014799</v>
      </c>
      <c r="F91" s="2" t="n">
        <v>0.250250521</v>
      </c>
      <c r="G91" s="2" t="n">
        <f aca="false">IF(G$7=G$5,G$6,IF(NORMSDIST(G$9*SQRT($C$11)*NORMSINV($B91)+SQRT(1-G$9^2*$C$11)*NORMSINV(F91))&lt;G$8,G$5+SQRT(NORMSDIST(G$9*SQRT($C$11)*NORMSINV($B91)+SQRT(1-G$9^2*$C$11)*NORMSINV(F91))*(G$7-G$5)*(G$6-G$5)),G$7-SQRT((1-NORMSDIST(G$9*SQRT($C$11)*NORMSINV($B91)+SQRT(1-G$9^2*$C$11)*NORMSINV(F91)))*(G$7-G$5)*(G$7-G$6))))</f>
        <v>0.0493948533153296</v>
      </c>
      <c r="H91" s="2" t="n">
        <v>0.477599367</v>
      </c>
      <c r="I91" s="2" t="n">
        <f aca="false">IF(I$7=I$5,I$6,IF(NORMSDIST(I$9*SQRT($C$11)*NORMSINV($B91)+SQRT(1-I$9^2*$C$11)*NORMSINV(H91))&lt;I$8,I$5+SQRT(NORMSDIST(I$9*SQRT($C$11)*NORMSINV($B91)+SQRT(1-I$9^2*$C$11)*NORMSINV(H91))*(I$7-I$5)*(I$6-I$5)),I$7-SQRT((1-NORMSDIST(I$9*SQRT($C$11)*NORMSINV($B91)+SQRT(1-I$9^2*$C$11)*NORMSINV(H91)))*(I$7-I$5)*(I$7-I$6))))</f>
        <v>196.805436681634</v>
      </c>
      <c r="J91" s="2" t="n">
        <v>0.193851945</v>
      </c>
      <c r="K91" s="2" t="n">
        <f aca="false">IF(K$7=K$5,K$6,IF(NORMSDIST(K$9*SQRT($C$11)*NORMSINV($B91)+SQRT(1-K$9^2*$C$11)*NORMSINV(J91))&lt;K$8,K$5+SQRT(NORMSDIST(K$9*SQRT($C$11)*NORMSINV($B91)+SQRT(1-K$9^2*$C$11)*NORMSINV(J91))*(K$7-K$5)*(K$6-K$5)),K$7-SQRT((1-NORMSDIST(K$9*SQRT($C$11)*NORMSINV($B91)+SQRT(1-K$9^2*$C$11)*NORMSINV(J91)))*(K$7-K$5)*(K$7-K$6))))</f>
        <v>0.140532866898441</v>
      </c>
      <c r="L91" s="2" t="n">
        <v>0.801706668</v>
      </c>
      <c r="M91" s="2" t="n">
        <f aca="false">IF(M$7=M$5,M$6,IF(NORMSDIST(M$9*SQRT($C$11)*NORMSINV($B91)+SQRT(1-M$9^2*$C$11)*NORMSINV(L91))&lt;M$8,M$5+SQRT(NORMSDIST(M$9*SQRT($C$11)*NORMSINV($B91)+SQRT(1-M$9^2*$C$11)*NORMSINV(L91))*(M$7-M$5)*(M$6-M$5)),M$7-SQRT((1-NORMSDIST(M$9*SQRT($C$11)*NORMSINV($B91)+SQRT(1-M$9^2*$C$11)*NORMSINV(L91)))*(M$7-M$5)*(M$7-M$6))))</f>
        <v>1619.07221826473</v>
      </c>
      <c r="N91" s="2" t="n">
        <v>0.427758097</v>
      </c>
      <c r="O91" s="2" t="n">
        <f aca="false">IF(O$7=O$5,O$6,IF(NORMSDIST(O$9*SQRT($C$11)*NORMSINV($B91)+SQRT(1-O$9^2*$C$11)*NORMSINV(N91))&lt;O$8,O$5+SQRT(NORMSDIST(O$9*SQRT($C$11)*NORMSINV($B91)+SQRT(1-O$9^2*$C$11)*NORMSINV(N91))*(O$7-O$5)*(O$6-O$5)),O$7-SQRT((1-NORMSDIST(O$9*SQRT($C$11)*NORMSINV($B91)+SQRT(1-O$9^2*$C$11)*NORMSINV(N91)))*(O$7-O$5)*(O$7-O$6))))</f>
        <v>0.161343947156375</v>
      </c>
      <c r="P91" s="2" t="n">
        <v>0.920088597</v>
      </c>
      <c r="Q91" s="2" t="n">
        <f aca="false">IF(Q$7=Q$5,Q$6,IF(NORMSDIST(Q$9*SQRT($C$11)*NORMSINV($B91)+SQRT(1-Q$9^2*$C$11)*NORMSINV(P91))&lt;Q$8,Q$5+SQRT(NORMSDIST(Q$9*SQRT($C$11)*NORMSINV($B91)+SQRT(1-Q$9^2*$C$11)*NORMSINV(P91))*(Q$7-Q$5)*(Q$6-Q$5)),Q$7-SQRT((1-NORMSDIST(Q$9*SQRT($C$11)*NORMSINV($B91)+SQRT(1-Q$9^2*$C$11)*NORMSINV(P91)))*(Q$7-Q$5)*(Q$7-Q$6))))</f>
        <v>0.104008862154306</v>
      </c>
      <c r="R91" s="2" t="n">
        <v>0.130009886</v>
      </c>
      <c r="S91" s="2" t="n">
        <f aca="false">IF(S$7=S$5,S$6,IF(NORMSDIST(S$9*SQRT($C$11)*NORMSINV($B91)+SQRT(1-S$9^2*$C$11)*NORMSINV(R91))&lt;S$8,S$5+SQRT(NORMSDIST(S$9*SQRT($C$11)*NORMSINV($B91)+SQRT(1-S$9^2*$C$11)*NORMSINV(R91))*(S$7-S$5)*(S$6-S$5)),S$7-SQRT((1-NORMSDIST(S$9*SQRT($C$11)*NORMSINV($B91)+SQRT(1-S$9^2*$C$11)*NORMSINV(R91)))*(S$7-S$5)*(S$7-S$6))))</f>
        <v>0.23863028470372</v>
      </c>
      <c r="T91" s="2" t="n">
        <v>0.68394219</v>
      </c>
      <c r="U91" s="2" t="n">
        <f aca="false">IF(U$7=U$5,U$6,IF(NORMSDIST(U$9*SQRT($C$11)*NORMSINV($B91)+SQRT(1-U$9^2*$C$11)*NORMSINV(T91))&lt;U$8,U$5+SQRT(NORMSDIST(U$9*SQRT($C$11)*NORMSINV($B91)+SQRT(1-U$9^2*$C$11)*NORMSINV(T91))*(U$7-U$5)*(U$6-U$5)),U$7-SQRT((1-NORMSDIST(U$9*SQRT($C$11)*NORMSINV($B91)+SQRT(1-U$9^2*$C$11)*NORMSINV(T91)))*(U$7-U$5)*(U$7-U$6))))</f>
        <v>0.507474157993966</v>
      </c>
      <c r="V91" s="2" t="n">
        <v>0.529618079</v>
      </c>
      <c r="W91" s="2" t="n">
        <f aca="false">IF(W$7=W$5,W$6,IF(NORMSDIST(W$9*SQRT($C$11)*NORMSINV($B91)+SQRT(1-W$9^2*$C$11)*NORMSINV(V91))&lt;W$8,W$5+SQRT(NORMSDIST(W$9*SQRT($C$11)*NORMSINV($B91)+SQRT(1-W$9^2*$C$11)*NORMSINV(V91))*(W$7-W$5)*(W$6-W$5)),W$7-SQRT((1-NORMSDIST(W$9*SQRT($C$11)*NORMSINV($B91)+SQRT(1-W$9^2*$C$11)*NORMSINV(V91)))*(W$7-W$5)*(W$7-W$6))))</f>
        <v>9.76916499911246</v>
      </c>
      <c r="X91" s="2" t="n">
        <v>0.680266714</v>
      </c>
      <c r="Y91" s="2" t="n">
        <f aca="false">IF(Y$7=Y$5,Y$6,IF(NORMSDIST(Y$9*SQRT($C$11)*NORMSINV($B91)+SQRT(1-Y$9^2*$C$11)*NORMSINV(X91))&lt;Y$8,Y$5+SQRT(NORMSDIST(Y$9*SQRT($C$11)*NORMSINV($B91)+SQRT(1-Y$9^2*$C$11)*NORMSINV(X91))*(Y$7-Y$5)*(Y$6-Y$5)),Y$7-SQRT((1-NORMSDIST(Y$9*SQRT($C$11)*NORMSINV($B91)+SQRT(1-Y$9^2*$C$11)*NORMSINV(X91)))*(Y$7-Y$5)*(Y$7-Y$6))))</f>
        <v>0.600166730999033</v>
      </c>
      <c r="Z91" s="2" t="n">
        <v>0.458097383</v>
      </c>
      <c r="AA91" s="2" t="n">
        <f aca="false">IF(AA$7=AA$5,AA$6,IF(NORMSDIST(AA$9*SQRT($C$11)*NORMSINV($B91)+SQRT(1-AA$9^2*$C$11)*NORMSINV(Z91))&lt;AA$8,AA$5+SQRT(NORMSDIST(AA$9*SQRT($C$11)*NORMSINV($B91)+SQRT(1-AA$9^2*$C$11)*NORMSINV(Z91))*(AA$7-AA$5)*(AA$6-AA$5)),AA$7-SQRT((1-NORMSDIST(AA$9*SQRT($C$11)*NORMSINV($B91)+SQRT(1-AA$9^2*$C$11)*NORMSINV(Z91)))*(AA$7-AA$5)*(AA$7-AA$6))))</f>
        <v>0.722271750283137</v>
      </c>
      <c r="AB91" s="2" t="n">
        <v>0.695766499</v>
      </c>
      <c r="AC91" s="2" t="n">
        <f aca="false">IF(AC$7=AC$5,AC$6,IF(NORMSDIST(AC$9*SQRT($C$11)*NORMSINV($B91)+SQRT(1-AC$9^2*$C$11)*NORMSINV(AB91))&lt;AC$8,AC$5+SQRT(NORMSDIST(AC$9*SQRT($C$11)*NORMSINV($B91)+SQRT(1-AC$9^2*$C$11)*NORMSINV(AB91))*(AC$7-AC$5)*(AC$6-AC$5)),AC$7-SQRT((1-NORMSDIST(AC$9*SQRT($C$11)*NORMSINV($B91)+SQRT(1-AC$9^2*$C$11)*NORMSINV(AB91)))*(AC$7-AC$5)*(AC$7-AC$6))))</f>
        <v>9.53015184903644</v>
      </c>
      <c r="AD91" s="2" t="n">
        <f aca="false">Entrées!$C$8*(1+E91)</f>
        <v>7418.28095971043</v>
      </c>
      <c r="AE91" s="2" t="n">
        <f aca="false">I91*Hypothèses!$J$24/12/Hypothèses!$J$19</f>
        <v>97.6345472374538</v>
      </c>
      <c r="AF91" s="2" t="n">
        <f aca="false">Entrées!$C$36*S91*1000</f>
        <v>119.31514235186</v>
      </c>
      <c r="AG91" s="2" t="n">
        <f aca="false">-AF91/W91</f>
        <v>-12.2134432536148</v>
      </c>
      <c r="AH91" s="2" t="n">
        <f aca="false">AD91+AE91+AG91</f>
        <v>7503.70206369427</v>
      </c>
      <c r="AI91" s="2" t="n">
        <f aca="false">Entrées!$C$16-M91+Hypothèses!$J$22*1000-AF91+Hypothèses!$J$23</f>
        <v>22809.6126393834</v>
      </c>
      <c r="AJ91" s="2" t="n">
        <f aca="false">AI91/AH91</f>
        <v>3.03978122342369</v>
      </c>
      <c r="AK91" s="2" t="n">
        <f aca="false">AI91/(AH91+I91*(12-Hypothèses!$J$24)/12/Hypothèses!$J$19)</f>
        <v>3.01178982724716</v>
      </c>
      <c r="AL91" s="2" t="n">
        <f aca="false">(AD91+AG91+I91/Hypothèses!$J$19)*(1+G91)</f>
        <v>7947.53003457864</v>
      </c>
      <c r="AM91" s="2" t="n">
        <f aca="false">Entrées!$C$54*K91/Hypothèses!$J$19</f>
        <v>14.3419691263635</v>
      </c>
      <c r="AN91" s="2" t="n">
        <f aca="false">Y91*1000/AC91</f>
        <v>62.9755685435079</v>
      </c>
      <c r="AO91" s="2" t="n">
        <f aca="false">(Entrées!$C$36*(1-S91)+MAX(0,Entrées!$C$30-Entrées!$C$35-Entrées!$C$36)*U91)*1000</f>
        <v>1091.14867883969</v>
      </c>
      <c r="AP91" s="2" t="n">
        <f aca="false">-AO91/W91</f>
        <v>-111.69313640816</v>
      </c>
      <c r="AQ91" s="2" t="n">
        <f aca="false">AL91+AM91+AN91+AP91</f>
        <v>7913.15443584035</v>
      </c>
      <c r="AR91" s="2" t="n">
        <f aca="false">O91*AQ91-Hypothèses!$J$25/Hypothèses!$J$19</f>
        <v>1257.60440887483</v>
      </c>
      <c r="AS91" s="2" t="n">
        <f aca="false">Entrées!$C$79*(1+Q91)+Hypothèses!$J$20</f>
        <v>1508.30573950758</v>
      </c>
      <c r="AT91" s="2" t="n">
        <f aca="false">AI91-AR91+AS91+Y91*1000-AO91+Hypothèses!$J$23</f>
        <v>22569.3320221755</v>
      </c>
      <c r="AU91" s="2" t="n">
        <f aca="false">AT91/AQ91</f>
        <v>2.85212833961059</v>
      </c>
      <c r="AV91" s="2" t="n">
        <f aca="false">Hypothèses!$J$26*AQ91-AT91</f>
        <v>1170.13128534555</v>
      </c>
      <c r="AW91" s="2" t="n">
        <f aca="false">IF(AC91&gt;Hypothèses!$J$26,MAX(0,AV91)/(1-Hypothèses!$J$26/AC91),0)</f>
        <v>1707.69824200898</v>
      </c>
      <c r="AX91" s="2" t="n">
        <f aca="false">AQ91-Entrées!$C$17*1000</f>
        <v>-86.8455641596493</v>
      </c>
      <c r="AY91" s="2" t="n">
        <f aca="false">AI91+(Entrées!$C$244-Entrées!$C$13)</f>
        <v>28556.6126393834</v>
      </c>
      <c r="AZ91" s="2" t="n">
        <f aca="false">AA91*AH91</f>
        <v>5419.71202314765</v>
      </c>
      <c r="BA91" s="2" t="n">
        <f aca="false">AZ91/AY91</f>
        <v>0.189788336998806</v>
      </c>
      <c r="BB91" s="2" t="n">
        <f aca="false">AZ91/(Entrées!$C$151/100)-AY91</f>
        <v>1552.89860032575</v>
      </c>
      <c r="BC91" s="2" t="n">
        <f aca="false">AT91+(Entrées!$C$244-Entrées!$C$13)</f>
        <v>28316.3320221755</v>
      </c>
      <c r="BD91" s="2" t="n">
        <f aca="false">AA91*AQ91</f>
        <v>5715.44790463518</v>
      </c>
      <c r="BE91" s="2" t="n">
        <f aca="false">BD91/BC91</f>
        <v>0.201842805775805</v>
      </c>
      <c r="BF91" s="2" t="n">
        <f aca="false">BD91/(Entrées!$C$151/100)-BC91</f>
        <v>3436.15633690882</v>
      </c>
      <c r="BG91" s="2" t="n">
        <f aca="false">MIN(AV91,BF91)</f>
        <v>1170.13128534555</v>
      </c>
      <c r="BH91" s="2" t="n">
        <f aca="false">IF(AC91&gt;Hypothèses!$J$26,MAX(0,BG91)/(1-Hypothèses!$J$26/AC91),0)</f>
        <v>1707.69824200898</v>
      </c>
    </row>
    <row r="92" customFormat="false" ht="15" hidden="false" customHeight="false" outlineLevel="0" collapsed="false">
      <c r="A92" s="2" t="n">
        <v>77</v>
      </c>
      <c r="B92" s="2" t="n">
        <v>0.637786107</v>
      </c>
      <c r="C92" s="2"/>
      <c r="D92" s="2" t="n">
        <v>0.469342214</v>
      </c>
      <c r="E92" s="2" t="n">
        <f aca="false">IF(E$7=E$5,E$6,IF(NORMSDIST(E$9*SQRT($C$11)*NORMSINV($B92)+SQRT(1-E$9^2*$C$11)*NORMSINV(D92))&lt;E$8,E$5+SQRT(NORMSDIST(E$9*SQRT($C$11)*NORMSINV($B92)+SQRT(1-E$9^2*$C$11)*NORMSINV(D92))*(E$7-E$5)*(E$6-E$5)),E$7-SQRT((1-NORMSDIST(E$9*SQRT($C$11)*NORMSINV($B92)+SQRT(1-E$9^2*$C$11)*NORMSINV(D92)))*(E$7-E$5)*(E$7-E$6))))</f>
        <v>0.0553357352760151</v>
      </c>
      <c r="F92" s="2" t="n">
        <v>0.603693954</v>
      </c>
      <c r="G92" s="2" t="n">
        <f aca="false">IF(G$7=G$5,G$6,IF(NORMSDIST(G$9*SQRT($C$11)*NORMSINV($B92)+SQRT(1-G$9^2*$C$11)*NORMSINV(F92))&lt;G$8,G$5+SQRT(NORMSDIST(G$9*SQRT($C$11)*NORMSINV($B92)+SQRT(1-G$9^2*$C$11)*NORMSINV(F92))*(G$7-G$5)*(G$6-G$5)),G$7-SQRT((1-NORMSDIST(G$9*SQRT($C$11)*NORMSINV($B92)+SQRT(1-G$9^2*$C$11)*NORMSINV(F92)))*(G$7-G$5)*(G$7-G$6))))</f>
        <v>0.0577251731323704</v>
      </c>
      <c r="H92" s="2" t="n">
        <v>0.199683226</v>
      </c>
      <c r="I92" s="2" t="n">
        <f aca="false">IF(I$7=I$5,I$6,IF(NORMSDIST(I$9*SQRT($C$11)*NORMSINV($B92)+SQRT(1-I$9^2*$C$11)*NORMSINV(H92))&lt;I$8,I$5+SQRT(NORMSDIST(I$9*SQRT($C$11)*NORMSINV($B92)+SQRT(1-I$9^2*$C$11)*NORMSINV(H92))*(I$7-I$5)*(I$6-I$5)),I$7-SQRT((1-NORMSDIST(I$9*SQRT($C$11)*NORMSINV($B92)+SQRT(1-I$9^2*$C$11)*NORMSINV(H92)))*(I$7-I$5)*(I$7-I$6))))</f>
        <v>196.337982310154</v>
      </c>
      <c r="J92" s="2" t="n">
        <v>0.625178382</v>
      </c>
      <c r="K92" s="2" t="n">
        <f aca="false">IF(K$7=K$5,K$6,IF(NORMSDIST(K$9*SQRT($C$11)*NORMSINV($B92)+SQRT(1-K$9^2*$C$11)*NORMSINV(J92))&lt;K$8,K$5+SQRT(NORMSDIST(K$9*SQRT($C$11)*NORMSINV($B92)+SQRT(1-K$9^2*$C$11)*NORMSINV(J92))*(K$7-K$5)*(K$6-K$5)),K$7-SQRT((1-NORMSDIST(K$9*SQRT($C$11)*NORMSINV($B92)+SQRT(1-K$9^2*$C$11)*NORMSINV(J92)))*(K$7-K$5)*(K$7-K$6))))</f>
        <v>0.300274178579651</v>
      </c>
      <c r="L92" s="2" t="n">
        <v>0.023935206</v>
      </c>
      <c r="M92" s="2" t="n">
        <f aca="false">IF(M$7=M$5,M$6,IF(NORMSDIST(M$9*SQRT($C$11)*NORMSINV($B92)+SQRT(1-M$9^2*$C$11)*NORMSINV(L92))&lt;M$8,M$5+SQRT(NORMSDIST(M$9*SQRT($C$11)*NORMSINV($B92)+SQRT(1-M$9^2*$C$11)*NORMSINV(L92))*(M$7-M$5)*(M$6-M$5)),M$7-SQRT((1-NORMSDIST(M$9*SQRT($C$11)*NORMSINV($B92)+SQRT(1-M$9^2*$C$11)*NORMSINV(L92)))*(M$7-M$5)*(M$7-M$6))))</f>
        <v>1426.29590036005</v>
      </c>
      <c r="N92" s="2" t="n">
        <v>0.674735554</v>
      </c>
      <c r="O92" s="2" t="n">
        <f aca="false">IF(O$7=O$5,O$6,IF(NORMSDIST(O$9*SQRT($C$11)*NORMSINV($B92)+SQRT(1-O$9^2*$C$11)*NORMSINV(N92))&lt;O$8,O$5+SQRT(NORMSDIST(O$9*SQRT($C$11)*NORMSINV($B92)+SQRT(1-O$9^2*$C$11)*NORMSINV(N92))*(O$7-O$5)*(O$6-O$5)),O$7-SQRT((1-NORMSDIST(O$9*SQRT($C$11)*NORMSINV($B92)+SQRT(1-O$9^2*$C$11)*NORMSINV(N92)))*(O$7-O$5)*(O$7-O$6))))</f>
        <v>0.172637078762303</v>
      </c>
      <c r="P92" s="2" t="n">
        <v>0.877146209</v>
      </c>
      <c r="Q92" s="2" t="n">
        <f aca="false">IF(Q$7=Q$5,Q$6,IF(NORMSDIST(Q$9*SQRT($C$11)*NORMSINV($B92)+SQRT(1-Q$9^2*$C$11)*NORMSINV(P92))&lt;Q$8,Q$5+SQRT(NORMSDIST(Q$9*SQRT($C$11)*NORMSINV($B92)+SQRT(1-Q$9^2*$C$11)*NORMSINV(P92))*(Q$7-Q$5)*(Q$6-Q$5)),Q$7-SQRT((1-NORMSDIST(Q$9*SQRT($C$11)*NORMSINV($B92)+SQRT(1-Q$9^2*$C$11)*NORMSINV(P92)))*(Q$7-Q$5)*(Q$7-Q$6))))</f>
        <v>0.100172440109787</v>
      </c>
      <c r="R92" s="2" t="n">
        <v>0.237649641</v>
      </c>
      <c r="S92" s="2" t="n">
        <f aca="false">IF(S$7=S$5,S$6,IF(NORMSDIST(S$9*SQRT($C$11)*NORMSINV($B92)+SQRT(1-S$9^2*$C$11)*NORMSINV(R92))&lt;S$8,S$5+SQRT(NORMSDIST(S$9*SQRT($C$11)*NORMSINV($B92)+SQRT(1-S$9^2*$C$11)*NORMSINV(R92))*(S$7-S$5)*(S$6-S$5)),S$7-SQRT((1-NORMSDIST(S$9*SQRT($C$11)*NORMSINV($B92)+SQRT(1-S$9^2*$C$11)*NORMSINV(R92)))*(S$7-S$5)*(S$7-S$6))))</f>
        <v>0.430522672576754</v>
      </c>
      <c r="T92" s="2" t="n">
        <v>0.118058643</v>
      </c>
      <c r="U92" s="2" t="n">
        <f aca="false">IF(U$7=U$5,U$6,IF(NORMSDIST(U$9*SQRT($C$11)*NORMSINV($B92)+SQRT(1-U$9^2*$C$11)*NORMSINV(T92))&lt;U$8,U$5+SQRT(NORMSDIST(U$9*SQRT($C$11)*NORMSINV($B92)+SQRT(1-U$9^2*$C$11)*NORMSINV(T92))*(U$7-U$5)*(U$6-U$5)),U$7-SQRT((1-NORMSDIST(U$9*SQRT($C$11)*NORMSINV($B92)+SQRT(1-U$9^2*$C$11)*NORMSINV(T92)))*(U$7-U$5)*(U$7-U$6))))</f>
        <v>0.349007139682997</v>
      </c>
      <c r="V92" s="2" t="n">
        <v>0.780970633</v>
      </c>
      <c r="W92" s="2" t="n">
        <f aca="false">IF(W$7=W$5,W$6,IF(NORMSDIST(W$9*SQRT($C$11)*NORMSINV($B92)+SQRT(1-W$9^2*$C$11)*NORMSINV(V92))&lt;W$8,W$5+SQRT(NORMSDIST(W$9*SQRT($C$11)*NORMSINV($B92)+SQRT(1-W$9^2*$C$11)*NORMSINV(V92))*(W$7-W$5)*(W$6-W$5)),W$7-SQRT((1-NORMSDIST(W$9*SQRT($C$11)*NORMSINV($B92)+SQRT(1-W$9^2*$C$11)*NORMSINV(V92)))*(W$7-W$5)*(W$7-W$6))))</f>
        <v>10.7191600814546</v>
      </c>
      <c r="X92" s="2" t="n">
        <v>0.970474531</v>
      </c>
      <c r="Y92" s="2" t="n">
        <f aca="false">IF(Y$7=Y$5,Y$6,IF(NORMSDIST(Y$9*SQRT($C$11)*NORMSINV($B92)+SQRT(1-Y$9^2*$C$11)*NORMSINV(X92))&lt;Y$8,Y$5+SQRT(NORMSDIST(Y$9*SQRT($C$11)*NORMSINV($B92)+SQRT(1-Y$9^2*$C$11)*NORMSINV(X92))*(Y$7-Y$5)*(Y$6-Y$5)),Y$7-SQRT((1-NORMSDIST(Y$9*SQRT($C$11)*NORMSINV($B92)+SQRT(1-Y$9^2*$C$11)*NORMSINV(X92)))*(Y$7-Y$5)*(Y$7-Y$6))))</f>
        <v>0.878498006189199</v>
      </c>
      <c r="Z92" s="2" t="n">
        <v>0.536500983</v>
      </c>
      <c r="AA92" s="2" t="n">
        <f aca="false">IF(AA$7=AA$5,AA$6,IF(NORMSDIST(AA$9*SQRT($C$11)*NORMSINV($B92)+SQRT(1-AA$9^2*$C$11)*NORMSINV(Z92))&lt;AA$8,AA$5+SQRT(NORMSDIST(AA$9*SQRT($C$11)*NORMSINV($B92)+SQRT(1-AA$9^2*$C$11)*NORMSINV(Z92))*(AA$7-AA$5)*(AA$6-AA$5)),AA$7-SQRT((1-NORMSDIST(AA$9*SQRT($C$11)*NORMSINV($B92)+SQRT(1-AA$9^2*$C$11)*NORMSINV(Z92)))*(AA$7-AA$5)*(AA$7-AA$6))))</f>
        <v>0.731638606614764</v>
      </c>
      <c r="AB92" s="2" t="n">
        <v>0.279766975</v>
      </c>
      <c r="AC92" s="2" t="n">
        <f aca="false">IF(AC$7=AC$5,AC$6,IF(NORMSDIST(AC$9*SQRT($C$11)*NORMSINV($B92)+SQRT(1-AC$9^2*$C$11)*NORMSINV(AB92))&lt;AC$8,AC$5+SQRT(NORMSDIST(AC$9*SQRT($C$11)*NORMSINV($B92)+SQRT(1-AC$9^2*$C$11)*NORMSINV(AB92))*(AC$7-AC$5)*(AC$6-AC$5)),AC$7-SQRT((1-NORMSDIST(AC$9*SQRT($C$11)*NORMSINV($B92)+SQRT(1-AC$9^2*$C$11)*NORMSINV(AB92)))*(AC$7-AC$5)*(AC$7-AC$6))))</f>
        <v>9.28079860201382</v>
      </c>
      <c r="AD92" s="2" t="n">
        <f aca="false">Entrées!$C$8*(1+E92)</f>
        <v>7440.11693369591</v>
      </c>
      <c r="AE92" s="2" t="n">
        <f aca="false">I92*Hypothèses!$J$24/12/Hypothèses!$J$19</f>
        <v>97.4026446199085</v>
      </c>
      <c r="AF92" s="2" t="n">
        <f aca="false">Entrées!$C$36*S92*1000</f>
        <v>215.261336288377</v>
      </c>
      <c r="AG92" s="2" t="n">
        <f aca="false">-AF92/W92</f>
        <v>-20.0819219652111</v>
      </c>
      <c r="AH92" s="2" t="n">
        <f aca="false">AD92+AE92+AG92</f>
        <v>7517.4376563506</v>
      </c>
      <c r="AI92" s="2" t="n">
        <f aca="false">Entrées!$C$16-M92+Hypothèses!$J$22*1000-AF92+Hypothèses!$J$23</f>
        <v>22906.4427633516</v>
      </c>
      <c r="AJ92" s="2" t="n">
        <f aca="false">AI92/AH92</f>
        <v>3.04710777933763</v>
      </c>
      <c r="AK92" s="2" t="n">
        <f aca="false">AI92/(AH92+I92*(12-Hypothèses!$J$24)/12/Hypothèses!$J$19)</f>
        <v>3.01916562952688</v>
      </c>
      <c r="AL92" s="2" t="n">
        <f aca="false">(AD92+AG92+I92/Hypothèses!$J$19)*(1+G92)</f>
        <v>8024.97249596392</v>
      </c>
      <c r="AM92" s="2" t="n">
        <f aca="false">Entrées!$C$54*K92/Hypothèses!$J$19</f>
        <v>30.6442406938564</v>
      </c>
      <c r="AN92" s="2" t="n">
        <f aca="false">Y92*1000/AC92</f>
        <v>94.6575875484007</v>
      </c>
      <c r="AO92" s="2" t="n">
        <f aca="false">(Entrées!$C$36*(1-S92)+MAX(0,Entrées!$C$30-Entrées!$C$35-Entrées!$C$36)*U92)*1000</f>
        <v>773.348659267818</v>
      </c>
      <c r="AP92" s="2" t="n">
        <f aca="false">-AO92/W92</f>
        <v>-72.1463858540375</v>
      </c>
      <c r="AQ92" s="2" t="n">
        <f aca="false">AL92+AM92+AN92+AP92</f>
        <v>8078.12793835214</v>
      </c>
      <c r="AR92" s="2" t="n">
        <f aca="false">O92*AQ92-Hypothèses!$J$25/Hypothèses!$J$19</f>
        <v>1375.44924688363</v>
      </c>
      <c r="AS92" s="2" t="n">
        <f aca="false">Entrées!$C$79*(1+Q92)+Hypothèses!$J$20</f>
        <v>1504.08951168066</v>
      </c>
      <c r="AT92" s="2" t="n">
        <f aca="false">AI92-AR92+AS92+Y92*1000-AO92+Hypothèses!$J$23</f>
        <v>23140.23237507</v>
      </c>
      <c r="AU92" s="2" t="n">
        <f aca="false">AT92/AQ92</f>
        <v>2.86455383619368</v>
      </c>
      <c r="AV92" s="2" t="n">
        <f aca="false">Hypothèses!$J$26*AQ92-AT92</f>
        <v>1094.15143998643</v>
      </c>
      <c r="AW92" s="2" t="n">
        <f aca="false">IF(AC92&gt;Hypothèses!$J$26,MAX(0,AV92)/(1-Hypothèses!$J$26/AC92),0)</f>
        <v>1616.76878977804</v>
      </c>
      <c r="AX92" s="2" t="n">
        <f aca="false">AQ92-Entrées!$C$17*1000</f>
        <v>78.1279383521369</v>
      </c>
      <c r="AY92" s="2" t="n">
        <f aca="false">AI92+(Entrées!$C$244-Entrées!$C$13)</f>
        <v>28653.4427633516</v>
      </c>
      <c r="AZ92" s="2" t="n">
        <f aca="false">AA92*AH92</f>
        <v>5500.04761220571</v>
      </c>
      <c r="BA92" s="2" t="n">
        <f aca="false">AZ92/AY92</f>
        <v>0.191950672651469</v>
      </c>
      <c r="BB92" s="2" t="n">
        <f aca="false">AZ92/(Entrées!$C$151/100)-AY92</f>
        <v>1902.37730445793</v>
      </c>
      <c r="BC92" s="2" t="n">
        <f aca="false">AT92+(Entrées!$C$244-Entrées!$C$13)</f>
        <v>28887.23237507</v>
      </c>
      <c r="BD92" s="2" t="n">
        <f aca="false">AA92*AQ92</f>
        <v>5910.27026887175</v>
      </c>
      <c r="BE92" s="2" t="n">
        <f aca="false">BD92/BC92</f>
        <v>0.204598010364343</v>
      </c>
      <c r="BF92" s="2" t="n">
        <f aca="false">BD92/(Entrées!$C$151/100)-BC92</f>
        <v>3947.60245199531</v>
      </c>
      <c r="BG92" s="2" t="n">
        <f aca="false">MIN(AV92,BF92)</f>
        <v>1094.15143998643</v>
      </c>
      <c r="BH92" s="2" t="n">
        <f aca="false">IF(AC92&gt;Hypothèses!$J$26,MAX(0,BG92)/(1-Hypothèses!$J$26/AC92),0)</f>
        <v>1616.76878977804</v>
      </c>
    </row>
    <row r="93" customFormat="false" ht="15" hidden="false" customHeight="false" outlineLevel="0" collapsed="false">
      <c r="A93" s="2" t="n">
        <v>78</v>
      </c>
      <c r="B93" s="2" t="n">
        <v>0.484248807</v>
      </c>
      <c r="C93" s="2"/>
      <c r="D93" s="2" t="n">
        <v>0.243344721</v>
      </c>
      <c r="E93" s="2" t="n">
        <f aca="false">IF(E$7=E$5,E$6,IF(NORMSDIST(E$9*SQRT($C$11)*NORMSINV($B93)+SQRT(1-E$9^2*$C$11)*NORMSINV(D93))&lt;E$8,E$5+SQRT(NORMSDIST(E$9*SQRT($C$11)*NORMSINV($B93)+SQRT(1-E$9^2*$C$11)*NORMSINV(D93))*(E$7-E$5)*(E$6-E$5)),E$7-SQRT((1-NORMSDIST(E$9*SQRT($C$11)*NORMSINV($B93)+SQRT(1-E$9^2*$C$11)*NORMSINV(D93)))*(E$7-E$5)*(E$7-E$6))))</f>
        <v>0.0537845334084976</v>
      </c>
      <c r="F93" s="2" t="n">
        <v>0.914562606</v>
      </c>
      <c r="G93" s="2" t="n">
        <f aca="false">IF(G$7=G$5,G$6,IF(NORMSDIST(G$9*SQRT($C$11)*NORMSINV($B93)+SQRT(1-G$9^2*$C$11)*NORMSINV(F93))&lt;G$8,G$5+SQRT(NORMSDIST(G$9*SQRT($C$11)*NORMSINV($B93)+SQRT(1-G$9^2*$C$11)*NORMSINV(F93))*(G$7-G$5)*(G$6-G$5)),G$7-SQRT((1-NORMSDIST(G$9*SQRT($C$11)*NORMSINV($B93)+SQRT(1-G$9^2*$C$11)*NORMSINV(F93)))*(G$7-G$5)*(G$7-G$6))))</f>
        <v>0.0617798235261884</v>
      </c>
      <c r="H93" s="2" t="n">
        <v>0.704029102</v>
      </c>
      <c r="I93" s="2" t="n">
        <f aca="false">IF(I$7=I$5,I$6,IF(NORMSDIST(I$9*SQRT($C$11)*NORMSINV($B93)+SQRT(1-I$9^2*$C$11)*NORMSINV(H93))&lt;I$8,I$5+SQRT(NORMSDIST(I$9*SQRT($C$11)*NORMSINV($B93)+SQRT(1-I$9^2*$C$11)*NORMSINV(H93))*(I$7-I$5)*(I$6-I$5)),I$7-SQRT((1-NORMSDIST(I$9*SQRT($C$11)*NORMSINV($B93)+SQRT(1-I$9^2*$C$11)*NORMSINV(H93)))*(I$7-I$5)*(I$7-I$6))))</f>
        <v>203.3102427449</v>
      </c>
      <c r="J93" s="2" t="n">
        <v>0.066673868</v>
      </c>
      <c r="K93" s="2" t="n">
        <f aca="false">IF(K$7=K$5,K$6,IF(NORMSDIST(K$9*SQRT($C$11)*NORMSINV($B93)+SQRT(1-K$9^2*$C$11)*NORMSINV(J93))&lt;K$8,K$5+SQRT(NORMSDIST(K$9*SQRT($C$11)*NORMSINV($B93)+SQRT(1-K$9^2*$C$11)*NORMSINV(J93))*(K$7-K$5)*(K$6-K$5)),K$7-SQRT((1-NORMSDIST(K$9*SQRT($C$11)*NORMSINV($B93)+SQRT(1-K$9^2*$C$11)*NORMSINV(J93)))*(K$7-K$5)*(K$7-K$6))))</f>
        <v>0.121182532031297</v>
      </c>
      <c r="L93" s="2" t="n">
        <v>0.022409192</v>
      </c>
      <c r="M93" s="2" t="n">
        <f aca="false">IF(M$7=M$5,M$6,IF(NORMSDIST(M$9*SQRT($C$11)*NORMSINV($B93)+SQRT(1-M$9^2*$C$11)*NORMSINV(L93))&lt;M$8,M$5+SQRT(NORMSDIST(M$9*SQRT($C$11)*NORMSINV($B93)+SQRT(1-M$9^2*$C$11)*NORMSINV(L93))*(M$7-M$5)*(M$6-M$5)),M$7-SQRT((1-NORMSDIST(M$9*SQRT($C$11)*NORMSINV($B93)+SQRT(1-M$9^2*$C$11)*NORMSINV(L93)))*(M$7-M$5)*(M$7-M$6))))</f>
        <v>1398.59655489771</v>
      </c>
      <c r="N93" s="2" t="n">
        <v>0.832059277</v>
      </c>
      <c r="O93" s="2" t="n">
        <f aca="false">IF(O$7=O$5,O$6,IF(NORMSDIST(O$9*SQRT($C$11)*NORMSINV($B93)+SQRT(1-O$9^2*$C$11)*NORMSINV(N93))&lt;O$8,O$5+SQRT(NORMSDIST(O$9*SQRT($C$11)*NORMSINV($B93)+SQRT(1-O$9^2*$C$11)*NORMSINV(N93))*(O$7-O$5)*(O$6-O$5)),O$7-SQRT((1-NORMSDIST(O$9*SQRT($C$11)*NORMSINV($B93)+SQRT(1-O$9^2*$C$11)*NORMSINV(N93)))*(O$7-O$5)*(O$7-O$6))))</f>
        <v>0.174157514561913</v>
      </c>
      <c r="P93" s="2" t="n">
        <v>0.878322671</v>
      </c>
      <c r="Q93" s="2" t="n">
        <f aca="false">IF(Q$7=Q$5,Q$6,IF(NORMSDIST(Q$9*SQRT($C$11)*NORMSINV($B93)+SQRT(1-Q$9^2*$C$11)*NORMSINV(P93))&lt;Q$8,Q$5+SQRT(NORMSDIST(Q$9*SQRT($C$11)*NORMSINV($B93)+SQRT(1-Q$9^2*$C$11)*NORMSINV(P93))*(Q$7-Q$5)*(Q$6-Q$5)),Q$7-SQRT((1-NORMSDIST(Q$9*SQRT($C$11)*NORMSINV($B93)+SQRT(1-Q$9^2*$C$11)*NORMSINV(P93)))*(Q$7-Q$5)*(Q$7-Q$6))))</f>
        <v>0.100267603977216</v>
      </c>
      <c r="R93" s="2" t="n">
        <v>0.949496165</v>
      </c>
      <c r="S93" s="2" t="n">
        <f aca="false">IF(S$7=S$5,S$6,IF(NORMSDIST(S$9*SQRT($C$11)*NORMSINV($B93)+SQRT(1-S$9^2*$C$11)*NORMSINV(R93))&lt;S$8,S$5+SQRT(NORMSDIST(S$9*SQRT($C$11)*NORMSINV($B93)+SQRT(1-S$9^2*$C$11)*NORMSINV(R93))*(S$7-S$5)*(S$6-S$5)),S$7-SQRT((1-NORMSDIST(S$9*SQRT($C$11)*NORMSINV($B93)+SQRT(1-S$9^2*$C$11)*NORMSINV(R93)))*(S$7-S$5)*(S$7-S$6))))</f>
        <v>0.769239064461563</v>
      </c>
      <c r="T93" s="2" t="n">
        <v>0.08084049</v>
      </c>
      <c r="U93" s="2" t="n">
        <f aca="false">IF(U$7=U$5,U$6,IF(NORMSDIST(U$9*SQRT($C$11)*NORMSINV($B93)+SQRT(1-U$9^2*$C$11)*NORMSINV(T93))&lt;U$8,U$5+SQRT(NORMSDIST(U$9*SQRT($C$11)*NORMSINV($B93)+SQRT(1-U$9^2*$C$11)*NORMSINV(T93))*(U$7-U$5)*(U$6-U$5)),U$7-SQRT((1-NORMSDIST(U$9*SQRT($C$11)*NORMSINV($B93)+SQRT(1-U$9^2*$C$11)*NORMSINV(T93)))*(U$7-U$5)*(U$7-U$6))))</f>
        <v>0.25857260634752</v>
      </c>
      <c r="V93" s="2" t="n">
        <v>0.150581287</v>
      </c>
      <c r="W93" s="2" t="n">
        <f aca="false">IF(W$7=W$5,W$6,IF(NORMSDIST(W$9*SQRT($C$11)*NORMSINV($B93)+SQRT(1-W$9^2*$C$11)*NORMSINV(V93))&lt;W$8,W$5+SQRT(NORMSDIST(W$9*SQRT($C$11)*NORMSINV($B93)+SQRT(1-W$9^2*$C$11)*NORMSINV(V93))*(W$7-W$5)*(W$6-W$5)),W$7-SQRT((1-NORMSDIST(W$9*SQRT($C$11)*NORMSINV($B93)+SQRT(1-W$9^2*$C$11)*NORMSINV(V93)))*(W$7-W$5)*(W$7-W$6))))</f>
        <v>9.27887419603437</v>
      </c>
      <c r="X93" s="2" t="n">
        <v>0.891827424</v>
      </c>
      <c r="Y93" s="2" t="n">
        <f aca="false">IF(Y$7=Y$5,Y$6,IF(NORMSDIST(Y$9*SQRT($C$11)*NORMSINV($B93)+SQRT(1-Y$9^2*$C$11)*NORMSINV(X93))&lt;Y$8,Y$5+SQRT(NORMSDIST(Y$9*SQRT($C$11)*NORMSINV($B93)+SQRT(1-Y$9^2*$C$11)*NORMSINV(X93))*(Y$7-Y$5)*(Y$6-Y$5)),Y$7-SQRT((1-NORMSDIST(Y$9*SQRT($C$11)*NORMSINV($B93)+SQRT(1-Y$9^2*$C$11)*NORMSINV(X93)))*(Y$7-Y$5)*(Y$7-Y$6))))</f>
        <v>0.767435411121985</v>
      </c>
      <c r="Z93" s="2" t="n">
        <v>0.106187222</v>
      </c>
      <c r="AA93" s="2" t="n">
        <f aca="false">IF(AA$7=AA$5,AA$6,IF(NORMSDIST(AA$9*SQRT($C$11)*NORMSINV($B93)+SQRT(1-AA$9^2*$C$11)*NORMSINV(Z93))&lt;AA$8,AA$5+SQRT(NORMSDIST(AA$9*SQRT($C$11)*NORMSINV($B93)+SQRT(1-AA$9^2*$C$11)*NORMSINV(Z93))*(AA$7-AA$5)*(AA$6-AA$5)),AA$7-SQRT((1-NORMSDIST(AA$9*SQRT($C$11)*NORMSINV($B93)+SQRT(1-AA$9^2*$C$11)*NORMSINV(Z93)))*(AA$7-AA$5)*(AA$7-AA$6))))</f>
        <v>0.713884727512453</v>
      </c>
      <c r="AB93" s="2" t="n">
        <v>0.992097591</v>
      </c>
      <c r="AC93" s="2" t="n">
        <f aca="false">IF(AC$7=AC$5,AC$6,IF(NORMSDIST(AC$9*SQRT($C$11)*NORMSINV($B93)+SQRT(1-AC$9^2*$C$11)*NORMSINV(AB93))&lt;AC$8,AC$5+SQRT(NORMSDIST(AC$9*SQRT($C$11)*NORMSINV($B93)+SQRT(1-AC$9^2*$C$11)*NORMSINV(AB93))*(AC$7-AC$5)*(AC$6-AC$5)),AC$7-SQRT((1-NORMSDIST(AC$9*SQRT($C$11)*NORMSINV($B93)+SQRT(1-AC$9^2*$C$11)*NORMSINV(AB93)))*(AC$7-AC$5)*(AC$7-AC$6))))</f>
        <v>10.6249521017376</v>
      </c>
      <c r="AD93" s="2" t="n">
        <f aca="false">Entrées!$C$8*(1+E93)</f>
        <v>7429.18096052991</v>
      </c>
      <c r="AE93" s="2" t="n">
        <f aca="false">I93*Hypothèses!$J$24/12/Hypothèses!$J$19</f>
        <v>100.861560705998</v>
      </c>
      <c r="AF93" s="2" t="n">
        <f aca="false">Entrées!$C$36*S93*1000</f>
        <v>384.619532230782</v>
      </c>
      <c r="AG93" s="2" t="n">
        <f aca="false">-AF93/W93</f>
        <v>-41.4510989269756</v>
      </c>
      <c r="AH93" s="2" t="n">
        <f aca="false">AD93+AE93+AG93</f>
        <v>7488.59142230893</v>
      </c>
      <c r="AI93" s="2" t="n">
        <f aca="false">Entrées!$C$16-M93+Hypothèses!$J$22*1000-AF93+Hypothèses!$J$23</f>
        <v>22764.7839128715</v>
      </c>
      <c r="AJ93" s="2" t="n">
        <f aca="false">AI93/AH93</f>
        <v>3.03992869006766</v>
      </c>
      <c r="AK93" s="2" t="n">
        <f aca="false">AI93/(AH93+I93*(12-Hypothèses!$J$24)/12/Hypothèses!$J$19)</f>
        <v>3.01096174141783</v>
      </c>
      <c r="AL93" s="2" t="n">
        <f aca="false">(AD93+AG93+I93/Hypothèses!$J$19)*(1+G93)</f>
        <v>8027.7301146439</v>
      </c>
      <c r="AM93" s="2" t="n">
        <f aca="false">Entrées!$C$54*K93/Hypothèses!$J$19</f>
        <v>12.3671862063656</v>
      </c>
      <c r="AN93" s="2" t="n">
        <f aca="false">Y93*1000/AC93</f>
        <v>72.229540780375</v>
      </c>
      <c r="AO93" s="2" t="n">
        <f aca="false">(Entrées!$C$36*(1-S93)+MAX(0,Entrées!$C$30-Entrées!$C$35-Entrées!$C$36)*U93)*1000</f>
        <v>477.382116655747</v>
      </c>
      <c r="AP93" s="2" t="n">
        <f aca="false">-AO93/W93</f>
        <v>-51.4482798850502</v>
      </c>
      <c r="AQ93" s="2" t="n">
        <f aca="false">AL93+AM93+AN93+AP93</f>
        <v>8060.87856174559</v>
      </c>
      <c r="AR93" s="2" t="n">
        <f aca="false">O93*AQ93-Hypothèses!$J$25/Hypothèses!$J$19</f>
        <v>1384.72741323739</v>
      </c>
      <c r="AS93" s="2" t="n">
        <f aca="false">Entrées!$C$79*(1+Q93)+Hypothèses!$J$20</f>
        <v>1504.19409677096</v>
      </c>
      <c r="AT93" s="2" t="n">
        <f aca="false">AI93-AR93+AS93+Y93*1000-AO93+Hypothèses!$J$23</f>
        <v>23174.3038908713</v>
      </c>
      <c r="AU93" s="2" t="n">
        <f aca="false">AT93/AQ93</f>
        <v>2.87491043480661</v>
      </c>
      <c r="AV93" s="2" t="n">
        <f aca="false">Hypothèses!$J$26*AQ93-AT93</f>
        <v>1008.33179436545</v>
      </c>
      <c r="AW93" s="2" t="n">
        <f aca="false">IF(AC93&gt;Hypothèses!$J$26,MAX(0,AV93)/(1-Hypothèses!$J$26/AC93),0)</f>
        <v>1405.05499245702</v>
      </c>
      <c r="AX93" s="2" t="n">
        <f aca="false">AQ93-Entrées!$C$17*1000</f>
        <v>60.8785617455887</v>
      </c>
      <c r="AY93" s="2" t="n">
        <f aca="false">AI93+(Entrées!$C$244-Entrées!$C$13)</f>
        <v>28511.7839128715</v>
      </c>
      <c r="AZ93" s="2" t="n">
        <f aca="false">AA93*AH93</f>
        <v>5345.9910469671</v>
      </c>
      <c r="BA93" s="2" t="n">
        <f aca="false">AZ93/AY93</f>
        <v>0.187501107026617</v>
      </c>
      <c r="BB93" s="2" t="n">
        <f aca="false">AZ93/(Entrées!$C$151/100)-AY93</f>
        <v>1188.16634805684</v>
      </c>
      <c r="BC93" s="2" t="n">
        <f aca="false">AT93+(Entrées!$C$244-Entrées!$C$13)</f>
        <v>28921.3038908713</v>
      </c>
      <c r="BD93" s="2" t="n">
        <f aca="false">AA93*AQ93</f>
        <v>5754.53809556272</v>
      </c>
      <c r="BE93" s="2" t="n">
        <f aca="false">BD93/BC93</f>
        <v>0.198972291058394</v>
      </c>
      <c r="BF93" s="2" t="n">
        <f aca="false">BD93/(Entrées!$C$151/100)-BC93</f>
        <v>3048.35219558826</v>
      </c>
      <c r="BG93" s="2" t="n">
        <f aca="false">MIN(AV93,BF93)</f>
        <v>1008.33179436545</v>
      </c>
      <c r="BH93" s="2" t="n">
        <f aca="false">IF(AC93&gt;Hypothèses!$J$26,MAX(0,BG93)/(1-Hypothèses!$J$26/AC93),0)</f>
        <v>1405.05499245702</v>
      </c>
    </row>
    <row r="94" customFormat="false" ht="15" hidden="false" customHeight="false" outlineLevel="0" collapsed="false">
      <c r="A94" s="2" t="n">
        <v>79</v>
      </c>
      <c r="B94" s="2" t="n">
        <v>0.99746268</v>
      </c>
      <c r="C94" s="2"/>
      <c r="D94" s="2" t="n">
        <v>0.690199102</v>
      </c>
      <c r="E94" s="2" t="n">
        <f aca="false">IF(E$7=E$5,E$6,IF(NORMSDIST(E$9*SQRT($C$11)*NORMSINV($B94)+SQRT(1-E$9^2*$C$11)*NORMSINV(D94))&lt;E$8,E$5+SQRT(NORMSDIST(E$9*SQRT($C$11)*NORMSINV($B94)+SQRT(1-E$9^2*$C$11)*NORMSINV(D94))*(E$7-E$5)*(E$6-E$5)),E$7-SQRT((1-NORMSDIST(E$9*SQRT($C$11)*NORMSINV($B94)+SQRT(1-E$9^2*$C$11)*NORMSINV(D94)))*(E$7-E$5)*(E$7-E$6))))</f>
        <v>0.0591193843507197</v>
      </c>
      <c r="F94" s="2" t="n">
        <v>0.070638883</v>
      </c>
      <c r="G94" s="2" t="n">
        <f aca="false">IF(G$7=G$5,G$6,IF(NORMSDIST(G$9*SQRT($C$11)*NORMSINV($B94)+SQRT(1-G$9^2*$C$11)*NORMSINV(F94))&lt;G$8,G$5+SQRT(NORMSDIST(G$9*SQRT($C$11)*NORMSINV($B94)+SQRT(1-G$9^2*$C$11)*NORMSINV(F94))*(G$7-G$5)*(G$6-G$5)),G$7-SQRT((1-NORMSDIST(G$9*SQRT($C$11)*NORMSINV($B94)+SQRT(1-G$9^2*$C$11)*NORMSINV(F94)))*(G$7-G$5)*(G$7-G$6))))</f>
        <v>0.0591124111614462</v>
      </c>
      <c r="H94" s="2" t="n">
        <v>0.981708073</v>
      </c>
      <c r="I94" s="2" t="n">
        <f aca="false">IF(I$7=I$5,I$6,IF(NORMSDIST(I$9*SQRT($C$11)*NORMSINV($B94)+SQRT(1-I$9^2*$C$11)*NORMSINV(H94))&lt;I$8,I$5+SQRT(NORMSDIST(I$9*SQRT($C$11)*NORMSINV($B94)+SQRT(1-I$9^2*$C$11)*NORMSINV(H94))*(I$7-I$5)*(I$6-I$5)),I$7-SQRT((1-NORMSDIST(I$9*SQRT($C$11)*NORMSINV($B94)+SQRT(1-I$9^2*$C$11)*NORMSINV(H94)))*(I$7-I$5)*(I$7-I$6))))</f>
        <v>219.472703423037</v>
      </c>
      <c r="J94" s="2" t="n">
        <v>0.760541528</v>
      </c>
      <c r="K94" s="2" t="n">
        <f aca="false">IF(K$7=K$5,K$6,IF(NORMSDIST(K$9*SQRT($C$11)*NORMSINV($B94)+SQRT(1-K$9^2*$C$11)*NORMSINV(J94))&lt;K$8,K$5+SQRT(NORMSDIST(K$9*SQRT($C$11)*NORMSINV($B94)+SQRT(1-K$9^2*$C$11)*NORMSINV(J94))*(K$7-K$5)*(K$6-K$5)),K$7-SQRT((1-NORMSDIST(K$9*SQRT($C$11)*NORMSINV($B94)+SQRT(1-K$9^2*$C$11)*NORMSINV(J94)))*(K$7-K$5)*(K$7-K$6))))</f>
        <v>0.464380317851238</v>
      </c>
      <c r="L94" s="2" t="n">
        <v>0.165626811</v>
      </c>
      <c r="M94" s="2" t="n">
        <f aca="false">IF(M$7=M$5,M$6,IF(NORMSDIST(M$9*SQRT($C$11)*NORMSINV($B94)+SQRT(1-M$9^2*$C$11)*NORMSINV(L94))&lt;M$8,M$5+SQRT(NORMSDIST(M$9*SQRT($C$11)*NORMSINV($B94)+SQRT(1-M$9^2*$C$11)*NORMSINV(L94))*(M$7-M$5)*(M$6-M$5)),M$7-SQRT((1-NORMSDIST(M$9*SQRT($C$11)*NORMSINV($B94)+SQRT(1-M$9^2*$C$11)*NORMSINV(L94)))*(M$7-M$5)*(M$7-M$6))))</f>
        <v>1681.20011222147</v>
      </c>
      <c r="N94" s="2" t="n">
        <v>0.348866488</v>
      </c>
      <c r="O94" s="2" t="n">
        <f aca="false">IF(O$7=O$5,O$6,IF(NORMSDIST(O$9*SQRT($C$11)*NORMSINV($B94)+SQRT(1-O$9^2*$C$11)*NORMSINV(N94))&lt;O$8,O$5+SQRT(NORMSDIST(O$9*SQRT($C$11)*NORMSINV($B94)+SQRT(1-O$9^2*$C$11)*NORMSINV(N94))*(O$7-O$5)*(O$6-O$5)),O$7-SQRT((1-NORMSDIST(O$9*SQRT($C$11)*NORMSINV($B94)+SQRT(1-O$9^2*$C$11)*NORMSINV(N94)))*(O$7-O$5)*(O$7-O$6))))</f>
        <v>0.181329148810898</v>
      </c>
      <c r="P94" s="2" t="n">
        <v>0.397848136</v>
      </c>
      <c r="Q94" s="2" t="n">
        <f aca="false">IF(Q$7=Q$5,Q$6,IF(NORMSDIST(Q$9*SQRT($C$11)*NORMSINV($B94)+SQRT(1-Q$9^2*$C$11)*NORMSINV(P94))&lt;Q$8,Q$5+SQRT(NORMSDIST(Q$9*SQRT($C$11)*NORMSINV($B94)+SQRT(1-Q$9^2*$C$11)*NORMSINV(P94))*(Q$7-Q$5)*(Q$6-Q$5)),Q$7-SQRT((1-NORMSDIST(Q$9*SQRT($C$11)*NORMSINV($B94)+SQRT(1-Q$9^2*$C$11)*NORMSINV(P94)))*(Q$7-Q$5)*(Q$7-Q$6))))</f>
        <v>0.0756807235801069</v>
      </c>
      <c r="R94" s="2" t="n">
        <v>0.036554652</v>
      </c>
      <c r="S94" s="2" t="n">
        <f aca="false">IF(S$7=S$5,S$6,IF(NORMSDIST(S$9*SQRT($C$11)*NORMSINV($B94)+SQRT(1-S$9^2*$C$11)*NORMSINV(R94))&lt;S$8,S$5+SQRT(NORMSDIST(S$9*SQRT($C$11)*NORMSINV($B94)+SQRT(1-S$9^2*$C$11)*NORMSINV(R94))*(S$7-S$5)*(S$6-S$5)),S$7-SQRT((1-NORMSDIST(S$9*SQRT($C$11)*NORMSINV($B94)+SQRT(1-S$9^2*$C$11)*NORMSINV(R94)))*(S$7-S$5)*(S$7-S$6))))</f>
        <v>0.581402375281108</v>
      </c>
      <c r="T94" s="2" t="n">
        <v>0.408553613</v>
      </c>
      <c r="U94" s="2" t="n">
        <f aca="false">IF(U$7=U$5,U$6,IF(NORMSDIST(U$9*SQRT($C$11)*NORMSINV($B94)+SQRT(1-U$9^2*$C$11)*NORMSINV(T94))&lt;U$8,U$5+SQRT(NORMSDIST(U$9*SQRT($C$11)*NORMSINV($B94)+SQRT(1-U$9^2*$C$11)*NORMSINV(T94))*(U$7-U$5)*(U$6-U$5)),U$7-SQRT((1-NORMSDIST(U$9*SQRT($C$11)*NORMSINV($B94)+SQRT(1-U$9^2*$C$11)*NORMSINV(T94)))*(U$7-U$5)*(U$7-U$6))))</f>
        <v>0.833324156812932</v>
      </c>
      <c r="V94" s="2" t="n">
        <v>0.618157965</v>
      </c>
      <c r="W94" s="2" t="n">
        <f aca="false">IF(W$7=W$5,W$6,IF(NORMSDIST(W$9*SQRT($C$11)*NORMSINV($B94)+SQRT(1-W$9^2*$C$11)*NORMSINV(V94))&lt;W$8,W$5+SQRT(NORMSDIST(W$9*SQRT($C$11)*NORMSINV($B94)+SQRT(1-W$9^2*$C$11)*NORMSINV(V94))*(W$7-W$5)*(W$6-W$5)),W$7-SQRT((1-NORMSDIST(W$9*SQRT($C$11)*NORMSINV($B94)+SQRT(1-W$9^2*$C$11)*NORMSINV(V94)))*(W$7-W$5)*(W$7-W$6))))</f>
        <v>11.5760023397192</v>
      </c>
      <c r="X94" s="2" t="n">
        <v>0.269422972</v>
      </c>
      <c r="Y94" s="2" t="n">
        <f aca="false">IF(Y$7=Y$5,Y$6,IF(NORMSDIST(Y$9*SQRT($C$11)*NORMSINV($B94)+SQRT(1-Y$9^2*$C$11)*NORMSINV(X94))&lt;Y$8,Y$5+SQRT(NORMSDIST(Y$9*SQRT($C$11)*NORMSINV($B94)+SQRT(1-Y$9^2*$C$11)*NORMSINV(X94))*(Y$7-Y$5)*(Y$6-Y$5)),Y$7-SQRT((1-NORMSDIST(Y$9*SQRT($C$11)*NORMSINV($B94)+SQRT(1-Y$9^2*$C$11)*NORMSINV(X94)))*(Y$7-Y$5)*(Y$7-Y$6))))</f>
        <v>0.367030633598886</v>
      </c>
      <c r="Z94" s="2" t="n">
        <v>0.688245035</v>
      </c>
      <c r="AA94" s="2" t="n">
        <f aca="false">IF(AA$7=AA$5,AA$6,IF(NORMSDIST(AA$9*SQRT($C$11)*NORMSINV($B94)+SQRT(1-AA$9^2*$C$11)*NORMSINV(Z94))&lt;AA$8,AA$5+SQRT(NORMSDIST(AA$9*SQRT($C$11)*NORMSINV($B94)+SQRT(1-AA$9^2*$C$11)*NORMSINV(Z94))*(AA$7-AA$5)*(AA$6-AA$5)),AA$7-SQRT((1-NORMSDIST(AA$9*SQRT($C$11)*NORMSINV($B94)+SQRT(1-AA$9^2*$C$11)*NORMSINV(Z94)))*(AA$7-AA$5)*(AA$7-AA$6))))</f>
        <v>0.749382774821506</v>
      </c>
      <c r="AB94" s="2" t="n">
        <v>0.763777741</v>
      </c>
      <c r="AC94" s="2" t="n">
        <f aca="false">IF(AC$7=AC$5,AC$6,IF(NORMSDIST(AC$9*SQRT($C$11)*NORMSINV($B94)+SQRT(1-AC$9^2*$C$11)*NORMSINV(AB94))&lt;AC$8,AC$5+SQRT(NORMSDIST(AC$9*SQRT($C$11)*NORMSINV($B94)+SQRT(1-AC$9^2*$C$11)*NORMSINV(AB94))*(AC$7-AC$5)*(AC$6-AC$5)),AC$7-SQRT((1-NORMSDIST(AC$9*SQRT($C$11)*NORMSINV($B94)+SQRT(1-AC$9^2*$C$11)*NORMSINV(AB94)))*(AC$7-AC$5)*(AC$7-AC$6))))</f>
        <v>10.7928478590798</v>
      </c>
      <c r="AD94" s="2" t="n">
        <f aca="false">Entrées!$C$8*(1+E94)</f>
        <v>7466.79165967257</v>
      </c>
      <c r="AE94" s="2" t="n">
        <f aca="false">I94*Hypothèses!$J$24/12/Hypothèses!$J$19</f>
        <v>108.879705718454</v>
      </c>
      <c r="AF94" s="2" t="n">
        <f aca="false">Entrées!$C$36*S94*1000</f>
        <v>290.701187640554</v>
      </c>
      <c r="AG94" s="2" t="n">
        <f aca="false">-AF94/W94</f>
        <v>-25.1123988324631</v>
      </c>
      <c r="AH94" s="2" t="n">
        <f aca="false">AD94+AE94+AG94</f>
        <v>7550.55896655856</v>
      </c>
      <c r="AI94" s="2" t="n">
        <f aca="false">Entrées!$C$16-M94+Hypothèses!$J$22*1000-AF94+Hypothèses!$J$23</f>
        <v>22576.098700138</v>
      </c>
      <c r="AJ94" s="2" t="n">
        <f aca="false">AI94/AH94</f>
        <v>2.98999038351035</v>
      </c>
      <c r="AK94" s="2" t="n">
        <f aca="false">AI94/(AH94+I94*(12-Hypothèses!$J$24)/12/Hypothèses!$J$19)</f>
        <v>2.95950727784975</v>
      </c>
      <c r="AL94" s="2" t="n">
        <f aca="false">(AD94+AG94+I94/Hypothèses!$J$19)*(1+G94)</f>
        <v>8079.25917529568</v>
      </c>
      <c r="AM94" s="2" t="n">
        <f aca="false">Entrées!$C$54*K94/Hypothèses!$J$19</f>
        <v>47.391961243674</v>
      </c>
      <c r="AN94" s="2" t="n">
        <f aca="false">Y94*1000/AC94</f>
        <v>34.0068384536812</v>
      </c>
      <c r="AO94" s="2" t="n">
        <f aca="false">(Entrées!$C$36*(1-S94)+MAX(0,Entrées!$C$30-Entrées!$C$35-Entrées!$C$36)*U94)*1000</f>
        <v>1375.95263189755</v>
      </c>
      <c r="AP94" s="2" t="n">
        <f aca="false">-AO94/W94</f>
        <v>-118.862504646914</v>
      </c>
      <c r="AQ94" s="2" t="n">
        <f aca="false">AL94+AM94+AN94+AP94</f>
        <v>8041.79547034612</v>
      </c>
      <c r="AR94" s="2" t="n">
        <f aca="false">O94*AQ94-Hypothèses!$J$25/Hypothèses!$J$19</f>
        <v>1439.07676528757</v>
      </c>
      <c r="AS94" s="2" t="n">
        <f aca="false">Entrées!$C$79*(1+Q94)+Hypothèses!$J$20</f>
        <v>1477.17311521454</v>
      </c>
      <c r="AT94" s="2" t="n">
        <f aca="false">AI94-AR94+AS94+Y94*1000-AO94+Hypothèses!$J$23</f>
        <v>21605.2730517663</v>
      </c>
      <c r="AU94" s="2" t="n">
        <f aca="false">AT94/AQ94</f>
        <v>2.68662304723306</v>
      </c>
      <c r="AV94" s="2" t="n">
        <f aca="false">Hypothèses!$J$26*AQ94-AT94</f>
        <v>2520.11335927207</v>
      </c>
      <c r="AW94" s="2" t="n">
        <f aca="false">IF(AC94&gt;Hypothèses!$J$26,MAX(0,AV94)/(1-Hypothèses!$J$26/AC94),0)</f>
        <v>3490.27731146669</v>
      </c>
      <c r="AX94" s="2" t="n">
        <f aca="false">AQ94-Entrées!$C$17*1000</f>
        <v>41.7954703461191</v>
      </c>
      <c r="AY94" s="2" t="n">
        <f aca="false">AI94+(Entrées!$C$244-Entrées!$C$13)</f>
        <v>28323.098700138</v>
      </c>
      <c r="AZ94" s="2" t="n">
        <f aca="false">AA94*AH94</f>
        <v>5658.25882981306</v>
      </c>
      <c r="BA94" s="2" t="n">
        <f aca="false">AZ94/AY94</f>
        <v>0.199775416161844</v>
      </c>
      <c r="BB94" s="2" t="n">
        <f aca="false">AZ94/(Entrées!$C$151/100)-AY94</f>
        <v>3111.67257660124</v>
      </c>
      <c r="BC94" s="2" t="n">
        <f aca="false">AT94+(Entrées!$C$244-Entrées!$C$13)</f>
        <v>27352.2730517663</v>
      </c>
      <c r="BD94" s="2" t="n">
        <f aca="false">AA94*AQ94</f>
        <v>6026.38300411499</v>
      </c>
      <c r="BE94" s="2" t="n">
        <f aca="false">BD94/BC94</f>
        <v>0.220324760311861</v>
      </c>
      <c r="BF94" s="2" t="n">
        <f aca="false">BD94/(Entrées!$C$151/100)-BC94</f>
        <v>6127.63252665033</v>
      </c>
      <c r="BG94" s="2" t="n">
        <f aca="false">MIN(AV94,BF94)</f>
        <v>2520.11335927207</v>
      </c>
      <c r="BH94" s="2" t="n">
        <f aca="false">IF(AC94&gt;Hypothèses!$J$26,MAX(0,BG94)/(1-Hypothèses!$J$26/AC94),0)</f>
        <v>3490.27731146669</v>
      </c>
    </row>
    <row r="95" customFormat="false" ht="15" hidden="false" customHeight="false" outlineLevel="0" collapsed="false">
      <c r="A95" s="2" t="n">
        <v>80</v>
      </c>
      <c r="B95" s="2" t="n">
        <v>0.283858484</v>
      </c>
      <c r="C95" s="2"/>
      <c r="D95" s="2" t="n">
        <v>0.211313565</v>
      </c>
      <c r="E95" s="2" t="n">
        <f aca="false">IF(E$7=E$5,E$6,IF(NORMSDIST(E$9*SQRT($C$11)*NORMSINV($B95)+SQRT(1-E$9^2*$C$11)*NORMSINV(D95))&lt;E$8,E$5+SQRT(NORMSDIST(E$9*SQRT($C$11)*NORMSINV($B95)+SQRT(1-E$9^2*$C$11)*NORMSINV(D95))*(E$7-E$5)*(E$6-E$5)),E$7-SQRT((1-NORMSDIST(E$9*SQRT($C$11)*NORMSINV($B95)+SQRT(1-E$9^2*$C$11)*NORMSINV(D95)))*(E$7-E$5)*(E$7-E$6))))</f>
        <v>0.0528541295178823</v>
      </c>
      <c r="F95" s="2" t="n">
        <v>0.857173597</v>
      </c>
      <c r="G95" s="2" t="n">
        <f aca="false">IF(G$7=G$5,G$6,IF(NORMSDIST(G$9*SQRT($C$11)*NORMSINV($B95)+SQRT(1-G$9^2*$C$11)*NORMSINV(F95))&lt;G$8,G$5+SQRT(NORMSDIST(G$9*SQRT($C$11)*NORMSINV($B95)+SQRT(1-G$9^2*$C$11)*NORMSINV(F95))*(G$7-G$5)*(G$6-G$5)),G$7-SQRT((1-NORMSDIST(G$9*SQRT($C$11)*NORMSINV($B95)+SQRT(1-G$9^2*$C$11)*NORMSINV(F95)))*(G$7-G$5)*(G$7-G$6))))</f>
        <v>0.0579862383517264</v>
      </c>
      <c r="H95" s="2" t="n">
        <v>0.633144488</v>
      </c>
      <c r="I95" s="2" t="n">
        <f aca="false">IF(I$7=I$5,I$6,IF(NORMSDIST(I$9*SQRT($C$11)*NORMSINV($B95)+SQRT(1-I$9^2*$C$11)*NORMSINV(H95))&lt;I$8,I$5+SQRT(NORMSDIST(I$9*SQRT($C$11)*NORMSINV($B95)+SQRT(1-I$9^2*$C$11)*NORMSINV(H95))*(I$7-I$5)*(I$6-I$5)),I$7-SQRT((1-NORMSDIST(I$9*SQRT($C$11)*NORMSINV($B95)+SQRT(1-I$9^2*$C$11)*NORMSINV(H95)))*(I$7-I$5)*(I$7-I$6))))</f>
        <v>199.204425791038</v>
      </c>
      <c r="J95" s="2" t="n">
        <v>0.96702655</v>
      </c>
      <c r="K95" s="2" t="n">
        <f aca="false">IF(K$7=K$5,K$6,IF(NORMSDIST(K$9*SQRT($C$11)*NORMSINV($B95)+SQRT(1-K$9^2*$C$11)*NORMSINV(J95))&lt;K$8,K$5+SQRT(NORMSDIST(K$9*SQRT($C$11)*NORMSINV($B95)+SQRT(1-K$9^2*$C$11)*NORMSINV(J95))*(K$7-K$5)*(K$6-K$5)),K$7-SQRT((1-NORMSDIST(K$9*SQRT($C$11)*NORMSINV($B95)+SQRT(1-K$9^2*$C$11)*NORMSINV(J95)))*(K$7-K$5)*(K$7-K$6))))</f>
        <v>0.365878309447578</v>
      </c>
      <c r="L95" s="2" t="n">
        <v>0.336217697</v>
      </c>
      <c r="M95" s="2" t="n">
        <f aca="false">IF(M$7=M$5,M$6,IF(NORMSDIST(M$9*SQRT($C$11)*NORMSINV($B95)+SQRT(1-M$9^2*$C$11)*NORMSINV(L95))&lt;M$8,M$5+SQRT(NORMSDIST(M$9*SQRT($C$11)*NORMSINV($B95)+SQRT(1-M$9^2*$C$11)*NORMSINV(L95))*(M$7-M$5)*(M$6-M$5)),M$7-SQRT((1-NORMSDIST(M$9*SQRT($C$11)*NORMSINV($B95)+SQRT(1-M$9^2*$C$11)*NORMSINV(L95)))*(M$7-M$5)*(M$7-M$6))))</f>
        <v>1500.88408403943</v>
      </c>
      <c r="N95" s="2" t="n">
        <v>0.484720093</v>
      </c>
      <c r="O95" s="2" t="n">
        <f aca="false">IF(O$7=O$5,O$6,IF(NORMSDIST(O$9*SQRT($C$11)*NORMSINV($B95)+SQRT(1-O$9^2*$C$11)*NORMSINV(N95))&lt;O$8,O$5+SQRT(NORMSDIST(O$9*SQRT($C$11)*NORMSINV($B95)+SQRT(1-O$9^2*$C$11)*NORMSINV(N95))*(O$7-O$5)*(O$6-O$5)),O$7-SQRT((1-NORMSDIST(O$9*SQRT($C$11)*NORMSINV($B95)+SQRT(1-O$9^2*$C$11)*NORMSINV(N95)))*(O$7-O$5)*(O$7-O$6))))</f>
        <v>0.162341298678331</v>
      </c>
      <c r="P95" s="2" t="n">
        <v>0.126629109</v>
      </c>
      <c r="Q95" s="2" t="n">
        <f aca="false">IF(Q$7=Q$5,Q$6,IF(NORMSDIST(Q$9*SQRT($C$11)*NORMSINV($B95)+SQRT(1-Q$9^2*$C$11)*NORMSINV(P95))&lt;Q$8,Q$5+SQRT(NORMSDIST(Q$9*SQRT($C$11)*NORMSINV($B95)+SQRT(1-Q$9^2*$C$11)*NORMSINV(P95))*(Q$7-Q$5)*(Q$6-Q$5)),Q$7-SQRT((1-NORMSDIST(Q$9*SQRT($C$11)*NORMSINV($B95)+SQRT(1-Q$9^2*$C$11)*NORMSINV(P95)))*(Q$7-Q$5)*(Q$7-Q$6))))</f>
        <v>0.0601299068254177</v>
      </c>
      <c r="R95" s="2" t="n">
        <v>0.133294435</v>
      </c>
      <c r="S95" s="2" t="n">
        <f aca="false">IF(S$7=S$5,S$6,IF(NORMSDIST(S$9*SQRT($C$11)*NORMSINV($B95)+SQRT(1-S$9^2*$C$11)*NORMSINV(R95))&lt;S$8,S$5+SQRT(NORMSDIST(S$9*SQRT($C$11)*NORMSINV($B95)+SQRT(1-S$9^2*$C$11)*NORMSINV(R95))*(S$7-S$5)*(S$6-S$5)),S$7-SQRT((1-NORMSDIST(S$9*SQRT($C$11)*NORMSINV($B95)+SQRT(1-S$9^2*$C$11)*NORMSINV(R95)))*(S$7-S$5)*(S$7-S$6))))</f>
        <v>0.235442076755997</v>
      </c>
      <c r="T95" s="2" t="n">
        <v>0.604193056</v>
      </c>
      <c r="U95" s="2" t="n">
        <f aca="false">IF(U$7=U$5,U$6,IF(NORMSDIST(U$9*SQRT($C$11)*NORMSINV($B95)+SQRT(1-U$9^2*$C$11)*NORMSINV(T95))&lt;U$8,U$5+SQRT(NORMSDIST(U$9*SQRT($C$11)*NORMSINV($B95)+SQRT(1-U$9^2*$C$11)*NORMSINV(T95))*(U$7-U$5)*(U$6-U$5)),U$7-SQRT((1-NORMSDIST(U$9*SQRT($C$11)*NORMSINV($B95)+SQRT(1-U$9^2*$C$11)*NORMSINV(T95)))*(U$7-U$5)*(U$7-U$6))))</f>
        <v>0.467828318979064</v>
      </c>
      <c r="V95" s="2" t="n">
        <v>0.76233027</v>
      </c>
      <c r="W95" s="2" t="n">
        <f aca="false">IF(W$7=W$5,W$6,IF(NORMSDIST(W$9*SQRT($C$11)*NORMSINV($B95)+SQRT(1-W$9^2*$C$11)*NORMSINV(V95))&lt;W$8,W$5+SQRT(NORMSDIST(W$9*SQRT($C$11)*NORMSINV($B95)+SQRT(1-W$9^2*$C$11)*NORMSINV(V95))*(W$7-W$5)*(W$6-W$5)),W$7-SQRT((1-NORMSDIST(W$9*SQRT($C$11)*NORMSINV($B95)+SQRT(1-W$9^2*$C$11)*NORMSINV(V95)))*(W$7-W$5)*(W$7-W$6))))</f>
        <v>10.1581380031091</v>
      </c>
      <c r="X95" s="2" t="n">
        <v>0.580758753</v>
      </c>
      <c r="Y95" s="2" t="n">
        <f aca="false">IF(Y$7=Y$5,Y$6,IF(NORMSDIST(Y$9*SQRT($C$11)*NORMSINV($B95)+SQRT(1-Y$9^2*$C$11)*NORMSINV(X95))&lt;Y$8,Y$5+SQRT(NORMSDIST(Y$9*SQRT($C$11)*NORMSINV($B95)+SQRT(1-Y$9^2*$C$11)*NORMSINV(X95))*(Y$7-Y$5)*(Y$6-Y$5)),Y$7-SQRT((1-NORMSDIST(Y$9*SQRT($C$11)*NORMSINV($B95)+SQRT(1-Y$9^2*$C$11)*NORMSINV(X95)))*(Y$7-Y$5)*(Y$7-Y$6))))</f>
        <v>0.542156551319122</v>
      </c>
      <c r="Z95" s="2" t="n">
        <v>0.15212004</v>
      </c>
      <c r="AA95" s="2" t="n">
        <f aca="false">IF(AA$7=AA$5,AA$6,IF(NORMSDIST(AA$9*SQRT($C$11)*NORMSINV($B95)+SQRT(1-AA$9^2*$C$11)*NORMSINV(Z95))&lt;AA$8,AA$5+SQRT(NORMSDIST(AA$9*SQRT($C$11)*NORMSINV($B95)+SQRT(1-AA$9^2*$C$11)*NORMSINV(Z95))*(AA$7-AA$5)*(AA$6-AA$5)),AA$7-SQRT((1-NORMSDIST(AA$9*SQRT($C$11)*NORMSINV($B95)+SQRT(1-AA$9^2*$C$11)*NORMSINV(Z95)))*(AA$7-AA$5)*(AA$7-AA$6))))</f>
        <v>0.711593001268253</v>
      </c>
      <c r="AB95" s="2" t="n">
        <v>0.945477791</v>
      </c>
      <c r="AC95" s="2" t="n">
        <f aca="false">IF(AC$7=AC$5,AC$6,IF(NORMSDIST(AC$9*SQRT($C$11)*NORMSINV($B95)+SQRT(1-AC$9^2*$C$11)*NORMSINV(AB95))&lt;AC$8,AC$5+SQRT(NORMSDIST(AC$9*SQRT($C$11)*NORMSINV($B95)+SQRT(1-AC$9^2*$C$11)*NORMSINV(AB95))*(AC$7-AC$5)*(AC$6-AC$5)),AC$7-SQRT((1-NORMSDIST(AC$9*SQRT($C$11)*NORMSINV($B95)+SQRT(1-AC$9^2*$C$11)*NORMSINV(AB95)))*(AC$7-AC$5)*(AC$7-AC$6))))</f>
        <v>10.0953144738892</v>
      </c>
      <c r="AD95" s="2" t="n">
        <f aca="false">Entrées!$C$8*(1+E95)</f>
        <v>7422.62161310107</v>
      </c>
      <c r="AE95" s="2" t="n">
        <f aca="false">I95*Hypothèses!$J$24/12/Hypothèses!$J$19</f>
        <v>98.8246780563657</v>
      </c>
      <c r="AF95" s="2" t="n">
        <f aca="false">Entrées!$C$36*S95*1000</f>
        <v>117.721038377999</v>
      </c>
      <c r="AG95" s="2" t="n">
        <f aca="false">-AF95/W95</f>
        <v>-11.5888402325277</v>
      </c>
      <c r="AH95" s="2" t="n">
        <f aca="false">AD95+AE95+AG95</f>
        <v>7509.85745092491</v>
      </c>
      <c r="AI95" s="2" t="n">
        <f aca="false">Entrées!$C$16-M95+Hypothèses!$J$22*1000-AF95+Hypothèses!$J$23</f>
        <v>22929.3948775826</v>
      </c>
      <c r="AJ95" s="2" t="n">
        <f aca="false">AI95/AH95</f>
        <v>3.05323969561614</v>
      </c>
      <c r="AK95" s="2" t="n">
        <f aca="false">AI95/(AH95+I95*(12-Hypothèses!$J$24)/12/Hypothèses!$J$19)</f>
        <v>3.0248079525894</v>
      </c>
      <c r="AL95" s="2" t="n">
        <f aca="false">(AD95+AG95+I95/Hypothèses!$J$19)*(1+G95)</f>
        <v>8020.00808462828</v>
      </c>
      <c r="AM95" s="2" t="n">
        <f aca="false">Entrées!$C$54*K95/Hypothèses!$J$19</f>
        <v>37.3394177028736</v>
      </c>
      <c r="AN95" s="2" t="n">
        <f aca="false">Y95*1000/AC95</f>
        <v>53.7037803746846</v>
      </c>
      <c r="AO95" s="2" t="n">
        <f aca="false">(Entrées!$C$36*(1-S95)+MAX(0,Entrées!$C$30-Entrées!$C$35-Entrées!$C$36)*U95)*1000</f>
        <v>1037.23860819269</v>
      </c>
      <c r="AP95" s="2" t="n">
        <f aca="false">-AO95/W95</f>
        <v>-102.109127467576</v>
      </c>
      <c r="AQ95" s="2" t="n">
        <f aca="false">AL95+AM95+AN95+AP95</f>
        <v>8008.94215523827</v>
      </c>
      <c r="AR95" s="2" t="n">
        <f aca="false">O95*AQ95-Hypothèses!$J$25/Hypothèses!$J$19</f>
        <v>1281.04690825938</v>
      </c>
      <c r="AS95" s="2" t="n">
        <f aca="false">Entrées!$C$79*(1+Q95)+Hypothèses!$J$20</f>
        <v>1460.08276760113</v>
      </c>
      <c r="AT95" s="2" t="n">
        <f aca="false">AI95-AR95+AS95+Y95*1000-AO95+Hypothèses!$J$23</f>
        <v>22613.3486800508</v>
      </c>
      <c r="AU95" s="2" t="n">
        <f aca="false">AT95/AQ95</f>
        <v>2.82351254906498</v>
      </c>
      <c r="AV95" s="2" t="n">
        <f aca="false">Hypothèses!$J$26*AQ95-AT95</f>
        <v>1413.47778566404</v>
      </c>
      <c r="AW95" s="2" t="n">
        <f aca="false">IF(AC95&gt;Hypothèses!$J$26,MAX(0,AV95)/(1-Hypothèses!$J$26/AC95),0)</f>
        <v>2011.11632199629</v>
      </c>
      <c r="AX95" s="2" t="n">
        <f aca="false">AQ95-Entrées!$C$17*1000</f>
        <v>8.94215523826642</v>
      </c>
      <c r="AY95" s="2" t="n">
        <f aca="false">AI95+(Entrées!$C$244-Entrées!$C$13)</f>
        <v>28676.3948775826</v>
      </c>
      <c r="AZ95" s="2" t="n">
        <f aca="false">AA95*AH95</f>
        <v>5343.96200260041</v>
      </c>
      <c r="BA95" s="2" t="n">
        <f aca="false">AZ95/AY95</f>
        <v>0.18635403876301</v>
      </c>
      <c r="BB95" s="2" t="n">
        <f aca="false">AZ95/(Entrées!$C$151/100)-AY95</f>
        <v>1012.2829146419</v>
      </c>
      <c r="BC95" s="2" t="n">
        <f aca="false">AT95+(Entrées!$C$244-Entrées!$C$13)</f>
        <v>28360.3486800508</v>
      </c>
      <c r="BD95" s="2" t="n">
        <f aca="false">AA95*AQ95</f>
        <v>5699.10718522983</v>
      </c>
      <c r="BE95" s="2" t="n">
        <f aca="false">BD95/BC95</f>
        <v>0.200953353907059</v>
      </c>
      <c r="BF95" s="2" t="n">
        <f aca="false">BD95/(Entrées!$C$151/100)-BC95</f>
        <v>3301.35790455939</v>
      </c>
      <c r="BG95" s="2" t="n">
        <f aca="false">MIN(AV95,BF95)</f>
        <v>1413.47778566404</v>
      </c>
      <c r="BH95" s="2" t="n">
        <f aca="false">IF(AC95&gt;Hypothèses!$J$26,MAX(0,BG95)/(1-Hypothèses!$J$26/AC95),0)</f>
        <v>2011.11632199629</v>
      </c>
    </row>
    <row r="96" customFormat="false" ht="15" hidden="false" customHeight="false" outlineLevel="0" collapsed="false">
      <c r="A96" s="2" t="n">
        <v>81</v>
      </c>
      <c r="B96" s="2" t="n">
        <v>0.53498715</v>
      </c>
      <c r="C96" s="2"/>
      <c r="D96" s="2" t="n">
        <v>0.454156204</v>
      </c>
      <c r="E96" s="2" t="n">
        <f aca="false">IF(E$7=E$5,E$6,IF(NORMSDIST(E$9*SQRT($C$11)*NORMSINV($B96)+SQRT(1-E$9^2*$C$11)*NORMSINV(D96))&lt;E$8,E$5+SQRT(NORMSDIST(E$9*SQRT($C$11)*NORMSINV($B96)+SQRT(1-E$9^2*$C$11)*NORMSINV(D96))*(E$7-E$5)*(E$6-E$5)),E$7-SQRT((1-NORMSDIST(E$9*SQRT($C$11)*NORMSINV($B96)+SQRT(1-E$9^2*$C$11)*NORMSINV(D96)))*(E$7-E$5)*(E$7-E$6))))</f>
        <v>0.0549323920565447</v>
      </c>
      <c r="F96" s="2" t="n">
        <v>0.171543419</v>
      </c>
      <c r="G96" s="2" t="n">
        <f aca="false">IF(G$7=G$5,G$6,IF(NORMSDIST(G$9*SQRT($C$11)*NORMSINV($B96)+SQRT(1-G$9^2*$C$11)*NORMSINV(F96))&lt;G$8,G$5+SQRT(NORMSDIST(G$9*SQRT($C$11)*NORMSINV($B96)+SQRT(1-G$9^2*$C$11)*NORMSINV(F96))*(G$7-G$5)*(G$6-G$5)),G$7-SQRT((1-NORMSDIST(G$9*SQRT($C$11)*NORMSINV($B96)+SQRT(1-G$9^2*$C$11)*NORMSINV(F96)))*(G$7-G$5)*(G$7-G$6))))</f>
        <v>0.0505772453741858</v>
      </c>
      <c r="H96" s="2" t="n">
        <v>0.833618381</v>
      </c>
      <c r="I96" s="2" t="n">
        <f aca="false">IF(I$7=I$5,I$6,IF(NORMSDIST(I$9*SQRT($C$11)*NORMSINV($B96)+SQRT(1-I$9^2*$C$11)*NORMSINV(H96))&lt;I$8,I$5+SQRT(NORMSDIST(I$9*SQRT($C$11)*NORMSINV($B96)+SQRT(1-I$9^2*$C$11)*NORMSINV(H96))*(I$7-I$5)*(I$6-I$5)),I$7-SQRT((1-NORMSDIST(I$9*SQRT($C$11)*NORMSINV($B96)+SQRT(1-I$9^2*$C$11)*NORMSINV(H96)))*(I$7-I$5)*(I$7-I$6))))</f>
        <v>207.032843802568</v>
      </c>
      <c r="J96" s="2" t="n">
        <v>0.037778833</v>
      </c>
      <c r="K96" s="2" t="n">
        <f aca="false">IF(K$7=K$5,K$6,IF(NORMSDIST(K$9*SQRT($C$11)*NORMSINV($B96)+SQRT(1-K$9^2*$C$11)*NORMSINV(J96))&lt;K$8,K$5+SQRT(NORMSDIST(K$9*SQRT($C$11)*NORMSINV($B96)+SQRT(1-K$9^2*$C$11)*NORMSINV(J96))*(K$7-K$5)*(K$6-K$5)),K$7-SQRT((1-NORMSDIST(K$9*SQRT($C$11)*NORMSINV($B96)+SQRT(1-K$9^2*$C$11)*NORMSINV(J96)))*(K$7-K$5)*(K$7-K$6))))</f>
        <v>0.107967350471804</v>
      </c>
      <c r="L96" s="2" t="n">
        <v>0.416606501</v>
      </c>
      <c r="M96" s="2" t="n">
        <f aca="false">IF(M$7=M$5,M$6,IF(NORMSDIST(M$9*SQRT($C$11)*NORMSINV($B96)+SQRT(1-M$9^2*$C$11)*NORMSINV(L96))&lt;M$8,M$5+SQRT(NORMSDIST(M$9*SQRT($C$11)*NORMSINV($B96)+SQRT(1-M$9^2*$C$11)*NORMSINV(L96))*(M$7-M$5)*(M$6-M$5)),M$7-SQRT((1-NORMSDIST(M$9*SQRT($C$11)*NORMSINV($B96)+SQRT(1-M$9^2*$C$11)*NORMSINV(L96)))*(M$7-M$5)*(M$7-M$6))))</f>
        <v>1572.99450640837</v>
      </c>
      <c r="N96" s="2" t="n">
        <v>0.751798255</v>
      </c>
      <c r="O96" s="2" t="n">
        <f aca="false">IF(O$7=O$5,O$6,IF(NORMSDIST(O$9*SQRT($C$11)*NORMSINV($B96)+SQRT(1-O$9^2*$C$11)*NORMSINV(N96))&lt;O$8,O$5+SQRT(NORMSDIST(O$9*SQRT($C$11)*NORMSINV($B96)+SQRT(1-O$9^2*$C$11)*NORMSINV(N96))*(O$7-O$5)*(O$6-O$5)),O$7-SQRT((1-NORMSDIST(O$9*SQRT($C$11)*NORMSINV($B96)+SQRT(1-O$9^2*$C$11)*NORMSINV(N96)))*(O$7-O$5)*(O$7-O$6))))</f>
        <v>0.172725337243539</v>
      </c>
      <c r="P96" s="2" t="n">
        <v>0.787425886</v>
      </c>
      <c r="Q96" s="2" t="n">
        <f aca="false">IF(Q$7=Q$5,Q$6,IF(NORMSDIST(Q$9*SQRT($C$11)*NORMSINV($B96)+SQRT(1-Q$9^2*$C$11)*NORMSINV(P96))&lt;Q$8,Q$5+SQRT(NORMSDIST(Q$9*SQRT($C$11)*NORMSINV($B96)+SQRT(1-Q$9^2*$C$11)*NORMSINV(P96))*(Q$7-Q$5)*(Q$6-Q$5)),Q$7-SQRT((1-NORMSDIST(Q$9*SQRT($C$11)*NORMSINV($B96)+SQRT(1-Q$9^2*$C$11)*NORMSINV(P96)))*(Q$7-Q$5)*(Q$7-Q$6))))</f>
        <v>0.0939186433481692</v>
      </c>
      <c r="R96" s="2" t="n">
        <v>0.34387328</v>
      </c>
      <c r="S96" s="2" t="n">
        <f aca="false">IF(S$7=S$5,S$6,IF(NORMSDIST(S$9*SQRT($C$11)*NORMSINV($B96)+SQRT(1-S$9^2*$C$11)*NORMSINV(R96))&lt;S$8,S$5+SQRT(NORMSDIST(S$9*SQRT($C$11)*NORMSINV($B96)+SQRT(1-S$9^2*$C$11)*NORMSINV(R96))*(S$7-S$5)*(S$6-S$5)),S$7-SQRT((1-NORMSDIST(S$9*SQRT($C$11)*NORMSINV($B96)+SQRT(1-S$9^2*$C$11)*NORMSINV(R96)))*(S$7-S$5)*(S$7-S$6))))</f>
        <v>0.446687030061657</v>
      </c>
      <c r="T96" s="2" t="n">
        <v>0.195101659</v>
      </c>
      <c r="U96" s="2" t="n">
        <f aca="false">IF(U$7=U$5,U$6,IF(NORMSDIST(U$9*SQRT($C$11)*NORMSINV($B96)+SQRT(1-U$9^2*$C$11)*NORMSINV(T96))&lt;U$8,U$5+SQRT(NORMSDIST(U$9*SQRT($C$11)*NORMSINV($B96)+SQRT(1-U$9^2*$C$11)*NORMSINV(T96))*(U$7-U$5)*(U$6-U$5)),U$7-SQRT((1-NORMSDIST(U$9*SQRT($C$11)*NORMSINV($B96)+SQRT(1-U$9^2*$C$11)*NORMSINV(T96)))*(U$7-U$5)*(U$7-U$6))))</f>
        <v>0.36804873884187</v>
      </c>
      <c r="V96" s="2" t="n">
        <v>0.437004838</v>
      </c>
      <c r="W96" s="2" t="n">
        <f aca="false">IF(W$7=W$5,W$6,IF(NORMSDIST(W$9*SQRT($C$11)*NORMSINV($B96)+SQRT(1-W$9^2*$C$11)*NORMSINV(V96))&lt;W$8,W$5+SQRT(NORMSDIST(W$9*SQRT($C$11)*NORMSINV($B96)+SQRT(1-W$9^2*$C$11)*NORMSINV(V96))*(W$7-W$5)*(W$6-W$5)),W$7-SQRT((1-NORMSDIST(W$9*SQRT($C$11)*NORMSINV($B96)+SQRT(1-W$9^2*$C$11)*NORMSINV(V96)))*(W$7-W$5)*(W$7-W$6))))</f>
        <v>9.9456126843957</v>
      </c>
      <c r="X96" s="2" t="n">
        <v>0.824745133</v>
      </c>
      <c r="Y96" s="2" t="n">
        <f aca="false">IF(Y$7=Y$5,Y$6,IF(NORMSDIST(Y$9*SQRT($C$11)*NORMSINV($B96)+SQRT(1-Y$9^2*$C$11)*NORMSINV(X96))&lt;Y$8,Y$5+SQRT(NORMSDIST(Y$9*SQRT($C$11)*NORMSINV($B96)+SQRT(1-Y$9^2*$C$11)*NORMSINV(X96))*(Y$7-Y$5)*(Y$6-Y$5)),Y$7-SQRT((1-NORMSDIST(Y$9*SQRT($C$11)*NORMSINV($B96)+SQRT(1-Y$9^2*$C$11)*NORMSINV(X96)))*(Y$7-Y$5)*(Y$7-Y$6))))</f>
        <v>0.703980687285441</v>
      </c>
      <c r="Z96" s="2" t="n">
        <v>0.116914963</v>
      </c>
      <c r="AA96" s="2" t="n">
        <f aca="false">IF(AA$7=AA$5,AA$6,IF(NORMSDIST(AA$9*SQRT($C$11)*NORMSINV($B96)+SQRT(1-AA$9^2*$C$11)*NORMSINV(Z96))&lt;AA$8,AA$5+SQRT(NORMSDIST(AA$9*SQRT($C$11)*NORMSINV($B96)+SQRT(1-AA$9^2*$C$11)*NORMSINV(Z96))*(AA$7-AA$5)*(AA$6-AA$5)),AA$7-SQRT((1-NORMSDIST(AA$9*SQRT($C$11)*NORMSINV($B96)+SQRT(1-AA$9^2*$C$11)*NORMSINV(Z96)))*(AA$7-AA$5)*(AA$7-AA$6))))</f>
        <v>0.715658712830431</v>
      </c>
      <c r="AB96" s="2" t="n">
        <v>0.026185066</v>
      </c>
      <c r="AC96" s="2" t="n">
        <f aca="false">IF(AC$7=AC$5,AC$6,IF(NORMSDIST(AC$9*SQRT($C$11)*NORMSINV($B96)+SQRT(1-AC$9^2*$C$11)*NORMSINV(AB96))&lt;AC$8,AC$5+SQRT(NORMSDIST(AC$9*SQRT($C$11)*NORMSINV($B96)+SQRT(1-AC$9^2*$C$11)*NORMSINV(AB96))*(AC$7-AC$5)*(AC$6-AC$5)),AC$7-SQRT((1-NORMSDIST(AC$9*SQRT($C$11)*NORMSINV($B96)+SQRT(1-AC$9^2*$C$11)*NORMSINV(AB96)))*(AC$7-AC$5)*(AC$7-AC$6))))</f>
        <v>8.19913904835608</v>
      </c>
      <c r="AD96" s="2" t="n">
        <f aca="false">Entrées!$C$8*(1+E96)</f>
        <v>7437.27336399864</v>
      </c>
      <c r="AE96" s="2" t="n">
        <f aca="false">I96*Hypothèses!$J$24/12/Hypothèses!$J$19</f>
        <v>102.708331176059</v>
      </c>
      <c r="AF96" s="2" t="n">
        <f aca="false">Entrées!$C$36*S96*1000</f>
        <v>223.343515030828</v>
      </c>
      <c r="AG96" s="2" t="n">
        <f aca="false">-AF96/W96</f>
        <v>-22.4564863038801</v>
      </c>
      <c r="AH96" s="2" t="n">
        <f aca="false">AD96+AE96+AG96</f>
        <v>7517.52520887082</v>
      </c>
      <c r="AI96" s="2" t="n">
        <f aca="false">Entrées!$C$16-M96+Hypothèses!$J$22*1000-AF96+Hypothèses!$J$23</f>
        <v>22751.6619785608</v>
      </c>
      <c r="AJ96" s="2" t="n">
        <f aca="false">AI96/AH96</f>
        <v>3.02648296432893</v>
      </c>
      <c r="AK96" s="2" t="n">
        <f aca="false">AI96/(AH96+I96*(12-Hypothèses!$J$24)/12/Hypothèses!$J$19)</f>
        <v>2.9972331394817</v>
      </c>
      <c r="AL96" s="2" t="n">
        <f aca="false">(AD96+AG96+I96/Hypothèses!$J$19)*(1+G96)</f>
        <v>7974.81452285502</v>
      </c>
      <c r="AM96" s="2" t="n">
        <f aca="false">Entrées!$C$54*K96/Hypothèses!$J$19</f>
        <v>11.0185214412577</v>
      </c>
      <c r="AN96" s="2" t="n">
        <f aca="false">Y96*1000/AC96</f>
        <v>85.8603181545736</v>
      </c>
      <c r="AO96" s="2" t="n">
        <f aca="false">(Entrées!$C$36*(1-S96)+MAX(0,Entrées!$C$30-Entrées!$C$35-Entrées!$C$36)*U96)*1000</f>
        <v>791.92471934779</v>
      </c>
      <c r="AP96" s="2" t="n">
        <f aca="false">-AO96/W96</f>
        <v>-79.6255338386835</v>
      </c>
      <c r="AQ96" s="2" t="n">
        <f aca="false">AL96+AM96+AN96+AP96</f>
        <v>7992.06782861217</v>
      </c>
      <c r="AR96" s="2" t="n">
        <f aca="false">O96*AQ96-Hypothèses!$J$25/Hypothèses!$J$19</f>
        <v>1361.29744870865</v>
      </c>
      <c r="AS96" s="2" t="n">
        <f aca="false">Entrées!$C$79*(1+Q96)+Hypothèses!$J$20</f>
        <v>1497.21658903964</v>
      </c>
      <c r="AT96" s="2" t="n">
        <f aca="false">AI96-AR96+AS96+Y96*1000-AO96+Hypothèses!$J$23</f>
        <v>22799.6370868294</v>
      </c>
      <c r="AU96" s="2" t="n">
        <f aca="false">AT96/AQ96</f>
        <v>2.8527832315443</v>
      </c>
      <c r="AV96" s="2" t="n">
        <f aca="false">Hypothèses!$J$26*AQ96-AT96</f>
        <v>1176.56639900707</v>
      </c>
      <c r="AW96" s="2" t="n">
        <f aca="false">IF(AC96&gt;Hypothèses!$J$26,MAX(0,AV96)/(1-Hypothèses!$J$26/AC96),0)</f>
        <v>1855.46711010409</v>
      </c>
      <c r="AX96" s="2" t="n">
        <f aca="false">AQ96-Entrées!$C$17*1000</f>
        <v>-7.93217138782893</v>
      </c>
      <c r="AY96" s="2" t="n">
        <f aca="false">AI96+(Entrées!$C$244-Entrées!$C$13)</f>
        <v>28498.6619785608</v>
      </c>
      <c r="AZ96" s="2" t="n">
        <f aca="false">AA96*AH96</f>
        <v>5379.98241465081</v>
      </c>
      <c r="BA96" s="2" t="n">
        <f aca="false">AZ96/AY96</f>
        <v>0.188780175669233</v>
      </c>
      <c r="BB96" s="2" t="n">
        <f aca="false">AZ96/(Entrées!$C$151/100)-AY96</f>
        <v>1390.12921394369</v>
      </c>
      <c r="BC96" s="2" t="n">
        <f aca="false">AT96+(Entrées!$C$244-Entrées!$C$13)</f>
        <v>28546.6370868294</v>
      </c>
      <c r="BD96" s="2" t="n">
        <f aca="false">AA96*AQ96</f>
        <v>5719.59297507809</v>
      </c>
      <c r="BE96" s="2" t="n">
        <f aca="false">BD96/BC96</f>
        <v>0.200359606551237</v>
      </c>
      <c r="BF96" s="2" t="n">
        <f aca="false">BD96/(Entrées!$C$151/100)-BC96</f>
        <v>3228.87944138215</v>
      </c>
      <c r="BG96" s="2" t="n">
        <f aca="false">MIN(AV96,BF96)</f>
        <v>1176.56639900707</v>
      </c>
      <c r="BH96" s="2" t="n">
        <f aca="false">IF(AC96&gt;Hypothèses!$J$26,MAX(0,BG96)/(1-Hypothèses!$J$26/AC96),0)</f>
        <v>1855.46711010409</v>
      </c>
    </row>
    <row r="97" customFormat="false" ht="15" hidden="false" customHeight="false" outlineLevel="0" collapsed="false">
      <c r="A97" s="2" t="n">
        <v>82</v>
      </c>
      <c r="B97" s="2" t="n">
        <v>0.140227005</v>
      </c>
      <c r="C97" s="2"/>
      <c r="D97" s="2" t="n">
        <v>0.488907563</v>
      </c>
      <c r="E97" s="2" t="n">
        <f aca="false">IF(E$7=E$5,E$6,IF(NORMSDIST(E$9*SQRT($C$11)*NORMSINV($B97)+SQRT(1-E$9^2*$C$11)*NORMSINV(D97))&lt;E$8,E$5+SQRT(NORMSDIST(E$9*SQRT($C$11)*NORMSINV($B97)+SQRT(1-E$9^2*$C$11)*NORMSINV(D97))*(E$7-E$5)*(E$6-E$5)),E$7-SQRT((1-NORMSDIST(E$9*SQRT($C$11)*NORMSINV($B97)+SQRT(1-E$9^2*$C$11)*NORMSINV(D97)))*(E$7-E$5)*(E$7-E$6))))</f>
        <v>0.0534689326146585</v>
      </c>
      <c r="F97" s="2" t="n">
        <v>0.570430257</v>
      </c>
      <c r="G97" s="2" t="n">
        <f aca="false">IF(G$7=G$5,G$6,IF(NORMSDIST(G$9*SQRT($C$11)*NORMSINV($B97)+SQRT(1-G$9^2*$C$11)*NORMSINV(F97))&lt;G$8,G$5+SQRT(NORMSDIST(G$9*SQRT($C$11)*NORMSINV($B97)+SQRT(1-G$9^2*$C$11)*NORMSINV(F97))*(G$7-G$5)*(G$6-G$5)),G$7-SQRT((1-NORMSDIST(G$9*SQRT($C$11)*NORMSINV($B97)+SQRT(1-G$9^2*$C$11)*NORMSINV(F97)))*(G$7-G$5)*(G$7-G$6))))</f>
        <v>0.0514792243777703</v>
      </c>
      <c r="H97" s="2" t="n">
        <v>0.316536606</v>
      </c>
      <c r="I97" s="2" t="n">
        <f aca="false">IF(I$7=I$5,I$6,IF(NORMSDIST(I$9*SQRT($C$11)*NORMSINV($B97)+SQRT(1-I$9^2*$C$11)*NORMSINV(H97))&lt;I$8,I$5+SQRT(NORMSDIST(I$9*SQRT($C$11)*NORMSINV($B97)+SQRT(1-I$9^2*$C$11)*NORMSINV(H97))*(I$7-I$5)*(I$6-I$5)),I$7-SQRT((1-NORMSDIST(I$9*SQRT($C$11)*NORMSINV($B97)+SQRT(1-I$9^2*$C$11)*NORMSINV(H97)))*(I$7-I$5)*(I$7-I$6))))</f>
        <v>190.818747390795</v>
      </c>
      <c r="J97" s="2" t="n">
        <v>0.168290108</v>
      </c>
      <c r="K97" s="2" t="n">
        <f aca="false">IF(K$7=K$5,K$6,IF(NORMSDIST(K$9*SQRT($C$11)*NORMSINV($B97)+SQRT(1-K$9^2*$C$11)*NORMSINV(J97))&lt;K$8,K$5+SQRT(NORMSDIST(K$9*SQRT($C$11)*NORMSINV($B97)+SQRT(1-K$9^2*$C$11)*NORMSINV(J97))*(K$7-K$5)*(K$6-K$5)),K$7-SQRT((1-NORMSDIST(K$9*SQRT($C$11)*NORMSINV($B97)+SQRT(1-K$9^2*$C$11)*NORMSINV(J97)))*(K$7-K$5)*(K$7-K$6))))</f>
        <v>0.0979774567697915</v>
      </c>
      <c r="L97" s="2" t="n">
        <v>0.656468366</v>
      </c>
      <c r="M97" s="2" t="n">
        <f aca="false">IF(M$7=M$5,M$6,IF(NORMSDIST(M$9*SQRT($C$11)*NORMSINV($B97)+SQRT(1-M$9^2*$C$11)*NORMSINV(L97))&lt;M$8,M$5+SQRT(NORMSDIST(M$9*SQRT($C$11)*NORMSINV($B97)+SQRT(1-M$9^2*$C$11)*NORMSINV(L97))*(M$7-M$5)*(M$6-M$5)),M$7-SQRT((1-NORMSDIST(M$9*SQRT($C$11)*NORMSINV($B97)+SQRT(1-M$9^2*$C$11)*NORMSINV(L97)))*(M$7-M$5)*(M$7-M$6))))</f>
        <v>1541.10529222322</v>
      </c>
      <c r="N97" s="2" t="n">
        <v>0.144354774</v>
      </c>
      <c r="O97" s="2" t="n">
        <f aca="false">IF(O$7=O$5,O$6,IF(NORMSDIST(O$9*SQRT($C$11)*NORMSINV($B97)+SQRT(1-O$9^2*$C$11)*NORMSINV(N97))&lt;O$8,O$5+SQRT(NORMSDIST(O$9*SQRT($C$11)*NORMSINV($B97)+SQRT(1-O$9^2*$C$11)*NORMSINV(N97))*(O$7-O$5)*(O$6-O$5)),O$7-SQRT((1-NORMSDIST(O$9*SQRT($C$11)*NORMSINV($B97)+SQRT(1-O$9^2*$C$11)*NORMSINV(N97)))*(O$7-O$5)*(O$7-O$6))))</f>
        <v>0.149748692114921</v>
      </c>
      <c r="P97" s="2" t="n">
        <v>0.245270717</v>
      </c>
      <c r="Q97" s="2" t="n">
        <f aca="false">IF(Q$7=Q$5,Q$6,IF(NORMSDIST(Q$9*SQRT($C$11)*NORMSINV($B97)+SQRT(1-Q$9^2*$C$11)*NORMSINV(P97))&lt;Q$8,Q$5+SQRT(NORMSDIST(Q$9*SQRT($C$11)*NORMSINV($B97)+SQRT(1-Q$9^2*$C$11)*NORMSINV(P97))*(Q$7-Q$5)*(Q$6-Q$5)),Q$7-SQRT((1-NORMSDIST(Q$9*SQRT($C$11)*NORMSINV($B97)+SQRT(1-Q$9^2*$C$11)*NORMSINV(P97)))*(Q$7-Q$5)*(Q$7-Q$6))))</f>
        <v>0.0680154652718815</v>
      </c>
      <c r="R97" s="2" t="n">
        <v>0.439998133</v>
      </c>
      <c r="S97" s="2" t="n">
        <f aca="false">IF(S$7=S$5,S$6,IF(NORMSDIST(S$9*SQRT($C$11)*NORMSINV($B97)+SQRT(1-S$9^2*$C$11)*NORMSINV(R97))&lt;S$8,S$5+SQRT(NORMSDIST(S$9*SQRT($C$11)*NORMSINV($B97)+SQRT(1-S$9^2*$C$11)*NORMSINV(R97))*(S$7-S$5)*(S$6-S$5)),S$7-SQRT((1-NORMSDIST(S$9*SQRT($C$11)*NORMSINV($B97)+SQRT(1-S$9^2*$C$11)*NORMSINV(R97)))*(S$7-S$5)*(S$7-S$6))))</f>
        <v>0.325564787949804</v>
      </c>
      <c r="T97" s="2" t="n">
        <v>0.739234872</v>
      </c>
      <c r="U97" s="2" t="n">
        <f aca="false">IF(U$7=U$5,U$6,IF(NORMSDIST(U$9*SQRT($C$11)*NORMSINV($B97)+SQRT(1-U$9^2*$C$11)*NORMSINV(T97))&lt;U$8,U$5+SQRT(NORMSDIST(U$9*SQRT($C$11)*NORMSINV($B97)+SQRT(1-U$9^2*$C$11)*NORMSINV(T97))*(U$7-U$5)*(U$6-U$5)),U$7-SQRT((1-NORMSDIST(U$9*SQRT($C$11)*NORMSINV($B97)+SQRT(1-U$9^2*$C$11)*NORMSINV(T97)))*(U$7-U$5)*(U$7-U$6))))</f>
        <v>0.461618054209121</v>
      </c>
      <c r="V97" s="2" t="n">
        <v>0.087213168</v>
      </c>
      <c r="W97" s="2" t="n">
        <f aca="false">IF(W$7=W$5,W$6,IF(NORMSDIST(W$9*SQRT($C$11)*NORMSINV($B97)+SQRT(1-W$9^2*$C$11)*NORMSINV(V97))&lt;W$8,W$5+SQRT(NORMSDIST(W$9*SQRT($C$11)*NORMSINV($B97)+SQRT(1-W$9^2*$C$11)*NORMSINV(V97))*(W$7-W$5)*(W$6-W$5)),W$7-SQRT((1-NORMSDIST(W$9*SQRT($C$11)*NORMSINV($B97)+SQRT(1-W$9^2*$C$11)*NORMSINV(V97)))*(W$7-W$5)*(W$7-W$6))))</f>
        <v>8.5755386977778</v>
      </c>
      <c r="X97" s="2" t="n">
        <v>0.993145318</v>
      </c>
      <c r="Y97" s="2" t="n">
        <f aca="false">IF(Y$7=Y$5,Y$6,IF(NORMSDIST(Y$9*SQRT($C$11)*NORMSINV($B97)+SQRT(1-Y$9^2*$C$11)*NORMSINV(X97))&lt;Y$8,Y$5+SQRT(NORMSDIST(Y$9*SQRT($C$11)*NORMSINV($B97)+SQRT(1-Y$9^2*$C$11)*NORMSINV(X97))*(Y$7-Y$5)*(Y$6-Y$5)),Y$7-SQRT((1-NORMSDIST(Y$9*SQRT($C$11)*NORMSINV($B97)+SQRT(1-Y$9^2*$C$11)*NORMSINV(X97)))*(Y$7-Y$5)*(Y$7-Y$6))))</f>
        <v>0.941456503350073</v>
      </c>
      <c r="Z97" s="2" t="n">
        <v>0.906386524</v>
      </c>
      <c r="AA97" s="2" t="n">
        <f aca="false">IF(AA$7=AA$5,AA$6,IF(NORMSDIST(AA$9*SQRT($C$11)*NORMSINV($B97)+SQRT(1-AA$9^2*$C$11)*NORMSINV(Z97))&lt;AA$8,AA$5+SQRT(NORMSDIST(AA$9*SQRT($C$11)*NORMSINV($B97)+SQRT(1-AA$9^2*$C$11)*NORMSINV(Z97))*(AA$7-AA$5)*(AA$6-AA$5)),AA$7-SQRT((1-NORMSDIST(AA$9*SQRT($C$11)*NORMSINV($B97)+SQRT(1-AA$9^2*$C$11)*NORMSINV(Z97)))*(AA$7-AA$5)*(AA$7-AA$6))))</f>
        <v>0.732140788824279</v>
      </c>
      <c r="AB97" s="2" t="n">
        <v>0.617228855</v>
      </c>
      <c r="AC97" s="2" t="n">
        <f aca="false">IF(AC$7=AC$5,AC$6,IF(NORMSDIST(AC$9*SQRT($C$11)*NORMSINV($B97)+SQRT(1-AC$9^2*$C$11)*NORMSINV(AB97))&lt;AC$8,AC$5+SQRT(NORMSDIST(AC$9*SQRT($C$11)*NORMSINV($B97)+SQRT(1-AC$9^2*$C$11)*NORMSINV(AB97))*(AC$7-AC$5)*(AC$6-AC$5)),AC$7-SQRT((1-NORMSDIST(AC$9*SQRT($C$11)*NORMSINV($B97)+SQRT(1-AC$9^2*$C$11)*NORMSINV(AB97)))*(AC$7-AC$5)*(AC$7-AC$6))))</f>
        <v>9.07769979931872</v>
      </c>
      <c r="AD97" s="2" t="n">
        <f aca="false">Entrées!$C$8*(1+E97)</f>
        <v>7426.95597493334</v>
      </c>
      <c r="AE97" s="2" t="n">
        <f aca="false">I97*Hypothèses!$J$24/12/Hypothèses!$J$19</f>
        <v>94.6645698414133</v>
      </c>
      <c r="AF97" s="2" t="n">
        <f aca="false">Entrées!$C$36*S97*1000</f>
        <v>162.782393974902</v>
      </c>
      <c r="AG97" s="2" t="n">
        <f aca="false">-AF97/W97</f>
        <v>-18.9821770633586</v>
      </c>
      <c r="AH97" s="2" t="n">
        <f aca="false">AD97+AE97+AG97</f>
        <v>7502.6383677114</v>
      </c>
      <c r="AI97" s="2" t="n">
        <f aca="false">Entrées!$C$16-M97+Hypothèses!$J$22*1000-AF97+Hypothèses!$J$23</f>
        <v>22844.1123138019</v>
      </c>
      <c r="AJ97" s="2" t="n">
        <f aca="false">AI97/AH97</f>
        <v>3.04481053120121</v>
      </c>
      <c r="AK97" s="2" t="n">
        <f aca="false">AI97/(AH97+I97*(12-Hypothèses!$J$24)/12/Hypothèses!$J$19)</f>
        <v>3.01761427387118</v>
      </c>
      <c r="AL97" s="2" t="n">
        <f aca="false">(AD97+AG97+I97/Hypothèses!$J$19)*(1+G97)</f>
        <v>7959.9668205773</v>
      </c>
      <c r="AM97" s="2" t="n">
        <f aca="false">Entrées!$C$54*K97/Hypothèses!$J$19</f>
        <v>9.99901084411416</v>
      </c>
      <c r="AN97" s="2" t="n">
        <f aca="false">Y97*1000/AC97</f>
        <v>103.710909609583</v>
      </c>
      <c r="AO97" s="2" t="n">
        <f aca="false">(Entrées!$C$36*(1-S97)+MAX(0,Entrées!$C$30-Entrées!$C$35-Entrées!$C$36)*U97)*1000</f>
        <v>983.482881917868</v>
      </c>
      <c r="AP97" s="2" t="n">
        <f aca="false">-AO97/W97</f>
        <v>-114.684676564135</v>
      </c>
      <c r="AQ97" s="2" t="n">
        <f aca="false">AL97+AM97+AN97+AP97</f>
        <v>7958.99206446686</v>
      </c>
      <c r="AR97" s="2" t="n">
        <f aca="false">O97*AQ97-Hypothèses!$J$25/Hypothèses!$J$19</f>
        <v>1172.71348994532</v>
      </c>
      <c r="AS97" s="2" t="n">
        <f aca="false">Entrées!$C$79*(1+Q97)+Hypothèses!$J$20</f>
        <v>1468.7489963338</v>
      </c>
      <c r="AT97" s="2" t="n">
        <f aca="false">AI97-AR97+AS97+Y97*1000-AO97+Hypothèses!$J$23</f>
        <v>23098.1214416226</v>
      </c>
      <c r="AU97" s="2" t="n">
        <f aca="false">AT97/AQ97</f>
        <v>2.90214153432126</v>
      </c>
      <c r="AV97" s="2" t="n">
        <f aca="false">Hypothèses!$J$26*AQ97-AT97</f>
        <v>778.854751778024</v>
      </c>
      <c r="AW97" s="2" t="n">
        <f aca="false">IF(AC97&gt;Hypothèses!$J$26,MAX(0,AV97)/(1-Hypothèses!$J$26/AC97),0)</f>
        <v>1163.30352886241</v>
      </c>
      <c r="AX97" s="2" t="n">
        <f aca="false">AQ97-Entrées!$C$17*1000</f>
        <v>-41.0079355331391</v>
      </c>
      <c r="AY97" s="2" t="n">
        <f aca="false">AI97+(Entrées!$C$244-Entrées!$C$13)</f>
        <v>28591.1123138019</v>
      </c>
      <c r="AZ97" s="2" t="n">
        <f aca="false">AA97*AH97</f>
        <v>5492.98757279952</v>
      </c>
      <c r="BA97" s="2" t="n">
        <f aca="false">AZ97/AY97</f>
        <v>0.192122206107661</v>
      </c>
      <c r="BB97" s="2" t="n">
        <f aca="false">AZ97/(Entrées!$C$151/100)-AY97</f>
        <v>1925.48531286214</v>
      </c>
      <c r="BC97" s="2" t="n">
        <f aca="false">AT97+(Entrées!$C$244-Entrées!$C$13)</f>
        <v>28845.1214416226</v>
      </c>
      <c r="BD97" s="2" t="n">
        <f aca="false">AA97*AQ97</f>
        <v>5827.10272832494</v>
      </c>
      <c r="BE97" s="2" t="n">
        <f aca="false">BD97/BC97</f>
        <v>0.202013457981724</v>
      </c>
      <c r="BF97" s="2" t="n">
        <f aca="false">BD97/(Entrées!$C$151/100)-BC97</f>
        <v>3527.67149351602</v>
      </c>
      <c r="BG97" s="2" t="n">
        <f aca="false">MIN(AV97,BF97)</f>
        <v>778.854751778024</v>
      </c>
      <c r="BH97" s="2" t="n">
        <f aca="false">IF(AC97&gt;Hypothèses!$J$26,MAX(0,BG97)/(1-Hypothèses!$J$26/AC97),0)</f>
        <v>1163.30352886241</v>
      </c>
    </row>
    <row r="98" customFormat="false" ht="15" hidden="false" customHeight="false" outlineLevel="0" collapsed="false">
      <c r="A98" s="2" t="n">
        <v>83</v>
      </c>
      <c r="B98" s="2" t="n">
        <v>0.108805576</v>
      </c>
      <c r="C98" s="2"/>
      <c r="D98" s="2" t="n">
        <v>0.103980199</v>
      </c>
      <c r="E98" s="2" t="n">
        <f aca="false">IF(E$7=E$5,E$6,IF(NORMSDIST(E$9*SQRT($C$11)*NORMSINV($B98)+SQRT(1-E$9^2*$C$11)*NORMSINV(D98))&lt;E$8,E$5+SQRT(NORMSDIST(E$9*SQRT($C$11)*NORMSINV($B98)+SQRT(1-E$9^2*$C$11)*NORMSINV(D98))*(E$7-E$5)*(E$6-E$5)),E$7-SQRT((1-NORMSDIST(E$9*SQRT($C$11)*NORMSINV($B98)+SQRT(1-E$9^2*$C$11)*NORMSINV(D98)))*(E$7-E$5)*(E$7-E$6))))</f>
        <v>0.0514074617979795</v>
      </c>
      <c r="F98" s="2" t="n">
        <v>0.171027278</v>
      </c>
      <c r="G98" s="2" t="n">
        <f aca="false">IF(G$7=G$5,G$6,IF(NORMSDIST(G$9*SQRT($C$11)*NORMSINV($B98)+SQRT(1-G$9^2*$C$11)*NORMSINV(F98))&lt;G$8,G$5+SQRT(NORMSDIST(G$9*SQRT($C$11)*NORMSINV($B98)+SQRT(1-G$9^2*$C$11)*NORMSINV(F98))*(G$7-G$5)*(G$6-G$5)),G$7-SQRT((1-NORMSDIST(G$9*SQRT($C$11)*NORMSINV($B98)+SQRT(1-G$9^2*$C$11)*NORMSINV(F98)))*(G$7-G$5)*(G$7-G$6))))</f>
        <v>0.0453998347935974</v>
      </c>
      <c r="H98" s="2" t="n">
        <v>0.555252956</v>
      </c>
      <c r="I98" s="2" t="n">
        <f aca="false">IF(I$7=I$5,I$6,IF(NORMSDIST(I$9*SQRT($C$11)*NORMSINV($B98)+SQRT(1-I$9^2*$C$11)*NORMSINV(H98))&lt;I$8,I$5+SQRT(NORMSDIST(I$9*SQRT($C$11)*NORMSINV($B98)+SQRT(1-I$9^2*$C$11)*NORMSINV(H98))*(I$7-I$5)*(I$6-I$5)),I$7-SQRT((1-NORMSDIST(I$9*SQRT($C$11)*NORMSINV($B98)+SQRT(1-I$9^2*$C$11)*NORMSINV(H98)))*(I$7-I$5)*(I$7-I$6))))</f>
        <v>194.163329855192</v>
      </c>
      <c r="J98" s="2" t="n">
        <v>0.467948517</v>
      </c>
      <c r="K98" s="2" t="n">
        <f aca="false">IF(K$7=K$5,K$6,IF(NORMSDIST(K$9*SQRT($C$11)*NORMSINV($B98)+SQRT(1-K$9^2*$C$11)*NORMSINV(J98))&lt;K$8,K$5+SQRT(NORMSDIST(K$9*SQRT($C$11)*NORMSINV($B98)+SQRT(1-K$9^2*$C$11)*NORMSINV(J98))*(K$7-K$5)*(K$6-K$5)),K$7-SQRT((1-NORMSDIST(K$9*SQRT($C$11)*NORMSINV($B98)+SQRT(1-K$9^2*$C$11)*NORMSINV(J98)))*(K$7-K$5)*(K$7-K$6))))</f>
        <v>0.15806568540411</v>
      </c>
      <c r="L98" s="2" t="n">
        <v>0.171898893</v>
      </c>
      <c r="M98" s="2" t="n">
        <f aca="false">IF(M$7=M$5,M$6,IF(NORMSDIST(M$9*SQRT($C$11)*NORMSINV($B98)+SQRT(1-M$9^2*$C$11)*NORMSINV(L98))&lt;M$8,M$5+SQRT(NORMSDIST(M$9*SQRT($C$11)*NORMSINV($B98)+SQRT(1-M$9^2*$C$11)*NORMSINV(L98))*(M$7-M$5)*(M$6-M$5)),M$7-SQRT((1-NORMSDIST(M$9*SQRT($C$11)*NORMSINV($B98)+SQRT(1-M$9^2*$C$11)*NORMSINV(L98)))*(M$7-M$5)*(M$7-M$6))))</f>
        <v>1405.03451827359</v>
      </c>
      <c r="N98" s="2" t="n">
        <v>0.64357753</v>
      </c>
      <c r="O98" s="2" t="n">
        <f aca="false">IF(O$7=O$5,O$6,IF(NORMSDIST(O$9*SQRT($C$11)*NORMSINV($B98)+SQRT(1-O$9^2*$C$11)*NORMSINV(N98))&lt;O$8,O$5+SQRT(NORMSDIST(O$9*SQRT($C$11)*NORMSINV($B98)+SQRT(1-O$9^2*$C$11)*NORMSINV(N98))*(O$7-O$5)*(O$6-O$5)),O$7-SQRT((1-NORMSDIST(O$9*SQRT($C$11)*NORMSINV($B98)+SQRT(1-O$9^2*$C$11)*NORMSINV(N98)))*(O$7-O$5)*(O$7-O$6))))</f>
        <v>0.161104215373528</v>
      </c>
      <c r="P98" s="2" t="n">
        <v>0.137017034</v>
      </c>
      <c r="Q98" s="2" t="n">
        <f aca="false">IF(Q$7=Q$5,Q$6,IF(NORMSDIST(Q$9*SQRT($C$11)*NORMSINV($B98)+SQRT(1-Q$9^2*$C$11)*NORMSINV(P98))&lt;Q$8,Q$5+SQRT(NORMSDIST(Q$9*SQRT($C$11)*NORMSINV($B98)+SQRT(1-Q$9^2*$C$11)*NORMSINV(P98))*(Q$7-Q$5)*(Q$6-Q$5)),Q$7-SQRT((1-NORMSDIST(Q$9*SQRT($C$11)*NORMSINV($B98)+SQRT(1-Q$9^2*$C$11)*NORMSINV(P98)))*(Q$7-Q$5)*(Q$7-Q$6))))</f>
        <v>0.0609393053561956</v>
      </c>
      <c r="R98" s="2" t="n">
        <v>0.004433987</v>
      </c>
      <c r="S98" s="2" t="n">
        <f aca="false">IF(S$7=S$5,S$6,IF(NORMSDIST(S$9*SQRT($C$11)*NORMSINV($B98)+SQRT(1-S$9^2*$C$11)*NORMSINV(R98))&lt;S$8,S$5+SQRT(NORMSDIST(S$9*SQRT($C$11)*NORMSINV($B98)+SQRT(1-S$9^2*$C$11)*NORMSINV(R98))*(S$7-S$5)*(S$6-S$5)),S$7-SQRT((1-NORMSDIST(S$9*SQRT($C$11)*NORMSINV($B98)+SQRT(1-S$9^2*$C$11)*NORMSINV(R98)))*(S$7-S$5)*(S$7-S$6))))</f>
        <v>0.0353595813048072</v>
      </c>
      <c r="T98" s="2" t="n">
        <v>0.051700565</v>
      </c>
      <c r="U98" s="2" t="n">
        <f aca="false">IF(U$7=U$5,U$6,IF(NORMSDIST(U$9*SQRT($C$11)*NORMSINV($B98)+SQRT(1-U$9^2*$C$11)*NORMSINV(T98))&lt;U$8,U$5+SQRT(NORMSDIST(U$9*SQRT($C$11)*NORMSINV($B98)+SQRT(1-U$9^2*$C$11)*NORMSINV(T98))*(U$7-U$5)*(U$6-U$5)),U$7-SQRT((1-NORMSDIST(U$9*SQRT($C$11)*NORMSINV($B98)+SQRT(1-U$9^2*$C$11)*NORMSINV(T98)))*(U$7-U$5)*(U$7-U$6))))</f>
        <v>0.101520502323412</v>
      </c>
      <c r="V98" s="2" t="n">
        <v>0.208263796</v>
      </c>
      <c r="W98" s="2" t="n">
        <f aca="false">IF(W$7=W$5,W$6,IF(NORMSDIST(W$9*SQRT($C$11)*NORMSINV($B98)+SQRT(1-W$9^2*$C$11)*NORMSINV(V98))&lt;W$8,W$5+SQRT(NORMSDIST(W$9*SQRT($C$11)*NORMSINV($B98)+SQRT(1-W$9^2*$C$11)*NORMSINV(V98))*(W$7-W$5)*(W$6-W$5)),W$7-SQRT((1-NORMSDIST(W$9*SQRT($C$11)*NORMSINV($B98)+SQRT(1-W$9^2*$C$11)*NORMSINV(V98)))*(W$7-W$5)*(W$7-W$6))))</f>
        <v>8.7970182895386</v>
      </c>
      <c r="X98" s="2" t="n">
        <v>0.803557024</v>
      </c>
      <c r="Y98" s="2" t="n">
        <f aca="false">IF(Y$7=Y$5,Y$6,IF(NORMSDIST(Y$9*SQRT($C$11)*NORMSINV($B98)+SQRT(1-Y$9^2*$C$11)*NORMSINV(X98))&lt;Y$8,Y$5+SQRT(NORMSDIST(Y$9*SQRT($C$11)*NORMSINV($B98)+SQRT(1-Y$9^2*$C$11)*NORMSINV(X98))*(Y$7-Y$5)*(Y$6-Y$5)),Y$7-SQRT((1-NORMSDIST(Y$9*SQRT($C$11)*NORMSINV($B98)+SQRT(1-Y$9^2*$C$11)*NORMSINV(X98)))*(Y$7-Y$5)*(Y$7-Y$6))))</f>
        <v>0.686596924073806</v>
      </c>
      <c r="Z98" s="2" t="n">
        <v>0.271758238</v>
      </c>
      <c r="AA98" s="2" t="n">
        <f aca="false">IF(AA$7=AA$5,AA$6,IF(NORMSDIST(AA$9*SQRT($C$11)*NORMSINV($B98)+SQRT(1-AA$9^2*$C$11)*NORMSINV(Z98))&lt;AA$8,AA$5+SQRT(NORMSDIST(AA$9*SQRT($C$11)*NORMSINV($B98)+SQRT(1-AA$9^2*$C$11)*NORMSINV(Z98))*(AA$7-AA$5)*(AA$6-AA$5)),AA$7-SQRT((1-NORMSDIST(AA$9*SQRT($C$11)*NORMSINV($B98)+SQRT(1-AA$9^2*$C$11)*NORMSINV(Z98)))*(AA$7-AA$5)*(AA$7-AA$6))))</f>
        <v>0.710361011591113</v>
      </c>
      <c r="AB98" s="2" t="n">
        <v>0.936144314</v>
      </c>
      <c r="AC98" s="2" t="n">
        <f aca="false">IF(AC$7=AC$5,AC$6,IF(NORMSDIST(AC$9*SQRT($C$11)*NORMSINV($B98)+SQRT(1-AC$9^2*$C$11)*NORMSINV(AB98))&lt;AC$8,AC$5+SQRT(NORMSDIST(AC$9*SQRT($C$11)*NORMSINV($B98)+SQRT(1-AC$9^2*$C$11)*NORMSINV(AB98))*(AC$7-AC$5)*(AC$6-AC$5)),AC$7-SQRT((1-NORMSDIST(AC$9*SQRT($C$11)*NORMSINV($B98)+SQRT(1-AC$9^2*$C$11)*NORMSINV(AB98)))*(AC$7-AC$5)*(AC$7-AC$6))))</f>
        <v>9.77973964774614</v>
      </c>
      <c r="AD98" s="2" t="n">
        <f aca="false">Entrées!$C$8*(1+E98)</f>
        <v>7412.42260567576</v>
      </c>
      <c r="AE98" s="2" t="n">
        <f aca="false">I98*Hypothèses!$J$24/12/Hypothèses!$J$19</f>
        <v>96.3238064972479</v>
      </c>
      <c r="AF98" s="2" t="n">
        <f aca="false">Entrées!$C$36*S98*1000</f>
        <v>17.6797906524036</v>
      </c>
      <c r="AG98" s="2" t="n">
        <f aca="false">-AF98/W98</f>
        <v>-2.00974808401028</v>
      </c>
      <c r="AH98" s="2" t="n">
        <f aca="false">AD98+AE98+AG98</f>
        <v>7506.73666408899</v>
      </c>
      <c r="AI98" s="2" t="n">
        <f aca="false">Entrées!$C$16-M98+Hypothèses!$J$22*1000-AF98+Hypothèses!$J$23</f>
        <v>23125.285691074</v>
      </c>
      <c r="AJ98" s="2" t="n">
        <f aca="false">AI98/AH98</f>
        <v>3.08060435924196</v>
      </c>
      <c r="AK98" s="2" t="n">
        <f aca="false">AI98/(AH98+I98*(12-Hypothèses!$J$24)/12/Hypothèses!$J$19)</f>
        <v>3.05262563124165</v>
      </c>
      <c r="AL98" s="2" t="n">
        <f aca="false">(AD98+AG98+I98/Hypothèses!$J$19)*(1+G98)</f>
        <v>7919.4676194769</v>
      </c>
      <c r="AM98" s="2" t="n">
        <f aca="false">Entrées!$C$54*K98/Hypothèses!$J$19</f>
        <v>16.1312668704148</v>
      </c>
      <c r="AN98" s="2" t="n">
        <f aca="false">Y98*1000/AC98</f>
        <v>70.2060534128882</v>
      </c>
      <c r="AO98" s="2" t="n">
        <f aca="false">(Entrées!$C$36*(1-S98)+MAX(0,Entrées!$C$30-Entrées!$C$35-Entrées!$C$36)*U98)*1000</f>
        <v>624.448912600373</v>
      </c>
      <c r="AP98" s="2" t="n">
        <f aca="false">-AO98/W98</f>
        <v>-70.9841553180544</v>
      </c>
      <c r="AQ98" s="2" t="n">
        <f aca="false">AL98+AM98+AN98+AP98</f>
        <v>7934.82078444215</v>
      </c>
      <c r="AR98" s="2" t="n">
        <f aca="false">O98*AQ98-Hypothèses!$J$25/Hypothèses!$J$19</f>
        <v>1259.19791434549</v>
      </c>
      <c r="AS98" s="2" t="n">
        <f aca="false">Entrées!$C$79*(1+Q98)+Hypothèses!$J$20</f>
        <v>1460.97229658646</v>
      </c>
      <c r="AT98" s="2" t="n">
        <f aca="false">AI98-AR98+AS98+Y98*1000-AO98+Hypothèses!$J$23</f>
        <v>23389.2080847884</v>
      </c>
      <c r="AU98" s="2" t="n">
        <f aca="false">AT98/AQ98</f>
        <v>2.94766683711972</v>
      </c>
      <c r="AV98" s="2" t="n">
        <f aca="false">Hypothèses!$J$26*AQ98-AT98</f>
        <v>415.254268538032</v>
      </c>
      <c r="AW98" s="2" t="n">
        <f aca="false">IF(AC98&gt;Hypothèses!$J$26,MAX(0,AV98)/(1-Hypothèses!$J$26/AC98),0)</f>
        <v>599.002151250348</v>
      </c>
      <c r="AX98" s="2" t="n">
        <f aca="false">AQ98-Entrées!$C$17*1000</f>
        <v>-65.1792155578542</v>
      </c>
      <c r="AY98" s="2" t="n">
        <f aca="false">AI98+(Entrées!$C$244-Entrées!$C$13)</f>
        <v>28872.285691074</v>
      </c>
      <c r="AZ98" s="2" t="n">
        <f aca="false">AA98*AH98</f>
        <v>5332.49305045036</v>
      </c>
      <c r="BA98" s="2" t="n">
        <f aca="false">AZ98/AY98</f>
        <v>0.184692445465061</v>
      </c>
      <c r="BB98" s="2" t="n">
        <f aca="false">AZ98/(Entrées!$C$151/100)-AY98</f>
        <v>752.675700316868</v>
      </c>
      <c r="BC98" s="2" t="n">
        <f aca="false">AT98+(Entrées!$C$244-Entrées!$C$13)</f>
        <v>29136.2080847884</v>
      </c>
      <c r="BD98" s="2" t="n">
        <f aca="false">AA98*AQ98</f>
        <v>5636.58731923051</v>
      </c>
      <c r="BE98" s="2" t="n">
        <f aca="false">BD98/BC98</f>
        <v>0.193456447826967</v>
      </c>
      <c r="BF98" s="2" t="n">
        <f aca="false">BD98/(Entrées!$C$151/100)-BC98</f>
        <v>2178.16591093667</v>
      </c>
      <c r="BG98" s="2" t="n">
        <f aca="false">MIN(AV98,BF98)</f>
        <v>415.254268538032</v>
      </c>
      <c r="BH98" s="2" t="n">
        <f aca="false">IF(AC98&gt;Hypothèses!$J$26,MAX(0,BG98)/(1-Hypothèses!$J$26/AC98),0)</f>
        <v>599.002151250348</v>
      </c>
    </row>
    <row r="99" customFormat="false" ht="15" hidden="false" customHeight="false" outlineLevel="0" collapsed="false">
      <c r="A99" s="2" t="n">
        <v>84</v>
      </c>
      <c r="B99" s="2" t="n">
        <v>0.031014426</v>
      </c>
      <c r="C99" s="2"/>
      <c r="D99" s="2" t="n">
        <v>0.802071098</v>
      </c>
      <c r="E99" s="2" t="n">
        <f aca="false">IF(E$7=E$5,E$6,IF(NORMSDIST(E$9*SQRT($C$11)*NORMSINV($B99)+SQRT(1-E$9^2*$C$11)*NORMSINV(D99))&lt;E$8,E$5+SQRT(NORMSDIST(E$9*SQRT($C$11)*NORMSINV($B99)+SQRT(1-E$9^2*$C$11)*NORMSINV(D99))*(E$7-E$5)*(E$6-E$5)),E$7-SQRT((1-NORMSDIST(E$9*SQRT($C$11)*NORMSINV($B99)+SQRT(1-E$9^2*$C$11)*NORMSINV(D99)))*(E$7-E$5)*(E$7-E$6))))</f>
        <v>0.0538771288621251</v>
      </c>
      <c r="F99" s="2" t="n">
        <v>0.993998539</v>
      </c>
      <c r="G99" s="2" t="n">
        <f aca="false">IF(G$7=G$5,G$6,IF(NORMSDIST(G$9*SQRT($C$11)*NORMSINV($B99)+SQRT(1-G$9^2*$C$11)*NORMSINV(F99))&lt;G$8,G$5+SQRT(NORMSDIST(G$9*SQRT($C$11)*NORMSINV($B99)+SQRT(1-G$9^2*$C$11)*NORMSINV(F99))*(G$7-G$5)*(G$6-G$5)),G$7-SQRT((1-NORMSDIST(G$9*SQRT($C$11)*NORMSINV($B99)+SQRT(1-G$9^2*$C$11)*NORMSINV(F99)))*(G$7-G$5)*(G$7-G$6))))</f>
        <v>0.0600060557388086</v>
      </c>
      <c r="H99" s="2" t="n">
        <v>0.653653909</v>
      </c>
      <c r="I99" s="2" t="n">
        <f aca="false">IF(I$7=I$5,I$6,IF(NORMSDIST(I$9*SQRT($C$11)*NORMSINV($B99)+SQRT(1-I$9^2*$C$11)*NORMSINV(H99))&lt;I$8,I$5+SQRT(NORMSDIST(I$9*SQRT($C$11)*NORMSINV($B99)+SQRT(1-I$9^2*$C$11)*NORMSINV(H99))*(I$7-I$5)*(I$6-I$5)),I$7-SQRT((1-NORMSDIST(I$9*SQRT($C$11)*NORMSINV($B99)+SQRT(1-I$9^2*$C$11)*NORMSINV(H99)))*(I$7-I$5)*(I$7-I$6))))</f>
        <v>192.362308351141</v>
      </c>
      <c r="J99" s="2" t="n">
        <v>0.209628247</v>
      </c>
      <c r="K99" s="2" t="n">
        <f aca="false">IF(K$7=K$5,K$6,IF(NORMSDIST(K$9*SQRT($C$11)*NORMSINV($B99)+SQRT(1-K$9^2*$C$11)*NORMSINV(J99))&lt;K$8,K$5+SQRT(NORMSDIST(K$9*SQRT($C$11)*NORMSINV($B99)+SQRT(1-K$9^2*$C$11)*NORMSINV(J99))*(K$7-K$5)*(K$6-K$5)),K$7-SQRT((1-NORMSDIST(K$9*SQRT($C$11)*NORMSINV($B99)+SQRT(1-K$9^2*$C$11)*NORMSINV(J99)))*(K$7-K$5)*(K$7-K$6))))</f>
        <v>0.0665858133195798</v>
      </c>
      <c r="L99" s="2" t="n">
        <v>0.80779859</v>
      </c>
      <c r="M99" s="2" t="n">
        <f aca="false">IF(M$7=M$5,M$6,IF(NORMSDIST(M$9*SQRT($C$11)*NORMSINV($B99)+SQRT(1-M$9^2*$C$11)*NORMSINV(L99))&lt;M$8,M$5+SQRT(NORMSDIST(M$9*SQRT($C$11)*NORMSINV($B99)+SQRT(1-M$9^2*$C$11)*NORMSINV(L99))*(M$7-M$5)*(M$6-M$5)),M$7-SQRT((1-NORMSDIST(M$9*SQRT($C$11)*NORMSINV($B99)+SQRT(1-M$9^2*$C$11)*NORMSINV(L99)))*(M$7-M$5)*(M$7-M$6))))</f>
        <v>1524.02364383613</v>
      </c>
      <c r="N99" s="2" t="n">
        <v>0.905416642</v>
      </c>
      <c r="O99" s="2" t="n">
        <f aca="false">IF(O$7=O$5,O$6,IF(NORMSDIST(O$9*SQRT($C$11)*NORMSINV($B99)+SQRT(1-O$9^2*$C$11)*NORMSINV(N99))&lt;O$8,O$5+SQRT(NORMSDIST(O$9*SQRT($C$11)*NORMSINV($B99)+SQRT(1-O$9^2*$C$11)*NORMSINV(N99))*(O$7-O$5)*(O$6-O$5)),O$7-SQRT((1-NORMSDIST(O$9*SQRT($C$11)*NORMSINV($B99)+SQRT(1-O$9^2*$C$11)*NORMSINV(N99)))*(O$7-O$5)*(O$7-O$6))))</f>
        <v>0.164988819903721</v>
      </c>
      <c r="P99" s="2" t="n">
        <v>0.341517631</v>
      </c>
      <c r="Q99" s="2" t="n">
        <f aca="false">IF(Q$7=Q$5,Q$6,IF(NORMSDIST(Q$9*SQRT($C$11)*NORMSINV($B99)+SQRT(1-Q$9^2*$C$11)*NORMSINV(P99))&lt;Q$8,Q$5+SQRT(NORMSDIST(Q$9*SQRT($C$11)*NORMSINV($B99)+SQRT(1-Q$9^2*$C$11)*NORMSINV(P99))*(Q$7-Q$5)*(Q$6-Q$5)),Q$7-SQRT((1-NORMSDIST(Q$9*SQRT($C$11)*NORMSINV($B99)+SQRT(1-Q$9^2*$C$11)*NORMSINV(P99)))*(Q$7-Q$5)*(Q$7-Q$6))))</f>
        <v>0.0730583789560226</v>
      </c>
      <c r="R99" s="2" t="n">
        <v>0.763453021</v>
      </c>
      <c r="S99" s="2" t="n">
        <f aca="false">IF(S$7=S$5,S$6,IF(NORMSDIST(S$9*SQRT($C$11)*NORMSINV($B99)+SQRT(1-S$9^2*$C$11)*NORMSINV(R99))&lt;S$8,S$5+SQRT(NORMSDIST(S$9*SQRT($C$11)*NORMSINV($B99)+SQRT(1-S$9^2*$C$11)*NORMSINV(R99))*(S$7-S$5)*(S$6-S$5)),S$7-SQRT((1-NORMSDIST(S$9*SQRT($C$11)*NORMSINV($B99)+SQRT(1-S$9^2*$C$11)*NORMSINV(R99)))*(S$7-S$5)*(S$7-S$6))))</f>
        <v>0.364798475594286</v>
      </c>
      <c r="T99" s="2" t="n">
        <v>0.912248809</v>
      </c>
      <c r="U99" s="2" t="n">
        <f aca="false">IF(U$7=U$5,U$6,IF(NORMSDIST(U$9*SQRT($C$11)*NORMSINV($B99)+SQRT(1-U$9^2*$C$11)*NORMSINV(T99))&lt;U$8,U$5+SQRT(NORMSDIST(U$9*SQRT($C$11)*NORMSINV($B99)+SQRT(1-U$9^2*$C$11)*NORMSINV(T99))*(U$7-U$5)*(U$6-U$5)),U$7-SQRT((1-NORMSDIST(U$9*SQRT($C$11)*NORMSINV($B99)+SQRT(1-U$9^2*$C$11)*NORMSINV(T99)))*(U$7-U$5)*(U$7-U$6))))</f>
        <v>0.473259151224101</v>
      </c>
      <c r="V99" s="2" t="n">
        <v>0.255451428</v>
      </c>
      <c r="W99" s="2" t="n">
        <f aca="false">IF(W$7=W$5,W$6,IF(NORMSDIST(W$9*SQRT($C$11)*NORMSINV($B99)+SQRT(1-W$9^2*$C$11)*NORMSINV(V99))&lt;W$8,W$5+SQRT(NORMSDIST(W$9*SQRT($C$11)*NORMSINV($B99)+SQRT(1-W$9^2*$C$11)*NORMSINV(V99))*(W$7-W$5)*(W$6-W$5)),W$7-SQRT((1-NORMSDIST(W$9*SQRT($C$11)*NORMSINV($B99)+SQRT(1-W$9^2*$C$11)*NORMSINV(V99)))*(W$7-W$5)*(W$7-W$6))))</f>
        <v>8.60375696141745</v>
      </c>
      <c r="X99" s="2" t="n">
        <v>0.942778683</v>
      </c>
      <c r="Y99" s="2" t="n">
        <f aca="false">IF(Y$7=Y$5,Y$6,IF(NORMSDIST(Y$9*SQRT($C$11)*NORMSINV($B99)+SQRT(1-Y$9^2*$C$11)*NORMSINV(X99))&lt;Y$8,Y$5+SQRT(NORMSDIST(Y$9*SQRT($C$11)*NORMSINV($B99)+SQRT(1-Y$9^2*$C$11)*NORMSINV(X99))*(Y$7-Y$5)*(Y$6-Y$5)),Y$7-SQRT((1-NORMSDIST(Y$9*SQRT($C$11)*NORMSINV($B99)+SQRT(1-Y$9^2*$C$11)*NORMSINV(X99)))*(Y$7-Y$5)*(Y$7-Y$6))))</f>
        <v>0.830853145166693</v>
      </c>
      <c r="Z99" s="2" t="n">
        <v>0.639587868</v>
      </c>
      <c r="AA99" s="2" t="n">
        <f aca="false">IF(AA$7=AA$5,AA$6,IF(NORMSDIST(AA$9*SQRT($C$11)*NORMSINV($B99)+SQRT(1-AA$9^2*$C$11)*NORMSINV(Z99))&lt;AA$8,AA$5+SQRT(NORMSDIST(AA$9*SQRT($C$11)*NORMSINV($B99)+SQRT(1-AA$9^2*$C$11)*NORMSINV(Z99))*(AA$7-AA$5)*(AA$6-AA$5)),AA$7-SQRT((1-NORMSDIST(AA$9*SQRT($C$11)*NORMSINV($B99)+SQRT(1-AA$9^2*$C$11)*NORMSINV(Z99)))*(AA$7-AA$5)*(AA$7-AA$6))))</f>
        <v>0.715129800014064</v>
      </c>
      <c r="AB99" s="2" t="n">
        <v>0.173776739</v>
      </c>
      <c r="AC99" s="2" t="n">
        <f aca="false">IF(AC$7=AC$5,AC$6,IF(NORMSDIST(AC$9*SQRT($C$11)*NORMSINV($B99)+SQRT(1-AC$9^2*$C$11)*NORMSINV(AB99))&lt;AC$8,AC$5+SQRT(NORMSDIST(AC$9*SQRT($C$11)*NORMSINV($B99)+SQRT(1-AC$9^2*$C$11)*NORMSINV(AB99))*(AC$7-AC$5)*(AC$6-AC$5)),AC$7-SQRT((1-NORMSDIST(AC$9*SQRT($C$11)*NORMSINV($B99)+SQRT(1-AC$9^2*$C$11)*NORMSINV(AB99)))*(AC$7-AC$5)*(AC$7-AC$6))))</f>
        <v>7.89366352596984</v>
      </c>
      <c r="AD99" s="2" t="n">
        <f aca="false">Entrées!$C$8*(1+E99)</f>
        <v>7429.83375847798</v>
      </c>
      <c r="AE99" s="2" t="n">
        <f aca="false">I99*Hypothèses!$J$24/12/Hypothèses!$J$19</f>
        <v>95.4303254934815</v>
      </c>
      <c r="AF99" s="2" t="n">
        <f aca="false">Entrées!$C$36*S99*1000</f>
        <v>182.399237797143</v>
      </c>
      <c r="AG99" s="2" t="n">
        <f aca="false">-AF99/W99</f>
        <v>-21.1999523713991</v>
      </c>
      <c r="AH99" s="2" t="n">
        <f aca="false">AD99+AE99+AG99</f>
        <v>7504.06413160006</v>
      </c>
      <c r="AI99" s="2" t="n">
        <f aca="false">Entrées!$C$16-M99+Hypothèses!$J$22*1000-AF99+Hypothèses!$J$23</f>
        <v>22841.5771183667</v>
      </c>
      <c r="AJ99" s="2" t="n">
        <f aca="false">AI99/AH99</f>
        <v>3.04389417758032</v>
      </c>
      <c r="AK99" s="2" t="n">
        <f aca="false">AI99/(AH99+I99*(12-Hypothèses!$J$24)/12/Hypothèses!$J$19)</f>
        <v>3.01649331718751</v>
      </c>
      <c r="AL99" s="2" t="n">
        <f aca="false">(AD99+AG99+I99/Hypothèses!$J$19)*(1+G99)</f>
        <v>8026.60822423718</v>
      </c>
      <c r="AM99" s="2" t="n">
        <f aca="false">Entrées!$C$54*K99/Hypothèses!$J$19</f>
        <v>6.79536182502664</v>
      </c>
      <c r="AN99" s="2" t="n">
        <f aca="false">Y99*1000/AC99</f>
        <v>105.255708256783</v>
      </c>
      <c r="AO99" s="2" t="n">
        <f aca="false">(Entrées!$C$36*(1-S99)+MAX(0,Entrées!$C$30-Entrées!$C$35-Entrées!$C$36)*U99)*1000</f>
        <v>980.163573916598</v>
      </c>
      <c r="AP99" s="2" t="n">
        <f aca="false">-AO99/W99</f>
        <v>-113.922740764532</v>
      </c>
      <c r="AQ99" s="2" t="n">
        <f aca="false">AL99+AM99+AN99+AP99</f>
        <v>8024.73655355445</v>
      </c>
      <c r="AR99" s="2" t="n">
        <f aca="false">O99*AQ99-Hypothèses!$J$25/Hypothèses!$J$19</f>
        <v>1304.85665174758</v>
      </c>
      <c r="AS99" s="2" t="n">
        <f aca="false">Entrées!$C$79*(1+Q99)+Hypothèses!$J$20</f>
        <v>1474.29115847267</v>
      </c>
      <c r="AT99" s="2" t="n">
        <f aca="false">AI99-AR99+AS99+Y99*1000-AO99+Hypothèses!$J$23</f>
        <v>22861.7011963419</v>
      </c>
      <c r="AU99" s="2" t="n">
        <f aca="false">AT99/AQ99</f>
        <v>2.84890364235267</v>
      </c>
      <c r="AV99" s="2" t="n">
        <f aca="false">Hypothèses!$J$26*AQ99-AT99</f>
        <v>1212.50846432146</v>
      </c>
      <c r="AW99" s="2" t="n">
        <f aca="false">IF(AC99&gt;Hypothèses!$J$26,MAX(0,AV99)/(1-Hypothèses!$J$26/AC99),0)</f>
        <v>1955.8218069043</v>
      </c>
      <c r="AX99" s="2" t="n">
        <f aca="false">AQ99-Entrées!$C$17*1000</f>
        <v>24.7365535544541</v>
      </c>
      <c r="AY99" s="2" t="n">
        <f aca="false">AI99+(Entrées!$C$244-Entrées!$C$13)</f>
        <v>28588.5771183667</v>
      </c>
      <c r="AZ99" s="2" t="n">
        <f aca="false">AA99*AH99</f>
        <v>5366.37988172387</v>
      </c>
      <c r="BA99" s="2" t="n">
        <f aca="false">AZ99/AY99</f>
        <v>0.187710632099848</v>
      </c>
      <c r="BB99" s="2" t="n">
        <f aca="false">AZ99/(Entrées!$C$151/100)-AY99</f>
        <v>1224.64444676586</v>
      </c>
      <c r="BC99" s="2" t="n">
        <f aca="false">AT99+(Entrées!$C$244-Entrées!$C$13)</f>
        <v>28608.7011963419</v>
      </c>
      <c r="BD99" s="2" t="n">
        <f aca="false">AA99*AQ99</f>
        <v>5738.72824670895</v>
      </c>
      <c r="BE99" s="2" t="n">
        <f aca="false">BD99/BC99</f>
        <v>0.20059380561613</v>
      </c>
      <c r="BF99" s="2" t="n">
        <f aca="false">BD99/(Entrées!$C$151/100)-BC99</f>
        <v>3273.12239648557</v>
      </c>
      <c r="BG99" s="2" t="n">
        <f aca="false">MIN(AV99,BF99)</f>
        <v>1212.50846432146</v>
      </c>
      <c r="BH99" s="2" t="n">
        <f aca="false">IF(AC99&gt;Hypothèses!$J$26,MAX(0,BG99)/(1-Hypothèses!$J$26/AC99),0)</f>
        <v>1955.8218069043</v>
      </c>
    </row>
    <row r="100" customFormat="false" ht="15" hidden="false" customHeight="false" outlineLevel="0" collapsed="false">
      <c r="A100" s="2" t="n">
        <v>85</v>
      </c>
      <c r="B100" s="2" t="n">
        <v>0.573218753</v>
      </c>
      <c r="C100" s="2"/>
      <c r="D100" s="2" t="n">
        <v>0.966614098</v>
      </c>
      <c r="E100" s="2" t="n">
        <f aca="false">IF(E$7=E$5,E$6,IF(NORMSDIST(E$9*SQRT($C$11)*NORMSINV($B100)+SQRT(1-E$9^2*$C$11)*NORMSINV(D100))&lt;E$8,E$5+SQRT(NORMSDIST(E$9*SQRT($C$11)*NORMSINV($B100)+SQRT(1-E$9^2*$C$11)*NORMSINV(D100))*(E$7-E$5)*(E$6-E$5)),E$7-SQRT((1-NORMSDIST(E$9*SQRT($C$11)*NORMSINV($B100)+SQRT(1-E$9^2*$C$11)*NORMSINV(D100)))*(E$7-E$5)*(E$7-E$6))))</f>
        <v>0.0582367706968742</v>
      </c>
      <c r="F100" s="2" t="n">
        <v>0.90726759</v>
      </c>
      <c r="G100" s="2" t="n">
        <f aca="false">IF(G$7=G$5,G$6,IF(NORMSDIST(G$9*SQRT($C$11)*NORMSINV($B100)+SQRT(1-G$9^2*$C$11)*NORMSINV(F100))&lt;G$8,G$5+SQRT(NORMSDIST(G$9*SQRT($C$11)*NORMSINV($B100)+SQRT(1-G$9^2*$C$11)*NORMSINV(F100))*(G$7-G$5)*(G$6-G$5)),G$7-SQRT((1-NORMSDIST(G$9*SQRT($C$11)*NORMSINV($B100)+SQRT(1-G$9^2*$C$11)*NORMSINV(F100)))*(G$7-G$5)*(G$7-G$6))))</f>
        <v>0.0624507857084577</v>
      </c>
      <c r="H100" s="2" t="n">
        <v>0.860764532</v>
      </c>
      <c r="I100" s="2" t="n">
        <f aca="false">IF(I$7=I$5,I$6,IF(NORMSDIST(I$9*SQRT($C$11)*NORMSINV($B100)+SQRT(1-I$9^2*$C$11)*NORMSINV(H100))&lt;I$8,I$5+SQRT(NORMSDIST(I$9*SQRT($C$11)*NORMSINV($B100)+SQRT(1-I$9^2*$C$11)*NORMSINV(H100))*(I$7-I$5)*(I$6-I$5)),I$7-SQRT((1-NORMSDIST(I$9*SQRT($C$11)*NORMSINV($B100)+SQRT(1-I$9^2*$C$11)*NORMSINV(H100)))*(I$7-I$5)*(I$7-I$6))))</f>
        <v>208.355864331773</v>
      </c>
      <c r="J100" s="2" t="n">
        <v>0.565570672</v>
      </c>
      <c r="K100" s="2" t="n">
        <f aca="false">IF(K$7=K$5,K$6,IF(NORMSDIST(K$9*SQRT($C$11)*NORMSINV($B100)+SQRT(1-K$9^2*$C$11)*NORMSINV(J100))&lt;K$8,K$5+SQRT(NORMSDIST(K$9*SQRT($C$11)*NORMSINV($B100)+SQRT(1-K$9^2*$C$11)*NORMSINV(J100))*(K$7-K$5)*(K$6-K$5)),K$7-SQRT((1-NORMSDIST(K$9*SQRT($C$11)*NORMSINV($B100)+SQRT(1-K$9^2*$C$11)*NORMSINV(J100)))*(K$7-K$5)*(K$7-K$6))))</f>
        <v>0.275452591472007</v>
      </c>
      <c r="L100" s="2" t="n">
        <v>0.427343201</v>
      </c>
      <c r="M100" s="2" t="n">
        <f aca="false">IF(M$7=M$5,M$6,IF(NORMSDIST(M$9*SQRT($C$11)*NORMSINV($B100)+SQRT(1-M$9^2*$C$11)*NORMSINV(L100))&lt;M$8,M$5+SQRT(NORMSDIST(M$9*SQRT($C$11)*NORMSINV($B100)+SQRT(1-M$9^2*$C$11)*NORMSINV(L100))*(M$7-M$5)*(M$6-M$5)),M$7-SQRT((1-NORMSDIST(M$9*SQRT($C$11)*NORMSINV($B100)+SQRT(1-M$9^2*$C$11)*NORMSINV(L100)))*(M$7-M$5)*(M$7-M$6))))</f>
        <v>1582.50882805804</v>
      </c>
      <c r="N100" s="2" t="n">
        <v>0.332594411</v>
      </c>
      <c r="O100" s="2" t="n">
        <f aca="false">IF(O$7=O$5,O$6,IF(NORMSDIST(O$9*SQRT($C$11)*NORMSINV($B100)+SQRT(1-O$9^2*$C$11)*NORMSINV(N100))&lt;O$8,O$5+SQRT(NORMSDIST(O$9*SQRT($C$11)*NORMSINV($B100)+SQRT(1-O$9^2*$C$11)*NORMSINV(N100))*(O$7-O$5)*(O$6-O$5)),O$7-SQRT((1-NORMSDIST(O$9*SQRT($C$11)*NORMSINV($B100)+SQRT(1-O$9^2*$C$11)*NORMSINV(N100)))*(O$7-O$5)*(O$7-O$6))))</f>
        <v>0.164358514631301</v>
      </c>
      <c r="P100" s="2" t="n">
        <v>0.37677727</v>
      </c>
      <c r="Q100" s="2" t="n">
        <f aca="false">IF(Q$7=Q$5,Q$6,IF(NORMSDIST(Q$9*SQRT($C$11)*NORMSINV($B100)+SQRT(1-Q$9^2*$C$11)*NORMSINV(P100))&lt;Q$8,Q$5+SQRT(NORMSDIST(Q$9*SQRT($C$11)*NORMSINV($B100)+SQRT(1-Q$9^2*$C$11)*NORMSINV(P100))*(Q$7-Q$5)*(Q$6-Q$5)),Q$7-SQRT((1-NORMSDIST(Q$9*SQRT($C$11)*NORMSINV($B100)+SQRT(1-Q$9^2*$C$11)*NORMSINV(P100)))*(Q$7-Q$5)*(Q$7-Q$6))))</f>
        <v>0.0747230077038266</v>
      </c>
      <c r="R100" s="2" t="n">
        <v>0.197304498</v>
      </c>
      <c r="S100" s="2" t="n">
        <f aca="false">IF(S$7=S$5,S$6,IF(NORMSDIST(S$9*SQRT($C$11)*NORMSINV($B100)+SQRT(1-S$9^2*$C$11)*NORMSINV(R100))&lt;S$8,S$5+SQRT(NORMSDIST(S$9*SQRT($C$11)*NORMSINV($B100)+SQRT(1-S$9^2*$C$11)*NORMSINV(R100))*(S$7-S$5)*(S$6-S$5)),S$7-SQRT((1-NORMSDIST(S$9*SQRT($C$11)*NORMSINV($B100)+SQRT(1-S$9^2*$C$11)*NORMSINV(R100)))*(S$7-S$5)*(S$7-S$6))))</f>
        <v>0.383196110166954</v>
      </c>
      <c r="T100" s="2" t="n">
        <v>0.366008709</v>
      </c>
      <c r="U100" s="2" t="n">
        <f aca="false">IF(U$7=U$5,U$6,IF(NORMSDIST(U$9*SQRT($C$11)*NORMSINV($B100)+SQRT(1-U$9^2*$C$11)*NORMSINV(T100))&lt;U$8,U$5+SQRT(NORMSDIST(U$9*SQRT($C$11)*NORMSINV($B100)+SQRT(1-U$9^2*$C$11)*NORMSINV(T100))*(U$7-U$5)*(U$6-U$5)),U$7-SQRT((1-NORMSDIST(U$9*SQRT($C$11)*NORMSINV($B100)+SQRT(1-U$9^2*$C$11)*NORMSINV(T100)))*(U$7-U$5)*(U$7-U$6))))</f>
        <v>0.469556296588903</v>
      </c>
      <c r="V100" s="2" t="n">
        <v>0.60474433</v>
      </c>
      <c r="W100" s="2" t="n">
        <f aca="false">IF(W$7=W$5,W$6,IF(NORMSDIST(W$9*SQRT($C$11)*NORMSINV($B100)+SQRT(1-W$9^2*$C$11)*NORMSINV(V100))&lt;W$8,W$5+SQRT(NORMSDIST(W$9*SQRT($C$11)*NORMSINV($B100)+SQRT(1-W$9^2*$C$11)*NORMSINV(V100))*(W$7-W$5)*(W$6-W$5)),W$7-SQRT((1-NORMSDIST(W$9*SQRT($C$11)*NORMSINV($B100)+SQRT(1-W$9^2*$C$11)*NORMSINV(V100)))*(W$7-W$5)*(W$7-W$6))))</f>
        <v>10.2713350984469</v>
      </c>
      <c r="X100" s="2" t="n">
        <v>0.738294853</v>
      </c>
      <c r="Y100" s="2" t="n">
        <f aca="false">IF(Y$7=Y$5,Y$6,IF(NORMSDIST(Y$9*SQRT($C$11)*NORMSINV($B100)+SQRT(1-Y$9^2*$C$11)*NORMSINV(X100))&lt;Y$8,Y$5+SQRT(NORMSDIST(Y$9*SQRT($C$11)*NORMSINV($B100)+SQRT(1-Y$9^2*$C$11)*NORMSINV(X100))*(Y$7-Y$5)*(Y$6-Y$5)),Y$7-SQRT((1-NORMSDIST(Y$9*SQRT($C$11)*NORMSINV($B100)+SQRT(1-Y$9^2*$C$11)*NORMSINV(X100)))*(Y$7-Y$5)*(Y$7-Y$6))))</f>
        <v>0.638264497871719</v>
      </c>
      <c r="Z100" s="2" t="n">
        <v>0.221841555</v>
      </c>
      <c r="AA100" s="2" t="n">
        <f aca="false">IF(AA$7=AA$5,AA$6,IF(NORMSDIST(AA$9*SQRT($C$11)*NORMSINV($B100)+SQRT(1-AA$9^2*$C$11)*NORMSINV(Z100))&lt;AA$8,AA$5+SQRT(NORMSDIST(AA$9*SQRT($C$11)*NORMSINV($B100)+SQRT(1-AA$9^2*$C$11)*NORMSINV(Z100))*(AA$7-AA$5)*(AA$6-AA$5)),AA$7-SQRT((1-NORMSDIST(AA$9*SQRT($C$11)*NORMSINV($B100)+SQRT(1-AA$9^2*$C$11)*NORMSINV(Z100)))*(AA$7-AA$5)*(AA$7-AA$6))))</f>
        <v>0.721374687412491</v>
      </c>
      <c r="AB100" s="2" t="n">
        <v>0.242956748</v>
      </c>
      <c r="AC100" s="2" t="n">
        <f aca="false">IF(AC$7=AC$5,AC$6,IF(NORMSDIST(AC$9*SQRT($C$11)*NORMSINV($B100)+SQRT(1-AC$9^2*$C$11)*NORMSINV(AB100))&lt;AC$8,AC$5+SQRT(NORMSDIST(AC$9*SQRT($C$11)*NORMSINV($B100)+SQRT(1-AC$9^2*$C$11)*NORMSINV(AB100))*(AC$7-AC$5)*(AC$6-AC$5)),AC$7-SQRT((1-NORMSDIST(AC$9*SQRT($C$11)*NORMSINV($B100)+SQRT(1-AC$9^2*$C$11)*NORMSINV(AB100)))*(AC$7-AC$5)*(AC$7-AC$6))))</f>
        <v>9.10418539768036</v>
      </c>
      <c r="AD100" s="2" t="n">
        <f aca="false">Entrées!$C$8*(1+E100)</f>
        <v>7460.56923341296</v>
      </c>
      <c r="AE100" s="2" t="n">
        <f aca="false">I100*Hypothèses!$J$24/12/Hypothèses!$J$19</f>
        <v>103.364677426106</v>
      </c>
      <c r="AF100" s="2" t="n">
        <f aca="false">Entrées!$C$36*S100*1000</f>
        <v>191.598055083477</v>
      </c>
      <c r="AG100" s="2" t="n">
        <f aca="false">-AF100/W100</f>
        <v>-18.6536660762288</v>
      </c>
      <c r="AH100" s="2" t="n">
        <f aca="false">AD100+AE100+AG100</f>
        <v>7545.28024476284</v>
      </c>
      <c r="AI100" s="2" t="n">
        <f aca="false">Entrées!$C$16-M100+Hypothèses!$J$22*1000-AF100+Hypothèses!$J$23</f>
        <v>22773.8931168585</v>
      </c>
      <c r="AJ100" s="2" t="n">
        <f aca="false">AI100/AH100</f>
        <v>3.01829652154614</v>
      </c>
      <c r="AK100" s="2" t="n">
        <f aca="false">AI100/(AH100+I100*(12-Hypothèses!$J$24)/12/Hypothèses!$J$19)</f>
        <v>2.9890481524553</v>
      </c>
      <c r="AL100" s="2" t="n">
        <f aca="false">(AD100+AG100+I100/Hypothèses!$J$19)*(1+G100)</f>
        <v>8094.93169782869</v>
      </c>
      <c r="AM100" s="2" t="n">
        <f aca="false">Entrées!$C$54*K100/Hypothèses!$J$19</f>
        <v>28.1110935104119</v>
      </c>
      <c r="AN100" s="2" t="n">
        <f aca="false">Y100*1000/AC100</f>
        <v>70.1067113631431</v>
      </c>
      <c r="AO100" s="2" t="n">
        <f aca="false">(Entrées!$C$36*(1-S100)+MAX(0,Entrées!$C$30-Entrées!$C$35-Entrées!$C$36)*U100)*1000</f>
        <v>965.780760140988</v>
      </c>
      <c r="AP100" s="2" t="n">
        <f aca="false">-AO100/W100</f>
        <v>-94.0267989394116</v>
      </c>
      <c r="AQ100" s="2" t="n">
        <f aca="false">AL100+AM100+AN100+AP100</f>
        <v>8099.12270376283</v>
      </c>
      <c r="AR100" s="2" t="n">
        <f aca="false">O100*AQ100-Hypothèses!$J$25/Hypothèses!$J$19</f>
        <v>1312.02461514548</v>
      </c>
      <c r="AS100" s="2" t="n">
        <f aca="false">Entrées!$C$79*(1+Q100)+Hypothèses!$J$20</f>
        <v>1476.12058546651</v>
      </c>
      <c r="AT100" s="2" t="n">
        <f aca="false">AI100-AR100+AS100+Y100*1000-AO100+Hypothèses!$J$23</f>
        <v>22610.4728249102</v>
      </c>
      <c r="AU100" s="2" t="n">
        <f aca="false">AT100/AQ100</f>
        <v>2.7917187641083</v>
      </c>
      <c r="AV100" s="2" t="n">
        <f aca="false">Hypothèses!$J$26*AQ100-AT100</f>
        <v>1686.89528637827</v>
      </c>
      <c r="AW100" s="2" t="n">
        <f aca="false">IF(AC100&gt;Hypothèses!$J$26,MAX(0,AV100)/(1-Hypothèses!$J$26/AC100),0)</f>
        <v>2515.94708107931</v>
      </c>
      <c r="AX100" s="2" t="n">
        <f aca="false">AQ100-Entrées!$C$17*1000</f>
        <v>99.1227037628332</v>
      </c>
      <c r="AY100" s="2" t="n">
        <f aca="false">AI100+(Entrées!$C$244-Entrées!$C$13)</f>
        <v>28520.8931168585</v>
      </c>
      <c r="AZ100" s="2" t="n">
        <f aca="false">AA100*AH100</f>
        <v>5442.97417800544</v>
      </c>
      <c r="BA100" s="2" t="n">
        <f aca="false">AZ100/AY100</f>
        <v>0.190841645656185</v>
      </c>
      <c r="BB100" s="2" t="n">
        <f aca="false">AZ100/(Entrées!$C$151/100)-AY100</f>
        <v>1717.85231650506</v>
      </c>
      <c r="BC100" s="2" t="n">
        <f aca="false">AT100+(Entrées!$C$244-Entrées!$C$13)</f>
        <v>28357.4728249102</v>
      </c>
      <c r="BD100" s="2" t="n">
        <f aca="false">AA100*AQ100</f>
        <v>5842.50210874232</v>
      </c>
      <c r="BE100" s="2" t="n">
        <f aca="false">BD100/BC100</f>
        <v>0.206030422556204</v>
      </c>
      <c r="BF100" s="2" t="n">
        <f aca="false">BD100/(Entrées!$C$151/100)-BC100</f>
        <v>4100.87222365822</v>
      </c>
      <c r="BG100" s="2" t="n">
        <f aca="false">MIN(AV100,BF100)</f>
        <v>1686.89528637827</v>
      </c>
      <c r="BH100" s="2" t="n">
        <f aca="false">IF(AC100&gt;Hypothèses!$J$26,MAX(0,BG100)/(1-Hypothèses!$J$26/AC100),0)</f>
        <v>2515.94708107931</v>
      </c>
    </row>
    <row r="101" customFormat="false" ht="15" hidden="false" customHeight="false" outlineLevel="0" collapsed="false">
      <c r="A101" s="2" t="n">
        <v>86</v>
      </c>
      <c r="B101" s="2" t="n">
        <v>0.906270156</v>
      </c>
      <c r="C101" s="2"/>
      <c r="D101" s="2" t="n">
        <v>0.09603033</v>
      </c>
      <c r="E101" s="2" t="n">
        <f aca="false">IF(E$7=E$5,E$6,IF(NORMSDIST(E$9*SQRT($C$11)*NORMSINV($B101)+SQRT(1-E$9^2*$C$11)*NORMSINV(D101))&lt;E$8,E$5+SQRT(NORMSDIST(E$9*SQRT($C$11)*NORMSINV($B101)+SQRT(1-E$9^2*$C$11)*NORMSINV(D101))*(E$7-E$5)*(E$6-E$5)),E$7-SQRT((1-NORMSDIST(E$9*SQRT($C$11)*NORMSINV($B101)+SQRT(1-E$9^2*$C$11)*NORMSINV(D101)))*(E$7-E$5)*(E$7-E$6))))</f>
        <v>0.0546358913133407</v>
      </c>
      <c r="F101" s="2" t="n">
        <v>0.853205917</v>
      </c>
      <c r="G101" s="2" t="n">
        <f aca="false">IF(G$7=G$5,G$6,IF(NORMSDIST(G$9*SQRT($C$11)*NORMSINV($B101)+SQRT(1-G$9^2*$C$11)*NORMSINV(F101))&lt;G$8,G$5+SQRT(NORMSDIST(G$9*SQRT($C$11)*NORMSINV($B101)+SQRT(1-G$9^2*$C$11)*NORMSINV(F101))*(G$7-G$5)*(G$6-G$5)),G$7-SQRT((1-NORMSDIST(G$9*SQRT($C$11)*NORMSINV($B101)+SQRT(1-G$9^2*$C$11)*NORMSINV(F101)))*(G$7-G$5)*(G$7-G$6))))</f>
        <v>0.0652680780841421</v>
      </c>
      <c r="H101" s="2" t="n">
        <v>0.983897567</v>
      </c>
      <c r="I101" s="2" t="n">
        <f aca="false">IF(I$7=I$5,I$6,IF(NORMSDIST(I$9*SQRT($C$11)*NORMSINV($B101)+SQRT(1-I$9^2*$C$11)*NORMSINV(H101))&lt;I$8,I$5+SQRT(NORMSDIST(I$9*SQRT($C$11)*NORMSINV($B101)+SQRT(1-I$9^2*$C$11)*NORMSINV(H101))*(I$7-I$5)*(I$6-I$5)),I$7-SQRT((1-NORMSDIST(I$9*SQRT($C$11)*NORMSINV($B101)+SQRT(1-I$9^2*$C$11)*NORMSINV(H101)))*(I$7-I$5)*(I$7-I$6))))</f>
        <v>217.748217816243</v>
      </c>
      <c r="J101" s="2" t="n">
        <v>0.5403386</v>
      </c>
      <c r="K101" s="2" t="n">
        <f aca="false">IF(K$7=K$5,K$6,IF(NORMSDIST(K$9*SQRT($C$11)*NORMSINV($B101)+SQRT(1-K$9^2*$C$11)*NORMSINV(J101))&lt;K$8,K$5+SQRT(NORMSDIST(K$9*SQRT($C$11)*NORMSINV($B101)+SQRT(1-K$9^2*$C$11)*NORMSINV(J101))*(K$7-K$5)*(K$6-K$5)),K$7-SQRT((1-NORMSDIST(K$9*SQRT($C$11)*NORMSINV($B101)+SQRT(1-K$9^2*$C$11)*NORMSINV(J101)))*(K$7-K$5)*(K$7-K$6))))</f>
        <v>0.349644644283814</v>
      </c>
      <c r="L101" s="2" t="n">
        <v>0.645440802</v>
      </c>
      <c r="M101" s="2" t="n">
        <f aca="false">IF(M$7=M$5,M$6,IF(NORMSDIST(M$9*SQRT($C$11)*NORMSINV($B101)+SQRT(1-M$9^2*$C$11)*NORMSINV(L101))&lt;M$8,M$5+SQRT(NORMSDIST(M$9*SQRT($C$11)*NORMSINV($B101)+SQRT(1-M$9^2*$C$11)*NORMSINV(L101))*(M$7-M$5)*(M$6-M$5)),M$7-SQRT((1-NORMSDIST(M$9*SQRT($C$11)*NORMSINV($B101)+SQRT(1-M$9^2*$C$11)*NORMSINV(L101)))*(M$7-M$5)*(M$7-M$6))))</f>
        <v>1689.85626435316</v>
      </c>
      <c r="N101" s="2" t="n">
        <v>0.862654191</v>
      </c>
      <c r="O101" s="2" t="n">
        <f aca="false">IF(O$7=O$5,O$6,IF(NORMSDIST(O$9*SQRT($C$11)*NORMSINV($B101)+SQRT(1-O$9^2*$C$11)*NORMSINV(N101))&lt;O$8,O$5+SQRT(NORMSDIST(O$9*SQRT($C$11)*NORMSINV($B101)+SQRT(1-O$9^2*$C$11)*NORMSINV(N101))*(O$7-O$5)*(O$6-O$5)),O$7-SQRT((1-NORMSDIST(O$9*SQRT($C$11)*NORMSINV($B101)+SQRT(1-O$9^2*$C$11)*NORMSINV(N101)))*(O$7-O$5)*(O$7-O$6))))</f>
        <v>0.182962086672594</v>
      </c>
      <c r="P101" s="2" t="n">
        <v>0.190660685</v>
      </c>
      <c r="Q101" s="2" t="n">
        <f aca="false">IF(Q$7=Q$5,Q$6,IF(NORMSDIST(Q$9*SQRT($C$11)*NORMSINV($B101)+SQRT(1-Q$9^2*$C$11)*NORMSINV(P101))&lt;Q$8,Q$5+SQRT(NORMSDIST(Q$9*SQRT($C$11)*NORMSINV($B101)+SQRT(1-Q$9^2*$C$11)*NORMSINV(P101))*(Q$7-Q$5)*(Q$6-Q$5)),Q$7-SQRT((1-NORMSDIST(Q$9*SQRT($C$11)*NORMSINV($B101)+SQRT(1-Q$9^2*$C$11)*NORMSINV(P101)))*(Q$7-Q$5)*(Q$7-Q$6))))</f>
        <v>0.0647004897117446</v>
      </c>
      <c r="R101" s="2" t="n">
        <v>0.750819311</v>
      </c>
      <c r="S101" s="2" t="n">
        <f aca="false">IF(S$7=S$5,S$6,IF(NORMSDIST(S$9*SQRT($C$11)*NORMSINV($B101)+SQRT(1-S$9^2*$C$11)*NORMSINV(R101))&lt;S$8,S$5+SQRT(NORMSDIST(S$9*SQRT($C$11)*NORMSINV($B101)+SQRT(1-S$9^2*$C$11)*NORMSINV(R101))*(S$7-S$5)*(S$6-S$5)),S$7-SQRT((1-NORMSDIST(S$9*SQRT($C$11)*NORMSINV($B101)+SQRT(1-S$9^2*$C$11)*NORMSINV(R101)))*(S$7-S$5)*(S$7-S$6))))</f>
        <v>0.791177745224687</v>
      </c>
      <c r="T101" s="2" t="n">
        <v>0.119975046</v>
      </c>
      <c r="U101" s="2" t="n">
        <f aca="false">IF(U$7=U$5,U$6,IF(NORMSDIST(U$9*SQRT($C$11)*NORMSINV($B101)+SQRT(1-U$9^2*$C$11)*NORMSINV(T101))&lt;U$8,U$5+SQRT(NORMSDIST(U$9*SQRT($C$11)*NORMSINV($B101)+SQRT(1-U$9^2*$C$11)*NORMSINV(T101))*(U$7-U$5)*(U$6-U$5)),U$7-SQRT((1-NORMSDIST(U$9*SQRT($C$11)*NORMSINV($B101)+SQRT(1-U$9^2*$C$11)*NORMSINV(T101)))*(U$7-U$5)*(U$7-U$6))))</f>
        <v>0.484499543649639</v>
      </c>
      <c r="V101" s="2" t="n">
        <v>0.939680169</v>
      </c>
      <c r="W101" s="2" t="n">
        <f aca="false">IF(W$7=W$5,W$6,IF(NORMSDIST(W$9*SQRT($C$11)*NORMSINV($B101)+SQRT(1-W$9^2*$C$11)*NORMSINV(V101))&lt;W$8,W$5+SQRT(NORMSDIST(W$9*SQRT($C$11)*NORMSINV($B101)+SQRT(1-W$9^2*$C$11)*NORMSINV(V101))*(W$7-W$5)*(W$6-W$5)),W$7-SQRT((1-NORMSDIST(W$9*SQRT($C$11)*NORMSINV($B101)+SQRT(1-W$9^2*$C$11)*NORMSINV(V101)))*(W$7-W$5)*(W$7-W$6))))</f>
        <v>11.5912959878253</v>
      </c>
      <c r="X101" s="2" t="n">
        <v>0.101221168</v>
      </c>
      <c r="Y101" s="2" t="n">
        <f aca="false">IF(Y$7=Y$5,Y$6,IF(NORMSDIST(Y$9*SQRT($C$11)*NORMSINV($B101)+SQRT(1-Y$9^2*$C$11)*NORMSINV(X101))&lt;Y$8,Y$5+SQRT(NORMSDIST(Y$9*SQRT($C$11)*NORMSINV($B101)+SQRT(1-Y$9^2*$C$11)*NORMSINV(X101))*(Y$7-Y$5)*(Y$6-Y$5)),Y$7-SQRT((1-NORMSDIST(Y$9*SQRT($C$11)*NORMSINV($B101)+SQRT(1-Y$9^2*$C$11)*NORMSINV(X101)))*(Y$7-Y$5)*(Y$7-Y$6))))</f>
        <v>0.224967962163505</v>
      </c>
      <c r="Z101" s="2" t="n">
        <v>0.110850751</v>
      </c>
      <c r="AA101" s="2" t="n">
        <f aca="false">IF(AA$7=AA$5,AA$6,IF(NORMSDIST(AA$9*SQRT($C$11)*NORMSINV($B101)+SQRT(1-AA$9^2*$C$11)*NORMSINV(Z101))&lt;AA$8,AA$5+SQRT(NORMSDIST(AA$9*SQRT($C$11)*NORMSINV($B101)+SQRT(1-AA$9^2*$C$11)*NORMSINV(Z101))*(AA$7-AA$5)*(AA$6-AA$5)),AA$7-SQRT((1-NORMSDIST(AA$9*SQRT($C$11)*NORMSINV($B101)+SQRT(1-AA$9^2*$C$11)*NORMSINV(Z101)))*(AA$7-AA$5)*(AA$7-AA$6))))</f>
        <v>0.726545450719554</v>
      </c>
      <c r="AB101" s="2" t="n">
        <v>0.217261584</v>
      </c>
      <c r="AC101" s="2" t="n">
        <f aca="false">IF(AC$7=AC$5,AC$6,IF(NORMSDIST(AC$9*SQRT($C$11)*NORMSINV($B101)+SQRT(1-AC$9^2*$C$11)*NORMSINV(AB101))&lt;AC$8,AC$5+SQRT(NORMSDIST(AC$9*SQRT($C$11)*NORMSINV($B101)+SQRT(1-AC$9^2*$C$11)*NORMSINV(AB101))*(AC$7-AC$5)*(AC$6-AC$5)),AC$7-SQRT((1-NORMSDIST(AC$9*SQRT($C$11)*NORMSINV($B101)+SQRT(1-AC$9^2*$C$11)*NORMSINV(AB101)))*(AC$7-AC$5)*(AC$7-AC$6))))</f>
        <v>9.65837143823632</v>
      </c>
      <c r="AD101" s="2" t="n">
        <f aca="false">Entrées!$C$8*(1+E101)</f>
        <v>7435.18303375905</v>
      </c>
      <c r="AE101" s="2" t="n">
        <f aca="false">I101*Hypothèses!$J$24/12/Hypothèses!$J$19</f>
        <v>108.024193928355</v>
      </c>
      <c r="AF101" s="2" t="n">
        <f aca="false">Entrées!$C$36*S101*1000</f>
        <v>395.588872612344</v>
      </c>
      <c r="AG101" s="2" t="n">
        <f aca="false">-AF101/W101</f>
        <v>-34.1280968951049</v>
      </c>
      <c r="AH101" s="2" t="n">
        <f aca="false">AD101+AE101+AG101</f>
        <v>7509.0791307923</v>
      </c>
      <c r="AI101" s="2" t="n">
        <f aca="false">Entrées!$C$16-M101+Hypothèses!$J$22*1000-AF101+Hypothèses!$J$23</f>
        <v>22462.5548630345</v>
      </c>
      <c r="AJ101" s="2" t="n">
        <f aca="false">AI101/AH101</f>
        <v>2.99138609032935</v>
      </c>
      <c r="AK101" s="2" t="n">
        <f aca="false">AI101/(AH101+I101*(12-Hypothèses!$J$24)/12/Hypothèses!$J$19)</f>
        <v>2.9609605056749</v>
      </c>
      <c r="AL101" s="2" t="n">
        <f aca="false">(AD101+AG101+I101/Hypothèses!$J$19)*(1+G101)</f>
        <v>8081.37852630703</v>
      </c>
      <c r="AM101" s="2" t="n">
        <f aca="false">Entrées!$C$54*K101/Hypothèses!$J$19</f>
        <v>35.6827040121561</v>
      </c>
      <c r="AN101" s="2" t="n">
        <f aca="false">Y101*1000/AC101</f>
        <v>23.2925357656969</v>
      </c>
      <c r="AO101" s="2" t="n">
        <f aca="false">(Entrées!$C$36*(1-S101)+MAX(0,Entrées!$C$30-Entrées!$C$35-Entrées!$C$36)*U101)*1000</f>
        <v>782.710488497151</v>
      </c>
      <c r="AP101" s="2" t="n">
        <f aca="false">-AO101/W101</f>
        <v>-67.525709749734</v>
      </c>
      <c r="AQ101" s="2" t="n">
        <f aca="false">AL101+AM101+AN101+AP101</f>
        <v>8072.82805633515</v>
      </c>
      <c r="AR101" s="2" t="n">
        <f aca="false">O101*AQ101-Hypothèses!$J$25/Hypothèses!$J$19</f>
        <v>1457.88630427451</v>
      </c>
      <c r="AS101" s="2" t="n">
        <f aca="false">Entrées!$C$79*(1+Q101)+Hypothèses!$J$20</f>
        <v>1465.10583819321</v>
      </c>
      <c r="AT101" s="2" t="n">
        <f aca="false">AI101-AR101+AS101+Y101*1000-AO101+Hypothèses!$J$23</f>
        <v>21912.0318706195</v>
      </c>
      <c r="AU101" s="2" t="n">
        <f aca="false">AT101/AQ101</f>
        <v>2.71429438577279</v>
      </c>
      <c r="AV101" s="2" t="n">
        <f aca="false">Hypothèses!$J$26*AQ101-AT101</f>
        <v>2306.45229838591</v>
      </c>
      <c r="AW101" s="2" t="n">
        <f aca="false">IF(AC101&gt;Hypothèses!$J$26,MAX(0,AV101)/(1-Hypothèses!$J$26/AC101),0)</f>
        <v>3345.64888862458</v>
      </c>
      <c r="AX101" s="2" t="n">
        <f aca="false">AQ101-Entrées!$C$17*1000</f>
        <v>72.8280563351509</v>
      </c>
      <c r="AY101" s="2" t="n">
        <f aca="false">AI101+(Entrées!$C$244-Entrées!$C$13)</f>
        <v>28209.5548630345</v>
      </c>
      <c r="AZ101" s="2" t="n">
        <f aca="false">AA101*AH101</f>
        <v>5455.68728157029</v>
      </c>
      <c r="BA101" s="2" t="n">
        <f aca="false">AZ101/AY101</f>
        <v>0.19339855974542</v>
      </c>
      <c r="BB101" s="2" t="n">
        <f aca="false">AZ101/(Entrées!$C$151/100)-AY101</f>
        <v>2099.81892346711</v>
      </c>
      <c r="BC101" s="2" t="n">
        <f aca="false">AT101+(Entrées!$C$244-Entrées!$C$13)</f>
        <v>27659.0318706195</v>
      </c>
      <c r="BD101" s="2" t="n">
        <f aca="false">AA101*AQ101</f>
        <v>5865.27649877148</v>
      </c>
      <c r="BE101" s="2" t="n">
        <f aca="false">BD101/BC101</f>
        <v>0.212056464094891</v>
      </c>
      <c r="BF101" s="2" t="n">
        <f aca="false">BD101/(Entrées!$C$151/100)-BC101</f>
        <v>4925.8375669998</v>
      </c>
      <c r="BG101" s="2" t="n">
        <f aca="false">MIN(AV101,BF101)</f>
        <v>2306.45229838591</v>
      </c>
      <c r="BH101" s="2" t="n">
        <f aca="false">IF(AC101&gt;Hypothèses!$J$26,MAX(0,BG101)/(1-Hypothèses!$J$26/AC101),0)</f>
        <v>3345.64888862458</v>
      </c>
    </row>
    <row r="102" customFormat="false" ht="15" hidden="false" customHeight="false" outlineLevel="0" collapsed="false">
      <c r="A102" s="2" t="n">
        <v>87</v>
      </c>
      <c r="B102" s="2" t="n">
        <v>0.631297922</v>
      </c>
      <c r="C102" s="2"/>
      <c r="D102" s="2" t="n">
        <v>0.726409065</v>
      </c>
      <c r="E102" s="2" t="n">
        <f aca="false">IF(E$7=E$5,E$6,IF(NORMSDIST(E$9*SQRT($C$11)*NORMSINV($B102)+SQRT(1-E$9^2*$C$11)*NORMSINV(D102))&lt;E$8,E$5+SQRT(NORMSDIST(E$9*SQRT($C$11)*NORMSINV($B102)+SQRT(1-E$9^2*$C$11)*NORMSINV(D102))*(E$7-E$5)*(E$6-E$5)),E$7-SQRT((1-NORMSDIST(E$9*SQRT($C$11)*NORMSINV($B102)+SQRT(1-E$9^2*$C$11)*NORMSINV(D102)))*(E$7-E$5)*(E$7-E$6))))</f>
        <v>0.0564731530568298</v>
      </c>
      <c r="F102" s="2" t="n">
        <v>0.495285451</v>
      </c>
      <c r="G102" s="2" t="n">
        <f aca="false">IF(G$7=G$5,G$6,IF(NORMSDIST(G$9*SQRT($C$11)*NORMSINV($B102)+SQRT(1-G$9^2*$C$11)*NORMSINV(F102))&lt;G$8,G$5+SQRT(NORMSDIST(G$9*SQRT($C$11)*NORMSINV($B102)+SQRT(1-G$9^2*$C$11)*NORMSINV(F102))*(G$7-G$5)*(G$6-G$5)),G$7-SQRT((1-NORMSDIST(G$9*SQRT($C$11)*NORMSINV($B102)+SQRT(1-G$9^2*$C$11)*NORMSINV(F102)))*(G$7-G$5)*(G$7-G$6))))</f>
        <v>0.0562587369225478</v>
      </c>
      <c r="H102" s="2" t="n">
        <v>0.984888012</v>
      </c>
      <c r="I102" s="2" t="n">
        <f aca="false">IF(I$7=I$5,I$6,IF(NORMSDIST(I$9*SQRT($C$11)*NORMSINV($B102)+SQRT(1-I$9^2*$C$11)*NORMSINV(H102))&lt;I$8,I$5+SQRT(NORMSDIST(I$9*SQRT($C$11)*NORMSINV($B102)+SQRT(1-I$9^2*$C$11)*NORMSINV(H102))*(I$7-I$5)*(I$6-I$5)),I$7-SQRT((1-NORMSDIST(I$9*SQRT($C$11)*NORMSINV($B102)+SQRT(1-I$9^2*$C$11)*NORMSINV(H102)))*(I$7-I$5)*(I$7-I$6))))</f>
        <v>215.155959617839</v>
      </c>
      <c r="J102" s="2" t="n">
        <v>0.208138412</v>
      </c>
      <c r="K102" s="2" t="n">
        <f aca="false">IF(K$7=K$5,K$6,IF(NORMSDIST(K$9*SQRT($C$11)*NORMSINV($B102)+SQRT(1-K$9^2*$C$11)*NORMSINV(J102))&lt;K$8,K$5+SQRT(NORMSDIST(K$9*SQRT($C$11)*NORMSINV($B102)+SQRT(1-K$9^2*$C$11)*NORMSINV(J102))*(K$7-K$5)*(K$6-K$5)),K$7-SQRT((1-NORMSDIST(K$9*SQRT($C$11)*NORMSINV($B102)+SQRT(1-K$9^2*$C$11)*NORMSINV(J102)))*(K$7-K$5)*(K$7-K$6))))</f>
        <v>0.205583375461107</v>
      </c>
      <c r="L102" s="2" t="n">
        <v>0.489360421</v>
      </c>
      <c r="M102" s="2" t="n">
        <f aca="false">IF(M$7=M$5,M$6,IF(NORMSDIST(M$9*SQRT($C$11)*NORMSINV($B102)+SQRT(1-M$9^2*$C$11)*NORMSINV(L102))&lt;M$8,M$5+SQRT(NORMSDIST(M$9*SQRT($C$11)*NORMSINV($B102)+SQRT(1-M$9^2*$C$11)*NORMSINV(L102))*(M$7-M$5)*(M$6-M$5)),M$7-SQRT((1-NORMSDIST(M$9*SQRT($C$11)*NORMSINV($B102)+SQRT(1-M$9^2*$C$11)*NORMSINV(L102)))*(M$7-M$5)*(M$7-M$6))))</f>
        <v>1606.00814162623</v>
      </c>
      <c r="N102" s="2" t="n">
        <v>0.718803557</v>
      </c>
      <c r="O102" s="2" t="n">
        <f aca="false">IF(O$7=O$5,O$6,IF(NORMSDIST(O$9*SQRT($C$11)*NORMSINV($B102)+SQRT(1-O$9^2*$C$11)*NORMSINV(N102))&lt;O$8,O$5+SQRT(NORMSDIST(O$9*SQRT($C$11)*NORMSINV($B102)+SQRT(1-O$9^2*$C$11)*NORMSINV(N102))*(O$7-O$5)*(O$6-O$5)),O$7-SQRT((1-NORMSDIST(O$9*SQRT($C$11)*NORMSINV($B102)+SQRT(1-O$9^2*$C$11)*NORMSINV(N102)))*(O$7-O$5)*(O$7-O$6))))</f>
        <v>0.173539160021147</v>
      </c>
      <c r="P102" s="2" t="n">
        <v>0.847024271</v>
      </c>
      <c r="Q102" s="2" t="n">
        <f aca="false">IF(Q$7=Q$5,Q$6,IF(NORMSDIST(Q$9*SQRT($C$11)*NORMSINV($B102)+SQRT(1-Q$9^2*$C$11)*NORMSINV(P102))&lt;Q$8,Q$5+SQRT(NORMSDIST(Q$9*SQRT($C$11)*NORMSINV($B102)+SQRT(1-Q$9^2*$C$11)*NORMSINV(P102))*(Q$7-Q$5)*(Q$6-Q$5)),Q$7-SQRT((1-NORMSDIST(Q$9*SQRT($C$11)*NORMSINV($B102)+SQRT(1-Q$9^2*$C$11)*NORMSINV(P102)))*(Q$7-Q$5)*(Q$7-Q$6))))</f>
        <v>0.0978748484118187</v>
      </c>
      <c r="R102" s="2" t="n">
        <v>0.278422992</v>
      </c>
      <c r="S102" s="2" t="n">
        <f aca="false">IF(S$7=S$5,S$6,IF(NORMSDIST(S$9*SQRT($C$11)*NORMSINV($B102)+SQRT(1-S$9^2*$C$11)*NORMSINV(R102))&lt;S$8,S$5+SQRT(NORMSDIST(S$9*SQRT($C$11)*NORMSINV($B102)+SQRT(1-S$9^2*$C$11)*NORMSINV(R102))*(S$7-S$5)*(S$6-S$5)),S$7-SQRT((1-NORMSDIST(S$9*SQRT($C$11)*NORMSINV($B102)+SQRT(1-S$9^2*$C$11)*NORMSINV(R102)))*(S$7-S$5)*(S$7-S$6))))</f>
        <v>0.449436328683225</v>
      </c>
      <c r="T102" s="2" t="n">
        <v>0.438138233</v>
      </c>
      <c r="U102" s="2" t="n">
        <f aca="false">IF(U$7=U$5,U$6,IF(NORMSDIST(U$9*SQRT($C$11)*NORMSINV($B102)+SQRT(1-U$9^2*$C$11)*NORMSINV(T102))&lt;U$8,U$5+SQRT(NORMSDIST(U$9*SQRT($C$11)*NORMSINV($B102)+SQRT(1-U$9^2*$C$11)*NORMSINV(T102))*(U$7-U$5)*(U$6-U$5)),U$7-SQRT((1-NORMSDIST(U$9*SQRT($C$11)*NORMSINV($B102)+SQRT(1-U$9^2*$C$11)*NORMSINV(T102)))*(U$7-U$5)*(U$7-U$6))))</f>
        <v>0.51856280363586</v>
      </c>
      <c r="V102" s="2" t="n">
        <v>0.475829682</v>
      </c>
      <c r="W102" s="2" t="n">
        <f aca="false">IF(W$7=W$5,W$6,IF(NORMSDIST(W$9*SQRT($C$11)*NORMSINV($B102)+SQRT(1-W$9^2*$C$11)*NORMSINV(V102))&lt;W$8,W$5+SQRT(NORMSDIST(W$9*SQRT($C$11)*NORMSINV($B102)+SQRT(1-W$9^2*$C$11)*NORMSINV(V102))*(W$7-W$5)*(W$6-W$5)),W$7-SQRT((1-NORMSDIST(W$9*SQRT($C$11)*NORMSINV($B102)+SQRT(1-W$9^2*$C$11)*NORMSINV(V102)))*(W$7-W$5)*(W$7-W$6))))</f>
        <v>10.1357406181772</v>
      </c>
      <c r="X102" s="2" t="n">
        <v>0.828356254</v>
      </c>
      <c r="Y102" s="2" t="n">
        <f aca="false">IF(Y$7=Y$5,Y$6,IF(NORMSDIST(Y$9*SQRT($C$11)*NORMSINV($B102)+SQRT(1-Y$9^2*$C$11)*NORMSINV(X102))&lt;Y$8,Y$5+SQRT(NORMSDIST(Y$9*SQRT($C$11)*NORMSINV($B102)+SQRT(1-Y$9^2*$C$11)*NORMSINV(X102))*(Y$7-Y$5)*(Y$6-Y$5)),Y$7-SQRT((1-NORMSDIST(Y$9*SQRT($C$11)*NORMSINV($B102)+SQRT(1-Y$9^2*$C$11)*NORMSINV(X102)))*(Y$7-Y$5)*(Y$7-Y$6))))</f>
        <v>0.707046295466332</v>
      </c>
      <c r="Z102" s="2" t="n">
        <v>0.436703304</v>
      </c>
      <c r="AA102" s="2" t="n">
        <f aca="false">IF(AA$7=AA$5,AA$6,IF(NORMSDIST(AA$9*SQRT($C$11)*NORMSINV($B102)+SQRT(1-AA$9^2*$C$11)*NORMSINV(Z102))&lt;AA$8,AA$5+SQRT(NORMSDIST(AA$9*SQRT($C$11)*NORMSINV($B102)+SQRT(1-AA$9^2*$C$11)*NORMSINV(Z102))*(AA$7-AA$5)*(AA$6-AA$5)),AA$7-SQRT((1-NORMSDIST(AA$9*SQRT($C$11)*NORMSINV($B102)+SQRT(1-AA$9^2*$C$11)*NORMSINV(Z102)))*(AA$7-AA$5)*(AA$7-AA$6))))</f>
        <v>0.729187616473122</v>
      </c>
      <c r="AB102" s="2" t="n">
        <v>0.516176591</v>
      </c>
      <c r="AC102" s="2" t="n">
        <f aca="false">IF(AC$7=AC$5,AC$6,IF(NORMSDIST(AC$9*SQRT($C$11)*NORMSINV($B102)+SQRT(1-AC$9^2*$C$11)*NORMSINV(AB102))&lt;AC$8,AC$5+SQRT(NORMSDIST(AC$9*SQRT($C$11)*NORMSINV($B102)+SQRT(1-AC$9^2*$C$11)*NORMSINV(AB102))*(AC$7-AC$5)*(AC$6-AC$5)),AC$7-SQRT((1-NORMSDIST(AC$9*SQRT($C$11)*NORMSINV($B102)+SQRT(1-AC$9^2*$C$11)*NORMSINV(AB102)))*(AC$7-AC$5)*(AC$7-AC$6))))</f>
        <v>9.6695830825336</v>
      </c>
      <c r="AD102" s="2" t="n">
        <f aca="false">Entrées!$C$8*(1+E102)</f>
        <v>7448.13572905065</v>
      </c>
      <c r="AE102" s="2" t="n">
        <f aca="false">I102*Hypothèses!$J$24/12/Hypothèses!$J$19</f>
        <v>106.738182932972</v>
      </c>
      <c r="AF102" s="2" t="n">
        <f aca="false">Entrées!$C$36*S102*1000</f>
        <v>224.718164341612</v>
      </c>
      <c r="AG102" s="2" t="n">
        <f aca="false">-AF102/W102</f>
        <v>-22.1708677053759</v>
      </c>
      <c r="AH102" s="2" t="n">
        <f aca="false">AD102+AE102+AG102</f>
        <v>7532.70304427825</v>
      </c>
      <c r="AI102" s="2" t="n">
        <f aca="false">Entrées!$C$16-M102+Hypothèses!$J$22*1000-AF102+Hypothèses!$J$23</f>
        <v>22717.2736940322</v>
      </c>
      <c r="AJ102" s="2" t="n">
        <f aca="false">AI102/AH102</f>
        <v>3.01581962815963</v>
      </c>
      <c r="AK102" s="2" t="n">
        <f aca="false">AI102/(AH102+I102*(12-Hypothèses!$J$24)/12/Hypothèses!$J$19)</f>
        <v>2.98560114152159</v>
      </c>
      <c r="AL102" s="2" t="n">
        <f aca="false">(AD102+AG102+I102/Hypothèses!$J$19)*(1+G102)</f>
        <v>8037.01421622353</v>
      </c>
      <c r="AM102" s="2" t="n">
        <f aca="false">Entrées!$C$54*K102/Hypothèses!$J$19</f>
        <v>20.9806466546189</v>
      </c>
      <c r="AN102" s="2" t="n">
        <f aca="false">Y102*1000/AC102</f>
        <v>73.1206598496978</v>
      </c>
      <c r="AO102" s="2" t="n">
        <f aca="false">(Entrées!$C$36*(1-S102)+MAX(0,Entrées!$C$30-Entrées!$C$35-Entrées!$C$36)*U102)*1000</f>
        <v>1001.26976074859</v>
      </c>
      <c r="AP102" s="2" t="n">
        <f aca="false">-AO102/W102</f>
        <v>-98.7860481505351</v>
      </c>
      <c r="AQ102" s="2" t="n">
        <f aca="false">AL102+AM102+AN102+AP102</f>
        <v>8032.32947457732</v>
      </c>
      <c r="AR102" s="2" t="n">
        <f aca="false">O102*AQ102-Hypothèses!$J$25/Hypothèses!$J$19</f>
        <v>1374.78854776962</v>
      </c>
      <c r="AS102" s="2" t="n">
        <f aca="false">Entrées!$C$79*(1+Q102)+Hypothèses!$J$20</f>
        <v>1501.56445840459</v>
      </c>
      <c r="AT102" s="2" t="n">
        <f aca="false">AI102-AR102+AS102+Y102*1000-AO102+Hypothèses!$J$23</f>
        <v>22549.8261393849</v>
      </c>
      <c r="AU102" s="2" t="n">
        <f aca="false">AT102/AQ102</f>
        <v>2.8073831147933</v>
      </c>
      <c r="AV102" s="2" t="n">
        <f aca="false">Hypothèses!$J$26*AQ102-AT102</f>
        <v>1547.16228434708</v>
      </c>
      <c r="AW102" s="2" t="n">
        <f aca="false">IF(AC102&gt;Hypothèses!$J$26,MAX(0,AV102)/(1-Hypothèses!$J$26/AC102),0)</f>
        <v>2243.08087410068</v>
      </c>
      <c r="AX102" s="2" t="n">
        <f aca="false">AQ102-Entrées!$C$17*1000</f>
        <v>32.3294745773155</v>
      </c>
      <c r="AY102" s="2" t="n">
        <f aca="false">AI102+(Entrées!$C$244-Entrées!$C$13)</f>
        <v>28464.2736940322</v>
      </c>
      <c r="AZ102" s="2" t="n">
        <f aca="false">AA102*AH102</f>
        <v>5492.75377845708</v>
      </c>
      <c r="BA102" s="2" t="n">
        <f aca="false">AZ102/AY102</f>
        <v>0.192970101310145</v>
      </c>
      <c r="BB102" s="2" t="n">
        <f aca="false">AZ102/(Entrées!$C$151/100)-AY102</f>
        <v>2051.02507517385</v>
      </c>
      <c r="BC102" s="2" t="n">
        <f aca="false">AT102+(Entrées!$C$244-Entrées!$C$13)</f>
        <v>28296.8261393849</v>
      </c>
      <c r="BD102" s="2" t="n">
        <f aca="false">AA102*AQ102</f>
        <v>5857.07518429383</v>
      </c>
      <c r="BE102" s="2" t="n">
        <f aca="false">BD102/BC102</f>
        <v>0.206987001137265</v>
      </c>
      <c r="BF102" s="2" t="n">
        <f aca="false">BD102/(Entrées!$C$151/100)-BC102</f>
        <v>4242.48044002532</v>
      </c>
      <c r="BG102" s="2" t="n">
        <f aca="false">MIN(AV102,BF102)</f>
        <v>1547.16228434708</v>
      </c>
      <c r="BH102" s="2" t="n">
        <f aca="false">IF(AC102&gt;Hypothèses!$J$26,MAX(0,BG102)/(1-Hypothèses!$J$26/AC102),0)</f>
        <v>2243.08087410068</v>
      </c>
    </row>
    <row r="103" customFormat="false" ht="15" hidden="false" customHeight="false" outlineLevel="0" collapsed="false">
      <c r="A103" s="2" t="n">
        <v>88</v>
      </c>
      <c r="B103" s="2" t="n">
        <v>0.670262203</v>
      </c>
      <c r="C103" s="2"/>
      <c r="D103" s="2" t="n">
        <v>0.259989249</v>
      </c>
      <c r="E103" s="2" t="n">
        <f aca="false">IF(E$7=E$5,E$6,IF(NORMSDIST(E$9*SQRT($C$11)*NORMSINV($B103)+SQRT(1-E$9^2*$C$11)*NORMSINV(D103))&lt;E$8,E$5+SQRT(NORMSDIST(E$9*SQRT($C$11)*NORMSINV($B103)+SQRT(1-E$9^2*$C$11)*NORMSINV(D103))*(E$7-E$5)*(E$6-E$5)),E$7-SQRT((1-NORMSDIST(E$9*SQRT($C$11)*NORMSINV($B103)+SQRT(1-E$9^2*$C$11)*NORMSINV(D103)))*(E$7-E$5)*(E$7-E$6))))</f>
        <v>0.0545445681245442</v>
      </c>
      <c r="F103" s="2" t="n">
        <v>0.600803345</v>
      </c>
      <c r="G103" s="2" t="n">
        <f aca="false">IF(G$7=G$5,G$6,IF(NORMSDIST(G$9*SQRT($C$11)*NORMSINV($B103)+SQRT(1-G$9^2*$C$11)*NORMSINV(F103))&lt;G$8,G$5+SQRT(NORMSDIST(G$9*SQRT($C$11)*NORMSINV($B103)+SQRT(1-G$9^2*$C$11)*NORMSINV(F103))*(G$7-G$5)*(G$6-G$5)),G$7-SQRT((1-NORMSDIST(G$9*SQRT($C$11)*NORMSINV($B103)+SQRT(1-G$9^2*$C$11)*NORMSINV(F103)))*(G$7-G$5)*(G$7-G$6))))</f>
        <v>0.0580592813669239</v>
      </c>
      <c r="H103" s="2" t="n">
        <v>0.457934356</v>
      </c>
      <c r="I103" s="2" t="n">
        <f aca="false">IF(I$7=I$5,I$6,IF(NORMSDIST(I$9*SQRT($C$11)*NORMSINV($B103)+SQRT(1-I$9^2*$C$11)*NORMSINV(H103))&lt;I$8,I$5+SQRT(NORMSDIST(I$9*SQRT($C$11)*NORMSINV($B103)+SQRT(1-I$9^2*$C$11)*NORMSINV(H103))*(I$7-I$5)*(I$6-I$5)),I$7-SQRT((1-NORMSDIST(I$9*SQRT($C$11)*NORMSINV($B103)+SQRT(1-I$9^2*$C$11)*NORMSINV(H103)))*(I$7-I$5)*(I$7-I$6))))</f>
        <v>201.626754539577</v>
      </c>
      <c r="J103" s="2" t="n">
        <v>0.102022535</v>
      </c>
      <c r="K103" s="2" t="n">
        <f aca="false">IF(K$7=K$5,K$6,IF(NORMSDIST(K$9*SQRT($C$11)*NORMSINV($B103)+SQRT(1-K$9^2*$C$11)*NORMSINV(J103))&lt;K$8,K$5+SQRT(NORMSDIST(K$9*SQRT($C$11)*NORMSINV($B103)+SQRT(1-K$9^2*$C$11)*NORMSINV(J103))*(K$7-K$5)*(K$6-K$5)),K$7-SQRT((1-NORMSDIST(K$9*SQRT($C$11)*NORMSINV($B103)+SQRT(1-K$9^2*$C$11)*NORMSINV(J103)))*(K$7-K$5)*(K$7-K$6))))</f>
        <v>0.173335463625391</v>
      </c>
      <c r="L103" s="2" t="n">
        <v>0.10881272</v>
      </c>
      <c r="M103" s="2" t="n">
        <f aca="false">IF(M$7=M$5,M$6,IF(NORMSDIST(M$9*SQRT($C$11)*NORMSINV($B103)+SQRT(1-M$9^2*$C$11)*NORMSINV(L103))&lt;M$8,M$5+SQRT(NORMSDIST(M$9*SQRT($C$11)*NORMSINV($B103)+SQRT(1-M$9^2*$C$11)*NORMSINV(L103))*(M$7-M$5)*(M$6-M$5)),M$7-SQRT((1-NORMSDIST(M$9*SQRT($C$11)*NORMSINV($B103)+SQRT(1-M$9^2*$C$11)*NORMSINV(L103)))*(M$7-M$5)*(M$7-M$6))))</f>
        <v>1502.48254094854</v>
      </c>
      <c r="N103" s="2" t="n">
        <v>0.841627759</v>
      </c>
      <c r="O103" s="2" t="n">
        <f aca="false">IF(O$7=O$5,O$6,IF(NORMSDIST(O$9*SQRT($C$11)*NORMSINV($B103)+SQRT(1-O$9^2*$C$11)*NORMSINV(N103))&lt;O$8,O$5+SQRT(NORMSDIST(O$9*SQRT($C$11)*NORMSINV($B103)+SQRT(1-O$9^2*$C$11)*NORMSINV(N103))*(O$7-O$5)*(O$6-O$5)),O$7-SQRT((1-NORMSDIST(O$9*SQRT($C$11)*NORMSINV($B103)+SQRT(1-O$9^2*$C$11)*NORMSINV(N103)))*(O$7-O$5)*(O$7-O$6))))</f>
        <v>0.177533698741896</v>
      </c>
      <c r="P103" s="2" t="n">
        <v>0.64472572</v>
      </c>
      <c r="Q103" s="2" t="n">
        <f aca="false">IF(Q$7=Q$5,Q$6,IF(NORMSDIST(Q$9*SQRT($C$11)*NORMSINV($B103)+SQRT(1-Q$9^2*$C$11)*NORMSINV(P103))&lt;Q$8,Q$5+SQRT(NORMSDIST(Q$9*SQRT($C$11)*NORMSINV($B103)+SQRT(1-Q$9^2*$C$11)*NORMSINV(P103))*(Q$7-Q$5)*(Q$6-Q$5)),Q$7-SQRT((1-NORMSDIST(Q$9*SQRT($C$11)*NORMSINV($B103)+SQRT(1-Q$9^2*$C$11)*NORMSINV(P103)))*(Q$7-Q$5)*(Q$7-Q$6))))</f>
        <v>0.0862823830023532</v>
      </c>
      <c r="R103" s="2" t="n">
        <v>0.109292837</v>
      </c>
      <c r="S103" s="2" t="n">
        <f aca="false">IF(S$7=S$5,S$6,IF(NORMSDIST(S$9*SQRT($C$11)*NORMSINV($B103)+SQRT(1-S$9^2*$C$11)*NORMSINV(R103))&lt;S$8,S$5+SQRT(NORMSDIST(S$9*SQRT($C$11)*NORMSINV($B103)+SQRT(1-S$9^2*$C$11)*NORMSINV(R103))*(S$7-S$5)*(S$6-S$5)),S$7-SQRT((1-NORMSDIST(S$9*SQRT($C$11)*NORMSINV($B103)+SQRT(1-S$9^2*$C$11)*NORMSINV(R103)))*(S$7-S$5)*(S$7-S$6))))</f>
        <v>0.353595816240466</v>
      </c>
      <c r="T103" s="2" t="n">
        <v>0.812059908</v>
      </c>
      <c r="U103" s="2" t="n">
        <f aca="false">IF(U$7=U$5,U$6,IF(NORMSDIST(U$9*SQRT($C$11)*NORMSINV($B103)+SQRT(1-U$9^2*$C$11)*NORMSINV(T103))&lt;U$8,U$5+SQRT(NORMSDIST(U$9*SQRT($C$11)*NORMSINV($B103)+SQRT(1-U$9^2*$C$11)*NORMSINV(T103))*(U$7-U$5)*(U$6-U$5)),U$7-SQRT((1-NORMSDIST(U$9*SQRT($C$11)*NORMSINV($B103)+SQRT(1-U$9^2*$C$11)*NORMSINV(T103)))*(U$7-U$5)*(U$7-U$6))))</f>
        <v>0.710713867723313</v>
      </c>
      <c r="V103" s="2" t="n">
        <v>0.946530234</v>
      </c>
      <c r="W103" s="2" t="n">
        <f aca="false">IF(W$7=W$5,W$6,IF(NORMSDIST(W$9*SQRT($C$11)*NORMSINV($B103)+SQRT(1-W$9^2*$C$11)*NORMSINV(V103))&lt;W$8,W$5+SQRT(NORMSDIST(W$9*SQRT($C$11)*NORMSINV($B103)+SQRT(1-W$9^2*$C$11)*NORMSINV(V103))*(W$7-W$5)*(W$6-W$5)),W$7-SQRT((1-NORMSDIST(W$9*SQRT($C$11)*NORMSINV($B103)+SQRT(1-W$9^2*$C$11)*NORMSINV(V103)))*(W$7-W$5)*(W$7-W$6))))</f>
        <v>11.2882182322014</v>
      </c>
      <c r="X103" s="2" t="n">
        <v>0.326842021</v>
      </c>
      <c r="Y103" s="2" t="n">
        <f aca="false">IF(Y$7=Y$5,Y$6,IF(NORMSDIST(Y$9*SQRT($C$11)*NORMSINV($B103)+SQRT(1-Y$9^2*$C$11)*NORMSINV(X103))&lt;Y$8,Y$5+SQRT(NORMSDIST(Y$9*SQRT($C$11)*NORMSINV($B103)+SQRT(1-Y$9^2*$C$11)*NORMSINV(X103))*(Y$7-Y$5)*(Y$6-Y$5)),Y$7-SQRT((1-NORMSDIST(Y$9*SQRT($C$11)*NORMSINV($B103)+SQRT(1-Y$9^2*$C$11)*NORMSINV(X103)))*(Y$7-Y$5)*(Y$7-Y$6))))</f>
        <v>0.404253646242059</v>
      </c>
      <c r="Z103" s="2" t="n">
        <v>0.474413497</v>
      </c>
      <c r="AA103" s="2" t="n">
        <f aca="false">IF(AA$7=AA$5,AA$6,IF(NORMSDIST(AA$9*SQRT($C$11)*NORMSINV($B103)+SQRT(1-AA$9^2*$C$11)*NORMSINV(Z103))&lt;AA$8,AA$5+SQRT(NORMSDIST(AA$9*SQRT($C$11)*NORMSINV($B103)+SQRT(1-AA$9^2*$C$11)*NORMSINV(Z103))*(AA$7-AA$5)*(AA$6-AA$5)),AA$7-SQRT((1-NORMSDIST(AA$9*SQRT($C$11)*NORMSINV($B103)+SQRT(1-AA$9^2*$C$11)*NORMSINV(Z103)))*(AA$7-AA$5)*(AA$7-AA$6))))</f>
        <v>0.730892136571928</v>
      </c>
      <c r="AB103" s="2" t="n">
        <v>0.339327742</v>
      </c>
      <c r="AC103" s="2" t="n">
        <f aca="false">IF(AC$7=AC$5,AC$6,IF(NORMSDIST(AC$9*SQRT($C$11)*NORMSINV($B103)+SQRT(1-AC$9^2*$C$11)*NORMSINV(AB103))&lt;AC$8,AC$5+SQRT(NORMSDIST(AC$9*SQRT($C$11)*NORMSINV($B103)+SQRT(1-AC$9^2*$C$11)*NORMSINV(AB103))*(AC$7-AC$5)*(AC$6-AC$5)),AC$7-SQRT((1-NORMSDIST(AC$9*SQRT($C$11)*NORMSINV($B103)+SQRT(1-AC$9^2*$C$11)*NORMSINV(AB103)))*(AC$7-AC$5)*(AC$7-AC$6))))</f>
        <v>9.44315433862809</v>
      </c>
      <c r="AD103" s="2" t="n">
        <f aca="false">Entrées!$C$8*(1+E103)</f>
        <v>7434.53920527804</v>
      </c>
      <c r="AE103" s="2" t="n">
        <f aca="false">I103*Hypothèses!$J$24/12/Hypothèses!$J$19</f>
        <v>100.026387595551</v>
      </c>
      <c r="AF103" s="2" t="n">
        <f aca="false">Entrées!$C$36*S103*1000</f>
        <v>176.797908120233</v>
      </c>
      <c r="AG103" s="2" t="n">
        <f aca="false">-AF103/W103</f>
        <v>-15.66216248512</v>
      </c>
      <c r="AH103" s="2" t="n">
        <f aca="false">AD103+AE103+AG103</f>
        <v>7518.90343038847</v>
      </c>
      <c r="AI103" s="2" t="n">
        <f aca="false">Entrées!$C$16-M103+Hypothèses!$J$22*1000-AF103+Hypothèses!$J$23</f>
        <v>22868.7195509312</v>
      </c>
      <c r="AJ103" s="2" t="n">
        <f aca="false">AI103/AH103</f>
        <v>3.04149664411233</v>
      </c>
      <c r="AK103" s="2" t="n">
        <f aca="false">AI103/(AH103+I103*(12-Hypothèses!$J$24)/12/Hypothèses!$J$19)</f>
        <v>3.01286725772778</v>
      </c>
      <c r="AL103" s="2" t="n">
        <f aca="false">(AD103+AG103+I103/Hypothèses!$J$19)*(1+G103)</f>
        <v>8031.04116577918</v>
      </c>
      <c r="AM103" s="2" t="n">
        <f aca="false">Entrées!$C$54*K103/Hypothèses!$J$19</f>
        <v>17.6896118515521</v>
      </c>
      <c r="AN103" s="2" t="n">
        <f aca="false">Y103*1000/AC103</f>
        <v>42.8091749584588</v>
      </c>
      <c r="AO103" s="2" t="n">
        <f aca="false">(Entrées!$C$36*(1-S103)+MAX(0,Entrées!$C$30-Entrées!$C$35-Entrées!$C$36)*U103)*1000</f>
        <v>1318.2015066924</v>
      </c>
      <c r="AP103" s="2" t="n">
        <f aca="false">-AO103/W103</f>
        <v>-116.7767560457</v>
      </c>
      <c r="AQ103" s="2" t="n">
        <f aca="false">AL103+AM103+AN103+AP103</f>
        <v>7974.76319654349</v>
      </c>
      <c r="AR103" s="2" t="n">
        <f aca="false">O103*AQ103-Hypothèses!$J$25/Hypothèses!$J$19</f>
        <v>1396.65404461149</v>
      </c>
      <c r="AS103" s="2" t="n">
        <f aca="false">Entrées!$C$79*(1+Q103)+Hypothèses!$J$20</f>
        <v>1488.82433891959</v>
      </c>
      <c r="AT103" s="2" t="n">
        <f aca="false">AI103-AR103+AS103+Y103*1000-AO103+Hypothèses!$J$23</f>
        <v>22046.941984789</v>
      </c>
      <c r="AU103" s="2" t="n">
        <f aca="false">AT103/AQ103</f>
        <v>2.76458892150488</v>
      </c>
      <c r="AV103" s="2" t="n">
        <f aca="false">Hypothèses!$J$26*AQ103-AT103</f>
        <v>1877.34760484149</v>
      </c>
      <c r="AW103" s="2" t="n">
        <f aca="false">IF(AC103&gt;Hypothèses!$J$26,MAX(0,AV103)/(1-Hypothèses!$J$26/AC103),0)</f>
        <v>2751.46027055231</v>
      </c>
      <c r="AX103" s="2" t="n">
        <f aca="false">AQ103-Entrées!$C$17*1000</f>
        <v>-25.2368034565116</v>
      </c>
      <c r="AY103" s="2" t="n">
        <f aca="false">AI103+(Entrées!$C$244-Entrées!$C$13)</f>
        <v>28615.7195509312</v>
      </c>
      <c r="AZ103" s="2" t="n">
        <f aca="false">AA103*AH103</f>
        <v>5495.50739291463</v>
      </c>
      <c r="BA103" s="2" t="n">
        <f aca="false">AZ103/AY103</f>
        <v>0.192045053528482</v>
      </c>
      <c r="BB103" s="2" t="n">
        <f aca="false">AZ103/(Entrées!$C$151/100)-AY103</f>
        <v>1914.87707637224</v>
      </c>
      <c r="BC103" s="2" t="n">
        <f aca="false">AT103+(Entrées!$C$244-Entrées!$C$13)</f>
        <v>27793.941984789</v>
      </c>
      <c r="BD103" s="2" t="n">
        <f aca="false">AA103*AQ103</f>
        <v>5828.69171137685</v>
      </c>
      <c r="BE103" s="2" t="n">
        <f aca="false">BD103/BC103</f>
        <v>0.20971086845352</v>
      </c>
      <c r="BF103" s="2" t="n">
        <f aca="false">BD103/(Entrées!$C$151/100)-BC103</f>
        <v>4587.67863397128</v>
      </c>
      <c r="BG103" s="2" t="n">
        <f aca="false">MIN(AV103,BF103)</f>
        <v>1877.34760484149</v>
      </c>
      <c r="BH103" s="2" t="n">
        <f aca="false">IF(AC103&gt;Hypothèses!$J$26,MAX(0,BG103)/(1-Hypothèses!$J$26/AC103),0)</f>
        <v>2751.46027055231</v>
      </c>
    </row>
    <row r="104" customFormat="false" ht="15" hidden="false" customHeight="false" outlineLevel="0" collapsed="false">
      <c r="A104" s="2" t="n">
        <v>89</v>
      </c>
      <c r="B104" s="2" t="n">
        <v>0.679111705</v>
      </c>
      <c r="C104" s="2"/>
      <c r="D104" s="2" t="n">
        <v>0.952517868</v>
      </c>
      <c r="E104" s="2" t="n">
        <f aca="false">IF(E$7=E$5,E$6,IF(NORMSDIST(E$9*SQRT($C$11)*NORMSINV($B104)+SQRT(1-E$9^2*$C$11)*NORMSINV(D104))&lt;E$8,E$5+SQRT(NORMSDIST(E$9*SQRT($C$11)*NORMSINV($B104)+SQRT(1-E$9^2*$C$11)*NORMSINV(D104))*(E$7-E$5)*(E$6-E$5)),E$7-SQRT((1-NORMSDIST(E$9*SQRT($C$11)*NORMSINV($B104)+SQRT(1-E$9^2*$C$11)*NORMSINV(D104)))*(E$7-E$5)*(E$7-E$6))))</f>
        <v>0.0583239168287696</v>
      </c>
      <c r="F104" s="2" t="n">
        <v>0.597882375</v>
      </c>
      <c r="G104" s="2" t="n">
        <f aca="false">IF(G$7=G$5,G$6,IF(NORMSDIST(G$9*SQRT($C$11)*NORMSINV($B104)+SQRT(1-G$9^2*$C$11)*NORMSINV(F104))&lt;G$8,G$5+SQRT(NORMSDIST(G$9*SQRT($C$11)*NORMSINV($B104)+SQRT(1-G$9^2*$C$11)*NORMSINV(F104))*(G$7-G$5)*(G$6-G$5)),G$7-SQRT((1-NORMSDIST(G$9*SQRT($C$11)*NORMSINV($B104)+SQRT(1-G$9^2*$C$11)*NORMSINV(F104)))*(G$7-G$5)*(G$7-G$6))))</f>
        <v>0.0581243399007907</v>
      </c>
      <c r="H104" s="2" t="n">
        <v>0.884138928</v>
      </c>
      <c r="I104" s="2" t="n">
        <f aca="false">IF(I$7=I$5,I$6,IF(NORMSDIST(I$9*SQRT($C$11)*NORMSINV($B104)+SQRT(1-I$9^2*$C$11)*NORMSINV(H104))&lt;I$8,I$5+SQRT(NORMSDIST(I$9*SQRT($C$11)*NORMSINV($B104)+SQRT(1-I$9^2*$C$11)*NORMSINV(H104))*(I$7-I$5)*(I$6-I$5)),I$7-SQRT((1-NORMSDIST(I$9*SQRT($C$11)*NORMSINV($B104)+SQRT(1-I$9^2*$C$11)*NORMSINV(H104)))*(I$7-I$5)*(I$7-I$6))))</f>
        <v>210.571548692414</v>
      </c>
      <c r="J104" s="2" t="n">
        <v>0.109856115</v>
      </c>
      <c r="K104" s="2" t="n">
        <f aca="false">IF(K$7=K$5,K$6,IF(NORMSDIST(K$9*SQRT($C$11)*NORMSINV($B104)+SQRT(1-K$9^2*$C$11)*NORMSINV(J104))&lt;K$8,K$5+SQRT(NORMSDIST(K$9*SQRT($C$11)*NORMSINV($B104)+SQRT(1-K$9^2*$C$11)*NORMSINV(J104))*(K$7-K$5)*(K$6-K$5)),K$7-SQRT((1-NORMSDIST(K$9*SQRT($C$11)*NORMSINV($B104)+SQRT(1-K$9^2*$C$11)*NORMSINV(J104)))*(K$7-K$5)*(K$7-K$6))))</f>
        <v>0.178806484038575</v>
      </c>
      <c r="L104" s="2" t="n">
        <v>0.869706842</v>
      </c>
      <c r="M104" s="2" t="n">
        <f aca="false">IF(M$7=M$5,M$6,IF(NORMSDIST(M$9*SQRT($C$11)*NORMSINV($B104)+SQRT(1-M$9^2*$C$11)*NORMSINV(L104))&lt;M$8,M$5+SQRT(NORMSDIST(M$9*SQRT($C$11)*NORMSINV($B104)+SQRT(1-M$9^2*$C$11)*NORMSINV(L104))*(M$7-M$5)*(M$6-M$5)),M$7-SQRT((1-NORMSDIST(M$9*SQRT($C$11)*NORMSINV($B104)+SQRT(1-M$9^2*$C$11)*NORMSINV(L104)))*(M$7-M$5)*(M$7-M$6))))</f>
        <v>1693.39855124306</v>
      </c>
      <c r="N104" s="2" t="n">
        <v>0.020148762</v>
      </c>
      <c r="O104" s="2" t="n">
        <f aca="false">IF(O$7=O$5,O$6,IF(NORMSDIST(O$9*SQRT($C$11)*NORMSINV($B104)+SQRT(1-O$9^2*$C$11)*NORMSINV(N104))&lt;O$8,O$5+SQRT(NORMSDIST(O$9*SQRT($C$11)*NORMSINV($B104)+SQRT(1-O$9^2*$C$11)*NORMSINV(N104))*(O$7-O$5)*(O$6-O$5)),O$7-SQRT((1-NORMSDIST(O$9*SQRT($C$11)*NORMSINV($B104)+SQRT(1-O$9^2*$C$11)*NORMSINV(N104)))*(O$7-O$5)*(O$7-O$6))))</f>
        <v>0.15184551190549</v>
      </c>
      <c r="P104" s="2" t="n">
        <v>0.101303983</v>
      </c>
      <c r="Q104" s="2" t="n">
        <f aca="false">IF(Q$7=Q$5,Q$6,IF(NORMSDIST(Q$9*SQRT($C$11)*NORMSINV($B104)+SQRT(1-Q$9^2*$C$11)*NORMSINV(P104))&lt;Q$8,Q$5+SQRT(NORMSDIST(Q$9*SQRT($C$11)*NORMSINV($B104)+SQRT(1-Q$9^2*$C$11)*NORMSINV(P104))*(Q$7-Q$5)*(Q$6-Q$5)),Q$7-SQRT((1-NORMSDIST(Q$9*SQRT($C$11)*NORMSINV($B104)+SQRT(1-Q$9^2*$C$11)*NORMSINV(P104)))*(Q$7-Q$5)*(Q$7-Q$6))))</f>
        <v>0.0580047978494622</v>
      </c>
      <c r="R104" s="2" t="n">
        <v>0.172330532</v>
      </c>
      <c r="S104" s="2" t="n">
        <f aca="false">IF(S$7=S$5,S$6,IF(NORMSDIST(S$9*SQRT($C$11)*NORMSINV($B104)+SQRT(1-S$9^2*$C$11)*NORMSINV(R104))&lt;S$8,S$5+SQRT(NORMSDIST(S$9*SQRT($C$11)*NORMSINV($B104)+SQRT(1-S$9^2*$C$11)*NORMSINV(R104))*(S$7-S$5)*(S$6-S$5)),S$7-SQRT((1-NORMSDIST(S$9*SQRT($C$11)*NORMSINV($B104)+SQRT(1-S$9^2*$C$11)*NORMSINV(R104)))*(S$7-S$5)*(S$7-S$6))))</f>
        <v>0.406681346518313</v>
      </c>
      <c r="T104" s="2" t="n">
        <v>0.368689172</v>
      </c>
      <c r="U104" s="2" t="n">
        <f aca="false">IF(U$7=U$5,U$6,IF(NORMSDIST(U$9*SQRT($C$11)*NORMSINV($B104)+SQRT(1-U$9^2*$C$11)*NORMSINV(T104))&lt;U$8,U$5+SQRT(NORMSDIST(U$9*SQRT($C$11)*NORMSINV($B104)+SQRT(1-U$9^2*$C$11)*NORMSINV(T104))*(U$7-U$5)*(U$6-U$5)),U$7-SQRT((1-NORMSDIST(U$9*SQRT($C$11)*NORMSINV($B104)+SQRT(1-U$9^2*$C$11)*NORMSINV(T104)))*(U$7-U$5)*(U$7-U$6))))</f>
        <v>0.506925428091768</v>
      </c>
      <c r="V104" s="2" t="n">
        <v>0.589156971</v>
      </c>
      <c r="W104" s="2" t="n">
        <f aca="false">IF(W$7=W$5,W$6,IF(NORMSDIST(W$9*SQRT($C$11)*NORMSINV($B104)+SQRT(1-W$9^2*$C$11)*NORMSINV(V104))&lt;W$8,W$5+SQRT(NORMSDIST(W$9*SQRT($C$11)*NORMSINV($B104)+SQRT(1-W$9^2*$C$11)*NORMSINV(V104))*(W$7-W$5)*(W$6-W$5)),W$7-SQRT((1-NORMSDIST(W$9*SQRT($C$11)*NORMSINV($B104)+SQRT(1-W$9^2*$C$11)*NORMSINV(V104)))*(W$7-W$5)*(W$7-W$6))))</f>
        <v>10.4009888632948</v>
      </c>
      <c r="X104" s="2" t="n">
        <v>0.940128643</v>
      </c>
      <c r="Y104" s="2" t="n">
        <f aca="false">IF(Y$7=Y$5,Y$6,IF(NORMSDIST(Y$9*SQRT($C$11)*NORMSINV($B104)+SQRT(1-Y$9^2*$C$11)*NORMSINV(X104))&lt;Y$8,Y$5+SQRT(NORMSDIST(Y$9*SQRT($C$11)*NORMSINV($B104)+SQRT(1-Y$9^2*$C$11)*NORMSINV(X104))*(Y$7-Y$5)*(Y$6-Y$5)),Y$7-SQRT((1-NORMSDIST(Y$9*SQRT($C$11)*NORMSINV($B104)+SQRT(1-Y$9^2*$C$11)*NORMSINV(X104)))*(Y$7-Y$5)*(Y$7-Y$6))))</f>
        <v>0.826980699053545</v>
      </c>
      <c r="Z104" s="2" t="n">
        <v>0.902352925</v>
      </c>
      <c r="AA104" s="2" t="n">
        <f aca="false">IF(AA$7=AA$5,AA$6,IF(NORMSDIST(AA$9*SQRT($C$11)*NORMSINV($B104)+SQRT(1-AA$9^2*$C$11)*NORMSINV(Z104))&lt;AA$8,AA$5+SQRT(NORMSDIST(AA$9*SQRT($C$11)*NORMSINV($B104)+SQRT(1-AA$9^2*$C$11)*NORMSINV(Z104))*(AA$7-AA$5)*(AA$6-AA$5)),AA$7-SQRT((1-NORMSDIST(AA$9*SQRT($C$11)*NORMSINV($B104)+SQRT(1-AA$9^2*$C$11)*NORMSINV(Z104)))*(AA$7-AA$5)*(AA$7-AA$6))))</f>
        <v>0.742690642553439</v>
      </c>
      <c r="AB104" s="2" t="n">
        <v>0.391395466</v>
      </c>
      <c r="AC104" s="2" t="n">
        <f aca="false">IF(AC$7=AC$5,AC$6,IF(NORMSDIST(AC$9*SQRT($C$11)*NORMSINV($B104)+SQRT(1-AC$9^2*$C$11)*NORMSINV(AB104))&lt;AC$8,AC$5+SQRT(NORMSDIST(AC$9*SQRT($C$11)*NORMSINV($B104)+SQRT(1-AC$9^2*$C$11)*NORMSINV(AB104))*(AC$7-AC$5)*(AC$6-AC$5)),AC$7-SQRT((1-NORMSDIST(AC$9*SQRT($C$11)*NORMSINV($B104)+SQRT(1-AC$9^2*$C$11)*NORMSINV(AB104)))*(AC$7-AC$5)*(AC$7-AC$6))))</f>
        <v>9.54424998586242</v>
      </c>
      <c r="AD104" s="2" t="n">
        <f aca="false">Entrées!$C$8*(1+E104)</f>
        <v>7461.18361364283</v>
      </c>
      <c r="AE104" s="2" t="n">
        <f aca="false">I104*Hypothèses!$J$24/12/Hypothèses!$J$19</f>
        <v>104.463871345846</v>
      </c>
      <c r="AF104" s="2" t="n">
        <f aca="false">Entrées!$C$36*S104*1000</f>
        <v>203.340673259156</v>
      </c>
      <c r="AG104" s="2" t="n">
        <f aca="false">-AF104/W104</f>
        <v>-19.5501289282933</v>
      </c>
      <c r="AH104" s="2" t="n">
        <f aca="false">AD104+AE104+AG104</f>
        <v>7546.09735606038</v>
      </c>
      <c r="AI104" s="2" t="n">
        <f aca="false">Entrées!$C$16-M104+Hypothèses!$J$22*1000-AF104+Hypothèses!$J$23</f>
        <v>22651.2607754978</v>
      </c>
      <c r="AJ104" s="2" t="n">
        <f aca="false">AI104/AH104</f>
        <v>3.00171859793278</v>
      </c>
      <c r="AK104" s="2" t="n">
        <f aca="false">AI104/(AH104+I104*(12-Hypothèses!$J$24)/12/Hypothèses!$J$19)</f>
        <v>2.97232773276833</v>
      </c>
      <c r="AL104" s="2" t="n">
        <f aca="false">(AD104+AG104+I104/Hypothèses!$J$19)*(1+G104)</f>
        <v>8063.66340150228</v>
      </c>
      <c r="AM104" s="2" t="n">
        <f aca="false">Entrées!$C$54*K104/Hypothèses!$J$19</f>
        <v>18.2479524560479</v>
      </c>
      <c r="AN104" s="2" t="n">
        <f aca="false">Y104*1000/AC104</f>
        <v>86.647007389635</v>
      </c>
      <c r="AO104" s="2" t="n">
        <f aca="false">(Entrées!$C$36*(1-S104)+MAX(0,Entrées!$C$30-Entrées!$C$35-Entrées!$C$36)*U104)*1000</f>
        <v>1006.35492606932</v>
      </c>
      <c r="AP104" s="2" t="n">
        <f aca="false">-AO104/W104</f>
        <v>-96.7556969146227</v>
      </c>
      <c r="AQ104" s="2" t="n">
        <f aca="false">AL104+AM104+AN104+AP104</f>
        <v>8071.80266443334</v>
      </c>
      <c r="AR104" s="2" t="n">
        <f aca="false">O104*AQ104-Hypothèses!$J$25/Hypothèses!$J$19</f>
        <v>1206.53184531935</v>
      </c>
      <c r="AS104" s="2" t="n">
        <f aca="false">Entrées!$C$79*(1+Q104)+Hypothèses!$J$20</f>
        <v>1457.74727283656</v>
      </c>
      <c r="AT104" s="2" t="n">
        <f aca="false">AI104-AR104+AS104+Y104*1000-AO104+Hypothèses!$J$23</f>
        <v>22723.1019759992</v>
      </c>
      <c r="AU104" s="2" t="n">
        <f aca="false">AT104/AQ104</f>
        <v>2.81512109756147</v>
      </c>
      <c r="AV104" s="2" t="n">
        <f aca="false">Hypothèses!$J$26*AQ104-AT104</f>
        <v>1492.30601730081</v>
      </c>
      <c r="AW104" s="2" t="n">
        <f aca="false">IF(AC104&gt;Hypothèses!$J$26,MAX(0,AV104)/(1-Hypothèses!$J$26/AC104),0)</f>
        <v>2176.40550334946</v>
      </c>
      <c r="AX104" s="2" t="n">
        <f aca="false">AQ104-Entrées!$C$17*1000</f>
        <v>71.8026644333413</v>
      </c>
      <c r="AY104" s="2" t="n">
        <f aca="false">AI104+(Entrées!$C$244-Entrées!$C$13)</f>
        <v>28398.2607754978</v>
      </c>
      <c r="AZ104" s="2" t="n">
        <f aca="false">AA104*AH104</f>
        <v>5604.41589414329</v>
      </c>
      <c r="BA104" s="2" t="n">
        <f aca="false">AZ104/AY104</f>
        <v>0.197350673636282</v>
      </c>
      <c r="BB104" s="2" t="n">
        <f aca="false">AZ104/(Entrées!$C$151/100)-AY104</f>
        <v>2737.38308085383</v>
      </c>
      <c r="BC104" s="2" t="n">
        <f aca="false">AT104+(Entrées!$C$244-Entrées!$C$13)</f>
        <v>28470.1019759992</v>
      </c>
      <c r="BD104" s="2" t="n">
        <f aca="false">AA104*AQ104</f>
        <v>5994.85230741256</v>
      </c>
      <c r="BE104" s="2" t="n">
        <f aca="false">BD104/BC104</f>
        <v>0.210566590610259</v>
      </c>
      <c r="BF104" s="2" t="n">
        <f aca="false">BD104/(Entrées!$C$151/100)-BC104</f>
        <v>4834.63306518166</v>
      </c>
      <c r="BG104" s="2" t="n">
        <f aca="false">MIN(AV104,BF104)</f>
        <v>1492.30601730081</v>
      </c>
      <c r="BH104" s="2" t="n">
        <f aca="false">IF(AC104&gt;Hypothèses!$J$26,MAX(0,BG104)/(1-Hypothèses!$J$26/AC104),0)</f>
        <v>2176.40550334946</v>
      </c>
    </row>
    <row r="105" customFormat="false" ht="15" hidden="false" customHeight="false" outlineLevel="0" collapsed="false">
      <c r="A105" s="2" t="n">
        <v>90</v>
      </c>
      <c r="B105" s="2" t="n">
        <v>0.836696869</v>
      </c>
      <c r="C105" s="2"/>
      <c r="D105" s="2" t="n">
        <v>0.257740311</v>
      </c>
      <c r="E105" s="2" t="n">
        <f aca="false">IF(E$7=E$5,E$6,IF(NORMSDIST(E$9*SQRT($C$11)*NORMSINV($B105)+SQRT(1-E$9^2*$C$11)*NORMSINV(D105))&lt;E$8,E$5+SQRT(NORMSDIST(E$9*SQRT($C$11)*NORMSINV($B105)+SQRT(1-E$9^2*$C$11)*NORMSINV(D105))*(E$7-E$5)*(E$6-E$5)),E$7-SQRT((1-NORMSDIST(E$9*SQRT($C$11)*NORMSINV($B105)+SQRT(1-E$9^2*$C$11)*NORMSINV(D105)))*(E$7-E$5)*(E$7-E$6))))</f>
        <v>0.0552378741769991</v>
      </c>
      <c r="F105" s="2" t="n">
        <v>0.148342798</v>
      </c>
      <c r="G105" s="2" t="n">
        <f aca="false">IF(G$7=G$5,G$6,IF(NORMSDIST(G$9*SQRT($C$11)*NORMSINV($B105)+SQRT(1-G$9^2*$C$11)*NORMSINV(F105))&lt;G$8,G$5+SQRT(NORMSDIST(G$9*SQRT($C$11)*NORMSINV($B105)+SQRT(1-G$9^2*$C$11)*NORMSINV(F105))*(G$7-G$5)*(G$6-G$5)),G$7-SQRT((1-NORMSDIST(G$9*SQRT($C$11)*NORMSINV($B105)+SQRT(1-G$9^2*$C$11)*NORMSINV(F105)))*(G$7-G$5)*(G$7-G$6))))</f>
        <v>0.0538369417209657</v>
      </c>
      <c r="H105" s="2" t="n">
        <v>0.920841667</v>
      </c>
      <c r="I105" s="2" t="n">
        <f aca="false">IF(I$7=I$5,I$6,IF(NORMSDIST(I$9*SQRT($C$11)*NORMSINV($B105)+SQRT(1-I$9^2*$C$11)*NORMSINV(H105))&lt;I$8,I$5+SQRT(NORMSDIST(I$9*SQRT($C$11)*NORMSINV($B105)+SQRT(1-I$9^2*$C$11)*NORMSINV(H105))*(I$7-I$5)*(I$6-I$5)),I$7-SQRT((1-NORMSDIST(I$9*SQRT($C$11)*NORMSINV($B105)+SQRT(1-I$9^2*$C$11)*NORMSINV(H105)))*(I$7-I$5)*(I$7-I$6))))</f>
        <v>214.111777054649</v>
      </c>
      <c r="J105" s="2" t="n">
        <v>0.787949369</v>
      </c>
      <c r="K105" s="2" t="n">
        <f aca="false">IF(K$7=K$5,K$6,IF(NORMSDIST(K$9*SQRT($C$11)*NORMSINV($B105)+SQRT(1-K$9^2*$C$11)*NORMSINV(J105))&lt;K$8,K$5+SQRT(NORMSDIST(K$9*SQRT($C$11)*NORMSINV($B105)+SQRT(1-K$9^2*$C$11)*NORMSINV(J105))*(K$7-K$5)*(K$6-K$5)),K$7-SQRT((1-NORMSDIST(K$9*SQRT($C$11)*NORMSINV($B105)+SQRT(1-K$9^2*$C$11)*NORMSINV(J105)))*(K$7-K$5)*(K$7-K$6))))</f>
        <v>0.384044217271139</v>
      </c>
      <c r="L105" s="2" t="n">
        <v>0.32212749</v>
      </c>
      <c r="M105" s="2" t="n">
        <f aca="false">IF(M$7=M$5,M$6,IF(NORMSDIST(M$9*SQRT($C$11)*NORMSINV($B105)+SQRT(1-M$9^2*$C$11)*NORMSINV(L105))&lt;M$8,M$5+SQRT(NORMSDIST(M$9*SQRT($C$11)*NORMSINV($B105)+SQRT(1-M$9^2*$C$11)*NORMSINV(L105))*(M$7-M$5)*(M$6-M$5)),M$7-SQRT((1-NORMSDIST(M$9*SQRT($C$11)*NORMSINV($B105)+SQRT(1-M$9^2*$C$11)*NORMSINV(L105)))*(M$7-M$5)*(M$7-M$6))))</f>
        <v>1613.21370715911</v>
      </c>
      <c r="N105" s="2" t="n">
        <v>0.518113448</v>
      </c>
      <c r="O105" s="2" t="n">
        <f aca="false">IF(O$7=O$5,O$6,IF(NORMSDIST(O$9*SQRT($C$11)*NORMSINV($B105)+SQRT(1-O$9^2*$C$11)*NORMSINV(N105))&lt;O$8,O$5+SQRT(NORMSDIST(O$9*SQRT($C$11)*NORMSINV($B105)+SQRT(1-O$9^2*$C$11)*NORMSINV(N105))*(O$7-O$5)*(O$6-O$5)),O$7-SQRT((1-NORMSDIST(O$9*SQRT($C$11)*NORMSINV($B105)+SQRT(1-O$9^2*$C$11)*NORMSINV(N105)))*(O$7-O$5)*(O$7-O$6))))</f>
        <v>0.173485495215565</v>
      </c>
      <c r="P105" s="2" t="n">
        <v>0.617223354</v>
      </c>
      <c r="Q105" s="2" t="n">
        <f aca="false">IF(Q$7=Q$5,Q$6,IF(NORMSDIST(Q$9*SQRT($C$11)*NORMSINV($B105)+SQRT(1-Q$9^2*$C$11)*NORMSINV(P105))&lt;Q$8,Q$5+SQRT(NORMSDIST(Q$9*SQRT($C$11)*NORMSINV($B105)+SQRT(1-Q$9^2*$C$11)*NORMSINV(P105))*(Q$7-Q$5)*(Q$6-Q$5)),Q$7-SQRT((1-NORMSDIST(Q$9*SQRT($C$11)*NORMSINV($B105)+SQRT(1-Q$9^2*$C$11)*NORMSINV(P105)))*(Q$7-Q$5)*(Q$7-Q$6))))</f>
        <v>0.0850016390783797</v>
      </c>
      <c r="R105" s="2" t="n">
        <v>0.001090621</v>
      </c>
      <c r="S105" s="2" t="n">
        <f aca="false">IF(S$7=S$5,S$6,IF(NORMSDIST(S$9*SQRT($C$11)*NORMSINV($B105)+SQRT(1-S$9^2*$C$11)*NORMSINV(R105))&lt;S$8,S$5+SQRT(NORMSDIST(S$9*SQRT($C$11)*NORMSINV($B105)+SQRT(1-S$9^2*$C$11)*NORMSINV(R105))*(S$7-S$5)*(S$6-S$5)),S$7-SQRT((1-NORMSDIST(S$9*SQRT($C$11)*NORMSINV($B105)+SQRT(1-S$9^2*$C$11)*NORMSINV(R105)))*(S$7-S$5)*(S$7-S$6))))</f>
        <v>0.141033503648634</v>
      </c>
      <c r="T105" s="2" t="n">
        <v>0.755472948</v>
      </c>
      <c r="U105" s="2" t="n">
        <f aca="false">IF(U$7=U$5,U$6,IF(NORMSDIST(U$9*SQRT($C$11)*NORMSINV($B105)+SQRT(1-U$9^2*$C$11)*NORMSINV(T105))&lt;U$8,U$5+SQRT(NORMSDIST(U$9*SQRT($C$11)*NORMSINV($B105)+SQRT(1-U$9^2*$C$11)*NORMSINV(T105))*(U$7-U$5)*(U$6-U$5)),U$7-SQRT((1-NORMSDIST(U$9*SQRT($C$11)*NORMSINV($B105)+SQRT(1-U$9^2*$C$11)*NORMSINV(T105)))*(U$7-U$5)*(U$7-U$6))))</f>
        <v>0.751223433479827</v>
      </c>
      <c r="V105" s="2" t="n">
        <v>0.944155928</v>
      </c>
      <c r="W105" s="2" t="n">
        <f aca="false">IF(W$7=W$5,W$6,IF(NORMSDIST(W$9*SQRT($C$11)*NORMSINV($B105)+SQRT(1-W$9^2*$C$11)*NORMSINV(V105))&lt;W$8,W$5+SQRT(NORMSDIST(W$9*SQRT($C$11)*NORMSINV($B105)+SQRT(1-W$9^2*$C$11)*NORMSINV(V105))*(W$7-W$5)*(W$6-W$5)),W$7-SQRT((1-NORMSDIST(W$9*SQRT($C$11)*NORMSINV($B105)+SQRT(1-W$9^2*$C$11)*NORMSINV(V105)))*(W$7-W$5)*(W$7-W$6))))</f>
        <v>11.4942367761993</v>
      </c>
      <c r="X105" s="2" t="n">
        <v>0.733425064</v>
      </c>
      <c r="Y105" s="2" t="n">
        <f aca="false">IF(Y$7=Y$5,Y$6,IF(NORMSDIST(Y$9*SQRT($C$11)*NORMSINV($B105)+SQRT(1-Y$9^2*$C$11)*NORMSINV(X105))&lt;Y$8,Y$5+SQRT(NORMSDIST(Y$9*SQRT($C$11)*NORMSINV($B105)+SQRT(1-Y$9^2*$C$11)*NORMSINV(X105))*(Y$7-Y$5)*(Y$6-Y$5)),Y$7-SQRT((1-NORMSDIST(Y$9*SQRT($C$11)*NORMSINV($B105)+SQRT(1-Y$9^2*$C$11)*NORMSINV(X105)))*(Y$7-Y$5)*(Y$7-Y$6))))</f>
        <v>0.634914437425965</v>
      </c>
      <c r="Z105" s="2" t="n">
        <v>0.862994384</v>
      </c>
      <c r="AA105" s="2" t="n">
        <f aca="false">IF(AA$7=AA$5,AA$6,IF(NORMSDIST(AA$9*SQRT($C$11)*NORMSINV($B105)+SQRT(1-AA$9^2*$C$11)*NORMSINV(Z105))&lt;AA$8,AA$5+SQRT(NORMSDIST(AA$9*SQRT($C$11)*NORMSINV($B105)+SQRT(1-AA$9^2*$C$11)*NORMSINV(Z105))*(AA$7-AA$5)*(AA$6-AA$5)),AA$7-SQRT((1-NORMSDIST(AA$9*SQRT($C$11)*NORMSINV($B105)+SQRT(1-AA$9^2*$C$11)*NORMSINV(Z105)))*(AA$7-AA$5)*(AA$7-AA$6))))</f>
        <v>0.744312153791901</v>
      </c>
      <c r="AB105" s="2" t="n">
        <v>0.342708218</v>
      </c>
      <c r="AC105" s="2" t="n">
        <f aca="false">IF(AC$7=AC$5,AC$6,IF(NORMSDIST(AC$9*SQRT($C$11)*NORMSINV($B105)+SQRT(1-AC$9^2*$C$11)*NORMSINV(AB105))&lt;AC$8,AC$5+SQRT(NORMSDIST(AC$9*SQRT($C$11)*NORMSINV($B105)+SQRT(1-AC$9^2*$C$11)*NORMSINV(AB105))*(AC$7-AC$5)*(AC$6-AC$5)),AC$7-SQRT((1-NORMSDIST(AC$9*SQRT($C$11)*NORMSINV($B105)+SQRT(1-AC$9^2*$C$11)*NORMSINV(AB105)))*(AC$7-AC$5)*(AC$7-AC$6))))</f>
        <v>9.71530364833994</v>
      </c>
      <c r="AD105" s="2" t="n">
        <f aca="false">Entrées!$C$8*(1+E105)</f>
        <v>7439.42701294785</v>
      </c>
      <c r="AE105" s="2" t="n">
        <f aca="false">I105*Hypothèses!$J$24/12/Hypothèses!$J$19</f>
        <v>106.22016730541</v>
      </c>
      <c r="AF105" s="2" t="n">
        <f aca="false">Entrées!$C$36*S105*1000</f>
        <v>70.5167518243171</v>
      </c>
      <c r="AG105" s="2" t="n">
        <f aca="false">-AF105/W105</f>
        <v>-6.1349660005555</v>
      </c>
      <c r="AH105" s="2" t="n">
        <f aca="false">AD105+AE105+AG105</f>
        <v>7539.5122142527</v>
      </c>
      <c r="AI105" s="2" t="n">
        <f aca="false">Entrées!$C$16-M105+Hypothèses!$J$22*1000-AF105+Hypothèses!$J$23</f>
        <v>22864.2695410166</v>
      </c>
      <c r="AJ105" s="2" t="n">
        <f aca="false">AI105/AH105</f>
        <v>3.03259267858124</v>
      </c>
      <c r="AK105" s="2" t="n">
        <f aca="false">AI105/(AH105+I105*(12-Hypothèses!$J$24)/12/Hypothèses!$J$19)</f>
        <v>3.00237916493746</v>
      </c>
      <c r="AL105" s="2" t="n">
        <f aca="false">(AD105+AG105+I105/Hypothèses!$J$19)*(1+G105)</f>
        <v>8025.37273412323</v>
      </c>
      <c r="AM105" s="2" t="n">
        <f aca="false">Entrées!$C$54*K105/Hypothèses!$J$19</f>
        <v>39.1933248699861</v>
      </c>
      <c r="AN105" s="2" t="n">
        <f aca="false">Y105*1000/AC105</f>
        <v>65.3519910861925</v>
      </c>
      <c r="AO105" s="2" t="n">
        <f aca="false">(Entrées!$C$36*(1-S105)+MAX(0,Entrées!$C$30-Entrées!$C$35-Entrées!$C$36)*U105)*1000</f>
        <v>1481.19605504744</v>
      </c>
      <c r="AP105" s="2" t="n">
        <f aca="false">-AO105/W105</f>
        <v>-128.864237259711</v>
      </c>
      <c r="AQ105" s="2" t="n">
        <f aca="false">AL105+AM105+AN105+AP105</f>
        <v>8001.0538128197</v>
      </c>
      <c r="AR105" s="2" t="n">
        <f aca="false">O105*AQ105-Hypothèses!$J$25/Hypothèses!$J$19</f>
        <v>1368.93162070178</v>
      </c>
      <c r="AS105" s="2" t="n">
        <f aca="false">Entrées!$C$79*(1+Q105)+Hypothèses!$J$20</f>
        <v>1487.41680134714</v>
      </c>
      <c r="AT105" s="2" t="n">
        <f aca="false">AI105-AR105+AS105+Y105*1000-AO105+Hypothèses!$J$23</f>
        <v>22136.4731040405</v>
      </c>
      <c r="AU105" s="2" t="n">
        <f aca="false">AT105/AQ105</f>
        <v>2.7666946907134</v>
      </c>
      <c r="AV105" s="2" t="n">
        <f aca="false">Hypothèses!$J$26*AQ105-AT105</f>
        <v>1866.68833441864</v>
      </c>
      <c r="AW105" s="2" t="n">
        <f aca="false">IF(AC105&gt;Hypothèses!$J$26,MAX(0,AV105)/(1-Hypothèses!$J$26/AC105),0)</f>
        <v>2700.61413979012</v>
      </c>
      <c r="AX105" s="2" t="n">
        <f aca="false">AQ105-Entrées!$C$17*1000</f>
        <v>1.05381281969858</v>
      </c>
      <c r="AY105" s="2" t="n">
        <f aca="false">AI105+(Entrées!$C$244-Entrées!$C$13)</f>
        <v>28611.2695410166</v>
      </c>
      <c r="AZ105" s="2" t="n">
        <f aca="false">AA105*AH105</f>
        <v>5611.75057473077</v>
      </c>
      <c r="BA105" s="2" t="n">
        <f aca="false">AZ105/AY105</f>
        <v>0.196137768954498</v>
      </c>
      <c r="BB105" s="2" t="n">
        <f aca="false">AZ105/(Entrées!$C$151/100)-AY105</f>
        <v>2565.12254082103</v>
      </c>
      <c r="BC105" s="2" t="n">
        <f aca="false">AT105+(Entrées!$C$244-Entrées!$C$13)</f>
        <v>27883.4731040405</v>
      </c>
      <c r="BD105" s="2" t="n">
        <f aca="false">AA105*AQ105</f>
        <v>5955.28159602473</v>
      </c>
      <c r="BE105" s="2" t="n">
        <f aca="false">BD105/BC105</f>
        <v>0.213577468409478</v>
      </c>
      <c r="BF105" s="2" t="n">
        <f aca="false">BD105/(Entrées!$C$151/100)-BC105</f>
        <v>5201.42465165248</v>
      </c>
      <c r="BG105" s="2" t="n">
        <f aca="false">MIN(AV105,BF105)</f>
        <v>1866.68833441864</v>
      </c>
      <c r="BH105" s="2" t="n">
        <f aca="false">IF(AC105&gt;Hypothèses!$J$26,MAX(0,BG105)/(1-Hypothèses!$J$26/AC105),0)</f>
        <v>2700.61413979012</v>
      </c>
    </row>
    <row r="106" customFormat="false" ht="15" hidden="false" customHeight="false" outlineLevel="0" collapsed="false">
      <c r="A106" s="2" t="n">
        <v>91</v>
      </c>
      <c r="B106" s="2" t="n">
        <v>0.221539882</v>
      </c>
      <c r="C106" s="2"/>
      <c r="D106" s="2" t="n">
        <v>0.751829601</v>
      </c>
      <c r="E106" s="2" t="n">
        <f aca="false">IF(E$7=E$5,E$6,IF(NORMSDIST(E$9*SQRT($C$11)*NORMSINV($B106)+SQRT(1-E$9^2*$C$11)*NORMSINV(D106))&lt;E$8,E$5+SQRT(NORMSDIST(E$9*SQRT($C$11)*NORMSINV($B106)+SQRT(1-E$9^2*$C$11)*NORMSINV(D106))*(E$7-E$5)*(E$6-E$5)),E$7-SQRT((1-NORMSDIST(E$9*SQRT($C$11)*NORMSINV($B106)+SQRT(1-E$9^2*$C$11)*NORMSINV(D106)))*(E$7-E$5)*(E$7-E$6))))</f>
        <v>0.0550841235447269</v>
      </c>
      <c r="F106" s="2" t="n">
        <v>0.83106429</v>
      </c>
      <c r="G106" s="2" t="n">
        <f aca="false">IF(G$7=G$5,G$6,IF(NORMSDIST(G$9*SQRT($C$11)*NORMSINV($B106)+SQRT(1-G$9^2*$C$11)*NORMSINV(F106))&lt;G$8,G$5+SQRT(NORMSDIST(G$9*SQRT($C$11)*NORMSINV($B106)+SQRT(1-G$9^2*$C$11)*NORMSINV(F106))*(G$7-G$5)*(G$6-G$5)),G$7-SQRT((1-NORMSDIST(G$9*SQRT($C$11)*NORMSINV($B106)+SQRT(1-G$9^2*$C$11)*NORMSINV(F106)))*(G$7-G$5)*(G$7-G$6))))</f>
        <v>0.0566089708541436</v>
      </c>
      <c r="H106" s="2" t="n">
        <v>0.211858397</v>
      </c>
      <c r="I106" s="2" t="n">
        <f aca="false">IF(I$7=I$5,I$6,IF(NORMSDIST(I$9*SQRT($C$11)*NORMSINV($B106)+SQRT(1-I$9^2*$C$11)*NORMSINV(H106))&lt;I$8,I$5+SQRT(NORMSDIST(I$9*SQRT($C$11)*NORMSINV($B106)+SQRT(1-I$9^2*$C$11)*NORMSINV(H106))*(I$7-I$5)*(I$6-I$5)),I$7-SQRT((1-NORMSDIST(I$9*SQRT($C$11)*NORMSINV($B106)+SQRT(1-I$9^2*$C$11)*NORMSINV(H106)))*(I$7-I$5)*(I$7-I$6))))</f>
        <v>190.378084881256</v>
      </c>
      <c r="J106" s="2" t="n">
        <v>0.301074507</v>
      </c>
      <c r="K106" s="2" t="n">
        <f aca="false">IF(K$7=K$5,K$6,IF(NORMSDIST(K$9*SQRT($C$11)*NORMSINV($B106)+SQRT(1-K$9^2*$C$11)*NORMSINV(J106))&lt;K$8,K$5+SQRT(NORMSDIST(K$9*SQRT($C$11)*NORMSINV($B106)+SQRT(1-K$9^2*$C$11)*NORMSINV(J106))*(K$7-K$5)*(K$6-K$5)),K$7-SQRT((1-NORMSDIST(K$9*SQRT($C$11)*NORMSINV($B106)+SQRT(1-K$9^2*$C$11)*NORMSINV(J106)))*(K$7-K$5)*(K$7-K$6))))</f>
        <v>0.152900213433802</v>
      </c>
      <c r="L106" s="2" t="n">
        <v>0.93073233</v>
      </c>
      <c r="M106" s="2" t="n">
        <f aca="false">IF(M$7=M$5,M$6,IF(NORMSDIST(M$9*SQRT($C$11)*NORMSINV($B106)+SQRT(1-M$9^2*$C$11)*NORMSINV(L106))&lt;M$8,M$5+SQRT(NORMSDIST(M$9*SQRT($C$11)*NORMSINV($B106)+SQRT(1-M$9^2*$C$11)*NORMSINV(L106))*(M$7-M$5)*(M$6-M$5)),M$7-SQRT((1-NORMSDIST(M$9*SQRT($C$11)*NORMSINV($B106)+SQRT(1-M$9^2*$C$11)*NORMSINV(L106)))*(M$7-M$5)*(M$7-M$6))))</f>
        <v>1649.73033338398</v>
      </c>
      <c r="N106" s="2" t="n">
        <v>0.41532646</v>
      </c>
      <c r="O106" s="2" t="n">
        <f aca="false">IF(O$7=O$5,O$6,IF(NORMSDIST(O$9*SQRT($C$11)*NORMSINV($B106)+SQRT(1-O$9^2*$C$11)*NORMSINV(N106))&lt;O$8,O$5+SQRT(NORMSDIST(O$9*SQRT($C$11)*NORMSINV($B106)+SQRT(1-O$9^2*$C$11)*NORMSINV(N106))*(O$7-O$5)*(O$6-O$5)),O$7-SQRT((1-NORMSDIST(O$9*SQRT($C$11)*NORMSINV($B106)+SQRT(1-O$9^2*$C$11)*NORMSINV(N106)))*(O$7-O$5)*(O$7-O$6))))</f>
        <v>0.15922532372086</v>
      </c>
      <c r="P106" s="2" t="n">
        <v>0.623779689</v>
      </c>
      <c r="Q106" s="2" t="n">
        <f aca="false">IF(Q$7=Q$5,Q$6,IF(NORMSDIST(Q$9*SQRT($C$11)*NORMSINV($B106)+SQRT(1-Q$9^2*$C$11)*NORMSINV(P106))&lt;Q$8,Q$5+SQRT(NORMSDIST(Q$9*SQRT($C$11)*NORMSINV($B106)+SQRT(1-Q$9^2*$C$11)*NORMSINV(P106))*(Q$7-Q$5)*(Q$6-Q$5)),Q$7-SQRT((1-NORMSDIST(Q$9*SQRT($C$11)*NORMSINV($B106)+SQRT(1-Q$9^2*$C$11)*NORMSINV(P106)))*(Q$7-Q$5)*(Q$7-Q$6))))</f>
        <v>0.0853026658776211</v>
      </c>
      <c r="R106" s="2" t="n">
        <v>0.142679653</v>
      </c>
      <c r="S106" s="2" t="n">
        <f aca="false">IF(S$7=S$5,S$6,IF(NORMSDIST(S$9*SQRT($C$11)*NORMSINV($B106)+SQRT(1-S$9^2*$C$11)*NORMSINV(R106))&lt;S$8,S$5+SQRT(NORMSDIST(S$9*SQRT($C$11)*NORMSINV($B106)+SQRT(1-S$9^2*$C$11)*NORMSINV(R106))*(S$7-S$5)*(S$6-S$5)),S$7-SQRT((1-NORMSDIST(S$9*SQRT($C$11)*NORMSINV($B106)+SQRT(1-S$9^2*$C$11)*NORMSINV(R106)))*(S$7-S$5)*(S$7-S$6))))</f>
        <v>0.217545294913862</v>
      </c>
      <c r="T106" s="2" t="n">
        <v>0.330044983</v>
      </c>
      <c r="U106" s="2" t="n">
        <f aca="false">IF(U$7=U$5,U$6,IF(NORMSDIST(U$9*SQRT($C$11)*NORMSINV($B106)+SQRT(1-U$9^2*$C$11)*NORMSINV(T106))&lt;U$8,U$5+SQRT(NORMSDIST(U$9*SQRT($C$11)*NORMSINV($B106)+SQRT(1-U$9^2*$C$11)*NORMSINV(T106))*(U$7-U$5)*(U$6-U$5)),U$7-SQRT((1-NORMSDIST(U$9*SQRT($C$11)*NORMSINV($B106)+SQRT(1-U$9^2*$C$11)*NORMSINV(T106)))*(U$7-U$5)*(U$7-U$6))))</f>
        <v>0.319743441156257</v>
      </c>
      <c r="V106" s="2" t="n">
        <v>0.599826572</v>
      </c>
      <c r="W106" s="2" t="n">
        <f aca="false">IF(W$7=W$5,W$6,IF(NORMSDIST(W$9*SQRT($C$11)*NORMSINV($B106)+SQRT(1-W$9^2*$C$11)*NORMSINV(V106))&lt;W$8,W$5+SQRT(NORMSDIST(W$9*SQRT($C$11)*NORMSINV($B106)+SQRT(1-W$9^2*$C$11)*NORMSINV(V106))*(W$7-W$5)*(W$6-W$5)),W$7-SQRT((1-NORMSDIST(W$9*SQRT($C$11)*NORMSINV($B106)+SQRT(1-W$9^2*$C$11)*NORMSINV(V106)))*(W$7-W$5)*(W$7-W$6))))</f>
        <v>9.75775705765684</v>
      </c>
      <c r="X106" s="2" t="n">
        <v>0.810872271</v>
      </c>
      <c r="Y106" s="2" t="n">
        <f aca="false">IF(Y$7=Y$5,Y$6,IF(NORMSDIST(Y$9*SQRT($C$11)*NORMSINV($B106)+SQRT(1-Y$9^2*$C$11)*NORMSINV(X106))&lt;Y$8,Y$5+SQRT(NORMSDIST(Y$9*SQRT($C$11)*NORMSINV($B106)+SQRT(1-Y$9^2*$C$11)*NORMSINV(X106))*(Y$7-Y$5)*(Y$6-Y$5)),Y$7-SQRT((1-NORMSDIST(Y$9*SQRT($C$11)*NORMSINV($B106)+SQRT(1-Y$9^2*$C$11)*NORMSINV(X106)))*(Y$7-Y$5)*(Y$7-Y$6))))</f>
        <v>0.69248761894844</v>
      </c>
      <c r="Z106" s="2" t="n">
        <v>0.787230643</v>
      </c>
      <c r="AA106" s="2" t="n">
        <f aca="false">IF(AA$7=AA$5,AA$6,IF(NORMSDIST(AA$9*SQRT($C$11)*NORMSINV($B106)+SQRT(1-AA$9^2*$C$11)*NORMSINV(Z106))&lt;AA$8,AA$5+SQRT(NORMSDIST(AA$9*SQRT($C$11)*NORMSINV($B106)+SQRT(1-AA$9^2*$C$11)*NORMSINV(Z106))*(AA$7-AA$5)*(AA$6-AA$5)),AA$7-SQRT((1-NORMSDIST(AA$9*SQRT($C$11)*NORMSINV($B106)+SQRT(1-AA$9^2*$C$11)*NORMSINV(Z106)))*(AA$7-AA$5)*(AA$7-AA$6))))</f>
        <v>0.729728919554617</v>
      </c>
      <c r="AB106" s="2" t="n">
        <v>0.125409082</v>
      </c>
      <c r="AC106" s="2" t="n">
        <f aca="false">IF(AC$7=AC$5,AC$6,IF(NORMSDIST(AC$9*SQRT($C$11)*NORMSINV($B106)+SQRT(1-AC$9^2*$C$11)*NORMSINV(AB106))&lt;AC$8,AC$5+SQRT(NORMSDIST(AC$9*SQRT($C$11)*NORMSINV($B106)+SQRT(1-AC$9^2*$C$11)*NORMSINV(AB106))*(AC$7-AC$5)*(AC$6-AC$5)),AC$7-SQRT((1-NORMSDIST(AC$9*SQRT($C$11)*NORMSINV($B106)+SQRT(1-AC$9^2*$C$11)*NORMSINV(AB106)))*(AC$7-AC$5)*(AC$7-AC$6))))</f>
        <v>8.25508145065541</v>
      </c>
      <c r="AD106" s="2" t="n">
        <f aca="false">Entrées!$C$8*(1+E106)</f>
        <v>7438.34307099032</v>
      </c>
      <c r="AE106" s="2" t="n">
        <f aca="false">I106*Hypothèses!$J$24/12/Hypothèses!$J$19</f>
        <v>94.445958580826</v>
      </c>
      <c r="AF106" s="2" t="n">
        <f aca="false">Entrées!$C$36*S106*1000</f>
        <v>108.772647456931</v>
      </c>
      <c r="AG106" s="2" t="n">
        <f aca="false">-AF106/W106</f>
        <v>-11.1473002262931</v>
      </c>
      <c r="AH106" s="2" t="n">
        <f aca="false">AD106+AE106+AG106</f>
        <v>7521.64172934486</v>
      </c>
      <c r="AI106" s="2" t="n">
        <f aca="false">Entrées!$C$16-M106+Hypothèses!$J$22*1000-AF106+Hypothèses!$J$23</f>
        <v>22789.4970191591</v>
      </c>
      <c r="AJ106" s="2" t="n">
        <f aca="false">AI106/AH106</f>
        <v>3.02985675723538</v>
      </c>
      <c r="AK106" s="2" t="n">
        <f aca="false">AI106/(AH106+I106*(12-Hypothèses!$J$24)/12/Hypothèses!$J$19)</f>
        <v>3.00292361742757</v>
      </c>
      <c r="AL106" s="2" t="n">
        <f aca="false">(AD106+AG106+I106/Hypothèses!$J$19)*(1+G106)</f>
        <v>8018.71444613195</v>
      </c>
      <c r="AM106" s="2" t="n">
        <f aca="false">Entrées!$C$54*K106/Hypothèses!$J$19</f>
        <v>15.6041087674296</v>
      </c>
      <c r="AN106" s="2" t="n">
        <f aca="false">Y106*1000/AC106</f>
        <v>83.886224877098</v>
      </c>
      <c r="AO106" s="2" t="n">
        <f aca="false">(Entrées!$C$36*(1-S106)+MAX(0,Entrées!$C$30-Entrées!$C$35-Entrées!$C$36)*U106)*1000</f>
        <v>838.868170161829</v>
      </c>
      <c r="AP106" s="2" t="n">
        <f aca="false">-AO106/W106</f>
        <v>-85.9693641894451</v>
      </c>
      <c r="AQ106" s="2" t="n">
        <f aca="false">AL106+AM106+AN106+AP106</f>
        <v>8032.23541558703</v>
      </c>
      <c r="AR106" s="2" t="n">
        <f aca="false">O106*AQ106-Hypothèses!$J$25/Hypothèses!$J$19</f>
        <v>1259.80012198737</v>
      </c>
      <c r="AS106" s="2" t="n">
        <f aca="false">Entrées!$C$79*(1+Q106)+Hypothèses!$J$20</f>
        <v>1487.74762979951</v>
      </c>
      <c r="AT106" s="2" t="n">
        <f aca="false">AI106-AR106+AS106+Y106*1000-AO106+Hypothèses!$J$23</f>
        <v>22871.0639757578</v>
      </c>
      <c r="AU106" s="2" t="n">
        <f aca="false">AT106/AQ106</f>
        <v>2.84740956812286</v>
      </c>
      <c r="AV106" s="2" t="n">
        <f aca="false">Hypothèses!$J$26*AQ106-AT106</f>
        <v>1225.64227100326</v>
      </c>
      <c r="AW106" s="2" t="n">
        <f aca="false">IF(AC106&gt;Hypothèses!$J$26,MAX(0,AV106)/(1-Hypothèses!$J$26/AC106),0)</f>
        <v>1925.33205650625</v>
      </c>
      <c r="AX106" s="2" t="n">
        <f aca="false">AQ106-Entrées!$C$17*1000</f>
        <v>32.2354155870316</v>
      </c>
      <c r="AY106" s="2" t="n">
        <f aca="false">AI106+(Entrées!$C$244-Entrées!$C$13)</f>
        <v>28536.4970191591</v>
      </c>
      <c r="AZ106" s="2" t="n">
        <f aca="false">AA106*AH106</f>
        <v>5488.75949243174</v>
      </c>
      <c r="BA106" s="2" t="n">
        <f aca="false">AZ106/AY106</f>
        <v>0.192341740079262</v>
      </c>
      <c r="BB106" s="2" t="n">
        <f aca="false">AZ106/(Entrées!$C$151/100)-AY106</f>
        <v>1956.61127212838</v>
      </c>
      <c r="BC106" s="2" t="n">
        <f aca="false">AT106+(Entrées!$C$244-Entrées!$C$13)</f>
        <v>28618.0639757578</v>
      </c>
      <c r="BD106" s="2" t="n">
        <f aca="false">AA106*AQ106</f>
        <v>5861.35447142466</v>
      </c>
      <c r="BE106" s="2" t="n">
        <f aca="false">BD106/BC106</f>
        <v>0.20481310253516</v>
      </c>
      <c r="BF106" s="2" t="n">
        <f aca="false">BD106/(Entrées!$C$151/100)-BC106</f>
        <v>3945.01642104581</v>
      </c>
      <c r="BG106" s="2" t="n">
        <f aca="false">MIN(AV106,BF106)</f>
        <v>1225.64227100326</v>
      </c>
      <c r="BH106" s="2" t="n">
        <f aca="false">IF(AC106&gt;Hypothèses!$J$26,MAX(0,BG106)/(1-Hypothèses!$J$26/AC106),0)</f>
        <v>1925.33205650625</v>
      </c>
    </row>
    <row r="107" customFormat="false" ht="15" hidden="false" customHeight="false" outlineLevel="0" collapsed="false">
      <c r="A107" s="2" t="n">
        <v>92</v>
      </c>
      <c r="B107" s="2" t="n">
        <v>0.79889946</v>
      </c>
      <c r="C107" s="2"/>
      <c r="D107" s="2" t="n">
        <v>0.081418713</v>
      </c>
      <c r="E107" s="2" t="n">
        <f aca="false">IF(E$7=E$5,E$6,IF(NORMSDIST(E$9*SQRT($C$11)*NORMSINV($B107)+SQRT(1-E$9^2*$C$11)*NORMSINV(D107))&lt;E$8,E$5+SQRT(NORMSDIST(E$9*SQRT($C$11)*NORMSINV($B107)+SQRT(1-E$9^2*$C$11)*NORMSINV(D107))*(E$7-E$5)*(E$6-E$5)),E$7-SQRT((1-NORMSDIST(E$9*SQRT($C$11)*NORMSINV($B107)+SQRT(1-E$9^2*$C$11)*NORMSINV(D107)))*(E$7-E$5)*(E$7-E$6))))</f>
        <v>0.0538127625983889</v>
      </c>
      <c r="F107" s="2" t="n">
        <v>0.272134447</v>
      </c>
      <c r="G107" s="2" t="n">
        <f aca="false">IF(G$7=G$5,G$6,IF(NORMSDIST(G$9*SQRT($C$11)*NORMSINV($B107)+SQRT(1-G$9^2*$C$11)*NORMSINV(F107))&lt;G$8,G$5+SQRT(NORMSDIST(G$9*SQRT($C$11)*NORMSINV($B107)+SQRT(1-G$9^2*$C$11)*NORMSINV(F107))*(G$7-G$5)*(G$6-G$5)),G$7-SQRT((1-NORMSDIST(G$9*SQRT($C$11)*NORMSINV($B107)+SQRT(1-G$9^2*$C$11)*NORMSINV(F107)))*(G$7-G$5)*(G$7-G$6))))</f>
        <v>0.0553639253934927</v>
      </c>
      <c r="H107" s="2" t="n">
        <v>0.438533537</v>
      </c>
      <c r="I107" s="2" t="n">
        <f aca="false">IF(I$7=I$5,I$6,IF(NORMSDIST(I$9*SQRT($C$11)*NORMSINV($B107)+SQRT(1-I$9^2*$C$11)*NORMSINV(H107))&lt;I$8,I$5+SQRT(NORMSDIST(I$9*SQRT($C$11)*NORMSINV($B107)+SQRT(1-I$9^2*$C$11)*NORMSINV(H107))*(I$7-I$5)*(I$6-I$5)),I$7-SQRT((1-NORMSDIST(I$9*SQRT($C$11)*NORMSINV($B107)+SQRT(1-I$9^2*$C$11)*NORMSINV(H107)))*(I$7-I$5)*(I$7-I$6))))</f>
        <v>203.485557320622</v>
      </c>
      <c r="J107" s="2" t="n">
        <v>0.04330322</v>
      </c>
      <c r="K107" s="2" t="n">
        <f aca="false">IF(K$7=K$5,K$6,IF(NORMSDIST(K$9*SQRT($C$11)*NORMSINV($B107)+SQRT(1-K$9^2*$C$11)*NORMSINV(J107))&lt;K$8,K$5+SQRT(NORMSDIST(K$9*SQRT($C$11)*NORMSINV($B107)+SQRT(1-K$9^2*$C$11)*NORMSINV(J107))*(K$7-K$5)*(K$6-K$5)),K$7-SQRT((1-NORMSDIST(K$9*SQRT($C$11)*NORMSINV($B107)+SQRT(1-K$9^2*$C$11)*NORMSINV(J107)))*(K$7-K$5)*(K$7-K$6))))</f>
        <v>0.163008072510362</v>
      </c>
      <c r="L107" s="2" t="n">
        <v>0.305729125</v>
      </c>
      <c r="M107" s="2" t="n">
        <f aca="false">IF(M$7=M$5,M$6,IF(NORMSDIST(M$9*SQRT($C$11)*NORMSINV($B107)+SQRT(1-M$9^2*$C$11)*NORMSINV(L107))&lt;M$8,M$5+SQRT(NORMSDIST(M$9*SQRT($C$11)*NORMSINV($B107)+SQRT(1-M$9^2*$C$11)*NORMSINV(L107))*(M$7-M$5)*(M$6-M$5)),M$7-SQRT((1-NORMSDIST(M$9*SQRT($C$11)*NORMSINV($B107)+SQRT(1-M$9^2*$C$11)*NORMSINV(L107)))*(M$7-M$5)*(M$7-M$6))))</f>
        <v>1600.25412722842</v>
      </c>
      <c r="N107" s="2" t="n">
        <v>0.714895179</v>
      </c>
      <c r="O107" s="2" t="n">
        <f aca="false">IF(O$7=O$5,O$6,IF(NORMSDIST(O$9*SQRT($C$11)*NORMSINV($B107)+SQRT(1-O$9^2*$C$11)*NORMSINV(N107))&lt;O$8,O$5+SQRT(NORMSDIST(O$9*SQRT($C$11)*NORMSINV($B107)+SQRT(1-O$9^2*$C$11)*NORMSINV(N107))*(O$7-O$5)*(O$6-O$5)),O$7-SQRT((1-NORMSDIST(O$9*SQRT($C$11)*NORMSINV($B107)+SQRT(1-O$9^2*$C$11)*NORMSINV(N107)))*(O$7-O$5)*(O$7-O$6))))</f>
        <v>0.176697477476621</v>
      </c>
      <c r="P107" s="2" t="n">
        <v>0.247769374</v>
      </c>
      <c r="Q107" s="2" t="n">
        <f aca="false">IF(Q$7=Q$5,Q$6,IF(NORMSDIST(Q$9*SQRT($C$11)*NORMSINV($B107)+SQRT(1-Q$9^2*$C$11)*NORMSINV(P107))&lt;Q$8,Q$5+SQRT(NORMSDIST(Q$9*SQRT($C$11)*NORMSINV($B107)+SQRT(1-Q$9^2*$C$11)*NORMSINV(P107))*(Q$7-Q$5)*(Q$6-Q$5)),Q$7-SQRT((1-NORMSDIST(Q$9*SQRT($C$11)*NORMSINV($B107)+SQRT(1-Q$9^2*$C$11)*NORMSINV(P107)))*(Q$7-Q$5)*(Q$7-Q$6))))</f>
        <v>0.0681578052553817</v>
      </c>
      <c r="R107" s="2" t="n">
        <v>0.819643177</v>
      </c>
      <c r="S107" s="2" t="n">
        <f aca="false">IF(S$7=S$5,S$6,IF(NORMSDIST(S$9*SQRT($C$11)*NORMSINV($B107)+SQRT(1-S$9^2*$C$11)*NORMSINV(R107))&lt;S$8,S$5+SQRT(NORMSDIST(S$9*SQRT($C$11)*NORMSINV($B107)+SQRT(1-S$9^2*$C$11)*NORMSINV(R107))*(S$7-S$5)*(S$6-S$5)),S$7-SQRT((1-NORMSDIST(S$9*SQRT($C$11)*NORMSINV($B107)+SQRT(1-S$9^2*$C$11)*NORMSINV(R107)))*(S$7-S$5)*(S$7-S$6))))</f>
        <v>0.76773226302263</v>
      </c>
      <c r="T107" s="2" t="n">
        <v>0.391122847</v>
      </c>
      <c r="U107" s="2" t="n">
        <f aca="false">IF(U$7=U$5,U$6,IF(NORMSDIST(U$9*SQRT($C$11)*NORMSINV($B107)+SQRT(1-U$9^2*$C$11)*NORMSINV(T107))&lt;U$8,U$5+SQRT(NORMSDIST(U$9*SQRT($C$11)*NORMSINV($B107)+SQRT(1-U$9^2*$C$11)*NORMSINV(T107))*(U$7-U$5)*(U$6-U$5)),U$7-SQRT((1-NORMSDIST(U$9*SQRT($C$11)*NORMSINV($B107)+SQRT(1-U$9^2*$C$11)*NORMSINV(T107)))*(U$7-U$5)*(U$7-U$6))))</f>
        <v>0.566346647022554</v>
      </c>
      <c r="V107" s="2" t="n">
        <v>0.97086215</v>
      </c>
      <c r="W107" s="2" t="n">
        <f aca="false">IF(W$7=W$5,W$6,IF(NORMSDIST(W$9*SQRT($C$11)*NORMSINV($B107)+SQRT(1-W$9^2*$C$11)*NORMSINV(V107))&lt;W$8,W$5+SQRT(NORMSDIST(W$9*SQRT($C$11)*NORMSINV($B107)+SQRT(1-W$9^2*$C$11)*NORMSINV(V107))*(W$7-W$5)*(W$6-W$5)),W$7-SQRT((1-NORMSDIST(W$9*SQRT($C$11)*NORMSINV($B107)+SQRT(1-W$9^2*$C$11)*NORMSINV(V107)))*(W$7-W$5)*(W$7-W$6))))</f>
        <v>11.5716587484184</v>
      </c>
      <c r="X107" s="2" t="n">
        <v>0.71439967</v>
      </c>
      <c r="Y107" s="2" t="n">
        <f aca="false">IF(Y$7=Y$5,Y$6,IF(NORMSDIST(Y$9*SQRT($C$11)*NORMSINV($B107)+SQRT(1-Y$9^2*$C$11)*NORMSINV(X107))&lt;Y$8,Y$5+SQRT(NORMSDIST(Y$9*SQRT($C$11)*NORMSINV($B107)+SQRT(1-Y$9^2*$C$11)*NORMSINV(X107))*(Y$7-Y$5)*(Y$6-Y$5)),Y$7-SQRT((1-NORMSDIST(Y$9*SQRT($C$11)*NORMSINV($B107)+SQRT(1-Y$9^2*$C$11)*NORMSINV(X107)))*(Y$7-Y$5)*(Y$7-Y$6))))</f>
        <v>0.622110909128088</v>
      </c>
      <c r="Z107" s="2" t="n">
        <v>0.887739341</v>
      </c>
      <c r="AA107" s="2" t="n">
        <f aca="false">IF(AA$7=AA$5,AA$6,IF(NORMSDIST(AA$9*SQRT($C$11)*NORMSINV($B107)+SQRT(1-AA$9^2*$C$11)*NORMSINV(Z107))&lt;AA$8,AA$5+SQRT(NORMSDIST(AA$9*SQRT($C$11)*NORMSINV($B107)+SQRT(1-AA$9^2*$C$11)*NORMSINV(Z107))*(AA$7-AA$5)*(AA$6-AA$5)),AA$7-SQRT((1-NORMSDIST(AA$9*SQRT($C$11)*NORMSINV($B107)+SQRT(1-AA$9^2*$C$11)*NORMSINV(Z107)))*(AA$7-AA$5)*(AA$7-AA$6))))</f>
        <v>0.744338580652474</v>
      </c>
      <c r="AB107" s="2" t="n">
        <v>0.667041583</v>
      </c>
      <c r="AC107" s="2" t="n">
        <f aca="false">IF(AC$7=AC$5,AC$6,IF(NORMSDIST(AC$9*SQRT($C$11)*NORMSINV($B107)+SQRT(1-AC$9^2*$C$11)*NORMSINV(AB107))&lt;AC$8,AC$5+SQRT(NORMSDIST(AC$9*SQRT($C$11)*NORMSINV($B107)+SQRT(1-AC$9^2*$C$11)*NORMSINV(AB107))*(AC$7-AC$5)*(AC$6-AC$5)),AC$7-SQRT((1-NORMSDIST(AC$9*SQRT($C$11)*NORMSINV($B107)+SQRT(1-AC$9^2*$C$11)*NORMSINV(AB107)))*(AC$7-AC$5)*(AC$7-AC$6))))</f>
        <v>10.0851778827839</v>
      </c>
      <c r="AD107" s="2" t="n">
        <f aca="false">Entrées!$C$8*(1+E107)</f>
        <v>7429.37997631864</v>
      </c>
      <c r="AE107" s="2" t="n">
        <f aca="false">I107*Hypothèses!$J$24/12/Hypothèses!$J$19</f>
        <v>100.948533705898</v>
      </c>
      <c r="AF107" s="2" t="n">
        <f aca="false">Entrées!$C$36*S107*1000</f>
        <v>383.866131511315</v>
      </c>
      <c r="AG107" s="2" t="n">
        <f aca="false">-AF107/W107</f>
        <v>-33.1729564323508</v>
      </c>
      <c r="AH107" s="2" t="n">
        <f aca="false">AD107+AE107+AG107</f>
        <v>7497.15555359219</v>
      </c>
      <c r="AI107" s="2" t="n">
        <f aca="false">Entrées!$C$16-M107+Hypothèses!$J$22*1000-AF107+Hypothèses!$J$23</f>
        <v>22563.8797412603</v>
      </c>
      <c r="AJ107" s="2" t="n">
        <f aca="false">AI107/AH107</f>
        <v>3.00965874056715</v>
      </c>
      <c r="AK107" s="2" t="n">
        <f aca="false">AI107/(AH107+I107*(12-Hypothèses!$J$24)/12/Hypothèses!$J$19)</f>
        <v>2.98098821091141</v>
      </c>
      <c r="AL107" s="2" t="n">
        <f aca="false">(AD107+AG107+I107/Hypothèses!$J$19)*(1+G107)</f>
        <v>7988.3256863208</v>
      </c>
      <c r="AM107" s="2" t="n">
        <f aca="false">Entrées!$C$54*K107/Hypothèses!$J$19</f>
        <v>16.6356582263502</v>
      </c>
      <c r="AN107" s="2" t="n">
        <f aca="false">Y107*1000/AC107</f>
        <v>61.6856654744853</v>
      </c>
      <c r="AO107" s="2" t="n">
        <f aca="false">(Entrées!$C$36*(1-S107)+MAX(0,Entrées!$C$30-Entrées!$C$35-Entrées!$C$36)*U107)*1000</f>
        <v>909.019174320261</v>
      </c>
      <c r="AP107" s="2" t="n">
        <f aca="false">-AO107/W107</f>
        <v>-78.5556499792653</v>
      </c>
      <c r="AQ107" s="2" t="n">
        <f aca="false">AL107+AM107+AN107+AP107</f>
        <v>7988.09136004237</v>
      </c>
      <c r="AR107" s="2" t="n">
        <f aca="false">O107*AQ107-Hypothèses!$J$25/Hypothèses!$J$19</f>
        <v>1392.34043091065</v>
      </c>
      <c r="AS107" s="2" t="n">
        <f aca="false">Entrées!$C$79*(1+Q107)+Hypothèses!$J$20</f>
        <v>1468.90542797566</v>
      </c>
      <c r="AT107" s="2" t="n">
        <f aca="false">AI107-AR107+AS107+Y107*1000-AO107+Hypothèses!$J$23</f>
        <v>22353.5364731331</v>
      </c>
      <c r="AU107" s="2" t="n">
        <f aca="false">AT107/AQ107</f>
        <v>2.7983576383401</v>
      </c>
      <c r="AV107" s="2" t="n">
        <f aca="false">Hypothèses!$J$26*AQ107-AT107</f>
        <v>1610.73760699401</v>
      </c>
      <c r="AW107" s="2" t="n">
        <f aca="false">IF(AC107&gt;Hypothèses!$J$26,MAX(0,AV107)/(1-Hypothèses!$J$26/AC107),0)</f>
        <v>2292.75475616449</v>
      </c>
      <c r="AX107" s="2" t="n">
        <f aca="false">AQ107-Entrées!$C$17*1000</f>
        <v>-11.9086399576281</v>
      </c>
      <c r="AY107" s="2" t="n">
        <f aca="false">AI107+(Entrées!$C$244-Entrées!$C$13)</f>
        <v>28310.8797412603</v>
      </c>
      <c r="AZ107" s="2" t="n">
        <f aca="false">AA107*AH107</f>
        <v>5580.42212369162</v>
      </c>
      <c r="BA107" s="2" t="n">
        <f aca="false">AZ107/AY107</f>
        <v>0.197112282440263</v>
      </c>
      <c r="BB107" s="2" t="n">
        <f aca="false">AZ107/(Entrées!$C$151/100)-AY107</f>
        <v>2691.46539035985</v>
      </c>
      <c r="BC107" s="2" t="n">
        <f aca="false">AT107+(Entrées!$C$244-Entrées!$C$13)</f>
        <v>28100.5364731331</v>
      </c>
      <c r="BD107" s="2" t="n">
        <f aca="false">AA107*AQ107</f>
        <v>5945.84458505623</v>
      </c>
      <c r="BE107" s="2" t="n">
        <f aca="false">BD107/BC107</f>
        <v>0.211591853085831</v>
      </c>
      <c r="BF107" s="2" t="n">
        <f aca="false">BD107/(Entrées!$C$151/100)-BC107</f>
        <v>4931.93344384594</v>
      </c>
      <c r="BG107" s="2" t="n">
        <f aca="false">MIN(AV107,BF107)</f>
        <v>1610.73760699401</v>
      </c>
      <c r="BH107" s="2" t="n">
        <f aca="false">IF(AC107&gt;Hypothèses!$J$26,MAX(0,BG107)/(1-Hypothèses!$J$26/AC107),0)</f>
        <v>2292.75475616449</v>
      </c>
    </row>
    <row r="108" customFormat="false" ht="15" hidden="false" customHeight="false" outlineLevel="0" collapsed="false">
      <c r="A108" s="2" t="n">
        <v>93</v>
      </c>
      <c r="B108" s="2" t="n">
        <v>0.230942651</v>
      </c>
      <c r="C108" s="2"/>
      <c r="D108" s="2" t="n">
        <v>0.245057512</v>
      </c>
      <c r="E108" s="2" t="n">
        <f aca="false">IF(E$7=E$5,E$6,IF(NORMSDIST(E$9*SQRT($C$11)*NORMSINV($B108)+SQRT(1-E$9^2*$C$11)*NORMSINV(D108))&lt;E$8,E$5+SQRT(NORMSDIST(E$9*SQRT($C$11)*NORMSINV($B108)+SQRT(1-E$9^2*$C$11)*NORMSINV(D108))*(E$7-E$5)*(E$6-E$5)),E$7-SQRT((1-NORMSDIST(E$9*SQRT($C$11)*NORMSINV($B108)+SQRT(1-E$9^2*$C$11)*NORMSINV(D108)))*(E$7-E$5)*(E$7-E$6))))</f>
        <v>0.0528167397944327</v>
      </c>
      <c r="F108" s="2" t="n">
        <v>0.687633185</v>
      </c>
      <c r="G108" s="2" t="n">
        <f aca="false">IF(G$7=G$5,G$6,IF(NORMSDIST(G$9*SQRT($C$11)*NORMSINV($B108)+SQRT(1-G$9^2*$C$11)*NORMSINV(F108))&lt;G$8,G$5+SQRT(NORMSDIST(G$9*SQRT($C$11)*NORMSINV($B108)+SQRT(1-G$9^2*$C$11)*NORMSINV(F108))*(G$7-G$5)*(G$6-G$5)),G$7-SQRT((1-NORMSDIST(G$9*SQRT($C$11)*NORMSINV($B108)+SQRT(1-G$9^2*$C$11)*NORMSINV(F108)))*(G$7-G$5)*(G$7-G$6))))</f>
        <v>0.0544742159419942</v>
      </c>
      <c r="H108" s="2" t="n">
        <v>0.060759041</v>
      </c>
      <c r="I108" s="2" t="n">
        <f aca="false">IF(I$7=I$5,I$6,IF(NORMSDIST(I$9*SQRT($C$11)*NORMSINV($B108)+SQRT(1-I$9^2*$C$11)*NORMSINV(H108))&lt;I$8,I$5+SQRT(NORMSDIST(I$9*SQRT($C$11)*NORMSINV($B108)+SQRT(1-I$9^2*$C$11)*NORMSINV(H108))*(I$7-I$5)*(I$6-I$5)),I$7-SQRT((1-NORMSDIST(I$9*SQRT($C$11)*NORMSINV($B108)+SQRT(1-I$9^2*$C$11)*NORMSINV(H108)))*(I$7-I$5)*(I$7-I$6))))</f>
        <v>186.195647074623</v>
      </c>
      <c r="J108" s="2" t="n">
        <v>0.87301176</v>
      </c>
      <c r="K108" s="2" t="n">
        <f aca="false">IF(K$7=K$5,K$6,IF(NORMSDIST(K$9*SQRT($C$11)*NORMSINV($B108)+SQRT(1-K$9^2*$C$11)*NORMSINV(J108))&lt;K$8,K$5+SQRT(NORMSDIST(K$9*SQRT($C$11)*NORMSINV($B108)+SQRT(1-K$9^2*$C$11)*NORMSINV(J108))*(K$7-K$5)*(K$6-K$5)),K$7-SQRT((1-NORMSDIST(K$9*SQRT($C$11)*NORMSINV($B108)+SQRT(1-K$9^2*$C$11)*NORMSINV(J108)))*(K$7-K$5)*(K$7-K$6))))</f>
        <v>0.294492215028484</v>
      </c>
      <c r="L108" s="2" t="n">
        <v>0.239244584</v>
      </c>
      <c r="M108" s="2" t="n">
        <f aca="false">IF(M$7=M$5,M$6,IF(NORMSDIST(M$9*SQRT($C$11)*NORMSINV($B108)+SQRT(1-M$9^2*$C$11)*NORMSINV(L108))&lt;M$8,M$5+SQRT(NORMSDIST(M$9*SQRT($C$11)*NORMSINV($B108)+SQRT(1-M$9^2*$C$11)*NORMSINV(L108))*(M$7-M$5)*(M$6-M$5)),M$7-SQRT((1-NORMSDIST(M$9*SQRT($C$11)*NORMSINV($B108)+SQRT(1-M$9^2*$C$11)*NORMSINV(L108)))*(M$7-M$5)*(M$7-M$6))))</f>
        <v>1460.40520287097</v>
      </c>
      <c r="N108" s="2" t="n">
        <v>0.344609074</v>
      </c>
      <c r="O108" s="2" t="n">
        <f aca="false">IF(O$7=O$5,O$6,IF(NORMSDIST(O$9*SQRT($C$11)*NORMSINV($B108)+SQRT(1-O$9^2*$C$11)*NORMSINV(N108))&lt;O$8,O$5+SQRT(NORMSDIST(O$9*SQRT($C$11)*NORMSINV($B108)+SQRT(1-O$9^2*$C$11)*NORMSINV(N108))*(O$7-O$5)*(O$6-O$5)),O$7-SQRT((1-NORMSDIST(O$9*SQRT($C$11)*NORMSINV($B108)+SQRT(1-O$9^2*$C$11)*NORMSINV(N108)))*(O$7-O$5)*(O$7-O$6))))</f>
        <v>0.157732069170557</v>
      </c>
      <c r="P108" s="2" t="n">
        <v>0.800876633</v>
      </c>
      <c r="Q108" s="2" t="n">
        <f aca="false">IF(Q$7=Q$5,Q$6,IF(NORMSDIST(Q$9*SQRT($C$11)*NORMSINV($B108)+SQRT(1-Q$9^2*$C$11)*NORMSINV(P108))&lt;Q$8,Q$5+SQRT(NORMSDIST(Q$9*SQRT($C$11)*NORMSINV($B108)+SQRT(1-Q$9^2*$C$11)*NORMSINV(P108))*(Q$7-Q$5)*(Q$6-Q$5)),Q$7-SQRT((1-NORMSDIST(Q$9*SQRT($C$11)*NORMSINV($B108)+SQRT(1-Q$9^2*$C$11)*NORMSINV(P108)))*(Q$7-Q$5)*(Q$7-Q$6))))</f>
        <v>0.0947572827453145</v>
      </c>
      <c r="R108" s="2" t="n">
        <v>0.874387071</v>
      </c>
      <c r="S108" s="2" t="n">
        <f aca="false">IF(S$7=S$5,S$6,IF(NORMSDIST(S$9*SQRT($C$11)*NORMSINV($B108)+SQRT(1-S$9^2*$C$11)*NORMSINV(R108))&lt;S$8,S$5+SQRT(NORMSDIST(S$9*SQRT($C$11)*NORMSINV($B108)+SQRT(1-S$9^2*$C$11)*NORMSINV(R108))*(S$7-S$5)*(S$6-S$5)),S$7-SQRT((1-NORMSDIST(S$9*SQRT($C$11)*NORMSINV($B108)+SQRT(1-S$9^2*$C$11)*NORMSINV(R108)))*(S$7-S$5)*(S$7-S$6))))</f>
        <v>0.590127094254012</v>
      </c>
      <c r="T108" s="2" t="n">
        <v>0.252006399</v>
      </c>
      <c r="U108" s="2" t="n">
        <f aca="false">IF(U$7=U$5,U$6,IF(NORMSDIST(U$9*SQRT($C$11)*NORMSINV($B108)+SQRT(1-U$9^2*$C$11)*NORMSINV(T108))&lt;U$8,U$5+SQRT(NORMSDIST(U$9*SQRT($C$11)*NORMSINV($B108)+SQRT(1-U$9^2*$C$11)*NORMSINV(T108))*(U$7-U$5)*(U$6-U$5)),U$7-SQRT((1-NORMSDIST(U$9*SQRT($C$11)*NORMSINV($B108)+SQRT(1-U$9^2*$C$11)*NORMSINV(T108)))*(U$7-U$5)*(U$7-U$6))))</f>
        <v>0.285330859214594</v>
      </c>
      <c r="V108" s="2" t="n">
        <v>0.444387131</v>
      </c>
      <c r="W108" s="2" t="n">
        <f aca="false">IF(W$7=W$5,W$6,IF(NORMSDIST(W$9*SQRT($C$11)*NORMSINV($B108)+SQRT(1-W$9^2*$C$11)*NORMSINV(V108))&lt;W$8,W$5+SQRT(NORMSDIST(W$9*SQRT($C$11)*NORMSINV($B108)+SQRT(1-W$9^2*$C$11)*NORMSINV(V108))*(W$7-W$5)*(W$6-W$5)),W$7-SQRT((1-NORMSDIST(W$9*SQRT($C$11)*NORMSINV($B108)+SQRT(1-W$9^2*$C$11)*NORMSINV(V108)))*(W$7-W$5)*(W$7-W$6))))</f>
        <v>9.50492414828487</v>
      </c>
      <c r="X108" s="2" t="n">
        <v>0.013206442</v>
      </c>
      <c r="Y108" s="2" t="n">
        <f aca="false">IF(Y$7=Y$5,Y$6,IF(NORMSDIST(Y$9*SQRT($C$11)*NORMSINV($B108)+SQRT(1-Y$9^2*$C$11)*NORMSINV(X108))&lt;Y$8,Y$5+SQRT(NORMSDIST(Y$9*SQRT($C$11)*NORMSINV($B108)+SQRT(1-Y$9^2*$C$11)*NORMSINV(X108))*(Y$7-Y$5)*(Y$6-Y$5)),Y$7-SQRT((1-NORMSDIST(Y$9*SQRT($C$11)*NORMSINV($B108)+SQRT(1-Y$9^2*$C$11)*NORMSINV(X108)))*(Y$7-Y$5)*(Y$7-Y$6))))</f>
        <v>0.0812602055129077</v>
      </c>
      <c r="Z108" s="2" t="n">
        <v>0.99556048</v>
      </c>
      <c r="AA108" s="2" t="n">
        <f aca="false">IF(AA$7=AA$5,AA$6,IF(NORMSDIST(AA$9*SQRT($C$11)*NORMSINV($B108)+SQRT(1-AA$9^2*$C$11)*NORMSINV(Z108))&lt;AA$8,AA$5+SQRT(NORMSDIST(AA$9*SQRT($C$11)*NORMSINV($B108)+SQRT(1-AA$9^2*$C$11)*NORMSINV(Z108))*(AA$7-AA$5)*(AA$6-AA$5)),AA$7-SQRT((1-NORMSDIST(AA$9*SQRT($C$11)*NORMSINV($B108)+SQRT(1-AA$9^2*$C$11)*NORMSINV(Z108)))*(AA$7-AA$5)*(AA$7-AA$6))))</f>
        <v>0.745148265317885</v>
      </c>
      <c r="AB108" s="2" t="n">
        <v>0.100020566</v>
      </c>
      <c r="AC108" s="2" t="n">
        <f aca="false">IF(AC$7=AC$5,AC$6,IF(NORMSDIST(AC$9*SQRT($C$11)*NORMSINV($B108)+SQRT(1-AC$9^2*$C$11)*NORMSINV(AB108))&lt;AC$8,AC$5+SQRT(NORMSDIST(AC$9*SQRT($C$11)*NORMSINV($B108)+SQRT(1-AC$9^2*$C$11)*NORMSINV(AB108))*(AC$7-AC$5)*(AC$6-AC$5)),AC$7-SQRT((1-NORMSDIST(AC$9*SQRT($C$11)*NORMSINV($B108)+SQRT(1-AC$9^2*$C$11)*NORMSINV(AB108)))*(AC$7-AC$5)*(AC$7-AC$6))))</f>
        <v>8.19107819816659</v>
      </c>
      <c r="AD108" s="2" t="n">
        <f aca="false">Entrées!$C$8*(1+E108)</f>
        <v>7422.35801555075</v>
      </c>
      <c r="AE108" s="2" t="n">
        <f aca="false">I108*Hypothèses!$J$24/12/Hypothèses!$J$19</f>
        <v>92.3710645713683</v>
      </c>
      <c r="AF108" s="2" t="n">
        <f aca="false">Entrées!$C$36*S108*1000</f>
        <v>295.063547127006</v>
      </c>
      <c r="AG108" s="2" t="n">
        <f aca="false">-AF108/W108</f>
        <v>-31.0432300693582</v>
      </c>
      <c r="AH108" s="2" t="n">
        <f aca="false">AD108+AE108+AG108</f>
        <v>7483.68585005276</v>
      </c>
      <c r="AI108" s="2" t="n">
        <f aca="false">Entrées!$C$16-M108+Hypothèses!$J$22*1000-AF108+Hypothèses!$J$23</f>
        <v>22792.531250002</v>
      </c>
      <c r="AJ108" s="2" t="n">
        <f aca="false">AI108/AH108</f>
        <v>3.04562907993276</v>
      </c>
      <c r="AK108" s="2" t="n">
        <f aca="false">AI108/(AH108+I108*(12-Hypothèses!$J$24)/12/Hypothèses!$J$19)</f>
        <v>3.01901219469679</v>
      </c>
      <c r="AL108" s="2" t="n">
        <f aca="false">(AD108+AG108+I108/Hypothèses!$J$19)*(1+G108)</f>
        <v>7960.92727329745</v>
      </c>
      <c r="AM108" s="2" t="n">
        <f aca="false">Entrées!$C$54*K108/Hypothèses!$J$19</f>
        <v>30.0541670365637</v>
      </c>
      <c r="AN108" s="2" t="n">
        <f aca="false">Y108*1000/AC108</f>
        <v>9.92057498988304</v>
      </c>
      <c r="AO108" s="2" t="n">
        <f aca="false">(Entrées!$C$36*(1-S108)+MAX(0,Entrées!$C$30-Entrées!$C$35-Entrées!$C$36)*U108)*1000</f>
        <v>604.399655773426</v>
      </c>
      <c r="AP108" s="2" t="n">
        <f aca="false">-AO108/W108</f>
        <v>-63.5880567108458</v>
      </c>
      <c r="AQ108" s="2" t="n">
        <f aca="false">AL108+AM108+AN108+AP108</f>
        <v>7937.31395861305</v>
      </c>
      <c r="AR108" s="2" t="n">
        <f aca="false">O108*AQ108-Hypothèses!$J$25/Hypothèses!$J$19</f>
        <v>1232.83379208676</v>
      </c>
      <c r="AS108" s="2" t="n">
        <f aca="false">Entrées!$C$79*(1+Q108)+Hypothèses!$J$20</f>
        <v>1498.1382537371</v>
      </c>
      <c r="AT108" s="2" t="n">
        <f aca="false">AI108-AR108+AS108+Y108*1000-AO108+Hypothèses!$J$23</f>
        <v>22534.6962613918</v>
      </c>
      <c r="AU108" s="2" t="n">
        <f aca="false">AT108/AQ108</f>
        <v>2.83908339507456</v>
      </c>
      <c r="AV108" s="2" t="n">
        <f aca="false">Hypothèses!$J$26*AQ108-AT108</f>
        <v>1277.24561444731</v>
      </c>
      <c r="AW108" s="2" t="n">
        <f aca="false">IF(AC108&gt;Hypothèses!$J$26,MAX(0,AV108)/(1-Hypothèses!$J$26/AC108),0)</f>
        <v>2015.38453223423</v>
      </c>
      <c r="AX108" s="2" t="n">
        <f aca="false">AQ108-Entrées!$C$17*1000</f>
        <v>-62.6860413869472</v>
      </c>
      <c r="AY108" s="2" t="n">
        <f aca="false">AI108+(Entrées!$C$244-Entrées!$C$13)</f>
        <v>28539.531250002</v>
      </c>
      <c r="AZ108" s="2" t="n">
        <f aca="false">AA108*AH108</f>
        <v>5576.45552935082</v>
      </c>
      <c r="BA108" s="2" t="n">
        <f aca="false">AZ108/AY108</f>
        <v>0.195394082702407</v>
      </c>
      <c r="BB108" s="2" t="n">
        <f aca="false">AZ108/(Entrées!$C$151/100)-AY108</f>
        <v>2440.7772463914</v>
      </c>
      <c r="BC108" s="2" t="n">
        <f aca="false">AT108+(Entrées!$C$244-Entrées!$C$13)</f>
        <v>28281.6962613918</v>
      </c>
      <c r="BD108" s="2" t="n">
        <f aca="false">AA108*AQ108</f>
        <v>5914.47572754395</v>
      </c>
      <c r="BE108" s="2" t="n">
        <f aca="false">BD108/BC108</f>
        <v>0.209127333554528</v>
      </c>
      <c r="BF108" s="2" t="n">
        <f aca="false">BD108/(Entrées!$C$151/100)-BC108</f>
        <v>4576.50222496344</v>
      </c>
      <c r="BG108" s="2" t="n">
        <f aca="false">MIN(AV108,BF108)</f>
        <v>1277.24561444731</v>
      </c>
      <c r="BH108" s="2" t="n">
        <f aca="false">IF(AC108&gt;Hypothèses!$J$26,MAX(0,BG108)/(1-Hypothèses!$J$26/AC108),0)</f>
        <v>2015.38453223423</v>
      </c>
    </row>
    <row r="109" customFormat="false" ht="15" hidden="false" customHeight="false" outlineLevel="0" collapsed="false">
      <c r="A109" s="2" t="n">
        <v>94</v>
      </c>
      <c r="B109" s="2" t="n">
        <v>0.320340737</v>
      </c>
      <c r="C109" s="2"/>
      <c r="D109" s="2" t="n">
        <v>0.360429399</v>
      </c>
      <c r="E109" s="2" t="n">
        <f aca="false">IF(E$7=E$5,E$6,IF(NORMSDIST(E$9*SQRT($C$11)*NORMSINV($B109)+SQRT(1-E$9^2*$C$11)*NORMSINV(D109))&lt;E$8,E$5+SQRT(NORMSDIST(E$9*SQRT($C$11)*NORMSINV($B109)+SQRT(1-E$9^2*$C$11)*NORMSINV(D109))*(E$7-E$5)*(E$6-E$5)),E$7-SQRT((1-NORMSDIST(E$9*SQRT($C$11)*NORMSINV($B109)+SQRT(1-E$9^2*$C$11)*NORMSINV(D109)))*(E$7-E$5)*(E$7-E$6))))</f>
        <v>0.0537661101646763</v>
      </c>
      <c r="F109" s="2" t="n">
        <v>0.956834279</v>
      </c>
      <c r="G109" s="2" t="n">
        <f aca="false">IF(G$7=G$5,G$6,IF(NORMSDIST(G$9*SQRT($C$11)*NORMSINV($B109)+SQRT(1-G$9^2*$C$11)*NORMSINV(F109))&lt;G$8,G$5+SQRT(NORMSDIST(G$9*SQRT($C$11)*NORMSINV($B109)+SQRT(1-G$9^2*$C$11)*NORMSINV(F109))*(G$7-G$5)*(G$6-G$5)),G$7-SQRT((1-NORMSDIST(G$9*SQRT($C$11)*NORMSINV($B109)+SQRT(1-G$9^2*$C$11)*NORMSINV(F109)))*(G$7-G$5)*(G$7-G$6))))</f>
        <v>0.0617641159212021</v>
      </c>
      <c r="H109" s="2" t="n">
        <v>0.566887937</v>
      </c>
      <c r="I109" s="2" t="n">
        <f aca="false">IF(I$7=I$5,I$6,IF(NORMSDIST(I$9*SQRT($C$11)*NORMSINV($B109)+SQRT(1-I$9^2*$C$11)*NORMSINV(H109))&lt;I$8,I$5+SQRT(NORMSDIST(I$9*SQRT($C$11)*NORMSINV($B109)+SQRT(1-I$9^2*$C$11)*NORMSINV(H109))*(I$7-I$5)*(I$6-I$5)),I$7-SQRT((1-NORMSDIST(I$9*SQRT($C$11)*NORMSINV($B109)+SQRT(1-I$9^2*$C$11)*NORMSINV(H109)))*(I$7-I$5)*(I$7-I$6))))</f>
        <v>198.645878714312</v>
      </c>
      <c r="J109" s="2" t="n">
        <v>0.53561434</v>
      </c>
      <c r="K109" s="2" t="n">
        <f aca="false">IF(K$7=K$5,K$6,IF(NORMSDIST(K$9*SQRT($C$11)*NORMSINV($B109)+SQRT(1-K$9^2*$C$11)*NORMSINV(J109))&lt;K$8,K$5+SQRT(NORMSDIST(K$9*SQRT($C$11)*NORMSINV($B109)+SQRT(1-K$9^2*$C$11)*NORMSINV(J109))*(K$7-K$5)*(K$6-K$5)),K$7-SQRT((1-NORMSDIST(K$9*SQRT($C$11)*NORMSINV($B109)+SQRT(1-K$9^2*$C$11)*NORMSINV(J109)))*(K$7-K$5)*(K$7-K$6))))</f>
        <v>0.226555304967522</v>
      </c>
      <c r="L109" s="2" t="n">
        <v>0.427480727</v>
      </c>
      <c r="M109" s="2" t="n">
        <f aca="false">IF(M$7=M$5,M$6,IF(NORMSDIST(M$9*SQRT($C$11)*NORMSINV($B109)+SQRT(1-M$9^2*$C$11)*NORMSINV(L109))&lt;M$8,M$5+SQRT(NORMSDIST(M$9*SQRT($C$11)*NORMSINV($B109)+SQRT(1-M$9^2*$C$11)*NORMSINV(L109))*(M$7-M$5)*(M$6-M$5)),M$7-SQRT((1-NORMSDIST(M$9*SQRT($C$11)*NORMSINV($B109)+SQRT(1-M$9^2*$C$11)*NORMSINV(L109)))*(M$7-M$5)*(M$7-M$6))))</f>
        <v>1532.81386433275</v>
      </c>
      <c r="N109" s="2" t="n">
        <v>0.073671145</v>
      </c>
      <c r="O109" s="2" t="n">
        <f aca="false">IF(O$7=O$5,O$6,IF(NORMSDIST(O$9*SQRT($C$11)*NORMSINV($B109)+SQRT(1-O$9^2*$C$11)*NORMSINV(N109))&lt;O$8,O$5+SQRT(NORMSDIST(O$9*SQRT($C$11)*NORMSINV($B109)+SQRT(1-O$9^2*$C$11)*NORMSINV(N109))*(O$7-O$5)*(O$6-O$5)),O$7-SQRT((1-NORMSDIST(O$9*SQRT($C$11)*NORMSINV($B109)+SQRT(1-O$9^2*$C$11)*NORMSINV(N109)))*(O$7-O$5)*(O$7-O$6))))</f>
        <v>0.150589711400266</v>
      </c>
      <c r="P109" s="2" t="n">
        <v>0.742188412</v>
      </c>
      <c r="Q109" s="2" t="n">
        <f aca="false">IF(Q$7=Q$5,Q$6,IF(NORMSDIST(Q$9*SQRT($C$11)*NORMSINV($B109)+SQRT(1-Q$9^2*$C$11)*NORMSINV(P109))&lt;Q$8,Q$5+SQRT(NORMSDIST(Q$9*SQRT($C$11)*NORMSINV($B109)+SQRT(1-Q$9^2*$C$11)*NORMSINV(P109))*(Q$7-Q$5)*(Q$6-Q$5)),Q$7-SQRT((1-NORMSDIST(Q$9*SQRT($C$11)*NORMSINV($B109)+SQRT(1-Q$9^2*$C$11)*NORMSINV(P109)))*(Q$7-Q$5)*(Q$7-Q$6))))</f>
        <v>0.0912772375701779</v>
      </c>
      <c r="R109" s="2" t="n">
        <v>0.225785137</v>
      </c>
      <c r="S109" s="2" t="n">
        <f aca="false">IF(S$7=S$5,S$6,IF(NORMSDIST(S$9*SQRT($C$11)*NORMSINV($B109)+SQRT(1-S$9^2*$C$11)*NORMSINV(R109))&lt;S$8,S$5+SQRT(NORMSDIST(S$9*SQRT($C$11)*NORMSINV($B109)+SQRT(1-S$9^2*$C$11)*NORMSINV(R109))*(S$7-S$5)*(S$6-S$5)),S$7-SQRT((1-NORMSDIST(S$9*SQRT($C$11)*NORMSINV($B109)+SQRT(1-S$9^2*$C$11)*NORMSINV(R109)))*(S$7-S$5)*(S$7-S$6))))</f>
        <v>0.308129122314817</v>
      </c>
      <c r="T109" s="2" t="n">
        <v>0.485984201</v>
      </c>
      <c r="U109" s="2" t="n">
        <f aca="false">IF(U$7=U$5,U$6,IF(NORMSDIST(U$9*SQRT($C$11)*NORMSINV($B109)+SQRT(1-U$9^2*$C$11)*NORMSINV(T109))&lt;U$8,U$5+SQRT(NORMSDIST(U$9*SQRT($C$11)*NORMSINV($B109)+SQRT(1-U$9^2*$C$11)*NORMSINV(T109))*(U$7-U$5)*(U$6-U$5)),U$7-SQRT((1-NORMSDIST(U$9*SQRT($C$11)*NORMSINV($B109)+SQRT(1-U$9^2*$C$11)*NORMSINV(T109)))*(U$7-U$5)*(U$7-U$6))))</f>
        <v>0.432185761671625</v>
      </c>
      <c r="V109" s="2" t="n">
        <v>0.230204441</v>
      </c>
      <c r="W109" s="2" t="n">
        <f aca="false">IF(W$7=W$5,W$6,IF(NORMSDIST(W$9*SQRT($C$11)*NORMSINV($B109)+SQRT(1-W$9^2*$C$11)*NORMSINV(V109))&lt;W$8,W$5+SQRT(NORMSDIST(W$9*SQRT($C$11)*NORMSINV($B109)+SQRT(1-W$9^2*$C$11)*NORMSINV(V109))*(W$7-W$5)*(W$6-W$5)),W$7-SQRT((1-NORMSDIST(W$9*SQRT($C$11)*NORMSINV($B109)+SQRT(1-W$9^2*$C$11)*NORMSINV(V109)))*(W$7-W$5)*(W$7-W$6))))</f>
        <v>9.24249950234441</v>
      </c>
      <c r="X109" s="2" t="n">
        <v>0.354396703</v>
      </c>
      <c r="Y109" s="2" t="n">
        <f aca="false">IF(Y$7=Y$5,Y$6,IF(NORMSDIST(Y$9*SQRT($C$11)*NORMSINV($B109)+SQRT(1-Y$9^2*$C$11)*NORMSINV(X109))&lt;Y$8,Y$5+SQRT(NORMSDIST(Y$9*SQRT($C$11)*NORMSINV($B109)+SQRT(1-Y$9^2*$C$11)*NORMSINV(X109))*(Y$7-Y$5)*(Y$6-Y$5)),Y$7-SQRT((1-NORMSDIST(Y$9*SQRT($C$11)*NORMSINV($B109)+SQRT(1-Y$9^2*$C$11)*NORMSINV(X109)))*(Y$7-Y$5)*(Y$7-Y$6))))</f>
        <v>0.420949345527464</v>
      </c>
      <c r="Z109" s="2" t="n">
        <v>0.627774563</v>
      </c>
      <c r="AA109" s="2" t="n">
        <f aca="false">IF(AA$7=AA$5,AA$6,IF(NORMSDIST(AA$9*SQRT($C$11)*NORMSINV($B109)+SQRT(1-AA$9^2*$C$11)*NORMSINV(Z109))&lt;AA$8,AA$5+SQRT(NORMSDIST(AA$9*SQRT($C$11)*NORMSINV($B109)+SQRT(1-AA$9^2*$C$11)*NORMSINV(Z109))*(AA$7-AA$5)*(AA$6-AA$5)),AA$7-SQRT((1-NORMSDIST(AA$9*SQRT($C$11)*NORMSINV($B109)+SQRT(1-AA$9^2*$C$11)*NORMSINV(Z109)))*(AA$7-AA$5)*(AA$7-AA$6))))</f>
        <v>0.727489066021933</v>
      </c>
      <c r="AB109" s="2" t="n">
        <v>0.156237156</v>
      </c>
      <c r="AC109" s="2" t="n">
        <f aca="false">IF(AC$7=AC$5,AC$6,IF(NORMSDIST(AC$9*SQRT($C$11)*NORMSINV($B109)+SQRT(1-AC$9^2*$C$11)*NORMSINV(AB109))&lt;AC$8,AC$5+SQRT(NORMSDIST(AC$9*SQRT($C$11)*NORMSINV($B109)+SQRT(1-AC$9^2*$C$11)*NORMSINV(AB109))*(AC$7-AC$5)*(AC$6-AC$5)),AC$7-SQRT((1-NORMSDIST(AC$9*SQRT($C$11)*NORMSINV($B109)+SQRT(1-AC$9^2*$C$11)*NORMSINV(AB109)))*(AC$7-AC$5)*(AC$7-AC$6))))</f>
        <v>8.50222033663735</v>
      </c>
      <c r="AD109" s="2" t="n">
        <f aca="false">Entrées!$C$8*(1+E109)</f>
        <v>7429.05107666097</v>
      </c>
      <c r="AE109" s="2" t="n">
        <f aca="false">I109*Hypothèses!$J$24/12/Hypothèses!$J$19</f>
        <v>98.5475846393016</v>
      </c>
      <c r="AF109" s="2" t="n">
        <f aca="false">Entrées!$C$36*S109*1000</f>
        <v>154.064561157409</v>
      </c>
      <c r="AG109" s="2" t="n">
        <f aca="false">-AF109/W109</f>
        <v>-16.6691446527348</v>
      </c>
      <c r="AH109" s="2" t="n">
        <f aca="false">AD109+AE109+AG109</f>
        <v>7510.92951664754</v>
      </c>
      <c r="AI109" s="2" t="n">
        <f aca="false">Entrées!$C$16-M109+Hypothèses!$J$22*1000-AF109+Hypothèses!$J$23</f>
        <v>22861.1215745098</v>
      </c>
      <c r="AJ109" s="2" t="n">
        <f aca="false">AI109/AH109</f>
        <v>3.04371403350804</v>
      </c>
      <c r="AK109" s="2" t="n">
        <f aca="false">AI109/(AH109+I109*(12-Hypothèses!$J$24)/12/Hypothèses!$J$19)</f>
        <v>3.01545372295185</v>
      </c>
      <c r="AL109" s="2" t="n">
        <f aca="false">(AD109+AG109+I109/Hypothèses!$J$19)*(1+G109)</f>
        <v>8049.57421590453</v>
      </c>
      <c r="AM109" s="2" t="n">
        <f aca="false">Entrées!$C$54*K109/Hypothèses!$J$19</f>
        <v>23.1209201161903</v>
      </c>
      <c r="AN109" s="2" t="n">
        <f aca="false">Y109*1000/AC109</f>
        <v>49.5105194714291</v>
      </c>
      <c r="AO109" s="2" t="n">
        <f aca="false">(Entrées!$C$36*(1-S109)+MAX(0,Entrées!$C$30-Entrées!$C$35-Entrées!$C$36)*U109)*1000</f>
        <v>950.995505182866</v>
      </c>
      <c r="AP109" s="2" t="n">
        <f aca="false">-AO109/W109</f>
        <v>-102.893757791563</v>
      </c>
      <c r="AQ109" s="2" t="n">
        <f aca="false">AL109+AM109+AN109+AP109</f>
        <v>8019.31189770059</v>
      </c>
      <c r="AR109" s="2" t="n">
        <f aca="false">O109*AQ109-Hypothèses!$J$25/Hypothèses!$J$19</f>
        <v>1188.49070204183</v>
      </c>
      <c r="AS109" s="2" t="n">
        <f aca="false">Entrées!$C$79*(1+Q109)+Hypothèses!$J$20</f>
        <v>1494.31368408963</v>
      </c>
      <c r="AT109" s="2" t="n">
        <f aca="false">AI109-AR109+AS109+Y109*1000-AO109+Hypothèses!$J$23</f>
        <v>22636.8983969022</v>
      </c>
      <c r="AU109" s="2" t="n">
        <f aca="false">AT109/AQ109</f>
        <v>2.82279810109307</v>
      </c>
      <c r="AV109" s="2" t="n">
        <f aca="false">Hypothèses!$J$26*AQ109-AT109</f>
        <v>1421.03729619951</v>
      </c>
      <c r="AW109" s="2" t="n">
        <f aca="false">IF(AC109&gt;Hypothèses!$J$26,MAX(0,AV109)/(1-Hypothèses!$J$26/AC109),0)</f>
        <v>2195.83576441279</v>
      </c>
      <c r="AX109" s="2" t="n">
        <f aca="false">AQ109-Entrées!$C$17*1000</f>
        <v>19.3118977005861</v>
      </c>
      <c r="AY109" s="2" t="n">
        <f aca="false">AI109+(Entrées!$C$244-Entrées!$C$13)</f>
        <v>28608.1215745098</v>
      </c>
      <c r="AZ109" s="2" t="n">
        <f aca="false">AA109*AH109</f>
        <v>5464.11909902248</v>
      </c>
      <c r="BA109" s="2" t="n">
        <f aca="false">AZ109/AY109</f>
        <v>0.190998877182173</v>
      </c>
      <c r="BB109" s="2" t="n">
        <f aca="false">AZ109/(Entrées!$C$151/100)-AY109</f>
        <v>1748.09564228172</v>
      </c>
      <c r="BC109" s="2" t="n">
        <f aca="false">AT109+(Entrées!$C$244-Entrées!$C$13)</f>
        <v>28383.8983969022</v>
      </c>
      <c r="BD109" s="2" t="n">
        <f aca="false">AA109*AQ109</f>
        <v>5833.96172259677</v>
      </c>
      <c r="BE109" s="2" t="n">
        <f aca="false">BD109/BC109</f>
        <v>0.205537718639575</v>
      </c>
      <c r="BF109" s="2" t="n">
        <f aca="false">BD109/(Entrées!$C$151/100)-BC109</f>
        <v>4027.00006196871</v>
      </c>
      <c r="BG109" s="2" t="n">
        <f aca="false">MIN(AV109,BF109)</f>
        <v>1421.03729619951</v>
      </c>
      <c r="BH109" s="2" t="n">
        <f aca="false">IF(AC109&gt;Hypothèses!$J$26,MAX(0,BG109)/(1-Hypothèses!$J$26/AC109),0)</f>
        <v>2195.83576441279</v>
      </c>
    </row>
    <row r="110" customFormat="false" ht="15" hidden="false" customHeight="false" outlineLevel="0" collapsed="false">
      <c r="A110" s="2" t="n">
        <v>95</v>
      </c>
      <c r="B110" s="2" t="n">
        <v>0.054664451</v>
      </c>
      <c r="C110" s="2"/>
      <c r="D110" s="2" t="n">
        <v>0.543458431</v>
      </c>
      <c r="E110" s="2" t="n">
        <f aca="false">IF(E$7=E$5,E$6,IF(NORMSDIST(E$9*SQRT($C$11)*NORMSINV($B110)+SQRT(1-E$9^2*$C$11)*NORMSINV(D110))&lt;E$8,E$5+SQRT(NORMSDIST(E$9*SQRT($C$11)*NORMSINV($B110)+SQRT(1-E$9^2*$C$11)*NORMSINV(D110))*(E$7-E$5)*(E$6-E$5)),E$7-SQRT((1-NORMSDIST(E$9*SQRT($C$11)*NORMSINV($B110)+SQRT(1-E$9^2*$C$11)*NORMSINV(D110)))*(E$7-E$5)*(E$7-E$6))))</f>
        <v>0.0529720755686938</v>
      </c>
      <c r="F110" s="2" t="n">
        <v>0.787317785</v>
      </c>
      <c r="G110" s="2" t="n">
        <f aca="false">IF(G$7=G$5,G$6,IF(NORMSDIST(G$9*SQRT($C$11)*NORMSINV($B110)+SQRT(1-G$9^2*$C$11)*NORMSINV(F110))&lt;G$8,G$5+SQRT(NORMSDIST(G$9*SQRT($C$11)*NORMSINV($B110)+SQRT(1-G$9^2*$C$11)*NORMSINV(F110))*(G$7-G$5)*(G$6-G$5)),G$7-SQRT((1-NORMSDIST(G$9*SQRT($C$11)*NORMSINV($B110)+SQRT(1-G$9^2*$C$11)*NORMSINV(F110)))*(G$7-G$5)*(G$7-G$6))))</f>
        <v>0.052484052280609</v>
      </c>
      <c r="H110" s="2" t="n">
        <v>0.146582985</v>
      </c>
      <c r="I110" s="2" t="n">
        <f aca="false">IF(I$7=I$5,I$6,IF(NORMSDIST(I$9*SQRT($C$11)*NORMSINV($B110)+SQRT(1-I$9^2*$C$11)*NORMSINV(H110))&lt;I$8,I$5+SQRT(NORMSDIST(I$9*SQRT($C$11)*NORMSINV($B110)+SQRT(1-I$9^2*$C$11)*NORMSINV(H110))*(I$7-I$5)*(I$6-I$5)),I$7-SQRT((1-NORMSDIST(I$9*SQRT($C$11)*NORMSINV($B110)+SQRT(1-I$9^2*$C$11)*NORMSINV(H110)))*(I$7-I$5)*(I$7-I$6))))</f>
        <v>185.204091482605</v>
      </c>
      <c r="J110" s="2" t="n">
        <v>0.216188254</v>
      </c>
      <c r="K110" s="2" t="n">
        <f aca="false">IF(K$7=K$5,K$6,IF(NORMSDIST(K$9*SQRT($C$11)*NORMSINV($B110)+SQRT(1-K$9^2*$C$11)*NORMSINV(J110))&lt;K$8,K$5+SQRT(NORMSDIST(K$9*SQRT($C$11)*NORMSINV($B110)+SQRT(1-K$9^2*$C$11)*NORMSINV(J110))*(K$7-K$5)*(K$6-K$5)),K$7-SQRT((1-NORMSDIST(K$9*SQRT($C$11)*NORMSINV($B110)+SQRT(1-K$9^2*$C$11)*NORMSINV(J110)))*(K$7-K$5)*(K$7-K$6))))</f>
        <v>0.0810277570199689</v>
      </c>
      <c r="L110" s="2" t="n">
        <v>0.641278494</v>
      </c>
      <c r="M110" s="2" t="n">
        <f aca="false">IF(M$7=M$5,M$6,IF(NORMSDIST(M$9*SQRT($C$11)*NORMSINV($B110)+SQRT(1-M$9^2*$C$11)*NORMSINV(L110))&lt;M$8,M$5+SQRT(NORMSDIST(M$9*SQRT($C$11)*NORMSINV($B110)+SQRT(1-M$9^2*$C$11)*NORMSINV(L110))*(M$7-M$5)*(M$6-M$5)),M$7-SQRT((1-NORMSDIST(M$9*SQRT($C$11)*NORMSINV($B110)+SQRT(1-M$9^2*$C$11)*NORMSINV(L110)))*(M$7-M$5)*(M$7-M$6))))</f>
        <v>1495.3801634331</v>
      </c>
      <c r="N110" s="2" t="n">
        <v>0.800247825</v>
      </c>
      <c r="O110" s="2" t="n">
        <f aca="false">IF(O$7=O$5,O$6,IF(NORMSDIST(O$9*SQRT($C$11)*NORMSINV($B110)+SQRT(1-O$9^2*$C$11)*NORMSINV(N110))&lt;O$8,O$5+SQRT(NORMSDIST(O$9*SQRT($C$11)*NORMSINV($B110)+SQRT(1-O$9^2*$C$11)*NORMSINV(N110))*(O$7-O$5)*(O$6-O$5)),O$7-SQRT((1-NORMSDIST(O$9*SQRT($C$11)*NORMSINV($B110)+SQRT(1-O$9^2*$C$11)*NORMSINV(N110)))*(O$7-O$5)*(O$7-O$6))))</f>
        <v>0.162708065693627</v>
      </c>
      <c r="P110" s="2" t="n">
        <v>0.995002965</v>
      </c>
      <c r="Q110" s="2" t="n">
        <f aca="false">IF(Q$7=Q$5,Q$6,IF(NORMSDIST(Q$9*SQRT($C$11)*NORMSINV($B110)+SQRT(1-Q$9^2*$C$11)*NORMSINV(P110))&lt;Q$8,Q$5+SQRT(NORMSDIST(Q$9*SQRT($C$11)*NORMSINV($B110)+SQRT(1-Q$9^2*$C$11)*NORMSINV(P110))*(Q$7-Q$5)*(Q$6-Q$5)),Q$7-SQRT((1-NORMSDIST(Q$9*SQRT($C$11)*NORMSINV($B110)+SQRT(1-Q$9^2*$C$11)*NORMSINV(P110)))*(Q$7-Q$5)*(Q$7-Q$6))))</f>
        <v>0.116001186175877</v>
      </c>
      <c r="R110" s="2" t="n">
        <v>0.838658976</v>
      </c>
      <c r="S110" s="2" t="n">
        <f aca="false">IF(S$7=S$5,S$6,IF(NORMSDIST(S$9*SQRT($C$11)*NORMSINV($B110)+SQRT(1-S$9^2*$C$11)*NORMSINV(R110))&lt;S$8,S$5+SQRT(NORMSDIST(S$9*SQRT($C$11)*NORMSINV($B110)+SQRT(1-S$9^2*$C$11)*NORMSINV(R110))*(S$7-S$5)*(S$6-S$5)),S$7-SQRT((1-NORMSDIST(S$9*SQRT($C$11)*NORMSINV($B110)+SQRT(1-S$9^2*$C$11)*NORMSINV(R110)))*(S$7-S$5)*(S$7-S$6))))</f>
        <v>0.448658374755708</v>
      </c>
      <c r="T110" s="2" t="n">
        <v>0.06439816</v>
      </c>
      <c r="U110" s="2" t="n">
        <f aca="false">IF(U$7=U$5,U$6,IF(NORMSDIST(U$9*SQRT($C$11)*NORMSINV($B110)+SQRT(1-U$9^2*$C$11)*NORMSINV(T110))&lt;U$8,U$5+SQRT(NORMSDIST(U$9*SQRT($C$11)*NORMSINV($B110)+SQRT(1-U$9^2*$C$11)*NORMSINV(T110))*(U$7-U$5)*(U$6-U$5)),U$7-SQRT((1-NORMSDIST(U$9*SQRT($C$11)*NORMSINV($B110)+SQRT(1-U$9^2*$C$11)*NORMSINV(T110)))*(U$7-U$5)*(U$7-U$6))))</f>
        <v>0.0845307922726391</v>
      </c>
      <c r="V110" s="2" t="n">
        <v>0.229942694</v>
      </c>
      <c r="W110" s="2" t="n">
        <f aca="false">IF(W$7=W$5,W$6,IF(NORMSDIST(W$9*SQRT($C$11)*NORMSINV($B110)+SQRT(1-W$9^2*$C$11)*NORMSINV(V110))&lt;W$8,W$5+SQRT(NORMSDIST(W$9*SQRT($C$11)*NORMSINV($B110)+SQRT(1-W$9^2*$C$11)*NORMSINV(V110))*(W$7-W$5)*(W$6-W$5)),W$7-SQRT((1-NORMSDIST(W$9*SQRT($C$11)*NORMSINV($B110)+SQRT(1-W$9^2*$C$11)*NORMSINV(V110)))*(W$7-W$5)*(W$7-W$6))))</f>
        <v>8.67210590829166</v>
      </c>
      <c r="X110" s="2" t="n">
        <v>0.13156695</v>
      </c>
      <c r="Y110" s="2" t="n">
        <f aca="false">IF(Y$7=Y$5,Y$6,IF(NORMSDIST(Y$9*SQRT($C$11)*NORMSINV($B110)+SQRT(1-Y$9^2*$C$11)*NORMSINV(X110))&lt;Y$8,Y$5+SQRT(NORMSDIST(Y$9*SQRT($C$11)*NORMSINV($B110)+SQRT(1-Y$9^2*$C$11)*NORMSINV(X110))*(Y$7-Y$5)*(Y$6-Y$5)),Y$7-SQRT((1-NORMSDIST(Y$9*SQRT($C$11)*NORMSINV($B110)+SQRT(1-Y$9^2*$C$11)*NORMSINV(X110)))*(Y$7-Y$5)*(Y$7-Y$6))))</f>
        <v>0.256482894166453</v>
      </c>
      <c r="Z110" s="2" t="n">
        <v>0.368644731</v>
      </c>
      <c r="AA110" s="2" t="n">
        <f aca="false">IF(AA$7=AA$5,AA$6,IF(NORMSDIST(AA$9*SQRT($C$11)*NORMSINV($B110)+SQRT(1-AA$9^2*$C$11)*NORMSINV(Z110))&lt;AA$8,AA$5+SQRT(NORMSDIST(AA$9*SQRT($C$11)*NORMSINV($B110)+SQRT(1-AA$9^2*$C$11)*NORMSINV(Z110))*(AA$7-AA$5)*(AA$6-AA$5)),AA$7-SQRT((1-NORMSDIST(AA$9*SQRT($C$11)*NORMSINV($B110)+SQRT(1-AA$9^2*$C$11)*NORMSINV(Z110)))*(AA$7-AA$5)*(AA$7-AA$6))))</f>
        <v>0.710073500708079</v>
      </c>
      <c r="AB110" s="2" t="n">
        <v>0.355557694</v>
      </c>
      <c r="AC110" s="2" t="n">
        <f aca="false">IF(AC$7=AC$5,AC$6,IF(NORMSDIST(AC$9*SQRT($C$11)*NORMSINV($B110)+SQRT(1-AC$9^2*$C$11)*NORMSINV(AB110))&lt;AC$8,AC$5+SQRT(NORMSDIST(AC$9*SQRT($C$11)*NORMSINV($B110)+SQRT(1-AC$9^2*$C$11)*NORMSINV(AB110))*(AC$7-AC$5)*(AC$6-AC$5)),AC$7-SQRT((1-NORMSDIST(AC$9*SQRT($C$11)*NORMSINV($B110)+SQRT(1-AC$9^2*$C$11)*NORMSINV(AB110)))*(AC$7-AC$5)*(AC$7-AC$6))))</f>
        <v>8.31486764118186</v>
      </c>
      <c r="AD110" s="2" t="n">
        <f aca="false">Entrées!$C$8*(1+E110)</f>
        <v>7423.45313275929</v>
      </c>
      <c r="AE110" s="2" t="n">
        <f aca="false">I110*Hypothèses!$J$24/12/Hypothèses!$J$19</f>
        <v>91.8791570157656</v>
      </c>
      <c r="AF110" s="2" t="n">
        <f aca="false">Entrées!$C$36*S110*1000</f>
        <v>224.329187377854</v>
      </c>
      <c r="AG110" s="2" t="n">
        <f aca="false">-AF110/W110</f>
        <v>-25.8679021854848</v>
      </c>
      <c r="AH110" s="2" t="n">
        <f aca="false">AD110+AE110+AG110</f>
        <v>7489.46438758957</v>
      </c>
      <c r="AI110" s="2" t="n">
        <f aca="false">Entrées!$C$16-M110+Hypothèses!$J$22*1000-AF110+Hypothèses!$J$23</f>
        <v>22828.290649189</v>
      </c>
      <c r="AJ110" s="2" t="n">
        <f aca="false">AI110/AH110</f>
        <v>3.04805383506686</v>
      </c>
      <c r="AK110" s="2" t="n">
        <f aca="false">AI110/(AH110+I110*(12-Hypothèses!$J$24)/12/Hypothèses!$J$19)</f>
        <v>3.02157664934179</v>
      </c>
      <c r="AL110" s="2" t="n">
        <f aca="false">(AD110+AG110+I110/Hypothèses!$J$19)*(1+G110)</f>
        <v>7951.61421913021</v>
      </c>
      <c r="AM110" s="2" t="n">
        <f aca="false">Entrées!$C$54*K110/Hypothèses!$J$19</f>
        <v>8.26922281745444</v>
      </c>
      <c r="AN110" s="2" t="n">
        <f aca="false">Y110*1000/AC110</f>
        <v>30.8462990915388</v>
      </c>
      <c r="AO110" s="2" t="n">
        <f aca="false">(Entrées!$C$36*(1-S110)+MAX(0,Entrées!$C$30-Entrées!$C$35-Entrées!$C$36)*U110)*1000</f>
        <v>394.013921803841</v>
      </c>
      <c r="AP110" s="2" t="n">
        <f aca="false">-AO110/W110</f>
        <v>-45.4346298316205</v>
      </c>
      <c r="AQ110" s="2" t="n">
        <f aca="false">AL110+AM110+AN110+AP110</f>
        <v>7945.29511120758</v>
      </c>
      <c r="AR110" s="2" t="n">
        <f aca="false">O110*AQ110-Hypothèses!$J$25/Hypothèses!$J$19</f>
        <v>1273.62843664799</v>
      </c>
      <c r="AS110" s="2" t="n">
        <f aca="false">Entrées!$C$79*(1+Q110)+Hypothèses!$J$20</f>
        <v>1521.48530360729</v>
      </c>
      <c r="AT110" s="2" t="n">
        <f aca="false">AI110-AR110+AS110+Y110*1000-AO110+Hypothèses!$J$23</f>
        <v>22938.616488511</v>
      </c>
      <c r="AU110" s="2" t="n">
        <f aca="false">AT110/AQ110</f>
        <v>2.88706916073563</v>
      </c>
      <c r="AV110" s="2" t="n">
        <f aca="false">Hypothèses!$J$26*AQ110-AT110</f>
        <v>897.268845111797</v>
      </c>
      <c r="AW110" s="2" t="n">
        <f aca="false">IF(AC110&gt;Hypothèses!$J$26,MAX(0,AV110)/(1-Hypothèses!$J$26/AC110),0)</f>
        <v>1403.73612088704</v>
      </c>
      <c r="AX110" s="2" t="n">
        <f aca="false">AQ110-Entrées!$C$17*1000</f>
        <v>-54.7048887924175</v>
      </c>
      <c r="AY110" s="2" t="n">
        <f aca="false">AI110+(Entrées!$C$244-Entrées!$C$13)</f>
        <v>28575.290649189</v>
      </c>
      <c r="AZ110" s="2" t="n">
        <f aca="false">AA110*AH110</f>
        <v>5318.07019612422</v>
      </c>
      <c r="BA110" s="2" t="n">
        <f aca="false">AZ110/AY110</f>
        <v>0.186107300234062</v>
      </c>
      <c r="BB110" s="2" t="n">
        <f aca="false">AZ110/(Entrées!$C$151/100)-AY110</f>
        <v>969.54377372329</v>
      </c>
      <c r="BC110" s="2" t="n">
        <f aca="false">AT110+(Entrées!$C$244-Entrées!$C$13)</f>
        <v>28685.616488511</v>
      </c>
      <c r="BD110" s="2" t="n">
        <f aca="false">AA110*AQ110</f>
        <v>5641.74351377396</v>
      </c>
      <c r="BE110" s="2" t="n">
        <f aca="false">BD110/BC110</f>
        <v>0.196674996196563</v>
      </c>
      <c r="BF110" s="2" t="n">
        <f aca="false">BD110/(Entrées!$C$151/100)-BC110</f>
        <v>2657.40303245548</v>
      </c>
      <c r="BG110" s="2" t="n">
        <f aca="false">MIN(AV110,BF110)</f>
        <v>897.268845111797</v>
      </c>
      <c r="BH110" s="2" t="n">
        <f aca="false">IF(AC110&gt;Hypothèses!$J$26,MAX(0,BG110)/(1-Hypothèses!$J$26/AC110),0)</f>
        <v>1403.73612088704</v>
      </c>
    </row>
    <row r="111" customFormat="false" ht="15" hidden="false" customHeight="false" outlineLevel="0" collapsed="false">
      <c r="A111" s="2" t="n">
        <v>96</v>
      </c>
      <c r="B111" s="2" t="n">
        <v>0.334212854</v>
      </c>
      <c r="C111" s="2"/>
      <c r="D111" s="2" t="n">
        <v>0.438461643</v>
      </c>
      <c r="E111" s="2" t="n">
        <f aca="false">IF(E$7=E$5,E$6,IF(NORMSDIST(E$9*SQRT($C$11)*NORMSINV($B111)+SQRT(1-E$9^2*$C$11)*NORMSINV(D111))&lt;E$8,E$5+SQRT(NORMSDIST(E$9*SQRT($C$11)*NORMSINV($B111)+SQRT(1-E$9^2*$C$11)*NORMSINV(D111))*(E$7-E$5)*(E$6-E$5)),E$7-SQRT((1-NORMSDIST(E$9*SQRT($C$11)*NORMSINV($B111)+SQRT(1-E$9^2*$C$11)*NORMSINV(D111)))*(E$7-E$5)*(E$7-E$6))))</f>
        <v>0.0541710573771491</v>
      </c>
      <c r="F111" s="2" t="n">
        <v>0.25723397</v>
      </c>
      <c r="G111" s="2" t="n">
        <f aca="false">IF(G$7=G$5,G$6,IF(NORMSDIST(G$9*SQRT($C$11)*NORMSINV($B111)+SQRT(1-G$9^2*$C$11)*NORMSINV(F111))&lt;G$8,G$5+SQRT(NORMSDIST(G$9*SQRT($C$11)*NORMSINV($B111)+SQRT(1-G$9^2*$C$11)*NORMSINV(F111))*(G$7-G$5)*(G$6-G$5)),G$7-SQRT((1-NORMSDIST(G$9*SQRT($C$11)*NORMSINV($B111)+SQRT(1-G$9^2*$C$11)*NORMSINV(F111)))*(G$7-G$5)*(G$7-G$6))))</f>
        <v>0.0499254366806211</v>
      </c>
      <c r="H111" s="2" t="n">
        <v>0.100166441</v>
      </c>
      <c r="I111" s="2" t="n">
        <f aca="false">IF(I$7=I$5,I$6,IF(NORMSDIST(I$9*SQRT($C$11)*NORMSINV($B111)+SQRT(1-I$9^2*$C$11)*NORMSINV(H111))&lt;I$8,I$5+SQRT(NORMSDIST(I$9*SQRT($C$11)*NORMSINV($B111)+SQRT(1-I$9^2*$C$11)*NORMSINV(H111))*(I$7-I$5)*(I$6-I$5)),I$7-SQRT((1-NORMSDIST(I$9*SQRT($C$11)*NORMSINV($B111)+SQRT(1-I$9^2*$C$11)*NORMSINV(H111)))*(I$7-I$5)*(I$7-I$6))))</f>
        <v>189.091695881031</v>
      </c>
      <c r="J111" s="2" t="n">
        <v>0.602522508</v>
      </c>
      <c r="K111" s="2" t="n">
        <f aca="false">IF(K$7=K$5,K$6,IF(NORMSDIST(K$9*SQRT($C$11)*NORMSINV($B111)+SQRT(1-K$9^2*$C$11)*NORMSINV(J111))&lt;K$8,K$5+SQRT(NORMSDIST(K$9*SQRT($C$11)*NORMSINV($B111)+SQRT(1-K$9^2*$C$11)*NORMSINV(J111))*(K$7-K$5)*(K$6-K$5)),K$7-SQRT((1-NORMSDIST(K$9*SQRT($C$11)*NORMSINV($B111)+SQRT(1-K$9^2*$C$11)*NORMSINV(J111)))*(K$7-K$5)*(K$7-K$6))))</f>
        <v>0.242966737336898</v>
      </c>
      <c r="L111" s="2" t="n">
        <v>0.619956316</v>
      </c>
      <c r="M111" s="2" t="n">
        <f aca="false">IF(M$7=M$5,M$6,IF(NORMSDIST(M$9*SQRT($C$11)*NORMSINV($B111)+SQRT(1-M$9^2*$C$11)*NORMSINV(L111))&lt;M$8,M$5+SQRT(NORMSDIST(M$9*SQRT($C$11)*NORMSINV($B111)+SQRT(1-M$9^2*$C$11)*NORMSINV(L111))*(M$7-M$5)*(M$6-M$5)),M$7-SQRT((1-NORMSDIST(M$9*SQRT($C$11)*NORMSINV($B111)+SQRT(1-M$9^2*$C$11)*NORMSINV(L111)))*(M$7-M$5)*(M$7-M$6))))</f>
        <v>1581.45833690306</v>
      </c>
      <c r="N111" s="2" t="n">
        <v>0.049724377</v>
      </c>
      <c r="O111" s="2" t="n">
        <f aca="false">IF(O$7=O$5,O$6,IF(NORMSDIST(O$9*SQRT($C$11)*NORMSINV($B111)+SQRT(1-O$9^2*$C$11)*NORMSINV(N111))&lt;O$8,O$5+SQRT(NORMSDIST(O$9*SQRT($C$11)*NORMSINV($B111)+SQRT(1-O$9^2*$C$11)*NORMSINV(N111))*(O$7-O$5)*(O$6-O$5)),O$7-SQRT((1-NORMSDIST(O$9*SQRT($C$11)*NORMSINV($B111)+SQRT(1-O$9^2*$C$11)*NORMSINV(N111)))*(O$7-O$5)*(O$7-O$6))))</f>
        <v>0.149349625660542</v>
      </c>
      <c r="P111" s="2" t="n">
        <v>0.437429812</v>
      </c>
      <c r="Q111" s="2" t="n">
        <f aca="false">IF(Q$7=Q$5,Q$6,IF(NORMSDIST(Q$9*SQRT($C$11)*NORMSINV($B111)+SQRT(1-Q$9^2*$C$11)*NORMSINV(P111))&lt;Q$8,Q$5+SQRT(NORMSDIST(Q$9*SQRT($C$11)*NORMSINV($B111)+SQRT(1-Q$9^2*$C$11)*NORMSINV(P111))*(Q$7-Q$5)*(Q$6-Q$5)),Q$7-SQRT((1-NORMSDIST(Q$9*SQRT($C$11)*NORMSINV($B111)+SQRT(1-Q$9^2*$C$11)*NORMSINV(P111)))*(Q$7-Q$5)*(Q$7-Q$6))))</f>
        <v>0.0774135723822251</v>
      </c>
      <c r="R111" s="2" t="n">
        <v>0.171888881</v>
      </c>
      <c r="S111" s="2" t="n">
        <f aca="false">IF(S$7=S$5,S$6,IF(NORMSDIST(S$9*SQRT($C$11)*NORMSINV($B111)+SQRT(1-S$9^2*$C$11)*NORMSINV(R111))&lt;S$8,S$5+SQRT(NORMSDIST(S$9*SQRT($C$11)*NORMSINV($B111)+SQRT(1-S$9^2*$C$11)*NORMSINV(R111))*(S$7-S$5)*(S$6-S$5)),S$7-SQRT((1-NORMSDIST(S$9*SQRT($C$11)*NORMSINV($B111)+SQRT(1-S$9^2*$C$11)*NORMSINV(R111)))*(S$7-S$5)*(S$7-S$6))))</f>
        <v>0.280745996946204</v>
      </c>
      <c r="T111" s="2" t="n">
        <v>0.594917298</v>
      </c>
      <c r="U111" s="2" t="n">
        <f aca="false">IF(U$7=U$5,U$6,IF(NORMSDIST(U$9*SQRT($C$11)*NORMSINV($B111)+SQRT(1-U$9^2*$C$11)*NORMSINV(T111))&lt;U$8,U$5+SQRT(NORMSDIST(U$9*SQRT($C$11)*NORMSINV($B111)+SQRT(1-U$9^2*$C$11)*NORMSINV(T111))*(U$7-U$5)*(U$6-U$5)),U$7-SQRT((1-NORMSDIST(U$9*SQRT($C$11)*NORMSINV($B111)+SQRT(1-U$9^2*$C$11)*NORMSINV(T111)))*(U$7-U$5)*(U$7-U$6))))</f>
        <v>0.482805703349996</v>
      </c>
      <c r="V111" s="2" t="n">
        <v>0.557422389</v>
      </c>
      <c r="W111" s="2" t="n">
        <f aca="false">IF(W$7=W$5,W$6,IF(NORMSDIST(W$9*SQRT($C$11)*NORMSINV($B111)+SQRT(1-W$9^2*$C$11)*NORMSINV(V111))&lt;W$8,W$5+SQRT(NORMSDIST(W$9*SQRT($C$11)*NORMSINV($B111)+SQRT(1-W$9^2*$C$11)*NORMSINV(V111))*(W$7-W$5)*(W$6-W$5)),W$7-SQRT((1-NORMSDIST(W$9*SQRT($C$11)*NORMSINV($B111)+SQRT(1-W$9^2*$C$11)*NORMSINV(V111)))*(W$7-W$5)*(W$7-W$6))))</f>
        <v>9.86939989162858</v>
      </c>
      <c r="X111" s="2" t="n">
        <v>0.078012299</v>
      </c>
      <c r="Y111" s="2" t="n">
        <f aca="false">IF(Y$7=Y$5,Y$6,IF(NORMSDIST(Y$9*SQRT($C$11)*NORMSINV($B111)+SQRT(1-Y$9^2*$C$11)*NORMSINV(X111))&lt;Y$8,Y$5+SQRT(NORMSDIST(Y$9*SQRT($C$11)*NORMSINV($B111)+SQRT(1-Y$9^2*$C$11)*NORMSINV(X111))*(Y$7-Y$5)*(Y$6-Y$5)),Y$7-SQRT((1-NORMSDIST(Y$9*SQRT($C$11)*NORMSINV($B111)+SQRT(1-Y$9^2*$C$11)*NORMSINV(X111)))*(Y$7-Y$5)*(Y$7-Y$6))))</f>
        <v>0.197499745569456</v>
      </c>
      <c r="Z111" s="2" t="n">
        <v>0.106357588</v>
      </c>
      <c r="AA111" s="2" t="n">
        <f aca="false">IF(AA$7=AA$5,AA$6,IF(NORMSDIST(AA$9*SQRT($C$11)*NORMSINV($B111)+SQRT(1-AA$9^2*$C$11)*NORMSINV(Z111))&lt;AA$8,AA$5+SQRT(NORMSDIST(AA$9*SQRT($C$11)*NORMSINV($B111)+SQRT(1-AA$9^2*$C$11)*NORMSINV(Z111))*(AA$7-AA$5)*(AA$6-AA$5)),AA$7-SQRT((1-NORMSDIST(AA$9*SQRT($C$11)*NORMSINV($B111)+SQRT(1-AA$9^2*$C$11)*NORMSINV(Z111)))*(AA$7-AA$5)*(AA$7-AA$6))))</f>
        <v>0.710546048034872</v>
      </c>
      <c r="AB111" s="2" t="n">
        <v>0.779490402</v>
      </c>
      <c r="AC111" s="2" t="n">
        <f aca="false">IF(AC$7=AC$5,AC$6,IF(NORMSDIST(AC$9*SQRT($C$11)*NORMSINV($B111)+SQRT(1-AC$9^2*$C$11)*NORMSINV(AB111))&lt;AC$8,AC$5+SQRT(NORMSDIST(AC$9*SQRT($C$11)*NORMSINV($B111)+SQRT(1-AC$9^2*$C$11)*NORMSINV(AB111))*(AC$7-AC$5)*(AC$6-AC$5)),AC$7-SQRT((1-NORMSDIST(AC$9*SQRT($C$11)*NORMSINV($B111)+SQRT(1-AC$9^2*$C$11)*NORMSINV(AB111)))*(AC$7-AC$5)*(AC$7-AC$6))))</f>
        <v>9.72891022494884</v>
      </c>
      <c r="AD111" s="2" t="n">
        <f aca="false">Entrées!$C$8*(1+E111)</f>
        <v>7431.9059545089</v>
      </c>
      <c r="AE111" s="2" t="n">
        <f aca="false">I111*Hypothèses!$J$24/12/Hypothèses!$J$19</f>
        <v>93.8077851150624</v>
      </c>
      <c r="AF111" s="2" t="n">
        <f aca="false">Entrées!$C$36*S111*1000</f>
        <v>140.372998473102</v>
      </c>
      <c r="AG111" s="2" t="n">
        <f aca="false">-AF111/W111</f>
        <v>-14.2230530746018</v>
      </c>
      <c r="AH111" s="2" t="n">
        <f aca="false">AD111+AE111+AG111</f>
        <v>7511.49068654936</v>
      </c>
      <c r="AI111" s="2" t="n">
        <f aca="false">Entrées!$C$16-M111+Hypothèses!$J$22*1000-AF111+Hypothèses!$J$23</f>
        <v>22826.1686646238</v>
      </c>
      <c r="AJ111" s="2" t="n">
        <f aca="false">AI111/AH111</f>
        <v>3.03883338436378</v>
      </c>
      <c r="AK111" s="2" t="n">
        <f aca="false">AI111/(AH111+I111*(12-Hypothèses!$J$24)/12/Hypothèses!$J$19)</f>
        <v>3.0119654242249</v>
      </c>
      <c r="AL111" s="2" t="n">
        <f aca="false">(AD111+AG111+I111/Hypothèses!$J$19)*(1+G111)</f>
        <v>7956.85598187702</v>
      </c>
      <c r="AM111" s="2" t="n">
        <f aca="false">Entrées!$C$54*K111/Hypothèses!$J$19</f>
        <v>24.7957756966368</v>
      </c>
      <c r="AN111" s="2" t="n">
        <f aca="false">Y111*1000/AC111</f>
        <v>20.3002947918039</v>
      </c>
      <c r="AO111" s="2" t="n">
        <f aca="false">(Entrées!$C$36*(1-S111)+MAX(0,Entrées!$C$30-Entrées!$C$35-Entrées!$C$36)*U111)*1000</f>
        <v>1035.55498621689</v>
      </c>
      <c r="AP111" s="2" t="n">
        <f aca="false">-AO111/W111</f>
        <v>-104.925831113123</v>
      </c>
      <c r="AQ111" s="2" t="n">
        <f aca="false">AL111+AM111+AN111+AP111</f>
        <v>7897.02622125234</v>
      </c>
      <c r="AR111" s="2" t="n">
        <f aca="false">O111*AQ111-Hypothèses!$J$25/Hypothèses!$J$19</f>
        <v>1160.2827477139</v>
      </c>
      <c r="AS111" s="2" t="n">
        <f aca="false">Entrées!$C$79*(1+Q111)+Hypothèses!$J$20</f>
        <v>1479.07751604807</v>
      </c>
      <c r="AT111" s="2" t="n">
        <f aca="false">AI111-AR111+AS111+Y111*1000-AO111+Hypothèses!$J$23</f>
        <v>22306.9081923106</v>
      </c>
      <c r="AU111" s="2" t="n">
        <f aca="false">AT111/AQ111</f>
        <v>2.82472256863965</v>
      </c>
      <c r="AV111" s="2" t="n">
        <f aca="false">Hypothèses!$J$26*AQ111-AT111</f>
        <v>1384.17047144645</v>
      </c>
      <c r="AW111" s="2" t="n">
        <f aca="false">IF(AC111&gt;Hypothèses!$J$26,MAX(0,AV111)/(1-Hypothèses!$J$26/AC111),0)</f>
        <v>2001.28546860351</v>
      </c>
      <c r="AX111" s="2" t="n">
        <f aca="false">AQ111-Entrées!$C$17*1000</f>
        <v>-102.973778747658</v>
      </c>
      <c r="AY111" s="2" t="n">
        <f aca="false">AI111+(Entrées!$C$244-Entrées!$C$13)</f>
        <v>28573.1686646238</v>
      </c>
      <c r="AZ111" s="2" t="n">
        <f aca="false">AA111*AH111</f>
        <v>5337.2600221784</v>
      </c>
      <c r="BA111" s="2" t="n">
        <f aca="false">AZ111/AY111</f>
        <v>0.186792724490036</v>
      </c>
      <c r="BB111" s="2" t="n">
        <f aca="false">AZ111/(Entrées!$C$151/100)-AY111</f>
        <v>1078.27590303393</v>
      </c>
      <c r="BC111" s="2" t="n">
        <f aca="false">AT111+(Entrées!$C$244-Entrées!$C$13)</f>
        <v>28053.9081923106</v>
      </c>
      <c r="BD111" s="2" t="n">
        <f aca="false">AA111*AQ111</f>
        <v>5611.20077273861</v>
      </c>
      <c r="BE111" s="2" t="n">
        <f aca="false">BD111/BC111</f>
        <v>0.200014940316822</v>
      </c>
      <c r="BF111" s="2" t="n">
        <f aca="false">BD111/(Entrées!$C$151/100)-BC111</f>
        <v>3119.42943401505</v>
      </c>
      <c r="BG111" s="2" t="n">
        <f aca="false">MIN(AV111,BF111)</f>
        <v>1384.17047144645</v>
      </c>
      <c r="BH111" s="2" t="n">
        <f aca="false">IF(AC111&gt;Hypothèses!$J$26,MAX(0,BG111)/(1-Hypothèses!$J$26/AC111),0)</f>
        <v>2001.28546860351</v>
      </c>
    </row>
    <row r="112" customFormat="false" ht="15" hidden="false" customHeight="false" outlineLevel="0" collapsed="false">
      <c r="A112" s="2" t="n">
        <v>97</v>
      </c>
      <c r="B112" s="2" t="n">
        <v>0.694580789</v>
      </c>
      <c r="C112" s="2"/>
      <c r="D112" s="2" t="n">
        <v>0.951774708</v>
      </c>
      <c r="E112" s="2" t="n">
        <f aca="false">IF(E$7=E$5,E$6,IF(NORMSDIST(E$9*SQRT($C$11)*NORMSINV($B112)+SQRT(1-E$9^2*$C$11)*NORMSINV(D112))&lt;E$8,E$5+SQRT(NORMSDIST(E$9*SQRT($C$11)*NORMSINV($B112)+SQRT(1-E$9^2*$C$11)*NORMSINV(D112))*(E$7-E$5)*(E$6-E$5)),E$7-SQRT((1-NORMSDIST(E$9*SQRT($C$11)*NORMSINV($B112)+SQRT(1-E$9^2*$C$11)*NORMSINV(D112)))*(E$7-E$5)*(E$7-E$6))))</f>
        <v>0.058360523394896</v>
      </c>
      <c r="F112" s="2" t="n">
        <v>0.975480097</v>
      </c>
      <c r="G112" s="2" t="n">
        <f aca="false">IF(G$7=G$5,G$6,IF(NORMSDIST(G$9*SQRT($C$11)*NORMSINV($B112)+SQRT(1-G$9^2*$C$11)*NORMSINV(F112))&lt;G$8,G$5+SQRT(NORMSDIST(G$9*SQRT($C$11)*NORMSINV($B112)+SQRT(1-G$9^2*$C$11)*NORMSINV(F112))*(G$7-G$5)*(G$6-G$5)),G$7-SQRT((1-NORMSDIST(G$9*SQRT($C$11)*NORMSINV($B112)+SQRT(1-G$9^2*$C$11)*NORMSINV(F112)))*(G$7-G$5)*(G$7-G$6))))</f>
        <v>0.0661807817310556</v>
      </c>
      <c r="H112" s="2" t="n">
        <v>0.244559433</v>
      </c>
      <c r="I112" s="2" t="n">
        <f aca="false">IF(I$7=I$5,I$6,IF(NORMSDIST(I$9*SQRT($C$11)*NORMSINV($B112)+SQRT(1-I$9^2*$C$11)*NORMSINV(H112))&lt;I$8,I$5+SQRT(NORMSDIST(I$9*SQRT($C$11)*NORMSINV($B112)+SQRT(1-I$9^2*$C$11)*NORMSINV(H112))*(I$7-I$5)*(I$6-I$5)),I$7-SQRT((1-NORMSDIST(I$9*SQRT($C$11)*NORMSINV($B112)+SQRT(1-I$9^2*$C$11)*NORMSINV(H112)))*(I$7-I$5)*(I$7-I$6))))</f>
        <v>198.227256732643</v>
      </c>
      <c r="J112" s="2" t="n">
        <v>0.789772028</v>
      </c>
      <c r="K112" s="2" t="n">
        <f aca="false">IF(K$7=K$5,K$6,IF(NORMSDIST(K$9*SQRT($C$11)*NORMSINV($B112)+SQRT(1-K$9^2*$C$11)*NORMSINV(J112))&lt;K$8,K$5+SQRT(NORMSDIST(K$9*SQRT($C$11)*NORMSINV($B112)+SQRT(1-K$9^2*$C$11)*NORMSINV(J112))*(K$7-K$5)*(K$6-K$5)),K$7-SQRT((1-NORMSDIST(K$9*SQRT($C$11)*NORMSINV($B112)+SQRT(1-K$9^2*$C$11)*NORMSINV(J112)))*(K$7-K$5)*(K$7-K$6))))</f>
        <v>0.353326596375876</v>
      </c>
      <c r="L112" s="2" t="n">
        <v>0.061021439</v>
      </c>
      <c r="M112" s="2" t="n">
        <f aca="false">IF(M$7=M$5,M$6,IF(NORMSDIST(M$9*SQRT($C$11)*NORMSINV($B112)+SQRT(1-M$9^2*$C$11)*NORMSINV(L112))&lt;M$8,M$5+SQRT(NORMSDIST(M$9*SQRT($C$11)*NORMSINV($B112)+SQRT(1-M$9^2*$C$11)*NORMSINV(L112))*(M$7-M$5)*(M$6-M$5)),M$7-SQRT((1-NORMSDIST(M$9*SQRT($C$11)*NORMSINV($B112)+SQRT(1-M$9^2*$C$11)*NORMSINV(L112)))*(M$7-M$5)*(M$7-M$6))))</f>
        <v>1477.37980247378</v>
      </c>
      <c r="N112" s="2" t="n">
        <v>0.513224703</v>
      </c>
      <c r="O112" s="2" t="n">
        <f aca="false">IF(O$7=O$5,O$6,IF(NORMSDIST(O$9*SQRT($C$11)*NORMSINV($B112)+SQRT(1-O$9^2*$C$11)*NORMSINV(N112))&lt;O$8,O$5+SQRT(NORMSDIST(O$9*SQRT($C$11)*NORMSINV($B112)+SQRT(1-O$9^2*$C$11)*NORMSINV(N112))*(O$7-O$5)*(O$6-O$5)),O$7-SQRT((1-NORMSDIST(O$9*SQRT($C$11)*NORMSINV($B112)+SQRT(1-O$9^2*$C$11)*NORMSINV(N112)))*(O$7-O$5)*(O$7-O$6))))</f>
        <v>0.17030656540415</v>
      </c>
      <c r="P112" s="2" t="n">
        <v>0.516592993</v>
      </c>
      <c r="Q112" s="2" t="n">
        <f aca="false">IF(Q$7=Q$5,Q$6,IF(NORMSDIST(Q$9*SQRT($C$11)*NORMSINV($B112)+SQRT(1-Q$9^2*$C$11)*NORMSINV(P112))&lt;Q$8,Q$5+SQRT(NORMSDIST(Q$9*SQRT($C$11)*NORMSINV($B112)+SQRT(1-Q$9^2*$C$11)*NORMSINV(P112))*(Q$7-Q$5)*(Q$6-Q$5)),Q$7-SQRT((1-NORMSDIST(Q$9*SQRT($C$11)*NORMSINV($B112)+SQRT(1-Q$9^2*$C$11)*NORMSINV(P112)))*(Q$7-Q$5)*(Q$7-Q$6))))</f>
        <v>0.0806693195787309</v>
      </c>
      <c r="R112" s="2" t="n">
        <v>0.502677984</v>
      </c>
      <c r="S112" s="2" t="n">
        <f aca="false">IF(S$7=S$5,S$6,IF(NORMSDIST(S$9*SQRT($C$11)*NORMSINV($B112)+SQRT(1-S$9^2*$C$11)*NORMSINV(R112))&lt;S$8,S$5+SQRT(NORMSDIST(S$9*SQRT($C$11)*NORMSINV($B112)+SQRT(1-S$9^2*$C$11)*NORMSINV(R112))*(S$7-S$5)*(S$6-S$5)),S$7-SQRT((1-NORMSDIST(S$9*SQRT($C$11)*NORMSINV($B112)+SQRT(1-S$9^2*$C$11)*NORMSINV(R112)))*(S$7-S$5)*(S$7-S$6))))</f>
        <v>0.568828256533552</v>
      </c>
      <c r="T112" s="2" t="n">
        <v>0.635811732</v>
      </c>
      <c r="U112" s="2" t="n">
        <f aca="false">IF(U$7=U$5,U$6,IF(NORMSDIST(U$9*SQRT($C$11)*NORMSINV($B112)+SQRT(1-U$9^2*$C$11)*NORMSINV(T112))&lt;U$8,U$5+SQRT(NORMSDIST(U$9*SQRT($C$11)*NORMSINV($B112)+SQRT(1-U$9^2*$C$11)*NORMSINV(T112))*(U$7-U$5)*(U$6-U$5)),U$7-SQRT((1-NORMSDIST(U$9*SQRT($C$11)*NORMSINV($B112)+SQRT(1-U$9^2*$C$11)*NORMSINV(T112)))*(U$7-U$5)*(U$7-U$6))))</f>
        <v>0.627635303830031</v>
      </c>
      <c r="V112" s="2" t="n">
        <v>0.14427819</v>
      </c>
      <c r="W112" s="2" t="n">
        <f aca="false">IF(W$7=W$5,W$6,IF(NORMSDIST(W$9*SQRT($C$11)*NORMSINV($B112)+SQRT(1-W$9^2*$C$11)*NORMSINV(V112))&lt;W$8,W$5+SQRT(NORMSDIST(W$9*SQRT($C$11)*NORMSINV($B112)+SQRT(1-W$9^2*$C$11)*NORMSINV(V112))*(W$7-W$5)*(W$6-W$5)),W$7-SQRT((1-NORMSDIST(W$9*SQRT($C$11)*NORMSINV($B112)+SQRT(1-W$9^2*$C$11)*NORMSINV(V112)))*(W$7-W$5)*(W$7-W$6))))</f>
        <v>9.57087404230185</v>
      </c>
      <c r="X112" s="2" t="n">
        <v>0.741956772</v>
      </c>
      <c r="Y112" s="2" t="n">
        <f aca="false">IF(Y$7=Y$5,Y$6,IF(NORMSDIST(Y$9*SQRT($C$11)*NORMSINV($B112)+SQRT(1-Y$9^2*$C$11)*NORMSINV(X112))&lt;Y$8,Y$5+SQRT(NORMSDIST(Y$9*SQRT($C$11)*NORMSINV($B112)+SQRT(1-Y$9^2*$C$11)*NORMSINV(X112))*(Y$7-Y$5)*(Y$6-Y$5)),Y$7-SQRT((1-NORMSDIST(Y$9*SQRT($C$11)*NORMSINV($B112)+SQRT(1-Y$9^2*$C$11)*NORMSINV(X112)))*(Y$7-Y$5)*(Y$7-Y$6))))</f>
        <v>0.640804212162782</v>
      </c>
      <c r="Z112" s="2" t="n">
        <v>0.501050413</v>
      </c>
      <c r="AA112" s="2" t="n">
        <f aca="false">IF(AA$7=AA$5,AA$6,IF(NORMSDIST(AA$9*SQRT($C$11)*NORMSINV($B112)+SQRT(1-AA$9^2*$C$11)*NORMSINV(Z112))&lt;AA$8,AA$5+SQRT(NORMSDIST(AA$9*SQRT($C$11)*NORMSINV($B112)+SQRT(1-AA$9^2*$C$11)*NORMSINV(Z112))*(AA$7-AA$5)*(AA$6-AA$5)),AA$7-SQRT((1-NORMSDIST(AA$9*SQRT($C$11)*NORMSINV($B112)+SQRT(1-AA$9^2*$C$11)*NORMSINV(Z112)))*(AA$7-AA$5)*(AA$7-AA$6))))</f>
        <v>0.731973118936482</v>
      </c>
      <c r="AB112" s="2" t="n">
        <v>0.943543321</v>
      </c>
      <c r="AC112" s="2" t="n">
        <f aca="false">IF(AC$7=AC$5,AC$6,IF(NORMSDIST(AC$9*SQRT($C$11)*NORMSINV($B112)+SQRT(1-AC$9^2*$C$11)*NORMSINV(AB112))&lt;AC$8,AC$5+SQRT(NORMSDIST(AC$9*SQRT($C$11)*NORMSINV($B112)+SQRT(1-AC$9^2*$C$11)*NORMSINV(AB112))*(AC$7-AC$5)*(AC$6-AC$5)),AC$7-SQRT((1-NORMSDIST(AC$9*SQRT($C$11)*NORMSINV($B112)+SQRT(1-AC$9^2*$C$11)*NORMSINV(AB112)))*(AC$7-AC$5)*(AC$7-AC$6))))</f>
        <v>10.4883449169098</v>
      </c>
      <c r="AD112" s="2" t="n">
        <f aca="false">Entrées!$C$8*(1+E112)</f>
        <v>7461.44168993402</v>
      </c>
      <c r="AE112" s="2" t="n">
        <f aca="false">I112*Hypothèses!$J$24/12/Hypothèses!$J$19</f>
        <v>98.3399076140473</v>
      </c>
      <c r="AF112" s="2" t="n">
        <f aca="false">Entrées!$C$36*S112*1000</f>
        <v>284.414128266776</v>
      </c>
      <c r="AG112" s="2" t="n">
        <f aca="false">-AF112/W112</f>
        <v>-29.7166305825056</v>
      </c>
      <c r="AH112" s="2" t="n">
        <f aca="false">AD112+AE112+AG112</f>
        <v>7530.06496696556</v>
      </c>
      <c r="AI112" s="2" t="n">
        <f aca="false">Entrées!$C$16-M112+Hypothèses!$J$22*1000-AF112+Hypothèses!$J$23</f>
        <v>22786.2060692594</v>
      </c>
      <c r="AJ112" s="2" t="n">
        <f aca="false">AI112/AH112</f>
        <v>3.02603047506531</v>
      </c>
      <c r="AK112" s="2" t="n">
        <f aca="false">AI112/(AH112+I112*(12-Hypothèses!$J$24)/12/Hypothèses!$J$19)</f>
        <v>2.99806360405864</v>
      </c>
      <c r="AL112" s="2" t="n">
        <f aca="false">(AD112+AG112+I112/Hypothèses!$J$19)*(1+G112)</f>
        <v>8103.30206694734</v>
      </c>
      <c r="AM112" s="2" t="n">
        <f aca="false">Entrées!$C$54*K112/Hypothèses!$J$19</f>
        <v>36.0584626826689</v>
      </c>
      <c r="AN112" s="2" t="n">
        <f aca="false">Y112*1000/AC112</f>
        <v>61.0967905078757</v>
      </c>
      <c r="AO112" s="2" t="n">
        <f aca="false">(Entrées!$C$36*(1-S112)+MAX(0,Entrées!$C$30-Entrées!$C$35-Entrées!$C$36)*U112)*1000</f>
        <v>1094.27529709527</v>
      </c>
      <c r="AP112" s="2" t="n">
        <f aca="false">-AO112/W112</f>
        <v>-114.333893880406</v>
      </c>
      <c r="AQ112" s="2" t="n">
        <f aca="false">AL112+AM112+AN112+AP112</f>
        <v>8086.12342625747</v>
      </c>
      <c r="AR112" s="2" t="n">
        <f aca="false">O112*AQ112-Hypothèses!$J$25/Hypothèses!$J$19</f>
        <v>1357.98474589832</v>
      </c>
      <c r="AS112" s="2" t="n">
        <f aca="false">Entrées!$C$79*(1+Q112)+Hypothèses!$J$20</f>
        <v>1482.65558221703</v>
      </c>
      <c r="AT112" s="2" t="n">
        <f aca="false">AI112-AR112+AS112+Y112*1000-AO112+Hypothèses!$J$23</f>
        <v>22457.4058206457</v>
      </c>
      <c r="AU112" s="2" t="n">
        <f aca="false">AT112/AQ112</f>
        <v>2.77727714960687</v>
      </c>
      <c r="AV112" s="2" t="n">
        <f aca="false">Hypothèses!$J$26*AQ112-AT112</f>
        <v>1800.96445812677</v>
      </c>
      <c r="AW112" s="2" t="n">
        <f aca="false">IF(AC112&gt;Hypothèses!$J$26,MAX(0,AV112)/(1-Hypothèses!$J$26/AC112),0)</f>
        <v>2522.47147126925</v>
      </c>
      <c r="AX112" s="2" t="n">
        <f aca="false">AQ112-Entrées!$C$17*1000</f>
        <v>86.1234262574735</v>
      </c>
      <c r="AY112" s="2" t="n">
        <f aca="false">AI112+(Entrées!$C$244-Entrées!$C$13)</f>
        <v>28533.2060692594</v>
      </c>
      <c r="AZ112" s="2" t="n">
        <f aca="false">AA112*AH112</f>
        <v>5511.80513966412</v>
      </c>
      <c r="BA112" s="2" t="n">
        <f aca="false">AZ112/AY112</f>
        <v>0.193171602458033</v>
      </c>
      <c r="BB112" s="2" t="n">
        <f aca="false">AZ112/(Entrées!$C$151/100)-AY112</f>
        <v>2087.93359554123</v>
      </c>
      <c r="BC112" s="2" t="n">
        <f aca="false">AT112+(Entrées!$C$244-Entrées!$C$13)</f>
        <v>28204.4058206457</v>
      </c>
      <c r="BD112" s="2" t="n">
        <f aca="false">AA112*AQ112</f>
        <v>5918.82498442304</v>
      </c>
      <c r="BE112" s="2" t="n">
        <f aca="false">BD112/BC112</f>
        <v>0.209854624205217</v>
      </c>
      <c r="BF112" s="2" t="n">
        <f aca="false">BD112/(Entrées!$C$151/100)-BC112</f>
        <v>4677.95520392678</v>
      </c>
      <c r="BG112" s="2" t="n">
        <f aca="false">MIN(AV112,BF112)</f>
        <v>1800.96445812677</v>
      </c>
      <c r="BH112" s="2" t="n">
        <f aca="false">IF(AC112&gt;Hypothèses!$J$26,MAX(0,BG112)/(1-Hypothèses!$J$26/AC112),0)</f>
        <v>2522.47147126925</v>
      </c>
    </row>
    <row r="113" customFormat="false" ht="15" hidden="false" customHeight="false" outlineLevel="0" collapsed="false">
      <c r="A113" s="2" t="n">
        <v>98</v>
      </c>
      <c r="B113" s="2" t="n">
        <v>0.040381898</v>
      </c>
      <c r="C113" s="2"/>
      <c r="D113" s="2" t="n">
        <v>0.022884641</v>
      </c>
      <c r="E113" s="2" t="n">
        <f aca="false">IF(E$7=E$5,E$6,IF(NORMSDIST(E$9*SQRT($C$11)*NORMSINV($B113)+SQRT(1-E$9^2*$C$11)*NORMSINV(D113))&lt;E$8,E$5+SQRT(NORMSDIST(E$9*SQRT($C$11)*NORMSINV($B113)+SQRT(1-E$9^2*$C$11)*NORMSINV(D113))*(E$7-E$5)*(E$6-E$5)),E$7-SQRT((1-NORMSDIST(E$9*SQRT($C$11)*NORMSINV($B113)+SQRT(1-E$9^2*$C$11)*NORMSINV(D113)))*(E$7-E$5)*(E$7-E$6))))</f>
        <v>0.0504474536656551</v>
      </c>
      <c r="F113" s="2" t="n">
        <v>0.435738281</v>
      </c>
      <c r="G113" s="2" t="n">
        <f aca="false">IF(G$7=G$5,G$6,IF(NORMSDIST(G$9*SQRT($C$11)*NORMSINV($B113)+SQRT(1-G$9^2*$C$11)*NORMSINV(F113))&lt;G$8,G$5+SQRT(NORMSDIST(G$9*SQRT($C$11)*NORMSINV($B113)+SQRT(1-G$9^2*$C$11)*NORMSINV(F113))*(G$7-G$5)*(G$6-G$5)),G$7-SQRT((1-NORMSDIST(G$9*SQRT($C$11)*NORMSINV($B113)+SQRT(1-G$9^2*$C$11)*NORMSINV(F113)))*(G$7-G$5)*(G$7-G$6))))</f>
        <v>0.0470162260872328</v>
      </c>
      <c r="H113" s="2" t="n">
        <v>0.015773035</v>
      </c>
      <c r="I113" s="2" t="n">
        <f aca="false">IF(I$7=I$5,I$6,IF(NORMSDIST(I$9*SQRT($C$11)*NORMSINV($B113)+SQRT(1-I$9^2*$C$11)*NORMSINV(H113))&lt;I$8,I$5+SQRT(NORMSDIST(I$9*SQRT($C$11)*NORMSINV($B113)+SQRT(1-I$9^2*$C$11)*NORMSINV(H113))*(I$7-I$5)*(I$6-I$5)),I$7-SQRT((1-NORMSDIST(I$9*SQRT($C$11)*NORMSINV($B113)+SQRT(1-I$9^2*$C$11)*NORMSINV(H113)))*(I$7-I$5)*(I$7-I$6))))</f>
        <v>181.497618602983</v>
      </c>
      <c r="J113" s="2" t="n">
        <v>0.849683176</v>
      </c>
      <c r="K113" s="2" t="n">
        <f aca="false">IF(K$7=K$5,K$6,IF(NORMSDIST(K$9*SQRT($C$11)*NORMSINV($B113)+SQRT(1-K$9^2*$C$11)*NORMSINV(J113))&lt;K$8,K$5+SQRT(NORMSDIST(K$9*SQRT($C$11)*NORMSINV($B113)+SQRT(1-K$9^2*$C$11)*NORMSINV(J113))*(K$7-K$5)*(K$6-K$5)),K$7-SQRT((1-NORMSDIST(K$9*SQRT($C$11)*NORMSINV($B113)+SQRT(1-K$9^2*$C$11)*NORMSINV(J113)))*(K$7-K$5)*(K$7-K$6))))</f>
        <v>0.218251443855783</v>
      </c>
      <c r="L113" s="2" t="n">
        <v>0.967855799</v>
      </c>
      <c r="M113" s="2" t="n">
        <f aca="false">IF(M$7=M$5,M$6,IF(NORMSDIST(M$9*SQRT($C$11)*NORMSINV($B113)+SQRT(1-M$9^2*$C$11)*NORMSINV(L113))&lt;M$8,M$5+SQRT(NORMSDIST(M$9*SQRT($C$11)*NORMSINV($B113)+SQRT(1-M$9^2*$C$11)*NORMSINV(L113))*(M$7-M$5)*(M$6-M$5)),M$7-SQRT((1-NORMSDIST(M$9*SQRT($C$11)*NORMSINV($B113)+SQRT(1-M$9^2*$C$11)*NORMSINV(L113)))*(M$7-M$5)*(M$7-M$6))))</f>
        <v>1619.61422706422</v>
      </c>
      <c r="N113" s="2" t="n">
        <v>0.27738161</v>
      </c>
      <c r="O113" s="2" t="n">
        <f aca="false">IF(O$7=O$5,O$6,IF(NORMSDIST(O$9*SQRT($C$11)*NORMSINV($B113)+SQRT(1-O$9^2*$C$11)*NORMSINV(N113))&lt;O$8,O$5+SQRT(NORMSDIST(O$9*SQRT($C$11)*NORMSINV($B113)+SQRT(1-O$9^2*$C$11)*NORMSINV(N113))*(O$7-O$5)*(O$6-O$5)),O$7-SQRT((1-NORMSDIST(O$9*SQRT($C$11)*NORMSINV($B113)+SQRT(1-O$9^2*$C$11)*NORMSINV(N113)))*(O$7-O$5)*(O$7-O$6))))</f>
        <v>0.149212501073283</v>
      </c>
      <c r="P113" s="2" t="n">
        <v>0.388626663</v>
      </c>
      <c r="Q113" s="2" t="n">
        <f aca="false">IF(Q$7=Q$5,Q$6,IF(NORMSDIST(Q$9*SQRT($C$11)*NORMSINV($B113)+SQRT(1-Q$9^2*$C$11)*NORMSINV(P113))&lt;Q$8,Q$5+SQRT(NORMSDIST(Q$9*SQRT($C$11)*NORMSINV($B113)+SQRT(1-Q$9^2*$C$11)*NORMSINV(P113))*(Q$7-Q$5)*(Q$6-Q$5)),Q$7-SQRT((1-NORMSDIST(Q$9*SQRT($C$11)*NORMSINV($B113)+SQRT(1-Q$9^2*$C$11)*NORMSINV(P113)))*(Q$7-Q$5)*(Q$7-Q$6))))</f>
        <v>0.0752647886935396</v>
      </c>
      <c r="R113" s="2" t="n">
        <v>0.143182036</v>
      </c>
      <c r="S113" s="2" t="n">
        <f aca="false">IF(S$7=S$5,S$6,IF(NORMSDIST(S$9*SQRT($C$11)*NORMSINV($B113)+SQRT(1-S$9^2*$C$11)*NORMSINV(R113))&lt;S$8,S$5+SQRT(NORMSDIST(S$9*SQRT($C$11)*NORMSINV($B113)+SQRT(1-S$9^2*$C$11)*NORMSINV(R113))*(S$7-S$5)*(S$6-S$5)),S$7-SQRT((1-NORMSDIST(S$9*SQRT($C$11)*NORMSINV($B113)+SQRT(1-S$9^2*$C$11)*NORMSINV(R113)))*(S$7-S$5)*(S$7-S$6))))</f>
        <v>0.115730815189</v>
      </c>
      <c r="T113" s="2" t="n">
        <v>0.57023619</v>
      </c>
      <c r="U113" s="2" t="n">
        <f aca="false">IF(U$7=U$5,U$6,IF(NORMSDIST(U$9*SQRT($C$11)*NORMSINV($B113)+SQRT(1-U$9^2*$C$11)*NORMSINV(T113))&lt;U$8,U$5+SQRT(NORMSDIST(U$9*SQRT($C$11)*NORMSINV($B113)+SQRT(1-U$9^2*$C$11)*NORMSINV(T113))*(U$7-U$5)*(U$6-U$5)),U$7-SQRT((1-NORMSDIST(U$9*SQRT($C$11)*NORMSINV($B113)+SQRT(1-U$9^2*$C$11)*NORMSINV(T113)))*(U$7-U$5)*(U$7-U$6))))</f>
        <v>0.288689670822999</v>
      </c>
      <c r="V113" s="2" t="n">
        <v>0.104561779</v>
      </c>
      <c r="W113" s="2" t="n">
        <f aca="false">IF(W$7=W$5,W$6,IF(NORMSDIST(W$9*SQRT($C$11)*NORMSINV($B113)+SQRT(1-W$9^2*$C$11)*NORMSINV(V113))&lt;W$8,W$5+SQRT(NORMSDIST(W$9*SQRT($C$11)*NORMSINV($B113)+SQRT(1-W$9^2*$C$11)*NORMSINV(V113))*(W$7-W$5)*(W$6-W$5)),W$7-SQRT((1-NORMSDIST(W$9*SQRT($C$11)*NORMSINV($B113)+SQRT(1-W$9^2*$C$11)*NORMSINV(V113)))*(W$7-W$5)*(W$7-W$6))))</f>
        <v>8.38870236054475</v>
      </c>
      <c r="X113" s="2" t="n">
        <v>0.262294399</v>
      </c>
      <c r="Y113" s="2" t="n">
        <f aca="false">IF(Y$7=Y$5,Y$6,IF(NORMSDIST(Y$9*SQRT($C$11)*NORMSINV($B113)+SQRT(1-Y$9^2*$C$11)*NORMSINV(X113))&lt;Y$8,Y$5+SQRT(NORMSDIST(Y$9*SQRT($C$11)*NORMSINV($B113)+SQRT(1-Y$9^2*$C$11)*NORMSINV(X113))*(Y$7-Y$5)*(Y$6-Y$5)),Y$7-SQRT((1-NORMSDIST(Y$9*SQRT($C$11)*NORMSINV($B113)+SQRT(1-Y$9^2*$C$11)*NORMSINV(X113)))*(Y$7-Y$5)*(Y$7-Y$6))))</f>
        <v>0.362142512693553</v>
      </c>
      <c r="Z113" s="2" t="n">
        <v>0.529064956</v>
      </c>
      <c r="AA113" s="2" t="n">
        <f aca="false">IF(AA$7=AA$5,AA$6,IF(NORMSDIST(AA$9*SQRT($C$11)*NORMSINV($B113)+SQRT(1-AA$9^2*$C$11)*NORMSINV(Z113))&lt;AA$8,AA$5+SQRT(NORMSDIST(AA$9*SQRT($C$11)*NORMSINV($B113)+SQRT(1-AA$9^2*$C$11)*NORMSINV(Z113))*(AA$7-AA$5)*(AA$6-AA$5)),AA$7-SQRT((1-NORMSDIST(AA$9*SQRT($C$11)*NORMSINV($B113)+SQRT(1-AA$9^2*$C$11)*NORMSINV(Z113)))*(AA$7-AA$5)*(AA$7-AA$6))))</f>
        <v>0.713087021696134</v>
      </c>
      <c r="AB113" s="2" t="n">
        <v>0.580740304</v>
      </c>
      <c r="AC113" s="2" t="n">
        <f aca="false">IF(AC$7=AC$5,AC$6,IF(NORMSDIST(AC$9*SQRT($C$11)*NORMSINV($B113)+SQRT(1-AC$9^2*$C$11)*NORMSINV(AB113))&lt;AC$8,AC$5+SQRT(NORMSDIST(AC$9*SQRT($C$11)*NORMSINV($B113)+SQRT(1-AC$9^2*$C$11)*NORMSINV(AB113))*(AC$7-AC$5)*(AC$6-AC$5)),AC$7-SQRT((1-NORMSDIST(AC$9*SQRT($C$11)*NORMSINV($B113)+SQRT(1-AC$9^2*$C$11)*NORMSINV(AB113)))*(AC$7-AC$5)*(AC$7-AC$6))))</f>
        <v>8.61878283975828</v>
      </c>
      <c r="AD113" s="2" t="n">
        <f aca="false">Entrées!$C$8*(1+E113)</f>
        <v>7405.65454834287</v>
      </c>
      <c r="AE113" s="2" t="n">
        <f aca="false">I113*Hypothèses!$J$24/12/Hypothèses!$J$19</f>
        <v>90.0403876832128</v>
      </c>
      <c r="AF113" s="2" t="n">
        <f aca="false">Entrées!$C$36*S113*1000</f>
        <v>57.8654075945002</v>
      </c>
      <c r="AG113" s="2" t="n">
        <f aca="false">-AF113/W113</f>
        <v>-6.89801653550889</v>
      </c>
      <c r="AH113" s="2" t="n">
        <f aca="false">AD113+AE113+AG113</f>
        <v>7488.79691949057</v>
      </c>
      <c r="AI113" s="2" t="n">
        <f aca="false">Entrées!$C$16-M113+Hypothèses!$J$22*1000-AF113+Hypothèses!$J$23</f>
        <v>22870.5203653413</v>
      </c>
      <c r="AJ113" s="2" t="n">
        <f aca="false">AI113/AH113</f>
        <v>3.05396455681924</v>
      </c>
      <c r="AK113" s="2" t="n">
        <f aca="false">AI113/(AH113+I113*(12-Hypothèses!$J$24)/12/Hypothèses!$J$19)</f>
        <v>3.02796012206054</v>
      </c>
      <c r="AL113" s="2" t="n">
        <f aca="false">(AD113+AG113+I113/Hypothèses!$J$19)*(1+G113)</f>
        <v>7908.23027922693</v>
      </c>
      <c r="AM113" s="2" t="n">
        <f aca="false">Entrées!$C$54*K113/Hypothèses!$J$19</f>
        <v>22.2734762240776</v>
      </c>
      <c r="AN113" s="2" t="n">
        <f aca="false">Y113*1000/AC113</f>
        <v>42.0178254199649</v>
      </c>
      <c r="AO113" s="2" t="n">
        <f aca="false">(Entrées!$C$36*(1-S113)+MAX(0,Entrées!$C$30-Entrées!$C$35-Entrées!$C$36)*U113)*1000</f>
        <v>846.300131557698</v>
      </c>
      <c r="AP113" s="2" t="n">
        <f aca="false">-AO113/W113</f>
        <v>-100.885702601414</v>
      </c>
      <c r="AQ113" s="2" t="n">
        <f aca="false">AL113+AM113+AN113+AP113</f>
        <v>7871.63587826956</v>
      </c>
      <c r="AR113" s="2" t="n">
        <f aca="false">O113*AQ113-Hypothèses!$J$25/Hypothèses!$J$19</f>
        <v>1155.41131467317</v>
      </c>
      <c r="AS113" s="2" t="n">
        <f aca="false">Entrées!$C$79*(1+Q113)+Hypothèses!$J$20</f>
        <v>1476.7160027742</v>
      </c>
      <c r="AT113" s="2" t="n">
        <f aca="false">AI113-AR113+AS113+Y113*1000-AO113+Hypothèses!$J$23</f>
        <v>22707.6674345782</v>
      </c>
      <c r="AU113" s="2" t="n">
        <f aca="false">AT113/AQ113</f>
        <v>2.88474565970016</v>
      </c>
      <c r="AV113" s="2" t="n">
        <f aca="false">Hypothèses!$J$26*AQ113-AT113</f>
        <v>907.240200230517</v>
      </c>
      <c r="AW113" s="2" t="n">
        <f aca="false">IF(AC113&gt;Hypothèses!$J$26,MAX(0,AV113)/(1-Hypothèses!$J$26/AC113),0)</f>
        <v>1391.63703105885</v>
      </c>
      <c r="AX113" s="2" t="n">
        <f aca="false">AQ113-Entrées!$C$17*1000</f>
        <v>-128.364121730438</v>
      </c>
      <c r="AY113" s="2" t="n">
        <f aca="false">AI113+(Entrées!$C$244-Entrées!$C$13)</f>
        <v>28617.5203653413</v>
      </c>
      <c r="AZ113" s="2" t="n">
        <f aca="false">AA113*AH113</f>
        <v>5340.16389140671</v>
      </c>
      <c r="BA113" s="2" t="n">
        <f aca="false">AZ113/AY113</f>
        <v>0.18660470310608</v>
      </c>
      <c r="BB113" s="2" t="n">
        <f aca="false">AZ113/(Entrées!$C$151/100)-AY113</f>
        <v>1050.05680914045</v>
      </c>
      <c r="BC113" s="2" t="n">
        <f aca="false">AT113+(Entrées!$C$244-Entrées!$C$13)</f>
        <v>28454.6674345782</v>
      </c>
      <c r="BD113" s="2" t="n">
        <f aca="false">AA113*AQ113</f>
        <v>5613.16138431167</v>
      </c>
      <c r="BE113" s="2" t="n">
        <f aca="false">BD113/BC113</f>
        <v>0.197266806832912</v>
      </c>
      <c r="BF113" s="2" t="n">
        <f aca="false">BD113/(Entrées!$C$151/100)-BC113</f>
        <v>2729.56247826446</v>
      </c>
      <c r="BG113" s="2" t="n">
        <f aca="false">MIN(AV113,BF113)</f>
        <v>907.240200230517</v>
      </c>
      <c r="BH113" s="2" t="n">
        <f aca="false">IF(AC113&gt;Hypothèses!$J$26,MAX(0,BG113)/(1-Hypothèses!$J$26/AC113),0)</f>
        <v>1391.63703105885</v>
      </c>
    </row>
    <row r="114" customFormat="false" ht="15" hidden="false" customHeight="false" outlineLevel="0" collapsed="false">
      <c r="A114" s="2" t="n">
        <v>99</v>
      </c>
      <c r="B114" s="2" t="n">
        <v>0.643589652</v>
      </c>
      <c r="C114" s="2"/>
      <c r="D114" s="2" t="n">
        <v>0.789888112</v>
      </c>
      <c r="E114" s="2" t="n">
        <f aca="false">IF(E$7=E$5,E$6,IF(NORMSDIST(E$9*SQRT($C$11)*NORMSINV($B114)+SQRT(1-E$9^2*$C$11)*NORMSINV(D114))&lt;E$8,E$5+SQRT(NORMSDIST(E$9*SQRT($C$11)*NORMSINV($B114)+SQRT(1-E$9^2*$C$11)*NORMSINV(D114))*(E$7-E$5)*(E$6-E$5)),E$7-SQRT((1-NORMSDIST(E$9*SQRT($C$11)*NORMSINV($B114)+SQRT(1-E$9^2*$C$11)*NORMSINV(D114)))*(E$7-E$5)*(E$7-E$6))))</f>
        <v>0.0568720285535413</v>
      </c>
      <c r="F114" s="2" t="n">
        <v>0.212389974</v>
      </c>
      <c r="G114" s="2" t="n">
        <f aca="false">IF(G$7=G$5,G$6,IF(NORMSDIST(G$9*SQRT($C$11)*NORMSINV($B114)+SQRT(1-G$9^2*$C$11)*NORMSINV(F114))&lt;G$8,G$5+SQRT(NORMSDIST(G$9*SQRT($C$11)*NORMSINV($B114)+SQRT(1-G$9^2*$C$11)*NORMSINV(F114))*(G$7-G$5)*(G$6-G$5)),G$7-SQRT((1-NORMSDIST(G$9*SQRT($C$11)*NORMSINV($B114)+SQRT(1-G$9^2*$C$11)*NORMSINV(F114)))*(G$7-G$5)*(G$7-G$6))))</f>
        <v>0.0525489684396161</v>
      </c>
      <c r="H114" s="2" t="n">
        <v>0.166063363</v>
      </c>
      <c r="I114" s="2" t="n">
        <f aca="false">IF(I$7=I$5,I$6,IF(NORMSDIST(I$9*SQRT($C$11)*NORMSINV($B114)+SQRT(1-I$9^2*$C$11)*NORMSINV(H114))&lt;I$8,I$5+SQRT(NORMSDIST(I$9*SQRT($C$11)*NORMSINV($B114)+SQRT(1-I$9^2*$C$11)*NORMSINV(H114))*(I$7-I$5)*(I$6-I$5)),I$7-SQRT((1-NORMSDIST(I$9*SQRT($C$11)*NORMSINV($B114)+SQRT(1-I$9^2*$C$11)*NORMSINV(H114)))*(I$7-I$5)*(I$7-I$6))))</f>
        <v>195.545381296206</v>
      </c>
      <c r="J114" s="2" t="n">
        <v>0.995513369</v>
      </c>
      <c r="K114" s="2" t="n">
        <f aca="false">IF(K$7=K$5,K$6,IF(NORMSDIST(K$9*SQRT($C$11)*NORMSINV($B114)+SQRT(1-K$9^2*$C$11)*NORMSINV(J114))&lt;K$8,K$5+SQRT(NORMSDIST(K$9*SQRT($C$11)*NORMSINV($B114)+SQRT(1-K$9^2*$C$11)*NORMSINV(J114))*(K$7-K$5)*(K$6-K$5)),K$7-SQRT((1-NORMSDIST(K$9*SQRT($C$11)*NORMSINV($B114)+SQRT(1-K$9^2*$C$11)*NORMSINV(J114)))*(K$7-K$5)*(K$7-K$6))))</f>
        <v>0.461256816138749</v>
      </c>
      <c r="L114" s="2" t="n">
        <v>0.166544127</v>
      </c>
      <c r="M114" s="2" t="n">
        <f aca="false">IF(M$7=M$5,M$6,IF(NORMSDIST(M$9*SQRT($C$11)*NORMSINV($B114)+SQRT(1-M$9^2*$C$11)*NORMSINV(L114))&lt;M$8,M$5+SQRT(NORMSDIST(M$9*SQRT($C$11)*NORMSINV($B114)+SQRT(1-M$9^2*$C$11)*NORMSINV(L114))*(M$7-M$5)*(M$6-M$5)),M$7-SQRT((1-NORMSDIST(M$9*SQRT($C$11)*NORMSINV($B114)+SQRT(1-M$9^2*$C$11)*NORMSINV(L114)))*(M$7-M$5)*(M$7-M$6))))</f>
        <v>1522.69626476007</v>
      </c>
      <c r="N114" s="2" t="n">
        <v>0.334456113</v>
      </c>
      <c r="O114" s="2" t="n">
        <f aca="false">IF(O$7=O$5,O$6,IF(NORMSDIST(O$9*SQRT($C$11)*NORMSINV($B114)+SQRT(1-O$9^2*$C$11)*NORMSINV(N114))&lt;O$8,O$5+SQRT(NORMSDIST(O$9*SQRT($C$11)*NORMSINV($B114)+SQRT(1-O$9^2*$C$11)*NORMSINV(N114))*(O$7-O$5)*(O$6-O$5)),O$7-SQRT((1-NORMSDIST(O$9*SQRT($C$11)*NORMSINV($B114)+SQRT(1-O$9^2*$C$11)*NORMSINV(N114)))*(O$7-O$5)*(O$7-O$6))))</f>
        <v>0.165712638718917</v>
      </c>
      <c r="P114" s="2" t="n">
        <v>0.63238773</v>
      </c>
      <c r="Q114" s="2" t="n">
        <f aca="false">IF(Q$7=Q$5,Q$6,IF(NORMSDIST(Q$9*SQRT($C$11)*NORMSINV($B114)+SQRT(1-Q$9^2*$C$11)*NORMSINV(P114))&lt;Q$8,Q$5+SQRT(NORMSDIST(Q$9*SQRT($C$11)*NORMSINV($B114)+SQRT(1-Q$9^2*$C$11)*NORMSINV(P114))*(Q$7-Q$5)*(Q$6-Q$5)),Q$7-SQRT((1-NORMSDIST(Q$9*SQRT($C$11)*NORMSINV($B114)+SQRT(1-Q$9^2*$C$11)*NORMSINV(P114)))*(Q$7-Q$5)*(Q$7-Q$6))))</f>
        <v>0.0857019058255419</v>
      </c>
      <c r="R114" s="2" t="n">
        <v>0.451505399</v>
      </c>
      <c r="S114" s="2" t="n">
        <f aca="false">IF(S$7=S$5,S$6,IF(NORMSDIST(S$9*SQRT($C$11)*NORMSINV($B114)+SQRT(1-S$9^2*$C$11)*NORMSINV(R114))&lt;S$8,S$5+SQRT(NORMSDIST(S$9*SQRT($C$11)*NORMSINV($B114)+SQRT(1-S$9^2*$C$11)*NORMSINV(R114))*(S$7-S$5)*(S$6-S$5)),S$7-SQRT((1-NORMSDIST(S$9*SQRT($C$11)*NORMSINV($B114)+SQRT(1-S$9^2*$C$11)*NORMSINV(R114)))*(S$7-S$5)*(S$7-S$6))))</f>
        <v>0.528320320719216</v>
      </c>
      <c r="T114" s="2" t="n">
        <v>0.210263943</v>
      </c>
      <c r="U114" s="2" t="n">
        <f aca="false">IF(U$7=U$5,U$6,IF(NORMSDIST(U$9*SQRT($C$11)*NORMSINV($B114)+SQRT(1-U$9^2*$C$11)*NORMSINV(T114))&lt;U$8,U$5+SQRT(NORMSDIST(U$9*SQRT($C$11)*NORMSINV($B114)+SQRT(1-U$9^2*$C$11)*NORMSINV(T114))*(U$7-U$5)*(U$6-U$5)),U$7-SQRT((1-NORMSDIST(U$9*SQRT($C$11)*NORMSINV($B114)+SQRT(1-U$9^2*$C$11)*NORMSINV(T114)))*(U$7-U$5)*(U$7-U$6))))</f>
        <v>0.417038217295699</v>
      </c>
      <c r="V114" s="2" t="n">
        <v>0.815802449</v>
      </c>
      <c r="W114" s="2" t="n">
        <f aca="false">IF(W$7=W$5,W$6,IF(NORMSDIST(W$9*SQRT($C$11)*NORMSINV($B114)+SQRT(1-W$9^2*$C$11)*NORMSINV(V114))&lt;W$8,W$5+SQRT(NORMSDIST(W$9*SQRT($C$11)*NORMSINV($B114)+SQRT(1-W$9^2*$C$11)*NORMSINV(V114))*(W$7-W$5)*(W$6-W$5)),W$7-SQRT((1-NORMSDIST(W$9*SQRT($C$11)*NORMSINV($B114)+SQRT(1-W$9^2*$C$11)*NORMSINV(V114)))*(W$7-W$5)*(W$7-W$6))))</f>
        <v>10.8123688236833</v>
      </c>
      <c r="X114" s="2" t="n">
        <v>0.552511922</v>
      </c>
      <c r="Y114" s="2" t="n">
        <f aca="false">IF(Y$7=Y$5,Y$6,IF(NORMSDIST(Y$9*SQRT($C$11)*NORMSINV($B114)+SQRT(1-Y$9^2*$C$11)*NORMSINV(X114))&lt;Y$8,Y$5+SQRT(NORMSDIST(Y$9*SQRT($C$11)*NORMSINV($B114)+SQRT(1-Y$9^2*$C$11)*NORMSINV(X114))*(Y$7-Y$5)*(Y$6-Y$5)),Y$7-SQRT((1-NORMSDIST(Y$9*SQRT($C$11)*NORMSINV($B114)+SQRT(1-Y$9^2*$C$11)*NORMSINV(X114)))*(Y$7-Y$5)*(Y$7-Y$6))))</f>
        <v>0.526984102804145</v>
      </c>
      <c r="Z114" s="2" t="n">
        <v>0.484968926</v>
      </c>
      <c r="AA114" s="2" t="n">
        <f aca="false">IF(AA$7=AA$5,AA$6,IF(NORMSDIST(AA$9*SQRT($C$11)*NORMSINV($B114)+SQRT(1-AA$9^2*$C$11)*NORMSINV(Z114))&lt;AA$8,AA$5+SQRT(NORMSDIST(AA$9*SQRT($C$11)*NORMSINV($B114)+SQRT(1-AA$9^2*$C$11)*NORMSINV(Z114))*(AA$7-AA$5)*(AA$6-AA$5)),AA$7-SQRT((1-NORMSDIST(AA$9*SQRT($C$11)*NORMSINV($B114)+SQRT(1-AA$9^2*$C$11)*NORMSINV(Z114)))*(AA$7-AA$5)*(AA$7-AA$6))))</f>
        <v>0.730593061494315</v>
      </c>
      <c r="AB114" s="2" t="n">
        <v>0.303735965</v>
      </c>
      <c r="AC114" s="2" t="n">
        <f aca="false">IF(AC$7=AC$5,AC$6,IF(NORMSDIST(AC$9*SQRT($C$11)*NORMSINV($B114)+SQRT(1-AC$9^2*$C$11)*NORMSINV(AB114))&lt;AC$8,AC$5+SQRT(NORMSDIST(AC$9*SQRT($C$11)*NORMSINV($B114)+SQRT(1-AC$9^2*$C$11)*NORMSINV(AB114))*(AC$7-AC$5)*(AC$6-AC$5)),AC$7-SQRT((1-NORMSDIST(AC$9*SQRT($C$11)*NORMSINV($B114)+SQRT(1-AC$9^2*$C$11)*NORMSINV(AB114)))*(AC$7-AC$5)*(AC$7-AC$6))))</f>
        <v>9.3373851287879</v>
      </c>
      <c r="AD114" s="2" t="n">
        <f aca="false">Entrées!$C$8*(1+E114)</f>
        <v>7450.94780130247</v>
      </c>
      <c r="AE114" s="2" t="n">
        <f aca="false">I114*Hypothèses!$J$24/12/Hypothèses!$J$19</f>
        <v>97.0094377937071</v>
      </c>
      <c r="AF114" s="2" t="n">
        <f aca="false">Entrées!$C$36*S114*1000</f>
        <v>264.160160359608</v>
      </c>
      <c r="AG114" s="2" t="n">
        <f aca="false">-AF114/W114</f>
        <v>-24.4312938882545</v>
      </c>
      <c r="AH114" s="2" t="n">
        <f aca="false">AD114+AE114+AG114</f>
        <v>7523.52594520792</v>
      </c>
      <c r="AI114" s="2" t="n">
        <f aca="false">Entrées!$C$16-M114+Hypothèses!$J$22*1000-AF114+Hypothèses!$J$23</f>
        <v>22761.1435748803</v>
      </c>
      <c r="AJ114" s="2" t="n">
        <f aca="false">AI114/AH114</f>
        <v>3.02532931243202</v>
      </c>
      <c r="AK114" s="2" t="n">
        <f aca="false">AI114/(AH114+I114*(12-Hypothèses!$J$24)/12/Hypothèses!$J$19)</f>
        <v>2.9977199998037</v>
      </c>
      <c r="AL114" s="2" t="n">
        <f aca="false">(AD114+AG114+I114/Hypothèses!$J$19)*(1+G114)</f>
        <v>7991.81317528491</v>
      </c>
      <c r="AM114" s="2" t="n">
        <f aca="false">Entrées!$C$54*K114/Hypothèses!$J$19</f>
        <v>47.0731947791783</v>
      </c>
      <c r="AN114" s="2" t="n">
        <f aca="false">Y114*1000/AC114</f>
        <v>56.4380814902248</v>
      </c>
      <c r="AO114" s="2" t="n">
        <f aca="false">(Entrées!$C$36*(1-S114)+MAX(0,Entrées!$C$30-Entrées!$C$35-Entrées!$C$36)*U114)*1000</f>
        <v>819.69334385437</v>
      </c>
      <c r="AP114" s="2" t="n">
        <f aca="false">-AO114/W114</f>
        <v>-75.8107087559684</v>
      </c>
      <c r="AQ114" s="2" t="n">
        <f aca="false">AL114+AM114+AN114+AP114</f>
        <v>8019.51374279834</v>
      </c>
      <c r="AR114" s="2" t="n">
        <f aca="false">O114*AQ114-Hypothèses!$J$25/Hypothèses!$J$19</f>
        <v>1309.79962130011</v>
      </c>
      <c r="AS114" s="2" t="n">
        <f aca="false">Entrées!$C$79*(1+Q114)+Hypothèses!$J$20</f>
        <v>1488.18639450227</v>
      </c>
      <c r="AT114" s="2" t="n">
        <f aca="false">AI114-AR114+AS114+Y114*1000-AO114+Hypothèses!$J$23</f>
        <v>22646.8211070323</v>
      </c>
      <c r="AU114" s="2" t="n">
        <f aca="false">AT114/AQ114</f>
        <v>2.82396437407062</v>
      </c>
      <c r="AV114" s="2" t="n">
        <f aca="false">Hypothèses!$J$26*AQ114-AT114</f>
        <v>1411.72012136276</v>
      </c>
      <c r="AW114" s="2" t="n">
        <f aca="false">IF(AC114&gt;Hypothèses!$J$26,MAX(0,AV114)/(1-Hypothèses!$J$26/AC114),0)</f>
        <v>2080.00211433331</v>
      </c>
      <c r="AX114" s="2" t="n">
        <f aca="false">AQ114-Entrées!$C$17*1000</f>
        <v>19.5137427983418</v>
      </c>
      <c r="AY114" s="2" t="n">
        <f aca="false">AI114+(Entrées!$C$244-Entrées!$C$13)</f>
        <v>28508.1435748803</v>
      </c>
      <c r="AZ114" s="2" t="n">
        <f aca="false">AA114*AH114</f>
        <v>5496.63585354137</v>
      </c>
      <c r="BA114" s="2" t="n">
        <f aca="false">AZ114/AY114</f>
        <v>0.192809322680158</v>
      </c>
      <c r="BB114" s="2" t="n">
        <f aca="false">AZ114/(Entrées!$C$151/100)-AY114</f>
        <v>2028.72227812726</v>
      </c>
      <c r="BC114" s="2" t="n">
        <f aca="false">AT114+(Entrées!$C$244-Entrées!$C$13)</f>
        <v>28393.8211070323</v>
      </c>
      <c r="BD114" s="2" t="n">
        <f aca="false">AA114*AQ114</f>
        <v>5859.00109704678</v>
      </c>
      <c r="BE114" s="2" t="n">
        <f aca="false">BD114/BC114</f>
        <v>0.206347749919284</v>
      </c>
      <c r="BF114" s="2" t="n">
        <f aca="false">BD114/(Entrées!$C$151/100)-BC114</f>
        <v>4156.18498767205</v>
      </c>
      <c r="BG114" s="2" t="n">
        <f aca="false">MIN(AV114,BF114)</f>
        <v>1411.72012136276</v>
      </c>
      <c r="BH114" s="2" t="n">
        <f aca="false">IF(AC114&gt;Hypothèses!$J$26,MAX(0,BG114)/(1-Hypothèses!$J$26/AC114),0)</f>
        <v>2080.00211433331</v>
      </c>
    </row>
    <row r="115" customFormat="false" ht="15" hidden="false" customHeight="false" outlineLevel="0" collapsed="false">
      <c r="A115" s="2" t="n">
        <v>100</v>
      </c>
      <c r="B115" s="2" t="n">
        <v>0.85791539</v>
      </c>
      <c r="C115" s="2"/>
      <c r="D115" s="2" t="n">
        <v>0.405405949</v>
      </c>
      <c r="E115" s="2" t="n">
        <f aca="false">IF(E$7=E$5,E$6,IF(NORMSDIST(E$9*SQRT($C$11)*NORMSINV($B115)+SQRT(1-E$9^2*$C$11)*NORMSINV(D115))&lt;E$8,E$5+SQRT(NORMSDIST(E$9*SQRT($C$11)*NORMSINV($B115)+SQRT(1-E$9^2*$C$11)*NORMSINV(D115))*(E$7-E$5)*(E$6-E$5)),E$7-SQRT((1-NORMSDIST(E$9*SQRT($C$11)*NORMSINV($B115)+SQRT(1-E$9^2*$C$11)*NORMSINV(D115)))*(E$7-E$5)*(E$7-E$6))))</f>
        <v>0.0560542331314442</v>
      </c>
      <c r="F115" s="2" t="n">
        <v>0.356468783</v>
      </c>
      <c r="G115" s="2" t="n">
        <f aca="false">IF(G$7=G$5,G$6,IF(NORMSDIST(G$9*SQRT($C$11)*NORMSINV($B115)+SQRT(1-G$9^2*$C$11)*NORMSINV(F115))&lt;G$8,G$5+SQRT(NORMSDIST(G$9*SQRT($C$11)*NORMSINV($B115)+SQRT(1-G$9^2*$C$11)*NORMSINV(F115))*(G$7-G$5)*(G$6-G$5)),G$7-SQRT((1-NORMSDIST(G$9*SQRT($C$11)*NORMSINV($B115)+SQRT(1-G$9^2*$C$11)*NORMSINV(F115)))*(G$7-G$5)*(G$7-G$6))))</f>
        <v>0.0574969727882422</v>
      </c>
      <c r="H115" s="2" t="n">
        <v>0.782212277</v>
      </c>
      <c r="I115" s="2" t="n">
        <f aca="false">IF(I$7=I$5,I$6,IF(NORMSDIST(I$9*SQRT($C$11)*NORMSINV($B115)+SQRT(1-I$9^2*$C$11)*NORMSINV(H115))&lt;I$8,I$5+SQRT(NORMSDIST(I$9*SQRT($C$11)*NORMSINV($B115)+SQRT(1-I$9^2*$C$11)*NORMSINV(H115))*(I$7-I$5)*(I$6-I$5)),I$7-SQRT((1-NORMSDIST(I$9*SQRT($C$11)*NORMSINV($B115)+SQRT(1-I$9^2*$C$11)*NORMSINV(H115)))*(I$7-I$5)*(I$7-I$6))))</f>
        <v>211.053774848022</v>
      </c>
      <c r="J115" s="2" t="n">
        <v>0.58404706</v>
      </c>
      <c r="K115" s="2" t="n">
        <f aca="false">IF(K$7=K$5,K$6,IF(NORMSDIST(K$9*SQRT($C$11)*NORMSINV($B115)+SQRT(1-K$9^2*$C$11)*NORMSINV(J115))&lt;K$8,K$5+SQRT(NORMSDIST(K$9*SQRT($C$11)*NORMSINV($B115)+SQRT(1-K$9^2*$C$11)*NORMSINV(J115))*(K$7-K$5)*(K$6-K$5)),K$7-SQRT((1-NORMSDIST(K$9*SQRT($C$11)*NORMSINV($B115)+SQRT(1-K$9^2*$C$11)*NORMSINV(J115)))*(K$7-K$5)*(K$7-K$6))))</f>
        <v>0.341903065849857</v>
      </c>
      <c r="L115" s="2" t="n">
        <v>0.221296638</v>
      </c>
      <c r="M115" s="2" t="n">
        <f aca="false">IF(M$7=M$5,M$6,IF(NORMSDIST(M$9*SQRT($C$11)*NORMSINV($B115)+SQRT(1-M$9^2*$C$11)*NORMSINV(L115))&lt;M$8,M$5+SQRT(NORMSDIST(M$9*SQRT($C$11)*NORMSINV($B115)+SQRT(1-M$9^2*$C$11)*NORMSINV(L115))*(M$7-M$5)*(M$6-M$5)),M$7-SQRT((1-NORMSDIST(M$9*SQRT($C$11)*NORMSINV($B115)+SQRT(1-M$9^2*$C$11)*NORMSINV(L115)))*(M$7-M$5)*(M$7-M$6))))</f>
        <v>1594.49102118029</v>
      </c>
      <c r="N115" s="2" t="n">
        <v>0.605628461</v>
      </c>
      <c r="O115" s="2" t="n">
        <f aca="false">IF(O$7=O$5,O$6,IF(NORMSDIST(O$9*SQRT($C$11)*NORMSINV($B115)+SQRT(1-O$9^2*$C$11)*NORMSINV(N115))&lt;O$8,O$5+SQRT(NORMSDIST(O$9*SQRT($C$11)*NORMSINV($B115)+SQRT(1-O$9^2*$C$11)*NORMSINV(N115))*(O$7-O$5)*(O$6-O$5)),O$7-SQRT((1-NORMSDIST(O$9*SQRT($C$11)*NORMSINV($B115)+SQRT(1-O$9^2*$C$11)*NORMSINV(N115)))*(O$7-O$5)*(O$7-O$6))))</f>
        <v>0.17584500051572</v>
      </c>
      <c r="P115" s="2" t="n">
        <v>0.214021771</v>
      </c>
      <c r="Q115" s="2" t="n">
        <f aca="false">IF(Q$7=Q$5,Q$6,IF(NORMSDIST(Q$9*SQRT($C$11)*NORMSINV($B115)+SQRT(1-Q$9^2*$C$11)*NORMSINV(P115))&lt;Q$8,Q$5+SQRT(NORMSDIST(Q$9*SQRT($C$11)*NORMSINV($B115)+SQRT(1-Q$9^2*$C$11)*NORMSINV(P115))*(Q$7-Q$5)*(Q$6-Q$5)),Q$7-SQRT((1-NORMSDIST(Q$9*SQRT($C$11)*NORMSINV($B115)+SQRT(1-Q$9^2*$C$11)*NORMSINV(P115)))*(Q$7-Q$5)*(Q$7-Q$6))))</f>
        <v>0.0661700146580012</v>
      </c>
      <c r="R115" s="2" t="n">
        <v>0.857188348</v>
      </c>
      <c r="S115" s="2" t="n">
        <f aca="false">IF(S$7=S$5,S$6,IF(NORMSDIST(S$9*SQRT($C$11)*NORMSINV($B115)+SQRT(1-S$9^2*$C$11)*NORMSINV(R115))&lt;S$8,S$5+SQRT(NORMSDIST(S$9*SQRT($C$11)*NORMSINV($B115)+SQRT(1-S$9^2*$C$11)*NORMSINV(R115))*(S$7-S$5)*(S$6-S$5)),S$7-SQRT((1-NORMSDIST(S$9*SQRT($C$11)*NORMSINV($B115)+SQRT(1-S$9^2*$C$11)*NORMSINV(R115)))*(S$7-S$5)*(S$7-S$6))))</f>
        <v>0.818021438757156</v>
      </c>
      <c r="T115" s="2" t="n">
        <v>0.947750049</v>
      </c>
      <c r="U115" s="2" t="n">
        <f aca="false">IF(U$7=U$5,U$6,IF(NORMSDIST(U$9*SQRT($C$11)*NORMSINV($B115)+SQRT(1-U$9^2*$C$11)*NORMSINV(T115))&lt;U$8,U$5+SQRT(NORMSDIST(U$9*SQRT($C$11)*NORMSINV($B115)+SQRT(1-U$9^2*$C$11)*NORMSINV(T115))*(U$7-U$5)*(U$6-U$5)),U$7-SQRT((1-NORMSDIST(U$9*SQRT($C$11)*NORMSINV($B115)+SQRT(1-U$9^2*$C$11)*NORMSINV(T115)))*(U$7-U$5)*(U$7-U$6))))</f>
        <v>0.884882567547903</v>
      </c>
      <c r="V115" s="2" t="n">
        <v>0.104272258</v>
      </c>
      <c r="W115" s="2" t="n">
        <f aca="false">IF(W$7=W$5,W$6,IF(NORMSDIST(W$9*SQRT($C$11)*NORMSINV($B115)+SQRT(1-W$9^2*$C$11)*NORMSINV(V115))&lt;W$8,W$5+SQRT(NORMSDIST(W$9*SQRT($C$11)*NORMSINV($B115)+SQRT(1-W$9^2*$C$11)*NORMSINV(V115))*(W$7-W$5)*(W$6-W$5)),W$7-SQRT((1-NORMSDIST(W$9*SQRT($C$11)*NORMSINV($B115)+SQRT(1-W$9^2*$C$11)*NORMSINV(V115)))*(W$7-W$5)*(W$7-W$6))))</f>
        <v>9.75117480852046</v>
      </c>
      <c r="X115" s="2" t="n">
        <v>0.273709875</v>
      </c>
      <c r="Y115" s="2" t="n">
        <f aca="false">IF(Y$7=Y$5,Y$6,IF(NORMSDIST(Y$9*SQRT($C$11)*NORMSINV($B115)+SQRT(1-Y$9^2*$C$11)*NORMSINV(X115))&lt;Y$8,Y$5+SQRT(NORMSDIST(Y$9*SQRT($C$11)*NORMSINV($B115)+SQRT(1-Y$9^2*$C$11)*NORMSINV(X115))*(Y$7-Y$5)*(Y$6-Y$5)),Y$7-SQRT((1-NORMSDIST(Y$9*SQRT($C$11)*NORMSINV($B115)+SQRT(1-Y$9^2*$C$11)*NORMSINV(X115)))*(Y$7-Y$5)*(Y$7-Y$6))))</f>
        <v>0.369939099717778</v>
      </c>
      <c r="Z115" s="2" t="n">
        <v>0.177672668</v>
      </c>
      <c r="AA115" s="2" t="n">
        <f aca="false">IF(AA$7=AA$5,AA$6,IF(NORMSDIST(AA$9*SQRT($C$11)*NORMSINV($B115)+SQRT(1-AA$9^2*$C$11)*NORMSINV(Z115))&lt;AA$8,AA$5+SQRT(NORMSDIST(AA$9*SQRT($C$11)*NORMSINV($B115)+SQRT(1-AA$9^2*$C$11)*NORMSINV(Z115))*(AA$7-AA$5)*(AA$6-AA$5)),AA$7-SQRT((1-NORMSDIST(AA$9*SQRT($C$11)*NORMSINV($B115)+SQRT(1-AA$9^2*$C$11)*NORMSINV(Z115)))*(AA$7-AA$5)*(AA$7-AA$6))))</f>
        <v>0.727543819909607</v>
      </c>
      <c r="AB115" s="2" t="n">
        <v>0.44881798</v>
      </c>
      <c r="AC115" s="2" t="n">
        <f aca="false">IF(AC$7=AC$5,AC$6,IF(NORMSDIST(AC$9*SQRT($C$11)*NORMSINV($B115)+SQRT(1-AC$9^2*$C$11)*NORMSINV(AB115))&lt;AC$8,AC$5+SQRT(NORMSDIST(AC$9*SQRT($C$11)*NORMSINV($B115)+SQRT(1-AC$9^2*$C$11)*NORMSINV(AB115))*(AC$7-AC$5)*(AC$6-AC$5)),AC$7-SQRT((1-NORMSDIST(AC$9*SQRT($C$11)*NORMSINV($B115)+SQRT(1-AC$9^2*$C$11)*NORMSINV(AB115)))*(AC$7-AC$5)*(AC$7-AC$6))))</f>
        <v>9.89678924572133</v>
      </c>
      <c r="AD115" s="2" t="n">
        <f aca="false">Entrées!$C$8*(1+E115)</f>
        <v>7445.18234357668</v>
      </c>
      <c r="AE115" s="2" t="n">
        <f aca="false">I115*Hypothèses!$J$24/12/Hypothèses!$J$19</f>
        <v>104.703102198219</v>
      </c>
      <c r="AF115" s="2" t="n">
        <f aca="false">Entrées!$C$36*S115*1000</f>
        <v>409.010719378578</v>
      </c>
      <c r="AG115" s="2" t="n">
        <f aca="false">-AF115/W115</f>
        <v>-41.9447633141793</v>
      </c>
      <c r="AH115" s="2" t="n">
        <f aca="false">AD115+AE115+AG115</f>
        <v>7507.94068246072</v>
      </c>
      <c r="AI115" s="2" t="n">
        <f aca="false">Entrées!$C$16-M115+Hypothèses!$J$22*1000-AF115+Hypothèses!$J$23</f>
        <v>22544.4982594411</v>
      </c>
      <c r="AJ115" s="2" t="n">
        <f aca="false">AI115/AH115</f>
        <v>3.00275391254852</v>
      </c>
      <c r="AK115" s="2" t="n">
        <f aca="false">AI115/(AH115+I115*(12-Hypothèses!$J$24)/12/Hypothèses!$J$19)</f>
        <v>2.97313795748574</v>
      </c>
      <c r="AL115" s="2" t="n">
        <f aca="false">(AD115+AG115+I115/Hypothèses!$J$19)*(1+G115)</f>
        <v>8018.71255330173</v>
      </c>
      <c r="AM115" s="2" t="n">
        <f aca="false">Entrées!$C$54*K115/Hypothèses!$J$19</f>
        <v>34.8926434281835</v>
      </c>
      <c r="AN115" s="2" t="n">
        <f aca="false">Y115*1000/AC115</f>
        <v>37.3797087654174</v>
      </c>
      <c r="AO115" s="2" t="n">
        <f aca="false">(Entrées!$C$36*(1-S115)+MAX(0,Entrées!$C$30-Entrées!$C$35-Entrées!$C$36)*U115)*1000</f>
        <v>1329.82487518849</v>
      </c>
      <c r="AP115" s="2" t="n">
        <f aca="false">-AO115/W115</f>
        <v>-136.375862529559</v>
      </c>
      <c r="AQ115" s="2" t="n">
        <f aca="false">AL115+AM115+AN115+AP115</f>
        <v>7954.60904296577</v>
      </c>
      <c r="AR115" s="2" t="n">
        <f aca="false">O115*AQ115-Hypothèses!$J$25/Hypothèses!$J$19</f>
        <v>1379.64306900104</v>
      </c>
      <c r="AS115" s="2" t="n">
        <f aca="false">Entrées!$C$79*(1+Q115)+Hypothèses!$J$20</f>
        <v>1466.72084610914</v>
      </c>
      <c r="AT115" s="2" t="n">
        <f aca="false">AI115-AR115+AS115+Y115*1000-AO115+Hypothèses!$J$23</f>
        <v>21671.6902610785</v>
      </c>
      <c r="AU115" s="2" t="n">
        <f aca="false">AT115/AQ115</f>
        <v>2.72441928245898</v>
      </c>
      <c r="AV115" s="2" t="n">
        <f aca="false">Hypothèses!$J$26*AQ115-AT115</f>
        <v>2192.13686781879</v>
      </c>
      <c r="AW115" s="2" t="n">
        <f aca="false">IF(AC115&gt;Hypothèses!$J$26,MAX(0,AV115)/(1-Hypothèses!$J$26/AC115),0)</f>
        <v>3145.68356457138</v>
      </c>
      <c r="AX115" s="2" t="n">
        <f aca="false">AQ115-Entrées!$C$17*1000</f>
        <v>-45.3909570342312</v>
      </c>
      <c r="AY115" s="2" t="n">
        <f aca="false">AI115+(Entrées!$C$244-Entrées!$C$13)</f>
        <v>28291.4982594411</v>
      </c>
      <c r="AZ115" s="2" t="n">
        <f aca="false">AA115*AH115</f>
        <v>5462.35584377221</v>
      </c>
      <c r="BA115" s="2" t="n">
        <f aca="false">AZ115/AY115</f>
        <v>0.193074109885622</v>
      </c>
      <c r="BB115" s="2" t="n">
        <f aca="false">AZ115/(Entrées!$C$151/100)-AY115</f>
        <v>2054.92309484894</v>
      </c>
      <c r="BC115" s="2" t="n">
        <f aca="false">AT115+(Entrées!$C$244-Entrées!$C$13)</f>
        <v>27418.6902610785</v>
      </c>
      <c r="BD115" s="2" t="n">
        <f aca="false">AA115*AQ115</f>
        <v>5787.32664900681</v>
      </c>
      <c r="BE115" s="2" t="n">
        <f aca="false">BD115/BC115</f>
        <v>0.211072323072341</v>
      </c>
      <c r="BF115" s="2" t="n">
        <f aca="false">BD115/(Entrées!$C$151/100)-BC115</f>
        <v>4733.12445562601</v>
      </c>
      <c r="BG115" s="2" t="n">
        <f aca="false">MIN(AV115,BF115)</f>
        <v>2192.13686781879</v>
      </c>
      <c r="BH115" s="2" t="n">
        <f aca="false">IF(AC115&gt;Hypothèses!$J$26,MAX(0,BG115)/(1-Hypothèses!$J$26/AC115),0)</f>
        <v>3145.68356457138</v>
      </c>
    </row>
    <row r="116" customFormat="false" ht="15" hidden="false" customHeight="false" outlineLevel="0" collapsed="false">
      <c r="A116" s="2" t="n">
        <v>101</v>
      </c>
      <c r="B116" s="2" t="n">
        <v>0.862313828</v>
      </c>
      <c r="C116" s="2"/>
      <c r="D116" s="2" t="n">
        <v>0.060829877</v>
      </c>
      <c r="E116" s="2" t="n">
        <f aca="false">IF(E$7=E$5,E$6,IF(NORMSDIST(E$9*SQRT($C$11)*NORMSINV($B116)+SQRT(1-E$9^2*$C$11)*NORMSINV(D116))&lt;E$8,E$5+SQRT(NORMSDIST(E$9*SQRT($C$11)*NORMSINV($B116)+SQRT(1-E$9^2*$C$11)*NORMSINV(D116))*(E$7-E$5)*(E$6-E$5)),E$7-SQRT((1-NORMSDIST(E$9*SQRT($C$11)*NORMSINV($B116)+SQRT(1-E$9^2*$C$11)*NORMSINV(D116)))*(E$7-E$5)*(E$7-E$6))))</f>
        <v>0.0539073321113934</v>
      </c>
      <c r="F116" s="2" t="n">
        <v>0.988199577</v>
      </c>
      <c r="G116" s="2" t="n">
        <f aca="false">IF(G$7=G$5,G$6,IF(NORMSDIST(G$9*SQRT($C$11)*NORMSINV($B116)+SQRT(1-G$9^2*$C$11)*NORMSINV(F116))&lt;G$8,G$5+SQRT(NORMSDIST(G$9*SQRT($C$11)*NORMSINV($B116)+SQRT(1-G$9^2*$C$11)*NORMSINV(F116))*(G$7-G$5)*(G$6-G$5)),G$7-SQRT((1-NORMSDIST(G$9*SQRT($C$11)*NORMSINV($B116)+SQRT(1-G$9^2*$C$11)*NORMSINV(F116)))*(G$7-G$5)*(G$7-G$6))))</f>
        <v>0.0681902137826951</v>
      </c>
      <c r="H116" s="2" t="n">
        <v>0.894163527</v>
      </c>
      <c r="I116" s="2" t="n">
        <f aca="false">IF(I$7=I$5,I$6,IF(NORMSDIST(I$9*SQRT($C$11)*NORMSINV($B116)+SQRT(1-I$9^2*$C$11)*NORMSINV(H116))&lt;I$8,I$5+SQRT(NORMSDIST(I$9*SQRT($C$11)*NORMSINV($B116)+SQRT(1-I$9^2*$C$11)*NORMSINV(H116))*(I$7-I$5)*(I$6-I$5)),I$7-SQRT((1-NORMSDIST(I$9*SQRT($C$11)*NORMSINV($B116)+SQRT(1-I$9^2*$C$11)*NORMSINV(H116)))*(I$7-I$5)*(I$7-I$6))))</f>
        <v>213.756453826499</v>
      </c>
      <c r="J116" s="2" t="n">
        <v>0.305548775</v>
      </c>
      <c r="K116" s="2" t="n">
        <f aca="false">IF(K$7=K$5,K$6,IF(NORMSDIST(K$9*SQRT($C$11)*NORMSINV($B116)+SQRT(1-K$9^2*$C$11)*NORMSINV(J116))&lt;K$8,K$5+SQRT(NORMSDIST(K$9*SQRT($C$11)*NORMSINV($B116)+SQRT(1-K$9^2*$C$11)*NORMSINV(J116))*(K$7-K$5)*(K$6-K$5)),K$7-SQRT((1-NORMSDIST(K$9*SQRT($C$11)*NORMSINV($B116)+SQRT(1-K$9^2*$C$11)*NORMSINV(J116)))*(K$7-K$5)*(K$7-K$6))))</f>
        <v>0.281018414725948</v>
      </c>
      <c r="L116" s="2" t="n">
        <v>0.354024717</v>
      </c>
      <c r="M116" s="2" t="n">
        <f aca="false">IF(M$7=M$5,M$6,IF(NORMSDIST(M$9*SQRT($C$11)*NORMSINV($B116)+SQRT(1-M$9^2*$C$11)*NORMSINV(L116))&lt;M$8,M$5+SQRT(NORMSDIST(M$9*SQRT($C$11)*NORMSINV($B116)+SQRT(1-M$9^2*$C$11)*NORMSINV(L116))*(M$7-M$5)*(M$6-M$5)),M$7-SQRT((1-NORMSDIST(M$9*SQRT($C$11)*NORMSINV($B116)+SQRT(1-M$9^2*$C$11)*NORMSINV(L116)))*(M$7-M$5)*(M$7-M$6))))</f>
        <v>1626.22222657847</v>
      </c>
      <c r="N116" s="2" t="n">
        <v>0.196817951</v>
      </c>
      <c r="O116" s="2" t="n">
        <f aca="false">IF(O$7=O$5,O$6,IF(NORMSDIST(O$9*SQRT($C$11)*NORMSINV($B116)+SQRT(1-O$9^2*$C$11)*NORMSINV(N116))&lt;O$8,O$5+SQRT(NORMSDIST(O$9*SQRT($C$11)*NORMSINV($B116)+SQRT(1-O$9^2*$C$11)*NORMSINV(N116))*(O$7-O$5)*(O$6-O$5)),O$7-SQRT((1-NORMSDIST(O$9*SQRT($C$11)*NORMSINV($B116)+SQRT(1-O$9^2*$C$11)*NORMSINV(N116)))*(O$7-O$5)*(O$7-O$6))))</f>
        <v>0.167093638612183</v>
      </c>
      <c r="P116" s="2" t="n">
        <v>0.48864385</v>
      </c>
      <c r="Q116" s="2" t="n">
        <f aca="false">IF(Q$7=Q$5,Q$6,IF(NORMSDIST(Q$9*SQRT($C$11)*NORMSINV($B116)+SQRT(1-Q$9^2*$C$11)*NORMSINV(P116))&lt;Q$8,Q$5+SQRT(NORMSDIST(Q$9*SQRT($C$11)*NORMSINV($B116)+SQRT(1-Q$9^2*$C$11)*NORMSINV(P116))*(Q$7-Q$5)*(Q$6-Q$5)),Q$7-SQRT((1-NORMSDIST(Q$9*SQRT($C$11)*NORMSINV($B116)+SQRT(1-Q$9^2*$C$11)*NORMSINV(P116)))*(Q$7-Q$5)*(Q$7-Q$6))))</f>
        <v>0.0795431450443689</v>
      </c>
      <c r="R116" s="2" t="n">
        <v>0.727806717</v>
      </c>
      <c r="S116" s="2" t="n">
        <f aca="false">IF(S$7=S$5,S$6,IF(NORMSDIST(S$9*SQRT($C$11)*NORMSINV($B116)+SQRT(1-S$9^2*$C$11)*NORMSINV(R116))&lt;S$8,S$5+SQRT(NORMSDIST(S$9*SQRT($C$11)*NORMSINV($B116)+SQRT(1-S$9^2*$C$11)*NORMSINV(R116))*(S$7-S$5)*(S$6-S$5)),S$7-SQRT((1-NORMSDIST(S$9*SQRT($C$11)*NORMSINV($B116)+SQRT(1-S$9^2*$C$11)*NORMSINV(R116)))*(S$7-S$5)*(S$7-S$6))))</f>
        <v>0.751864676838846</v>
      </c>
      <c r="T116" s="2" t="n">
        <v>0.993928222</v>
      </c>
      <c r="U116" s="2" t="n">
        <f aca="false">IF(U$7=U$5,U$6,IF(NORMSDIST(U$9*SQRT($C$11)*NORMSINV($B116)+SQRT(1-U$9^2*$C$11)*NORMSINV(T116))&lt;U$8,U$5+SQRT(NORMSDIST(U$9*SQRT($C$11)*NORMSINV($B116)+SQRT(1-U$9^2*$C$11)*NORMSINV(T116))*(U$7-U$5)*(U$6-U$5)),U$7-SQRT((1-NORMSDIST(U$9*SQRT($C$11)*NORMSINV($B116)+SQRT(1-U$9^2*$C$11)*NORMSINV(T116)))*(U$7-U$5)*(U$7-U$6))))</f>
        <v>0.953968474719384</v>
      </c>
      <c r="V116" s="2" t="n">
        <v>0.25116129</v>
      </c>
      <c r="W116" s="2" t="n">
        <f aca="false">IF(W$7=W$5,W$6,IF(NORMSDIST(W$9*SQRT($C$11)*NORMSINV($B116)+SQRT(1-W$9^2*$C$11)*NORMSINV(V116))&lt;W$8,W$5+SQRT(NORMSDIST(W$9*SQRT($C$11)*NORMSINV($B116)+SQRT(1-W$9^2*$C$11)*NORMSINV(V116))*(W$7-W$5)*(W$6-W$5)),W$7-SQRT((1-NORMSDIST(W$9*SQRT($C$11)*NORMSINV($B116)+SQRT(1-W$9^2*$C$11)*NORMSINV(V116)))*(W$7-W$5)*(W$7-W$6))))</f>
        <v>10.140080935456</v>
      </c>
      <c r="X116" s="2" t="n">
        <v>0.709869175</v>
      </c>
      <c r="Y116" s="2" t="n">
        <f aca="false">IF(Y$7=Y$5,Y$6,IF(NORMSDIST(Y$9*SQRT($C$11)*NORMSINV($B116)+SQRT(1-Y$9^2*$C$11)*NORMSINV(X116))&lt;Y$8,Y$5+SQRT(NORMSDIST(Y$9*SQRT($C$11)*NORMSINV($B116)+SQRT(1-Y$9^2*$C$11)*NORMSINV(X116))*(Y$7-Y$5)*(Y$6-Y$5)),Y$7-SQRT((1-NORMSDIST(Y$9*SQRT($C$11)*NORMSINV($B116)+SQRT(1-Y$9^2*$C$11)*NORMSINV(X116)))*(Y$7-Y$5)*(Y$7-Y$6))))</f>
        <v>0.619125463571008</v>
      </c>
      <c r="Z116" s="2" t="n">
        <v>0.35756391</v>
      </c>
      <c r="AA116" s="2" t="n">
        <f aca="false">IF(AA$7=AA$5,AA$6,IF(NORMSDIST(AA$9*SQRT($C$11)*NORMSINV($B116)+SQRT(1-AA$9^2*$C$11)*NORMSINV(Z116))&lt;AA$8,AA$5+SQRT(NORMSDIST(AA$9*SQRT($C$11)*NORMSINV($B116)+SQRT(1-AA$9^2*$C$11)*NORMSINV(Z116))*(AA$7-AA$5)*(AA$6-AA$5)),AA$7-SQRT((1-NORMSDIST(AA$9*SQRT($C$11)*NORMSINV($B116)+SQRT(1-AA$9^2*$C$11)*NORMSINV(Z116)))*(AA$7-AA$5)*(AA$7-AA$6))))</f>
        <v>0.732904891976329</v>
      </c>
      <c r="AB116" s="2" t="n">
        <v>0.799640434</v>
      </c>
      <c r="AC116" s="2" t="n">
        <f aca="false">IF(AC$7=AC$5,AC$6,IF(NORMSDIST(AC$9*SQRT($C$11)*NORMSINV($B116)+SQRT(1-AC$9^2*$C$11)*NORMSINV(AB116))&lt;AC$8,AC$5+SQRT(NORMSDIST(AC$9*SQRT($C$11)*NORMSINV($B116)+SQRT(1-AC$9^2*$C$11)*NORMSINV(AB116))*(AC$7-AC$5)*(AC$6-AC$5)),AC$7-SQRT((1-NORMSDIST(AC$9*SQRT($C$11)*NORMSINV($B116)+SQRT(1-AC$9^2*$C$11)*NORMSINV(AB116)))*(AC$7-AC$5)*(AC$7-AC$6))))</f>
        <v>10.3764806707312</v>
      </c>
      <c r="AD116" s="2" t="n">
        <f aca="false">Entrées!$C$8*(1+E116)</f>
        <v>7430.04669138532</v>
      </c>
      <c r="AE116" s="2" t="n">
        <f aca="false">I116*Hypothèses!$J$24/12/Hypothèses!$J$19</f>
        <v>106.04389258918</v>
      </c>
      <c r="AF116" s="2" t="n">
        <f aca="false">Entrées!$C$36*S116*1000</f>
        <v>375.932338419423</v>
      </c>
      <c r="AG116" s="2" t="n">
        <f aca="false">-AF116/W116</f>
        <v>-37.0738991939334</v>
      </c>
      <c r="AH116" s="2" t="n">
        <f aca="false">AD116+AE116+AG116</f>
        <v>7499.01668478057</v>
      </c>
      <c r="AI116" s="2" t="n">
        <f aca="false">Entrées!$C$16-M116+Hypothèses!$J$22*1000-AF116+Hypothèses!$J$23</f>
        <v>22545.8454350021</v>
      </c>
      <c r="AJ116" s="2" t="n">
        <f aca="false">AI116/AH116</f>
        <v>3.0065069038664</v>
      </c>
      <c r="AK116" s="2" t="n">
        <f aca="false">AI116/(AH116+I116*(12-Hypothèses!$J$24)/12/Hypothèses!$J$19)</f>
        <v>2.97644262295804</v>
      </c>
      <c r="AL116" s="2" t="n">
        <f aca="false">(AD116+AG116+I116/Hypothèses!$J$19)*(1+G116)</f>
        <v>8091.28698445803</v>
      </c>
      <c r="AM116" s="2" t="n">
        <f aca="false">Entrées!$C$54*K116/Hypothèses!$J$19</f>
        <v>28.6791091428582</v>
      </c>
      <c r="AN116" s="2" t="n">
        <f aca="false">Y116*1000/AC116</f>
        <v>59.6662281959787</v>
      </c>
      <c r="AO116" s="2" t="n">
        <f aca="false">(Entrées!$C$36*(1-S116)+MAX(0,Entrées!$C$30-Entrées!$C$35-Entrées!$C$36)*U116)*1000</f>
        <v>1459.62352618771</v>
      </c>
      <c r="AP116" s="2" t="n">
        <f aca="false">-AO116/W116</f>
        <v>-143.945944364602</v>
      </c>
      <c r="AQ116" s="2" t="n">
        <f aca="false">AL116+AM116+AN116+AP116</f>
        <v>8035.68637743227</v>
      </c>
      <c r="AR116" s="2" t="n">
        <f aca="false">O116*AQ116-Hypothèses!$J$25/Hypothèses!$J$19</f>
        <v>1323.57691328989</v>
      </c>
      <c r="AS116" s="2" t="n">
        <f aca="false">Entrées!$C$79*(1+Q116)+Hypothèses!$J$20</f>
        <v>1481.41791640376</v>
      </c>
      <c r="AT116" s="2" t="n">
        <f aca="false">AI116-AR116+AS116+Y116*1000-AO116+Hypothèses!$J$23</f>
        <v>21863.1883754993</v>
      </c>
      <c r="AU116" s="2" t="n">
        <f aca="false">AT116/AQ116</f>
        <v>2.7207617804623</v>
      </c>
      <c r="AV116" s="2" t="n">
        <f aca="false">Hypothèses!$J$26*AQ116-AT116</f>
        <v>2243.87075679752</v>
      </c>
      <c r="AW116" s="2" t="n">
        <f aca="false">IF(AC116&gt;Hypothèses!$J$26,MAX(0,AV116)/(1-Hypothèses!$J$26/AC116),0)</f>
        <v>3156.44852536711</v>
      </c>
      <c r="AX116" s="2" t="n">
        <f aca="false">AQ116-Entrées!$C$17*1000</f>
        <v>35.6863774322655</v>
      </c>
      <c r="AY116" s="2" t="n">
        <f aca="false">AI116+(Entrées!$C$244-Entrées!$C$13)</f>
        <v>28292.8454350021</v>
      </c>
      <c r="AZ116" s="2" t="n">
        <f aca="false">AA116*AH116</f>
        <v>5496.06601328779</v>
      </c>
      <c r="BA116" s="2" t="n">
        <f aca="false">AZ116/AY116</f>
        <v>0.19425638986768</v>
      </c>
      <c r="BB116" s="2" t="n">
        <f aca="false">AZ116/(Entrées!$C$151/100)-AY116</f>
        <v>2240.85463881894</v>
      </c>
      <c r="BC116" s="2" t="n">
        <f aca="false">AT116+(Entrées!$C$244-Entrées!$C$13)</f>
        <v>27610.1883754993</v>
      </c>
      <c r="BD116" s="2" t="n">
        <f aca="false">AA116*AQ116</f>
        <v>5889.39385640765</v>
      </c>
      <c r="BE116" s="2" t="n">
        <f aca="false">BD116/BC116</f>
        <v>0.213305095072578</v>
      </c>
      <c r="BF116" s="2" t="n">
        <f aca="false">BD116/(Entrées!$C$151/100)-BC116</f>
        <v>5108.666382321</v>
      </c>
      <c r="BG116" s="2" t="n">
        <f aca="false">MIN(AV116,BF116)</f>
        <v>2243.87075679752</v>
      </c>
      <c r="BH116" s="2" t="n">
        <f aca="false">IF(AC116&gt;Hypothèses!$J$26,MAX(0,BG116)/(1-Hypothèses!$J$26/AC116),0)</f>
        <v>3156.44852536711</v>
      </c>
    </row>
    <row r="117" customFormat="false" ht="15" hidden="false" customHeight="false" outlineLevel="0" collapsed="false">
      <c r="A117" s="2" t="n">
        <v>102</v>
      </c>
      <c r="B117" s="2" t="n">
        <v>0.482153449</v>
      </c>
      <c r="C117" s="2"/>
      <c r="D117" s="2" t="n">
        <v>0.62413833</v>
      </c>
      <c r="E117" s="2" t="n">
        <f aca="false">IF(E$7=E$5,E$6,IF(NORMSDIST(E$9*SQRT($C$11)*NORMSINV($B117)+SQRT(1-E$9^2*$C$11)*NORMSINV(D117))&lt;E$8,E$5+SQRT(NORMSDIST(E$9*SQRT($C$11)*NORMSINV($B117)+SQRT(1-E$9^2*$C$11)*NORMSINV(D117))*(E$7-E$5)*(E$6-E$5)),E$7-SQRT((1-NORMSDIST(E$9*SQRT($C$11)*NORMSINV($B117)+SQRT(1-E$9^2*$C$11)*NORMSINV(D117)))*(E$7-E$5)*(E$7-E$6))))</f>
        <v>0.0554491785679859</v>
      </c>
      <c r="F117" s="2" t="n">
        <v>0.683580523</v>
      </c>
      <c r="G117" s="2" t="n">
        <f aca="false">IF(G$7=G$5,G$6,IF(NORMSDIST(G$9*SQRT($C$11)*NORMSINV($B117)+SQRT(1-G$9^2*$C$11)*NORMSINV(F117))&lt;G$8,G$5+SQRT(NORMSDIST(G$9*SQRT($C$11)*NORMSINV($B117)+SQRT(1-G$9^2*$C$11)*NORMSINV(F117))*(G$7-G$5)*(G$6-G$5)),G$7-SQRT((1-NORMSDIST(G$9*SQRT($C$11)*NORMSINV($B117)+SQRT(1-G$9^2*$C$11)*NORMSINV(F117)))*(G$7-G$5)*(G$7-G$6))))</f>
        <v>0.0571617236519739</v>
      </c>
      <c r="H117" s="2" t="n">
        <v>0.976911471</v>
      </c>
      <c r="I117" s="2" t="n">
        <f aca="false">IF(I$7=I$5,I$6,IF(NORMSDIST(I$9*SQRT($C$11)*NORMSINV($B117)+SQRT(1-I$9^2*$C$11)*NORMSINV(H117))&lt;I$8,I$5+SQRT(NORMSDIST(I$9*SQRT($C$11)*NORMSINV($B117)+SQRT(1-I$9^2*$C$11)*NORMSINV(H117))*(I$7-I$5)*(I$6-I$5)),I$7-SQRT((1-NORMSDIST(I$9*SQRT($C$11)*NORMSINV($B117)+SQRT(1-I$9^2*$C$11)*NORMSINV(H117)))*(I$7-I$5)*(I$7-I$6))))</f>
        <v>212.802707385776</v>
      </c>
      <c r="J117" s="2" t="n">
        <v>0.555031738</v>
      </c>
      <c r="K117" s="2" t="n">
        <f aca="false">IF(K$7=K$5,K$6,IF(NORMSDIST(K$9*SQRT($C$11)*NORMSINV($B117)+SQRT(1-K$9^2*$C$11)*NORMSINV(J117))&lt;K$8,K$5+SQRT(NORMSDIST(K$9*SQRT($C$11)*NORMSINV($B117)+SQRT(1-K$9^2*$C$11)*NORMSINV(J117))*(K$7-K$5)*(K$6-K$5)),K$7-SQRT((1-NORMSDIST(K$9*SQRT($C$11)*NORMSINV($B117)+SQRT(1-K$9^2*$C$11)*NORMSINV(J117)))*(K$7-K$5)*(K$7-K$6))))</f>
        <v>0.257987594893333</v>
      </c>
      <c r="L117" s="2" t="n">
        <v>0.201447822</v>
      </c>
      <c r="M117" s="2" t="n">
        <f aca="false">IF(M$7=M$5,M$6,IF(NORMSDIST(M$9*SQRT($C$11)*NORMSINV($B117)+SQRT(1-M$9^2*$C$11)*NORMSINV(L117))&lt;M$8,M$5+SQRT(NORMSDIST(M$9*SQRT($C$11)*NORMSINV($B117)+SQRT(1-M$9^2*$C$11)*NORMSINV(L117))*(M$7-M$5)*(M$6-M$5)),M$7-SQRT((1-NORMSDIST(M$9*SQRT($C$11)*NORMSINV($B117)+SQRT(1-M$9^2*$C$11)*NORMSINV(L117)))*(M$7-M$5)*(M$7-M$6))))</f>
        <v>1502.49129968194</v>
      </c>
      <c r="N117" s="2" t="n">
        <v>0.77715829</v>
      </c>
      <c r="O117" s="2" t="n">
        <f aca="false">IF(O$7=O$5,O$6,IF(NORMSDIST(O$9*SQRT($C$11)*NORMSINV($B117)+SQRT(1-O$9^2*$C$11)*NORMSINV(N117))&lt;O$8,O$5+SQRT(NORMSDIST(O$9*SQRT($C$11)*NORMSINV($B117)+SQRT(1-O$9^2*$C$11)*NORMSINV(N117))*(O$7-O$5)*(O$6-O$5)),O$7-SQRT((1-NORMSDIST(O$9*SQRT($C$11)*NORMSINV($B117)+SQRT(1-O$9^2*$C$11)*NORMSINV(N117)))*(O$7-O$5)*(O$7-O$6))))</f>
        <v>0.172518204716119</v>
      </c>
      <c r="P117" s="2" t="n">
        <v>0.00889628</v>
      </c>
      <c r="Q117" s="2" t="n">
        <f aca="false">IF(Q$7=Q$5,Q$6,IF(NORMSDIST(Q$9*SQRT($C$11)*NORMSINV($B117)+SQRT(1-Q$9^2*$C$11)*NORMSINV(P117))&lt;Q$8,Q$5+SQRT(NORMSDIST(Q$9*SQRT($C$11)*NORMSINV($B117)+SQRT(1-Q$9^2*$C$11)*NORMSINV(P117))*(Q$7-Q$5)*(Q$6-Q$5)),Q$7-SQRT((1-NORMSDIST(Q$9*SQRT($C$11)*NORMSINV($B117)+SQRT(1-Q$9^2*$C$11)*NORMSINV(P117)))*(Q$7-Q$5)*(Q$7-Q$6))))</f>
        <v>0.04533555020593</v>
      </c>
      <c r="R117" s="2" t="n">
        <v>0.596136466</v>
      </c>
      <c r="S117" s="2" t="n">
        <f aca="false">IF(S$7=S$5,S$6,IF(NORMSDIST(S$9*SQRT($C$11)*NORMSINV($B117)+SQRT(1-S$9^2*$C$11)*NORMSINV(R117))&lt;S$8,S$5+SQRT(NORMSDIST(S$9*SQRT($C$11)*NORMSINV($B117)+SQRT(1-S$9^2*$C$11)*NORMSINV(R117))*(S$7-S$5)*(S$6-S$5)),S$7-SQRT((1-NORMSDIST(S$9*SQRT($C$11)*NORMSINV($B117)+SQRT(1-S$9^2*$C$11)*NORMSINV(R117)))*(S$7-S$5)*(S$7-S$6))))</f>
        <v>0.532902304124587</v>
      </c>
      <c r="T117" s="2" t="n">
        <v>0.281968599</v>
      </c>
      <c r="U117" s="2" t="n">
        <f aca="false">IF(U$7=U$5,U$6,IF(NORMSDIST(U$9*SQRT($C$11)*NORMSINV($B117)+SQRT(1-U$9^2*$C$11)*NORMSINV(T117))&lt;U$8,U$5+SQRT(NORMSDIST(U$9*SQRT($C$11)*NORMSINV($B117)+SQRT(1-U$9^2*$C$11)*NORMSINV(T117))*(U$7-U$5)*(U$6-U$5)),U$7-SQRT((1-NORMSDIST(U$9*SQRT($C$11)*NORMSINV($B117)+SQRT(1-U$9^2*$C$11)*NORMSINV(T117)))*(U$7-U$5)*(U$7-U$6))))</f>
        <v>0.398312355901972</v>
      </c>
      <c r="V117" s="2" t="n">
        <v>0.721916034</v>
      </c>
      <c r="W117" s="2" t="n">
        <f aca="false">IF(W$7=W$5,W$6,IF(NORMSDIST(W$9*SQRT($C$11)*NORMSINV($B117)+SQRT(1-W$9^2*$C$11)*NORMSINV(V117))&lt;W$8,W$5+SQRT(NORMSDIST(W$9*SQRT($C$11)*NORMSINV($B117)+SQRT(1-W$9^2*$C$11)*NORMSINV(V117))*(W$7-W$5)*(W$6-W$5)),W$7-SQRT((1-NORMSDIST(W$9*SQRT($C$11)*NORMSINV($B117)+SQRT(1-W$9^2*$C$11)*NORMSINV(V117)))*(W$7-W$5)*(W$7-W$6))))</f>
        <v>10.3642053733375</v>
      </c>
      <c r="X117" s="2" t="n">
        <v>0.448132284</v>
      </c>
      <c r="Y117" s="2" t="n">
        <f aca="false">IF(Y$7=Y$5,Y$6,IF(NORMSDIST(Y$9*SQRT($C$11)*NORMSINV($B117)+SQRT(1-Y$9^2*$C$11)*NORMSINV(X117))&lt;Y$8,Y$5+SQRT(NORMSDIST(Y$9*SQRT($C$11)*NORMSINV($B117)+SQRT(1-Y$9^2*$C$11)*NORMSINV(X117))*(Y$7-Y$5)*(Y$6-Y$5)),Y$7-SQRT((1-NORMSDIST(Y$9*SQRT($C$11)*NORMSINV($B117)+SQRT(1-Y$9^2*$C$11)*NORMSINV(X117)))*(Y$7-Y$5)*(Y$7-Y$6))))</f>
        <v>0.473356252731492</v>
      </c>
      <c r="Z117" s="2" t="n">
        <v>0.752702949</v>
      </c>
      <c r="AA117" s="2" t="n">
        <f aca="false">IF(AA$7=AA$5,AA$6,IF(NORMSDIST(AA$9*SQRT($C$11)*NORMSINV($B117)+SQRT(1-AA$9^2*$C$11)*NORMSINV(Z117))&lt;AA$8,AA$5+SQRT(NORMSDIST(AA$9*SQRT($C$11)*NORMSINV($B117)+SQRT(1-AA$9^2*$C$11)*NORMSINV(Z117))*(AA$7-AA$5)*(AA$6-AA$5)),AA$7-SQRT((1-NORMSDIST(AA$9*SQRT($C$11)*NORMSINV($B117)+SQRT(1-AA$9^2*$C$11)*NORMSINV(Z117)))*(AA$7-AA$5)*(AA$7-AA$6))))</f>
        <v>0.73396418125554</v>
      </c>
      <c r="AB117" s="2" t="n">
        <v>0.609543082</v>
      </c>
      <c r="AC117" s="2" t="n">
        <f aca="false">IF(AC$7=AC$5,AC$6,IF(NORMSDIST(AC$9*SQRT($C$11)*NORMSINV($B117)+SQRT(1-AC$9^2*$C$11)*NORMSINV(AB117))&lt;AC$8,AC$5+SQRT(NORMSDIST(AC$9*SQRT($C$11)*NORMSINV($B117)+SQRT(1-AC$9^2*$C$11)*NORMSINV(AB117))*(AC$7-AC$5)*(AC$6-AC$5)),AC$7-SQRT((1-NORMSDIST(AC$9*SQRT($C$11)*NORMSINV($B117)+SQRT(1-AC$9^2*$C$11)*NORMSINV(AB117)))*(AC$7-AC$5)*(AC$7-AC$6))))</f>
        <v>9.62739396151068</v>
      </c>
      <c r="AD117" s="2" t="n">
        <f aca="false">Entrées!$C$8*(1+E117)</f>
        <v>7440.9167089043</v>
      </c>
      <c r="AE117" s="2" t="n">
        <f aca="false">I117*Hypothèses!$J$24/12/Hypothèses!$J$19</f>
        <v>105.570742032522</v>
      </c>
      <c r="AF117" s="2" t="n">
        <f aca="false">Entrées!$C$36*S117*1000</f>
        <v>266.451152062294</v>
      </c>
      <c r="AG117" s="2" t="n">
        <f aca="false">-AF117/W117</f>
        <v>-25.7087873565063</v>
      </c>
      <c r="AH117" s="2" t="n">
        <f aca="false">AD117+AE117+AG117</f>
        <v>7520.77866358032</v>
      </c>
      <c r="AI117" s="2" t="n">
        <f aca="false">Entrées!$C$16-M117+Hypothèses!$J$22*1000-AF117+Hypothèses!$J$23</f>
        <v>22779.0575482558</v>
      </c>
      <c r="AJ117" s="2" t="n">
        <f aca="false">AI117/AH117</f>
        <v>3.02881637224139</v>
      </c>
      <c r="AK117" s="2" t="n">
        <f aca="false">AI117/(AH117+I117*(12-Hypothèses!$J$24)/12/Hypothèses!$J$19)</f>
        <v>2.99874918008782</v>
      </c>
      <c r="AL117" s="2" t="n">
        <f aca="false">(AD117+AG117+I117/Hypothèses!$J$19)*(1+G117)</f>
        <v>8030.39744063436</v>
      </c>
      <c r="AM117" s="2" t="n">
        <f aca="false">Entrées!$C$54*K117/Hypothèses!$J$19</f>
        <v>26.3287172787763</v>
      </c>
      <c r="AN117" s="2" t="n">
        <f aca="false">Y117*1000/AC117</f>
        <v>49.1676412769563</v>
      </c>
      <c r="AO117" s="2" t="n">
        <f aca="false">(Entrées!$C$36*(1-S117)+MAX(0,Entrées!$C$30-Entrées!$C$35-Entrées!$C$36)*U117)*1000</f>
        <v>791.186146200467</v>
      </c>
      <c r="AP117" s="2" t="n">
        <f aca="false">-AO117/W117</f>
        <v>-76.3383315652773</v>
      </c>
      <c r="AQ117" s="2" t="n">
        <f aca="false">AL117+AM117+AN117+AP117</f>
        <v>8029.55546762481</v>
      </c>
      <c r="AR117" s="2" t="n">
        <f aca="false">O117*AQ117-Hypothèses!$J$25/Hypothèses!$J$19</f>
        <v>1366.10933168151</v>
      </c>
      <c r="AS117" s="2" t="n">
        <f aca="false">Entrées!$C$79*(1+Q117)+Hypothèses!$J$20</f>
        <v>1443.82376967632</v>
      </c>
      <c r="AT117" s="2" t="n">
        <f aca="false">AI117-AR117+AS117+Y117*1000-AO117+Hypothèses!$J$23</f>
        <v>22538.9420927816</v>
      </c>
      <c r="AU117" s="2" t="n">
        <f aca="false">AT117/AQ117</f>
        <v>2.80699749614517</v>
      </c>
      <c r="AV117" s="2" t="n">
        <f aca="false">Hypothèses!$J$26*AQ117-AT117</f>
        <v>1549.72431009284</v>
      </c>
      <c r="AW117" s="2" t="n">
        <f aca="false">IF(AC117&gt;Hypothèses!$J$26,MAX(0,AV117)/(1-Hypothèses!$J$26/AC117),0)</f>
        <v>2251.2327698704</v>
      </c>
      <c r="AX117" s="2" t="n">
        <f aca="false">AQ117-Entrées!$C$17*1000</f>
        <v>29.5554676248112</v>
      </c>
      <c r="AY117" s="2" t="n">
        <f aca="false">AI117+(Entrées!$C$244-Entrées!$C$13)</f>
        <v>28526.0575482558</v>
      </c>
      <c r="AZ117" s="2" t="n">
        <f aca="false">AA117*AH117</f>
        <v>5519.98215421886</v>
      </c>
      <c r="BA117" s="2" t="n">
        <f aca="false">AZ117/AY117</f>
        <v>0.193506661230037</v>
      </c>
      <c r="BB117" s="2" t="n">
        <f aca="false">AZ117/(Entrées!$C$151/100)-AY117</f>
        <v>2140.50997518234</v>
      </c>
      <c r="BC117" s="2" t="n">
        <f aca="false">AT117+(Entrées!$C$244-Entrées!$C$13)</f>
        <v>28285.9420927816</v>
      </c>
      <c r="BD117" s="2" t="n">
        <f aca="false">AA117*AQ117</f>
        <v>5893.40610464119</v>
      </c>
      <c r="BE117" s="2" t="n">
        <f aca="false">BD117/BC117</f>
        <v>0.208351063058464</v>
      </c>
      <c r="BF117" s="2" t="n">
        <f aca="false">BD117/(Entrées!$C$151/100)-BC117</f>
        <v>4455.20293300277</v>
      </c>
      <c r="BG117" s="2" t="n">
        <f aca="false">MIN(AV117,BF117)</f>
        <v>1549.72431009284</v>
      </c>
      <c r="BH117" s="2" t="n">
        <f aca="false">IF(AC117&gt;Hypothèses!$J$26,MAX(0,BG117)/(1-Hypothèses!$J$26/AC117),0)</f>
        <v>2251.2327698704</v>
      </c>
    </row>
    <row r="118" customFormat="false" ht="15" hidden="false" customHeight="false" outlineLevel="0" collapsed="false">
      <c r="A118" s="2" t="n">
        <v>103</v>
      </c>
      <c r="B118" s="2" t="n">
        <v>0.295244972</v>
      </c>
      <c r="C118" s="2"/>
      <c r="D118" s="2" t="n">
        <v>0.621835563</v>
      </c>
      <c r="E118" s="2" t="n">
        <f aca="false">IF(E$7=E$5,E$6,IF(NORMSDIST(E$9*SQRT($C$11)*NORMSINV($B118)+SQRT(1-E$9^2*$C$11)*NORMSINV(D118))&lt;E$8,E$5+SQRT(NORMSDIST(E$9*SQRT($C$11)*NORMSINV($B118)+SQRT(1-E$9^2*$C$11)*NORMSINV(D118))*(E$7-E$5)*(E$6-E$5)),E$7-SQRT((1-NORMSDIST(E$9*SQRT($C$11)*NORMSINV($B118)+SQRT(1-E$9^2*$C$11)*NORMSINV(D118)))*(E$7-E$5)*(E$7-E$6))))</f>
        <v>0.0547967713161021</v>
      </c>
      <c r="F118" s="2" t="n">
        <v>0.45695858</v>
      </c>
      <c r="G118" s="2" t="n">
        <f aca="false">IF(G$7=G$5,G$6,IF(NORMSDIST(G$9*SQRT($C$11)*NORMSINV($B118)+SQRT(1-G$9^2*$C$11)*NORMSINV(F118))&lt;G$8,G$5+SQRT(NORMSDIST(G$9*SQRT($C$11)*NORMSINV($B118)+SQRT(1-G$9^2*$C$11)*NORMSINV(F118))*(G$7-G$5)*(G$6-G$5)),G$7-SQRT((1-NORMSDIST(G$9*SQRT($C$11)*NORMSINV($B118)+SQRT(1-G$9^2*$C$11)*NORMSINV(F118)))*(G$7-G$5)*(G$7-G$6))))</f>
        <v>0.0522918739467167</v>
      </c>
      <c r="H118" s="2" t="n">
        <v>0.940561588</v>
      </c>
      <c r="I118" s="2" t="n">
        <f aca="false">IF(I$7=I$5,I$6,IF(NORMSDIST(I$9*SQRT($C$11)*NORMSINV($B118)+SQRT(1-I$9^2*$C$11)*NORMSINV(H118))&lt;I$8,I$5+SQRT(NORMSDIST(I$9*SQRT($C$11)*NORMSINV($B118)+SQRT(1-I$9^2*$C$11)*NORMSINV(H118))*(I$7-I$5)*(I$6-I$5)),I$7-SQRT((1-NORMSDIST(I$9*SQRT($C$11)*NORMSINV($B118)+SQRT(1-I$9^2*$C$11)*NORMSINV(H118)))*(I$7-I$5)*(I$7-I$6))))</f>
        <v>207.580857673923</v>
      </c>
      <c r="J118" s="2" t="n">
        <v>0.792504757</v>
      </c>
      <c r="K118" s="2" t="n">
        <f aca="false">IF(K$7=K$5,K$6,IF(NORMSDIST(K$9*SQRT($C$11)*NORMSINV($B118)+SQRT(1-K$9^2*$C$11)*NORMSINV(J118))&lt;K$8,K$5+SQRT(NORMSDIST(K$9*SQRT($C$11)*NORMSINV($B118)+SQRT(1-K$9^2*$C$11)*NORMSINV(J118))*(K$7-K$5)*(K$6-K$5)),K$7-SQRT((1-NORMSDIST(K$9*SQRT($C$11)*NORMSINV($B118)+SQRT(1-K$9^2*$C$11)*NORMSINV(J118)))*(K$7-K$5)*(K$7-K$6))))</f>
        <v>0.280483381418455</v>
      </c>
      <c r="L118" s="2" t="n">
        <v>0.813496918</v>
      </c>
      <c r="M118" s="2" t="n">
        <f aca="false">IF(M$7=M$5,M$6,IF(NORMSDIST(M$9*SQRT($C$11)*NORMSINV($B118)+SQRT(1-M$9^2*$C$11)*NORMSINV(L118))&lt;M$8,M$5+SQRT(NORMSDIST(M$9*SQRT($C$11)*NORMSINV($B118)+SQRT(1-M$9^2*$C$11)*NORMSINV(L118))*(M$7-M$5)*(M$6-M$5)),M$7-SQRT((1-NORMSDIST(M$9*SQRT($C$11)*NORMSINV($B118)+SQRT(1-M$9^2*$C$11)*NORMSINV(L118)))*(M$7-M$5)*(M$7-M$6))))</f>
        <v>1621.59925163741</v>
      </c>
      <c r="N118" s="2" t="n">
        <v>0.584473102</v>
      </c>
      <c r="O118" s="2" t="n">
        <f aca="false">IF(O$7=O$5,O$6,IF(NORMSDIST(O$9*SQRT($C$11)*NORMSINV($B118)+SQRT(1-O$9^2*$C$11)*NORMSINV(N118))&lt;O$8,O$5+SQRT(NORMSDIST(O$9*SQRT($C$11)*NORMSINV($B118)+SQRT(1-O$9^2*$C$11)*NORMSINV(N118))*(O$7-O$5)*(O$6-O$5)),O$7-SQRT((1-NORMSDIST(O$9*SQRT($C$11)*NORMSINV($B118)+SQRT(1-O$9^2*$C$11)*NORMSINV(N118)))*(O$7-O$5)*(O$7-O$6))))</f>
        <v>0.164853591261447</v>
      </c>
      <c r="P118" s="2" t="n">
        <v>0.902301871</v>
      </c>
      <c r="Q118" s="2" t="n">
        <f aca="false">IF(Q$7=Q$5,Q$6,IF(NORMSDIST(Q$9*SQRT($C$11)*NORMSINV($B118)+SQRT(1-Q$9^2*$C$11)*NORMSINV(P118))&lt;Q$8,Q$5+SQRT(NORMSDIST(Q$9*SQRT($C$11)*NORMSINV($B118)+SQRT(1-Q$9^2*$C$11)*NORMSINV(P118))*(Q$7-Q$5)*(Q$6-Q$5)),Q$7-SQRT((1-NORMSDIST(Q$9*SQRT($C$11)*NORMSINV($B118)+SQRT(1-Q$9^2*$C$11)*NORMSINV(P118)))*(Q$7-Q$5)*(Q$7-Q$6))))</f>
        <v>0.102318540422239</v>
      </c>
      <c r="R118" s="2" t="n">
        <v>0.665576771</v>
      </c>
      <c r="S118" s="2" t="n">
        <f aca="false">IF(S$7=S$5,S$6,IF(NORMSDIST(S$9*SQRT($C$11)*NORMSINV($B118)+SQRT(1-S$9^2*$C$11)*NORMSINV(R118))&lt;S$8,S$5+SQRT(NORMSDIST(S$9*SQRT($C$11)*NORMSINV($B118)+SQRT(1-S$9^2*$C$11)*NORMSINV(R118))*(S$7-S$5)*(S$6-S$5)),S$7-SQRT((1-NORMSDIST(S$9*SQRT($C$11)*NORMSINV($B118)+SQRT(1-S$9^2*$C$11)*NORMSINV(R118)))*(S$7-S$5)*(S$7-S$6))))</f>
        <v>0.498197282698089</v>
      </c>
      <c r="T118" s="2" t="n">
        <v>0.652715535</v>
      </c>
      <c r="U118" s="2" t="n">
        <f aca="false">IF(U$7=U$5,U$6,IF(NORMSDIST(U$9*SQRT($C$11)*NORMSINV($B118)+SQRT(1-U$9^2*$C$11)*NORMSINV(T118))&lt;U$8,U$5+SQRT(NORMSDIST(U$9*SQRT($C$11)*NORMSINV($B118)+SQRT(1-U$9^2*$C$11)*NORMSINV(T118))*(U$7-U$5)*(U$6-U$5)),U$7-SQRT((1-NORMSDIST(U$9*SQRT($C$11)*NORMSINV($B118)+SQRT(1-U$9^2*$C$11)*NORMSINV(T118)))*(U$7-U$5)*(U$7-U$6))))</f>
        <v>0.492730673703804</v>
      </c>
      <c r="V118" s="2" t="n">
        <v>0.497796746</v>
      </c>
      <c r="W118" s="2" t="n">
        <f aca="false">IF(W$7=W$5,W$6,IF(NORMSDIST(W$9*SQRT($C$11)*NORMSINV($B118)+SQRT(1-W$9^2*$C$11)*NORMSINV(V118))&lt;W$8,W$5+SQRT(NORMSDIST(W$9*SQRT($C$11)*NORMSINV($B118)+SQRT(1-W$9^2*$C$11)*NORMSINV(V118))*(W$7-W$5)*(W$6-W$5)),W$7-SQRT((1-NORMSDIST(W$9*SQRT($C$11)*NORMSINV($B118)+SQRT(1-W$9^2*$C$11)*NORMSINV(V118)))*(W$7-W$5)*(W$7-W$6))))</f>
        <v>9.7092465898921</v>
      </c>
      <c r="X118" s="2" t="n">
        <v>0.49056735</v>
      </c>
      <c r="Y118" s="2" t="n">
        <f aca="false">IF(Y$7=Y$5,Y$6,IF(NORMSDIST(Y$9*SQRT($C$11)*NORMSINV($B118)+SQRT(1-Y$9^2*$C$11)*NORMSINV(X118))&lt;Y$8,Y$5+SQRT(NORMSDIST(Y$9*SQRT($C$11)*NORMSINV($B118)+SQRT(1-Y$9^2*$C$11)*NORMSINV(X118))*(Y$7-Y$5)*(Y$6-Y$5)),Y$7-SQRT((1-NORMSDIST(Y$9*SQRT($C$11)*NORMSINV($B118)+SQRT(1-Y$9^2*$C$11)*NORMSINV(X118)))*(Y$7-Y$5)*(Y$7-Y$6))))</f>
        <v>0.4952612189542</v>
      </c>
      <c r="Z118" s="2" t="n">
        <v>0.358981348</v>
      </c>
      <c r="AA118" s="2" t="n">
        <f aca="false">IF(AA$7=AA$5,AA$6,IF(NORMSDIST(AA$9*SQRT($C$11)*NORMSINV($B118)+SQRT(1-AA$9^2*$C$11)*NORMSINV(Z118))&lt;AA$8,AA$5+SQRT(NORMSDIST(AA$9*SQRT($C$11)*NORMSINV($B118)+SQRT(1-AA$9^2*$C$11)*NORMSINV(Z118))*(AA$7-AA$5)*(AA$6-AA$5)),AA$7-SQRT((1-NORMSDIST(AA$9*SQRT($C$11)*NORMSINV($B118)+SQRT(1-AA$9^2*$C$11)*NORMSINV(Z118)))*(AA$7-AA$5)*(AA$7-AA$6))))</f>
        <v>0.719264828726609</v>
      </c>
      <c r="AB118" s="2" t="n">
        <v>0.760459547</v>
      </c>
      <c r="AC118" s="2" t="n">
        <f aca="false">IF(AC$7=AC$5,AC$6,IF(NORMSDIST(AC$9*SQRT($C$11)*NORMSINV($B118)+SQRT(1-AC$9^2*$C$11)*NORMSINV(AB118))&lt;AC$8,AC$5+SQRT(NORMSDIST(AC$9*SQRT($C$11)*NORMSINV($B118)+SQRT(1-AC$9^2*$C$11)*NORMSINV(AB118))*(AC$7-AC$5)*(AC$6-AC$5)),AC$7-SQRT((1-NORMSDIST(AC$9*SQRT($C$11)*NORMSINV($B118)+SQRT(1-AC$9^2*$C$11)*NORMSINV(AB118)))*(AC$7-AC$5)*(AC$7-AC$6))))</f>
        <v>9.64309792986029</v>
      </c>
      <c r="AD118" s="2" t="n">
        <f aca="false">Entrées!$C$8*(1+E118)</f>
        <v>7436.31723777852</v>
      </c>
      <c r="AE118" s="2" t="n">
        <f aca="false">I118*Hypothèses!$J$24/12/Hypothèses!$J$19</f>
        <v>102.980199103652</v>
      </c>
      <c r="AF118" s="2" t="n">
        <f aca="false">Entrées!$C$36*S118*1000</f>
        <v>249.098641349045</v>
      </c>
      <c r="AG118" s="2" t="n">
        <f aca="false">-AF118/W118</f>
        <v>-25.6558157260493</v>
      </c>
      <c r="AH118" s="2" t="n">
        <f aca="false">AD118+AE118+AG118</f>
        <v>7513.64162115612</v>
      </c>
      <c r="AI118" s="2" t="n">
        <f aca="false">Entrées!$C$16-M118+Hypothèses!$J$22*1000-AF118+Hypothèses!$J$23</f>
        <v>22677.3021070135</v>
      </c>
      <c r="AJ118" s="2" t="n">
        <f aca="false">AI118/AH118</f>
        <v>3.01815061862429</v>
      </c>
      <c r="AK118" s="2" t="n">
        <f aca="false">AI118/(AH118+I118*(12-Hypothèses!$J$24)/12/Hypothèses!$J$19)</f>
        <v>2.98888989036419</v>
      </c>
      <c r="AL118" s="2" t="n">
        <f aca="false">(AD118+AG118+I118/Hypothèses!$J$19)*(1+G118)</f>
        <v>7983.94775504341</v>
      </c>
      <c r="AM118" s="2" t="n">
        <f aca="false">Entrées!$C$54*K118/Hypothèses!$J$19</f>
        <v>28.6245067473688</v>
      </c>
      <c r="AN118" s="2" t="n">
        <f aca="false">Y118*1000/AC118</f>
        <v>51.3591402427431</v>
      </c>
      <c r="AO118" s="2" t="n">
        <f aca="false">(Entrées!$C$36*(1-S118)+MAX(0,Entrées!$C$30-Entrées!$C$35-Entrées!$C$36)*U118)*1000</f>
        <v>940.724301836281</v>
      </c>
      <c r="AP118" s="2" t="n">
        <f aca="false">-AO118/W118</f>
        <v>-96.8895261982151</v>
      </c>
      <c r="AQ118" s="2" t="n">
        <f aca="false">AL118+AM118+AN118+AP118</f>
        <v>7967.04187583531</v>
      </c>
      <c r="AR118" s="2" t="n">
        <f aca="false">O118*AQ118-Hypothèses!$J$25/Hypothèses!$J$19</f>
        <v>1294.26030270016</v>
      </c>
      <c r="AS118" s="2" t="n">
        <f aca="false">Entrées!$C$79*(1+Q118)+Hypothèses!$J$20</f>
        <v>1506.44807592404</v>
      </c>
      <c r="AT118" s="2" t="n">
        <f aca="false">AI118-AR118+AS118+Y118*1000-AO118+Hypothèses!$J$23</f>
        <v>22444.0267973554</v>
      </c>
      <c r="AU118" s="2" t="n">
        <f aca="false">AT118/AQ118</f>
        <v>2.81710917893251</v>
      </c>
      <c r="AV118" s="2" t="n">
        <f aca="false">Hypothèses!$J$26*AQ118-AT118</f>
        <v>1457.09883015058</v>
      </c>
      <c r="AW118" s="2" t="n">
        <f aca="false">IF(AC118&gt;Hypothèses!$J$26,MAX(0,AV118)/(1-Hypothèses!$J$26/AC118),0)</f>
        <v>2115.11961150969</v>
      </c>
      <c r="AX118" s="2" t="n">
        <f aca="false">AQ118-Entrées!$C$17*1000</f>
        <v>-32.9581241646893</v>
      </c>
      <c r="AY118" s="2" t="n">
        <f aca="false">AI118+(Entrées!$C$244-Entrées!$C$13)</f>
        <v>28424.3021070135</v>
      </c>
      <c r="AZ118" s="2" t="n">
        <f aca="false">AA118*AH118</f>
        <v>5404.29815375398</v>
      </c>
      <c r="BA118" s="2" t="n">
        <f aca="false">AZ118/AY118</f>
        <v>0.190129493185358</v>
      </c>
      <c r="BB118" s="2" t="n">
        <f aca="false">AZ118/(Entrées!$C$151/100)-AY118</f>
        <v>1599.57652495299</v>
      </c>
      <c r="BC118" s="2" t="n">
        <f aca="false">AT118+(Entrées!$C$244-Entrées!$C$13)</f>
        <v>28191.0267973554</v>
      </c>
      <c r="BD118" s="2" t="n">
        <f aca="false">AA118*AQ118</f>
        <v>5730.4130102804</v>
      </c>
      <c r="BE118" s="2" t="n">
        <f aca="false">BD118/BC118</f>
        <v>0.203270815620593</v>
      </c>
      <c r="BF118" s="2" t="n">
        <f aca="false">BD118/(Entrées!$C$151/100)-BC118</f>
        <v>3644.60103753578</v>
      </c>
      <c r="BG118" s="2" t="n">
        <f aca="false">MIN(AV118,BF118)</f>
        <v>1457.09883015058</v>
      </c>
      <c r="BH118" s="2" t="n">
        <f aca="false">IF(AC118&gt;Hypothèses!$J$26,MAX(0,BG118)/(1-Hypothèses!$J$26/AC118),0)</f>
        <v>2115.11961150969</v>
      </c>
    </row>
    <row r="119" customFormat="false" ht="15" hidden="false" customHeight="false" outlineLevel="0" collapsed="false">
      <c r="A119" s="2" t="n">
        <v>104</v>
      </c>
      <c r="B119" s="2" t="n">
        <v>0.901695852</v>
      </c>
      <c r="C119" s="2"/>
      <c r="D119" s="2" t="n">
        <v>0.437259373</v>
      </c>
      <c r="E119" s="2" t="n">
        <f aca="false">IF(E$7=E$5,E$6,IF(NORMSDIST(E$9*SQRT($C$11)*NORMSINV($B119)+SQRT(1-E$9^2*$C$11)*NORMSINV(D119))&lt;E$8,E$5+SQRT(NORMSDIST(E$9*SQRT($C$11)*NORMSINV($B119)+SQRT(1-E$9^2*$C$11)*NORMSINV(D119))*(E$7-E$5)*(E$6-E$5)),E$7-SQRT((1-NORMSDIST(E$9*SQRT($C$11)*NORMSINV($B119)+SQRT(1-E$9^2*$C$11)*NORMSINV(D119)))*(E$7-E$5)*(E$7-E$6))))</f>
        <v>0.0565090705039368</v>
      </c>
      <c r="F119" s="2" t="n">
        <v>0.946693957</v>
      </c>
      <c r="G119" s="2" t="n">
        <f aca="false">IF(G$7=G$5,G$6,IF(NORMSDIST(G$9*SQRT($C$11)*NORMSINV($B119)+SQRT(1-G$9^2*$C$11)*NORMSINV(F119))&lt;G$8,G$5+SQRT(NORMSDIST(G$9*SQRT($C$11)*NORMSINV($B119)+SQRT(1-G$9^2*$C$11)*NORMSINV(F119))*(G$7-G$5)*(G$6-G$5)),G$7-SQRT((1-NORMSDIST(G$9*SQRT($C$11)*NORMSINV($B119)+SQRT(1-G$9^2*$C$11)*NORMSINV(F119)))*(G$7-G$5)*(G$7-G$6))))</f>
        <v>0.0670463096679583</v>
      </c>
      <c r="H119" s="2" t="n">
        <v>0.497382376</v>
      </c>
      <c r="I119" s="2" t="n">
        <f aca="false">IF(I$7=I$5,I$6,IF(NORMSDIST(I$9*SQRT($C$11)*NORMSINV($B119)+SQRT(1-I$9^2*$C$11)*NORMSINV(H119))&lt;I$8,I$5+SQRT(NORMSDIST(I$9*SQRT($C$11)*NORMSINV($B119)+SQRT(1-I$9^2*$C$11)*NORMSINV(H119))*(I$7-I$5)*(I$6-I$5)),I$7-SQRT((1-NORMSDIST(I$9*SQRT($C$11)*NORMSINV($B119)+SQRT(1-I$9^2*$C$11)*NORMSINV(H119)))*(I$7-I$5)*(I$7-I$6))))</f>
        <v>207.084489813523</v>
      </c>
      <c r="J119" s="2" t="n">
        <v>0.303714687</v>
      </c>
      <c r="K119" s="2" t="n">
        <f aca="false">IF(K$7=K$5,K$6,IF(NORMSDIST(K$9*SQRT($C$11)*NORMSINV($B119)+SQRT(1-K$9^2*$C$11)*NORMSINV(J119))&lt;K$8,K$5+SQRT(NORMSDIST(K$9*SQRT($C$11)*NORMSINV($B119)+SQRT(1-K$9^2*$C$11)*NORMSINV(J119))*(K$7-K$5)*(K$6-K$5)),K$7-SQRT((1-NORMSDIST(K$9*SQRT($C$11)*NORMSINV($B119)+SQRT(1-K$9^2*$C$11)*NORMSINV(J119)))*(K$7-K$5)*(K$7-K$6))))</f>
        <v>0.294540911596894</v>
      </c>
      <c r="L119" s="2" t="n">
        <v>0.457455848</v>
      </c>
      <c r="M119" s="2" t="n">
        <f aca="false">IF(M$7=M$5,M$6,IF(NORMSDIST(M$9*SQRT($C$11)*NORMSINV($B119)+SQRT(1-M$9^2*$C$11)*NORMSINV(L119))&lt;M$8,M$5+SQRT(NORMSDIST(M$9*SQRT($C$11)*NORMSINV($B119)+SQRT(1-M$9^2*$C$11)*NORMSINV(L119))*(M$7-M$5)*(M$6-M$5)),M$7-SQRT((1-NORMSDIST(M$9*SQRT($C$11)*NORMSINV($B119)+SQRT(1-M$9^2*$C$11)*NORMSINV(L119)))*(M$7-M$5)*(M$7-M$6))))</f>
        <v>1656.14422799375</v>
      </c>
      <c r="N119" s="2" t="n">
        <v>0.983002468</v>
      </c>
      <c r="O119" s="2" t="n">
        <f aca="false">IF(O$7=O$5,O$6,IF(NORMSDIST(O$9*SQRT($C$11)*NORMSINV($B119)+SQRT(1-O$9^2*$C$11)*NORMSINV(N119))&lt;O$8,O$5+SQRT(NORMSDIST(O$9*SQRT($C$11)*NORMSINV($B119)+SQRT(1-O$9^2*$C$11)*NORMSINV(N119))*(O$7-O$5)*(O$6-O$5)),O$7-SQRT((1-NORMSDIST(O$9*SQRT($C$11)*NORMSINV($B119)+SQRT(1-O$9^2*$C$11)*NORMSINV(N119)))*(O$7-O$5)*(O$7-O$6))))</f>
        <v>0.187275672968799</v>
      </c>
      <c r="P119" s="2" t="n">
        <v>0.899920293</v>
      </c>
      <c r="Q119" s="2" t="n">
        <f aca="false">IF(Q$7=Q$5,Q$6,IF(NORMSDIST(Q$9*SQRT($C$11)*NORMSINV($B119)+SQRT(1-Q$9^2*$C$11)*NORMSINV(P119))&lt;Q$8,Q$5+SQRT(NORMSDIST(Q$9*SQRT($C$11)*NORMSINV($B119)+SQRT(1-Q$9^2*$C$11)*NORMSINV(P119))*(Q$7-Q$5)*(Q$6-Q$5)),Q$7-SQRT((1-NORMSDIST(Q$9*SQRT($C$11)*NORMSINV($B119)+SQRT(1-Q$9^2*$C$11)*NORMSINV(P119)))*(Q$7-Q$5)*(Q$7-Q$6))))</f>
        <v>0.102104328389245</v>
      </c>
      <c r="R119" s="2" t="n">
        <v>0.187960389</v>
      </c>
      <c r="S119" s="2" t="n">
        <f aca="false">IF(S$7=S$5,S$6,IF(NORMSDIST(S$9*SQRT($C$11)*NORMSINV($B119)+SQRT(1-S$9^2*$C$11)*NORMSINV(R119))&lt;S$8,S$5+SQRT(NORMSDIST(S$9*SQRT($C$11)*NORMSINV($B119)+SQRT(1-S$9^2*$C$11)*NORMSINV(R119))*(S$7-S$5)*(S$6-S$5)),S$7-SQRT((1-NORMSDIST(S$9*SQRT($C$11)*NORMSINV($B119)+SQRT(1-S$9^2*$C$11)*NORMSINV(R119)))*(S$7-S$5)*(S$7-S$6))))</f>
        <v>0.526734777892854</v>
      </c>
      <c r="T119" s="2" t="n">
        <v>0.328901595</v>
      </c>
      <c r="U119" s="2" t="n">
        <f aca="false">IF(U$7=U$5,U$6,IF(NORMSDIST(U$9*SQRT($C$11)*NORMSINV($B119)+SQRT(1-U$9^2*$C$11)*NORMSINV(T119))&lt;U$8,U$5+SQRT(NORMSDIST(U$9*SQRT($C$11)*NORMSINV($B119)+SQRT(1-U$9^2*$C$11)*NORMSINV(T119))*(U$7-U$5)*(U$6-U$5)),U$7-SQRT((1-NORMSDIST(U$9*SQRT($C$11)*NORMSINV($B119)+SQRT(1-U$9^2*$C$11)*NORMSINV(T119)))*(U$7-U$5)*(U$7-U$6))))</f>
        <v>0.601312124861999</v>
      </c>
      <c r="V119" s="2" t="n">
        <v>0.779078857</v>
      </c>
      <c r="W119" s="2" t="n">
        <f aca="false">IF(W$7=W$5,W$6,IF(NORMSDIST(W$9*SQRT($C$11)*NORMSINV($B119)+SQRT(1-W$9^2*$C$11)*NORMSINV(V119))&lt;W$8,W$5+SQRT(NORMSDIST(W$9*SQRT($C$11)*NORMSINV($B119)+SQRT(1-W$9^2*$C$11)*NORMSINV(V119))*(W$7-W$5)*(W$6-W$5)),W$7-SQRT((1-NORMSDIST(W$9*SQRT($C$11)*NORMSINV($B119)+SQRT(1-W$9^2*$C$11)*NORMSINV(V119)))*(W$7-W$5)*(W$7-W$6))))</f>
        <v>11.2054420215052</v>
      </c>
      <c r="X119" s="2" t="n">
        <v>0.29124064</v>
      </c>
      <c r="Y119" s="2" t="n">
        <f aca="false">IF(Y$7=Y$5,Y$6,IF(NORMSDIST(Y$9*SQRT($C$11)*NORMSINV($B119)+SQRT(1-Y$9^2*$C$11)*NORMSINV(X119))&lt;Y$8,Y$5+SQRT(NORMSDIST(Y$9*SQRT($C$11)*NORMSINV($B119)+SQRT(1-Y$9^2*$C$11)*NORMSINV(X119))*(Y$7-Y$5)*(Y$6-Y$5)),Y$7-SQRT((1-NORMSDIST(Y$9*SQRT($C$11)*NORMSINV($B119)+SQRT(1-Y$9^2*$C$11)*NORMSINV(X119)))*(Y$7-Y$5)*(Y$7-Y$6))))</f>
        <v>0.381602306072697</v>
      </c>
      <c r="Z119" s="2" t="n">
        <v>0.682799208</v>
      </c>
      <c r="AA119" s="2" t="n">
        <f aca="false">IF(AA$7=AA$5,AA$6,IF(NORMSDIST(AA$9*SQRT($C$11)*NORMSINV($B119)+SQRT(1-AA$9^2*$C$11)*NORMSINV(Z119))&lt;AA$8,AA$5+SQRT(NORMSDIST(AA$9*SQRT($C$11)*NORMSINV($B119)+SQRT(1-AA$9^2*$C$11)*NORMSINV(Z119))*(AA$7-AA$5)*(AA$6-AA$5)),AA$7-SQRT((1-NORMSDIST(AA$9*SQRT($C$11)*NORMSINV($B119)+SQRT(1-AA$9^2*$C$11)*NORMSINV(Z119)))*(AA$7-AA$5)*(AA$7-AA$6))))</f>
        <v>0.741555093043989</v>
      </c>
      <c r="AB119" s="2" t="n">
        <v>0.779984767</v>
      </c>
      <c r="AC119" s="2" t="n">
        <f aca="false">IF(AC$7=AC$5,AC$6,IF(NORMSDIST(AC$9*SQRT($C$11)*NORMSINV($B119)+SQRT(1-AC$9^2*$C$11)*NORMSINV(AB119))&lt;AC$8,AC$5+SQRT(NORMSDIST(AC$9*SQRT($C$11)*NORMSINV($B119)+SQRT(1-AC$9^2*$C$11)*NORMSINV(AB119))*(AC$7-AC$5)*(AC$6-AC$5)),AC$7-SQRT((1-NORMSDIST(AC$9*SQRT($C$11)*NORMSINV($B119)+SQRT(1-AC$9^2*$C$11)*NORMSINV(AB119)))*(AC$7-AC$5)*(AC$7-AC$6))))</f>
        <v>10.4174092072917</v>
      </c>
      <c r="AD119" s="2" t="n">
        <f aca="false">Entrées!$C$8*(1+E119)</f>
        <v>7448.38894705276</v>
      </c>
      <c r="AE119" s="2" t="n">
        <f aca="false">I119*Hypothèses!$J$24/12/Hypothèses!$J$19</f>
        <v>102.733952596795</v>
      </c>
      <c r="AF119" s="2" t="n">
        <f aca="false">Entrées!$C$36*S119*1000</f>
        <v>263.367388946427</v>
      </c>
      <c r="AG119" s="2" t="n">
        <f aca="false">-AF119/W119</f>
        <v>-23.5035252015028</v>
      </c>
      <c r="AH119" s="2" t="n">
        <f aca="false">AD119+AE119+AG119</f>
        <v>7527.61937444805</v>
      </c>
      <c r="AI119" s="2" t="n">
        <f aca="false">Entrées!$C$16-M119+Hypothèses!$J$22*1000-AF119+Hypothèses!$J$23</f>
        <v>22628.4883830598</v>
      </c>
      <c r="AJ119" s="2" t="n">
        <f aca="false">AI119/AH119</f>
        <v>3.0060617118701</v>
      </c>
      <c r="AK119" s="2" t="n">
        <f aca="false">AI119/(AH119+I119*(12-Hypothèses!$J$24)/12/Hypothèses!$J$19)</f>
        <v>2.97704066481241</v>
      </c>
      <c r="AL119" s="2" t="n">
        <f aca="false">(AD119+AG119+I119/Hypothèses!$J$19)*(1+G119)</f>
        <v>8110.61982051554</v>
      </c>
      <c r="AM119" s="2" t="n">
        <f aca="false">Entrées!$C$54*K119/Hypothèses!$J$19</f>
        <v>30.0591367258336</v>
      </c>
      <c r="AN119" s="2" t="n">
        <f aca="false">Y119*1000/AC119</f>
        <v>36.6312101674562</v>
      </c>
      <c r="AO119" s="2" t="n">
        <f aca="false">(Entrées!$C$36*(1-S119)+MAX(0,Entrées!$C$30-Entrées!$C$35-Entrées!$C$36)*U119)*1000</f>
        <v>1078.46958586037</v>
      </c>
      <c r="AP119" s="2" t="n">
        <f aca="false">-AO119/W119</f>
        <v>-96.2451622872706</v>
      </c>
      <c r="AQ119" s="2" t="n">
        <f aca="false">AL119+AM119+AN119+AP119</f>
        <v>8081.06500512156</v>
      </c>
      <c r="AR119" s="2" t="n">
        <f aca="false">O119*AQ119-Hypothèses!$J$25/Hypothèses!$J$19</f>
        <v>1494.25172487712</v>
      </c>
      <c r="AS119" s="2" t="n">
        <f aca="false">Entrées!$C$79*(1+Q119)+Hypothèses!$J$20</f>
        <v>1506.21265689978</v>
      </c>
      <c r="AT119" s="2" t="n">
        <f aca="false">AI119-AR119+AS119+Y119*1000-AO119+Hypothèses!$J$23</f>
        <v>21943.5820352948</v>
      </c>
      <c r="AU119" s="2" t="n">
        <f aca="false">AT119/AQ119</f>
        <v>2.71543194138243</v>
      </c>
      <c r="AV119" s="2" t="n">
        <f aca="false">Hypothèses!$J$26*AQ119-AT119</f>
        <v>2299.61298006986</v>
      </c>
      <c r="AW119" s="2" t="n">
        <f aca="false">IF(AC119&gt;Hypothèses!$J$26,MAX(0,AV119)/(1-Hypothèses!$J$26/AC119),0)</f>
        <v>3229.70039299399</v>
      </c>
      <c r="AX119" s="2" t="n">
        <f aca="false">AQ119-Entrées!$C$17*1000</f>
        <v>81.0650051215562</v>
      </c>
      <c r="AY119" s="2" t="n">
        <f aca="false">AI119+(Entrées!$C$244-Entrées!$C$13)</f>
        <v>28375.4883830598</v>
      </c>
      <c r="AZ119" s="2" t="n">
        <f aca="false">AA119*AH119</f>
        <v>5582.14448561855</v>
      </c>
      <c r="BA119" s="2" t="n">
        <f aca="false">AZ119/AY119</f>
        <v>0.196724172999648</v>
      </c>
      <c r="BB119" s="2" t="n">
        <f aca="false">AZ119/(Entrées!$C$151/100)-AY119</f>
        <v>2636.42542593214</v>
      </c>
      <c r="BC119" s="2" t="n">
        <f aca="false">AT119+(Entrées!$C$244-Entrées!$C$13)</f>
        <v>27690.5820352948</v>
      </c>
      <c r="BD119" s="2" t="n">
        <f aca="false">AA119*AQ119</f>
        <v>5992.55491176744</v>
      </c>
      <c r="BE119" s="2" t="n">
        <f aca="false">BD119/BC119</f>
        <v>0.216411302013415</v>
      </c>
      <c r="BF119" s="2" t="n">
        <f aca="false">BD119/(Entrées!$C$151/100)-BC119</f>
        <v>5601.38969674652</v>
      </c>
      <c r="BG119" s="2" t="n">
        <f aca="false">MIN(AV119,BF119)</f>
        <v>2299.61298006986</v>
      </c>
      <c r="BH119" s="2" t="n">
        <f aca="false">IF(AC119&gt;Hypothèses!$J$26,MAX(0,BG119)/(1-Hypothèses!$J$26/AC119),0)</f>
        <v>3229.70039299399</v>
      </c>
    </row>
    <row r="120" customFormat="false" ht="15" hidden="false" customHeight="false" outlineLevel="0" collapsed="false">
      <c r="A120" s="2" t="n">
        <v>105</v>
      </c>
      <c r="B120" s="2" t="n">
        <v>0.776415141</v>
      </c>
      <c r="C120" s="2"/>
      <c r="D120" s="2" t="n">
        <v>0.704649714</v>
      </c>
      <c r="E120" s="2" t="n">
        <f aca="false">IF(E$7=E$5,E$6,IF(NORMSDIST(E$9*SQRT($C$11)*NORMSINV($B120)+SQRT(1-E$9^2*$C$11)*NORMSINV(D120))&lt;E$8,E$5+SQRT(NORMSDIST(E$9*SQRT($C$11)*NORMSINV($B120)+SQRT(1-E$9^2*$C$11)*NORMSINV(D120))*(E$7-E$5)*(E$6-E$5)),E$7-SQRT((1-NORMSDIST(E$9*SQRT($C$11)*NORMSINV($B120)+SQRT(1-E$9^2*$C$11)*NORMSINV(D120)))*(E$7-E$5)*(E$7-E$6))))</f>
        <v>0.0569605429928316</v>
      </c>
      <c r="F120" s="2" t="n">
        <v>0.564381988</v>
      </c>
      <c r="G120" s="2" t="n">
        <f aca="false">IF(G$7=G$5,G$6,IF(NORMSDIST(G$9*SQRT($C$11)*NORMSINV($B120)+SQRT(1-G$9^2*$C$11)*NORMSINV(F120))&lt;G$8,G$5+SQRT(NORMSDIST(G$9*SQRT($C$11)*NORMSINV($B120)+SQRT(1-G$9^2*$C$11)*NORMSINV(F120))*(G$7-G$5)*(G$6-G$5)),G$7-SQRT((1-NORMSDIST(G$9*SQRT($C$11)*NORMSINV($B120)+SQRT(1-G$9^2*$C$11)*NORMSINV(F120)))*(G$7-G$5)*(G$7-G$6))))</f>
        <v>0.0589334014429827</v>
      </c>
      <c r="H120" s="2" t="n">
        <v>0.345850957</v>
      </c>
      <c r="I120" s="2" t="n">
        <f aca="false">IF(I$7=I$5,I$6,IF(NORMSDIST(I$9*SQRT($C$11)*NORMSINV($B120)+SQRT(1-I$9^2*$C$11)*NORMSINV(H120))&lt;I$8,I$5+SQRT(NORMSDIST(I$9*SQRT($C$11)*NORMSINV($B120)+SQRT(1-I$9^2*$C$11)*NORMSINV(H120))*(I$7-I$5)*(I$6-I$5)),I$7-SQRT((1-NORMSDIST(I$9*SQRT($C$11)*NORMSINV($B120)+SQRT(1-I$9^2*$C$11)*NORMSINV(H120)))*(I$7-I$5)*(I$7-I$6))))</f>
        <v>201.429207898569</v>
      </c>
      <c r="J120" s="2" t="n">
        <v>0.752796086</v>
      </c>
      <c r="K120" s="2" t="n">
        <f aca="false">IF(K$7=K$5,K$6,IF(NORMSDIST(K$9*SQRT($C$11)*NORMSINV($B120)+SQRT(1-K$9^2*$C$11)*NORMSINV(J120))&lt;K$8,K$5+SQRT(NORMSDIST(K$9*SQRT($C$11)*NORMSINV($B120)+SQRT(1-K$9^2*$C$11)*NORMSINV(J120))*(K$7-K$5)*(K$6-K$5)),K$7-SQRT((1-NORMSDIST(K$9*SQRT($C$11)*NORMSINV($B120)+SQRT(1-K$9^2*$C$11)*NORMSINV(J120)))*(K$7-K$5)*(K$7-K$6))))</f>
        <v>0.360252109137995</v>
      </c>
      <c r="L120" s="2" t="n">
        <v>0.945794229</v>
      </c>
      <c r="M120" s="2" t="n">
        <f aca="false">IF(M$7=M$5,M$6,IF(NORMSDIST(M$9*SQRT($C$11)*NORMSINV($B120)+SQRT(1-M$9^2*$C$11)*NORMSINV(L120))&lt;M$8,M$5+SQRT(NORMSDIST(M$9*SQRT($C$11)*NORMSINV($B120)+SQRT(1-M$9^2*$C$11)*NORMSINV(L120))*(M$7-M$5)*(M$6-M$5)),M$7-SQRT((1-NORMSDIST(M$9*SQRT($C$11)*NORMSINV($B120)+SQRT(1-M$9^2*$C$11)*NORMSINV(L120)))*(M$7-M$5)*(M$7-M$6))))</f>
        <v>1733.85002369361</v>
      </c>
      <c r="N120" s="2" t="n">
        <v>0.870671696</v>
      </c>
      <c r="O120" s="2" t="n">
        <f aca="false">IF(O$7=O$5,O$6,IF(NORMSDIST(O$9*SQRT($C$11)*NORMSINV($B120)+SQRT(1-O$9^2*$C$11)*NORMSINV(N120))&lt;O$8,O$5+SQRT(NORMSDIST(O$9*SQRT($C$11)*NORMSINV($B120)+SQRT(1-O$9^2*$C$11)*NORMSINV(N120))*(O$7-O$5)*(O$6-O$5)),O$7-SQRT((1-NORMSDIST(O$9*SQRT($C$11)*NORMSINV($B120)+SQRT(1-O$9^2*$C$11)*NORMSINV(N120)))*(O$7-O$5)*(O$7-O$6))))</f>
        <v>0.18034060590946</v>
      </c>
      <c r="P120" s="2" t="n">
        <v>0.780890326</v>
      </c>
      <c r="Q120" s="2" t="n">
        <f aca="false">IF(Q$7=Q$5,Q$6,IF(NORMSDIST(Q$9*SQRT($C$11)*NORMSINV($B120)+SQRT(1-Q$9^2*$C$11)*NORMSINV(P120))&lt;Q$8,Q$5+SQRT(NORMSDIST(Q$9*SQRT($C$11)*NORMSINV($B120)+SQRT(1-Q$9^2*$C$11)*NORMSINV(P120))*(Q$7-Q$5)*(Q$6-Q$5)),Q$7-SQRT((1-NORMSDIST(Q$9*SQRT($C$11)*NORMSINV($B120)+SQRT(1-Q$9^2*$C$11)*NORMSINV(P120)))*(Q$7-Q$5)*(Q$7-Q$6))))</f>
        <v>0.0935207447838879</v>
      </c>
      <c r="R120" s="2" t="n">
        <v>0.143712775</v>
      </c>
      <c r="S120" s="2" t="n">
        <f aca="false">IF(S$7=S$5,S$6,IF(NORMSDIST(S$9*SQRT($C$11)*NORMSINV($B120)+SQRT(1-S$9^2*$C$11)*NORMSINV(R120))&lt;S$8,S$5+SQRT(NORMSDIST(S$9*SQRT($C$11)*NORMSINV($B120)+SQRT(1-S$9^2*$C$11)*NORMSINV(R120))*(S$7-S$5)*(S$6-S$5)),S$7-SQRT((1-NORMSDIST(S$9*SQRT($C$11)*NORMSINV($B120)+SQRT(1-S$9^2*$C$11)*NORMSINV(R120)))*(S$7-S$5)*(S$7-S$6))))</f>
        <v>0.427612834078201</v>
      </c>
      <c r="T120" s="2" t="n">
        <v>0.999402805</v>
      </c>
      <c r="U120" s="2" t="n">
        <f aca="false">IF(U$7=U$5,U$6,IF(NORMSDIST(U$9*SQRT($C$11)*NORMSINV($B120)+SQRT(1-U$9^2*$C$11)*NORMSINV(T120))&lt;U$8,U$5+SQRT(NORMSDIST(U$9*SQRT($C$11)*NORMSINV($B120)+SQRT(1-U$9^2*$C$11)*NORMSINV(T120))*(U$7-U$5)*(U$6-U$5)),U$7-SQRT((1-NORMSDIST(U$9*SQRT($C$11)*NORMSINV($B120)+SQRT(1-U$9^2*$C$11)*NORMSINV(T120)))*(U$7-U$5)*(U$7-U$6))))</f>
        <v>0.97361749776865</v>
      </c>
      <c r="V120" s="2" t="n">
        <v>0.964645668</v>
      </c>
      <c r="W120" s="2" t="n">
        <f aca="false">IF(W$7=W$5,W$6,IF(NORMSDIST(W$9*SQRT($C$11)*NORMSINV($B120)+SQRT(1-W$9^2*$C$11)*NORMSINV(V120))&lt;W$8,W$5+SQRT(NORMSDIST(W$9*SQRT($C$11)*NORMSINV($B120)+SQRT(1-W$9^2*$C$11)*NORMSINV(V120))*(W$7-W$5)*(W$6-W$5)),W$7-SQRT((1-NORMSDIST(W$9*SQRT($C$11)*NORMSINV($B120)+SQRT(1-W$9^2*$C$11)*NORMSINV(V120)))*(W$7-W$5)*(W$7-W$6))))</f>
        <v>11.5100603925437</v>
      </c>
      <c r="X120" s="2" t="n">
        <v>0.050466384</v>
      </c>
      <c r="Y120" s="2" t="n">
        <f aca="false">IF(Y$7=Y$5,Y$6,IF(NORMSDIST(Y$9*SQRT($C$11)*NORMSINV($B120)+SQRT(1-Y$9^2*$C$11)*NORMSINV(X120))&lt;Y$8,Y$5+SQRT(NORMSDIST(Y$9*SQRT($C$11)*NORMSINV($B120)+SQRT(1-Y$9^2*$C$11)*NORMSINV(X120))*(Y$7-Y$5)*(Y$6-Y$5)),Y$7-SQRT((1-NORMSDIST(Y$9*SQRT($C$11)*NORMSINV($B120)+SQRT(1-Y$9^2*$C$11)*NORMSINV(X120)))*(Y$7-Y$5)*(Y$7-Y$6))))</f>
        <v>0.158849589234596</v>
      </c>
      <c r="Z120" s="2" t="n">
        <v>0.12301947</v>
      </c>
      <c r="AA120" s="2" t="n">
        <f aca="false">IF(AA$7=AA$5,AA$6,IF(NORMSDIST(AA$9*SQRT($C$11)*NORMSINV($B120)+SQRT(1-AA$9^2*$C$11)*NORMSINV(Z120))&lt;AA$8,AA$5+SQRT(NORMSDIST(AA$9*SQRT($C$11)*NORMSINV($B120)+SQRT(1-AA$9^2*$C$11)*NORMSINV(Z120))*(AA$7-AA$5)*(AA$6-AA$5)),AA$7-SQRT((1-NORMSDIST(AA$9*SQRT($C$11)*NORMSINV($B120)+SQRT(1-AA$9^2*$C$11)*NORMSINV(Z120)))*(AA$7-AA$5)*(AA$7-AA$6))))</f>
        <v>0.722233264444075</v>
      </c>
      <c r="AB120" s="2" t="n">
        <v>0.936820562</v>
      </c>
      <c r="AC120" s="2" t="n">
        <f aca="false">IF(AC$7=AC$5,AC$6,IF(NORMSDIST(AC$9*SQRT($C$11)*NORMSINV($B120)+SQRT(1-AC$9^2*$C$11)*NORMSINV(AB120))&lt;AC$8,AC$5+SQRT(NORMSDIST(AC$9*SQRT($C$11)*NORMSINV($B120)+SQRT(1-AC$9^2*$C$11)*NORMSINV(AB120))*(AC$7-AC$5)*(AC$6-AC$5)),AC$7-SQRT((1-NORMSDIST(AC$9*SQRT($C$11)*NORMSINV($B120)+SQRT(1-AC$9^2*$C$11)*NORMSINV(AB120)))*(AC$7-AC$5)*(AC$7-AC$6))))</f>
        <v>10.5447534531024</v>
      </c>
      <c r="AD120" s="2" t="n">
        <f aca="false">Entrées!$C$8*(1+E120)</f>
        <v>7451.57182809946</v>
      </c>
      <c r="AE120" s="2" t="n">
        <f aca="false">I120*Hypothèses!$J$24/12/Hypothèses!$J$19</f>
        <v>99.9283853392199</v>
      </c>
      <c r="AF120" s="2" t="n">
        <f aca="false">Entrées!$C$36*S120*1000</f>
        <v>213.806417039101</v>
      </c>
      <c r="AG120" s="2" t="n">
        <f aca="false">-AF120/W120</f>
        <v>-18.5756120947554</v>
      </c>
      <c r="AH120" s="2" t="n">
        <f aca="false">AD120+AE120+AG120</f>
        <v>7532.92460134393</v>
      </c>
      <c r="AI120" s="2" t="n">
        <f aca="false">Entrées!$C$16-M120+Hypothèses!$J$22*1000-AF120+Hypothèses!$J$23</f>
        <v>22600.3435592673</v>
      </c>
      <c r="AJ120" s="2" t="n">
        <f aca="false">AI120/AH120</f>
        <v>3.00020838589507</v>
      </c>
      <c r="AK120" s="2" t="n">
        <f aca="false">AI120/(AH120+I120*(12-Hypothèses!$J$24)/12/Hypothèses!$J$19)</f>
        <v>2.9720470730227</v>
      </c>
      <c r="AL120" s="2" t="n">
        <f aca="false">(AD120+AG120+I120/Hypothèses!$J$19)*(1+G120)</f>
        <v>8052.44940304891</v>
      </c>
      <c r="AM120" s="2" t="n">
        <f aca="false">Entrées!$C$54*K120/Hypothèses!$J$19</f>
        <v>36.7652403383921</v>
      </c>
      <c r="AN120" s="2" t="n">
        <f aca="false">Y120*1000/AC120</f>
        <v>15.0643246369939</v>
      </c>
      <c r="AO120" s="2" t="n">
        <f aca="false">(Entrées!$C$36*(1-S120)+MAX(0,Entrées!$C$30-Entrées!$C$35-Entrées!$C$36)*U120)*1000</f>
        <v>1649.25807983701</v>
      </c>
      <c r="AP120" s="2" t="n">
        <f aca="false">-AO120/W120</f>
        <v>-143.288394985782</v>
      </c>
      <c r="AQ120" s="2" t="n">
        <f aca="false">AL120+AM120+AN120+AP120</f>
        <v>7960.99057303851</v>
      </c>
      <c r="AR120" s="2" t="n">
        <f aca="false">O120*AQ120-Hypothèses!$J$25/Hypothèses!$J$19</f>
        <v>1416.55470131963</v>
      </c>
      <c r="AS120" s="2" t="n">
        <f aca="false">Entrées!$C$79*(1+Q120)+Hypothèses!$J$20</f>
        <v>1496.77929851749</v>
      </c>
      <c r="AT120" s="2" t="n">
        <f aca="false">AI120-AR120+AS120+Y120*1000-AO120+Hypothèses!$J$23</f>
        <v>21190.1596658627</v>
      </c>
      <c r="AU120" s="2" t="n">
        <f aca="false">AT120/AQ120</f>
        <v>2.66174912172707</v>
      </c>
      <c r="AV120" s="2" t="n">
        <f aca="false">Hypothèses!$J$26*AQ120-AT120</f>
        <v>2692.8120532528</v>
      </c>
      <c r="AW120" s="2" t="n">
        <f aca="false">IF(AC120&gt;Hypothèses!$J$26,MAX(0,AV120)/(1-Hypothèses!$J$26/AC120),0)</f>
        <v>3763.54765912427</v>
      </c>
      <c r="AX120" s="2" t="n">
        <f aca="false">AQ120-Entrées!$C$17*1000</f>
        <v>-39.0094269614865</v>
      </c>
      <c r="AY120" s="2" t="n">
        <f aca="false">AI120+(Entrées!$C$244-Entrées!$C$13)</f>
        <v>28347.3435592673</v>
      </c>
      <c r="AZ120" s="2" t="n">
        <f aca="false">AA120*AH120</f>
        <v>5440.5287256397</v>
      </c>
      <c r="BA120" s="2" t="n">
        <f aca="false">AZ120/AY120</f>
        <v>0.191923758720633</v>
      </c>
      <c r="BB120" s="2" t="n">
        <f aca="false">AZ120/(Entrées!$C$151/100)-AY120</f>
        <v>1877.81602761995</v>
      </c>
      <c r="BC120" s="2" t="n">
        <f aca="false">AT120+(Entrées!$C$244-Entrées!$C$13)</f>
        <v>26937.1596658627</v>
      </c>
      <c r="BD120" s="2" t="n">
        <f aca="false">AA120*AQ120</f>
        <v>5749.69220977411</v>
      </c>
      <c r="BE120" s="2" t="n">
        <f aca="false">BD120/BC120</f>
        <v>0.213448347230931</v>
      </c>
      <c r="BF120" s="2" t="n">
        <f aca="false">BD120/(Entrées!$C$151/100)-BC120</f>
        <v>5005.57483288232</v>
      </c>
      <c r="BG120" s="2" t="n">
        <f aca="false">MIN(AV120,BF120)</f>
        <v>2692.8120532528</v>
      </c>
      <c r="BH120" s="2" t="n">
        <f aca="false">IF(AC120&gt;Hypothèses!$J$26,MAX(0,BG120)/(1-Hypothèses!$J$26/AC120),0)</f>
        <v>3763.54765912427</v>
      </c>
    </row>
    <row r="121" customFormat="false" ht="15" hidden="false" customHeight="false" outlineLevel="0" collapsed="false">
      <c r="A121" s="2" t="n">
        <v>106</v>
      </c>
      <c r="B121" s="2" t="n">
        <v>0.43420852</v>
      </c>
      <c r="C121" s="2"/>
      <c r="D121" s="2" t="n">
        <v>0.039553439</v>
      </c>
      <c r="E121" s="2" t="n">
        <f aca="false">IF(E$7=E$5,E$6,IF(NORMSDIST(E$9*SQRT($C$11)*NORMSINV($B121)+SQRT(1-E$9^2*$C$11)*NORMSINV(D121))&lt;E$8,E$5+SQRT(NORMSDIST(E$9*SQRT($C$11)*NORMSINV($B121)+SQRT(1-E$9^2*$C$11)*NORMSINV(D121))*(E$7-E$5)*(E$6-E$5)),E$7-SQRT((1-NORMSDIST(E$9*SQRT($C$11)*NORMSINV($B121)+SQRT(1-E$9^2*$C$11)*NORMSINV(D121)))*(E$7-E$5)*(E$7-E$6))))</f>
        <v>0.0518904488005954</v>
      </c>
      <c r="F121" s="2" t="n">
        <v>0.288779403</v>
      </c>
      <c r="G121" s="2" t="n">
        <f aca="false">IF(G$7=G$5,G$6,IF(NORMSDIST(G$9*SQRT($C$11)*NORMSINV($B121)+SQRT(1-G$9^2*$C$11)*NORMSINV(F121))&lt;G$8,G$5+SQRT(NORMSDIST(G$9*SQRT($C$11)*NORMSINV($B121)+SQRT(1-G$9^2*$C$11)*NORMSINV(F121))*(G$7-G$5)*(G$6-G$5)),G$7-SQRT((1-NORMSDIST(G$9*SQRT($C$11)*NORMSINV($B121)+SQRT(1-G$9^2*$C$11)*NORMSINV(F121)))*(G$7-G$5)*(G$7-G$6))))</f>
        <v>0.0515395236272136</v>
      </c>
      <c r="H121" s="2" t="n">
        <v>0.243669742</v>
      </c>
      <c r="I121" s="2" t="n">
        <f aca="false">IF(I$7=I$5,I$6,IF(NORMSDIST(I$9*SQRT($C$11)*NORMSINV($B121)+SQRT(1-I$9^2*$C$11)*NORMSINV(H121))&lt;I$8,I$5+SQRT(NORMSDIST(I$9*SQRT($C$11)*NORMSINV($B121)+SQRT(1-I$9^2*$C$11)*NORMSINV(H121))*(I$7-I$5)*(I$6-I$5)),I$7-SQRT((1-NORMSDIST(I$9*SQRT($C$11)*NORMSINV($B121)+SQRT(1-I$9^2*$C$11)*NORMSINV(H121)))*(I$7-I$5)*(I$7-I$6))))</f>
        <v>194.42736286054</v>
      </c>
      <c r="J121" s="2" t="n">
        <v>0.308356206</v>
      </c>
      <c r="K121" s="2" t="n">
        <f aca="false">IF(K$7=K$5,K$6,IF(NORMSDIST(K$9*SQRT($C$11)*NORMSINV($B121)+SQRT(1-K$9^2*$C$11)*NORMSINV(J121))&lt;K$8,K$5+SQRT(NORMSDIST(K$9*SQRT($C$11)*NORMSINV($B121)+SQRT(1-K$9^2*$C$11)*NORMSINV(J121))*(K$7-K$5)*(K$6-K$5)),K$7-SQRT((1-NORMSDIST(K$9*SQRT($C$11)*NORMSINV($B121)+SQRT(1-K$9^2*$C$11)*NORMSINV(J121)))*(K$7-K$5)*(K$7-K$6))))</f>
        <v>0.197228123487</v>
      </c>
      <c r="L121" s="2" t="n">
        <v>0.390690532</v>
      </c>
      <c r="M121" s="2" t="n">
        <f aca="false">IF(M$7=M$5,M$6,IF(NORMSDIST(M$9*SQRT($C$11)*NORMSINV($B121)+SQRT(1-M$9^2*$C$11)*NORMSINV(L121))&lt;M$8,M$5+SQRT(NORMSDIST(M$9*SQRT($C$11)*NORMSINV($B121)+SQRT(1-M$9^2*$C$11)*NORMSINV(L121))*(M$7-M$5)*(M$6-M$5)),M$7-SQRT((1-NORMSDIST(M$9*SQRT($C$11)*NORMSINV($B121)+SQRT(1-M$9^2*$C$11)*NORMSINV(L121)))*(M$7-M$5)*(M$7-M$6))))</f>
        <v>1547.41346130176</v>
      </c>
      <c r="N121" s="2" t="n">
        <v>0.746100621</v>
      </c>
      <c r="O121" s="2" t="n">
        <f aca="false">IF(O$7=O$5,O$6,IF(NORMSDIST(O$9*SQRT($C$11)*NORMSINV($B121)+SQRT(1-O$9^2*$C$11)*NORMSINV(N121))&lt;O$8,O$5+SQRT(NORMSDIST(O$9*SQRT($C$11)*NORMSINV($B121)+SQRT(1-O$9^2*$C$11)*NORMSINV(N121))*(O$7-O$5)*(O$6-O$5)),O$7-SQRT((1-NORMSDIST(O$9*SQRT($C$11)*NORMSINV($B121)+SQRT(1-O$9^2*$C$11)*NORMSINV(N121)))*(O$7-O$5)*(O$7-O$6))))</f>
        <v>0.17092587862012</v>
      </c>
      <c r="P121" s="2" t="n">
        <v>0.754414409</v>
      </c>
      <c r="Q121" s="2" t="n">
        <f aca="false">IF(Q$7=Q$5,Q$6,IF(NORMSDIST(Q$9*SQRT($C$11)*NORMSINV($B121)+SQRT(1-Q$9^2*$C$11)*NORMSINV(P121))&lt;Q$8,Q$5+SQRT(NORMSDIST(Q$9*SQRT($C$11)*NORMSINV($B121)+SQRT(1-Q$9^2*$C$11)*NORMSINV(P121))*(Q$7-Q$5)*(Q$6-Q$5)),Q$7-SQRT((1-NORMSDIST(Q$9*SQRT($C$11)*NORMSINV($B121)+SQRT(1-Q$9^2*$C$11)*NORMSINV(P121)))*(Q$7-Q$5)*(Q$7-Q$6))))</f>
        <v>0.0919665576284324</v>
      </c>
      <c r="R121" s="2" t="n">
        <v>0.669393941</v>
      </c>
      <c r="S121" s="2" t="n">
        <f aca="false">IF(S$7=S$5,S$6,IF(NORMSDIST(S$9*SQRT($C$11)*NORMSINV($B121)+SQRT(1-S$9^2*$C$11)*NORMSINV(R121))&lt;S$8,S$5+SQRT(NORMSDIST(S$9*SQRT($C$11)*NORMSINV($B121)+SQRT(1-S$9^2*$C$11)*NORMSINV(R121))*(S$7-S$5)*(S$6-S$5)),S$7-SQRT((1-NORMSDIST(S$9*SQRT($C$11)*NORMSINV($B121)+SQRT(1-S$9^2*$C$11)*NORMSINV(R121)))*(S$7-S$5)*(S$7-S$6))))</f>
        <v>0.548763795778798</v>
      </c>
      <c r="T121" s="2" t="n">
        <v>0.239730509</v>
      </c>
      <c r="U121" s="2" t="n">
        <f aca="false">IF(U$7=U$5,U$6,IF(NORMSDIST(U$9*SQRT($C$11)*NORMSINV($B121)+SQRT(1-U$9^2*$C$11)*NORMSINV(T121))&lt;U$8,U$5+SQRT(NORMSDIST(U$9*SQRT($C$11)*NORMSINV($B121)+SQRT(1-U$9^2*$C$11)*NORMSINV(T121))*(U$7-U$5)*(U$6-U$5)),U$7-SQRT((1-NORMSDIST(U$9*SQRT($C$11)*NORMSINV($B121)+SQRT(1-U$9^2*$C$11)*NORMSINV(T121)))*(U$7-U$5)*(U$7-U$6))))</f>
        <v>0.358485177840548</v>
      </c>
      <c r="V121" s="2" t="n">
        <v>0.575761736</v>
      </c>
      <c r="W121" s="2" t="n">
        <f aca="false">IF(W$7=W$5,W$6,IF(NORMSDIST(W$9*SQRT($C$11)*NORMSINV($B121)+SQRT(1-W$9^2*$C$11)*NORMSINV(V121))&lt;W$8,W$5+SQRT(NORMSDIST(W$9*SQRT($C$11)*NORMSINV($B121)+SQRT(1-W$9^2*$C$11)*NORMSINV(V121))*(W$7-W$5)*(W$6-W$5)),W$7-SQRT((1-NORMSDIST(W$9*SQRT($C$11)*NORMSINV($B121)+SQRT(1-W$9^2*$C$11)*NORMSINV(V121)))*(W$7-W$5)*(W$7-W$6))))</f>
        <v>10.0347744590564</v>
      </c>
      <c r="X121" s="2" t="n">
        <v>0.242910674</v>
      </c>
      <c r="Y121" s="2" t="n">
        <f aca="false">IF(Y$7=Y$5,Y$6,IF(NORMSDIST(Y$9*SQRT($C$11)*NORMSINV($B121)+SQRT(1-Y$9^2*$C$11)*NORMSINV(X121))&lt;Y$8,Y$5+SQRT(NORMSDIST(Y$9*SQRT($C$11)*NORMSINV($B121)+SQRT(1-Y$9^2*$C$11)*NORMSINV(X121))*(Y$7-Y$5)*(Y$6-Y$5)),Y$7-SQRT((1-NORMSDIST(Y$9*SQRT($C$11)*NORMSINV($B121)+SQRT(1-Y$9^2*$C$11)*NORMSINV(X121)))*(Y$7-Y$5)*(Y$7-Y$6))))</f>
        <v>0.348504428953206</v>
      </c>
      <c r="Z121" s="2" t="n">
        <v>0.038766457</v>
      </c>
      <c r="AA121" s="2" t="n">
        <f aca="false">IF(AA$7=AA$5,AA$6,IF(NORMSDIST(AA$9*SQRT($C$11)*NORMSINV($B121)+SQRT(1-AA$9^2*$C$11)*NORMSINV(Z121))&lt;AA$8,AA$5+SQRT(NORMSDIST(AA$9*SQRT($C$11)*NORMSINV($B121)+SQRT(1-AA$9^2*$C$11)*NORMSINV(Z121))*(AA$7-AA$5)*(AA$6-AA$5)),AA$7-SQRT((1-NORMSDIST(AA$9*SQRT($C$11)*NORMSINV($B121)+SQRT(1-AA$9^2*$C$11)*NORMSINV(Z121)))*(AA$7-AA$5)*(AA$7-AA$6))))</f>
        <v>0.707610012173716</v>
      </c>
      <c r="AB121" s="2" t="n">
        <v>0.395697602</v>
      </c>
      <c r="AC121" s="2" t="n">
        <f aca="false">IF(AC$7=AC$5,AC$6,IF(NORMSDIST(AC$9*SQRT($C$11)*NORMSINV($B121)+SQRT(1-AC$9^2*$C$11)*NORMSINV(AB121))&lt;AC$8,AC$5+SQRT(NORMSDIST(AC$9*SQRT($C$11)*NORMSINV($B121)+SQRT(1-AC$9^2*$C$11)*NORMSINV(AB121))*(AC$7-AC$5)*(AC$6-AC$5)),AC$7-SQRT((1-NORMSDIST(AC$9*SQRT($C$11)*NORMSINV($B121)+SQRT(1-AC$9^2*$C$11)*NORMSINV(AB121)))*(AC$7-AC$5)*(AC$7-AC$6))))</f>
        <v>9.20816593107445</v>
      </c>
      <c r="AD121" s="2" t="n">
        <f aca="false">Entrées!$C$8*(1+E121)</f>
        <v>7415.8276640442</v>
      </c>
      <c r="AE121" s="2" t="n">
        <f aca="false">I121*Hypothèses!$J$24/12/Hypothèses!$J$19</f>
        <v>96.4547924261304</v>
      </c>
      <c r="AF121" s="2" t="n">
        <f aca="false">Entrées!$C$36*S121*1000</f>
        <v>274.381897889399</v>
      </c>
      <c r="AG121" s="2" t="n">
        <f aca="false">-AF121/W121</f>
        <v>-27.3431056182601</v>
      </c>
      <c r="AH121" s="2" t="n">
        <f aca="false">AD121+AE121+AG121</f>
        <v>7484.93935085207</v>
      </c>
      <c r="AI121" s="2" t="n">
        <f aca="false">Entrées!$C$16-M121+Hypothèses!$J$22*1000-AF121+Hypothèses!$J$23</f>
        <v>22726.2046408088</v>
      </c>
      <c r="AJ121" s="2" t="n">
        <f aca="false">AI121/AH121</f>
        <v>3.03625768700741</v>
      </c>
      <c r="AK121" s="2" t="n">
        <f aca="false">AI121/(AH121+I121*(12-Hypothèses!$J$24)/12/Hypothèses!$J$19)</f>
        <v>3.00856488683347</v>
      </c>
      <c r="AL121" s="2" t="n">
        <f aca="false">(AD121+AG121+I121/Hypothèses!$J$19)*(1+G121)</f>
        <v>7943.15672114452</v>
      </c>
      <c r="AM121" s="2" t="n">
        <f aca="false">Entrées!$C$54*K121/Hypothèses!$J$19</f>
        <v>20.1279581092253</v>
      </c>
      <c r="AN121" s="2" t="n">
        <f aca="false">Y121*1000/AC121</f>
        <v>37.8473228612357</v>
      </c>
      <c r="AO121" s="2" t="n">
        <f aca="false">(Entrées!$C$36*(1-S121)+MAX(0,Entrées!$C$30-Entrées!$C$35-Entrées!$C$36)*U121)*1000</f>
        <v>727.497351087368</v>
      </c>
      <c r="AP121" s="2" t="n">
        <f aca="false">-AO121/W121</f>
        <v>-72.4976285272459</v>
      </c>
      <c r="AQ121" s="2" t="n">
        <f aca="false">AL121+AM121+AN121+AP121</f>
        <v>7928.63437358774</v>
      </c>
      <c r="AR121" s="2" t="n">
        <f aca="false">O121*AQ121-Hypothèses!$J$25/Hypothèses!$J$19</f>
        <v>1336.07363430154</v>
      </c>
      <c r="AS121" s="2" t="n">
        <f aca="false">Entrées!$C$79*(1+Q121)+Hypothèses!$J$20</f>
        <v>1495.07124683365</v>
      </c>
      <c r="AT121" s="2" t="n">
        <f aca="false">AI121-AR121+AS121+Y121*1000-AO121+Hypothèses!$J$23</f>
        <v>22506.2093312068</v>
      </c>
      <c r="AU121" s="2" t="n">
        <f aca="false">AT121/AQ121</f>
        <v>2.83859846106419</v>
      </c>
      <c r="AV121" s="2" t="n">
        <f aca="false">Hypothèses!$J$26*AQ121-AT121</f>
        <v>1279.69378955643</v>
      </c>
      <c r="AW121" s="2" t="n">
        <f aca="false">IF(AC121&gt;Hypothèses!$J$26,MAX(0,AV121)/(1-Hypothèses!$J$26/AC121),0)</f>
        <v>1898.08598642943</v>
      </c>
      <c r="AX121" s="2" t="n">
        <f aca="false">AQ121-Entrées!$C$17*1000</f>
        <v>-71.3656264122628</v>
      </c>
      <c r="AY121" s="2" t="n">
        <f aca="false">AI121+(Entrées!$C$244-Entrées!$C$13)</f>
        <v>28473.2046408088</v>
      </c>
      <c r="AZ121" s="2" t="n">
        <f aca="false">AA121*AH121</f>
        <v>5296.41802517595</v>
      </c>
      <c r="BA121" s="2" t="n">
        <f aca="false">AZ121/AY121</f>
        <v>0.186014117202141</v>
      </c>
      <c r="BB121" s="2" t="n">
        <f aca="false">AZ121/(Entrées!$C$151/100)-AY121</f>
        <v>951.339943502018</v>
      </c>
      <c r="BC121" s="2" t="n">
        <f aca="false">AT121+(Entrées!$C$244-Entrées!$C$13)</f>
        <v>28253.2093312068</v>
      </c>
      <c r="BD121" s="2" t="n">
        <f aca="false">AA121*AQ121</f>
        <v>5610.38106561536</v>
      </c>
      <c r="BE121" s="2" t="n">
        <f aca="false">BD121/BC121</f>
        <v>0.198575000802421</v>
      </c>
      <c r="BF121" s="2" t="n">
        <f aca="false">BD121/(Entrées!$C$151/100)-BC121</f>
        <v>2915.57436665632</v>
      </c>
      <c r="BG121" s="2" t="n">
        <f aca="false">MIN(AV121,BF121)</f>
        <v>1279.69378955643</v>
      </c>
      <c r="BH121" s="2" t="n">
        <f aca="false">IF(AC121&gt;Hypothèses!$J$26,MAX(0,BG121)/(1-Hypothèses!$J$26/AC121),0)</f>
        <v>1898.08598642943</v>
      </c>
    </row>
    <row r="122" customFormat="false" ht="15" hidden="false" customHeight="false" outlineLevel="0" collapsed="false">
      <c r="A122" s="2" t="n">
        <v>107</v>
      </c>
      <c r="B122" s="2" t="n">
        <v>0.929488266</v>
      </c>
      <c r="C122" s="2"/>
      <c r="D122" s="2" t="n">
        <v>0.260830856</v>
      </c>
      <c r="E122" s="2" t="n">
        <f aca="false">IF(E$7=E$5,E$6,IF(NORMSDIST(E$9*SQRT($C$11)*NORMSINV($B122)+SQRT(1-E$9^2*$C$11)*NORMSINV(D122))&lt;E$8,E$5+SQRT(NORMSDIST(E$9*SQRT($C$11)*NORMSINV($B122)+SQRT(1-E$9^2*$C$11)*NORMSINV(D122))*(E$7-E$5)*(E$6-E$5)),E$7-SQRT((1-NORMSDIST(E$9*SQRT($C$11)*NORMSINV($B122)+SQRT(1-E$9^2*$C$11)*NORMSINV(D122)))*(E$7-E$5)*(E$7-E$6))))</f>
        <v>0.0559261814398828</v>
      </c>
      <c r="F122" s="2" t="n">
        <v>0.788263061</v>
      </c>
      <c r="G122" s="2" t="n">
        <f aca="false">IF(G$7=G$5,G$6,IF(NORMSDIST(G$9*SQRT($C$11)*NORMSINV($B122)+SQRT(1-G$9^2*$C$11)*NORMSINV(F122))&lt;G$8,G$5+SQRT(NORMSDIST(G$9*SQRT($C$11)*NORMSINV($B122)+SQRT(1-G$9^2*$C$11)*NORMSINV(F122))*(G$7-G$5)*(G$6-G$5)),G$7-SQRT((1-NORMSDIST(G$9*SQRT($C$11)*NORMSINV($B122)+SQRT(1-G$9^2*$C$11)*NORMSINV(F122)))*(G$7-G$5)*(G$7-G$6))))</f>
        <v>0.0647841687999404</v>
      </c>
      <c r="H122" s="2" t="n">
        <v>0.739448813</v>
      </c>
      <c r="I122" s="2" t="n">
        <f aca="false">IF(I$7=I$5,I$6,IF(NORMSDIST(I$9*SQRT($C$11)*NORMSINV($B122)+SQRT(1-I$9^2*$C$11)*NORMSINV(H122))&lt;I$8,I$5+SQRT(NORMSDIST(I$9*SQRT($C$11)*NORMSINV($B122)+SQRT(1-I$9^2*$C$11)*NORMSINV(H122))*(I$7-I$5)*(I$6-I$5)),I$7-SQRT((1-NORMSDIST(I$9*SQRT($C$11)*NORMSINV($B122)+SQRT(1-I$9^2*$C$11)*NORMSINV(H122)))*(I$7-I$5)*(I$7-I$6))))</f>
        <v>212.169397317941</v>
      </c>
      <c r="J122" s="2" t="n">
        <v>0.871157471</v>
      </c>
      <c r="K122" s="2" t="n">
        <f aca="false">IF(K$7=K$5,K$6,IF(NORMSDIST(K$9*SQRT($C$11)*NORMSINV($B122)+SQRT(1-K$9^2*$C$11)*NORMSINV(J122))&lt;K$8,K$5+SQRT(NORMSDIST(K$9*SQRT($C$11)*NORMSINV($B122)+SQRT(1-K$9^2*$C$11)*NORMSINV(J122))*(K$7-K$5)*(K$6-K$5)),K$7-SQRT((1-NORMSDIST(K$9*SQRT($C$11)*NORMSINV($B122)+SQRT(1-K$9^2*$C$11)*NORMSINV(J122)))*(K$7-K$5)*(K$7-K$6))))</f>
        <v>0.433549688773981</v>
      </c>
      <c r="L122" s="2" t="n">
        <v>0.649967353</v>
      </c>
      <c r="M122" s="2" t="n">
        <f aca="false">IF(M$7=M$5,M$6,IF(NORMSDIST(M$9*SQRT($C$11)*NORMSINV($B122)+SQRT(1-M$9^2*$C$11)*NORMSINV(L122))&lt;M$8,M$5+SQRT(NORMSDIST(M$9*SQRT($C$11)*NORMSINV($B122)+SQRT(1-M$9^2*$C$11)*NORMSINV(L122))*(M$7-M$5)*(M$6-M$5)),M$7-SQRT((1-NORMSDIST(M$9*SQRT($C$11)*NORMSINV($B122)+SQRT(1-M$9^2*$C$11)*NORMSINV(L122)))*(M$7-M$5)*(M$7-M$6))))</f>
        <v>1698.54810766187</v>
      </c>
      <c r="N122" s="2" t="n">
        <v>0.630932626</v>
      </c>
      <c r="O122" s="2" t="n">
        <f aca="false">IF(O$7=O$5,O$6,IF(NORMSDIST(O$9*SQRT($C$11)*NORMSINV($B122)+SQRT(1-O$9^2*$C$11)*NORMSINV(N122))&lt;O$8,O$5+SQRT(NORMSDIST(O$9*SQRT($C$11)*NORMSINV($B122)+SQRT(1-O$9^2*$C$11)*NORMSINV(N122))*(O$7-O$5)*(O$6-O$5)),O$7-SQRT((1-NORMSDIST(O$9*SQRT($C$11)*NORMSINV($B122)+SQRT(1-O$9^2*$C$11)*NORMSINV(N122)))*(O$7-O$5)*(O$7-O$6))))</f>
        <v>0.178834671211775</v>
      </c>
      <c r="P122" s="2" t="n">
        <v>0.730496387</v>
      </c>
      <c r="Q122" s="2" t="n">
        <f aca="false">IF(Q$7=Q$5,Q$6,IF(NORMSDIST(Q$9*SQRT($C$11)*NORMSINV($B122)+SQRT(1-Q$9^2*$C$11)*NORMSINV(P122))&lt;Q$8,Q$5+SQRT(NORMSDIST(Q$9*SQRT($C$11)*NORMSINV($B122)+SQRT(1-Q$9^2*$C$11)*NORMSINV(P122))*(Q$7-Q$5)*(Q$6-Q$5)),Q$7-SQRT((1-NORMSDIST(Q$9*SQRT($C$11)*NORMSINV($B122)+SQRT(1-Q$9^2*$C$11)*NORMSINV(P122)))*(Q$7-Q$5)*(Q$7-Q$6))))</f>
        <v>0.0906331554027335</v>
      </c>
      <c r="R122" s="2" t="n">
        <v>0.527691766</v>
      </c>
      <c r="S122" s="2" t="n">
        <f aca="false">IF(S$7=S$5,S$6,IF(NORMSDIST(S$9*SQRT($C$11)*NORMSINV($B122)+SQRT(1-S$9^2*$C$11)*NORMSINV(R122))&lt;S$8,S$5+SQRT(NORMSDIST(S$9*SQRT($C$11)*NORMSINV($B122)+SQRT(1-S$9^2*$C$11)*NORMSINV(R122))*(S$7-S$5)*(S$6-S$5)),S$7-SQRT((1-NORMSDIST(S$9*SQRT($C$11)*NORMSINV($B122)+SQRT(1-S$9^2*$C$11)*NORMSINV(R122)))*(S$7-S$5)*(S$7-S$6))))</f>
        <v>0.71507336556441</v>
      </c>
      <c r="T122" s="2" t="n">
        <v>0.103293617</v>
      </c>
      <c r="U122" s="2" t="n">
        <f aca="false">IF(U$7=U$5,U$6,IF(NORMSDIST(U$9*SQRT($C$11)*NORMSINV($B122)+SQRT(1-U$9^2*$C$11)*NORMSINV(T122))&lt;U$8,U$5+SQRT(NORMSDIST(U$9*SQRT($C$11)*NORMSINV($B122)+SQRT(1-U$9^2*$C$11)*NORMSINV(T122))*(U$7-U$5)*(U$6-U$5)),U$7-SQRT((1-NORMSDIST(U$9*SQRT($C$11)*NORMSINV($B122)+SQRT(1-U$9^2*$C$11)*NORMSINV(T122)))*(U$7-U$5)*(U$7-U$6))))</f>
        <v>0.490467438731741</v>
      </c>
      <c r="V122" s="2" t="n">
        <v>0.719733245</v>
      </c>
      <c r="W122" s="2" t="n">
        <f aca="false">IF(W$7=W$5,W$6,IF(NORMSDIST(W$9*SQRT($C$11)*NORMSINV($B122)+SQRT(1-W$9^2*$C$11)*NORMSINV(V122))&lt;W$8,W$5+SQRT(NORMSDIST(W$9*SQRT($C$11)*NORMSINV($B122)+SQRT(1-W$9^2*$C$11)*NORMSINV(V122))*(W$7-W$5)*(W$6-W$5)),W$7-SQRT((1-NORMSDIST(W$9*SQRT($C$11)*NORMSINV($B122)+SQRT(1-W$9^2*$C$11)*NORMSINV(V122)))*(W$7-W$5)*(W$7-W$6))))</f>
        <v>11.1826227360807</v>
      </c>
      <c r="X122" s="2" t="n">
        <v>0.914181241</v>
      </c>
      <c r="Y122" s="2" t="n">
        <f aca="false">IF(Y$7=Y$5,Y$6,IF(NORMSDIST(Y$9*SQRT($C$11)*NORMSINV($B122)+SQRT(1-Y$9^2*$C$11)*NORMSINV(X122))&lt;Y$8,Y$5+SQRT(NORMSDIST(Y$9*SQRT($C$11)*NORMSINV($B122)+SQRT(1-Y$9^2*$C$11)*NORMSINV(X122))*(Y$7-Y$5)*(Y$6-Y$5)),Y$7-SQRT((1-NORMSDIST(Y$9*SQRT($C$11)*NORMSINV($B122)+SQRT(1-Y$9^2*$C$11)*NORMSINV(X122)))*(Y$7-Y$5)*(Y$7-Y$6))))</f>
        <v>0.79285420713903</v>
      </c>
      <c r="Z122" s="2" t="n">
        <v>0.524298557</v>
      </c>
      <c r="AA122" s="2" t="n">
        <f aca="false">IF(AA$7=AA$5,AA$6,IF(NORMSDIST(AA$9*SQRT($C$11)*NORMSINV($B122)+SQRT(1-AA$9^2*$C$11)*NORMSINV(Z122))&lt;AA$8,AA$5+SQRT(NORMSDIST(AA$9*SQRT($C$11)*NORMSINV($B122)+SQRT(1-AA$9^2*$C$11)*NORMSINV(Z122))*(AA$7-AA$5)*(AA$6-AA$5)),AA$7-SQRT((1-NORMSDIST(AA$9*SQRT($C$11)*NORMSINV($B122)+SQRT(1-AA$9^2*$C$11)*NORMSINV(Z122)))*(AA$7-AA$5)*(AA$7-AA$6))))</f>
        <v>0.739351906904475</v>
      </c>
      <c r="AB122" s="2" t="n">
        <v>0.018100133</v>
      </c>
      <c r="AC122" s="2" t="n">
        <f aca="false">IF(AC$7=AC$5,AC$6,IF(NORMSDIST(AC$9*SQRT($C$11)*NORMSINV($B122)+SQRT(1-AC$9^2*$C$11)*NORMSINV(AB122))&lt;AC$8,AC$5+SQRT(NORMSDIST(AC$9*SQRT($C$11)*NORMSINV($B122)+SQRT(1-AC$9^2*$C$11)*NORMSINV(AB122))*(AC$7-AC$5)*(AC$6-AC$5)),AC$7-SQRT((1-NORMSDIST(AC$9*SQRT($C$11)*NORMSINV($B122)+SQRT(1-AC$9^2*$C$11)*NORMSINV(AB122)))*(AC$7-AC$5)*(AC$7-AC$6))))</f>
        <v>8.85375805613624</v>
      </c>
      <c r="AD122" s="2" t="n">
        <f aca="false">Entrées!$C$8*(1+E122)</f>
        <v>7444.27957915117</v>
      </c>
      <c r="AE122" s="2" t="n">
        <f aca="false">I122*Hypothèses!$J$24/12/Hypothèses!$J$19</f>
        <v>105.256558934857</v>
      </c>
      <c r="AF122" s="2" t="n">
        <f aca="false">Entrées!$C$36*S122*1000</f>
        <v>357.536682782205</v>
      </c>
      <c r="AG122" s="2" t="n">
        <f aca="false">-AF122/W122</f>
        <v>-31.9725248021301</v>
      </c>
      <c r="AH122" s="2" t="n">
        <f aca="false">AD122+AE122+AG122</f>
        <v>7517.5636132839</v>
      </c>
      <c r="AI122" s="2" t="n">
        <f aca="false">Entrées!$C$16-M122+Hypothèses!$J$22*1000-AF122+Hypothèses!$J$23</f>
        <v>22491.9152095559</v>
      </c>
      <c r="AJ122" s="2" t="n">
        <f aca="false">AI122/AH122</f>
        <v>2.99191551499633</v>
      </c>
      <c r="AK122" s="2" t="n">
        <f aca="false">AI122/(AH122+I122*(12-Hypothèses!$J$24)/12/Hypothèses!$J$19)</f>
        <v>2.96228961608271</v>
      </c>
      <c r="AL122" s="2" t="n">
        <f aca="false">(AD122+AG122+I122/Hypothèses!$J$19)*(1+G122)</f>
        <v>8084.6366645256</v>
      </c>
      <c r="AM122" s="2" t="n">
        <f aca="false">Entrées!$C$54*K122/Hypothèses!$J$19</f>
        <v>44.2455660968937</v>
      </c>
      <c r="AN122" s="2" t="n">
        <f aca="false">Y122*1000/AC122</f>
        <v>89.5500195636732</v>
      </c>
      <c r="AO122" s="2" t="n">
        <f aca="false">(Entrées!$C$36*(1-S122)+MAX(0,Entrées!$C$30-Entrées!$C$35-Entrées!$C$36)*U122)*1000</f>
        <v>829.117731442233</v>
      </c>
      <c r="AP122" s="2" t="n">
        <f aca="false">-AO122/W122</f>
        <v>-74.1434054434374</v>
      </c>
      <c r="AQ122" s="2" t="n">
        <f aca="false">AL122+AM122+AN122+AP122</f>
        <v>8144.28884474273</v>
      </c>
      <c r="AR122" s="2" t="n">
        <f aca="false">O122*AQ122-Hypothèses!$J$25/Hypothèses!$J$19</f>
        <v>1437.34605554167</v>
      </c>
      <c r="AS122" s="2" t="n">
        <f aca="false">Entrées!$C$79*(1+Q122)+Hypothèses!$J$20</f>
        <v>1493.6058377876</v>
      </c>
      <c r="AT122" s="2" t="n">
        <f aca="false">AI122-AR122+AS122+Y122*1000-AO122+Hypothèses!$J$23</f>
        <v>22511.9114674987</v>
      </c>
      <c r="AU122" s="2" t="n">
        <f aca="false">AT122/AQ122</f>
        <v>2.76413470797152</v>
      </c>
      <c r="AV122" s="2" t="n">
        <f aca="false">Hypothèses!$J$26*AQ122-AT122</f>
        <v>1920.95506672952</v>
      </c>
      <c r="AW122" s="2" t="n">
        <f aca="false">IF(AC122&gt;Hypothèses!$J$26,MAX(0,AV122)/(1-Hypothèses!$J$26/AC122),0)</f>
        <v>2905.42780115482</v>
      </c>
      <c r="AX122" s="2" t="n">
        <f aca="false">AQ122-Entrées!$C$17*1000</f>
        <v>144.288844742727</v>
      </c>
      <c r="AY122" s="2" t="n">
        <f aca="false">AI122+(Entrées!$C$244-Entrées!$C$13)</f>
        <v>28238.9152095559</v>
      </c>
      <c r="AZ122" s="2" t="n">
        <f aca="false">AA122*AH122</f>
        <v>5558.12499275714</v>
      </c>
      <c r="BA122" s="2" t="n">
        <f aca="false">AZ122/AY122</f>
        <v>0.196825017941068</v>
      </c>
      <c r="BB122" s="2" t="n">
        <f aca="false">AZ122/(Entrées!$C$151/100)-AY122</f>
        <v>2639.5569724282</v>
      </c>
      <c r="BC122" s="2" t="n">
        <f aca="false">AT122+(Entrées!$C$244-Entrées!$C$13)</f>
        <v>28258.9114674987</v>
      </c>
      <c r="BD122" s="2" t="n">
        <f aca="false">AA122*AQ122</f>
        <v>6021.49548774138</v>
      </c>
      <c r="BE122" s="2" t="n">
        <f aca="false">BD122/BC122</f>
        <v>0.213083065661141</v>
      </c>
      <c r="BF122" s="2" t="n">
        <f aca="false">BD122/(Entrées!$C$151/100)-BC122</f>
        <v>5193.84124217565</v>
      </c>
      <c r="BG122" s="2" t="n">
        <f aca="false">MIN(AV122,BF122)</f>
        <v>1920.95506672952</v>
      </c>
      <c r="BH122" s="2" t="n">
        <f aca="false">IF(AC122&gt;Hypothèses!$J$26,MAX(0,BG122)/(1-Hypothèses!$J$26/AC122),0)</f>
        <v>2905.42780115482</v>
      </c>
    </row>
    <row r="123" customFormat="false" ht="15" hidden="false" customHeight="false" outlineLevel="0" collapsed="false">
      <c r="A123" s="2" t="n">
        <v>108</v>
      </c>
      <c r="B123" s="2" t="n">
        <v>0.71901347</v>
      </c>
      <c r="C123" s="2"/>
      <c r="D123" s="2" t="n">
        <v>0.270542598</v>
      </c>
      <c r="E123" s="2" t="n">
        <f aca="false">IF(E$7=E$5,E$6,IF(NORMSDIST(E$9*SQRT($C$11)*NORMSINV($B123)+SQRT(1-E$9^2*$C$11)*NORMSINV(D123))&lt;E$8,E$5+SQRT(NORMSDIST(E$9*SQRT($C$11)*NORMSINV($B123)+SQRT(1-E$9^2*$C$11)*NORMSINV(D123))*(E$7-E$5)*(E$6-E$5)),E$7-SQRT((1-NORMSDIST(E$9*SQRT($C$11)*NORMSINV($B123)+SQRT(1-E$9^2*$C$11)*NORMSINV(D123)))*(E$7-E$5)*(E$7-E$6))))</f>
        <v>0.0547829703073481</v>
      </c>
      <c r="F123" s="2" t="n">
        <v>0.689517557</v>
      </c>
      <c r="G123" s="2" t="n">
        <f aca="false">IF(G$7=G$5,G$6,IF(NORMSDIST(G$9*SQRT($C$11)*NORMSINV($B123)+SQRT(1-G$9^2*$C$11)*NORMSINV(F123))&lt;G$8,G$5+SQRT(NORMSDIST(G$9*SQRT($C$11)*NORMSINV($B123)+SQRT(1-G$9^2*$C$11)*NORMSINV(F123))*(G$7-G$5)*(G$6-G$5)),G$7-SQRT((1-NORMSDIST(G$9*SQRT($C$11)*NORMSINV($B123)+SQRT(1-G$9^2*$C$11)*NORMSINV(F123)))*(G$7-G$5)*(G$7-G$6))))</f>
        <v>0.0598999923544182</v>
      </c>
      <c r="H123" s="2" t="n">
        <v>0.917636396</v>
      </c>
      <c r="I123" s="2" t="n">
        <f aca="false">IF(I$7=I$5,I$6,IF(NORMSDIST(I$9*SQRT($C$11)*NORMSINV($B123)+SQRT(1-I$9^2*$C$11)*NORMSINV(H123))&lt;I$8,I$5+SQRT(NORMSDIST(I$9*SQRT($C$11)*NORMSINV($B123)+SQRT(1-I$9^2*$C$11)*NORMSINV(H123))*(I$7-I$5)*(I$6-I$5)),I$7-SQRT((1-NORMSDIST(I$9*SQRT($C$11)*NORMSINV($B123)+SQRT(1-I$9^2*$C$11)*NORMSINV(H123)))*(I$7-I$5)*(I$7-I$6))))</f>
        <v>212.279023709144</v>
      </c>
      <c r="J123" s="2" t="n">
        <v>0.956535622</v>
      </c>
      <c r="K123" s="2" t="n">
        <f aca="false">IF(K$7=K$5,K$6,IF(NORMSDIST(K$9*SQRT($C$11)*NORMSINV($B123)+SQRT(1-K$9^2*$C$11)*NORMSINV(J123))&lt;K$8,K$5+SQRT(NORMSDIST(K$9*SQRT($C$11)*NORMSINV($B123)+SQRT(1-K$9^2*$C$11)*NORMSINV(J123))*(K$7-K$5)*(K$6-K$5)),K$7-SQRT((1-NORMSDIST(K$9*SQRT($C$11)*NORMSINV($B123)+SQRT(1-K$9^2*$C$11)*NORMSINV(J123)))*(K$7-K$5)*(K$7-K$6))))</f>
        <v>0.424790211181482</v>
      </c>
      <c r="L123" s="2" t="n">
        <v>0.458026333</v>
      </c>
      <c r="M123" s="2" t="n">
        <f aca="false">IF(M$7=M$5,M$6,IF(NORMSDIST(M$9*SQRT($C$11)*NORMSINV($B123)+SQRT(1-M$9^2*$C$11)*NORMSINV(L123))&lt;M$8,M$5+SQRT(NORMSDIST(M$9*SQRT($C$11)*NORMSINV($B123)+SQRT(1-M$9^2*$C$11)*NORMSINV(L123))*(M$7-M$5)*(M$6-M$5)),M$7-SQRT((1-NORMSDIST(M$9*SQRT($C$11)*NORMSINV($B123)+SQRT(1-M$9^2*$C$11)*NORMSINV(L123)))*(M$7-M$5)*(M$7-M$6))))</f>
        <v>1615.4137489075</v>
      </c>
      <c r="N123" s="2" t="n">
        <v>0.072634817</v>
      </c>
      <c r="O123" s="2" t="n">
        <f aca="false">IF(O$7=O$5,O$6,IF(NORMSDIST(O$9*SQRT($C$11)*NORMSINV($B123)+SQRT(1-O$9^2*$C$11)*NORMSINV(N123))&lt;O$8,O$5+SQRT(NORMSDIST(O$9*SQRT($C$11)*NORMSINV($B123)+SQRT(1-O$9^2*$C$11)*NORMSINV(N123))*(O$7-O$5)*(O$6-O$5)),O$7-SQRT((1-NORMSDIST(O$9*SQRT($C$11)*NORMSINV($B123)+SQRT(1-O$9^2*$C$11)*NORMSINV(N123)))*(O$7-O$5)*(O$7-O$6))))</f>
        <v>0.157896077349364</v>
      </c>
      <c r="P123" s="2" t="n">
        <v>0.791827645</v>
      </c>
      <c r="Q123" s="2" t="n">
        <f aca="false">IF(Q$7=Q$5,Q$6,IF(NORMSDIST(Q$9*SQRT($C$11)*NORMSINV($B123)+SQRT(1-Q$9^2*$C$11)*NORMSINV(P123))&lt;Q$8,Q$5+SQRT(NORMSDIST(Q$9*SQRT($C$11)*NORMSINV($B123)+SQRT(1-Q$9^2*$C$11)*NORMSINV(P123))*(Q$7-Q$5)*(Q$6-Q$5)),Q$7-SQRT((1-NORMSDIST(Q$9*SQRT($C$11)*NORMSINV($B123)+SQRT(1-Q$9^2*$C$11)*NORMSINV(P123)))*(Q$7-Q$5)*(Q$7-Q$6))))</f>
        <v>0.0941900884154943</v>
      </c>
      <c r="R123" s="2" t="n">
        <v>0.423984013</v>
      </c>
      <c r="S123" s="2" t="n">
        <f aca="false">IF(S$7=S$5,S$6,IF(NORMSDIST(S$9*SQRT($C$11)*NORMSINV($B123)+SQRT(1-S$9^2*$C$11)*NORMSINV(R123))&lt;S$8,S$5+SQRT(NORMSDIST(S$9*SQRT($C$11)*NORMSINV($B123)+SQRT(1-S$9^2*$C$11)*NORMSINV(R123))*(S$7-S$5)*(S$6-S$5)),S$7-SQRT((1-NORMSDIST(S$9*SQRT($C$11)*NORMSINV($B123)+SQRT(1-S$9^2*$C$11)*NORMSINV(R123)))*(S$7-S$5)*(S$7-S$6))))</f>
        <v>0.54524219687705</v>
      </c>
      <c r="T123" s="2" t="n">
        <v>0.368474377</v>
      </c>
      <c r="U123" s="2" t="n">
        <f aca="false">IF(U$7=U$5,U$6,IF(NORMSDIST(U$9*SQRT($C$11)*NORMSINV($B123)+SQRT(1-U$9^2*$C$11)*NORMSINV(T123))&lt;U$8,U$5+SQRT(NORMSDIST(U$9*SQRT($C$11)*NORMSINV($B123)+SQRT(1-U$9^2*$C$11)*NORMSINV(T123))*(U$7-U$5)*(U$6-U$5)),U$7-SQRT((1-NORMSDIST(U$9*SQRT($C$11)*NORMSINV($B123)+SQRT(1-U$9^2*$C$11)*NORMSINV(T123)))*(U$7-U$5)*(U$7-U$6))))</f>
        <v>0.521690926105538</v>
      </c>
      <c r="V123" s="2" t="n">
        <v>0.875281673</v>
      </c>
      <c r="W123" s="2" t="n">
        <f aca="false">IF(W$7=W$5,W$6,IF(NORMSDIST(W$9*SQRT($C$11)*NORMSINV($B123)+SQRT(1-W$9^2*$C$11)*NORMSINV(V123))&lt;W$8,W$5+SQRT(NORMSDIST(W$9*SQRT($C$11)*NORMSINV($B123)+SQRT(1-W$9^2*$C$11)*NORMSINV(V123))*(W$7-W$5)*(W$6-W$5)),W$7-SQRT((1-NORMSDIST(W$9*SQRT($C$11)*NORMSINV($B123)+SQRT(1-W$9^2*$C$11)*NORMSINV(V123)))*(W$7-W$5)*(W$7-W$6))))</f>
        <v>11.0877036090091</v>
      </c>
      <c r="X123" s="2" t="n">
        <v>0.892640134</v>
      </c>
      <c r="Y123" s="2" t="n">
        <f aca="false">IF(Y$7=Y$5,Y$6,IF(NORMSDIST(Y$9*SQRT($C$11)*NORMSINV($B123)+SQRT(1-Y$9^2*$C$11)*NORMSINV(X123))&lt;Y$8,Y$5+SQRT(NORMSDIST(Y$9*SQRT($C$11)*NORMSINV($B123)+SQRT(1-Y$9^2*$C$11)*NORMSINV(X123))*(Y$7-Y$5)*(Y$6-Y$5)),Y$7-SQRT((1-NORMSDIST(Y$9*SQRT($C$11)*NORMSINV($B123)+SQRT(1-Y$9^2*$C$11)*NORMSINV(X123)))*(Y$7-Y$5)*(Y$7-Y$6))))</f>
        <v>0.76831069726895</v>
      </c>
      <c r="Z123" s="2" t="n">
        <v>0.549650316</v>
      </c>
      <c r="AA123" s="2" t="n">
        <f aca="false">IF(AA$7=AA$5,AA$6,IF(NORMSDIST(AA$9*SQRT($C$11)*NORMSINV($B123)+SQRT(1-AA$9^2*$C$11)*NORMSINV(Z123))&lt;AA$8,AA$5+SQRT(NORMSDIST(AA$9*SQRT($C$11)*NORMSINV($B123)+SQRT(1-AA$9^2*$C$11)*NORMSINV(Z123))*(AA$7-AA$5)*(AA$6-AA$5)),AA$7-SQRT((1-NORMSDIST(AA$9*SQRT($C$11)*NORMSINV($B123)+SQRT(1-AA$9^2*$C$11)*NORMSINV(Z123)))*(AA$7-AA$5)*(AA$7-AA$6))))</f>
        <v>0.733540456997064</v>
      </c>
      <c r="AB123" s="2" t="n">
        <v>0.028329074</v>
      </c>
      <c r="AC123" s="2" t="n">
        <f aca="false">IF(AC$7=AC$5,AC$6,IF(NORMSDIST(AC$9*SQRT($C$11)*NORMSINV($B123)+SQRT(1-AC$9^2*$C$11)*NORMSINV(AB123))&lt;AC$8,AC$5+SQRT(NORMSDIST(AC$9*SQRT($C$11)*NORMSINV($B123)+SQRT(1-AC$9^2*$C$11)*NORMSINV(AB123))*(AC$7-AC$5)*(AC$6-AC$5)),AC$7-SQRT((1-NORMSDIST(AC$9*SQRT($C$11)*NORMSINV($B123)+SQRT(1-AC$9^2*$C$11)*NORMSINV(AB123)))*(AC$7-AC$5)*(AC$7-AC$6))))</f>
        <v>8.47435879328037</v>
      </c>
      <c r="AD123" s="2" t="n">
        <f aca="false">Entrées!$C$8*(1+E123)</f>
        <v>7436.2199406668</v>
      </c>
      <c r="AE123" s="2" t="n">
        <f aca="false">I123*Hypothèses!$J$24/12/Hypothèses!$J$19</f>
        <v>105.31094423666</v>
      </c>
      <c r="AF123" s="2" t="n">
        <f aca="false">Entrées!$C$36*S123*1000</f>
        <v>272.621098438525</v>
      </c>
      <c r="AG123" s="2" t="n">
        <f aca="false">-AF123/W123</f>
        <v>-24.5876971510143</v>
      </c>
      <c r="AH123" s="2" t="n">
        <f aca="false">AD123+AE123+AG123</f>
        <v>7516.94318775245</v>
      </c>
      <c r="AI123" s="2" t="n">
        <f aca="false">Entrées!$C$16-M123+Hypothèses!$J$22*1000-AF123+Hypothèses!$J$23</f>
        <v>22659.965152654</v>
      </c>
      <c r="AJ123" s="2" t="n">
        <f aca="false">AI123/AH123</f>
        <v>3.01451861304133</v>
      </c>
      <c r="AK123" s="2" t="n">
        <f aca="false">AI123/(AH123+I123*(12-Hypothèses!$J$24)/12/Hypothèses!$J$19)</f>
        <v>2.98465118774173</v>
      </c>
      <c r="AL123" s="2" t="n">
        <f aca="false">(AD123+AG123+I123/Hypothèses!$J$19)*(1+G123)</f>
        <v>8046.93593364976</v>
      </c>
      <c r="AM123" s="2" t="n">
        <f aca="false">Entrées!$C$54*K123/Hypothèses!$J$19</f>
        <v>43.3516246299094</v>
      </c>
      <c r="AN123" s="2" t="n">
        <f aca="false">Y123*1000/AC123</f>
        <v>90.6629889069805</v>
      </c>
      <c r="AO123" s="2" t="n">
        <f aca="false">(Entrées!$C$36*(1-S123)+MAX(0,Entrées!$C$30-Entrées!$C$35-Entrées!$C$36)*U123)*1000</f>
        <v>957.746198109228</v>
      </c>
      <c r="AP123" s="2" t="n">
        <f aca="false">-AO123/W123</f>
        <v>-86.3791306011307</v>
      </c>
      <c r="AQ123" s="2" t="n">
        <f aca="false">AL123+AM123+AN123+AP123</f>
        <v>8094.57141658551</v>
      </c>
      <c r="AR123" s="2" t="n">
        <f aca="false">O123*AQ123-Hypothèses!$J$25/Hypothèses!$J$19</f>
        <v>1258.96591224151</v>
      </c>
      <c r="AS123" s="2" t="n">
        <f aca="false">Entrées!$C$79*(1+Q123)+Hypothèses!$J$20</f>
        <v>1497.51490716863</v>
      </c>
      <c r="AT123" s="2" t="n">
        <f aca="false">AI123-AR123+AS123+Y123*1000-AO123+Hypothèses!$J$23</f>
        <v>22709.0786467408</v>
      </c>
      <c r="AU123" s="2" t="n">
        <f aca="false">AT123/AQ123</f>
        <v>2.80547016982402</v>
      </c>
      <c r="AV123" s="2" t="n">
        <f aca="false">Hypothèses!$J$26*AQ123-AT123</f>
        <v>1574.63560301572</v>
      </c>
      <c r="AW123" s="2" t="n">
        <f aca="false">IF(AC123&gt;Hypothèses!$J$26,MAX(0,AV123)/(1-Hypothèses!$J$26/AC123),0)</f>
        <v>2437.5506926963</v>
      </c>
      <c r="AX123" s="2" t="n">
        <f aca="false">AQ123-Entrées!$C$17*1000</f>
        <v>94.5714165855143</v>
      </c>
      <c r="AY123" s="2" t="n">
        <f aca="false">AI123+(Entrées!$C$244-Entrées!$C$13)</f>
        <v>28406.965152654</v>
      </c>
      <c r="AZ123" s="2" t="n">
        <f aca="false">AA123*AH123</f>
        <v>5513.9819411649</v>
      </c>
      <c r="BA123" s="2" t="n">
        <f aca="false">AZ123/AY123</f>
        <v>0.194106688677715</v>
      </c>
      <c r="BB123" s="2" t="n">
        <f aca="false">AZ123/(Entrées!$C$151/100)-AY123</f>
        <v>2226.26785381767</v>
      </c>
      <c r="BC123" s="2" t="n">
        <f aca="false">AT123+(Entrées!$C$244-Entrées!$C$13)</f>
        <v>28456.0786467408</v>
      </c>
      <c r="BD123" s="2" t="n">
        <f aca="false">AA123*AQ123</f>
        <v>5937.69561611751</v>
      </c>
      <c r="BE123" s="2" t="n">
        <f aca="false">BD123/BC123</f>
        <v>0.20866176572778</v>
      </c>
      <c r="BF123" s="2" t="n">
        <f aca="false">BD123/(Entrées!$C$151/100)-BC123</f>
        <v>4531.11922057867</v>
      </c>
      <c r="BG123" s="2" t="n">
        <f aca="false">MIN(AV123,BF123)</f>
        <v>1574.63560301572</v>
      </c>
      <c r="BH123" s="2" t="n">
        <f aca="false">IF(AC123&gt;Hypothèses!$J$26,MAX(0,BG123)/(1-Hypothèses!$J$26/AC123),0)</f>
        <v>2437.5506926963</v>
      </c>
    </row>
    <row r="124" customFormat="false" ht="15" hidden="false" customHeight="false" outlineLevel="0" collapsed="false">
      <c r="A124" s="2" t="n">
        <v>109</v>
      </c>
      <c r="B124" s="2" t="n">
        <v>0.368477946</v>
      </c>
      <c r="C124" s="2"/>
      <c r="D124" s="2" t="n">
        <v>0.255640041</v>
      </c>
      <c r="E124" s="2" t="n">
        <f aca="false">IF(E$7=E$5,E$6,IF(NORMSDIST(E$9*SQRT($C$11)*NORMSINV($B124)+SQRT(1-E$9^2*$C$11)*NORMSINV(D124))&lt;E$8,E$5+SQRT(NORMSDIST(E$9*SQRT($C$11)*NORMSINV($B124)+SQRT(1-E$9^2*$C$11)*NORMSINV(D124))*(E$7-E$5)*(E$6-E$5)),E$7-SQRT((1-NORMSDIST(E$9*SQRT($C$11)*NORMSINV($B124)+SQRT(1-E$9^2*$C$11)*NORMSINV(D124)))*(E$7-E$5)*(E$7-E$6))))</f>
        <v>0.0534306395895364</v>
      </c>
      <c r="F124" s="2" t="n">
        <v>0.446011272</v>
      </c>
      <c r="G124" s="2" t="n">
        <f aca="false">IF(G$7=G$5,G$6,IF(NORMSDIST(G$9*SQRT($C$11)*NORMSINV($B124)+SQRT(1-G$9^2*$C$11)*NORMSINV(F124))&lt;G$8,G$5+SQRT(NORMSDIST(G$9*SQRT($C$11)*NORMSINV($B124)+SQRT(1-G$9^2*$C$11)*NORMSINV(F124))*(G$7-G$5)*(G$6-G$5)),G$7-SQRT((1-NORMSDIST(G$9*SQRT($C$11)*NORMSINV($B124)+SQRT(1-G$9^2*$C$11)*NORMSINV(F124)))*(G$7-G$5)*(G$7-G$6))))</f>
        <v>0.0529973269794927</v>
      </c>
      <c r="H124" s="2" t="n">
        <v>0.393359001</v>
      </c>
      <c r="I124" s="2" t="n">
        <f aca="false">IF(I$7=I$5,I$6,IF(NORMSDIST(I$9*SQRT($C$11)*NORMSINV($B124)+SQRT(1-I$9^2*$C$11)*NORMSINV(H124))&lt;I$8,I$5+SQRT(NORMSDIST(I$9*SQRT($C$11)*NORMSINV($B124)+SQRT(1-I$9^2*$C$11)*NORMSINV(H124))*(I$7-I$5)*(I$6-I$5)),I$7-SQRT((1-NORMSDIST(I$9*SQRT($C$11)*NORMSINV($B124)+SQRT(1-I$9^2*$C$11)*NORMSINV(H124)))*(I$7-I$5)*(I$7-I$6))))</f>
        <v>196.407440966572</v>
      </c>
      <c r="J124" s="2" t="n">
        <v>0.156213805</v>
      </c>
      <c r="K124" s="2" t="n">
        <f aca="false">IF(K$7=K$5,K$6,IF(NORMSDIST(K$9*SQRT($C$11)*NORMSINV($B124)+SQRT(1-K$9^2*$C$11)*NORMSINV(J124))&lt;K$8,K$5+SQRT(NORMSDIST(K$9*SQRT($C$11)*NORMSINV($B124)+SQRT(1-K$9^2*$C$11)*NORMSINV(J124))*(K$7-K$5)*(K$6-K$5)),K$7-SQRT((1-NORMSDIST(K$9*SQRT($C$11)*NORMSINV($B124)+SQRT(1-K$9^2*$C$11)*NORMSINV(J124)))*(K$7-K$5)*(K$7-K$6))))</f>
        <v>0.141375343086504</v>
      </c>
      <c r="L124" s="2" t="n">
        <v>0.965395427</v>
      </c>
      <c r="M124" s="2" t="n">
        <f aca="false">IF(M$7=M$5,M$6,IF(NORMSDIST(M$9*SQRT($C$11)*NORMSINV($B124)+SQRT(1-M$9^2*$C$11)*NORMSINV(L124))&lt;M$8,M$5+SQRT(NORMSDIST(M$9*SQRT($C$11)*NORMSINV($B124)+SQRT(1-M$9^2*$C$11)*NORMSINV(L124))*(M$7-M$5)*(M$6-M$5)),M$7-SQRT((1-NORMSDIST(M$9*SQRT($C$11)*NORMSINV($B124)+SQRT(1-M$9^2*$C$11)*NORMSINV(L124)))*(M$7-M$5)*(M$7-M$6))))</f>
        <v>1695.78872363913</v>
      </c>
      <c r="N124" s="2" t="n">
        <v>0.56132435</v>
      </c>
      <c r="O124" s="2" t="n">
        <f aca="false">IF(O$7=O$5,O$6,IF(NORMSDIST(O$9*SQRT($C$11)*NORMSINV($B124)+SQRT(1-O$9^2*$C$11)*NORMSINV(N124))&lt;O$8,O$5+SQRT(NORMSDIST(O$9*SQRT($C$11)*NORMSINV($B124)+SQRT(1-O$9^2*$C$11)*NORMSINV(N124))*(O$7-O$5)*(O$6-O$5)),O$7-SQRT((1-NORMSDIST(O$9*SQRT($C$11)*NORMSINV($B124)+SQRT(1-O$9^2*$C$11)*NORMSINV(N124)))*(O$7-O$5)*(O$7-O$6))))</f>
        <v>0.165774274419411</v>
      </c>
      <c r="P124" s="2" t="n">
        <v>0.425778937</v>
      </c>
      <c r="Q124" s="2" t="n">
        <f aca="false">IF(Q$7=Q$5,Q$6,IF(NORMSDIST(Q$9*SQRT($C$11)*NORMSINV($B124)+SQRT(1-Q$9^2*$C$11)*NORMSINV(P124))&lt;Q$8,Q$5+SQRT(NORMSDIST(Q$9*SQRT($C$11)*NORMSINV($B124)+SQRT(1-Q$9^2*$C$11)*NORMSINV(P124))*(Q$7-Q$5)*(Q$6-Q$5)),Q$7-SQRT((1-NORMSDIST(Q$9*SQRT($C$11)*NORMSINV($B124)+SQRT(1-Q$9^2*$C$11)*NORMSINV(P124)))*(Q$7-Q$5)*(Q$7-Q$6))))</f>
        <v>0.0769119573905259</v>
      </c>
      <c r="R124" s="2" t="n">
        <v>0.663364685</v>
      </c>
      <c r="S124" s="2" t="n">
        <f aca="false">IF(S$7=S$5,S$6,IF(NORMSDIST(S$9*SQRT($C$11)*NORMSINV($B124)+SQRT(1-S$9^2*$C$11)*NORMSINV(R124))&lt;S$8,S$5+SQRT(NORMSDIST(S$9*SQRT($C$11)*NORMSINV($B124)+SQRT(1-S$9^2*$C$11)*NORMSINV(R124))*(S$7-S$5)*(S$6-S$5)),S$7-SQRT((1-NORMSDIST(S$9*SQRT($C$11)*NORMSINV($B124)+SQRT(1-S$9^2*$C$11)*NORMSINV(R124)))*(S$7-S$5)*(S$7-S$6))))</f>
        <v>0.52326873028126</v>
      </c>
      <c r="T124" s="2" t="n">
        <v>0.766953561</v>
      </c>
      <c r="U124" s="2" t="n">
        <f aca="false">IF(U$7=U$5,U$6,IF(NORMSDIST(U$9*SQRT($C$11)*NORMSINV($B124)+SQRT(1-U$9^2*$C$11)*NORMSINV(T124))&lt;U$8,U$5+SQRT(NORMSDIST(U$9*SQRT($C$11)*NORMSINV($B124)+SQRT(1-U$9^2*$C$11)*NORMSINV(T124))*(U$7-U$5)*(U$6-U$5)),U$7-SQRT((1-NORMSDIST(U$9*SQRT($C$11)*NORMSINV($B124)+SQRT(1-U$9^2*$C$11)*NORMSINV(T124)))*(U$7-U$5)*(U$7-U$6))))</f>
        <v>0.574341839339114</v>
      </c>
      <c r="V124" s="2" t="n">
        <v>0.784006861</v>
      </c>
      <c r="W124" s="2" t="n">
        <f aca="false">IF(W$7=W$5,W$6,IF(NORMSDIST(W$9*SQRT($C$11)*NORMSINV($B124)+SQRT(1-W$9^2*$C$11)*NORMSINV(V124))&lt;W$8,W$5+SQRT(NORMSDIST(W$9*SQRT($C$11)*NORMSINV($B124)+SQRT(1-W$9^2*$C$11)*NORMSINV(V124))*(W$7-W$5)*(W$6-W$5)),W$7-SQRT((1-NORMSDIST(W$9*SQRT($C$11)*NORMSINV($B124)+SQRT(1-W$9^2*$C$11)*NORMSINV(V124)))*(W$7-W$5)*(W$7-W$6))))</f>
        <v>10.336357760751</v>
      </c>
      <c r="X124" s="2" t="n">
        <v>0.050356118</v>
      </c>
      <c r="Y124" s="2" t="n">
        <f aca="false">IF(Y$7=Y$5,Y$6,IF(NORMSDIST(Y$9*SQRT($C$11)*NORMSINV($B124)+SQRT(1-Y$9^2*$C$11)*NORMSINV(X124))&lt;Y$8,Y$5+SQRT(NORMSDIST(Y$9*SQRT($C$11)*NORMSINV($B124)+SQRT(1-Y$9^2*$C$11)*NORMSINV(X124))*(Y$7-Y$5)*(Y$6-Y$5)),Y$7-SQRT((1-NORMSDIST(Y$9*SQRT($C$11)*NORMSINV($B124)+SQRT(1-Y$9^2*$C$11)*NORMSINV(X124)))*(Y$7-Y$5)*(Y$7-Y$6))))</f>
        <v>0.158675955960568</v>
      </c>
      <c r="Z124" s="2" t="n">
        <v>0.861332038</v>
      </c>
      <c r="AA124" s="2" t="n">
        <f aca="false">IF(AA$7=AA$5,AA$6,IF(NORMSDIST(AA$9*SQRT($C$11)*NORMSINV($B124)+SQRT(1-AA$9^2*$C$11)*NORMSINV(Z124))&lt;AA$8,AA$5+SQRT(NORMSDIST(AA$9*SQRT($C$11)*NORMSINV($B124)+SQRT(1-AA$9^2*$C$11)*NORMSINV(Z124))*(AA$7-AA$5)*(AA$6-AA$5)),AA$7-SQRT((1-NORMSDIST(AA$9*SQRT($C$11)*NORMSINV($B124)+SQRT(1-AA$9^2*$C$11)*NORMSINV(Z124)))*(AA$7-AA$5)*(AA$7-AA$6))))</f>
        <v>0.735425815848884</v>
      </c>
      <c r="AB124" s="2" t="n">
        <v>0.521247501</v>
      </c>
      <c r="AC124" s="2" t="n">
        <f aca="false">IF(AC$7=AC$5,AC$6,IF(NORMSDIST(AC$9*SQRT($C$11)*NORMSINV($B124)+SQRT(1-AC$9^2*$C$11)*NORMSINV(AB124))&lt;AC$8,AC$5+SQRT(NORMSDIST(AC$9*SQRT($C$11)*NORMSINV($B124)+SQRT(1-AC$9^2*$C$11)*NORMSINV(AB124))*(AC$7-AC$5)*(AC$6-AC$5)),AC$7-SQRT((1-NORMSDIST(AC$9*SQRT($C$11)*NORMSINV($B124)+SQRT(1-AC$9^2*$C$11)*NORMSINV(AB124)))*(AC$7-AC$5)*(AC$7-AC$6))))</f>
        <v>9.33207266564503</v>
      </c>
      <c r="AD124" s="2" t="n">
        <f aca="false">Entrées!$C$8*(1+E124)</f>
        <v>7426.68600910623</v>
      </c>
      <c r="AE124" s="2" t="n">
        <f aca="false">I124*Hypothèses!$J$24/12/Hypothèses!$J$19</f>
        <v>97.4371028370464</v>
      </c>
      <c r="AF124" s="2" t="n">
        <f aca="false">Entrées!$C$36*S124*1000</f>
        <v>261.63436514063</v>
      </c>
      <c r="AG124" s="2" t="n">
        <f aca="false">-AF124/W124</f>
        <v>-25.312046196205</v>
      </c>
      <c r="AH124" s="2" t="n">
        <f aca="false">AD124+AE124+AG124</f>
        <v>7498.81106574707</v>
      </c>
      <c r="AI124" s="2" t="n">
        <f aca="false">Entrées!$C$16-M124+Hypothèses!$J$22*1000-AF124+Hypothèses!$J$23</f>
        <v>22590.5769112202</v>
      </c>
      <c r="AJ124" s="2" t="n">
        <f aca="false">AI124/AH124</f>
        <v>3.01255448539156</v>
      </c>
      <c r="AK124" s="2" t="n">
        <f aca="false">AI124/(AH124+I124*(12-Hypothèses!$J$24)/12/Hypothèses!$J$19)</f>
        <v>2.98485149549</v>
      </c>
      <c r="AL124" s="2" t="n">
        <f aca="false">(AD124+AG124+I124/Hypothèses!$J$19)*(1+G124)</f>
        <v>7969.51444263879</v>
      </c>
      <c r="AM124" s="2" t="n">
        <f aca="false">Entrées!$C$54*K124/Hypothèses!$J$19</f>
        <v>14.4279473586843</v>
      </c>
      <c r="AN124" s="2" t="n">
        <f aca="false">Y124*1000/AC124</f>
        <v>17.0032919422836</v>
      </c>
      <c r="AO124" s="2" t="n">
        <f aca="false">(Entrées!$C$36*(1-S124)+MAX(0,Entrées!$C$30-Entrées!$C$35-Entrées!$C$36)*U124)*1000</f>
        <v>1042.44420993413</v>
      </c>
      <c r="AP124" s="2" t="n">
        <f aca="false">-AO124/W124</f>
        <v>-100.852179661629</v>
      </c>
      <c r="AQ124" s="2" t="n">
        <f aca="false">AL124+AM124+AN124+AP124</f>
        <v>7900.09350227813</v>
      </c>
      <c r="AR124" s="2" t="n">
        <f aca="false">O124*AQ124-Hypothèses!$J$25/Hypothèses!$J$19</f>
        <v>1290.49710592403</v>
      </c>
      <c r="AS124" s="2" t="n">
        <f aca="false">Entrées!$C$79*(1+Q124)+Hypothèses!$J$20</f>
        <v>1478.52624117219</v>
      </c>
      <c r="AT124" s="2" t="n">
        <f aca="false">AI124-AR124+AS124+Y124*1000-AO124+Hypothèses!$J$23</f>
        <v>21894.8377924948</v>
      </c>
      <c r="AU124" s="2" t="n">
        <f aca="false">AT124/AQ124</f>
        <v>2.77146565242311</v>
      </c>
      <c r="AV124" s="2" t="n">
        <f aca="false">Hypothèses!$J$26*AQ124-AT124</f>
        <v>1805.44271433956</v>
      </c>
      <c r="AW124" s="2" t="n">
        <f aca="false">IF(AC124&gt;Hypothèses!$J$26,MAX(0,AV124)/(1-Hypothèses!$J$26/AC124),0)</f>
        <v>2660.82268690451</v>
      </c>
      <c r="AX124" s="2" t="n">
        <f aca="false">AQ124-Entrées!$C$17*1000</f>
        <v>-99.9064977218704</v>
      </c>
      <c r="AY124" s="2" t="n">
        <f aca="false">AI124+(Entrées!$C$244-Entrées!$C$13)</f>
        <v>28337.5769112202</v>
      </c>
      <c r="AZ124" s="2" t="n">
        <f aca="false">AA124*AH124</f>
        <v>5514.81924592368</v>
      </c>
      <c r="BA124" s="2" t="n">
        <f aca="false">AZ124/AY124</f>
        <v>0.194611531649345</v>
      </c>
      <c r="BB124" s="2" t="n">
        <f aca="false">AZ124/(Entrées!$C$151/100)-AY124</f>
        <v>2300.30778835576</v>
      </c>
      <c r="BC124" s="2" t="n">
        <f aca="false">AT124+(Entrées!$C$244-Entrées!$C$13)</f>
        <v>27641.8377924948</v>
      </c>
      <c r="BD124" s="2" t="n">
        <f aca="false">AA124*AQ124</f>
        <v>5809.93270919536</v>
      </c>
      <c r="BE124" s="2" t="n">
        <f aca="false">BD124/BC124</f>
        <v>0.210186195028351</v>
      </c>
      <c r="BF124" s="2" t="n">
        <f aca="false">BD124/(Entrées!$C$151/100)-BC124</f>
        <v>4635.5661474794</v>
      </c>
      <c r="BG124" s="2" t="n">
        <f aca="false">MIN(AV124,BF124)</f>
        <v>1805.44271433956</v>
      </c>
      <c r="BH124" s="2" t="n">
        <f aca="false">IF(AC124&gt;Hypothèses!$J$26,MAX(0,BG124)/(1-Hypothèses!$J$26/AC124),0)</f>
        <v>2660.82268690451</v>
      </c>
    </row>
    <row r="125" customFormat="false" ht="15" hidden="false" customHeight="false" outlineLevel="0" collapsed="false">
      <c r="A125" s="2" t="n">
        <v>110</v>
      </c>
      <c r="B125" s="2" t="n">
        <v>0.477030983</v>
      </c>
      <c r="C125" s="2"/>
      <c r="D125" s="2" t="n">
        <v>0.279463424</v>
      </c>
      <c r="E125" s="2" t="n">
        <f aca="false">IF(E$7=E$5,E$6,IF(NORMSDIST(E$9*SQRT($C$11)*NORMSINV($B125)+SQRT(1-E$9^2*$C$11)*NORMSINV(D125))&lt;E$8,E$5+SQRT(NORMSDIST(E$9*SQRT($C$11)*NORMSINV($B125)+SQRT(1-E$9^2*$C$11)*NORMSINV(D125))*(E$7-E$5)*(E$6-E$5)),E$7-SQRT((1-NORMSDIST(E$9*SQRT($C$11)*NORMSINV($B125)+SQRT(1-E$9^2*$C$11)*NORMSINV(D125)))*(E$7-E$5)*(E$7-E$6))))</f>
        <v>0.0539520419237434</v>
      </c>
      <c r="F125" s="2" t="n">
        <v>0.940497894</v>
      </c>
      <c r="G125" s="2" t="n">
        <f aca="false">IF(G$7=G$5,G$6,IF(NORMSDIST(G$9*SQRT($C$11)*NORMSINV($B125)+SQRT(1-G$9^2*$C$11)*NORMSINV(F125))&lt;G$8,G$5+SQRT(NORMSDIST(G$9*SQRT($C$11)*NORMSINV($B125)+SQRT(1-G$9^2*$C$11)*NORMSINV(F125))*(G$7-G$5)*(G$6-G$5)),G$7-SQRT((1-NORMSDIST(G$9*SQRT($C$11)*NORMSINV($B125)+SQRT(1-G$9^2*$C$11)*NORMSINV(F125)))*(G$7-G$5)*(G$7-G$6))))</f>
        <v>0.0626279351118278</v>
      </c>
      <c r="H125" s="2" t="n">
        <v>0.609405292</v>
      </c>
      <c r="I125" s="2" t="n">
        <f aca="false">IF(I$7=I$5,I$6,IF(NORMSDIST(I$9*SQRT($C$11)*NORMSINV($B125)+SQRT(1-I$9^2*$C$11)*NORMSINV(H125))&lt;I$8,I$5+SQRT(NORMSDIST(I$9*SQRT($C$11)*NORMSINV($B125)+SQRT(1-I$9^2*$C$11)*NORMSINV(H125))*(I$7-I$5)*(I$6-I$5)),I$7-SQRT((1-NORMSDIST(I$9*SQRT($C$11)*NORMSINV($B125)+SQRT(1-I$9^2*$C$11)*NORMSINV(H125)))*(I$7-I$5)*(I$7-I$6))))</f>
        <v>201.472688492832</v>
      </c>
      <c r="J125" s="2" t="n">
        <v>0.147381798</v>
      </c>
      <c r="K125" s="2" t="n">
        <f aca="false">IF(K$7=K$5,K$6,IF(NORMSDIST(K$9*SQRT($C$11)*NORMSINV($B125)+SQRT(1-K$9^2*$C$11)*NORMSINV(J125))&lt;K$8,K$5+SQRT(NORMSDIST(K$9*SQRT($C$11)*NORMSINV($B125)+SQRT(1-K$9^2*$C$11)*NORMSINV(J125))*(K$7-K$5)*(K$6-K$5)),K$7-SQRT((1-NORMSDIST(K$9*SQRT($C$11)*NORMSINV($B125)+SQRT(1-K$9^2*$C$11)*NORMSINV(J125)))*(K$7-K$5)*(K$7-K$6))))</f>
        <v>0.157408208341731</v>
      </c>
      <c r="L125" s="2" t="n">
        <v>0.224873121</v>
      </c>
      <c r="M125" s="2" t="n">
        <f aca="false">IF(M$7=M$5,M$6,IF(NORMSDIST(M$9*SQRT($C$11)*NORMSINV($B125)+SQRT(1-M$9^2*$C$11)*NORMSINV(L125))&lt;M$8,M$5+SQRT(NORMSDIST(M$9*SQRT($C$11)*NORMSINV($B125)+SQRT(1-M$9^2*$C$11)*NORMSINV(L125))*(M$7-M$5)*(M$6-M$5)),M$7-SQRT((1-NORMSDIST(M$9*SQRT($C$11)*NORMSINV($B125)+SQRT(1-M$9^2*$C$11)*NORMSINV(L125)))*(M$7-M$5)*(M$7-M$6))))</f>
        <v>1509.38380326222</v>
      </c>
      <c r="N125" s="2" t="n">
        <v>0.212849972</v>
      </c>
      <c r="O125" s="2" t="n">
        <f aca="false">IF(O$7=O$5,O$6,IF(NORMSDIST(O$9*SQRT($C$11)*NORMSINV($B125)+SQRT(1-O$9^2*$C$11)*NORMSINV(N125))&lt;O$8,O$5+SQRT(NORMSDIST(O$9*SQRT($C$11)*NORMSINV($B125)+SQRT(1-O$9^2*$C$11)*NORMSINV(N125))*(O$7-O$5)*(O$6-O$5)),O$7-SQRT((1-NORMSDIST(O$9*SQRT($C$11)*NORMSINV($B125)+SQRT(1-O$9^2*$C$11)*NORMSINV(N125)))*(O$7-O$5)*(O$7-O$6))))</f>
        <v>0.159192782800413</v>
      </c>
      <c r="P125" s="2" t="n">
        <v>0.681430404</v>
      </c>
      <c r="Q125" s="2" t="n">
        <f aca="false">IF(Q$7=Q$5,Q$6,IF(NORMSDIST(Q$9*SQRT($C$11)*NORMSINV($B125)+SQRT(1-Q$9^2*$C$11)*NORMSINV(P125))&lt;Q$8,Q$5+SQRT(NORMSDIST(Q$9*SQRT($C$11)*NORMSINV($B125)+SQRT(1-Q$9^2*$C$11)*NORMSINV(P125))*(Q$7-Q$5)*(Q$6-Q$5)),Q$7-SQRT((1-NORMSDIST(Q$9*SQRT($C$11)*NORMSINV($B125)+SQRT(1-Q$9^2*$C$11)*NORMSINV(P125)))*(Q$7-Q$5)*(Q$7-Q$6))))</f>
        <v>0.0880716003031784</v>
      </c>
      <c r="R125" s="2" t="n">
        <v>0.240863411</v>
      </c>
      <c r="S125" s="2" t="n">
        <f aca="false">IF(S$7=S$5,S$6,IF(NORMSDIST(S$9*SQRT($C$11)*NORMSINV($B125)+SQRT(1-S$9^2*$C$11)*NORMSINV(R125))&lt;S$8,S$5+SQRT(NORMSDIST(S$9*SQRT($C$11)*NORMSINV($B125)+SQRT(1-S$9^2*$C$11)*NORMSINV(R125))*(S$7-S$5)*(S$6-S$5)),S$7-SQRT((1-NORMSDIST(S$9*SQRT($C$11)*NORMSINV($B125)+SQRT(1-S$9^2*$C$11)*NORMSINV(R125)))*(S$7-S$5)*(S$7-S$6))))</f>
        <v>0.374493549341201</v>
      </c>
      <c r="T125" s="2" t="n">
        <v>0.418284752</v>
      </c>
      <c r="U125" s="2" t="n">
        <f aca="false">IF(U$7=U$5,U$6,IF(NORMSDIST(U$9*SQRT($C$11)*NORMSINV($B125)+SQRT(1-U$9^2*$C$11)*NORMSINV(T125))&lt;U$8,U$5+SQRT(NORMSDIST(U$9*SQRT($C$11)*NORMSINV($B125)+SQRT(1-U$9^2*$C$11)*NORMSINV(T125))*(U$7-U$5)*(U$6-U$5)),U$7-SQRT((1-NORMSDIST(U$9*SQRT($C$11)*NORMSINV($B125)+SQRT(1-U$9^2*$C$11)*NORMSINV(T125)))*(U$7-U$5)*(U$7-U$6))))</f>
        <v>0.459466508469648</v>
      </c>
      <c r="V125" s="2" t="n">
        <v>0.989012585</v>
      </c>
      <c r="W125" s="2" t="n">
        <f aca="false">IF(W$7=W$5,W$6,IF(NORMSDIST(W$9*SQRT($C$11)*NORMSINV($B125)+SQRT(1-W$9^2*$C$11)*NORMSINV(V125))&lt;W$8,W$5+SQRT(NORMSDIST(W$9*SQRT($C$11)*NORMSINV($B125)+SQRT(1-W$9^2*$C$11)*NORMSINV(V125))*(W$7-W$5)*(W$6-W$5)),W$7-SQRT((1-NORMSDIST(W$9*SQRT($C$11)*NORMSINV($B125)+SQRT(1-W$9^2*$C$11)*NORMSINV(V125)))*(W$7-W$5)*(W$7-W$6))))</f>
        <v>11.4265603306037</v>
      </c>
      <c r="X125" s="2" t="n">
        <v>0.920492704</v>
      </c>
      <c r="Y125" s="2" t="n">
        <f aca="false">IF(Y$7=Y$5,Y$6,IF(NORMSDIST(Y$9*SQRT($C$11)*NORMSINV($B125)+SQRT(1-Y$9^2*$C$11)*NORMSINV(X125))&lt;Y$8,Y$5+SQRT(NORMSDIST(Y$9*SQRT($C$11)*NORMSINV($B125)+SQRT(1-Y$9^2*$C$11)*NORMSINV(X125))*(Y$7-Y$5)*(Y$6-Y$5)),Y$7-SQRT((1-NORMSDIST(Y$9*SQRT($C$11)*NORMSINV($B125)+SQRT(1-Y$9^2*$C$11)*NORMSINV(X125)))*(Y$7-Y$5)*(Y$7-Y$6))))</f>
        <v>0.800616831201829</v>
      </c>
      <c r="Z125" s="2" t="n">
        <v>0.908020037</v>
      </c>
      <c r="AA125" s="2" t="n">
        <f aca="false">IF(AA$7=AA$5,AA$6,IF(NORMSDIST(AA$9*SQRT($C$11)*NORMSINV($B125)+SQRT(1-AA$9^2*$C$11)*NORMSINV(Z125))&lt;AA$8,AA$5+SQRT(NORMSDIST(AA$9*SQRT($C$11)*NORMSINV($B125)+SQRT(1-AA$9^2*$C$11)*NORMSINV(Z125))*(AA$7-AA$5)*(AA$6-AA$5)),AA$7-SQRT((1-NORMSDIST(AA$9*SQRT($C$11)*NORMSINV($B125)+SQRT(1-AA$9^2*$C$11)*NORMSINV(Z125)))*(AA$7-AA$5)*(AA$7-AA$6))))</f>
        <v>0.739511086106642</v>
      </c>
      <c r="AB125" s="2" t="n">
        <v>0.975350956</v>
      </c>
      <c r="AC125" s="2" t="n">
        <f aca="false">IF(AC$7=AC$5,AC$6,IF(NORMSDIST(AC$9*SQRT($C$11)*NORMSINV($B125)+SQRT(1-AC$9^2*$C$11)*NORMSINV(AB125))&lt;AC$8,AC$5+SQRT(NORMSDIST(AC$9*SQRT($C$11)*NORMSINV($B125)+SQRT(1-AC$9^2*$C$11)*NORMSINV(AB125))*(AC$7-AC$5)*(AC$6-AC$5)),AC$7-SQRT((1-NORMSDIST(AC$9*SQRT($C$11)*NORMSINV($B125)+SQRT(1-AC$9^2*$C$11)*NORMSINV(AB125)))*(AC$7-AC$5)*(AC$7-AC$6))))</f>
        <v>10.455684775724</v>
      </c>
      <c r="AD125" s="2" t="n">
        <f aca="false">Entrées!$C$8*(1+E125)</f>
        <v>7430.36189556239</v>
      </c>
      <c r="AE125" s="2" t="n">
        <f aca="false">I125*Hypothèses!$J$24/12/Hypothèses!$J$19</f>
        <v>99.9499559228687</v>
      </c>
      <c r="AF125" s="2" t="n">
        <f aca="false">Entrées!$C$36*S125*1000</f>
        <v>187.2467746706</v>
      </c>
      <c r="AG125" s="2" t="n">
        <f aca="false">-AF125/W125</f>
        <v>-16.3869764174874</v>
      </c>
      <c r="AH125" s="2" t="n">
        <f aca="false">AD125+AE125+AG125</f>
        <v>7513.92487506777</v>
      </c>
      <c r="AI125" s="2" t="n">
        <f aca="false">Entrées!$C$16-M125+Hypothèses!$J$22*1000-AF125+Hypothèses!$J$23</f>
        <v>22851.3694220672</v>
      </c>
      <c r="AJ125" s="2" t="n">
        <f aca="false">AI125/AH125</f>
        <v>3.04120280705642</v>
      </c>
      <c r="AK125" s="2" t="n">
        <f aca="false">AI125/(AH125+I125*(12-Hypothèses!$J$24)/12/Hypothèses!$J$19)</f>
        <v>3.01257908022457</v>
      </c>
      <c r="AL125" s="2" t="n">
        <f aca="false">(AD125+AG125+I125/Hypothèses!$J$19)*(1+G125)</f>
        <v>8060.37048549069</v>
      </c>
      <c r="AM125" s="2" t="n">
        <f aca="false">Entrées!$C$54*K125/Hypothèses!$J$19</f>
        <v>16.0641685756311</v>
      </c>
      <c r="AN125" s="2" t="n">
        <f aca="false">Y125*1000/AC125</f>
        <v>76.5723956273723</v>
      </c>
      <c r="AO125" s="2" t="n">
        <f aca="false">(Entrées!$C$36*(1-S125)+MAX(0,Entrées!$C$30-Entrées!$C$35-Entrées!$C$36)*U125)*1000</f>
        <v>956.006337186907</v>
      </c>
      <c r="AP125" s="2" t="n">
        <f aca="false">-AO125/W125</f>
        <v>-83.665277172382</v>
      </c>
      <c r="AQ125" s="2" t="n">
        <f aca="false">AL125+AM125+AN125+AP125</f>
        <v>8069.34177252131</v>
      </c>
      <c r="AR125" s="2" t="n">
        <f aca="false">O125*AQ125-Hypothèses!$J$25/Hypothèses!$J$19</f>
        <v>1265.44580987366</v>
      </c>
      <c r="AS125" s="2" t="n">
        <f aca="false">Entrées!$C$79*(1+Q125)+Hypothèses!$J$20</f>
        <v>1490.79068873319</v>
      </c>
      <c r="AT125" s="2" t="n">
        <f aca="false">AI125-AR125+AS125+Y125*1000-AO125+Hypothèses!$J$23</f>
        <v>22921.3247949416</v>
      </c>
      <c r="AU125" s="2" t="n">
        <f aca="false">AT125/AQ125</f>
        <v>2.84054455011387</v>
      </c>
      <c r="AV125" s="2" t="n">
        <f aca="false">Hypothèses!$J$26*AQ125-AT125</f>
        <v>1286.7005226223</v>
      </c>
      <c r="AW125" s="2" t="n">
        <f aca="false">IF(AC125&gt;Hypothèses!$J$26,MAX(0,AV125)/(1-Hypothèses!$J$26/AC125),0)</f>
        <v>1804.43989653408</v>
      </c>
      <c r="AX125" s="2" t="n">
        <f aca="false">AQ125-Entrées!$C$17*1000</f>
        <v>69.3417725213121</v>
      </c>
      <c r="AY125" s="2" t="n">
        <f aca="false">AI125+(Entrées!$C$244-Entrées!$C$13)</f>
        <v>28598.3694220672</v>
      </c>
      <c r="AZ125" s="2" t="n">
        <f aca="false">AA125*AH125</f>
        <v>5556.63074528508</v>
      </c>
      <c r="BA125" s="2" t="n">
        <f aca="false">AZ125/AY125</f>
        <v>0.194298865899587</v>
      </c>
      <c r="BB125" s="2" t="n">
        <f aca="false">AZ125/(Entrées!$C$151/100)-AY125</f>
        <v>2271.80138507217</v>
      </c>
      <c r="BC125" s="2" t="n">
        <f aca="false">AT125+(Entrées!$C$244-Entrées!$C$13)</f>
        <v>28668.3247949416</v>
      </c>
      <c r="BD125" s="2" t="n">
        <f aca="false">AA125*AQ125</f>
        <v>5967.36769836293</v>
      </c>
      <c r="BE125" s="2" t="n">
        <f aca="false">BD125/BC125</f>
        <v>0.208151949618481</v>
      </c>
      <c r="BF125" s="2" t="n">
        <f aca="false">BD125/(Entrées!$C$151/100)-BC125</f>
        <v>4483.71797374131</v>
      </c>
      <c r="BG125" s="2" t="n">
        <f aca="false">MIN(AV125,BF125)</f>
        <v>1286.7005226223</v>
      </c>
      <c r="BH125" s="2" t="n">
        <f aca="false">IF(AC125&gt;Hypothèses!$J$26,MAX(0,BG125)/(1-Hypothèses!$J$26/AC125),0)</f>
        <v>1804.43989653408</v>
      </c>
    </row>
    <row r="126" customFormat="false" ht="15" hidden="false" customHeight="false" outlineLevel="0" collapsed="false">
      <c r="A126" s="2" t="n">
        <v>111</v>
      </c>
      <c r="B126" s="2" t="n">
        <v>0.965458081</v>
      </c>
      <c r="C126" s="2"/>
      <c r="D126" s="2" t="n">
        <v>0.852633971</v>
      </c>
      <c r="E126" s="2" t="n">
        <f aca="false">IF(E$7=E$5,E$6,IF(NORMSDIST(E$9*SQRT($C$11)*NORMSINV($B126)+SQRT(1-E$9^2*$C$11)*NORMSINV(D126))&lt;E$8,E$5+SQRT(NORMSDIST(E$9*SQRT($C$11)*NORMSINV($B126)+SQRT(1-E$9^2*$C$11)*NORMSINV(D126))*(E$7-E$5)*(E$6-E$5)),E$7-SQRT((1-NORMSDIST(E$9*SQRT($C$11)*NORMSINV($B126)+SQRT(1-E$9^2*$C$11)*NORMSINV(D126)))*(E$7-E$5)*(E$7-E$6))))</f>
        <v>0.0588837670146706</v>
      </c>
      <c r="F126" s="2" t="n">
        <v>0.440294856</v>
      </c>
      <c r="G126" s="2" t="n">
        <f aca="false">IF(G$7=G$5,G$6,IF(NORMSDIST(G$9*SQRT($C$11)*NORMSINV($B126)+SQRT(1-G$9^2*$C$11)*NORMSINV(F126))&lt;G$8,G$5+SQRT(NORMSDIST(G$9*SQRT($C$11)*NORMSINV($B126)+SQRT(1-G$9^2*$C$11)*NORMSINV(F126))*(G$7-G$5)*(G$6-G$5)),G$7-SQRT((1-NORMSDIST(G$9*SQRT($C$11)*NORMSINV($B126)+SQRT(1-G$9^2*$C$11)*NORMSINV(F126)))*(G$7-G$5)*(G$7-G$6))))</f>
        <v>0.0617645382471388</v>
      </c>
      <c r="H126" s="2" t="n">
        <v>0.598424159</v>
      </c>
      <c r="I126" s="2" t="n">
        <f aca="false">IF(I$7=I$5,I$6,IF(NORMSDIST(I$9*SQRT($C$11)*NORMSINV($B126)+SQRT(1-I$9^2*$C$11)*NORMSINV(H126))&lt;I$8,I$5+SQRT(NORMSDIST(I$9*SQRT($C$11)*NORMSINV($B126)+SQRT(1-I$9^2*$C$11)*NORMSINV(H126))*(I$7-I$5)*(I$6-I$5)),I$7-SQRT((1-NORMSDIST(I$9*SQRT($C$11)*NORMSINV($B126)+SQRT(1-I$9^2*$C$11)*NORMSINV(H126)))*(I$7-I$5)*(I$7-I$6))))</f>
        <v>211.530416583406</v>
      </c>
      <c r="J126" s="2" t="n">
        <v>0.250273861</v>
      </c>
      <c r="K126" s="2" t="n">
        <f aca="false">IF(K$7=K$5,K$6,IF(NORMSDIST(K$9*SQRT($C$11)*NORMSINV($B126)+SQRT(1-K$9^2*$C$11)*NORMSINV(J126))&lt;K$8,K$5+SQRT(NORMSDIST(K$9*SQRT($C$11)*NORMSINV($B126)+SQRT(1-K$9^2*$C$11)*NORMSINV(J126))*(K$7-K$5)*(K$6-K$5)),K$7-SQRT((1-NORMSDIST(K$9*SQRT($C$11)*NORMSINV($B126)+SQRT(1-K$9^2*$C$11)*NORMSINV(J126)))*(K$7-K$5)*(K$7-K$6))))</f>
        <v>0.317988980496578</v>
      </c>
      <c r="L126" s="2" t="n">
        <v>0.765902854</v>
      </c>
      <c r="M126" s="2" t="n">
        <f aca="false">IF(M$7=M$5,M$6,IF(NORMSDIST(M$9*SQRT($C$11)*NORMSINV($B126)+SQRT(1-M$9^2*$C$11)*NORMSINV(L126))&lt;M$8,M$5+SQRT(NORMSDIST(M$9*SQRT($C$11)*NORMSINV($B126)+SQRT(1-M$9^2*$C$11)*NORMSINV(L126))*(M$7-M$5)*(M$6-M$5)),M$7-SQRT((1-NORMSDIST(M$9*SQRT($C$11)*NORMSINV($B126)+SQRT(1-M$9^2*$C$11)*NORMSINV(L126)))*(M$7-M$5)*(M$7-M$6))))</f>
        <v>1733.06465041964</v>
      </c>
      <c r="N126" s="2" t="n">
        <v>0.728851449</v>
      </c>
      <c r="O126" s="2" t="n">
        <f aca="false">IF(O$7=O$5,O$6,IF(NORMSDIST(O$9*SQRT($C$11)*NORMSINV($B126)+SQRT(1-O$9^2*$C$11)*NORMSINV(N126))&lt;O$8,O$5+SQRT(NORMSDIST(O$9*SQRT($C$11)*NORMSINV($B126)+SQRT(1-O$9^2*$C$11)*NORMSINV(N126))*(O$7-O$5)*(O$6-O$5)),O$7-SQRT((1-NORMSDIST(O$9*SQRT($C$11)*NORMSINV($B126)+SQRT(1-O$9^2*$C$11)*NORMSINV(N126)))*(O$7-O$5)*(O$7-O$6))))</f>
        <v>0.182526747112112</v>
      </c>
      <c r="P126" s="2" t="n">
        <v>0.060003981</v>
      </c>
      <c r="Q126" s="2" t="n">
        <f aca="false">IF(Q$7=Q$5,Q$6,IF(NORMSDIST(Q$9*SQRT($C$11)*NORMSINV($B126)+SQRT(1-Q$9^2*$C$11)*NORMSINV(P126))&lt;Q$8,Q$5+SQRT(NORMSDIST(Q$9*SQRT($C$11)*NORMSINV($B126)+SQRT(1-Q$9^2*$C$11)*NORMSINV(P126))*(Q$7-Q$5)*(Q$6-Q$5)),Q$7-SQRT((1-NORMSDIST(Q$9*SQRT($C$11)*NORMSINV($B126)+SQRT(1-Q$9^2*$C$11)*NORMSINV(P126)))*(Q$7-Q$5)*(Q$7-Q$6))))</f>
        <v>0.0538568661392106</v>
      </c>
      <c r="R126" s="2" t="n">
        <v>0.637410402</v>
      </c>
      <c r="S126" s="2" t="n">
        <f aca="false">IF(S$7=S$5,S$6,IF(NORMSDIST(S$9*SQRT($C$11)*NORMSINV($B126)+SQRT(1-S$9^2*$C$11)*NORMSINV(R126))&lt;S$8,S$5+SQRT(NORMSDIST(S$9*SQRT($C$11)*NORMSINV($B126)+SQRT(1-S$9^2*$C$11)*NORMSINV(R126))*(S$7-S$5)*(S$6-S$5)),S$7-SQRT((1-NORMSDIST(S$9*SQRT($C$11)*NORMSINV($B126)+SQRT(1-S$9^2*$C$11)*NORMSINV(R126)))*(S$7-S$5)*(S$7-S$6))))</f>
        <v>0.803138396324196</v>
      </c>
      <c r="T126" s="2" t="n">
        <v>0.267221934</v>
      </c>
      <c r="U126" s="2" t="n">
        <f aca="false">IF(U$7=U$5,U$6,IF(NORMSDIST(U$9*SQRT($C$11)*NORMSINV($B126)+SQRT(1-U$9^2*$C$11)*NORMSINV(T126))&lt;U$8,U$5+SQRT(NORMSDIST(U$9*SQRT($C$11)*NORMSINV($B126)+SQRT(1-U$9^2*$C$11)*NORMSINV(T126))*(U$7-U$5)*(U$6-U$5)),U$7-SQRT((1-NORMSDIST(U$9*SQRT($C$11)*NORMSINV($B126)+SQRT(1-U$9^2*$C$11)*NORMSINV(T126)))*(U$7-U$5)*(U$7-U$6))))</f>
        <v>0.645103856189646</v>
      </c>
      <c r="V126" s="2" t="n">
        <v>0.66679567</v>
      </c>
      <c r="W126" s="2" t="n">
        <f aca="false">IF(W$7=W$5,W$6,IF(NORMSDIST(W$9*SQRT($C$11)*NORMSINV($B126)+SQRT(1-W$9^2*$C$11)*NORMSINV(V126))&lt;W$8,W$5+SQRT(NORMSDIST(W$9*SQRT($C$11)*NORMSINV($B126)+SQRT(1-W$9^2*$C$11)*NORMSINV(V126))*(W$7-W$5)*(W$6-W$5)),W$7-SQRT((1-NORMSDIST(W$9*SQRT($C$11)*NORMSINV($B126)+SQRT(1-W$9^2*$C$11)*NORMSINV(V126)))*(W$7-W$5)*(W$7-W$6))))</f>
        <v>11.2572883703254</v>
      </c>
      <c r="X126" s="2" t="n">
        <v>0.511218691</v>
      </c>
      <c r="Y126" s="2" t="n">
        <f aca="false">IF(Y$7=Y$5,Y$6,IF(NORMSDIST(Y$9*SQRT($C$11)*NORMSINV($B126)+SQRT(1-Y$9^2*$C$11)*NORMSINV(X126))&lt;Y$8,Y$5+SQRT(NORMSDIST(Y$9*SQRT($C$11)*NORMSINV($B126)+SQRT(1-Y$9^2*$C$11)*NORMSINV(X126))*(Y$7-Y$5)*(Y$6-Y$5)),Y$7-SQRT((1-NORMSDIST(Y$9*SQRT($C$11)*NORMSINV($B126)+SQRT(1-Y$9^2*$C$11)*NORMSINV(X126)))*(Y$7-Y$5)*(Y$7-Y$6))))</f>
        <v>0.505641168279558</v>
      </c>
      <c r="Z126" s="2" t="n">
        <v>0.436151438</v>
      </c>
      <c r="AA126" s="2" t="n">
        <f aca="false">IF(AA$7=AA$5,AA$6,IF(NORMSDIST(AA$9*SQRT($C$11)*NORMSINV($B126)+SQRT(1-AA$9^2*$C$11)*NORMSINV(Z126))&lt;AA$8,AA$5+SQRT(NORMSDIST(AA$9*SQRT($C$11)*NORMSINV($B126)+SQRT(1-AA$9^2*$C$11)*NORMSINV(Z126))*(AA$7-AA$5)*(AA$6-AA$5)),AA$7-SQRT((1-NORMSDIST(AA$9*SQRT($C$11)*NORMSINV($B126)+SQRT(1-AA$9^2*$C$11)*NORMSINV(Z126)))*(AA$7-AA$5)*(AA$7-AA$6))))</f>
        <v>0.739864015557772</v>
      </c>
      <c r="AB126" s="2" t="n">
        <v>0.189930405</v>
      </c>
      <c r="AC126" s="2" t="n">
        <f aca="false">IF(AC$7=AC$5,AC$6,IF(NORMSDIST(AC$9*SQRT($C$11)*NORMSINV($B126)+SQRT(1-AC$9^2*$C$11)*NORMSINV(AB126))&lt;AC$8,AC$5+SQRT(NORMSDIST(AC$9*SQRT($C$11)*NORMSINV($B126)+SQRT(1-AC$9^2*$C$11)*NORMSINV(AB126))*(AC$7-AC$5)*(AC$6-AC$5)),AC$7-SQRT((1-NORMSDIST(AC$9*SQRT($C$11)*NORMSINV($B126)+SQRT(1-AC$9^2*$C$11)*NORMSINV(AB126)))*(AC$7-AC$5)*(AC$7-AC$6))))</f>
        <v>9.82543388275552</v>
      </c>
      <c r="AD126" s="2" t="n">
        <f aca="false">Entrées!$C$8*(1+E126)</f>
        <v>7465.13055745343</v>
      </c>
      <c r="AE126" s="2" t="n">
        <f aca="false">I126*Hypothèses!$J$24/12/Hypothèses!$J$19</f>
        <v>104.939562637591</v>
      </c>
      <c r="AF126" s="2" t="n">
        <f aca="false">Entrées!$C$36*S126*1000</f>
        <v>401.569198162098</v>
      </c>
      <c r="AG126" s="2" t="n">
        <f aca="false">-AF126/W126</f>
        <v>-35.6719295936888</v>
      </c>
      <c r="AH126" s="2" t="n">
        <f aca="false">AD126+AE126+AG126</f>
        <v>7534.39819049733</v>
      </c>
      <c r="AI126" s="2" t="n">
        <f aca="false">Entrées!$C$16-M126+Hypothèses!$J$22*1000-AF126+Hypothèses!$J$23</f>
        <v>22413.3661514183</v>
      </c>
      <c r="AJ126" s="2" t="n">
        <f aca="false">AI126/AH126</f>
        <v>2.97480509852623</v>
      </c>
      <c r="AK126" s="2" t="n">
        <f aca="false">AI126/(AH126+I126*(12-Hypothèses!$J$24)/12/Hypothèses!$J$19)</f>
        <v>2.94550143733627</v>
      </c>
      <c r="AL126" s="2" t="n">
        <f aca="false">(AD126+AG126+I126/Hypothèses!$J$19)*(1+G126)</f>
        <v>8079.34332018045</v>
      </c>
      <c r="AM126" s="2" t="n">
        <f aca="false">Entrées!$C$54*K126/Hypothèses!$J$19</f>
        <v>32.4521106091255</v>
      </c>
      <c r="AN126" s="2" t="n">
        <f aca="false">Y126*1000/AC126</f>
        <v>51.4624773127833</v>
      </c>
      <c r="AO126" s="2" t="n">
        <f aca="false">(Entrées!$C$36*(1-S126)+MAX(0,Entrées!$C$30-Entrées!$C$35-Entrées!$C$36)*U126)*1000</f>
        <v>1001.57620050341</v>
      </c>
      <c r="AP126" s="2" t="n">
        <f aca="false">-AO126/W126</f>
        <v>-88.9713550506176</v>
      </c>
      <c r="AQ126" s="2" t="n">
        <f aca="false">AL126+AM126+AN126+AP126</f>
        <v>8074.28655305174</v>
      </c>
      <c r="AR126" s="2" t="n">
        <f aca="false">O126*AQ126-Hypothèses!$J$25/Hypothèses!$J$19</f>
        <v>1454.63809751797</v>
      </c>
      <c r="AS126" s="2" t="n">
        <f aca="false">Entrées!$C$79*(1+Q126)+Hypothèses!$J$20</f>
        <v>1453.18869588699</v>
      </c>
      <c r="AT126" s="2" t="n">
        <f aca="false">AI126-AR126+AS126+Y126*1000-AO126+Hypothèses!$J$23</f>
        <v>21915.9817175634</v>
      </c>
      <c r="AU126" s="2" t="n">
        <f aca="false">AT126/AQ126</f>
        <v>2.7142932782439</v>
      </c>
      <c r="AV126" s="2" t="n">
        <f aca="false">Hypothèses!$J$26*AQ126-AT126</f>
        <v>2306.87794159177</v>
      </c>
      <c r="AW126" s="2" t="n">
        <f aca="false">IF(AC126&gt;Hypothèses!$J$26,MAX(0,AV126)/(1-Hypothèses!$J$26/AC126),0)</f>
        <v>3320.82576434636</v>
      </c>
      <c r="AX126" s="2" t="n">
        <f aca="false">AQ126-Entrées!$C$17*1000</f>
        <v>74.2865530517365</v>
      </c>
      <c r="AY126" s="2" t="n">
        <f aca="false">AI126+(Entrées!$C$244-Entrées!$C$13)</f>
        <v>28160.3661514183</v>
      </c>
      <c r="AZ126" s="2" t="n">
        <f aca="false">AA126*AH126</f>
        <v>5574.43010003257</v>
      </c>
      <c r="BA126" s="2" t="n">
        <f aca="false">AZ126/AY126</f>
        <v>0.197953040456181</v>
      </c>
      <c r="BB126" s="2" t="n">
        <f aca="false">AZ126/(Entrées!$C$151/100)-AY126</f>
        <v>2808.68995987379</v>
      </c>
      <c r="BC126" s="2" t="n">
        <f aca="false">AT126+(Entrées!$C$244-Entrées!$C$13)</f>
        <v>27662.9817175634</v>
      </c>
      <c r="BD126" s="2" t="n">
        <f aca="false">AA126*AQ126</f>
        <v>5973.87407190498</v>
      </c>
      <c r="BE126" s="2" t="n">
        <f aca="false">BD126/BC126</f>
        <v>0.215951922063128</v>
      </c>
      <c r="BF126" s="2" t="n">
        <f aca="false">BD126/(Entrées!$C$151/100)-BC126</f>
        <v>5525.20757079758</v>
      </c>
      <c r="BG126" s="2" t="n">
        <f aca="false">MIN(AV126,BF126)</f>
        <v>2306.87794159177</v>
      </c>
      <c r="BH126" s="2" t="n">
        <f aca="false">IF(AC126&gt;Hypothèses!$J$26,MAX(0,BG126)/(1-Hypothèses!$J$26/AC126),0)</f>
        <v>3320.82576434636</v>
      </c>
    </row>
    <row r="127" customFormat="false" ht="15" hidden="false" customHeight="false" outlineLevel="0" collapsed="false">
      <c r="A127" s="2" t="n">
        <v>112</v>
      </c>
      <c r="B127" s="2" t="n">
        <v>0.072831914</v>
      </c>
      <c r="C127" s="2"/>
      <c r="D127" s="2" t="n">
        <v>0.610239898</v>
      </c>
      <c r="E127" s="2" t="n">
        <f aca="false">IF(E$7=E$5,E$6,IF(NORMSDIST(E$9*SQRT($C$11)*NORMSINV($B127)+SQRT(1-E$9^2*$C$11)*NORMSINV(D127))&lt;E$8,E$5+SQRT(NORMSDIST(E$9*SQRT($C$11)*NORMSINV($B127)+SQRT(1-E$9^2*$C$11)*NORMSINV(D127))*(E$7-E$5)*(E$6-E$5)),E$7-SQRT((1-NORMSDIST(E$9*SQRT($C$11)*NORMSINV($B127)+SQRT(1-E$9^2*$C$11)*NORMSINV(D127)))*(E$7-E$5)*(E$7-E$6))))</f>
        <v>0.0534706337861781</v>
      </c>
      <c r="F127" s="2" t="n">
        <v>0.900609545</v>
      </c>
      <c r="G127" s="2" t="n">
        <f aca="false">IF(G$7=G$5,G$6,IF(NORMSDIST(G$9*SQRT($C$11)*NORMSINV($B127)+SQRT(1-G$9^2*$C$11)*NORMSINV(F127))&lt;G$8,G$5+SQRT(NORMSDIST(G$9*SQRT($C$11)*NORMSINV($B127)+SQRT(1-G$9^2*$C$11)*NORMSINV(F127))*(G$7-G$5)*(G$6-G$5)),G$7-SQRT((1-NORMSDIST(G$9*SQRT($C$11)*NORMSINV($B127)+SQRT(1-G$9^2*$C$11)*NORMSINV(F127)))*(G$7-G$5)*(G$7-G$6))))</f>
        <v>0.0554562025429725</v>
      </c>
      <c r="H127" s="2" t="n">
        <v>0.923943965</v>
      </c>
      <c r="I127" s="2" t="n">
        <f aca="false">IF(I$7=I$5,I$6,IF(NORMSDIST(I$9*SQRT($C$11)*NORMSINV($B127)+SQRT(1-I$9^2*$C$11)*NORMSINV(H127))&lt;I$8,I$5+SQRT(NORMSDIST(I$9*SQRT($C$11)*NORMSINV($B127)+SQRT(1-I$9^2*$C$11)*NORMSINV(H127))*(I$7-I$5)*(I$6-I$5)),I$7-SQRT((1-NORMSDIST(I$9*SQRT($C$11)*NORMSINV($B127)+SQRT(1-I$9^2*$C$11)*NORMSINV(H127)))*(I$7-I$5)*(I$7-I$6))))</f>
        <v>201.560526308287</v>
      </c>
      <c r="J127" s="2" t="n">
        <v>0.448463424</v>
      </c>
      <c r="K127" s="2" t="n">
        <f aca="false">IF(K$7=K$5,K$6,IF(NORMSDIST(K$9*SQRT($C$11)*NORMSINV($B127)+SQRT(1-K$9^2*$C$11)*NORMSINV(J127))&lt;K$8,K$5+SQRT(NORMSDIST(K$9*SQRT($C$11)*NORMSINV($B127)+SQRT(1-K$9^2*$C$11)*NORMSINV(J127))*(K$7-K$5)*(K$6-K$5)),K$7-SQRT((1-NORMSDIST(K$9*SQRT($C$11)*NORMSINV($B127)+SQRT(1-K$9^2*$C$11)*NORMSINV(J127)))*(K$7-K$5)*(K$7-K$6))))</f>
        <v>0.138621225720914</v>
      </c>
      <c r="L127" s="2" t="n">
        <v>0.036264005</v>
      </c>
      <c r="M127" s="2" t="n">
        <f aca="false">IF(M$7=M$5,M$6,IF(NORMSDIST(M$9*SQRT($C$11)*NORMSINV($B127)+SQRT(1-M$9^2*$C$11)*NORMSINV(L127))&lt;M$8,M$5+SQRT(NORMSDIST(M$9*SQRT($C$11)*NORMSINV($B127)+SQRT(1-M$9^2*$C$11)*NORMSINV(L127))*(M$7-M$5)*(M$6-M$5)),M$7-SQRT((1-NORMSDIST(M$9*SQRT($C$11)*NORMSINV($B127)+SQRT(1-M$9^2*$C$11)*NORMSINV(L127)))*(M$7-M$5)*(M$7-M$6))))</f>
        <v>1343.91115935866</v>
      </c>
      <c r="N127" s="2" t="n">
        <v>0.866174893</v>
      </c>
      <c r="O127" s="2" t="n">
        <f aca="false">IF(O$7=O$5,O$6,IF(NORMSDIST(O$9*SQRT($C$11)*NORMSINV($B127)+SQRT(1-O$9^2*$C$11)*NORMSINV(N127))&lt;O$8,O$5+SQRT(NORMSDIST(O$9*SQRT($C$11)*NORMSINV($B127)+SQRT(1-O$9^2*$C$11)*NORMSINV(N127))*(O$7-O$5)*(O$6-O$5)),O$7-SQRT((1-NORMSDIST(O$9*SQRT($C$11)*NORMSINV($B127)+SQRT(1-O$9^2*$C$11)*NORMSINV(N127)))*(O$7-O$5)*(O$7-O$6))))</f>
        <v>0.166118375702626</v>
      </c>
      <c r="P127" s="2" t="n">
        <v>0.083964087</v>
      </c>
      <c r="Q127" s="2" t="n">
        <f aca="false">IF(Q$7=Q$5,Q$6,IF(NORMSDIST(Q$9*SQRT($C$11)*NORMSINV($B127)+SQRT(1-Q$9^2*$C$11)*NORMSINV(P127))&lt;Q$8,Q$5+SQRT(NORMSDIST(Q$9*SQRT($C$11)*NORMSINV($B127)+SQRT(1-Q$9^2*$C$11)*NORMSINV(P127))*(Q$7-Q$5)*(Q$6-Q$5)),Q$7-SQRT((1-NORMSDIST(Q$9*SQRT($C$11)*NORMSINV($B127)+SQRT(1-Q$9^2*$C$11)*NORMSINV(P127)))*(Q$7-Q$5)*(Q$7-Q$6))))</f>
        <v>0.0563916161009218</v>
      </c>
      <c r="R127" s="2" t="n">
        <v>0.909271517</v>
      </c>
      <c r="S127" s="2" t="n">
        <f aca="false">IF(S$7=S$5,S$6,IF(NORMSDIST(S$9*SQRT($C$11)*NORMSINV($B127)+SQRT(1-S$9^2*$C$11)*NORMSINV(R127))&lt;S$8,S$5+SQRT(NORMSDIST(S$9*SQRT($C$11)*NORMSINV($B127)+SQRT(1-S$9^2*$C$11)*NORMSINV(R127))*(S$7-S$5)*(S$6-S$5)),S$7-SQRT((1-NORMSDIST(S$9*SQRT($C$11)*NORMSINV($B127)+SQRT(1-S$9^2*$C$11)*NORMSINV(R127)))*(S$7-S$5)*(S$7-S$6))))</f>
        <v>0.523405782834558</v>
      </c>
      <c r="T127" s="2" t="n">
        <v>0.552703641</v>
      </c>
      <c r="U127" s="2" t="n">
        <f aca="false">IF(U$7=U$5,U$6,IF(NORMSDIST(U$9*SQRT($C$11)*NORMSINV($B127)+SQRT(1-U$9^2*$C$11)*NORMSINV(T127))&lt;U$8,U$5+SQRT(NORMSDIST(U$9*SQRT($C$11)*NORMSINV($B127)+SQRT(1-U$9^2*$C$11)*NORMSINV(T127))*(U$7-U$5)*(U$6-U$5)),U$7-SQRT((1-NORMSDIST(U$9*SQRT($C$11)*NORMSINV($B127)+SQRT(1-U$9^2*$C$11)*NORMSINV(T127)))*(U$7-U$5)*(U$7-U$6))))</f>
        <v>0.321552013575773</v>
      </c>
      <c r="V127" s="2" t="n">
        <v>0.654638205</v>
      </c>
      <c r="W127" s="2" t="n">
        <f aca="false">IF(W$7=W$5,W$6,IF(NORMSDIST(W$9*SQRT($C$11)*NORMSINV($B127)+SQRT(1-W$9^2*$C$11)*NORMSINV(V127))&lt;W$8,W$5+SQRT(NORMSDIST(W$9*SQRT($C$11)*NORMSINV($B127)+SQRT(1-W$9^2*$C$11)*NORMSINV(V127))*(W$7-W$5)*(W$6-W$5)),W$7-SQRT((1-NORMSDIST(W$9*SQRT($C$11)*NORMSINV($B127)+SQRT(1-W$9^2*$C$11)*NORMSINV(V127)))*(W$7-W$5)*(W$7-W$6))))</f>
        <v>9.47038596447831</v>
      </c>
      <c r="X127" s="2" t="n">
        <v>0.462737138</v>
      </c>
      <c r="Y127" s="2" t="n">
        <f aca="false">IF(Y$7=Y$5,Y$6,IF(NORMSDIST(Y$9*SQRT($C$11)*NORMSINV($B127)+SQRT(1-Y$9^2*$C$11)*NORMSINV(X127))&lt;Y$8,Y$5+SQRT(NORMSDIST(Y$9*SQRT($C$11)*NORMSINV($B127)+SQRT(1-Y$9^2*$C$11)*NORMSINV(X127))*(Y$7-Y$5)*(Y$6-Y$5)),Y$7-SQRT((1-NORMSDIST(Y$9*SQRT($C$11)*NORMSINV($B127)+SQRT(1-Y$9^2*$C$11)*NORMSINV(X127)))*(Y$7-Y$5)*(Y$7-Y$6))))</f>
        <v>0.481007867919019</v>
      </c>
      <c r="Z127" s="2" t="n">
        <v>0.798285269</v>
      </c>
      <c r="AA127" s="2" t="n">
        <f aca="false">IF(AA$7=AA$5,AA$6,IF(NORMSDIST(AA$9*SQRT($C$11)*NORMSINV($B127)+SQRT(1-AA$9^2*$C$11)*NORMSINV(Z127))&lt;AA$8,AA$5+SQRT(NORMSDIST(AA$9*SQRT($C$11)*NORMSINV($B127)+SQRT(1-AA$9^2*$C$11)*NORMSINV(Z127))*(AA$7-AA$5)*(AA$6-AA$5)),AA$7-SQRT((1-NORMSDIST(AA$9*SQRT($C$11)*NORMSINV($B127)+SQRT(1-AA$9^2*$C$11)*NORMSINV(Z127)))*(AA$7-AA$5)*(AA$7-AA$6))))</f>
        <v>0.724316551209894</v>
      </c>
      <c r="AB127" s="2" t="n">
        <v>0.735715643</v>
      </c>
      <c r="AC127" s="2" t="n">
        <f aca="false">IF(AC$7=AC$5,AC$6,IF(NORMSDIST(AC$9*SQRT($C$11)*NORMSINV($B127)+SQRT(1-AC$9^2*$C$11)*NORMSINV(AB127))&lt;AC$8,AC$5+SQRT(NORMSDIST(AC$9*SQRT($C$11)*NORMSINV($B127)+SQRT(1-AC$9^2*$C$11)*NORMSINV(AB127))*(AC$7-AC$5)*(AC$6-AC$5)),AC$7-SQRT((1-NORMSDIST(AC$9*SQRT($C$11)*NORMSINV($B127)+SQRT(1-AC$9^2*$C$11)*NORMSINV(AB127)))*(AC$7-AC$5)*(AC$7-AC$6))))</f>
        <v>9.09579463556207</v>
      </c>
      <c r="AD127" s="2" t="n">
        <f aca="false">Entrées!$C$8*(1+E127)</f>
        <v>7426.96796819256</v>
      </c>
      <c r="AE127" s="2" t="n">
        <f aca="false">I127*Hypothèses!$J$24/12/Hypothèses!$J$19</f>
        <v>99.9935319819801</v>
      </c>
      <c r="AF127" s="2" t="n">
        <f aca="false">Entrées!$C$36*S127*1000</f>
        <v>261.702891417279</v>
      </c>
      <c r="AG127" s="2" t="n">
        <f aca="false">-AF127/W127</f>
        <v>-27.6338147567458</v>
      </c>
      <c r="AH127" s="2" t="n">
        <f aca="false">AD127+AE127+AG127</f>
        <v>7499.32768541779</v>
      </c>
      <c r="AI127" s="2" t="n">
        <f aca="false">Entrées!$C$16-M127+Hypothèses!$J$22*1000-AF127+Hypothèses!$J$23</f>
        <v>22942.3859492241</v>
      </c>
      <c r="AJ127" s="2" t="n">
        <f aca="false">AI127/AH127</f>
        <v>3.05925903115753</v>
      </c>
      <c r="AK127" s="2" t="n">
        <f aca="false">AI127/(AH127+I127*(12-Hypothèses!$J$24)/12/Hypothèses!$J$19)</f>
        <v>3.0303973832141</v>
      </c>
      <c r="AL127" s="2" t="n">
        <f aca="false">(AD127+AG127+I127/Hypothèses!$J$19)*(1+G127)</f>
        <v>7990.59677300827</v>
      </c>
      <c r="AM127" s="2" t="n">
        <f aca="false">Entrées!$C$54*K127/Hypothèses!$J$19</f>
        <v>14.1468781177343</v>
      </c>
      <c r="AN127" s="2" t="n">
        <f aca="false">Y127*1000/AC127</f>
        <v>52.8824459204927</v>
      </c>
      <c r="AO127" s="2" t="n">
        <f aca="false">(Entrées!$C$36*(1-S127)+MAX(0,Entrées!$C$30-Entrées!$C$35-Entrées!$C$36)*U127)*1000</f>
        <v>688.469927588803</v>
      </c>
      <c r="AP127" s="2" t="n">
        <f aca="false">-AO127/W127</f>
        <v>-72.6971350662083</v>
      </c>
      <c r="AQ127" s="2" t="n">
        <f aca="false">AL127+AM127+AN127+AP127</f>
        <v>7984.92896198029</v>
      </c>
      <c r="AR127" s="2" t="n">
        <f aca="false">O127*AQ127-Hypothèses!$J$25/Hypothèses!$J$19</f>
        <v>1307.3082670034</v>
      </c>
      <c r="AS127" s="2" t="n">
        <f aca="false">Entrées!$C$79*(1+Q127)+Hypothèses!$J$20</f>
        <v>1455.97438609491</v>
      </c>
      <c r="AT127" s="2" t="n">
        <f aca="false">AI127-AR127+AS127+Y127*1000-AO127+Hypothèses!$J$23</f>
        <v>22883.5900086458</v>
      </c>
      <c r="AU127" s="2" t="n">
        <f aca="false">AT127/AQ127</f>
        <v>2.86584766346758</v>
      </c>
      <c r="AV127" s="2" t="n">
        <f aca="false">Hypothèses!$J$26*AQ127-AT127</f>
        <v>1071.19687729508</v>
      </c>
      <c r="AW127" s="2" t="n">
        <f aca="false">IF(AC127&gt;Hypothèses!$J$26,MAX(0,AV127)/(1-Hypothèses!$J$26/AC127),0)</f>
        <v>1598.37845476121</v>
      </c>
      <c r="AX127" s="2" t="n">
        <f aca="false">AQ127-Entrées!$C$17*1000</f>
        <v>-15.0710380197115</v>
      </c>
      <c r="AY127" s="2" t="n">
        <f aca="false">AI127+(Entrées!$C$244-Entrées!$C$13)</f>
        <v>28689.3859492241</v>
      </c>
      <c r="AZ127" s="2" t="n">
        <f aca="false">AA127*AH127</f>
        <v>5431.88716549469</v>
      </c>
      <c r="BA127" s="2" t="n">
        <f aca="false">AZ127/AY127</f>
        <v>0.189334382238376</v>
      </c>
      <c r="BB127" s="2" t="n">
        <f aca="false">AZ127/(Entrées!$C$151/100)-AY127</f>
        <v>1487.76497019087</v>
      </c>
      <c r="BC127" s="2" t="n">
        <f aca="false">AT127+(Entrées!$C$244-Entrées!$C$13)</f>
        <v>28630.5900086458</v>
      </c>
      <c r="BD127" s="2" t="n">
        <f aca="false">AA127*AQ127</f>
        <v>5783.61620739756</v>
      </c>
      <c r="BE127" s="2" t="n">
        <f aca="false">BD127/BC127</f>
        <v>0.202008278755381</v>
      </c>
      <c r="BF127" s="2" t="n">
        <f aca="false">BD127/(Entrées!$C$151/100)-BC127</f>
        <v>3500.61114356287</v>
      </c>
      <c r="BG127" s="2" t="n">
        <f aca="false">MIN(AV127,BF127)</f>
        <v>1071.19687729508</v>
      </c>
      <c r="BH127" s="2" t="n">
        <f aca="false">IF(AC127&gt;Hypothèses!$J$26,MAX(0,BG127)/(1-Hypothèses!$J$26/AC127),0)</f>
        <v>1598.37845476121</v>
      </c>
    </row>
    <row r="128" customFormat="false" ht="15" hidden="false" customHeight="false" outlineLevel="0" collapsed="false">
      <c r="A128" s="2" t="n">
        <v>113</v>
      </c>
      <c r="B128" s="2" t="n">
        <v>0.918095091</v>
      </c>
      <c r="C128" s="2"/>
      <c r="D128" s="2" t="n">
        <v>0.009299435</v>
      </c>
      <c r="E128" s="2" t="n">
        <f aca="false">IF(E$7=E$5,E$6,IF(NORMSDIST(E$9*SQRT($C$11)*NORMSINV($B128)+SQRT(1-E$9^2*$C$11)*NORMSINV(D128))&lt;E$8,E$5+SQRT(NORMSDIST(E$9*SQRT($C$11)*NORMSINV($B128)+SQRT(1-E$9^2*$C$11)*NORMSINV(D128))*(E$7-E$5)*(E$6-E$5)),E$7-SQRT((1-NORMSDIST(E$9*SQRT($C$11)*NORMSINV($B128)+SQRT(1-E$9^2*$C$11)*NORMSINV(D128)))*(E$7-E$5)*(E$7-E$6))))</f>
        <v>0.0529410793308082</v>
      </c>
      <c r="F128" s="2" t="n">
        <v>0.462355411</v>
      </c>
      <c r="G128" s="2" t="n">
        <f aca="false">IF(G$7=G$5,G$6,IF(NORMSDIST(G$9*SQRT($C$11)*NORMSINV($B128)+SQRT(1-G$9^2*$C$11)*NORMSINV(F128))&lt;G$8,G$5+SQRT(NORMSDIST(G$9*SQRT($C$11)*NORMSINV($B128)+SQRT(1-G$9^2*$C$11)*NORMSINV(F128))*(G$7-G$5)*(G$6-G$5)),G$7-SQRT((1-NORMSDIST(G$9*SQRT($C$11)*NORMSINV($B128)+SQRT(1-G$9^2*$C$11)*NORMSINV(F128)))*(G$7-G$5)*(G$7-G$6))))</f>
        <v>0.060285502610069</v>
      </c>
      <c r="H128" s="2" t="n">
        <v>0.023908432</v>
      </c>
      <c r="I128" s="2" t="n">
        <f aca="false">IF(I$7=I$5,I$6,IF(NORMSDIST(I$9*SQRT($C$11)*NORMSINV($B128)+SQRT(1-I$9^2*$C$11)*NORMSINV(H128))&lt;I$8,I$5+SQRT(NORMSDIST(I$9*SQRT($C$11)*NORMSINV($B128)+SQRT(1-I$9^2*$C$11)*NORMSINV(H128))*(I$7-I$5)*(I$6-I$5)),I$7-SQRT((1-NORMSDIST(I$9*SQRT($C$11)*NORMSINV($B128)+SQRT(1-I$9^2*$C$11)*NORMSINV(H128)))*(I$7-I$5)*(I$7-I$6))))</f>
        <v>194.341586361965</v>
      </c>
      <c r="J128" s="2" t="n">
        <v>0.538432452</v>
      </c>
      <c r="K128" s="2" t="n">
        <f aca="false">IF(K$7=K$5,K$6,IF(NORMSDIST(K$9*SQRT($C$11)*NORMSINV($B128)+SQRT(1-K$9^2*$C$11)*NORMSINV(J128))&lt;K$8,K$5+SQRT(NORMSDIST(K$9*SQRT($C$11)*NORMSINV($B128)+SQRT(1-K$9^2*$C$11)*NORMSINV(J128))*(K$7-K$5)*(K$6-K$5)),K$7-SQRT((1-NORMSDIST(K$9*SQRT($C$11)*NORMSINV($B128)+SQRT(1-K$9^2*$C$11)*NORMSINV(J128)))*(K$7-K$5)*(K$7-K$6))))</f>
        <v>0.354354784758812</v>
      </c>
      <c r="L128" s="2" t="n">
        <v>0.738032399</v>
      </c>
      <c r="M128" s="2" t="n">
        <f aca="false">IF(M$7=M$5,M$6,IF(NORMSDIST(M$9*SQRT($C$11)*NORMSINV($B128)+SQRT(1-M$9^2*$C$11)*NORMSINV(L128))&lt;M$8,M$5+SQRT(NORMSDIST(M$9*SQRT($C$11)*NORMSINV($B128)+SQRT(1-M$9^2*$C$11)*NORMSINV(L128))*(M$7-M$5)*(M$6-M$5)),M$7-SQRT((1-NORMSDIST(M$9*SQRT($C$11)*NORMSINV($B128)+SQRT(1-M$9^2*$C$11)*NORMSINV(L128)))*(M$7-M$5)*(M$7-M$6))))</f>
        <v>1709.79405155955</v>
      </c>
      <c r="N128" s="2" t="n">
        <v>0.298383519</v>
      </c>
      <c r="O128" s="2" t="n">
        <f aca="false">IF(O$7=O$5,O$6,IF(NORMSDIST(O$9*SQRT($C$11)*NORMSINV($B128)+SQRT(1-O$9^2*$C$11)*NORMSINV(N128))&lt;O$8,O$5+SQRT(NORMSDIST(O$9*SQRT($C$11)*NORMSINV($B128)+SQRT(1-O$9^2*$C$11)*NORMSINV(N128))*(O$7-O$5)*(O$6-O$5)),O$7-SQRT((1-NORMSDIST(O$9*SQRT($C$11)*NORMSINV($B128)+SQRT(1-O$9^2*$C$11)*NORMSINV(N128)))*(O$7-O$5)*(O$7-O$6))))</f>
        <v>0.171569742749155</v>
      </c>
      <c r="P128" s="2" t="n">
        <v>0.519204794</v>
      </c>
      <c r="Q128" s="2" t="n">
        <f aca="false">IF(Q$7=Q$5,Q$6,IF(NORMSDIST(Q$9*SQRT($C$11)*NORMSINV($B128)+SQRT(1-Q$9^2*$C$11)*NORMSINV(P128))&lt;Q$8,Q$5+SQRT(NORMSDIST(Q$9*SQRT($C$11)*NORMSINV($B128)+SQRT(1-Q$9^2*$C$11)*NORMSINV(P128))*(Q$7-Q$5)*(Q$6-Q$5)),Q$7-SQRT((1-NORMSDIST(Q$9*SQRT($C$11)*NORMSINV($B128)+SQRT(1-Q$9^2*$C$11)*NORMSINV(P128)))*(Q$7-Q$5)*(Q$7-Q$6))))</f>
        <v>0.0807757134010063</v>
      </c>
      <c r="R128" s="2" t="n">
        <v>0.280206288</v>
      </c>
      <c r="S128" s="2" t="n">
        <f aca="false">IF(S$7=S$5,S$6,IF(NORMSDIST(S$9*SQRT($C$11)*NORMSINV($B128)+SQRT(1-S$9^2*$C$11)*NORMSINV(R128))&lt;S$8,S$5+SQRT(NORMSDIST(S$9*SQRT($C$11)*NORMSINV($B128)+SQRT(1-S$9^2*$C$11)*NORMSINV(R128))*(S$7-S$5)*(S$6-S$5)),S$7-SQRT((1-NORMSDIST(S$9*SQRT($C$11)*NORMSINV($B128)+SQRT(1-S$9^2*$C$11)*NORMSINV(R128)))*(S$7-S$5)*(S$7-S$6))))</f>
        <v>0.59150535420977</v>
      </c>
      <c r="T128" s="2" t="n">
        <v>0.373607486</v>
      </c>
      <c r="U128" s="2" t="n">
        <f aca="false">IF(U$7=U$5,U$6,IF(NORMSDIST(U$9*SQRT($C$11)*NORMSINV($B128)+SQRT(1-U$9^2*$C$11)*NORMSINV(T128))&lt;U$8,U$5+SQRT(NORMSDIST(U$9*SQRT($C$11)*NORMSINV($B128)+SQRT(1-U$9^2*$C$11)*NORMSINV(T128))*(U$7-U$5)*(U$6-U$5)),U$7-SQRT((1-NORMSDIST(U$9*SQRT($C$11)*NORMSINV($B128)+SQRT(1-U$9^2*$C$11)*NORMSINV(T128)))*(U$7-U$5)*(U$7-U$6))))</f>
        <v>0.636656787665916</v>
      </c>
      <c r="V128" s="2" t="n">
        <v>0.355518756</v>
      </c>
      <c r="W128" s="2" t="n">
        <f aca="false">IF(W$7=W$5,W$6,IF(NORMSDIST(W$9*SQRT($C$11)*NORMSINV($B128)+SQRT(1-W$9^2*$C$11)*NORMSINV(V128))&lt;W$8,W$5+SQRT(NORMSDIST(W$9*SQRT($C$11)*NORMSINV($B128)+SQRT(1-W$9^2*$C$11)*NORMSINV(V128))*(W$7-W$5)*(W$6-W$5)),W$7-SQRT((1-NORMSDIST(W$9*SQRT($C$11)*NORMSINV($B128)+SQRT(1-W$9^2*$C$11)*NORMSINV(V128)))*(W$7-W$5)*(W$7-W$6))))</f>
        <v>10.5130653661756</v>
      </c>
      <c r="X128" s="2" t="n">
        <v>0.588574569</v>
      </c>
      <c r="Y128" s="2" t="n">
        <f aca="false">IF(Y$7=Y$5,Y$6,IF(NORMSDIST(Y$9*SQRT($C$11)*NORMSINV($B128)+SQRT(1-Y$9^2*$C$11)*NORMSINV(X128))&lt;Y$8,Y$5+SQRT(NORMSDIST(Y$9*SQRT($C$11)*NORMSINV($B128)+SQRT(1-Y$9^2*$C$11)*NORMSINV(X128))*(Y$7-Y$5)*(Y$6-Y$5)),Y$7-SQRT((1-NORMSDIST(Y$9*SQRT($C$11)*NORMSINV($B128)+SQRT(1-Y$9^2*$C$11)*NORMSINV(X128)))*(Y$7-Y$5)*(Y$7-Y$6))))</f>
        <v>0.546444363390774</v>
      </c>
      <c r="Z128" s="2" t="n">
        <v>0.583693061</v>
      </c>
      <c r="AA128" s="2" t="n">
        <f aca="false">IF(AA$7=AA$5,AA$6,IF(NORMSDIST(AA$9*SQRT($C$11)*NORMSINV($B128)+SQRT(1-AA$9^2*$C$11)*NORMSINV(Z128))&lt;AA$8,AA$5+SQRT(NORMSDIST(AA$9*SQRT($C$11)*NORMSINV($B128)+SQRT(1-AA$9^2*$C$11)*NORMSINV(Z128))*(AA$7-AA$5)*(AA$6-AA$5)),AA$7-SQRT((1-NORMSDIST(AA$9*SQRT($C$11)*NORMSINV($B128)+SQRT(1-AA$9^2*$C$11)*NORMSINV(Z128)))*(AA$7-AA$5)*(AA$7-AA$6))))</f>
        <v>0.740070313874507</v>
      </c>
      <c r="AB128" s="2" t="n">
        <v>0.684350564</v>
      </c>
      <c r="AC128" s="2" t="n">
        <f aca="false">IF(AC$7=AC$5,AC$6,IF(NORMSDIST(AC$9*SQRT($C$11)*NORMSINV($B128)+SQRT(1-AC$9^2*$C$11)*NORMSINV(AB128))&lt;AC$8,AC$5+SQRT(NORMSDIST(AC$9*SQRT($C$11)*NORMSINV($B128)+SQRT(1-AC$9^2*$C$11)*NORMSINV(AB128))*(AC$7-AC$5)*(AC$6-AC$5)),AC$7-SQRT((1-NORMSDIST(AC$9*SQRT($C$11)*NORMSINV($B128)+SQRT(1-AC$9^2*$C$11)*NORMSINV(AB128)))*(AC$7-AC$5)*(AC$7-AC$6))))</f>
        <v>10.3257879273736</v>
      </c>
      <c r="AD128" s="2" t="n">
        <f aca="false">Entrées!$C$8*(1+E128)</f>
        <v>7423.2346092822</v>
      </c>
      <c r="AE128" s="2" t="n">
        <f aca="false">I128*Hypothèses!$J$24/12/Hypothèses!$J$19</f>
        <v>96.4122389797256</v>
      </c>
      <c r="AF128" s="2" t="n">
        <f aca="false">Entrées!$C$36*S128*1000</f>
        <v>295.752677104885</v>
      </c>
      <c r="AG128" s="2" t="n">
        <f aca="false">-AF128/W128</f>
        <v>-28.1319165061438</v>
      </c>
      <c r="AH128" s="2" t="n">
        <f aca="false">AD128+AE128+AG128</f>
        <v>7491.51493175578</v>
      </c>
      <c r="AI128" s="2" t="n">
        <f aca="false">Entrées!$C$16-M128+Hypothèses!$J$22*1000-AF128+Hypothèses!$J$23</f>
        <v>22542.4532713356</v>
      </c>
      <c r="AJ128" s="2" t="n">
        <f aca="false">AI128/AH128</f>
        <v>3.00906471877676</v>
      </c>
      <c r="AK128" s="2" t="n">
        <f aca="false">AI128/(AH128+I128*(12-Hypothèses!$J$24)/12/Hypothèses!$J$19)</f>
        <v>2.98165579456246</v>
      </c>
      <c r="AL128" s="2" t="n">
        <f aca="false">(AD128+AG128+I128/Hypothèses!$J$19)*(1+G128)</f>
        <v>8016.16217420207</v>
      </c>
      <c r="AM128" s="2" t="n">
        <f aca="false">Entrées!$C$54*K128/Hypothèses!$J$19</f>
        <v>36.1633936242315</v>
      </c>
      <c r="AN128" s="2" t="n">
        <f aca="false">Y128*1000/AC128</f>
        <v>52.9203550599907</v>
      </c>
      <c r="AO128" s="2" t="n">
        <f aca="false">(Entrées!$C$36*(1-S128)+MAX(0,Entrées!$C$30-Entrées!$C$35-Entrées!$C$36)*U128)*1000</f>
        <v>1095.5668256274</v>
      </c>
      <c r="AP128" s="2" t="n">
        <f aca="false">-AO128/W128</f>
        <v>-104.210026996715</v>
      </c>
      <c r="AQ128" s="2" t="n">
        <f aca="false">AL128+AM128+AN128+AP128</f>
        <v>8001.03589588958</v>
      </c>
      <c r="AR128" s="2" t="n">
        <f aca="false">O128*AQ128-Hypothèses!$J$25/Hypothèses!$J$19</f>
        <v>1353.60050812291</v>
      </c>
      <c r="AS128" s="2" t="n">
        <f aca="false">Entrées!$C$79*(1+Q128)+Hypothèses!$J$20</f>
        <v>1482.77250902771</v>
      </c>
      <c r="AT128" s="2" t="n">
        <f aca="false">AI128-AR128+AS128+Y128*1000-AO128+Hypothèses!$J$23</f>
        <v>22122.5028100037</v>
      </c>
      <c r="AU128" s="2" t="n">
        <f aca="false">AT128/AQ128</f>
        <v>2.76495482558313</v>
      </c>
      <c r="AV128" s="2" t="n">
        <f aca="false">Hypothèses!$J$26*AQ128-AT128</f>
        <v>1880.60487766499</v>
      </c>
      <c r="AW128" s="2" t="n">
        <f aca="false">IF(AC128&gt;Hypothèses!$J$26,MAX(0,AV128)/(1-Hypothèses!$J$26/AC128),0)</f>
        <v>2650.73563887823</v>
      </c>
      <c r="AX128" s="2" t="n">
        <f aca="false">AQ128-Entrées!$C$17*1000</f>
        <v>1.03589588957766</v>
      </c>
      <c r="AY128" s="2" t="n">
        <f aca="false">AI128+(Entrées!$C$244-Entrées!$C$13)</f>
        <v>28289.4532713356</v>
      </c>
      <c r="AZ128" s="2" t="n">
        <f aca="false">AA128*AH128</f>
        <v>5544.24780694006</v>
      </c>
      <c r="BA128" s="2" t="n">
        <f aca="false">AZ128/AY128</f>
        <v>0.195982854591177</v>
      </c>
      <c r="BB128" s="2" t="n">
        <f aca="false">AZ128/(Entrées!$C$151/100)-AY128</f>
        <v>2511.92343388697</v>
      </c>
      <c r="BC128" s="2" t="n">
        <f aca="false">AT128+(Entrées!$C$244-Entrées!$C$13)</f>
        <v>27869.5028100037</v>
      </c>
      <c r="BD128" s="2" t="n">
        <f aca="false">AA128*AQ128</f>
        <v>5921.3291467922</v>
      </c>
      <c r="BE128" s="2" t="n">
        <f aca="false">BD128/BC128</f>
        <v>0.212466264187057</v>
      </c>
      <c r="BF128" s="2" t="n">
        <f aca="false">BD128/(Entrées!$C$151/100)-BC128</f>
        <v>5026.77022773068</v>
      </c>
      <c r="BG128" s="2" t="n">
        <f aca="false">MIN(AV128,BF128)</f>
        <v>1880.60487766499</v>
      </c>
      <c r="BH128" s="2" t="n">
        <f aca="false">IF(AC128&gt;Hypothèses!$J$26,MAX(0,BG128)/(1-Hypothèses!$J$26/AC128),0)</f>
        <v>2650.73563887823</v>
      </c>
    </row>
    <row r="129" customFormat="false" ht="15" hidden="false" customHeight="false" outlineLevel="0" collapsed="false">
      <c r="A129" s="2" t="n">
        <v>114</v>
      </c>
      <c r="B129" s="2" t="n">
        <v>0.627468569</v>
      </c>
      <c r="C129" s="2"/>
      <c r="D129" s="2" t="n">
        <v>0.121709108</v>
      </c>
      <c r="E129" s="2" t="n">
        <f aca="false">IF(E$7=E$5,E$6,IF(NORMSDIST(E$9*SQRT($C$11)*NORMSINV($B129)+SQRT(1-E$9^2*$C$11)*NORMSINV(D129))&lt;E$8,E$5+SQRT(NORMSDIST(E$9*SQRT($C$11)*NORMSINV($B129)+SQRT(1-E$9^2*$C$11)*NORMSINV(D129))*(E$7-E$5)*(E$6-E$5)),E$7-SQRT((1-NORMSDIST(E$9*SQRT($C$11)*NORMSINV($B129)+SQRT(1-E$9^2*$C$11)*NORMSINV(D129)))*(E$7-E$5)*(E$7-E$6))))</f>
        <v>0.0534829375051375</v>
      </c>
      <c r="F129" s="2" t="n">
        <v>0.832315723</v>
      </c>
      <c r="G129" s="2" t="n">
        <f aca="false">IF(G$7=G$5,G$6,IF(NORMSDIST(G$9*SQRT($C$11)*NORMSINV($B129)+SQRT(1-G$9^2*$C$11)*NORMSINV(F129))&lt;G$8,G$5+SQRT(NORMSDIST(G$9*SQRT($C$11)*NORMSINV($B129)+SQRT(1-G$9^2*$C$11)*NORMSINV(F129))*(G$7-G$5)*(G$6-G$5)),G$7-SQRT((1-NORMSDIST(G$9*SQRT($C$11)*NORMSINV($B129)+SQRT(1-G$9^2*$C$11)*NORMSINV(F129)))*(G$7-G$5)*(G$7-G$6))))</f>
        <v>0.0612385600576917</v>
      </c>
      <c r="H129" s="2" t="n">
        <v>0.806050611</v>
      </c>
      <c r="I129" s="2" t="n">
        <f aca="false">IF(I$7=I$5,I$6,IF(NORMSDIST(I$9*SQRT($C$11)*NORMSINV($B129)+SQRT(1-I$9^2*$C$11)*NORMSINV(H129))&lt;I$8,I$5+SQRT(NORMSDIST(I$9*SQRT($C$11)*NORMSINV($B129)+SQRT(1-I$9^2*$C$11)*NORMSINV(H129))*(I$7-I$5)*(I$6-I$5)),I$7-SQRT((1-NORMSDIST(I$9*SQRT($C$11)*NORMSINV($B129)+SQRT(1-I$9^2*$C$11)*NORMSINV(H129)))*(I$7-I$5)*(I$7-I$6))))</f>
        <v>207.640910340909</v>
      </c>
      <c r="J129" s="2" t="n">
        <v>0.363613443</v>
      </c>
      <c r="K129" s="2" t="n">
        <f aca="false">IF(K$7=K$5,K$6,IF(NORMSDIST(K$9*SQRT($C$11)*NORMSINV($B129)+SQRT(1-K$9^2*$C$11)*NORMSINV(J129))&lt;K$8,K$5+SQRT(NORMSDIST(K$9*SQRT($C$11)*NORMSINV($B129)+SQRT(1-K$9^2*$C$11)*NORMSINV(J129))*(K$7-K$5)*(K$6-K$5)),K$7-SQRT((1-NORMSDIST(K$9*SQRT($C$11)*NORMSINV($B129)+SQRT(1-K$9^2*$C$11)*NORMSINV(J129)))*(K$7-K$5)*(K$7-K$6))))</f>
        <v>0.243482020560126</v>
      </c>
      <c r="L129" s="2" t="n">
        <v>0.852211641</v>
      </c>
      <c r="M129" s="2" t="n">
        <f aca="false">IF(M$7=M$5,M$6,IF(NORMSDIST(M$9*SQRT($C$11)*NORMSINV($B129)+SQRT(1-M$9^2*$C$11)*NORMSINV(L129))&lt;M$8,M$5+SQRT(NORMSDIST(M$9*SQRT($C$11)*NORMSINV($B129)+SQRT(1-M$9^2*$C$11)*NORMSINV(L129))*(M$7-M$5)*(M$6-M$5)),M$7-SQRT((1-NORMSDIST(M$9*SQRT($C$11)*NORMSINV($B129)+SQRT(1-M$9^2*$C$11)*NORMSINV(L129)))*(M$7-M$5)*(M$7-M$6))))</f>
        <v>1680.8705089111</v>
      </c>
      <c r="N129" s="2" t="n">
        <v>0.127809797</v>
      </c>
      <c r="O129" s="2" t="n">
        <f aca="false">IF(O$7=O$5,O$6,IF(NORMSDIST(O$9*SQRT($C$11)*NORMSINV($B129)+SQRT(1-O$9^2*$C$11)*NORMSINV(N129))&lt;O$8,O$5+SQRT(NORMSDIST(O$9*SQRT($C$11)*NORMSINV($B129)+SQRT(1-O$9^2*$C$11)*NORMSINV(N129))*(O$7-O$5)*(O$6-O$5)),O$7-SQRT((1-NORMSDIST(O$9*SQRT($C$11)*NORMSINV($B129)+SQRT(1-O$9^2*$C$11)*NORMSINV(N129)))*(O$7-O$5)*(O$7-O$6))))</f>
        <v>0.158934331116321</v>
      </c>
      <c r="P129" s="2" t="n">
        <v>0.804702636</v>
      </c>
      <c r="Q129" s="2" t="n">
        <f aca="false">IF(Q$7=Q$5,Q$6,IF(NORMSDIST(Q$9*SQRT($C$11)*NORMSINV($B129)+SQRT(1-Q$9^2*$C$11)*NORMSINV(P129))&lt;Q$8,Q$5+SQRT(NORMSDIST(Q$9*SQRT($C$11)*NORMSINV($B129)+SQRT(1-Q$9^2*$C$11)*NORMSINV(P129))*(Q$7-Q$5)*(Q$6-Q$5)),Q$7-SQRT((1-NORMSDIST(Q$9*SQRT($C$11)*NORMSINV($B129)+SQRT(1-Q$9^2*$C$11)*NORMSINV(P129)))*(Q$7-Q$5)*(Q$7-Q$6))))</f>
        <v>0.0950009687227685</v>
      </c>
      <c r="R129" s="2" t="n">
        <v>0.504118233</v>
      </c>
      <c r="S129" s="2" t="n">
        <f aca="false">IF(S$7=S$5,S$6,IF(NORMSDIST(S$9*SQRT($C$11)*NORMSINV($B129)+SQRT(1-S$9^2*$C$11)*NORMSINV(R129))&lt;S$8,S$5+SQRT(NORMSDIST(S$9*SQRT($C$11)*NORMSINV($B129)+SQRT(1-S$9^2*$C$11)*NORMSINV(R129))*(S$7-S$5)*(S$6-S$5)),S$7-SQRT((1-NORMSDIST(S$9*SQRT($C$11)*NORMSINV($B129)+SQRT(1-S$9^2*$C$11)*NORMSINV(R129)))*(S$7-S$5)*(S$7-S$6))))</f>
        <v>0.544251870256096</v>
      </c>
      <c r="T129" s="2" t="n">
        <v>0.773748596</v>
      </c>
      <c r="U129" s="2" t="n">
        <f aca="false">IF(U$7=U$5,U$6,IF(NORMSDIST(U$9*SQRT($C$11)*NORMSINV($B129)+SQRT(1-U$9^2*$C$11)*NORMSINV(T129))&lt;U$8,U$5+SQRT(NORMSDIST(U$9*SQRT($C$11)*NORMSINV($B129)+SQRT(1-U$9^2*$C$11)*NORMSINV(T129))*(U$7-U$5)*(U$6-U$5)),U$7-SQRT((1-NORMSDIST(U$9*SQRT($C$11)*NORMSINV($B129)+SQRT(1-U$9^2*$C$11)*NORMSINV(T129)))*(U$7-U$5)*(U$7-U$6))))</f>
        <v>0.671764925314555</v>
      </c>
      <c r="V129" s="2" t="n">
        <v>0.662557346</v>
      </c>
      <c r="W129" s="2" t="n">
        <f aca="false">IF(W$7=W$5,W$6,IF(NORMSDIST(W$9*SQRT($C$11)*NORMSINV($B129)+SQRT(1-W$9^2*$C$11)*NORMSINV(V129))&lt;W$8,W$5+SQRT(NORMSDIST(W$9*SQRT($C$11)*NORMSINV($B129)+SQRT(1-W$9^2*$C$11)*NORMSINV(V129))*(W$7-W$5)*(W$6-W$5)),W$7-SQRT((1-NORMSDIST(W$9*SQRT($C$11)*NORMSINV($B129)+SQRT(1-W$9^2*$C$11)*NORMSINV(V129)))*(W$7-W$5)*(W$7-W$6))))</f>
        <v>10.4563313542432</v>
      </c>
      <c r="X129" s="2" t="n">
        <v>0.464408134</v>
      </c>
      <c r="Y129" s="2" t="n">
        <f aca="false">IF(Y$7=Y$5,Y$6,IF(NORMSDIST(Y$9*SQRT($C$11)*NORMSINV($B129)+SQRT(1-Y$9^2*$C$11)*NORMSINV(X129))&lt;Y$8,Y$5+SQRT(NORMSDIST(Y$9*SQRT($C$11)*NORMSINV($B129)+SQRT(1-Y$9^2*$C$11)*NORMSINV(X129))*(Y$7-Y$5)*(Y$6-Y$5)),Y$7-SQRT((1-NORMSDIST(Y$9*SQRT($C$11)*NORMSINV($B129)+SQRT(1-Y$9^2*$C$11)*NORMSINV(X129)))*(Y$7-Y$5)*(Y$7-Y$6))))</f>
        <v>0.481875572113798</v>
      </c>
      <c r="Z129" s="2" t="n">
        <v>0.557102946</v>
      </c>
      <c r="AA129" s="2" t="n">
        <f aca="false">IF(AA$7=AA$5,AA$6,IF(NORMSDIST(AA$9*SQRT($C$11)*NORMSINV($B129)+SQRT(1-AA$9^2*$C$11)*NORMSINV(Z129))&lt;AA$8,AA$5+SQRT(NORMSDIST(AA$9*SQRT($C$11)*NORMSINV($B129)+SQRT(1-AA$9^2*$C$11)*NORMSINV(Z129))*(AA$7-AA$5)*(AA$6-AA$5)),AA$7-SQRT((1-NORMSDIST(AA$9*SQRT($C$11)*NORMSINV($B129)+SQRT(1-AA$9^2*$C$11)*NORMSINV(Z129)))*(AA$7-AA$5)*(AA$7-AA$6))))</f>
        <v>0.731895581569326</v>
      </c>
      <c r="AB129" s="2" t="n">
        <v>0.831987414</v>
      </c>
      <c r="AC129" s="2" t="n">
        <f aca="false">IF(AC$7=AC$5,AC$6,IF(NORMSDIST(AC$9*SQRT($C$11)*NORMSINV($B129)+SQRT(1-AC$9^2*$C$11)*NORMSINV(AB129))&lt;AC$8,AC$5+SQRT(NORMSDIST(AC$9*SQRT($C$11)*NORMSINV($B129)+SQRT(1-AC$9^2*$C$11)*NORMSINV(AB129))*(AC$7-AC$5)*(AC$6-AC$5)),AC$7-SQRT((1-NORMSDIST(AC$9*SQRT($C$11)*NORMSINV($B129)+SQRT(1-AC$9^2*$C$11)*NORMSINV(AB129)))*(AC$7-AC$5)*(AC$7-AC$6))))</f>
        <v>10.140911080794</v>
      </c>
      <c r="AD129" s="2" t="n">
        <f aca="false">Entrées!$C$8*(1+E129)</f>
        <v>7427.05470941122</v>
      </c>
      <c r="AE129" s="2" t="n">
        <f aca="false">I129*Hypothèses!$J$24/12/Hypothèses!$J$19</f>
        <v>103.009991039538</v>
      </c>
      <c r="AF129" s="2" t="n">
        <f aca="false">Entrées!$C$36*S129*1000</f>
        <v>272.125935128048</v>
      </c>
      <c r="AG129" s="2" t="n">
        <f aca="false">-AF129/W129</f>
        <v>-26.0249915490311</v>
      </c>
      <c r="AH129" s="2" t="n">
        <f aca="false">AD129+AE129+AG129</f>
        <v>7504.03970890173</v>
      </c>
      <c r="AI129" s="2" t="n">
        <f aca="false">Entrées!$C$16-M129+Hypothèses!$J$22*1000-AF129+Hypothèses!$J$23</f>
        <v>22595.0035559609</v>
      </c>
      <c r="AJ129" s="2" t="n">
        <f aca="false">AI129/AH129</f>
        <v>3.01104530792359</v>
      </c>
      <c r="AK129" s="2" t="n">
        <f aca="false">AI129/(AH129+I129*(12-Hypothèses!$J$24)/12/Hypothèses!$J$19)</f>
        <v>2.98180810106214</v>
      </c>
      <c r="AL129" s="2" t="n">
        <f aca="false">(AD129+AG129+I129/Hypothèses!$J$19)*(1+G129)</f>
        <v>8041.66070569229</v>
      </c>
      <c r="AM129" s="2" t="n">
        <f aca="false">Entrées!$C$54*K129/Hypothèses!$J$19</f>
        <v>24.8483625131017</v>
      </c>
      <c r="AN129" s="2" t="n">
        <f aca="false">Y129*1000/AC129</f>
        <v>47.5179762720166</v>
      </c>
      <c r="AO129" s="2" t="n">
        <f aca="false">(Entrées!$C$36*(1-S129)+MAX(0,Entrées!$C$30-Entrées!$C$35-Entrées!$C$36)*U129)*1000</f>
        <v>1168.34496031233</v>
      </c>
      <c r="AP129" s="2" t="n">
        <f aca="false">-AO129/W129</f>
        <v>-111.735648071081</v>
      </c>
      <c r="AQ129" s="2" t="n">
        <f aca="false">AL129+AM129+AN129+AP129</f>
        <v>8002.29139640633</v>
      </c>
      <c r="AR129" s="2" t="n">
        <f aca="false">O129*AQ129-Hypothèses!$J$25/Hypothèses!$J$19</f>
        <v>1252.7036682241</v>
      </c>
      <c r="AS129" s="2" t="n">
        <f aca="false">Entrées!$C$79*(1+Q129)+Hypothèses!$J$20</f>
        <v>1498.40606462632</v>
      </c>
      <c r="AT129" s="2" t="n">
        <f aca="false">AI129-AR129+AS129+Y129*1000-AO129+Hypothèses!$J$23</f>
        <v>22154.2365641645</v>
      </c>
      <c r="AU129" s="2" t="n">
        <f aca="false">AT129/AQ129</f>
        <v>2.7684866079875</v>
      </c>
      <c r="AV129" s="2" t="n">
        <f aca="false">Hypothèses!$J$26*AQ129-AT129</f>
        <v>1852.63762505445</v>
      </c>
      <c r="AW129" s="2" t="n">
        <f aca="false">IF(AC129&gt;Hypothèses!$J$26,MAX(0,AV129)/(1-Hypothèses!$J$26/AC129),0)</f>
        <v>2630.95747980124</v>
      </c>
      <c r="AX129" s="2" t="n">
        <f aca="false">AQ129-Entrées!$C$17*1000</f>
        <v>2.29139640632638</v>
      </c>
      <c r="AY129" s="2" t="n">
        <f aca="false">AI129+(Entrées!$C$244-Entrées!$C$13)</f>
        <v>28342.0035559609</v>
      </c>
      <c r="AZ129" s="2" t="n">
        <f aca="false">AA129*AH129</f>
        <v>5492.17350686595</v>
      </c>
      <c r="BA129" s="2" t="n">
        <f aca="false">AZ129/AY129</f>
        <v>0.193782119038329</v>
      </c>
      <c r="BB129" s="2" t="n">
        <f aca="false">AZ129/(Entrées!$C$151/100)-AY129</f>
        <v>2170.07148218331</v>
      </c>
      <c r="BC129" s="2" t="n">
        <f aca="false">AT129+(Entrées!$C$244-Entrées!$C$13)</f>
        <v>27901.2365641645</v>
      </c>
      <c r="BD129" s="2" t="n">
        <f aca="false">AA129*AQ129</f>
        <v>5856.84171546003</v>
      </c>
      <c r="BE129" s="2" t="n">
        <f aca="false">BD129/BC129</f>
        <v>0.209913338499928</v>
      </c>
      <c r="BF129" s="2" t="n">
        <f aca="false">BD129/(Entrées!$C$151/100)-BC129</f>
        <v>4636.77296616895</v>
      </c>
      <c r="BG129" s="2" t="n">
        <f aca="false">MIN(AV129,BF129)</f>
        <v>1852.63762505445</v>
      </c>
      <c r="BH129" s="2" t="n">
        <f aca="false">IF(AC129&gt;Hypothèses!$J$26,MAX(0,BG129)/(1-Hypothèses!$J$26/AC129),0)</f>
        <v>2630.95747980124</v>
      </c>
    </row>
    <row r="130" customFormat="false" ht="15" hidden="false" customHeight="false" outlineLevel="0" collapsed="false">
      <c r="A130" s="2" t="n">
        <v>115</v>
      </c>
      <c r="B130" s="2" t="n">
        <v>0.537264226</v>
      </c>
      <c r="C130" s="2"/>
      <c r="D130" s="2" t="n">
        <v>0.902714459</v>
      </c>
      <c r="E130" s="2" t="n">
        <f aca="false">IF(E$7=E$5,E$6,IF(NORMSDIST(E$9*SQRT($C$11)*NORMSINV($B130)+SQRT(1-E$9^2*$C$11)*NORMSINV(D130))&lt;E$8,E$5+SQRT(NORMSDIST(E$9*SQRT($C$11)*NORMSINV($B130)+SQRT(1-E$9^2*$C$11)*NORMSINV(D130))*(E$7-E$5)*(E$6-E$5)),E$7-SQRT((1-NORMSDIST(E$9*SQRT($C$11)*NORMSINV($B130)+SQRT(1-E$9^2*$C$11)*NORMSINV(D130)))*(E$7-E$5)*(E$7-E$6))))</f>
        <v>0.0573197408014233</v>
      </c>
      <c r="F130" s="2" t="n">
        <v>0.307313973</v>
      </c>
      <c r="G130" s="2" t="n">
        <f aca="false">IF(G$7=G$5,G$6,IF(NORMSDIST(G$9*SQRT($C$11)*NORMSINV($B130)+SQRT(1-G$9^2*$C$11)*NORMSINV(F130))&lt;G$8,G$5+SQRT(NORMSDIST(G$9*SQRT($C$11)*NORMSINV($B130)+SQRT(1-G$9^2*$C$11)*NORMSINV(F130))*(G$7-G$5)*(G$6-G$5)),G$7-SQRT((1-NORMSDIST(G$9*SQRT($C$11)*NORMSINV($B130)+SQRT(1-G$9^2*$C$11)*NORMSINV(F130)))*(G$7-G$5)*(G$7-G$6))))</f>
        <v>0.0529102220116615</v>
      </c>
      <c r="H130" s="2" t="n">
        <v>0.84853912</v>
      </c>
      <c r="I130" s="2" t="n">
        <f aca="false">IF(I$7=I$5,I$6,IF(NORMSDIST(I$9*SQRT($C$11)*NORMSINV($B130)+SQRT(1-I$9^2*$C$11)*NORMSINV(H130))&lt;I$8,I$5+SQRT(NORMSDIST(I$9*SQRT($C$11)*NORMSINV($B130)+SQRT(1-I$9^2*$C$11)*NORMSINV(H130))*(I$7-I$5)*(I$6-I$5)),I$7-SQRT((1-NORMSDIST(I$9*SQRT($C$11)*NORMSINV($B130)+SQRT(1-I$9^2*$C$11)*NORMSINV(H130)))*(I$7-I$5)*(I$7-I$6))))</f>
        <v>207.48814741009</v>
      </c>
      <c r="J130" s="2" t="n">
        <v>0.548372887</v>
      </c>
      <c r="K130" s="2" t="n">
        <f aca="false">IF(K$7=K$5,K$6,IF(NORMSDIST(K$9*SQRT($C$11)*NORMSINV($B130)+SQRT(1-K$9^2*$C$11)*NORMSINV(J130))&lt;K$8,K$5+SQRT(NORMSDIST(K$9*SQRT($C$11)*NORMSINV($B130)+SQRT(1-K$9^2*$C$11)*NORMSINV(J130))*(K$7-K$5)*(K$6-K$5)),K$7-SQRT((1-NORMSDIST(K$9*SQRT($C$11)*NORMSINV($B130)+SQRT(1-K$9^2*$C$11)*NORMSINV(J130)))*(K$7-K$5)*(K$7-K$6))))</f>
        <v>0.265725944261071</v>
      </c>
      <c r="L130" s="2" t="n">
        <v>0.550431469</v>
      </c>
      <c r="M130" s="2" t="n">
        <f aca="false">IF(M$7=M$5,M$6,IF(NORMSDIST(M$9*SQRT($C$11)*NORMSINV($B130)+SQRT(1-M$9^2*$C$11)*NORMSINV(L130))&lt;M$8,M$5+SQRT(NORMSDIST(M$9*SQRT($C$11)*NORMSINV($B130)+SQRT(1-M$9^2*$C$11)*NORMSINV(L130))*(M$7-M$5)*(M$6-M$5)),M$7-SQRT((1-NORMSDIST(M$9*SQRT($C$11)*NORMSINV($B130)+SQRT(1-M$9^2*$C$11)*NORMSINV(L130)))*(M$7-M$5)*(M$7-M$6))))</f>
        <v>1602.46986050899</v>
      </c>
      <c r="N130" s="2" t="n">
        <v>0.249369128</v>
      </c>
      <c r="O130" s="2" t="n">
        <f aca="false">IF(O$7=O$5,O$6,IF(NORMSDIST(O$9*SQRT($C$11)*NORMSINV($B130)+SQRT(1-O$9^2*$C$11)*NORMSINV(N130))&lt;O$8,O$5+SQRT(NORMSDIST(O$9*SQRT($C$11)*NORMSINV($B130)+SQRT(1-O$9^2*$C$11)*NORMSINV(N130))*(O$7-O$5)*(O$6-O$5)),O$7-SQRT((1-NORMSDIST(O$9*SQRT($C$11)*NORMSINV($B130)+SQRT(1-O$9^2*$C$11)*NORMSINV(N130)))*(O$7-O$5)*(O$7-O$6))))</f>
        <v>0.161461890582197</v>
      </c>
      <c r="P130" s="2" t="n">
        <v>0.087068131</v>
      </c>
      <c r="Q130" s="2" t="n">
        <f aca="false">IF(Q$7=Q$5,Q$6,IF(NORMSDIST(Q$9*SQRT($C$11)*NORMSINV($B130)+SQRT(1-Q$9^2*$C$11)*NORMSINV(P130))&lt;Q$8,Q$5+SQRT(NORMSDIST(Q$9*SQRT($C$11)*NORMSINV($B130)+SQRT(1-Q$9^2*$C$11)*NORMSINV(P130))*(Q$7-Q$5)*(Q$6-Q$5)),Q$7-SQRT((1-NORMSDIST(Q$9*SQRT($C$11)*NORMSINV($B130)+SQRT(1-Q$9^2*$C$11)*NORMSINV(P130)))*(Q$7-Q$5)*(Q$7-Q$6))))</f>
        <v>0.0566918548759567</v>
      </c>
      <c r="R130" s="2" t="n">
        <v>0.580332641</v>
      </c>
      <c r="S130" s="2" t="n">
        <f aca="false">IF(S$7=S$5,S$6,IF(NORMSDIST(S$9*SQRT($C$11)*NORMSINV($B130)+SQRT(1-S$9^2*$C$11)*NORMSINV(R130))&lt;S$8,S$5+SQRT(NORMSDIST(S$9*SQRT($C$11)*NORMSINV($B130)+SQRT(1-S$9^2*$C$11)*NORMSINV(R130))*(S$7-S$5)*(S$6-S$5)),S$7-SQRT((1-NORMSDIST(S$9*SQRT($C$11)*NORMSINV($B130)+SQRT(1-S$9^2*$C$11)*NORMSINV(R130)))*(S$7-S$5)*(S$7-S$6))))</f>
        <v>0.54480059851778</v>
      </c>
      <c r="T130" s="2" t="n">
        <v>0.691890366</v>
      </c>
      <c r="U130" s="2" t="n">
        <f aca="false">IF(U$7=U$5,U$6,IF(NORMSDIST(U$9*SQRT($C$11)*NORMSINV($B130)+SQRT(1-U$9^2*$C$11)*NORMSINV(T130))&lt;U$8,U$5+SQRT(NORMSDIST(U$9*SQRT($C$11)*NORMSINV($B130)+SQRT(1-U$9^2*$C$11)*NORMSINV(T130))*(U$7-U$5)*(U$6-U$5)),U$7-SQRT((1-NORMSDIST(U$9*SQRT($C$11)*NORMSINV($B130)+SQRT(1-U$9^2*$C$11)*NORMSINV(T130)))*(U$7-U$5)*(U$7-U$6))))</f>
        <v>0.595467998395171</v>
      </c>
      <c r="V130" s="2" t="n">
        <v>0.40002488</v>
      </c>
      <c r="W130" s="2" t="n">
        <f aca="false">IF(W$7=W$5,W$6,IF(NORMSDIST(W$9*SQRT($C$11)*NORMSINV($B130)+SQRT(1-W$9^2*$C$11)*NORMSINV(V130))&lt;W$8,W$5+SQRT(NORMSDIST(W$9*SQRT($C$11)*NORMSINV($B130)+SQRT(1-W$9^2*$C$11)*NORMSINV(V130))*(W$7-W$5)*(W$6-W$5)),W$7-SQRT((1-NORMSDIST(W$9*SQRT($C$11)*NORMSINV($B130)+SQRT(1-W$9^2*$C$11)*NORMSINV(V130)))*(W$7-W$5)*(W$7-W$6))))</f>
        <v>9.8878637308029</v>
      </c>
      <c r="X130" s="2" t="n">
        <v>0.19260017</v>
      </c>
      <c r="Y130" s="2" t="n">
        <f aca="false">IF(Y$7=Y$5,Y$6,IF(NORMSDIST(Y$9*SQRT($C$11)*NORMSINV($B130)+SQRT(1-Y$9^2*$C$11)*NORMSINV(X130))&lt;Y$8,Y$5+SQRT(NORMSDIST(Y$9*SQRT($C$11)*NORMSINV($B130)+SQRT(1-Y$9^2*$C$11)*NORMSINV(X130))*(Y$7-Y$5)*(Y$6-Y$5)),Y$7-SQRT((1-NORMSDIST(Y$9*SQRT($C$11)*NORMSINV($B130)+SQRT(1-Y$9^2*$C$11)*NORMSINV(X130)))*(Y$7-Y$5)*(Y$7-Y$6))))</f>
        <v>0.310322549937964</v>
      </c>
      <c r="Z130" s="2" t="n">
        <v>0.470980541</v>
      </c>
      <c r="AA130" s="2" t="n">
        <f aca="false">IF(AA$7=AA$5,AA$6,IF(NORMSDIST(AA$9*SQRT($C$11)*NORMSINV($B130)+SQRT(1-AA$9^2*$C$11)*NORMSINV(Z130))&lt;AA$8,AA$5+SQRT(NORMSDIST(AA$9*SQRT($C$11)*NORMSINV($B130)+SQRT(1-AA$9^2*$C$11)*NORMSINV(Z130))*(AA$7-AA$5)*(AA$6-AA$5)),AA$7-SQRT((1-NORMSDIST(AA$9*SQRT($C$11)*NORMSINV($B130)+SQRT(1-AA$9^2*$C$11)*NORMSINV(Z130)))*(AA$7-AA$5)*(AA$7-AA$6))))</f>
        <v>0.728087497941045</v>
      </c>
      <c r="AB130" s="2" t="n">
        <v>0.18848792</v>
      </c>
      <c r="AC130" s="2" t="n">
        <f aca="false">IF(AC$7=AC$5,AC$6,IF(NORMSDIST(AC$9*SQRT($C$11)*NORMSINV($B130)+SQRT(1-AC$9^2*$C$11)*NORMSINV(AB130))&lt;AC$8,AC$5+SQRT(NORMSDIST(AC$9*SQRT($C$11)*NORMSINV($B130)+SQRT(1-AC$9^2*$C$11)*NORMSINV(AB130))*(AC$7-AC$5)*(AC$6-AC$5)),AC$7-SQRT((1-NORMSDIST(AC$9*SQRT($C$11)*NORMSINV($B130)+SQRT(1-AC$9^2*$C$11)*NORMSINV(AB130)))*(AC$7-AC$5)*(AC$7-AC$6))))</f>
        <v>8.91578515134956</v>
      </c>
      <c r="AD130" s="2" t="n">
        <f aca="false">Entrées!$C$8*(1+E130)</f>
        <v>7454.10417265003</v>
      </c>
      <c r="AE130" s="2" t="n">
        <f aca="false">I130*Hypothèses!$J$24/12/Hypothèses!$J$19</f>
        <v>102.934205838495</v>
      </c>
      <c r="AF130" s="2" t="n">
        <f aca="false">Entrées!$C$36*S130*1000</f>
        <v>272.40029925889</v>
      </c>
      <c r="AG130" s="2" t="n">
        <f aca="false">-AF130/W130</f>
        <v>-27.5489536137419</v>
      </c>
      <c r="AH130" s="2" t="n">
        <f aca="false">AD130+AE130+AG130</f>
        <v>7529.48942487479</v>
      </c>
      <c r="AI130" s="2" t="n">
        <f aca="false">Entrées!$C$16-M130+Hypothèses!$J$22*1000-AF130+Hypothèses!$J$23</f>
        <v>22673.1298402321</v>
      </c>
      <c r="AJ130" s="2" t="n">
        <f aca="false">AI130/AH130</f>
        <v>3.01124399820897</v>
      </c>
      <c r="AK130" s="2" t="n">
        <f aca="false">AI130/(AH130+I130*(12-Hypothèses!$J$24)/12/Hypothèses!$J$19)</f>
        <v>2.98212396621092</v>
      </c>
      <c r="AL130" s="2" t="n">
        <f aca="false">(AD130+AG130+I130/Hypothèses!$J$19)*(1+G130)</f>
        <v>8005.2910087808</v>
      </c>
      <c r="AM130" s="2" t="n">
        <f aca="false">Entrées!$C$54*K130/Hypothèses!$J$19</f>
        <v>27.1184483229833</v>
      </c>
      <c r="AN130" s="2" t="n">
        <f aca="false">Y130*1000/AC130</f>
        <v>34.8059699364773</v>
      </c>
      <c r="AO130" s="2" t="n">
        <f aca="false">(Entrées!$C$36*(1-S130)+MAX(0,Entrées!$C$30-Entrées!$C$35-Entrées!$C$36)*U130)*1000</f>
        <v>1061.25489849435</v>
      </c>
      <c r="AP130" s="2" t="n">
        <f aca="false">-AO130/W130</f>
        <v>-107.329037635127</v>
      </c>
      <c r="AQ130" s="2" t="n">
        <f aca="false">AL130+AM130+AN130+AP130</f>
        <v>7959.88638940514</v>
      </c>
      <c r="AR130" s="2" t="n">
        <f aca="false">O130*AQ130-Hypothèses!$J$25/Hypothèses!$J$19</f>
        <v>1266.08314299122</v>
      </c>
      <c r="AS130" s="2" t="n">
        <f aca="false">Entrées!$C$79*(1+Q130)+Hypothèses!$J$20</f>
        <v>1456.30434850868</v>
      </c>
      <c r="AT130" s="2" t="n">
        <f aca="false">AI130-AR130+AS130+Y130*1000-AO130+Hypothèses!$J$23</f>
        <v>22112.4186971932</v>
      </c>
      <c r="AU130" s="2" t="n">
        <f aca="false">AT130/AQ130</f>
        <v>2.77798169665154</v>
      </c>
      <c r="AV130" s="2" t="n">
        <f aca="false">Hypothèses!$J$26*AQ130-AT130</f>
        <v>1767.24047102222</v>
      </c>
      <c r="AW130" s="2" t="n">
        <f aca="false">IF(AC130&gt;Hypothèses!$J$26,MAX(0,AV130)/(1-Hypothèses!$J$26/AC130),0)</f>
        <v>2663.43958532866</v>
      </c>
      <c r="AX130" s="2" t="n">
        <f aca="false">AQ130-Entrées!$C$17*1000</f>
        <v>-40.1136105948654</v>
      </c>
      <c r="AY130" s="2" t="n">
        <f aca="false">AI130+(Entrées!$C$244-Entrées!$C$13)</f>
        <v>28420.1298402321</v>
      </c>
      <c r="AZ130" s="2" t="n">
        <f aca="false">AA130*AH130</f>
        <v>5482.12711613064</v>
      </c>
      <c r="BA130" s="2" t="n">
        <f aca="false">AZ130/AY130</f>
        <v>0.192895920847273</v>
      </c>
      <c r="BB130" s="2" t="n">
        <f aca="false">AZ130/(Entrées!$C$151/100)-AY130</f>
        <v>2036.13191604923</v>
      </c>
      <c r="BC130" s="2" t="n">
        <f aca="false">AT130+(Entrées!$C$244-Entrées!$C$13)</f>
        <v>27859.4186971932</v>
      </c>
      <c r="BD130" s="2" t="n">
        <f aca="false">AA130*AQ130</f>
        <v>5795.49376515696</v>
      </c>
      <c r="BE130" s="2" t="n">
        <f aca="false">BD130/BC130</f>
        <v>0.208026370835256</v>
      </c>
      <c r="BF130" s="2" t="n">
        <f aca="false">BD130/(Entrées!$C$151/100)-BC130</f>
        <v>4337.76888701218</v>
      </c>
      <c r="BG130" s="2" t="n">
        <f aca="false">MIN(AV130,BF130)</f>
        <v>1767.24047102222</v>
      </c>
      <c r="BH130" s="2" t="n">
        <f aca="false">IF(AC130&gt;Hypothèses!$J$26,MAX(0,BG130)/(1-Hypothèses!$J$26/AC130),0)</f>
        <v>2663.43958532866</v>
      </c>
    </row>
    <row r="131" customFormat="false" ht="15" hidden="false" customHeight="false" outlineLevel="0" collapsed="false">
      <c r="A131" s="2" t="n">
        <v>116</v>
      </c>
      <c r="B131" s="2" t="n">
        <v>0.265974937</v>
      </c>
      <c r="C131" s="2"/>
      <c r="D131" s="2" t="n">
        <v>0.411018163</v>
      </c>
      <c r="E131" s="2" t="n">
        <f aca="false">IF(E$7=E$5,E$6,IF(NORMSDIST(E$9*SQRT($C$11)*NORMSINV($B131)+SQRT(1-E$9^2*$C$11)*NORMSINV(D131))&lt;E$8,E$5+SQRT(NORMSDIST(E$9*SQRT($C$11)*NORMSINV($B131)+SQRT(1-E$9^2*$C$11)*NORMSINV(D131))*(E$7-E$5)*(E$6-E$5)),E$7-SQRT((1-NORMSDIST(E$9*SQRT($C$11)*NORMSINV($B131)+SQRT(1-E$9^2*$C$11)*NORMSINV(D131)))*(E$7-E$5)*(E$7-E$6))))</f>
        <v>0.0537715871218826</v>
      </c>
      <c r="F131" s="2" t="n">
        <v>0.539984217</v>
      </c>
      <c r="G131" s="2" t="n">
        <f aca="false">IF(G$7=G$5,G$6,IF(NORMSDIST(G$9*SQRT($C$11)*NORMSINV($B131)+SQRT(1-G$9^2*$C$11)*NORMSINV(F131))&lt;G$8,G$5+SQRT(NORMSDIST(G$9*SQRT($C$11)*NORMSINV($B131)+SQRT(1-G$9^2*$C$11)*NORMSINV(F131))*(G$7-G$5)*(G$6-G$5)),G$7-SQRT((1-NORMSDIST(G$9*SQRT($C$11)*NORMSINV($B131)+SQRT(1-G$9^2*$C$11)*NORMSINV(F131)))*(G$7-G$5)*(G$7-G$6))))</f>
        <v>0.0529975988346536</v>
      </c>
      <c r="H131" s="2" t="n">
        <v>0.071157249</v>
      </c>
      <c r="I131" s="2" t="n">
        <f aca="false">IF(I$7=I$5,I$6,IF(NORMSDIST(I$9*SQRT($C$11)*NORMSINV($B131)+SQRT(1-I$9^2*$C$11)*NORMSINV(H131))&lt;I$8,I$5+SQRT(NORMSDIST(I$9*SQRT($C$11)*NORMSINV($B131)+SQRT(1-I$9^2*$C$11)*NORMSINV(H131))*(I$7-I$5)*(I$6-I$5)),I$7-SQRT((1-NORMSDIST(I$9*SQRT($C$11)*NORMSINV($B131)+SQRT(1-I$9^2*$C$11)*NORMSINV(H131)))*(I$7-I$5)*(I$7-I$6))))</f>
        <v>187.087126443565</v>
      </c>
      <c r="J131" s="2" t="n">
        <v>0.262884299</v>
      </c>
      <c r="K131" s="2" t="n">
        <f aca="false">IF(K$7=K$5,K$6,IF(NORMSDIST(K$9*SQRT($C$11)*NORMSINV($B131)+SQRT(1-K$9^2*$C$11)*NORMSINV(J131))&lt;K$8,K$5+SQRT(NORMSDIST(K$9*SQRT($C$11)*NORMSINV($B131)+SQRT(1-K$9^2*$C$11)*NORMSINV(J131))*(K$7-K$5)*(K$6-K$5)),K$7-SQRT((1-NORMSDIST(K$9*SQRT($C$11)*NORMSINV($B131)+SQRT(1-K$9^2*$C$11)*NORMSINV(J131)))*(K$7-K$5)*(K$7-K$6))))</f>
        <v>0.153134482539757</v>
      </c>
      <c r="L131" s="2" t="n">
        <v>0.069434037</v>
      </c>
      <c r="M131" s="2" t="n">
        <f aca="false">IF(M$7=M$5,M$6,IF(NORMSDIST(M$9*SQRT($C$11)*NORMSINV($B131)+SQRT(1-M$9^2*$C$11)*NORMSINV(L131))&lt;M$8,M$5+SQRT(NORMSDIST(M$9*SQRT($C$11)*NORMSINV($B131)+SQRT(1-M$9^2*$C$11)*NORMSINV(L131))*(M$7-M$5)*(M$6-M$5)),M$7-SQRT((1-NORMSDIST(M$9*SQRT($C$11)*NORMSINV($B131)+SQRT(1-M$9^2*$C$11)*NORMSINV(L131)))*(M$7-M$5)*(M$7-M$6))))</f>
        <v>1402.21085730847</v>
      </c>
      <c r="N131" s="2" t="n">
        <v>0.937966474</v>
      </c>
      <c r="O131" s="2" t="n">
        <f aca="false">IF(O$7=O$5,O$6,IF(NORMSDIST(O$9*SQRT($C$11)*NORMSINV($B131)+SQRT(1-O$9^2*$C$11)*NORMSINV(N131))&lt;O$8,O$5+SQRT(NORMSDIST(O$9*SQRT($C$11)*NORMSINV($B131)+SQRT(1-O$9^2*$C$11)*NORMSINV(N131))*(O$7-O$5)*(O$6-O$5)),O$7-SQRT((1-NORMSDIST(O$9*SQRT($C$11)*NORMSINV($B131)+SQRT(1-O$9^2*$C$11)*NORMSINV(N131)))*(O$7-O$5)*(O$7-O$6))))</f>
        <v>0.174936426089362</v>
      </c>
      <c r="P131" s="2" t="n">
        <v>0.138187598</v>
      </c>
      <c r="Q131" s="2" t="n">
        <f aca="false">IF(Q$7=Q$5,Q$6,IF(NORMSDIST(Q$9*SQRT($C$11)*NORMSINV($B131)+SQRT(1-Q$9^2*$C$11)*NORMSINV(P131))&lt;Q$8,Q$5+SQRT(NORMSDIST(Q$9*SQRT($C$11)*NORMSINV($B131)+SQRT(1-Q$9^2*$C$11)*NORMSINV(P131))*(Q$7-Q$5)*(Q$6-Q$5)),Q$7-SQRT((1-NORMSDIST(Q$9*SQRT($C$11)*NORMSINV($B131)+SQRT(1-Q$9^2*$C$11)*NORMSINV(P131)))*(Q$7-Q$5)*(Q$7-Q$6))))</f>
        <v>0.0610285594751519</v>
      </c>
      <c r="R131" s="2" t="n">
        <v>0.55901863</v>
      </c>
      <c r="S131" s="2" t="n">
        <f aca="false">IF(S$7=S$5,S$6,IF(NORMSDIST(S$9*SQRT($C$11)*NORMSINV($B131)+SQRT(1-S$9^2*$C$11)*NORMSINV(R131))&lt;S$8,S$5+SQRT(NORMSDIST(S$9*SQRT($C$11)*NORMSINV($B131)+SQRT(1-S$9^2*$C$11)*NORMSINV(R131))*(S$7-S$5)*(S$6-S$5)),S$7-SQRT((1-NORMSDIST(S$9*SQRT($C$11)*NORMSINV($B131)+SQRT(1-S$9^2*$C$11)*NORMSINV(R131)))*(S$7-S$5)*(S$7-S$6))))</f>
        <v>0.441376721144878</v>
      </c>
      <c r="T131" s="2" t="n">
        <v>0.558484199</v>
      </c>
      <c r="U131" s="2" t="n">
        <f aca="false">IF(U$7=U$5,U$6,IF(NORMSDIST(U$9*SQRT($C$11)*NORMSINV($B131)+SQRT(1-U$9^2*$C$11)*NORMSINV(T131))&lt;U$8,U$5+SQRT(NORMSDIST(U$9*SQRT($C$11)*NORMSINV($B131)+SQRT(1-U$9^2*$C$11)*NORMSINV(T131))*(U$7-U$5)*(U$6-U$5)),U$7-SQRT((1-NORMSDIST(U$9*SQRT($C$11)*NORMSINV($B131)+SQRT(1-U$9^2*$C$11)*NORMSINV(T131)))*(U$7-U$5)*(U$7-U$6))))</f>
        <v>0.441148776131468</v>
      </c>
      <c r="V131" s="2" t="n">
        <v>0.423351434</v>
      </c>
      <c r="W131" s="2" t="n">
        <f aca="false">IF(W$7=W$5,W$6,IF(NORMSDIST(W$9*SQRT($C$11)*NORMSINV($B131)+SQRT(1-W$9^2*$C$11)*NORMSINV(V131))&lt;W$8,W$5+SQRT(NORMSDIST(W$9*SQRT($C$11)*NORMSINV($B131)+SQRT(1-W$9^2*$C$11)*NORMSINV(V131))*(W$7-W$5)*(W$6-W$5)),W$7-SQRT((1-NORMSDIST(W$9*SQRT($C$11)*NORMSINV($B131)+SQRT(1-W$9^2*$C$11)*NORMSINV(V131)))*(W$7-W$5)*(W$7-W$6))))</f>
        <v>9.53064076520941</v>
      </c>
      <c r="X131" s="2" t="n">
        <v>0.515718202</v>
      </c>
      <c r="Y131" s="2" t="n">
        <f aca="false">IF(Y$7=Y$5,Y$6,IF(NORMSDIST(Y$9*SQRT($C$11)*NORMSINV($B131)+SQRT(1-Y$9^2*$C$11)*NORMSINV(X131))&lt;Y$8,Y$5+SQRT(NORMSDIST(Y$9*SQRT($C$11)*NORMSINV($B131)+SQRT(1-Y$9^2*$C$11)*NORMSINV(X131))*(Y$7-Y$5)*(Y$6-Y$5)),Y$7-SQRT((1-NORMSDIST(Y$9*SQRT($C$11)*NORMSINV($B131)+SQRT(1-Y$9^2*$C$11)*NORMSINV(X131)))*(Y$7-Y$5)*(Y$7-Y$6))))</f>
        <v>0.507921856815404</v>
      </c>
      <c r="Z131" s="2" t="n">
        <v>0.380078173</v>
      </c>
      <c r="AA131" s="2" t="n">
        <f aca="false">IF(AA$7=AA$5,AA$6,IF(NORMSDIST(AA$9*SQRT($C$11)*NORMSINV($B131)+SQRT(1-AA$9^2*$C$11)*NORMSINV(Z131))&lt;AA$8,AA$5+SQRT(NORMSDIST(AA$9*SQRT($C$11)*NORMSINV($B131)+SQRT(1-AA$9^2*$C$11)*NORMSINV(Z131))*(AA$7-AA$5)*(AA$6-AA$5)),AA$7-SQRT((1-NORMSDIST(AA$9*SQRT($C$11)*NORMSINV($B131)+SQRT(1-AA$9^2*$C$11)*NORMSINV(Z131)))*(AA$7-AA$5)*(AA$7-AA$6))))</f>
        <v>0.719093134019614</v>
      </c>
      <c r="AB131" s="2" t="n">
        <v>0.453788244</v>
      </c>
      <c r="AC131" s="2" t="n">
        <f aca="false">IF(AC$7=AC$5,AC$6,IF(NORMSDIST(AC$9*SQRT($C$11)*NORMSINV($B131)+SQRT(1-AC$9^2*$C$11)*NORMSINV(AB131))&lt;AC$8,AC$5+SQRT(NORMSDIST(AC$9*SQRT($C$11)*NORMSINV($B131)+SQRT(1-AC$9^2*$C$11)*NORMSINV(AB131))*(AC$7-AC$5)*(AC$6-AC$5)),AC$7-SQRT((1-NORMSDIST(AC$9*SQRT($C$11)*NORMSINV($B131)+SQRT(1-AC$9^2*$C$11)*NORMSINV(AB131)))*(AC$7-AC$5)*(AC$7-AC$6))))</f>
        <v>9.0464655675969</v>
      </c>
      <c r="AD131" s="2" t="n">
        <f aca="false">Entrées!$C$8*(1+E131)</f>
        <v>7429.08968920927</v>
      </c>
      <c r="AE131" s="2" t="n">
        <f aca="false">I131*Hypothèses!$J$24/12/Hypothèses!$J$19</f>
        <v>92.81332463301</v>
      </c>
      <c r="AF131" s="2" t="n">
        <f aca="false">Entrées!$C$36*S131*1000</f>
        <v>220.688360572439</v>
      </c>
      <c r="AG131" s="2" t="n">
        <f aca="false">-AF131/W131</f>
        <v>-23.1556687539875</v>
      </c>
      <c r="AH131" s="2" t="n">
        <f aca="false">AD131+AE131+AG131</f>
        <v>7498.7473450883</v>
      </c>
      <c r="AI131" s="2" t="n">
        <f aca="false">Entrées!$C$16-M131+Hypothèses!$J$22*1000-AF131+Hypothèses!$J$23</f>
        <v>22925.1007821191</v>
      </c>
      <c r="AJ131" s="2" t="n">
        <f aca="false">AI131/AH131</f>
        <v>3.05719071827845</v>
      </c>
      <c r="AK131" s="2" t="n">
        <f aca="false">AI131/(AH131+I131*(12-Hypothèses!$J$24)/12/Hypothèses!$J$19)</f>
        <v>3.03039943911382</v>
      </c>
      <c r="AL131" s="2" t="n">
        <f aca="false">(AD131+AG131+I131/Hypothèses!$J$19)*(1+G131)</f>
        <v>7965.9716686303</v>
      </c>
      <c r="AM131" s="2" t="n">
        <f aca="false">Entrées!$C$54*K131/Hypothèses!$J$19</f>
        <v>15.6280169133246</v>
      </c>
      <c r="AN131" s="2" t="n">
        <f aca="false">Y131*1000/AC131</f>
        <v>56.1458895764446</v>
      </c>
      <c r="AO131" s="2" t="n">
        <f aca="false">(Entrées!$C$36*(1-S131)+MAX(0,Entrées!$C$30-Entrées!$C$35-Entrées!$C$36)*U131)*1000</f>
        <v>896.919926011617</v>
      </c>
      <c r="AP131" s="2" t="n">
        <f aca="false">-AO131/W131</f>
        <v>-94.1090896307546</v>
      </c>
      <c r="AQ131" s="2" t="n">
        <f aca="false">AL131+AM131+AN131+AP131</f>
        <v>7943.63648548931</v>
      </c>
      <c r="AR131" s="2" t="n">
        <f aca="false">O131*AQ131-Hypothèses!$J$25/Hypothèses!$J$19</f>
        <v>1370.49621466293</v>
      </c>
      <c r="AS131" s="2" t="n">
        <f aca="false">Entrées!$C$79*(1+Q131)+Hypothèses!$J$20</f>
        <v>1461.07038686319</v>
      </c>
      <c r="AT131" s="2" t="n">
        <f aca="false">AI131-AR131+AS131+Y131*1000-AO131+Hypothèses!$J$23</f>
        <v>22626.6768851231</v>
      </c>
      <c r="AU131" s="2" t="n">
        <f aca="false">AT131/AQ131</f>
        <v>2.84840286013282</v>
      </c>
      <c r="AV131" s="2" t="n">
        <f aca="false">Hypothèses!$J$26*AQ131-AT131</f>
        <v>1204.23257134479</v>
      </c>
      <c r="AW131" s="2" t="n">
        <f aca="false">IF(AC131&gt;Hypothèses!$J$26,MAX(0,AV131)/(1-Hypothèses!$J$26/AC131),0)</f>
        <v>1801.7217447546</v>
      </c>
      <c r="AX131" s="2" t="n">
        <f aca="false">AQ131-Entrées!$C$17*1000</f>
        <v>-56.363514510691</v>
      </c>
      <c r="AY131" s="2" t="n">
        <f aca="false">AI131+(Entrées!$C$244-Entrées!$C$13)</f>
        <v>28672.1007821191</v>
      </c>
      <c r="AZ131" s="2" t="n">
        <f aca="false">AA131*AH131</f>
        <v>5392.2977296008</v>
      </c>
      <c r="BA131" s="2" t="n">
        <f aca="false">AZ131/AY131</f>
        <v>0.188067758640261</v>
      </c>
      <c r="BB131" s="2" t="n">
        <f aca="false">AZ131/(Entrées!$C$151/100)-AY131</f>
        <v>1285.10882677424</v>
      </c>
      <c r="BC131" s="2" t="n">
        <f aca="false">AT131+(Entrées!$C$244-Entrées!$C$13)</f>
        <v>28373.6768851231</v>
      </c>
      <c r="BD131" s="2" t="n">
        <f aca="false">AA131*AQ131</f>
        <v>5712.21445586306</v>
      </c>
      <c r="BE131" s="2" t="n">
        <f aca="false">BD131/BC131</f>
        <v>0.201320910186937</v>
      </c>
      <c r="BF131" s="2" t="n">
        <f aca="false">BD131/(Entrées!$C$151/100)-BC131</f>
        <v>3360.84786967162</v>
      </c>
      <c r="BG131" s="2" t="n">
        <f aca="false">MIN(AV131,BF131)</f>
        <v>1204.23257134479</v>
      </c>
      <c r="BH131" s="2" t="n">
        <f aca="false">IF(AC131&gt;Hypothèses!$J$26,MAX(0,BG131)/(1-Hypothèses!$J$26/AC131),0)</f>
        <v>1801.7217447546</v>
      </c>
    </row>
    <row r="132" customFormat="false" ht="15" hidden="false" customHeight="false" outlineLevel="0" collapsed="false">
      <c r="A132" s="2" t="n">
        <v>117</v>
      </c>
      <c r="B132" s="2" t="n">
        <v>0.690466594</v>
      </c>
      <c r="C132" s="2"/>
      <c r="D132" s="2" t="n">
        <v>0.212879211</v>
      </c>
      <c r="E132" s="2" t="n">
        <f aca="false">IF(E$7=E$5,E$6,IF(NORMSDIST(E$9*SQRT($C$11)*NORMSINV($B132)+SQRT(1-E$9^2*$C$11)*NORMSINV(D132))&lt;E$8,E$5+SQRT(NORMSDIST(E$9*SQRT($C$11)*NORMSINV($B132)+SQRT(1-E$9^2*$C$11)*NORMSINV(D132))*(E$7-E$5)*(E$6-E$5)),E$7-SQRT((1-NORMSDIST(E$9*SQRT($C$11)*NORMSINV($B132)+SQRT(1-E$9^2*$C$11)*NORMSINV(D132)))*(E$7-E$5)*(E$7-E$6))))</f>
        <v>0.0543653985383165</v>
      </c>
      <c r="F132" s="2" t="n">
        <v>0.446216027</v>
      </c>
      <c r="G132" s="2" t="n">
        <f aca="false">IF(G$7=G$5,G$6,IF(NORMSDIST(G$9*SQRT($C$11)*NORMSINV($B132)+SQRT(1-G$9^2*$C$11)*NORMSINV(F132))&lt;G$8,G$5+SQRT(NORMSDIST(G$9*SQRT($C$11)*NORMSINV($B132)+SQRT(1-G$9^2*$C$11)*NORMSINV(F132))*(G$7-G$5)*(G$6-G$5)),G$7-SQRT((1-NORMSDIST(G$9*SQRT($C$11)*NORMSINV($B132)+SQRT(1-G$9^2*$C$11)*NORMSINV(F132)))*(G$7-G$5)*(G$7-G$6))))</f>
        <v>0.0563022233535705</v>
      </c>
      <c r="H132" s="2" t="n">
        <v>0.518853191</v>
      </c>
      <c r="I132" s="2" t="n">
        <f aca="false">IF(I$7=I$5,I$6,IF(NORMSDIST(I$9*SQRT($C$11)*NORMSINV($B132)+SQRT(1-I$9^2*$C$11)*NORMSINV(H132))&lt;I$8,I$5+SQRT(NORMSDIST(I$9*SQRT($C$11)*NORMSINV($B132)+SQRT(1-I$9^2*$C$11)*NORMSINV(H132))*(I$7-I$5)*(I$6-I$5)),I$7-SQRT((1-NORMSDIST(I$9*SQRT($C$11)*NORMSINV($B132)+SQRT(1-I$9^2*$C$11)*NORMSINV(H132)))*(I$7-I$5)*(I$7-I$6))))</f>
        <v>202.964229416117</v>
      </c>
      <c r="J132" s="2" t="n">
        <v>0.791272211</v>
      </c>
      <c r="K132" s="2" t="n">
        <f aca="false">IF(K$7=K$5,K$6,IF(NORMSDIST(K$9*SQRT($C$11)*NORMSINV($B132)+SQRT(1-K$9^2*$C$11)*NORMSINV(J132))&lt;K$8,K$5+SQRT(NORMSDIST(K$9*SQRT($C$11)*NORMSINV($B132)+SQRT(1-K$9^2*$C$11)*NORMSINV(J132))*(K$7-K$5)*(K$6-K$5)),K$7-SQRT((1-NORMSDIST(K$9*SQRT($C$11)*NORMSINV($B132)+SQRT(1-K$9^2*$C$11)*NORMSINV(J132)))*(K$7-K$5)*(K$7-K$6))))</f>
        <v>0.35296085151751</v>
      </c>
      <c r="L132" s="2" t="n">
        <v>0.165377057</v>
      </c>
      <c r="M132" s="2" t="n">
        <f aca="false">IF(M$7=M$5,M$6,IF(NORMSDIST(M$9*SQRT($C$11)*NORMSINV($B132)+SQRT(1-M$9^2*$C$11)*NORMSINV(L132))&lt;M$8,M$5+SQRT(NORMSDIST(M$9*SQRT($C$11)*NORMSINV($B132)+SQRT(1-M$9^2*$C$11)*NORMSINV(L132))*(M$7-M$5)*(M$6-M$5)),M$7-SQRT((1-NORMSDIST(M$9*SQRT($C$11)*NORMSINV($B132)+SQRT(1-M$9^2*$C$11)*NORMSINV(L132)))*(M$7-M$5)*(M$7-M$6))))</f>
        <v>1532.54431857115</v>
      </c>
      <c r="N132" s="2" t="n">
        <v>0.286063274</v>
      </c>
      <c r="O132" s="2" t="n">
        <f aca="false">IF(O$7=O$5,O$6,IF(NORMSDIST(O$9*SQRT($C$11)*NORMSINV($B132)+SQRT(1-O$9^2*$C$11)*NORMSINV(N132))&lt;O$8,O$5+SQRT(NORMSDIST(O$9*SQRT($C$11)*NORMSINV($B132)+SQRT(1-O$9^2*$C$11)*NORMSINV(N132))*(O$7-O$5)*(O$6-O$5)),O$7-SQRT((1-NORMSDIST(O$9*SQRT($C$11)*NORMSINV($B132)+SQRT(1-O$9^2*$C$11)*NORMSINV(N132)))*(O$7-O$5)*(O$7-O$6))))</f>
        <v>0.165438088732067</v>
      </c>
      <c r="P132" s="2" t="n">
        <v>0.180374668</v>
      </c>
      <c r="Q132" s="2" t="n">
        <f aca="false">IF(Q$7=Q$5,Q$6,IF(NORMSDIST(Q$9*SQRT($C$11)*NORMSINV($B132)+SQRT(1-Q$9^2*$C$11)*NORMSINV(P132))&lt;Q$8,Q$5+SQRT(NORMSDIST(Q$9*SQRT($C$11)*NORMSINV($B132)+SQRT(1-Q$9^2*$C$11)*NORMSINV(P132))*(Q$7-Q$5)*(Q$6-Q$5)),Q$7-SQRT((1-NORMSDIST(Q$9*SQRT($C$11)*NORMSINV($B132)+SQRT(1-Q$9^2*$C$11)*NORMSINV(P132)))*(Q$7-Q$5)*(Q$7-Q$6))))</f>
        <v>0.0640249648823885</v>
      </c>
      <c r="R132" s="2" t="n">
        <v>0.632237265</v>
      </c>
      <c r="S132" s="2" t="n">
        <f aca="false">IF(S$7=S$5,S$6,IF(NORMSDIST(S$9*SQRT($C$11)*NORMSINV($B132)+SQRT(1-S$9^2*$C$11)*NORMSINV(R132))&lt;S$8,S$5+SQRT(NORMSDIST(S$9*SQRT($C$11)*NORMSINV($B132)+SQRT(1-S$9^2*$C$11)*NORMSINV(R132))*(S$7-S$5)*(S$6-S$5)),S$7-SQRT((1-NORMSDIST(S$9*SQRT($C$11)*NORMSINV($B132)+SQRT(1-S$9^2*$C$11)*NORMSINV(R132)))*(S$7-S$5)*(S$7-S$6))))</f>
        <v>0.624315145689281</v>
      </c>
      <c r="T132" s="2" t="n">
        <v>0.052677983</v>
      </c>
      <c r="U132" s="2" t="n">
        <f aca="false">IF(U$7=U$5,U$6,IF(NORMSDIST(U$9*SQRT($C$11)*NORMSINV($B132)+SQRT(1-U$9^2*$C$11)*NORMSINV(T132))&lt;U$8,U$5+SQRT(NORMSDIST(U$9*SQRT($C$11)*NORMSINV($B132)+SQRT(1-U$9^2*$C$11)*NORMSINV(T132))*(U$7-U$5)*(U$6-U$5)),U$7-SQRT((1-NORMSDIST(U$9*SQRT($C$11)*NORMSINV($B132)+SQRT(1-U$9^2*$C$11)*NORMSINV(T132)))*(U$7-U$5)*(U$7-U$6))))</f>
        <v>0.294634386950318</v>
      </c>
      <c r="V132" s="2" t="n">
        <v>0.083185403</v>
      </c>
      <c r="W132" s="2" t="n">
        <f aca="false">IF(W$7=W$5,W$6,IF(NORMSDIST(W$9*SQRT($C$11)*NORMSINV($B132)+SQRT(1-W$9^2*$C$11)*NORMSINV(V132))&lt;W$8,W$5+SQRT(NORMSDIST(W$9*SQRT($C$11)*NORMSINV($B132)+SQRT(1-W$9^2*$C$11)*NORMSINV(V132))*(W$7-W$5)*(W$6-W$5)),W$7-SQRT((1-NORMSDIST(W$9*SQRT($C$11)*NORMSINV($B132)+SQRT(1-W$9^2*$C$11)*NORMSINV(V132)))*(W$7-W$5)*(W$7-W$6))))</f>
        <v>9.33971361157952</v>
      </c>
      <c r="X132" s="2" t="n">
        <v>0.658413332</v>
      </c>
      <c r="Y132" s="2" t="n">
        <f aca="false">IF(Y$7=Y$5,Y$6,IF(NORMSDIST(Y$9*SQRT($C$11)*NORMSINV($B132)+SQRT(1-Y$9^2*$C$11)*NORMSINV(X132))&lt;Y$8,Y$5+SQRT(NORMSDIST(Y$9*SQRT($C$11)*NORMSINV($B132)+SQRT(1-Y$9^2*$C$11)*NORMSINV(X132))*(Y$7-Y$5)*(Y$6-Y$5)),Y$7-SQRT((1-NORMSDIST(Y$9*SQRT($C$11)*NORMSINV($B132)+SQRT(1-Y$9^2*$C$11)*NORMSINV(X132)))*(Y$7-Y$5)*(Y$7-Y$6))))</f>
        <v>0.586728498442005</v>
      </c>
      <c r="Z132" s="2" t="n">
        <v>0.224948635</v>
      </c>
      <c r="AA132" s="2" t="n">
        <f aca="false">IF(AA$7=AA$5,AA$6,IF(NORMSDIST(AA$9*SQRT($C$11)*NORMSINV($B132)+SQRT(1-AA$9^2*$C$11)*NORMSINV(Z132))&lt;AA$8,AA$5+SQRT(NORMSDIST(AA$9*SQRT($C$11)*NORMSINV($B132)+SQRT(1-AA$9^2*$C$11)*NORMSINV(Z132))*(AA$7-AA$5)*(AA$6-AA$5)),AA$7-SQRT((1-NORMSDIST(AA$9*SQRT($C$11)*NORMSINV($B132)+SQRT(1-AA$9^2*$C$11)*NORMSINV(Z132)))*(AA$7-AA$5)*(AA$7-AA$6))))</f>
        <v>0.724348009158258</v>
      </c>
      <c r="AB132" s="2" t="n">
        <v>0.89809798</v>
      </c>
      <c r="AC132" s="2" t="n">
        <f aca="false">IF(AC$7=AC$5,AC$6,IF(NORMSDIST(AC$9*SQRT($C$11)*NORMSINV($B132)+SQRT(1-AC$9^2*$C$11)*NORMSINV(AB132))&lt;AC$8,AC$5+SQRT(NORMSDIST(AC$9*SQRT($C$11)*NORMSINV($B132)+SQRT(1-AC$9^2*$C$11)*NORMSINV(AB132))*(AC$7-AC$5)*(AC$6-AC$5)),AC$7-SQRT((1-NORMSDIST(AC$9*SQRT($C$11)*NORMSINV($B132)+SQRT(1-AC$9^2*$C$11)*NORMSINV(AB132)))*(AC$7-AC$5)*(AC$7-AC$6))))</f>
        <v>10.3526393150954</v>
      </c>
      <c r="AD132" s="2" t="n">
        <f aca="false">Entrées!$C$8*(1+E132)</f>
        <v>7433.27605969513</v>
      </c>
      <c r="AE132" s="2" t="n">
        <f aca="false">I132*Hypothèses!$J$24/12/Hypothèses!$J$19</f>
        <v>100.689904601048</v>
      </c>
      <c r="AF132" s="2" t="n">
        <f aca="false">Entrées!$C$36*S132*1000</f>
        <v>312.157572844641</v>
      </c>
      <c r="AG132" s="2" t="n">
        <f aca="false">-AF132/W132</f>
        <v>-33.4226064980861</v>
      </c>
      <c r="AH132" s="2" t="n">
        <f aca="false">AD132+AE132+AG132</f>
        <v>7500.54335779809</v>
      </c>
      <c r="AI132" s="2" t="n">
        <f aca="false">Entrées!$C$16-M132+Hypothèses!$J$22*1000-AF132+Hypothèses!$J$23</f>
        <v>22703.2981085842</v>
      </c>
      <c r="AJ132" s="2" t="n">
        <f aca="false">AI132/AH132</f>
        <v>3.02688712344823</v>
      </c>
      <c r="AK132" s="2" t="n">
        <f aca="false">AI132/(AH132+I132*(12-Hypothèses!$J$24)/12/Hypothèses!$J$19)</f>
        <v>2.99813851280626</v>
      </c>
      <c r="AL132" s="2" t="n">
        <f aca="false">(AD132+AG132+I132/Hypothèses!$J$19)*(1+G132)</f>
        <v>7998.81131813009</v>
      </c>
      <c r="AM132" s="2" t="n">
        <f aca="false">Entrées!$C$54*K132/Hypothèses!$J$19</f>
        <v>36.0211368842092</v>
      </c>
      <c r="AN132" s="2" t="n">
        <f aca="false">Y132*1000/AC132</f>
        <v>56.6742915100385</v>
      </c>
      <c r="AO132" s="2" t="n">
        <f aca="false">(Entrées!$C$36*(1-S132)+MAX(0,Entrées!$C$30-Entrées!$C$35-Entrées!$C$36)*U132)*1000</f>
        <v>600.330568885805</v>
      </c>
      <c r="AP132" s="2" t="n">
        <f aca="false">-AO132/W132</f>
        <v>-64.2771924121427</v>
      </c>
      <c r="AQ132" s="2" t="n">
        <f aca="false">AL132+AM132+AN132+AP132</f>
        <v>8027.22955411219</v>
      </c>
      <c r="AR132" s="2" t="n">
        <f aca="false">O132*AQ132-Hypothèses!$J$25/Hypothèses!$J$19</f>
        <v>1308.87435298426</v>
      </c>
      <c r="AS132" s="2" t="n">
        <f aca="false">Entrées!$C$79*(1+Q132)+Hypothèses!$J$20</f>
        <v>1464.36343640575</v>
      </c>
      <c r="AT132" s="2" t="n">
        <f aca="false">AI132-AR132+AS132+Y132*1000-AO132+Hypothèses!$J$23</f>
        <v>22845.1851215619</v>
      </c>
      <c r="AU132" s="2" t="n">
        <f aca="false">AT132/AQ132</f>
        <v>2.8459613578459</v>
      </c>
      <c r="AV132" s="2" t="n">
        <f aca="false">Hypothèses!$J$26*AQ132-AT132</f>
        <v>1236.50354077469</v>
      </c>
      <c r="AW132" s="2" t="n">
        <f aca="false">IF(AC132&gt;Hypothèses!$J$26,MAX(0,AV132)/(1-Hypothèses!$J$26/AC132),0)</f>
        <v>1741.0176973046</v>
      </c>
      <c r="AX132" s="2" t="n">
        <f aca="false">AQ132-Entrées!$C$17*1000</f>
        <v>27.2295541121921</v>
      </c>
      <c r="AY132" s="2" t="n">
        <f aca="false">AI132+(Entrées!$C$244-Entrées!$C$13)</f>
        <v>28450.2981085842</v>
      </c>
      <c r="AZ132" s="2" t="n">
        <f aca="false">AA132*AH132</f>
        <v>5433.00364882624</v>
      </c>
      <c r="BA132" s="2" t="n">
        <f aca="false">AZ132/AY132</f>
        <v>0.190964735346199</v>
      </c>
      <c r="BB132" s="2" t="n">
        <f aca="false">AZ132/(Entrées!$C$151/100)-AY132</f>
        <v>1733.05549600604</v>
      </c>
      <c r="BC132" s="2" t="n">
        <f aca="false">AT132+(Entrées!$C$244-Entrées!$C$13)</f>
        <v>28592.1851215619</v>
      </c>
      <c r="BD132" s="2" t="n">
        <f aca="false">AA132*AQ132</f>
        <v>5814.5077465775</v>
      </c>
      <c r="BE132" s="2" t="n">
        <f aca="false">BD132/BC132</f>
        <v>0.203360034284077</v>
      </c>
      <c r="BF132" s="2" t="n">
        <f aca="false">BD132/(Entrées!$C$151/100)-BC132</f>
        <v>3710.63569275753</v>
      </c>
      <c r="BG132" s="2" t="n">
        <f aca="false">MIN(AV132,BF132)</f>
        <v>1236.50354077469</v>
      </c>
      <c r="BH132" s="2" t="n">
        <f aca="false">IF(AC132&gt;Hypothèses!$J$26,MAX(0,BG132)/(1-Hypothèses!$J$26/AC132),0)</f>
        <v>1741.0176973046</v>
      </c>
    </row>
    <row r="133" customFormat="false" ht="15" hidden="false" customHeight="false" outlineLevel="0" collapsed="false">
      <c r="A133" s="2" t="n">
        <v>118</v>
      </c>
      <c r="B133" s="2" t="n">
        <v>0.051669983</v>
      </c>
      <c r="C133" s="2"/>
      <c r="D133" s="2" t="n">
        <v>0.335530346</v>
      </c>
      <c r="E133" s="2" t="n">
        <f aca="false">IF(E$7=E$5,E$6,IF(NORMSDIST(E$9*SQRT($C$11)*NORMSINV($B133)+SQRT(1-E$9^2*$C$11)*NORMSINV(D133))&lt;E$8,E$5+SQRT(NORMSDIST(E$9*SQRT($C$11)*NORMSINV($B133)+SQRT(1-E$9^2*$C$11)*NORMSINV(D133))*(E$7-E$5)*(E$6-E$5)),E$7-SQRT((1-NORMSDIST(E$9*SQRT($C$11)*NORMSINV($B133)+SQRT(1-E$9^2*$C$11)*NORMSINV(D133)))*(E$7-E$5)*(E$7-E$6))))</f>
        <v>0.0520862492453371</v>
      </c>
      <c r="F133" s="2" t="n">
        <v>0.059374946</v>
      </c>
      <c r="G133" s="2" t="n">
        <f aca="false">IF(G$7=G$5,G$6,IF(NORMSDIST(G$9*SQRT($C$11)*NORMSINV($B133)+SQRT(1-G$9^2*$C$11)*NORMSINV(F133))&lt;G$8,G$5+SQRT(NORMSDIST(G$9*SQRT($C$11)*NORMSINV($B133)+SQRT(1-G$9^2*$C$11)*NORMSINV(F133))*(G$7-G$5)*(G$6-G$5)),G$7-SQRT((1-NORMSDIST(G$9*SQRT($C$11)*NORMSINV($B133)+SQRT(1-G$9^2*$C$11)*NORMSINV(F133)))*(G$7-G$5)*(G$7-G$6))))</f>
        <v>0.042380344649043</v>
      </c>
      <c r="H133" s="2" t="n">
        <v>0.239301805</v>
      </c>
      <c r="I133" s="2" t="n">
        <f aca="false">IF(I$7=I$5,I$6,IF(NORMSDIST(I$9*SQRT($C$11)*NORMSINV($B133)+SQRT(1-I$9^2*$C$11)*NORMSINV(H133))&lt;I$8,I$5+SQRT(NORMSDIST(I$9*SQRT($C$11)*NORMSINV($B133)+SQRT(1-I$9^2*$C$11)*NORMSINV(H133))*(I$7-I$5)*(I$6-I$5)),I$7-SQRT((1-NORMSDIST(I$9*SQRT($C$11)*NORMSINV($B133)+SQRT(1-I$9^2*$C$11)*NORMSINV(H133)))*(I$7-I$5)*(I$7-I$6))))</f>
        <v>186.762517920725</v>
      </c>
      <c r="J133" s="2" t="n">
        <v>0.656617574</v>
      </c>
      <c r="K133" s="2" t="n">
        <f aca="false">IF(K$7=K$5,K$6,IF(NORMSDIST(K$9*SQRT($C$11)*NORMSINV($B133)+SQRT(1-K$9^2*$C$11)*NORMSINV(J133))&lt;K$8,K$5+SQRT(NORMSDIST(K$9*SQRT($C$11)*NORMSINV($B133)+SQRT(1-K$9^2*$C$11)*NORMSINV(J133))*(K$7-K$5)*(K$6-K$5)),K$7-SQRT((1-NORMSDIST(K$9*SQRT($C$11)*NORMSINV($B133)+SQRT(1-K$9^2*$C$11)*NORMSINV(J133)))*(K$7-K$5)*(K$7-K$6))))</f>
        <v>0.171911975395161</v>
      </c>
      <c r="L133" s="2" t="n">
        <v>0.700341931</v>
      </c>
      <c r="M133" s="2" t="n">
        <f aca="false">IF(M$7=M$5,M$6,IF(NORMSDIST(M$9*SQRT($C$11)*NORMSINV($B133)+SQRT(1-M$9^2*$C$11)*NORMSINV(L133))&lt;M$8,M$5+SQRT(NORMSDIST(M$9*SQRT($C$11)*NORMSINV($B133)+SQRT(1-M$9^2*$C$11)*NORMSINV(L133))*(M$7-M$5)*(M$6-M$5)),M$7-SQRT((1-NORMSDIST(M$9*SQRT($C$11)*NORMSINV($B133)+SQRT(1-M$9^2*$C$11)*NORMSINV(L133)))*(M$7-M$5)*(M$7-M$6))))</f>
        <v>1509.21554763645</v>
      </c>
      <c r="N133" s="2" t="n">
        <v>0.923549663</v>
      </c>
      <c r="O133" s="2" t="n">
        <f aca="false">IF(O$7=O$5,O$6,IF(NORMSDIST(O$9*SQRT($C$11)*NORMSINV($B133)+SQRT(1-O$9^2*$C$11)*NORMSINV(N133))&lt;O$8,O$5+SQRT(NORMSDIST(O$9*SQRT($C$11)*NORMSINV($B133)+SQRT(1-O$9^2*$C$11)*NORMSINV(N133))*(O$7-O$5)*(O$6-O$5)),O$7-SQRT((1-NORMSDIST(O$9*SQRT($C$11)*NORMSINV($B133)+SQRT(1-O$9^2*$C$11)*NORMSINV(N133)))*(O$7-O$5)*(O$7-O$6))))</f>
        <v>0.167594101346264</v>
      </c>
      <c r="P133" s="2" t="n">
        <v>0.952238474</v>
      </c>
      <c r="Q133" s="2" t="n">
        <f aca="false">IF(Q$7=Q$5,Q$6,IF(NORMSDIST(Q$9*SQRT($C$11)*NORMSINV($B133)+SQRT(1-Q$9^2*$C$11)*NORMSINV(P133))&lt;Q$8,Q$5+SQRT(NORMSDIST(Q$9*SQRT($C$11)*NORMSINV($B133)+SQRT(1-Q$9^2*$C$11)*NORMSINV(P133))*(Q$7-Q$5)*(Q$6-Q$5)),Q$7-SQRT((1-NORMSDIST(Q$9*SQRT($C$11)*NORMSINV($B133)+SQRT(1-Q$9^2*$C$11)*NORMSINV(P133)))*(Q$7-Q$5)*(Q$7-Q$6))))</f>
        <v>0.107637278487323</v>
      </c>
      <c r="R133" s="2" t="n">
        <v>0.557208684</v>
      </c>
      <c r="S133" s="2" t="n">
        <f aca="false">IF(S$7=S$5,S$6,IF(NORMSDIST(S$9*SQRT($C$11)*NORMSINV($B133)+SQRT(1-S$9^2*$C$11)*NORMSINV(R133))&lt;S$8,S$5+SQRT(NORMSDIST(S$9*SQRT($C$11)*NORMSINV($B133)+SQRT(1-S$9^2*$C$11)*NORMSINV(R133))*(S$7-S$5)*(S$6-S$5)),S$7-SQRT((1-NORMSDIST(S$9*SQRT($C$11)*NORMSINV($B133)+SQRT(1-S$9^2*$C$11)*NORMSINV(R133)))*(S$7-S$5)*(S$7-S$6))))</f>
        <v>0.299264822522498</v>
      </c>
      <c r="T133" s="2" t="n">
        <v>0.552749319</v>
      </c>
      <c r="U133" s="2" t="n">
        <f aca="false">IF(U$7=U$5,U$6,IF(NORMSDIST(U$9*SQRT($C$11)*NORMSINV($B133)+SQRT(1-U$9^2*$C$11)*NORMSINV(T133))&lt;U$8,U$5+SQRT(NORMSDIST(U$9*SQRT($C$11)*NORMSINV($B133)+SQRT(1-U$9^2*$C$11)*NORMSINV(T133))*(U$7-U$5)*(U$6-U$5)),U$7-SQRT((1-NORMSDIST(U$9*SQRT($C$11)*NORMSINV($B133)+SQRT(1-U$9^2*$C$11)*NORMSINV(T133)))*(U$7-U$5)*(U$7-U$6))))</f>
        <v>0.297356116584449</v>
      </c>
      <c r="V133" s="2" t="n">
        <v>0.283173897</v>
      </c>
      <c r="W133" s="2" t="n">
        <f aca="false">IF(W$7=W$5,W$6,IF(NORMSDIST(W$9*SQRT($C$11)*NORMSINV($B133)+SQRT(1-W$9^2*$C$11)*NORMSINV(V133))&lt;W$8,W$5+SQRT(NORMSDIST(W$9*SQRT($C$11)*NORMSINV($B133)+SQRT(1-W$9^2*$C$11)*NORMSINV(V133))*(W$7-W$5)*(W$6-W$5)),W$7-SQRT((1-NORMSDIST(W$9*SQRT($C$11)*NORMSINV($B133)+SQRT(1-W$9^2*$C$11)*NORMSINV(V133)))*(W$7-W$5)*(W$7-W$6))))</f>
        <v>8.74934944639233</v>
      </c>
      <c r="X133" s="2" t="n">
        <v>0.038346587</v>
      </c>
      <c r="Y133" s="2" t="n">
        <f aca="false">IF(Y$7=Y$5,Y$6,IF(NORMSDIST(Y$9*SQRT($C$11)*NORMSINV($B133)+SQRT(1-Y$9^2*$C$11)*NORMSINV(X133))&lt;Y$8,Y$5+SQRT(NORMSDIST(Y$9*SQRT($C$11)*NORMSINV($B133)+SQRT(1-Y$9^2*$C$11)*NORMSINV(X133))*(Y$7-Y$5)*(Y$6-Y$5)),Y$7-SQRT((1-NORMSDIST(Y$9*SQRT($C$11)*NORMSINV($B133)+SQRT(1-Y$9^2*$C$11)*NORMSINV(X133)))*(Y$7-Y$5)*(Y$7-Y$6))))</f>
        <v>0.138467662289792</v>
      </c>
      <c r="Z133" s="2" t="n">
        <v>0.993349261</v>
      </c>
      <c r="AA133" s="2" t="n">
        <f aca="false">IF(AA$7=AA$5,AA$6,IF(NORMSDIST(AA$9*SQRT($C$11)*NORMSINV($B133)+SQRT(1-AA$9^2*$C$11)*NORMSINV(Z133))&lt;AA$8,AA$5+SQRT(NORMSDIST(AA$9*SQRT($C$11)*NORMSINV($B133)+SQRT(1-AA$9^2*$C$11)*NORMSINV(Z133))*(AA$7-AA$5)*(AA$6-AA$5)),AA$7-SQRT((1-NORMSDIST(AA$9*SQRT($C$11)*NORMSINV($B133)+SQRT(1-AA$9^2*$C$11)*NORMSINV(Z133)))*(AA$7-AA$5)*(AA$7-AA$6))))</f>
        <v>0.738348874258884</v>
      </c>
      <c r="AB133" s="2" t="n">
        <v>0.339273981</v>
      </c>
      <c r="AC133" s="2" t="n">
        <f aca="false">IF(AC$7=AC$5,AC$6,IF(NORMSDIST(AC$9*SQRT($C$11)*NORMSINV($B133)+SQRT(1-AC$9^2*$C$11)*NORMSINV(AB133))&lt;AC$8,AC$5+SQRT(NORMSDIST(AC$9*SQRT($C$11)*NORMSINV($B133)+SQRT(1-AC$9^2*$C$11)*NORMSINV(AB133))*(AC$7-AC$5)*(AC$6-AC$5)),AC$7-SQRT((1-NORMSDIST(AC$9*SQRT($C$11)*NORMSINV($B133)+SQRT(1-AC$9^2*$C$11)*NORMSINV(AB133)))*(AC$7-AC$5)*(AC$7-AC$6))))</f>
        <v>8.27351200757057</v>
      </c>
      <c r="AD133" s="2" t="n">
        <f aca="false">Entrées!$C$8*(1+E133)</f>
        <v>7417.20805717963</v>
      </c>
      <c r="AE133" s="2" t="n">
        <f aca="false">I133*Hypothèses!$J$24/12/Hypothèses!$J$19</f>
        <v>92.6522873837787</v>
      </c>
      <c r="AF133" s="2" t="n">
        <f aca="false">Entrées!$C$36*S133*1000</f>
        <v>149.632411261249</v>
      </c>
      <c r="AG133" s="2" t="n">
        <f aca="false">-AF133/W133</f>
        <v>-17.1021185264177</v>
      </c>
      <c r="AH133" s="2" t="n">
        <f aca="false">AD133+AE133+AG133</f>
        <v>7492.75822603699</v>
      </c>
      <c r="AI133" s="2" t="n">
        <f aca="false">Entrées!$C$16-M133+Hypothèses!$J$22*1000-AF133+Hypothèses!$J$23</f>
        <v>22889.1520411023</v>
      </c>
      <c r="AJ133" s="2" t="n">
        <f aca="false">AI133/AH133</f>
        <v>3.05483659696419</v>
      </c>
      <c r="AK133" s="2" t="n">
        <f aca="false">AI133/(AH133+I133*(12-Hypothèses!$J$24)/12/Hypothèses!$J$19)</f>
        <v>3.02809081580681</v>
      </c>
      <c r="AL133" s="2" t="n">
        <f aca="false">(AD133+AG133+I133/Hypothèses!$J$19)*(1+G133)</f>
        <v>7879.28884721098</v>
      </c>
      <c r="AM133" s="2" t="n">
        <f aca="false">Entrées!$C$54*K133/Hypothèses!$J$19</f>
        <v>17.5443389008163</v>
      </c>
      <c r="AN133" s="2" t="n">
        <f aca="false">Y133*1000/AC133</f>
        <v>16.7362617184926</v>
      </c>
      <c r="AO133" s="2" t="n">
        <f aca="false">(Entrées!$C$36*(1-S133)+MAX(0,Entrées!$C$30-Entrées!$C$35-Entrées!$C$36)*U133)*1000</f>
        <v>766.666151956979</v>
      </c>
      <c r="AP133" s="2" t="n">
        <f aca="false">-AO133/W133</f>
        <v>-87.6255036622298</v>
      </c>
      <c r="AQ133" s="2" t="n">
        <f aca="false">AL133+AM133+AN133+AP133</f>
        <v>7825.94394416806</v>
      </c>
      <c r="AR133" s="2" t="n">
        <f aca="false">O133*AQ133-Hypothèses!$J$25/Hypothèses!$J$19</f>
        <v>1292.44688024746</v>
      </c>
      <c r="AS133" s="2" t="n">
        <f aca="false">Entrées!$C$79*(1+Q133)+Hypothèses!$J$20</f>
        <v>1512.29336905757</v>
      </c>
      <c r="AT133" s="2" t="n">
        <f aca="false">AI133-AR133+AS133+Y133*1000-AO133+Hypothèses!$J$23</f>
        <v>22480.8000402452</v>
      </c>
      <c r="AU133" s="2" t="n">
        <f aca="false">AT133/AQ133</f>
        <v>2.87259916511389</v>
      </c>
      <c r="AV133" s="2" t="n">
        <f aca="false">Hypothèses!$J$26*AQ133-AT133</f>
        <v>997.031792258942</v>
      </c>
      <c r="AW133" s="2" t="n">
        <f aca="false">IF(AC133&gt;Hypothèses!$J$26,MAX(0,AV133)/(1-Hypothèses!$J$26/AC133),0)</f>
        <v>1564.22408697314</v>
      </c>
      <c r="AX133" s="2" t="n">
        <f aca="false">AQ133-Entrées!$C$17*1000</f>
        <v>-174.056055831945</v>
      </c>
      <c r="AY133" s="2" t="n">
        <f aca="false">AI133+(Entrées!$C$244-Entrées!$C$13)</f>
        <v>28636.1520411023</v>
      </c>
      <c r="AZ133" s="2" t="n">
        <f aca="false">AA133*AH133</f>
        <v>5532.2696012884</v>
      </c>
      <c r="BA133" s="2" t="n">
        <f aca="false">AZ133/AY133</f>
        <v>0.193191794531185</v>
      </c>
      <c r="BB133" s="2" t="n">
        <f aca="false">AZ133/(Entrées!$C$151/100)-AY133</f>
        <v>2098.67907716661</v>
      </c>
      <c r="BC133" s="2" t="n">
        <f aca="false">AT133+(Entrées!$C$244-Entrées!$C$13)</f>
        <v>28227.8000402452</v>
      </c>
      <c r="BD133" s="2" t="n">
        <f aca="false">AA133*AQ133</f>
        <v>5778.27690118961</v>
      </c>
      <c r="BE133" s="2" t="n">
        <f aca="false">BD133/BC133</f>
        <v>0.20470163785174</v>
      </c>
      <c r="BF133" s="2" t="n">
        <f aca="false">BD133/(Entrées!$C$151/100)-BC133</f>
        <v>3873.73829969708</v>
      </c>
      <c r="BG133" s="2" t="n">
        <f aca="false">MIN(AV133,BF133)</f>
        <v>997.031792258942</v>
      </c>
      <c r="BH133" s="2" t="n">
        <f aca="false">IF(AC133&gt;Hypothèses!$J$26,MAX(0,BG133)/(1-Hypothèses!$J$26/AC133),0)</f>
        <v>1564.22408697314</v>
      </c>
    </row>
    <row r="134" customFormat="false" ht="15" hidden="false" customHeight="false" outlineLevel="0" collapsed="false">
      <c r="A134" s="2" t="n">
        <v>119</v>
      </c>
      <c r="B134" s="2" t="n">
        <v>0.026205762</v>
      </c>
      <c r="C134" s="2"/>
      <c r="D134" s="2" t="n">
        <v>0.016046663</v>
      </c>
      <c r="E134" s="2" t="n">
        <f aca="false">IF(E$7=E$5,E$6,IF(NORMSDIST(E$9*SQRT($C$11)*NORMSINV($B134)+SQRT(1-E$9^2*$C$11)*NORMSINV(D134))&lt;E$8,E$5+SQRT(NORMSDIST(E$9*SQRT($C$11)*NORMSINV($B134)+SQRT(1-E$9^2*$C$11)*NORMSINV(D134))*(E$7-E$5)*(E$6-E$5)),E$7-SQRT((1-NORMSDIST(E$9*SQRT($C$11)*NORMSINV($B134)+SQRT(1-E$9^2*$C$11)*NORMSINV(D134)))*(E$7-E$5)*(E$7-E$6))))</f>
        <v>0.0503118479568001</v>
      </c>
      <c r="F134" s="2" t="n">
        <v>0.887640082</v>
      </c>
      <c r="G134" s="2" t="n">
        <f aca="false">IF(G$7=G$5,G$6,IF(NORMSDIST(G$9*SQRT($C$11)*NORMSINV($B134)+SQRT(1-G$9^2*$C$11)*NORMSINV(F134))&lt;G$8,G$5+SQRT(NORMSDIST(G$9*SQRT($C$11)*NORMSINV($B134)+SQRT(1-G$9^2*$C$11)*NORMSINV(F134))*(G$7-G$5)*(G$6-G$5)),G$7-SQRT((1-NORMSDIST(G$9*SQRT($C$11)*NORMSINV($B134)+SQRT(1-G$9^2*$C$11)*NORMSINV(F134)))*(G$7-G$5)*(G$7-G$6))))</f>
        <v>0.0532015867467891</v>
      </c>
      <c r="H134" s="2" t="n">
        <v>0.258120162</v>
      </c>
      <c r="I134" s="2" t="n">
        <f aca="false">IF(I$7=I$5,I$6,IF(NORMSDIST(I$9*SQRT($C$11)*NORMSINV($B134)+SQRT(1-I$9^2*$C$11)*NORMSINV(H134))&lt;I$8,I$5+SQRT(NORMSDIST(I$9*SQRT($C$11)*NORMSINV($B134)+SQRT(1-I$9^2*$C$11)*NORMSINV(H134))*(I$7-I$5)*(I$6-I$5)),I$7-SQRT((1-NORMSDIST(I$9*SQRT($C$11)*NORMSINV($B134)+SQRT(1-I$9^2*$C$11)*NORMSINV(H134)))*(I$7-I$5)*(I$7-I$6))))</f>
        <v>185.7860731822</v>
      </c>
      <c r="J134" s="2" t="n">
        <v>0.366255091</v>
      </c>
      <c r="K134" s="2" t="n">
        <f aca="false">IF(K$7=K$5,K$6,IF(NORMSDIST(K$9*SQRT($C$11)*NORMSINV($B134)+SQRT(1-K$9^2*$C$11)*NORMSINV(J134))&lt;K$8,K$5+SQRT(NORMSDIST(K$9*SQRT($C$11)*NORMSINV($B134)+SQRT(1-K$9^2*$C$11)*NORMSINV(J134))*(K$7-K$5)*(K$6-K$5)),K$7-SQRT((1-NORMSDIST(K$9*SQRT($C$11)*NORMSINV($B134)+SQRT(1-K$9^2*$C$11)*NORMSINV(J134)))*(K$7-K$5)*(K$7-K$6))))</f>
        <v>0.0921337838457671</v>
      </c>
      <c r="L134" s="2" t="n">
        <v>0.557868568</v>
      </c>
      <c r="M134" s="2" t="n">
        <f aca="false">IF(M$7=M$5,M$6,IF(NORMSDIST(M$9*SQRT($C$11)*NORMSINV($B134)+SQRT(1-M$9^2*$C$11)*NORMSINV(L134))&lt;M$8,M$5+SQRT(NORMSDIST(M$9*SQRT($C$11)*NORMSINV($B134)+SQRT(1-M$9^2*$C$11)*NORMSINV(L134))*(M$7-M$5)*(M$6-M$5)),M$7-SQRT((1-NORMSDIST(M$9*SQRT($C$11)*NORMSINV($B134)+SQRT(1-M$9^2*$C$11)*NORMSINV(L134)))*(M$7-M$5)*(M$7-M$6))))</f>
        <v>1448.51770687657</v>
      </c>
      <c r="N134" s="2" t="n">
        <v>0.473390104</v>
      </c>
      <c r="O134" s="2" t="n">
        <f aca="false">IF(O$7=O$5,O$6,IF(NORMSDIST(O$9*SQRT($C$11)*NORMSINV($B134)+SQRT(1-O$9^2*$C$11)*NORMSINV(N134))&lt;O$8,O$5+SQRT(NORMSDIST(O$9*SQRT($C$11)*NORMSINV($B134)+SQRT(1-O$9^2*$C$11)*NORMSINV(N134))*(O$7-O$5)*(O$6-O$5)),O$7-SQRT((1-NORMSDIST(O$9*SQRT($C$11)*NORMSINV($B134)+SQRT(1-O$9^2*$C$11)*NORMSINV(N134)))*(O$7-O$5)*(O$7-O$6))))</f>
        <v>0.152010453423426</v>
      </c>
      <c r="P134" s="2" t="n">
        <v>0.026835383</v>
      </c>
      <c r="Q134" s="2" t="n">
        <f aca="false">IF(Q$7=Q$5,Q$6,IF(NORMSDIST(Q$9*SQRT($C$11)*NORMSINV($B134)+SQRT(1-Q$9^2*$C$11)*NORMSINV(P134))&lt;Q$8,Q$5+SQRT(NORMSDIST(Q$9*SQRT($C$11)*NORMSINV($B134)+SQRT(1-Q$9^2*$C$11)*NORMSINV(P134))*(Q$7-Q$5)*(Q$6-Q$5)),Q$7-SQRT((1-NORMSDIST(Q$9*SQRT($C$11)*NORMSINV($B134)+SQRT(1-Q$9^2*$C$11)*NORMSINV(P134)))*(Q$7-Q$5)*(Q$7-Q$6))))</f>
        <v>0.0492667807570914</v>
      </c>
      <c r="R134" s="2" t="n">
        <v>0.579172246</v>
      </c>
      <c r="S134" s="2" t="n">
        <f aca="false">IF(S$7=S$5,S$6,IF(NORMSDIST(S$9*SQRT($C$11)*NORMSINV($B134)+SQRT(1-S$9^2*$C$11)*NORMSINV(R134))&lt;S$8,S$5+SQRT(NORMSDIST(S$9*SQRT($C$11)*NORMSINV($B134)+SQRT(1-S$9^2*$C$11)*NORMSINV(R134))*(S$7-S$5)*(S$6-S$5)),S$7-SQRT((1-NORMSDIST(S$9*SQRT($C$11)*NORMSINV($B134)+SQRT(1-S$9^2*$C$11)*NORMSINV(R134)))*(S$7-S$5)*(S$7-S$6))))</f>
        <v>0.266315915499004</v>
      </c>
      <c r="T134" s="2" t="n">
        <v>0.774917924</v>
      </c>
      <c r="U134" s="2" t="n">
        <f aca="false">IF(U$7=U$5,U$6,IF(NORMSDIST(U$9*SQRT($C$11)*NORMSINV($B134)+SQRT(1-U$9^2*$C$11)*NORMSINV(T134))&lt;U$8,U$5+SQRT(NORMSDIST(U$9*SQRT($C$11)*NORMSINV($B134)+SQRT(1-U$9^2*$C$11)*NORMSINV(T134))*(U$7-U$5)*(U$6-U$5)),U$7-SQRT((1-NORMSDIST(U$9*SQRT($C$11)*NORMSINV($B134)+SQRT(1-U$9^2*$C$11)*NORMSINV(T134)))*(U$7-U$5)*(U$7-U$6))))</f>
        <v>0.360887387793336</v>
      </c>
      <c r="V134" s="2" t="n">
        <v>0.800797863</v>
      </c>
      <c r="W134" s="2" t="n">
        <f aca="false">IF(W$7=W$5,W$6,IF(NORMSDIST(W$9*SQRT($C$11)*NORMSINV($B134)+SQRT(1-W$9^2*$C$11)*NORMSINV(V134))&lt;W$8,W$5+SQRT(NORMSDIST(W$9*SQRT($C$11)*NORMSINV($B134)+SQRT(1-W$9^2*$C$11)*NORMSINV(V134))*(W$7-W$5)*(W$6-W$5)),W$7-SQRT((1-NORMSDIST(W$9*SQRT($C$11)*NORMSINV($B134)+SQRT(1-W$9^2*$C$11)*NORMSINV(V134)))*(W$7-W$5)*(W$7-W$6))))</f>
        <v>9.50581210886794</v>
      </c>
      <c r="X134" s="2" t="n">
        <v>0.6421094</v>
      </c>
      <c r="Y134" s="2" t="n">
        <f aca="false">IF(Y$7=Y$5,Y$6,IF(NORMSDIST(Y$9*SQRT($C$11)*NORMSINV($B134)+SQRT(1-Y$9^2*$C$11)*NORMSINV(X134))&lt;Y$8,Y$5+SQRT(NORMSDIST(Y$9*SQRT($C$11)*NORMSINV($B134)+SQRT(1-Y$9^2*$C$11)*NORMSINV(X134))*(Y$7-Y$5)*(Y$6-Y$5)),Y$7-SQRT((1-NORMSDIST(Y$9*SQRT($C$11)*NORMSINV($B134)+SQRT(1-Y$9^2*$C$11)*NORMSINV(X134)))*(Y$7-Y$5)*(Y$7-Y$6))))</f>
        <v>0.576980733299298</v>
      </c>
      <c r="Z134" s="2" t="n">
        <v>0.043736603</v>
      </c>
      <c r="AA134" s="2" t="n">
        <f aca="false">IF(AA$7=AA$5,AA$6,IF(NORMSDIST(AA$9*SQRT($C$11)*NORMSINV($B134)+SQRT(1-AA$9^2*$C$11)*NORMSINV(Z134))&lt;AA$8,AA$5+SQRT(NORMSDIST(AA$9*SQRT($C$11)*NORMSINV($B134)+SQRT(1-AA$9^2*$C$11)*NORMSINV(Z134))*(AA$7-AA$5)*(AA$6-AA$5)),AA$7-SQRT((1-NORMSDIST(AA$9*SQRT($C$11)*NORMSINV($B134)+SQRT(1-AA$9^2*$C$11)*NORMSINV(Z134)))*(AA$7-AA$5)*(AA$7-AA$6))))</f>
        <v>0.698714025182026</v>
      </c>
      <c r="AB134" s="2" t="n">
        <v>0.088577187</v>
      </c>
      <c r="AC134" s="2" t="n">
        <f aca="false">IF(AC$7=AC$5,AC$6,IF(NORMSDIST(AC$9*SQRT($C$11)*NORMSINV($B134)+SQRT(1-AC$9^2*$C$11)*NORMSINV(AB134))&lt;AC$8,AC$5+SQRT(NORMSDIST(AC$9*SQRT($C$11)*NORMSINV($B134)+SQRT(1-AC$9^2*$C$11)*NORMSINV(AB134))*(AC$7-AC$5)*(AC$6-AC$5)),AC$7-SQRT((1-NORMSDIST(AC$9*SQRT($C$11)*NORMSINV($B134)+SQRT(1-AC$9^2*$C$11)*NORMSINV(AB134)))*(AC$7-AC$5)*(AC$7-AC$6))))</f>
        <v>7.7157364444772</v>
      </c>
      <c r="AD134" s="2" t="n">
        <f aca="false">Entrées!$C$8*(1+E134)</f>
        <v>7404.69852809544</v>
      </c>
      <c r="AE134" s="2" t="n">
        <f aca="false">I134*Hypothèses!$J$24/12/Hypothèses!$J$19</f>
        <v>92.1678762742295</v>
      </c>
      <c r="AF134" s="2" t="n">
        <f aca="false">Entrées!$C$36*S134*1000</f>
        <v>133.157957749502</v>
      </c>
      <c r="AG134" s="2" t="n">
        <f aca="false">-AF134/W134</f>
        <v>-14.0080569891845</v>
      </c>
      <c r="AH134" s="2" t="n">
        <f aca="false">AD134+AE134+AG134</f>
        <v>7482.85834738049</v>
      </c>
      <c r="AI134" s="2" t="n">
        <f aca="false">Entrées!$C$16-M134+Hypothèses!$J$22*1000-AF134+Hypothèses!$J$23</f>
        <v>22966.3243353739</v>
      </c>
      <c r="AJ134" s="2" t="n">
        <f aca="false">AI134/AH134</f>
        <v>3.06919137971036</v>
      </c>
      <c r="AK134" s="2" t="n">
        <f aca="false">AI134/(AH134+I134*(12-Hypothèses!$J$24)/12/Hypothèses!$J$19)</f>
        <v>3.04242412832674</v>
      </c>
      <c r="AL134" s="2" t="n">
        <f aca="false">(AD134+AG134+I134/Hypothèses!$J$19)*(1+G134)</f>
        <v>7950.29496596194</v>
      </c>
      <c r="AM134" s="2" t="n">
        <f aca="false">Entrées!$C$54*K134/Hypothèses!$J$19</f>
        <v>9.40263948622041</v>
      </c>
      <c r="AN134" s="2" t="n">
        <f aca="false">Y134*1000/AC134</f>
        <v>74.7797358620629</v>
      </c>
      <c r="AO134" s="2" t="n">
        <f aca="false">(Entrées!$C$36*(1-S134)+MAX(0,Entrées!$C$30-Entrées!$C$35-Entrées!$C$36)*U134)*1000</f>
        <v>872.084385161168</v>
      </c>
      <c r="AP134" s="2" t="n">
        <f aca="false">-AO134/W134</f>
        <v>-91.7422283518105</v>
      </c>
      <c r="AQ134" s="2" t="n">
        <f aca="false">AL134+AM134+AN134+AP134</f>
        <v>7942.73511295841</v>
      </c>
      <c r="AR134" s="2" t="n">
        <f aca="false">O134*AQ134-Hypothèses!$J$25/Hypothèses!$J$19</f>
        <v>1188.24360368135</v>
      </c>
      <c r="AS134" s="2" t="n">
        <f aca="false">Entrées!$C$79*(1+Q134)+Hypothèses!$J$20</f>
        <v>1448.14419205204</v>
      </c>
      <c r="AT134" s="2" t="n">
        <f aca="false">AI134-AR134+AS134+Y134*1000-AO134+Hypothèses!$J$23</f>
        <v>22931.1212718828</v>
      </c>
      <c r="AU134" s="2" t="n">
        <f aca="false">AT134/AQ134</f>
        <v>2.88705602613778</v>
      </c>
      <c r="AV134" s="2" t="n">
        <f aca="false">Hypothèses!$J$26*AQ134-AT134</f>
        <v>897.084066992487</v>
      </c>
      <c r="AW134" s="2" t="n">
        <f aca="false">IF(AC134&gt;Hypothèses!$J$26,MAX(0,AV134)/(1-Hypothèses!$J$26/AC134),0)</f>
        <v>1467.78012532062</v>
      </c>
      <c r="AX134" s="2" t="n">
        <f aca="false">AQ134-Entrées!$C$17*1000</f>
        <v>-57.264887041586</v>
      </c>
      <c r="AY134" s="2" t="n">
        <f aca="false">AI134+(Entrées!$C$244-Entrées!$C$13)</f>
        <v>28713.3243353739</v>
      </c>
      <c r="AZ134" s="2" t="n">
        <f aca="false">AA134*AH134</f>
        <v>5228.37807576515</v>
      </c>
      <c r="BA134" s="2" t="n">
        <f aca="false">AZ134/AY134</f>
        <v>0.182088915052025</v>
      </c>
      <c r="BB134" s="2" t="n">
        <f aca="false">AZ134/(Entrées!$C$151/100)-AY134</f>
        <v>333.220529987986</v>
      </c>
      <c r="BC134" s="2" t="n">
        <f aca="false">AT134+(Entrées!$C$244-Entrées!$C$13)</f>
        <v>28678.1212718828</v>
      </c>
      <c r="BD134" s="2" t="n">
        <f aca="false">AA134*AQ134</f>
        <v>5549.70042172979</v>
      </c>
      <c r="BE134" s="2" t="n">
        <f aca="false">BD134/BC134</f>
        <v>0.193516875429736</v>
      </c>
      <c r="BF134" s="2" t="n">
        <f aca="false">BD134/(Entrées!$C$151/100)-BC134</f>
        <v>2153.5477377272</v>
      </c>
      <c r="BG134" s="2" t="n">
        <f aca="false">MIN(AV134,BF134)</f>
        <v>897.084066992487</v>
      </c>
      <c r="BH134" s="2" t="n">
        <f aca="false">IF(AC134&gt;Hypothèses!$J$26,MAX(0,BG134)/(1-Hypothèses!$J$26/AC134),0)</f>
        <v>1467.78012532062</v>
      </c>
    </row>
    <row r="135" customFormat="false" ht="15" hidden="false" customHeight="false" outlineLevel="0" collapsed="false">
      <c r="A135" s="2" t="n">
        <v>120</v>
      </c>
      <c r="B135" s="2" t="n">
        <v>0.214620347</v>
      </c>
      <c r="C135" s="2"/>
      <c r="D135" s="2" t="n">
        <v>0.354038777</v>
      </c>
      <c r="E135" s="2" t="n">
        <f aca="false">IF(E$7=E$5,E$6,IF(NORMSDIST(E$9*SQRT($C$11)*NORMSINV($B135)+SQRT(1-E$9^2*$C$11)*NORMSINV(D135))&lt;E$8,E$5+SQRT(NORMSDIST(E$9*SQRT($C$11)*NORMSINV($B135)+SQRT(1-E$9^2*$C$11)*NORMSINV(D135))*(E$7-E$5)*(E$6-E$5)),E$7-SQRT((1-NORMSDIST(E$9*SQRT($C$11)*NORMSINV($B135)+SQRT(1-E$9^2*$C$11)*NORMSINV(D135)))*(E$7-E$5)*(E$7-E$6))))</f>
        <v>0.053276940216062</v>
      </c>
      <c r="F135" s="2" t="n">
        <v>0.673806871</v>
      </c>
      <c r="G135" s="2" t="n">
        <f aca="false">IF(G$7=G$5,G$6,IF(NORMSDIST(G$9*SQRT($C$11)*NORMSINV($B135)+SQRT(1-G$9^2*$C$11)*NORMSINV(F135))&lt;G$8,G$5+SQRT(NORMSDIST(G$9*SQRT($C$11)*NORMSINV($B135)+SQRT(1-G$9^2*$C$11)*NORMSINV(F135))*(G$7-G$5)*(G$6-G$5)),G$7-SQRT((1-NORMSDIST(G$9*SQRT($C$11)*NORMSINV($B135)+SQRT(1-G$9^2*$C$11)*NORMSINV(F135)))*(G$7-G$5)*(G$7-G$6))))</f>
        <v>0.0540708385110822</v>
      </c>
      <c r="H135" s="2" t="n">
        <v>0.144184921</v>
      </c>
      <c r="I135" s="2" t="n">
        <f aca="false">IF(I$7=I$5,I$6,IF(NORMSDIST(I$9*SQRT($C$11)*NORMSINV($B135)+SQRT(1-I$9^2*$C$11)*NORMSINV(H135))&lt;I$8,I$5+SQRT(NORMSDIST(I$9*SQRT($C$11)*NORMSINV($B135)+SQRT(1-I$9^2*$C$11)*NORMSINV(H135))*(I$7-I$5)*(I$6-I$5)),I$7-SQRT((1-NORMSDIST(I$9*SQRT($C$11)*NORMSINV($B135)+SQRT(1-I$9^2*$C$11)*NORMSINV(H135)))*(I$7-I$5)*(I$7-I$6))))</f>
        <v>188.626789810809</v>
      </c>
      <c r="J135" s="2" t="n">
        <v>0.73644772</v>
      </c>
      <c r="K135" s="2" t="n">
        <f aca="false">IF(K$7=K$5,K$6,IF(NORMSDIST(K$9*SQRT($C$11)*NORMSINV($B135)+SQRT(1-K$9^2*$C$11)*NORMSINV(J135))&lt;K$8,K$5+SQRT(NORMSDIST(K$9*SQRT($C$11)*NORMSINV($B135)+SQRT(1-K$9^2*$C$11)*NORMSINV(J135))*(K$7-K$5)*(K$6-K$5)),K$7-SQRT((1-NORMSDIST(K$9*SQRT($C$11)*NORMSINV($B135)+SQRT(1-K$9^2*$C$11)*NORMSINV(J135)))*(K$7-K$5)*(K$7-K$6))))</f>
        <v>0.248993552470567</v>
      </c>
      <c r="L135" s="2" t="n">
        <v>0.601237892</v>
      </c>
      <c r="M135" s="2" t="n">
        <f aca="false">IF(M$7=M$5,M$6,IF(NORMSDIST(M$9*SQRT($C$11)*NORMSINV($B135)+SQRT(1-M$9^2*$C$11)*NORMSINV(L135))&lt;M$8,M$5+SQRT(NORMSDIST(M$9*SQRT($C$11)*NORMSINV($B135)+SQRT(1-M$9^2*$C$11)*NORMSINV(L135))*(M$7-M$5)*(M$6-M$5)),M$7-SQRT((1-NORMSDIST(M$9*SQRT($C$11)*NORMSINV($B135)+SQRT(1-M$9^2*$C$11)*NORMSINV(L135)))*(M$7-M$5)*(M$7-M$6))))</f>
        <v>1549.69770059278</v>
      </c>
      <c r="N135" s="2" t="n">
        <v>0.361474145</v>
      </c>
      <c r="O135" s="2" t="n">
        <f aca="false">IF(O$7=O$5,O$6,IF(NORMSDIST(O$9*SQRT($C$11)*NORMSINV($B135)+SQRT(1-O$9^2*$C$11)*NORMSINV(N135))&lt;O$8,O$5+SQRT(NORMSDIST(O$9*SQRT($C$11)*NORMSINV($B135)+SQRT(1-O$9^2*$C$11)*NORMSINV(N135))*(O$7-O$5)*(O$6-O$5)),O$7-SQRT((1-NORMSDIST(O$9*SQRT($C$11)*NORMSINV($B135)+SQRT(1-O$9^2*$C$11)*NORMSINV(N135)))*(O$7-O$5)*(O$7-O$6))))</f>
        <v>0.157738507899397</v>
      </c>
      <c r="P135" s="2" t="n">
        <v>0.680806887</v>
      </c>
      <c r="Q135" s="2" t="n">
        <f aca="false">IF(Q$7=Q$5,Q$6,IF(NORMSDIST(Q$9*SQRT($C$11)*NORMSINV($B135)+SQRT(1-Q$9^2*$C$11)*NORMSINV(P135))&lt;Q$8,Q$5+SQRT(NORMSDIST(Q$9*SQRT($C$11)*NORMSINV($B135)+SQRT(1-Q$9^2*$C$11)*NORMSINV(P135))*(Q$7-Q$5)*(Q$6-Q$5)),Q$7-SQRT((1-NORMSDIST(Q$9*SQRT($C$11)*NORMSINV($B135)+SQRT(1-Q$9^2*$C$11)*NORMSINV(P135)))*(Q$7-Q$5)*(Q$7-Q$6))))</f>
        <v>0.0880403698144049</v>
      </c>
      <c r="R135" s="2" t="n">
        <v>0.746720166</v>
      </c>
      <c r="S135" s="2" t="n">
        <f aca="false">IF(S$7=S$5,S$6,IF(NORMSDIST(S$9*SQRT($C$11)*NORMSINV($B135)+SQRT(1-S$9^2*$C$11)*NORMSINV(R135))&lt;S$8,S$5+SQRT(NORMSDIST(S$9*SQRT($C$11)*NORMSINV($B135)+SQRT(1-S$9^2*$C$11)*NORMSINV(R135))*(S$7-S$5)*(S$6-S$5)),S$7-SQRT((1-NORMSDIST(S$9*SQRT($C$11)*NORMSINV($B135)+SQRT(1-S$9^2*$C$11)*NORMSINV(R135)))*(S$7-S$5)*(S$7-S$6))))</f>
        <v>0.502908566175808</v>
      </c>
      <c r="T135" s="2" t="n">
        <v>0.265429601</v>
      </c>
      <c r="U135" s="2" t="n">
        <f aca="false">IF(U$7=U$5,U$6,IF(NORMSDIST(U$9*SQRT($C$11)*NORMSINV($B135)+SQRT(1-U$9^2*$C$11)*NORMSINV(T135))&lt;U$8,U$5+SQRT(NORMSDIST(U$9*SQRT($C$11)*NORMSINV($B135)+SQRT(1-U$9^2*$C$11)*NORMSINV(T135))*(U$7-U$5)*(U$6-U$5)),U$7-SQRT((1-NORMSDIST(U$9*SQRT($C$11)*NORMSINV($B135)+SQRT(1-U$9^2*$C$11)*NORMSINV(T135)))*(U$7-U$5)*(U$7-U$6))))</f>
        <v>0.284795620427186</v>
      </c>
      <c r="V135" s="2" t="n">
        <v>0.665123575</v>
      </c>
      <c r="W135" s="2" t="n">
        <f aca="false">IF(W$7=W$5,W$6,IF(NORMSDIST(W$9*SQRT($C$11)*NORMSINV($B135)+SQRT(1-W$9^2*$C$11)*NORMSINV(V135))&lt;W$8,W$5+SQRT(NORMSDIST(W$9*SQRT($C$11)*NORMSINV($B135)+SQRT(1-W$9^2*$C$11)*NORMSINV(V135))*(W$7-W$5)*(W$6-W$5)),W$7-SQRT((1-NORMSDIST(W$9*SQRT($C$11)*NORMSINV($B135)+SQRT(1-W$9^2*$C$11)*NORMSINV(V135)))*(W$7-W$5)*(W$7-W$6))))</f>
        <v>9.8604606670042</v>
      </c>
      <c r="X135" s="2" t="n">
        <v>0.941071869</v>
      </c>
      <c r="Y135" s="2" t="n">
        <f aca="false">IF(Y$7=Y$5,Y$6,IF(NORMSDIST(Y$9*SQRT($C$11)*NORMSINV($B135)+SQRT(1-Y$9^2*$C$11)*NORMSINV(X135))&lt;Y$8,Y$5+SQRT(NORMSDIST(Y$9*SQRT($C$11)*NORMSINV($B135)+SQRT(1-Y$9^2*$C$11)*NORMSINV(X135))*(Y$7-Y$5)*(Y$6-Y$5)),Y$7-SQRT((1-NORMSDIST(Y$9*SQRT($C$11)*NORMSINV($B135)+SQRT(1-Y$9^2*$C$11)*NORMSINV(X135)))*(Y$7-Y$5)*(Y$7-Y$6))))</f>
        <v>0.828349000876779</v>
      </c>
      <c r="Z135" s="2" t="n">
        <v>0.609545307</v>
      </c>
      <c r="AA135" s="2" t="n">
        <f aca="false">IF(AA$7=AA$5,AA$6,IF(NORMSDIST(AA$9*SQRT($C$11)*NORMSINV($B135)+SQRT(1-AA$9^2*$C$11)*NORMSINV(Z135))&lt;AA$8,AA$5+SQRT(NORMSDIST(AA$9*SQRT($C$11)*NORMSINV($B135)+SQRT(1-AA$9^2*$C$11)*NORMSINV(Z135))*(AA$7-AA$5)*(AA$6-AA$5)),AA$7-SQRT((1-NORMSDIST(AA$9*SQRT($C$11)*NORMSINV($B135)+SQRT(1-AA$9^2*$C$11)*NORMSINV(Z135)))*(AA$7-AA$5)*(AA$7-AA$6))))</f>
        <v>0.724153629081109</v>
      </c>
      <c r="AB135" s="2" t="n">
        <v>0.562742222</v>
      </c>
      <c r="AC135" s="2" t="n">
        <f aca="false">IF(AC$7=AC$5,AC$6,IF(NORMSDIST(AC$9*SQRT($C$11)*NORMSINV($B135)+SQRT(1-AC$9^2*$C$11)*NORMSINV(AB135))&lt;AC$8,AC$5+SQRT(NORMSDIST(AC$9*SQRT($C$11)*NORMSINV($B135)+SQRT(1-AC$9^2*$C$11)*NORMSINV(AB135))*(AC$7-AC$5)*(AC$6-AC$5)),AC$7-SQRT((1-NORMSDIST(AC$9*SQRT($C$11)*NORMSINV($B135)+SQRT(1-AC$9^2*$C$11)*NORMSINV(AB135)))*(AC$7-AC$5)*(AC$7-AC$6))))</f>
        <v>9.14604477387433</v>
      </c>
      <c r="AD135" s="2" t="n">
        <f aca="false">Entrées!$C$8*(1+E135)</f>
        <v>7425.60242852324</v>
      </c>
      <c r="AE135" s="2" t="n">
        <f aca="false">I135*Hypothèses!$J$24/12/Hypothèses!$J$19</f>
        <v>93.5771467016152</v>
      </c>
      <c r="AF135" s="2" t="n">
        <f aca="false">Entrées!$C$36*S135*1000</f>
        <v>251.454283087904</v>
      </c>
      <c r="AG135" s="2" t="n">
        <f aca="false">-AF135/W135</f>
        <v>-25.5012713482382</v>
      </c>
      <c r="AH135" s="2" t="n">
        <f aca="false">AD135+AE135+AG135</f>
        <v>7493.67830387661</v>
      </c>
      <c r="AI135" s="2" t="n">
        <f aca="false">Entrées!$C$16-M135+Hypothèses!$J$22*1000-AF135+Hypothèses!$J$23</f>
        <v>22746.8480163193</v>
      </c>
      <c r="AJ135" s="2" t="n">
        <f aca="false">AI135/AH135</f>
        <v>3.0354716460876</v>
      </c>
      <c r="AK135" s="2" t="n">
        <f aca="false">AI135/(AH135+I135*(12-Hypothèses!$J$24)/12/Hypothèses!$J$19)</f>
        <v>3.00863573604007</v>
      </c>
      <c r="AL135" s="2" t="n">
        <f aca="false">(AD135+AG135+I135/Hypothèses!$J$19)*(1+G135)</f>
        <v>7969.32273150613</v>
      </c>
      <c r="AM135" s="2" t="n">
        <f aca="false">Entrées!$C$54*K135/Hypothèses!$J$19</f>
        <v>25.4108374859892</v>
      </c>
      <c r="AN135" s="2" t="n">
        <f aca="false">Y135*1000/AC135</f>
        <v>90.569095314617</v>
      </c>
      <c r="AO135" s="2" t="n">
        <f aca="false">(Entrées!$C$36*(1-S135)+MAX(0,Entrées!$C$30-Entrées!$C$35-Entrées!$C$36)*U135)*1000</f>
        <v>647.259585510156</v>
      </c>
      <c r="AP135" s="2" t="n">
        <f aca="false">-AO135/W135</f>
        <v>-65.6419215459237</v>
      </c>
      <c r="AQ135" s="2" t="n">
        <f aca="false">AL135+AM135+AN135+AP135</f>
        <v>8019.66074276081</v>
      </c>
      <c r="AR135" s="2" t="n">
        <f aca="false">O135*AQ135-Hypothèses!$J$25/Hypothèses!$J$19</f>
        <v>1245.87415716083</v>
      </c>
      <c r="AS135" s="2" t="n">
        <f aca="false">Entrées!$C$79*(1+Q135)+Hypothèses!$J$20</f>
        <v>1490.75636642603</v>
      </c>
      <c r="AT135" s="2" t="n">
        <f aca="false">AI135-AR135+AS135+Y135*1000-AO135+Hypothèses!$J$23</f>
        <v>23172.8196409511</v>
      </c>
      <c r="AU135" s="2" t="n">
        <f aca="false">AT135/AQ135</f>
        <v>2.88950123755157</v>
      </c>
      <c r="AV135" s="2" t="n">
        <f aca="false">Hypothèses!$J$26*AQ135-AT135</f>
        <v>886.162587331302</v>
      </c>
      <c r="AW135" s="2" t="n">
        <f aca="false">IF(AC135&gt;Hypothèses!$J$26,MAX(0,AV135)/(1-Hypothèses!$J$26/AC135),0)</f>
        <v>1318.71520609754</v>
      </c>
      <c r="AX135" s="2" t="n">
        <f aca="false">AQ135-Entrées!$C$17*1000</f>
        <v>19.6607427608124</v>
      </c>
      <c r="AY135" s="2" t="n">
        <f aca="false">AI135+(Entrées!$C$244-Entrées!$C$13)</f>
        <v>28493.8480163193</v>
      </c>
      <c r="AZ135" s="2" t="n">
        <f aca="false">AA135*AH135</f>
        <v>5426.57433891862</v>
      </c>
      <c r="BA135" s="2" t="n">
        <f aca="false">AZ135/AY135</f>
        <v>0.190447226917567</v>
      </c>
      <c r="BB135" s="2" t="n">
        <f aca="false">AZ135/(Entrées!$C$151/100)-AY135</f>
        <v>1653.78719989523</v>
      </c>
      <c r="BC135" s="2" t="n">
        <f aca="false">AT135+(Entrées!$C$244-Entrées!$C$13)</f>
        <v>28919.8196409511</v>
      </c>
      <c r="BD135" s="2" t="n">
        <f aca="false">AA135*AQ135</f>
        <v>5807.46643086954</v>
      </c>
      <c r="BE135" s="2" t="n">
        <f aca="false">BD135/BC135</f>
        <v>0.200812678051631</v>
      </c>
      <c r="BF135" s="2" t="n">
        <f aca="false">BD135/(Entrées!$C$151/100)-BC135</f>
        <v>3343.88275276854</v>
      </c>
      <c r="BG135" s="2" t="n">
        <f aca="false">MIN(AV135,BF135)</f>
        <v>886.162587331302</v>
      </c>
      <c r="BH135" s="2" t="n">
        <f aca="false">IF(AC135&gt;Hypothèses!$J$26,MAX(0,BG135)/(1-Hypothèses!$J$26/AC135),0)</f>
        <v>1318.71520609754</v>
      </c>
    </row>
    <row r="136" customFormat="false" ht="15" hidden="false" customHeight="false" outlineLevel="0" collapsed="false">
      <c r="A136" s="2" t="n">
        <v>121</v>
      </c>
      <c r="B136" s="2" t="n">
        <v>0.340005632</v>
      </c>
      <c r="C136" s="2"/>
      <c r="D136" s="2" t="n">
        <v>0.300637711</v>
      </c>
      <c r="E136" s="2" t="n">
        <f aca="false">IF(E$7=E$5,E$6,IF(NORMSDIST(E$9*SQRT($C$11)*NORMSINV($B136)+SQRT(1-E$9^2*$C$11)*NORMSINV(D136))&lt;E$8,E$5+SQRT(NORMSDIST(E$9*SQRT($C$11)*NORMSINV($B136)+SQRT(1-E$9^2*$C$11)*NORMSINV(D136))*(E$7-E$5)*(E$6-E$5)),E$7-SQRT((1-NORMSDIST(E$9*SQRT($C$11)*NORMSINV($B136)+SQRT(1-E$9^2*$C$11)*NORMSINV(D136)))*(E$7-E$5)*(E$7-E$6))))</f>
        <v>0.0535554368192609</v>
      </c>
      <c r="F136" s="2" t="n">
        <v>0.391072163</v>
      </c>
      <c r="G136" s="2" t="n">
        <f aca="false">IF(G$7=G$5,G$6,IF(NORMSDIST(G$9*SQRT($C$11)*NORMSINV($B136)+SQRT(1-G$9^2*$C$11)*NORMSINV(F136))&lt;G$8,G$5+SQRT(NORMSDIST(G$9*SQRT($C$11)*NORMSINV($B136)+SQRT(1-G$9^2*$C$11)*NORMSINV(F136))*(G$7-G$5)*(G$6-G$5)),G$7-SQRT((1-NORMSDIST(G$9*SQRT($C$11)*NORMSINV($B136)+SQRT(1-G$9^2*$C$11)*NORMSINV(F136)))*(G$7-G$5)*(G$7-G$6))))</f>
        <v>0.0519506874365381</v>
      </c>
      <c r="H136" s="2" t="n">
        <v>0.997886053</v>
      </c>
      <c r="I136" s="2" t="n">
        <f aca="false">IF(I$7=I$5,I$6,IF(NORMSDIST(I$9*SQRT($C$11)*NORMSINV($B136)+SQRT(1-I$9^2*$C$11)*NORMSINV(H136))&lt;I$8,I$5+SQRT(NORMSDIST(I$9*SQRT($C$11)*NORMSINV($B136)+SQRT(1-I$9^2*$C$11)*NORMSINV(H136))*(I$7-I$5)*(I$6-I$5)),I$7-SQRT((1-NORMSDIST(I$9*SQRT($C$11)*NORMSINV($B136)+SQRT(1-I$9^2*$C$11)*NORMSINV(H136)))*(I$7-I$5)*(I$7-I$6))))</f>
        <v>215.501789722979</v>
      </c>
      <c r="J136" s="2" t="n">
        <v>0.56730068</v>
      </c>
      <c r="K136" s="2" t="n">
        <f aca="false">IF(K$7=K$5,K$6,IF(NORMSDIST(K$9*SQRT($C$11)*NORMSINV($B136)+SQRT(1-K$9^2*$C$11)*NORMSINV(J136))&lt;K$8,K$5+SQRT(NORMSDIST(K$9*SQRT($C$11)*NORMSINV($B136)+SQRT(1-K$9^2*$C$11)*NORMSINV(J136))*(K$7-K$5)*(K$6-K$5)),K$7-SQRT((1-NORMSDIST(K$9*SQRT($C$11)*NORMSINV($B136)+SQRT(1-K$9^2*$C$11)*NORMSINV(J136)))*(K$7-K$5)*(K$7-K$6))))</f>
        <v>0.236764342339529</v>
      </c>
      <c r="L136" s="2" t="n">
        <v>0.20090264</v>
      </c>
      <c r="M136" s="2" t="n">
        <f aca="false">IF(M$7=M$5,M$6,IF(NORMSDIST(M$9*SQRT($C$11)*NORMSINV($B136)+SQRT(1-M$9^2*$C$11)*NORMSINV(L136))&lt;M$8,M$5+SQRT(NORMSDIST(M$9*SQRT($C$11)*NORMSINV($B136)+SQRT(1-M$9^2*$C$11)*NORMSINV(L136))*(M$7-M$5)*(M$6-M$5)),M$7-SQRT((1-NORMSDIST(M$9*SQRT($C$11)*NORMSINV($B136)+SQRT(1-M$9^2*$C$11)*NORMSINV(L136)))*(M$7-M$5)*(M$7-M$6))))</f>
        <v>1473.11867951808</v>
      </c>
      <c r="N136" s="2" t="n">
        <v>0.654307251</v>
      </c>
      <c r="O136" s="2" t="n">
        <f aca="false">IF(O$7=O$5,O$6,IF(NORMSDIST(O$9*SQRT($C$11)*NORMSINV($B136)+SQRT(1-O$9^2*$C$11)*NORMSINV(N136))&lt;O$8,O$5+SQRT(NORMSDIST(O$9*SQRT($C$11)*NORMSINV($B136)+SQRT(1-O$9^2*$C$11)*NORMSINV(N136))*(O$7-O$5)*(O$6-O$5)),O$7-SQRT((1-NORMSDIST(O$9*SQRT($C$11)*NORMSINV($B136)+SQRT(1-O$9^2*$C$11)*NORMSINV(N136)))*(O$7-O$5)*(O$7-O$6))))</f>
        <v>0.167278145659383</v>
      </c>
      <c r="P136" s="2" t="n">
        <v>0.677174146</v>
      </c>
      <c r="Q136" s="2" t="n">
        <f aca="false">IF(Q$7=Q$5,Q$6,IF(NORMSDIST(Q$9*SQRT($C$11)*NORMSINV($B136)+SQRT(1-Q$9^2*$C$11)*NORMSINV(P136))&lt;Q$8,Q$5+SQRT(NORMSDIST(Q$9*SQRT($C$11)*NORMSINV($B136)+SQRT(1-Q$9^2*$C$11)*NORMSINV(P136))*(Q$7-Q$5)*(Q$6-Q$5)),Q$7-SQRT((1-NORMSDIST(Q$9*SQRT($C$11)*NORMSINV($B136)+SQRT(1-Q$9^2*$C$11)*NORMSINV(P136)))*(Q$7-Q$5)*(Q$7-Q$6))))</f>
        <v>0.0878590178619259</v>
      </c>
      <c r="R136" s="2" t="n">
        <v>0.643667889</v>
      </c>
      <c r="S136" s="2" t="n">
        <f aca="false">IF(S$7=S$5,S$6,IF(NORMSDIST(S$9*SQRT($C$11)*NORMSINV($B136)+SQRT(1-S$9^2*$C$11)*NORMSINV(R136))&lt;S$8,S$5+SQRT(NORMSDIST(S$9*SQRT($C$11)*NORMSINV($B136)+SQRT(1-S$9^2*$C$11)*NORMSINV(R136))*(S$7-S$5)*(S$6-S$5)),S$7-SQRT((1-NORMSDIST(S$9*SQRT($C$11)*NORMSINV($B136)+SQRT(1-S$9^2*$C$11)*NORMSINV(R136)))*(S$7-S$5)*(S$7-S$6))))</f>
        <v>0.50489331852708</v>
      </c>
      <c r="T136" s="2" t="n">
        <v>0.797514444</v>
      </c>
      <c r="U136" s="2" t="n">
        <f aca="false">IF(U$7=U$5,U$6,IF(NORMSDIST(U$9*SQRT($C$11)*NORMSINV($B136)+SQRT(1-U$9^2*$C$11)*NORMSINV(T136))&lt;U$8,U$5+SQRT(NORMSDIST(U$9*SQRT($C$11)*NORMSINV($B136)+SQRT(1-U$9^2*$C$11)*NORMSINV(T136))*(U$7-U$5)*(U$6-U$5)),U$7-SQRT((1-NORMSDIST(U$9*SQRT($C$11)*NORMSINV($B136)+SQRT(1-U$9^2*$C$11)*NORMSINV(T136)))*(U$7-U$5)*(U$7-U$6))))</f>
        <v>0.581424329987719</v>
      </c>
      <c r="V136" s="2" t="n">
        <v>0.799487314</v>
      </c>
      <c r="W136" s="2" t="n">
        <f aca="false">IF(W$7=W$5,W$6,IF(NORMSDIST(W$9*SQRT($C$11)*NORMSINV($B136)+SQRT(1-W$9^2*$C$11)*NORMSINV(V136))&lt;W$8,W$5+SQRT(NORMSDIST(W$9*SQRT($C$11)*NORMSINV($B136)+SQRT(1-W$9^2*$C$11)*NORMSINV(V136))*(W$7-W$5)*(W$6-W$5)),W$7-SQRT((1-NORMSDIST(W$9*SQRT($C$11)*NORMSINV($B136)+SQRT(1-W$9^2*$C$11)*NORMSINV(V136)))*(W$7-W$5)*(W$7-W$6))))</f>
        <v>10.3305099348969</v>
      </c>
      <c r="X136" s="2" t="n">
        <v>0.186583945</v>
      </c>
      <c r="Y136" s="2" t="n">
        <f aca="false">IF(Y$7=Y$5,Y$6,IF(NORMSDIST(Y$9*SQRT($C$11)*NORMSINV($B136)+SQRT(1-Y$9^2*$C$11)*NORMSINV(X136))&lt;Y$8,Y$5+SQRT(NORMSDIST(Y$9*SQRT($C$11)*NORMSINV($B136)+SQRT(1-Y$9^2*$C$11)*NORMSINV(X136))*(Y$7-Y$5)*(Y$6-Y$5)),Y$7-SQRT((1-NORMSDIST(Y$9*SQRT($C$11)*NORMSINV($B136)+SQRT(1-Y$9^2*$C$11)*NORMSINV(X136)))*(Y$7-Y$5)*(Y$7-Y$6))))</f>
        <v>0.305437346275795</v>
      </c>
      <c r="Z136" s="2" t="n">
        <v>0.034485466</v>
      </c>
      <c r="AA136" s="2" t="n">
        <f aca="false">IF(AA$7=AA$5,AA$6,IF(NORMSDIST(AA$9*SQRT($C$11)*NORMSINV($B136)+SQRT(1-AA$9^2*$C$11)*NORMSINV(Z136))&lt;AA$8,AA$5+SQRT(NORMSDIST(AA$9*SQRT($C$11)*NORMSINV($B136)+SQRT(1-AA$9^2*$C$11)*NORMSINV(Z136))*(AA$7-AA$5)*(AA$6-AA$5)),AA$7-SQRT((1-NORMSDIST(AA$9*SQRT($C$11)*NORMSINV($B136)+SQRT(1-AA$9^2*$C$11)*NORMSINV(Z136)))*(AA$7-AA$5)*(AA$7-AA$6))))</f>
        <v>0.705408407970547</v>
      </c>
      <c r="AB136" s="2" t="n">
        <v>0.48278351</v>
      </c>
      <c r="AC136" s="2" t="n">
        <f aca="false">IF(AC$7=AC$5,AC$6,IF(NORMSDIST(AC$9*SQRT($C$11)*NORMSINV($B136)+SQRT(1-AC$9^2*$C$11)*NORMSINV(AB136))&lt;AC$8,AC$5+SQRT(NORMSDIST(AC$9*SQRT($C$11)*NORMSINV($B136)+SQRT(1-AC$9^2*$C$11)*NORMSINV(AB136))*(AC$7-AC$5)*(AC$6-AC$5)),AC$7-SQRT((1-NORMSDIST(AC$9*SQRT($C$11)*NORMSINV($B136)+SQRT(1-AC$9^2*$C$11)*NORMSINV(AB136)))*(AC$7-AC$5)*(AC$7-AC$6))))</f>
        <v>9.22210488276861</v>
      </c>
      <c r="AD136" s="2" t="n">
        <f aca="false">Entrées!$C$8*(1+E136)</f>
        <v>7427.56582957579</v>
      </c>
      <c r="AE136" s="2" t="n">
        <f aca="false">I136*Hypothèses!$J$24/12/Hypothèses!$J$19</f>
        <v>106.909748141259</v>
      </c>
      <c r="AF136" s="2" t="n">
        <f aca="false">Entrées!$C$36*S136*1000</f>
        <v>252.44665926354</v>
      </c>
      <c r="AG136" s="2" t="n">
        <f aca="false">-AF136/W136</f>
        <v>-24.4369988368884</v>
      </c>
      <c r="AH136" s="2" t="n">
        <f aca="false">AD136+AE136+AG136</f>
        <v>7510.03857888016</v>
      </c>
      <c r="AI136" s="2" t="n">
        <f aca="false">Entrées!$C$16-M136+Hypothèses!$J$22*1000-AF136+Hypothèses!$J$23</f>
        <v>22822.4346612184</v>
      </c>
      <c r="AJ136" s="2" t="n">
        <f aca="false">AI136/AH136</f>
        <v>3.03892375804832</v>
      </c>
      <c r="AK136" s="2" t="n">
        <f aca="false">AI136/(AH136+I136*(12-Hypothèses!$J$24)/12/Hypothèses!$J$19)</f>
        <v>3.00833420130201</v>
      </c>
      <c r="AL136" s="2" t="n">
        <f aca="false">(AD136+AG136+I136/Hypothèses!$J$19)*(1+G136)</f>
        <v>7980.52151933567</v>
      </c>
      <c r="AM136" s="2" t="n">
        <f aca="false">Entrées!$C$54*K136/Hypothèses!$J$19</f>
        <v>24.1627952449816</v>
      </c>
      <c r="AN136" s="2" t="n">
        <f aca="false">Y136*1000/AC136</f>
        <v>33.1201336526221</v>
      </c>
      <c r="AO136" s="2" t="n">
        <f aca="false">(Entrées!$C$36*(1-S136)+MAX(0,Entrées!$C$30-Entrées!$C$35-Entrées!$C$36)*U136)*1000</f>
        <v>1061.54740271927</v>
      </c>
      <c r="AP136" s="2" t="n">
        <f aca="false">-AO136/W136</f>
        <v>-102.758470724985</v>
      </c>
      <c r="AQ136" s="2" t="n">
        <f aca="false">AL136+AM136+AN136+AP136</f>
        <v>7935.04597750829</v>
      </c>
      <c r="AR136" s="2" t="n">
        <f aca="false">O136*AQ136-Hypothèses!$J$25/Hypothèses!$J$19</f>
        <v>1308.22461457791</v>
      </c>
      <c r="AS136" s="2" t="n">
        <f aca="false">Entrées!$C$79*(1+Q136)+Hypothèses!$J$20</f>
        <v>1490.55706063026</v>
      </c>
      <c r="AT136" s="2" t="n">
        <f aca="false">AI136-AR136+AS136+Y136*1000-AO136+Hypothèses!$J$23</f>
        <v>22248.6570508273</v>
      </c>
      <c r="AU136" s="2" t="n">
        <f aca="false">AT136/AQ136</f>
        <v>2.80384727623389</v>
      </c>
      <c r="AV136" s="2" t="n">
        <f aca="false">Hypothèses!$J$26*AQ136-AT136</f>
        <v>1556.4808816976</v>
      </c>
      <c r="AW136" s="2" t="n">
        <f aca="false">IF(AC136&gt;Hypothèses!$J$26,MAX(0,AV136)/(1-Hypothèses!$J$26/AC136),0)</f>
        <v>2306.94117336261</v>
      </c>
      <c r="AX136" s="2" t="n">
        <f aca="false">AQ136-Entrées!$C$17*1000</f>
        <v>-64.9540224917128</v>
      </c>
      <c r="AY136" s="2" t="n">
        <f aca="false">AI136+(Entrées!$C$244-Entrées!$C$13)</f>
        <v>28569.4346612184</v>
      </c>
      <c r="AZ136" s="2" t="n">
        <f aca="false">AA136*AH136</f>
        <v>5297.64435772524</v>
      </c>
      <c r="BA136" s="2" t="n">
        <f aca="false">AZ136/AY136</f>
        <v>0.185430493131757</v>
      </c>
      <c r="BB136" s="2" t="n">
        <f aca="false">AZ136/(Entrées!$C$151/100)-AY136</f>
        <v>861.922881699626</v>
      </c>
      <c r="BC136" s="2" t="n">
        <f aca="false">AT136+(Entrées!$C$244-Entrées!$C$13)</f>
        <v>27995.6570508273</v>
      </c>
      <c r="BD136" s="2" t="n">
        <f aca="false">AA136*AQ136</f>
        <v>5597.44815016721</v>
      </c>
      <c r="BE136" s="2" t="n">
        <f aca="false">BD136/BC136</f>
        <v>0.199939874245667</v>
      </c>
      <c r="BF136" s="2" t="n">
        <f aca="false">BD136/(Entrées!$C$151/100)-BC136</f>
        <v>3101.27711676835</v>
      </c>
      <c r="BG136" s="2" t="n">
        <f aca="false">MIN(AV136,BF136)</f>
        <v>1556.4808816976</v>
      </c>
      <c r="BH136" s="2" t="n">
        <f aca="false">IF(AC136&gt;Hypothèses!$J$26,MAX(0,BG136)/(1-Hypothèses!$J$26/AC136),0)</f>
        <v>2306.94117336261</v>
      </c>
    </row>
    <row r="137" customFormat="false" ht="15" hidden="false" customHeight="false" outlineLevel="0" collapsed="false">
      <c r="A137" s="2" t="n">
        <v>122</v>
      </c>
      <c r="B137" s="2" t="n">
        <v>0.367498554</v>
      </c>
      <c r="C137" s="2"/>
      <c r="D137" s="2" t="n">
        <v>0.518436163</v>
      </c>
      <c r="E137" s="2" t="n">
        <f aca="false">IF(E$7=E$5,E$6,IF(NORMSDIST(E$9*SQRT($C$11)*NORMSINV($B137)+SQRT(1-E$9^2*$C$11)*NORMSINV(D137))&lt;E$8,E$5+SQRT(NORMSDIST(E$9*SQRT($C$11)*NORMSINV($B137)+SQRT(1-E$9^2*$C$11)*NORMSINV(D137))*(E$7-E$5)*(E$6-E$5)),E$7-SQRT((1-NORMSDIST(E$9*SQRT($C$11)*NORMSINV($B137)+SQRT(1-E$9^2*$C$11)*NORMSINV(D137)))*(E$7-E$5)*(E$7-E$6))))</f>
        <v>0.0546327967633085</v>
      </c>
      <c r="F137" s="2" t="n">
        <v>0.11123397</v>
      </c>
      <c r="G137" s="2" t="n">
        <f aca="false">IF(G$7=G$5,G$6,IF(NORMSDIST(G$9*SQRT($C$11)*NORMSINV($B137)+SQRT(1-G$9^2*$C$11)*NORMSINV(F137))&lt;G$8,G$5+SQRT(NORMSDIST(G$9*SQRT($C$11)*NORMSINV($B137)+SQRT(1-G$9^2*$C$11)*NORMSINV(F137))*(G$7-G$5)*(G$6-G$5)),G$7-SQRT((1-NORMSDIST(G$9*SQRT($C$11)*NORMSINV($B137)+SQRT(1-G$9^2*$C$11)*NORMSINV(F137)))*(G$7-G$5)*(G$7-G$6))))</f>
        <v>0.0474461671531612</v>
      </c>
      <c r="H137" s="2" t="n">
        <v>0.279121076</v>
      </c>
      <c r="I137" s="2" t="n">
        <f aca="false">IF(I$7=I$5,I$6,IF(NORMSDIST(I$9*SQRT($C$11)*NORMSINV($B137)+SQRT(1-I$9^2*$C$11)*NORMSINV(H137))&lt;I$8,I$5+SQRT(NORMSDIST(I$9*SQRT($C$11)*NORMSINV($B137)+SQRT(1-I$9^2*$C$11)*NORMSINV(H137))*(I$7-I$5)*(I$6-I$5)),I$7-SQRT((1-NORMSDIST(I$9*SQRT($C$11)*NORMSINV($B137)+SQRT(1-I$9^2*$C$11)*NORMSINV(H137)))*(I$7-I$5)*(I$7-I$6))))</f>
        <v>194.204353897328</v>
      </c>
      <c r="J137" s="2" t="n">
        <v>0.076850813</v>
      </c>
      <c r="K137" s="2" t="n">
        <f aca="false">IF(K$7=K$5,K$6,IF(NORMSDIST(K$9*SQRT($C$11)*NORMSINV($B137)+SQRT(1-K$9^2*$C$11)*NORMSINV(J137))&lt;K$8,K$5+SQRT(NORMSDIST(K$9*SQRT($C$11)*NORMSINV($B137)+SQRT(1-K$9^2*$C$11)*NORMSINV(J137))*(K$7-K$5)*(K$6-K$5)),K$7-SQRT((1-NORMSDIST(K$9*SQRT($C$11)*NORMSINV($B137)+SQRT(1-K$9^2*$C$11)*NORMSINV(J137)))*(K$7-K$5)*(K$7-K$6))))</f>
        <v>0.108147989241164</v>
      </c>
      <c r="L137" s="2" t="n">
        <v>0.700473838</v>
      </c>
      <c r="M137" s="2" t="n">
        <f aca="false">IF(M$7=M$5,M$6,IF(NORMSDIST(M$9*SQRT($C$11)*NORMSINV($B137)+SQRT(1-M$9^2*$C$11)*NORMSINV(L137))&lt;M$8,M$5+SQRT(NORMSDIST(M$9*SQRT($C$11)*NORMSINV($B137)+SQRT(1-M$9^2*$C$11)*NORMSINV(L137))*(M$7-M$5)*(M$6-M$5)),M$7-SQRT((1-NORMSDIST(M$9*SQRT($C$11)*NORMSINV($B137)+SQRT(1-M$9^2*$C$11)*NORMSINV(L137)))*(M$7-M$5)*(M$7-M$6))))</f>
        <v>1606.19139460305</v>
      </c>
      <c r="N137" s="2" t="n">
        <v>0.236439673</v>
      </c>
      <c r="O137" s="2" t="n">
        <f aca="false">IF(O$7=O$5,O$6,IF(NORMSDIST(O$9*SQRT($C$11)*NORMSINV($B137)+SQRT(1-O$9^2*$C$11)*NORMSINV(N137))&lt;O$8,O$5+SQRT(NORMSDIST(O$9*SQRT($C$11)*NORMSINV($B137)+SQRT(1-O$9^2*$C$11)*NORMSINV(N137))*(O$7-O$5)*(O$6-O$5)),O$7-SQRT((1-NORMSDIST(O$9*SQRT($C$11)*NORMSINV($B137)+SQRT(1-O$9^2*$C$11)*NORMSINV(N137)))*(O$7-O$5)*(O$7-O$6))))</f>
        <v>0.157792039930135</v>
      </c>
      <c r="P137" s="2" t="n">
        <v>0.021351047</v>
      </c>
      <c r="Q137" s="2" t="n">
        <f aca="false">IF(Q$7=Q$5,Q$6,IF(NORMSDIST(Q$9*SQRT($C$11)*NORMSINV($B137)+SQRT(1-Q$9^2*$C$11)*NORMSINV(P137))&lt;Q$8,Q$5+SQRT(NORMSDIST(Q$9*SQRT($C$11)*NORMSINV($B137)+SQRT(1-Q$9^2*$C$11)*NORMSINV(P137))*(Q$7-Q$5)*(Q$6-Q$5)),Q$7-SQRT((1-NORMSDIST(Q$9*SQRT($C$11)*NORMSINV($B137)+SQRT(1-Q$9^2*$C$11)*NORMSINV(P137)))*(Q$7-Q$5)*(Q$7-Q$6))))</f>
        <v>0.0482657939969491</v>
      </c>
      <c r="R137" s="2" t="n">
        <v>0.860872131</v>
      </c>
      <c r="S137" s="2" t="n">
        <f aca="false">IF(S$7=S$5,S$6,IF(NORMSDIST(S$9*SQRT($C$11)*NORMSINV($B137)+SQRT(1-S$9^2*$C$11)*NORMSINV(R137))&lt;S$8,S$5+SQRT(NORMSDIST(S$9*SQRT($C$11)*NORMSINV($B137)+SQRT(1-S$9^2*$C$11)*NORMSINV(R137))*(S$7-S$5)*(S$6-S$5)),S$7-SQRT((1-NORMSDIST(S$9*SQRT($C$11)*NORMSINV($B137)+SQRT(1-S$9^2*$C$11)*NORMSINV(R137)))*(S$7-S$5)*(S$7-S$6))))</f>
        <v>0.635492866518913</v>
      </c>
      <c r="T137" s="2" t="n">
        <v>0.991043391</v>
      </c>
      <c r="U137" s="2" t="n">
        <f aca="false">IF(U$7=U$5,U$6,IF(NORMSDIST(U$9*SQRT($C$11)*NORMSINV($B137)+SQRT(1-U$9^2*$C$11)*NORMSINV(T137))&lt;U$8,U$5+SQRT(NORMSDIST(U$9*SQRT($C$11)*NORMSINV($B137)+SQRT(1-U$9^2*$C$11)*NORMSINV(T137))*(U$7-U$5)*(U$6-U$5)),U$7-SQRT((1-NORMSDIST(U$9*SQRT($C$11)*NORMSINV($B137)+SQRT(1-U$9^2*$C$11)*NORMSINV(T137)))*(U$7-U$5)*(U$7-U$6))))</f>
        <v>0.837754097948556</v>
      </c>
      <c r="V137" s="2" t="n">
        <v>0.731641012</v>
      </c>
      <c r="W137" s="2" t="n">
        <f aca="false">IF(W$7=W$5,W$6,IF(NORMSDIST(W$9*SQRT($C$11)*NORMSINV($B137)+SQRT(1-W$9^2*$C$11)*NORMSINV(V137))&lt;W$8,W$5+SQRT(NORMSDIST(W$9*SQRT($C$11)*NORMSINV($B137)+SQRT(1-W$9^2*$C$11)*NORMSINV(V137))*(W$7-W$5)*(W$6-W$5)),W$7-SQRT((1-NORMSDIST(W$9*SQRT($C$11)*NORMSINV($B137)+SQRT(1-W$9^2*$C$11)*NORMSINV(V137)))*(W$7-W$5)*(W$7-W$6))))</f>
        <v>10.2207545029772</v>
      </c>
      <c r="X137" s="2" t="n">
        <v>0.627956641</v>
      </c>
      <c r="Y137" s="2" t="n">
        <f aca="false">IF(Y$7=Y$5,Y$6,IF(NORMSDIST(Y$9*SQRT($C$11)*NORMSINV($B137)+SQRT(1-Y$9^2*$C$11)*NORMSINV(X137))&lt;Y$8,Y$5+SQRT(NORMSDIST(Y$9*SQRT($C$11)*NORMSINV($B137)+SQRT(1-Y$9^2*$C$11)*NORMSINV(X137))*(Y$7-Y$5)*(Y$6-Y$5)),Y$7-SQRT((1-NORMSDIST(Y$9*SQRT($C$11)*NORMSINV($B137)+SQRT(1-Y$9^2*$C$11)*NORMSINV(X137)))*(Y$7-Y$5)*(Y$7-Y$6))))</f>
        <v>0.568697693606909</v>
      </c>
      <c r="Z137" s="2" t="n">
        <v>0.700350074</v>
      </c>
      <c r="AA137" s="2" t="n">
        <f aca="false">IF(AA$7=AA$5,AA$6,IF(NORMSDIST(AA$9*SQRT($C$11)*NORMSINV($B137)+SQRT(1-AA$9^2*$C$11)*NORMSINV(Z137))&lt;AA$8,AA$5+SQRT(NORMSDIST(AA$9*SQRT($C$11)*NORMSINV($B137)+SQRT(1-AA$9^2*$C$11)*NORMSINV(Z137))*(AA$7-AA$5)*(AA$6-AA$5)),AA$7-SQRT((1-NORMSDIST(AA$9*SQRT($C$11)*NORMSINV($B137)+SQRT(1-AA$9^2*$C$11)*NORMSINV(Z137)))*(AA$7-AA$5)*(AA$7-AA$6))))</f>
        <v>0.730465761547795</v>
      </c>
      <c r="AB137" s="2" t="n">
        <v>0.241975497</v>
      </c>
      <c r="AC137" s="2" t="n">
        <f aca="false">IF(AC$7=AC$5,AC$6,IF(NORMSDIST(AC$9*SQRT($C$11)*NORMSINV($B137)+SQRT(1-AC$9^2*$C$11)*NORMSINV(AB137))&lt;AC$8,AC$5+SQRT(NORMSDIST(AC$9*SQRT($C$11)*NORMSINV($B137)+SQRT(1-AC$9^2*$C$11)*NORMSINV(AB137))*(AC$7-AC$5)*(AC$6-AC$5)),AC$7-SQRT((1-NORMSDIST(AC$9*SQRT($C$11)*NORMSINV($B137)+SQRT(1-AC$9^2*$C$11)*NORMSINV(AB137)))*(AC$7-AC$5)*(AC$7-AC$6))))</f>
        <v>8.79348371955305</v>
      </c>
      <c r="AD137" s="2" t="n">
        <f aca="false">Entrées!$C$8*(1+E137)</f>
        <v>7435.16121718133</v>
      </c>
      <c r="AE137" s="2" t="n">
        <f aca="false">I137*Hypothèses!$J$24/12/Hypothèses!$J$19</f>
        <v>96.3441583932489</v>
      </c>
      <c r="AF137" s="2" t="n">
        <f aca="false">Entrées!$C$36*S137*1000</f>
        <v>317.746433259457</v>
      </c>
      <c r="AG137" s="2" t="n">
        <f aca="false">-AF137/W137</f>
        <v>-31.0883539142732</v>
      </c>
      <c r="AH137" s="2" t="n">
        <f aca="false">AD137+AE137+AG137</f>
        <v>7500.4170216603</v>
      </c>
      <c r="AI137" s="2" t="n">
        <f aca="false">Entrées!$C$16-M137+Hypothèses!$J$22*1000-AF137+Hypothèses!$J$23</f>
        <v>22624.0621721375</v>
      </c>
      <c r="AJ137" s="2" t="n">
        <f aca="false">AI137/AH137</f>
        <v>3.0163739038512</v>
      </c>
      <c r="AK137" s="2" t="n">
        <f aca="false">AI137/(AH137+I137*(12-Hypothèses!$J$24)/12/Hypothèses!$J$19)</f>
        <v>2.9889499178172</v>
      </c>
      <c r="AL137" s="2" t="n">
        <f aca="false">(AD137+AG137+I137/Hypothèses!$J$19)*(1+G137)</f>
        <v>7928.36543241456</v>
      </c>
      <c r="AM137" s="2" t="n">
        <f aca="false">Entrées!$C$54*K137/Hypothèses!$J$19</f>
        <v>11.036956386124</v>
      </c>
      <c r="AN137" s="2" t="n">
        <f aca="false">Y137*1000/AC137</f>
        <v>64.6726271116374</v>
      </c>
      <c r="AO137" s="2" t="n">
        <f aca="false">(Entrées!$C$36*(1-S137)+MAX(0,Entrées!$C$30-Entrées!$C$35-Entrées!$C$36)*U137)*1000</f>
        <v>1355.10930386852</v>
      </c>
      <c r="AP137" s="2" t="n">
        <f aca="false">-AO137/W137</f>
        <v>-132.584077180779</v>
      </c>
      <c r="AQ137" s="2" t="n">
        <f aca="false">AL137+AM137+AN137+AP137</f>
        <v>7871.49093873154</v>
      </c>
      <c r="AR137" s="2" t="n">
        <f aca="false">O137*AQ137-Hypothèses!$J$25/Hypothèses!$J$19</f>
        <v>1222.9234502524</v>
      </c>
      <c r="AS137" s="2" t="n">
        <f aca="false">Entrées!$C$79*(1+Q137)+Hypothèses!$J$20</f>
        <v>1447.04410760265</v>
      </c>
      <c r="AT137" s="2" t="n">
        <f aca="false">AI137-AR137+AS137+Y137*1000-AO137+Hypothèses!$J$23</f>
        <v>22061.7712192261</v>
      </c>
      <c r="AU137" s="2" t="n">
        <f aca="false">AT137/AQ137</f>
        <v>2.80274364678127</v>
      </c>
      <c r="AV137" s="2" t="n">
        <f aca="false">Hypothèses!$J$26*AQ137-AT137</f>
        <v>1552.7015969685</v>
      </c>
      <c r="AW137" s="2" t="n">
        <f aca="false">IF(AC137&gt;Hypothèses!$J$26,MAX(0,AV137)/(1-Hypothèses!$J$26/AC137),0)</f>
        <v>2356.72643183329</v>
      </c>
      <c r="AX137" s="2" t="n">
        <f aca="false">AQ137-Entrées!$C$17*1000</f>
        <v>-128.509061268459</v>
      </c>
      <c r="AY137" s="2" t="n">
        <f aca="false">AI137+(Entrées!$C$244-Entrées!$C$13)</f>
        <v>28371.0621721375</v>
      </c>
      <c r="AZ137" s="2" t="n">
        <f aca="false">AA137*AH137</f>
        <v>5478.79783165313</v>
      </c>
      <c r="BA137" s="2" t="n">
        <f aca="false">AZ137/AY137</f>
        <v>0.193112185874864</v>
      </c>
      <c r="BB137" s="2" t="n">
        <f aca="false">AZ137/(Entrées!$C$151/100)-AY137</f>
        <v>2066.7035592688</v>
      </c>
      <c r="BC137" s="2" t="n">
        <f aca="false">AT137+(Entrées!$C$244-Entrées!$C$13)</f>
        <v>27808.7712192261</v>
      </c>
      <c r="BD137" s="2" t="n">
        <f aca="false">AA137*AQ137</f>
        <v>5749.8546230771</v>
      </c>
      <c r="BE137" s="2" t="n">
        <f aca="false">BD137/BC137</f>
        <v>0.206764066551126</v>
      </c>
      <c r="BF137" s="2" t="n">
        <f aca="false">BD137/(Entrées!$C$151/100)-BC137</f>
        <v>4134.86557564665</v>
      </c>
      <c r="BG137" s="2" t="n">
        <f aca="false">MIN(AV137,BF137)</f>
        <v>1552.7015969685</v>
      </c>
      <c r="BH137" s="2" t="n">
        <f aca="false">IF(AC137&gt;Hypothèses!$J$26,MAX(0,BG137)/(1-Hypothèses!$J$26/AC137),0)</f>
        <v>2356.72643183329</v>
      </c>
    </row>
    <row r="138" customFormat="false" ht="15" hidden="false" customHeight="false" outlineLevel="0" collapsed="false">
      <c r="A138" s="2" t="n">
        <v>123</v>
      </c>
      <c r="B138" s="2" t="n">
        <v>0.97259068</v>
      </c>
      <c r="C138" s="2"/>
      <c r="D138" s="2" t="n">
        <v>0.372929102</v>
      </c>
      <c r="E138" s="2" t="n">
        <f aca="false">IF(E$7=E$5,E$6,IF(NORMSDIST(E$9*SQRT($C$11)*NORMSINV($B138)+SQRT(1-E$9^2*$C$11)*NORMSINV(D138))&lt;E$8,E$5+SQRT(NORMSDIST(E$9*SQRT($C$11)*NORMSINV($B138)+SQRT(1-E$9^2*$C$11)*NORMSINV(D138))*(E$7-E$5)*(E$6-E$5)),E$7-SQRT((1-NORMSDIST(E$9*SQRT($C$11)*NORMSINV($B138)+SQRT(1-E$9^2*$C$11)*NORMSINV(D138)))*(E$7-E$5)*(E$7-E$6))))</f>
        <v>0.0571046735909973</v>
      </c>
      <c r="F138" s="2" t="n">
        <v>0.035026717</v>
      </c>
      <c r="G138" s="2" t="n">
        <f aca="false">IF(G$7=G$5,G$6,IF(NORMSDIST(G$9*SQRT($C$11)*NORMSINV($B138)+SQRT(1-G$9^2*$C$11)*NORMSINV(F138))&lt;G$8,G$5+SQRT(NORMSDIST(G$9*SQRT($C$11)*NORMSINV($B138)+SQRT(1-G$9^2*$C$11)*NORMSINV(F138))*(G$7-G$5)*(G$6-G$5)),G$7-SQRT((1-NORMSDIST(G$9*SQRT($C$11)*NORMSINV($B138)+SQRT(1-G$9^2*$C$11)*NORMSINV(F138)))*(G$7-G$5)*(G$7-G$6))))</f>
        <v>0.0538318505539569</v>
      </c>
      <c r="H138" s="2" t="n">
        <v>0.118763211</v>
      </c>
      <c r="I138" s="2" t="n">
        <f aca="false">IF(I$7=I$5,I$6,IF(NORMSDIST(I$9*SQRT($C$11)*NORMSINV($B138)+SQRT(1-I$9^2*$C$11)*NORMSINV(H138))&lt;I$8,I$5+SQRT(NORMSDIST(I$9*SQRT($C$11)*NORMSINV($B138)+SQRT(1-I$9^2*$C$11)*NORMSINV(H138))*(I$7-I$5)*(I$6-I$5)),I$7-SQRT((1-NORMSDIST(I$9*SQRT($C$11)*NORMSINV($B138)+SQRT(1-I$9^2*$C$11)*NORMSINV(H138)))*(I$7-I$5)*(I$7-I$6))))</f>
        <v>202.512748585547</v>
      </c>
      <c r="J138" s="2" t="n">
        <v>0.887166728</v>
      </c>
      <c r="K138" s="2" t="n">
        <f aca="false">IF(K$7=K$5,K$6,IF(NORMSDIST(K$9*SQRT($C$11)*NORMSINV($B138)+SQRT(1-K$9^2*$C$11)*NORMSINV(J138))&lt;K$8,K$5+SQRT(NORMSDIST(K$9*SQRT($C$11)*NORMSINV($B138)+SQRT(1-K$9^2*$C$11)*NORMSINV(J138))*(K$7-K$5)*(K$6-K$5)),K$7-SQRT((1-NORMSDIST(K$9*SQRT($C$11)*NORMSINV($B138)+SQRT(1-K$9^2*$C$11)*NORMSINV(J138)))*(K$7-K$5)*(K$7-K$6))))</f>
        <v>0.455757874670362</v>
      </c>
      <c r="L138" s="2" t="n">
        <v>0.006213676</v>
      </c>
      <c r="M138" s="2" t="n">
        <f aca="false">IF(M$7=M$5,M$6,IF(NORMSDIST(M$9*SQRT($C$11)*NORMSINV($B138)+SQRT(1-M$9^2*$C$11)*NORMSINV(L138))&lt;M$8,M$5+SQRT(NORMSDIST(M$9*SQRT($C$11)*NORMSINV($B138)+SQRT(1-M$9^2*$C$11)*NORMSINV(L138))*(M$7-M$5)*(M$6-M$5)),M$7-SQRT((1-NORMSDIST(M$9*SQRT($C$11)*NORMSINV($B138)+SQRT(1-M$9^2*$C$11)*NORMSINV(L138)))*(M$7-M$5)*(M$7-M$6))))</f>
        <v>1496.71850724674</v>
      </c>
      <c r="N138" s="2" t="n">
        <v>0.306562769</v>
      </c>
      <c r="O138" s="2" t="n">
        <f aca="false">IF(O$7=O$5,O$6,IF(NORMSDIST(O$9*SQRT($C$11)*NORMSINV($B138)+SQRT(1-O$9^2*$C$11)*NORMSINV(N138))&lt;O$8,O$5+SQRT(NORMSDIST(O$9*SQRT($C$11)*NORMSINV($B138)+SQRT(1-O$9^2*$C$11)*NORMSINV(N138))*(O$7-O$5)*(O$6-O$5)),O$7-SQRT((1-NORMSDIST(O$9*SQRT($C$11)*NORMSINV($B138)+SQRT(1-O$9^2*$C$11)*NORMSINV(N138)))*(O$7-O$5)*(O$7-O$6))))</f>
        <v>0.175212349256285</v>
      </c>
      <c r="P138" s="2" t="n">
        <v>0.439161778</v>
      </c>
      <c r="Q138" s="2" t="n">
        <f aca="false">IF(Q$7=Q$5,Q$6,IF(NORMSDIST(Q$9*SQRT($C$11)*NORMSINV($B138)+SQRT(1-Q$9^2*$C$11)*NORMSINV(P138))&lt;Q$8,Q$5+SQRT(NORMSDIST(Q$9*SQRT($C$11)*NORMSINV($B138)+SQRT(1-Q$9^2*$C$11)*NORMSINV(P138))*(Q$7-Q$5)*(Q$6-Q$5)),Q$7-SQRT((1-NORMSDIST(Q$9*SQRT($C$11)*NORMSINV($B138)+SQRT(1-Q$9^2*$C$11)*NORMSINV(P138)))*(Q$7-Q$5)*(Q$7-Q$6))))</f>
        <v>0.0774875671336511</v>
      </c>
      <c r="R138" s="2" t="n">
        <v>0.887530704</v>
      </c>
      <c r="S138" s="2" t="n">
        <f aca="false">IF(S$7=S$5,S$6,IF(NORMSDIST(S$9*SQRT($C$11)*NORMSINV($B138)+SQRT(1-S$9^2*$C$11)*NORMSINV(R138))&lt;S$8,S$5+SQRT(NORMSDIST(S$9*SQRT($C$11)*NORMSINV($B138)+SQRT(1-S$9^2*$C$11)*NORMSINV(R138))*(S$7-S$5)*(S$6-S$5)),S$7-SQRT((1-NORMSDIST(S$9*SQRT($C$11)*NORMSINV($B138)+SQRT(1-S$9^2*$C$11)*NORMSINV(R138)))*(S$7-S$5)*(S$7-S$6))))</f>
        <v>0.911679289627602</v>
      </c>
      <c r="T138" s="2" t="n">
        <v>0.592897038</v>
      </c>
      <c r="U138" s="2" t="n">
        <f aca="false">IF(U$7=U$5,U$6,IF(NORMSDIST(U$9*SQRT($C$11)*NORMSINV($B138)+SQRT(1-U$9^2*$C$11)*NORMSINV(T138))&lt;U$8,U$5+SQRT(NORMSDIST(U$9*SQRT($C$11)*NORMSINV($B138)+SQRT(1-U$9^2*$C$11)*NORMSINV(T138))*(U$7-U$5)*(U$6-U$5)),U$7-SQRT((1-NORMSDIST(U$9*SQRT($C$11)*NORMSINV($B138)+SQRT(1-U$9^2*$C$11)*NORMSINV(T138)))*(U$7-U$5)*(U$7-U$6))))</f>
        <v>0.79841214216647</v>
      </c>
      <c r="V138" s="2" t="n">
        <v>0.611298595</v>
      </c>
      <c r="W138" s="2" t="n">
        <f aca="false">IF(W$7=W$5,W$6,IF(NORMSDIST(W$9*SQRT($C$11)*NORMSINV($B138)+SQRT(1-W$9^2*$C$11)*NORMSINV(V138))&lt;W$8,W$5+SQRT(NORMSDIST(W$9*SQRT($C$11)*NORMSINV($B138)+SQRT(1-W$9^2*$C$11)*NORMSINV(V138))*(W$7-W$5)*(W$6-W$5)),W$7-SQRT((1-NORMSDIST(W$9*SQRT($C$11)*NORMSINV($B138)+SQRT(1-W$9^2*$C$11)*NORMSINV(V138)))*(W$7-W$5)*(W$7-W$6))))</f>
        <v>11.2209832474987</v>
      </c>
      <c r="X138" s="2" t="n">
        <v>0.212319364</v>
      </c>
      <c r="Y138" s="2" t="n">
        <f aca="false">IF(Y$7=Y$5,Y$6,IF(NORMSDIST(Y$9*SQRT($C$11)*NORMSINV($B138)+SQRT(1-Y$9^2*$C$11)*NORMSINV(X138))&lt;Y$8,Y$5+SQRT(NORMSDIST(Y$9*SQRT($C$11)*NORMSINV($B138)+SQRT(1-Y$9^2*$C$11)*NORMSINV(X138))*(Y$7-Y$5)*(Y$6-Y$5)),Y$7-SQRT((1-NORMSDIST(Y$9*SQRT($C$11)*NORMSINV($B138)+SQRT(1-Y$9^2*$C$11)*NORMSINV(X138)))*(Y$7-Y$5)*(Y$7-Y$6))))</f>
        <v>0.325821549318028</v>
      </c>
      <c r="Z138" s="2" t="n">
        <v>0.787836442</v>
      </c>
      <c r="AA138" s="2" t="n">
        <f aca="false">IF(AA$7=AA$5,AA$6,IF(NORMSDIST(AA$9*SQRT($C$11)*NORMSINV($B138)+SQRT(1-AA$9^2*$C$11)*NORMSINV(Z138))&lt;AA$8,AA$5+SQRT(NORMSDIST(AA$9*SQRT($C$11)*NORMSINV($B138)+SQRT(1-AA$9^2*$C$11)*NORMSINV(Z138))*(AA$7-AA$5)*(AA$6-AA$5)),AA$7-SQRT((1-NORMSDIST(AA$9*SQRT($C$11)*NORMSINV($B138)+SQRT(1-AA$9^2*$C$11)*NORMSINV(Z138)))*(AA$7-AA$5)*(AA$7-AA$6))))</f>
        <v>0.747321887052706</v>
      </c>
      <c r="AB138" s="2" t="n">
        <v>0.489461865</v>
      </c>
      <c r="AC138" s="2" t="n">
        <f aca="false">IF(AC$7=AC$5,AC$6,IF(NORMSDIST(AC$9*SQRT($C$11)*NORMSINV($B138)+SQRT(1-AC$9^2*$C$11)*NORMSINV(AB138))&lt;AC$8,AC$5+SQRT(NORMSDIST(AC$9*SQRT($C$11)*NORMSINV($B138)+SQRT(1-AC$9^2*$C$11)*NORMSINV(AB138))*(AC$7-AC$5)*(AC$6-AC$5)),AC$7-SQRT((1-NORMSDIST(AC$9*SQRT($C$11)*NORMSINV($B138)+SQRT(1-AC$9^2*$C$11)*NORMSINV(AB138)))*(AC$7-AC$5)*(AC$7-AC$6))))</f>
        <v>10.2914013405509</v>
      </c>
      <c r="AD138" s="2" t="n">
        <f aca="false">Entrées!$C$8*(1+E138)</f>
        <v>7452.58794881653</v>
      </c>
      <c r="AE138" s="2" t="n">
        <f aca="false">I138*Hypothèses!$J$24/12/Hypothèses!$J$19</f>
        <v>100.465926406023</v>
      </c>
      <c r="AF138" s="2" t="n">
        <f aca="false">Entrées!$C$36*S138*1000</f>
        <v>455.839644813801</v>
      </c>
      <c r="AG138" s="2" t="n">
        <f aca="false">-AF138/W138</f>
        <v>-40.6238593142374</v>
      </c>
      <c r="AH138" s="2" t="n">
        <f aca="false">AD138+AE138+AG138</f>
        <v>7512.43001590832</v>
      </c>
      <c r="AI138" s="2" t="n">
        <f aca="false">Entrées!$C$16-M138+Hypothèses!$J$22*1000-AF138+Hypothèses!$J$23</f>
        <v>22595.4418479395</v>
      </c>
      <c r="AJ138" s="2" t="n">
        <f aca="false">AI138/AH138</f>
        <v>3.00774074435188</v>
      </c>
      <c r="AK138" s="2" t="n">
        <f aca="false">AI138/(AH138+I138*(12-Hypothèses!$J$24)/12/Hypothèses!$J$19)</f>
        <v>2.9792815977764</v>
      </c>
      <c r="AL138" s="2" t="n">
        <f aca="false">(AD138+AG138+I138/Hypothèses!$J$19)*(1+G138)</f>
        <v>7992.46244949467</v>
      </c>
      <c r="AM138" s="2" t="n">
        <f aca="false">Entrées!$C$54*K138/Hypothèses!$J$19</f>
        <v>46.5120047137662</v>
      </c>
      <c r="AN138" s="2" t="n">
        <f aca="false">Y138*1000/AC138</f>
        <v>31.6595902284176</v>
      </c>
      <c r="AO138" s="2" t="n">
        <f aca="false">(Entrées!$C$36*(1-S138)+MAX(0,Entrées!$C$30-Entrées!$C$35-Entrées!$C$36)*U138)*1000</f>
        <v>1161.93735421926</v>
      </c>
      <c r="AP138" s="2" t="n">
        <f aca="false">-AO138/W138</f>
        <v>-103.550404504727</v>
      </c>
      <c r="AQ138" s="2" t="n">
        <f aca="false">AL138+AM138+AN138+AP138</f>
        <v>7967.08363993212</v>
      </c>
      <c r="AR138" s="2" t="n">
        <f aca="false">O138*AQ138-Hypothèses!$J$25/Hypothèses!$J$19</f>
        <v>1376.7962790122</v>
      </c>
      <c r="AS138" s="2" t="n">
        <f aca="false">Entrées!$C$79*(1+Q138)+Hypothèses!$J$20</f>
        <v>1479.15883627988</v>
      </c>
      <c r="AT138" s="2" t="n">
        <f aca="false">AI138-AR138+AS138+Y138*1000-AO138+Hypothèses!$J$23</f>
        <v>21861.6886003059</v>
      </c>
      <c r="AU138" s="2" t="n">
        <f aca="false">AT138/AQ138</f>
        <v>2.74400139227008</v>
      </c>
      <c r="AV138" s="2" t="n">
        <f aca="false">Hypothèses!$J$26*AQ138-AT138</f>
        <v>2039.56231949045</v>
      </c>
      <c r="AW138" s="2" t="n">
        <f aca="false">IF(AC138&gt;Hypothèses!$J$26,MAX(0,AV138)/(1-Hypothèses!$J$26/AC138),0)</f>
        <v>2878.72706611365</v>
      </c>
      <c r="AX138" s="2" t="n">
        <f aca="false">AQ138-Entrées!$C$17*1000</f>
        <v>-32.9163600678767</v>
      </c>
      <c r="AY138" s="2" t="n">
        <f aca="false">AI138+(Entrées!$C$244-Entrées!$C$13)</f>
        <v>28342.4418479395</v>
      </c>
      <c r="AZ138" s="2" t="n">
        <f aca="false">AA138*AH138</f>
        <v>5614.20337583999</v>
      </c>
      <c r="BA138" s="2" t="n">
        <f aca="false">AZ138/AY138</f>
        <v>0.198084674777172</v>
      </c>
      <c r="BB138" s="2" t="n">
        <f aca="false">AZ138/(Entrées!$C$151/100)-AY138</f>
        <v>2847.57690672718</v>
      </c>
      <c r="BC138" s="2" t="n">
        <f aca="false">AT138+(Entrées!$C$244-Entrées!$C$13)</f>
        <v>27608.6886003059</v>
      </c>
      <c r="BD138" s="2" t="n">
        <f aca="false">AA138*AQ138</f>
        <v>5953.97598010082</v>
      </c>
      <c r="BE138" s="2" t="n">
        <f aca="false">BD138/BC138</f>
        <v>0.215655877984543</v>
      </c>
      <c r="BF138" s="2" t="n">
        <f aca="false">BD138/(Entrées!$C$151/100)-BC138</f>
        <v>5468.95573358751</v>
      </c>
      <c r="BG138" s="2" t="n">
        <f aca="false">MIN(AV138,BF138)</f>
        <v>2039.56231949045</v>
      </c>
      <c r="BH138" s="2" t="n">
        <f aca="false">IF(AC138&gt;Hypothèses!$J$26,MAX(0,BG138)/(1-Hypothèses!$J$26/AC138),0)</f>
        <v>2878.72706611365</v>
      </c>
    </row>
    <row r="139" customFormat="false" ht="15" hidden="false" customHeight="false" outlineLevel="0" collapsed="false">
      <c r="A139" s="2" t="n">
        <v>124</v>
      </c>
      <c r="B139" s="2" t="n">
        <v>0.527507824</v>
      </c>
      <c r="C139" s="2"/>
      <c r="D139" s="2" t="n">
        <v>0.960934425</v>
      </c>
      <c r="E139" s="2" t="n">
        <f aca="false">IF(E$7=E$5,E$6,IF(NORMSDIST(E$9*SQRT($C$11)*NORMSINV($B139)+SQRT(1-E$9^2*$C$11)*NORMSINV(D139))&lt;E$8,E$5+SQRT(NORMSDIST(E$9*SQRT($C$11)*NORMSINV($B139)+SQRT(1-E$9^2*$C$11)*NORMSINV(D139))*(E$7-E$5)*(E$6-E$5)),E$7-SQRT((1-NORMSDIST(E$9*SQRT($C$11)*NORMSINV($B139)+SQRT(1-E$9^2*$C$11)*NORMSINV(D139)))*(E$7-E$5)*(E$7-E$6))))</f>
        <v>0.0580058083542268</v>
      </c>
      <c r="F139" s="2" t="n">
        <v>0.74136168</v>
      </c>
      <c r="G139" s="2" t="n">
        <f aca="false">IF(G$7=G$5,G$6,IF(NORMSDIST(G$9*SQRT($C$11)*NORMSINV($B139)+SQRT(1-G$9^2*$C$11)*NORMSINV(F139))&lt;G$8,G$5+SQRT(NORMSDIST(G$9*SQRT($C$11)*NORMSINV($B139)+SQRT(1-G$9^2*$C$11)*NORMSINV(F139))*(G$7-G$5)*(G$6-G$5)),G$7-SQRT((1-NORMSDIST(G$9*SQRT($C$11)*NORMSINV($B139)+SQRT(1-G$9^2*$C$11)*NORMSINV(F139)))*(G$7-G$5)*(G$7-G$6))))</f>
        <v>0.0585213898540924</v>
      </c>
      <c r="H139" s="2" t="n">
        <v>0.284569507</v>
      </c>
      <c r="I139" s="2" t="n">
        <f aca="false">IF(I$7=I$5,I$6,IF(NORMSDIST(I$9*SQRT($C$11)*NORMSINV($B139)+SQRT(1-I$9^2*$C$11)*NORMSINV(H139))&lt;I$8,I$5+SQRT(NORMSDIST(I$9*SQRT($C$11)*NORMSINV($B139)+SQRT(1-I$9^2*$C$11)*NORMSINV(H139))*(I$7-I$5)*(I$6-I$5)),I$7-SQRT((1-NORMSDIST(I$9*SQRT($C$11)*NORMSINV($B139)+SQRT(1-I$9^2*$C$11)*NORMSINV(H139)))*(I$7-I$5)*(I$7-I$6))))</f>
        <v>196.626600057755</v>
      </c>
      <c r="J139" s="2" t="n">
        <v>0.229490569</v>
      </c>
      <c r="K139" s="2" t="n">
        <f aca="false">IF(K$7=K$5,K$6,IF(NORMSDIST(K$9*SQRT($C$11)*NORMSINV($B139)+SQRT(1-K$9^2*$C$11)*NORMSINV(J139))&lt;K$8,K$5+SQRT(NORMSDIST(K$9*SQRT($C$11)*NORMSINV($B139)+SQRT(1-K$9^2*$C$11)*NORMSINV(J139))*(K$7-K$5)*(K$6-K$5)),K$7-SQRT((1-NORMSDIST(K$9*SQRT($C$11)*NORMSINV($B139)+SQRT(1-K$9^2*$C$11)*NORMSINV(J139)))*(K$7-K$5)*(K$7-K$6))))</f>
        <v>0.193024637296621</v>
      </c>
      <c r="L139" s="2" t="n">
        <v>0.696201723</v>
      </c>
      <c r="M139" s="2" t="n">
        <f aca="false">IF(M$7=M$5,M$6,IF(NORMSDIST(M$9*SQRT($C$11)*NORMSINV($B139)+SQRT(1-M$9^2*$C$11)*NORMSINV(L139))&lt;M$8,M$5+SQRT(NORMSDIST(M$9*SQRT($C$11)*NORMSINV($B139)+SQRT(1-M$9^2*$C$11)*NORMSINV(L139))*(M$7-M$5)*(M$6-M$5)),M$7-SQRT((1-NORMSDIST(M$9*SQRT($C$11)*NORMSINV($B139)+SQRT(1-M$9^2*$C$11)*NORMSINV(L139)))*(M$7-M$5)*(M$7-M$6))))</f>
        <v>1629.94920137085</v>
      </c>
      <c r="N139" s="2" t="n">
        <v>0.552894985</v>
      </c>
      <c r="O139" s="2" t="n">
        <f aca="false">IF(O$7=O$5,O$6,IF(NORMSDIST(O$9*SQRT($C$11)*NORMSINV($B139)+SQRT(1-O$9^2*$C$11)*NORMSINV(N139))&lt;O$8,O$5+SQRT(NORMSDIST(O$9*SQRT($C$11)*NORMSINV($B139)+SQRT(1-O$9^2*$C$11)*NORMSINV(N139))*(O$7-O$5)*(O$6-O$5)),O$7-SQRT((1-NORMSDIST(O$9*SQRT($C$11)*NORMSINV($B139)+SQRT(1-O$9^2*$C$11)*NORMSINV(N139)))*(O$7-O$5)*(O$7-O$6))))</f>
        <v>0.168302867605078</v>
      </c>
      <c r="P139" s="2" t="n">
        <v>0.07114205</v>
      </c>
      <c r="Q139" s="2" t="n">
        <f aca="false">IF(Q$7=Q$5,Q$6,IF(NORMSDIST(Q$9*SQRT($C$11)*NORMSINV($B139)+SQRT(1-Q$9^2*$C$11)*NORMSINV(P139))&lt;Q$8,Q$5+SQRT(NORMSDIST(Q$9*SQRT($C$11)*NORMSINV($B139)+SQRT(1-Q$9^2*$C$11)*NORMSINV(P139))*(Q$7-Q$5)*(Q$6-Q$5)),Q$7-SQRT((1-NORMSDIST(Q$9*SQRT($C$11)*NORMSINV($B139)+SQRT(1-Q$9^2*$C$11)*NORMSINV(P139)))*(Q$7-Q$5)*(Q$7-Q$6))))</f>
        <v>0.0550882258731767</v>
      </c>
      <c r="R139" s="2" t="n">
        <v>0.115940639</v>
      </c>
      <c r="S139" s="2" t="n">
        <f aca="false">IF(S$7=S$5,S$6,IF(NORMSDIST(S$9*SQRT($C$11)*NORMSINV($B139)+SQRT(1-S$9^2*$C$11)*NORMSINV(R139))&lt;S$8,S$5+SQRT(NORMSDIST(S$9*SQRT($C$11)*NORMSINV($B139)+SQRT(1-S$9^2*$C$11)*NORMSINV(R139))*(S$7-S$5)*(S$6-S$5)),S$7-SQRT((1-NORMSDIST(S$9*SQRT($C$11)*NORMSINV($B139)+SQRT(1-S$9^2*$C$11)*NORMSINV(R139)))*(S$7-S$5)*(S$7-S$6))))</f>
        <v>0.307228135722788</v>
      </c>
      <c r="T139" s="2" t="n">
        <v>0.612902856</v>
      </c>
      <c r="U139" s="2" t="n">
        <f aca="false">IF(U$7=U$5,U$6,IF(NORMSDIST(U$9*SQRT($C$11)*NORMSINV($B139)+SQRT(1-U$9^2*$C$11)*NORMSINV(T139))&lt;U$8,U$5+SQRT(NORMSDIST(U$9*SQRT($C$11)*NORMSINV($B139)+SQRT(1-U$9^2*$C$11)*NORMSINV(T139))*(U$7-U$5)*(U$6-U$5)),U$7-SQRT((1-NORMSDIST(U$9*SQRT($C$11)*NORMSINV($B139)+SQRT(1-U$9^2*$C$11)*NORMSINV(T139)))*(U$7-U$5)*(U$7-U$6))))</f>
        <v>0.555494832561823</v>
      </c>
      <c r="V139" s="2" t="n">
        <v>0.255793452</v>
      </c>
      <c r="W139" s="2" t="n">
        <f aca="false">IF(W$7=W$5,W$6,IF(NORMSDIST(W$9*SQRT($C$11)*NORMSINV($B139)+SQRT(1-W$9^2*$C$11)*NORMSINV(V139))&lt;W$8,W$5+SQRT(NORMSDIST(W$9*SQRT($C$11)*NORMSINV($B139)+SQRT(1-W$9^2*$C$11)*NORMSINV(V139))*(W$7-W$5)*(W$6-W$5)),W$7-SQRT((1-NORMSDIST(W$9*SQRT($C$11)*NORMSINV($B139)+SQRT(1-W$9^2*$C$11)*NORMSINV(V139)))*(W$7-W$5)*(W$7-W$6))))</f>
        <v>9.60261144642075</v>
      </c>
      <c r="X139" s="2" t="n">
        <v>0.798756162</v>
      </c>
      <c r="Y139" s="2" t="n">
        <f aca="false">IF(Y$7=Y$5,Y$6,IF(NORMSDIST(Y$9*SQRT($C$11)*NORMSINV($B139)+SQRT(1-Y$9^2*$C$11)*NORMSINV(X139))&lt;Y$8,Y$5+SQRT(NORMSDIST(Y$9*SQRT($C$11)*NORMSINV($B139)+SQRT(1-Y$9^2*$C$11)*NORMSINV(X139))*(Y$7-Y$5)*(Y$6-Y$5)),Y$7-SQRT((1-NORMSDIST(Y$9*SQRT($C$11)*NORMSINV($B139)+SQRT(1-Y$9^2*$C$11)*NORMSINV(X139)))*(Y$7-Y$5)*(Y$7-Y$6))))</f>
        <v>0.68279041786226</v>
      </c>
      <c r="Z139" s="2" t="n">
        <v>0.026422375</v>
      </c>
      <c r="AA139" s="2" t="n">
        <f aca="false">IF(AA$7=AA$5,AA$6,IF(NORMSDIST(AA$9*SQRT($C$11)*NORMSINV($B139)+SQRT(1-AA$9^2*$C$11)*NORMSINV(Z139))&lt;AA$8,AA$5+SQRT(NORMSDIST(AA$9*SQRT($C$11)*NORMSINV($B139)+SQRT(1-AA$9^2*$C$11)*NORMSINV(Z139))*(AA$7-AA$5)*(AA$6-AA$5)),AA$7-SQRT((1-NORMSDIST(AA$9*SQRT($C$11)*NORMSINV($B139)+SQRT(1-AA$9^2*$C$11)*NORMSINV(Z139)))*(AA$7-AA$5)*(AA$7-AA$6))))</f>
        <v>0.707798641389959</v>
      </c>
      <c r="AB139" s="2" t="n">
        <v>0.482288265</v>
      </c>
      <c r="AC139" s="2" t="n">
        <f aca="false">IF(AC$7=AC$5,AC$6,IF(NORMSDIST(AC$9*SQRT($C$11)*NORMSINV($B139)+SQRT(1-AC$9^2*$C$11)*NORMSINV(AB139))&lt;AC$8,AC$5+SQRT(NORMSDIST(AC$9*SQRT($C$11)*NORMSINV($B139)+SQRT(1-AC$9^2*$C$11)*NORMSINV(AB139))*(AC$7-AC$5)*(AC$6-AC$5)),AC$7-SQRT((1-NORMSDIST(AC$9*SQRT($C$11)*NORMSINV($B139)+SQRT(1-AC$9^2*$C$11)*NORMSINV(AB139)))*(AC$7-AC$5)*(AC$7-AC$6))))</f>
        <v>9.48611073952945</v>
      </c>
      <c r="AD139" s="2" t="n">
        <f aca="false">Entrées!$C$8*(1+E139)</f>
        <v>7458.9409488973</v>
      </c>
      <c r="AE139" s="2" t="n">
        <f aca="false">I139*Hypothèses!$J$24/12/Hypothèses!$J$19</f>
        <v>97.5458269607362</v>
      </c>
      <c r="AF139" s="2" t="n">
        <f aca="false">Entrées!$C$36*S139*1000</f>
        <v>153.614067861394</v>
      </c>
      <c r="AG139" s="2" t="n">
        <f aca="false">-AF139/W139</f>
        <v>-15.9971137766541</v>
      </c>
      <c r="AH139" s="2" t="n">
        <f aca="false">AD139+AE139+AG139</f>
        <v>7540.48966208138</v>
      </c>
      <c r="AI139" s="2" t="n">
        <f aca="false">Entrées!$C$16-M139+Hypothèses!$J$22*1000-AF139+Hypothèses!$J$23</f>
        <v>22764.4367307678</v>
      </c>
      <c r="AJ139" s="2" t="n">
        <f aca="false">AI139/AH139</f>
        <v>3.0189600080274</v>
      </c>
      <c r="AK139" s="2" t="n">
        <f aca="false">AI139/(AH139+I139*(12-Hypothèses!$J$24)/12/Hypothèses!$J$19)</f>
        <v>2.99131963297235</v>
      </c>
      <c r="AL139" s="2" t="n">
        <f aca="false">(AD139+AG139+I139/Hypothèses!$J$19)*(1+G139)</f>
        <v>8055.5227003789</v>
      </c>
      <c r="AM139" s="2" t="n">
        <f aca="false">Entrées!$C$54*K139/Hypothèses!$J$19</f>
        <v>19.6989746941992</v>
      </c>
      <c r="AN139" s="2" t="n">
        <f aca="false">Y139*1000/AC139</f>
        <v>71.977909241246</v>
      </c>
      <c r="AO139" s="2" t="n">
        <f aca="false">(Entrées!$C$36*(1-S139)+MAX(0,Entrées!$C$30-Entrées!$C$35-Entrées!$C$36)*U139)*1000</f>
        <v>1124.07869772516</v>
      </c>
      <c r="AP139" s="2" t="n">
        <f aca="false">-AO139/W139</f>
        <v>-117.059687773178</v>
      </c>
      <c r="AQ139" s="2" t="n">
        <f aca="false">AL139+AM139+AN139+AP139</f>
        <v>8030.13989654117</v>
      </c>
      <c r="AR139" s="2" t="n">
        <f aca="false">O139*AQ139-Hypothèses!$J$25/Hypothèses!$J$19</f>
        <v>1332.36040959619</v>
      </c>
      <c r="AS139" s="2" t="n">
        <f aca="false">Entrées!$C$79*(1+Q139)+Hypothèses!$J$20</f>
        <v>1454.54196023462</v>
      </c>
      <c r="AT139" s="2" t="n">
        <f aca="false">AI139-AR139+AS139+Y139*1000-AO139+Hypothèses!$J$23</f>
        <v>22445.3300015433</v>
      </c>
      <c r="AU139" s="2" t="n">
        <f aca="false">AT139/AQ139</f>
        <v>2.79513561291892</v>
      </c>
      <c r="AV139" s="2" t="n">
        <f aca="false">Hypothèses!$J$26*AQ139-AT139</f>
        <v>1645.08968808023</v>
      </c>
      <c r="AW139" s="2" t="n">
        <f aca="false">IF(AC139&gt;Hypothèses!$J$26,MAX(0,AV139)/(1-Hypothèses!$J$26/AC139),0)</f>
        <v>2405.98774585818</v>
      </c>
      <c r="AX139" s="2" t="n">
        <f aca="false">AQ139-Entrées!$C$17*1000</f>
        <v>30.1398965411699</v>
      </c>
      <c r="AY139" s="2" t="n">
        <f aca="false">AI139+(Entrées!$C$244-Entrées!$C$13)</f>
        <v>28511.4367307678</v>
      </c>
      <c r="AZ139" s="2" t="n">
        <f aca="false">AA139*AH139</f>
        <v>5337.14833823623</v>
      </c>
      <c r="BA139" s="2" t="n">
        <f aca="false">AZ139/AY139</f>
        <v>0.187193244193012</v>
      </c>
      <c r="BB139" s="2" t="n">
        <f aca="false">AZ139/(Entrées!$C$151/100)-AY139</f>
        <v>1139.38737054465</v>
      </c>
      <c r="BC139" s="2" t="n">
        <f aca="false">AT139+(Entrées!$C$244-Entrées!$C$13)</f>
        <v>28192.3300015433</v>
      </c>
      <c r="BD139" s="2" t="n">
        <f aca="false">AA139*AQ139</f>
        <v>5683.72210894315</v>
      </c>
      <c r="BE139" s="2" t="n">
        <f aca="false">BD139/BC139</f>
        <v>0.201605263156043</v>
      </c>
      <c r="BF139" s="2" t="n">
        <f aca="false">BD139/(Entrées!$C$151/100)-BC139</f>
        <v>3383.90393702976</v>
      </c>
      <c r="BG139" s="2" t="n">
        <f aca="false">MIN(AV139,BF139)</f>
        <v>1645.08968808023</v>
      </c>
      <c r="BH139" s="2" t="n">
        <f aca="false">IF(AC139&gt;Hypothèses!$J$26,MAX(0,BG139)/(1-Hypothèses!$J$26/AC139),0)</f>
        <v>2405.98774585818</v>
      </c>
    </row>
    <row r="140" customFormat="false" ht="15" hidden="false" customHeight="false" outlineLevel="0" collapsed="false">
      <c r="A140" s="2" t="n">
        <v>125</v>
      </c>
      <c r="B140" s="2" t="n">
        <v>0.286663706</v>
      </c>
      <c r="C140" s="2"/>
      <c r="D140" s="2" t="n">
        <v>0.399679548</v>
      </c>
      <c r="E140" s="2" t="n">
        <f aca="false">IF(E$7=E$5,E$6,IF(NORMSDIST(E$9*SQRT($C$11)*NORMSINV($B140)+SQRT(1-E$9^2*$C$11)*NORMSINV(D140))&lt;E$8,E$5+SQRT(NORMSDIST(E$9*SQRT($C$11)*NORMSINV($B140)+SQRT(1-E$9^2*$C$11)*NORMSINV(D140))*(E$7-E$5)*(E$6-E$5)),E$7-SQRT((1-NORMSDIST(E$9*SQRT($C$11)*NORMSINV($B140)+SQRT(1-E$9^2*$C$11)*NORMSINV(D140)))*(E$7-E$5)*(E$7-E$6))))</f>
        <v>0.0538086237916213</v>
      </c>
      <c r="F140" s="2" t="n">
        <v>0.532667334</v>
      </c>
      <c r="G140" s="2" t="n">
        <f aca="false">IF(G$7=G$5,G$6,IF(NORMSDIST(G$9*SQRT($C$11)*NORMSINV($B140)+SQRT(1-G$9^2*$C$11)*NORMSINV(F140))&lt;G$8,G$5+SQRT(NORMSDIST(G$9*SQRT($C$11)*NORMSINV($B140)+SQRT(1-G$9^2*$C$11)*NORMSINV(F140))*(G$7-G$5)*(G$6-G$5)),G$7-SQRT((1-NORMSDIST(G$9*SQRT($C$11)*NORMSINV($B140)+SQRT(1-G$9^2*$C$11)*NORMSINV(F140)))*(G$7-G$5)*(G$7-G$6))))</f>
        <v>0.0531604953978618</v>
      </c>
      <c r="H140" s="2" t="n">
        <v>0.894239437</v>
      </c>
      <c r="I140" s="2" t="n">
        <f aca="false">IF(I$7=I$5,I$6,IF(NORMSDIST(I$9*SQRT($C$11)*NORMSINV($B140)+SQRT(1-I$9^2*$C$11)*NORMSINV(H140))&lt;I$8,I$5+SQRT(NORMSDIST(I$9*SQRT($C$11)*NORMSINV($B140)+SQRT(1-I$9^2*$C$11)*NORMSINV(H140))*(I$7-I$5)*(I$6-I$5)),I$7-SQRT((1-NORMSDIST(I$9*SQRT($C$11)*NORMSINV($B140)+SQRT(1-I$9^2*$C$11)*NORMSINV(H140)))*(I$7-I$5)*(I$7-I$6))))</f>
        <v>205.292180712306</v>
      </c>
      <c r="J140" s="2" t="n">
        <v>0.104073882</v>
      </c>
      <c r="K140" s="2" t="n">
        <f aca="false">IF(K$7=K$5,K$6,IF(NORMSDIST(K$9*SQRT($C$11)*NORMSINV($B140)+SQRT(1-K$9^2*$C$11)*NORMSINV(J140))&lt;K$8,K$5+SQRT(NORMSDIST(K$9*SQRT($C$11)*NORMSINV($B140)+SQRT(1-K$9^2*$C$11)*NORMSINV(J140))*(K$7-K$5)*(K$6-K$5)),K$7-SQRT((1-NORMSDIST(K$9*SQRT($C$11)*NORMSINV($B140)+SQRT(1-K$9^2*$C$11)*NORMSINV(J140)))*(K$7-K$5)*(K$7-K$6))))</f>
        <v>0.106988230323399</v>
      </c>
      <c r="L140" s="2" t="n">
        <v>0.795076763</v>
      </c>
      <c r="M140" s="2" t="n">
        <f aca="false">IF(M$7=M$5,M$6,IF(NORMSDIST(M$9*SQRT($C$11)*NORMSINV($B140)+SQRT(1-M$9^2*$C$11)*NORMSINV(L140))&lt;M$8,M$5+SQRT(NORMSDIST(M$9*SQRT($C$11)*NORMSINV($B140)+SQRT(1-M$9^2*$C$11)*NORMSINV(L140))*(M$7-M$5)*(M$6-M$5)),M$7-SQRT((1-NORMSDIST(M$9*SQRT($C$11)*NORMSINV($B140)+SQRT(1-M$9^2*$C$11)*NORMSINV(L140)))*(M$7-M$5)*(M$7-M$6))))</f>
        <v>1615.13035097242</v>
      </c>
      <c r="N140" s="2" t="n">
        <v>0.691625708</v>
      </c>
      <c r="O140" s="2" t="n">
        <f aca="false">IF(O$7=O$5,O$6,IF(NORMSDIST(O$9*SQRT($C$11)*NORMSINV($B140)+SQRT(1-O$9^2*$C$11)*NORMSINV(N140))&lt;O$8,O$5+SQRT(NORMSDIST(O$9*SQRT($C$11)*NORMSINV($B140)+SQRT(1-O$9^2*$C$11)*NORMSINV(N140))*(O$7-O$5)*(O$6-O$5)),O$7-SQRT((1-NORMSDIST(O$9*SQRT($C$11)*NORMSINV($B140)+SQRT(1-O$9^2*$C$11)*NORMSINV(N140)))*(O$7-O$5)*(O$7-O$6))))</f>
        <v>0.167118786819777</v>
      </c>
      <c r="P140" s="2" t="n">
        <v>0.273716548</v>
      </c>
      <c r="Q140" s="2" t="n">
        <f aca="false">IF(Q$7=Q$5,Q$6,IF(NORMSDIST(Q$9*SQRT($C$11)*NORMSINV($B140)+SQRT(1-Q$9^2*$C$11)*NORMSINV(P140))&lt;Q$8,Q$5+SQRT(NORMSDIST(Q$9*SQRT($C$11)*NORMSINV($B140)+SQRT(1-Q$9^2*$C$11)*NORMSINV(P140))*(Q$7-Q$5)*(Q$6-Q$5)),Q$7-SQRT((1-NORMSDIST(Q$9*SQRT($C$11)*NORMSINV($B140)+SQRT(1-Q$9^2*$C$11)*NORMSINV(P140)))*(Q$7-Q$5)*(Q$7-Q$6))))</f>
        <v>0.0695954887373059</v>
      </c>
      <c r="R140" s="2" t="n">
        <v>0.810207952</v>
      </c>
      <c r="S140" s="2" t="n">
        <f aca="false">IF(S$7=S$5,S$6,IF(NORMSDIST(S$9*SQRT($C$11)*NORMSINV($B140)+SQRT(1-S$9^2*$C$11)*NORMSINV(R140))&lt;S$8,S$5+SQRT(NORMSDIST(S$9*SQRT($C$11)*NORMSINV($B140)+SQRT(1-S$9^2*$C$11)*NORMSINV(R140))*(S$7-S$5)*(S$6-S$5)),S$7-SQRT((1-NORMSDIST(S$9*SQRT($C$11)*NORMSINV($B140)+SQRT(1-S$9^2*$C$11)*NORMSINV(R140)))*(S$7-S$5)*(S$7-S$6))))</f>
        <v>0.568257259055834</v>
      </c>
      <c r="T140" s="2" t="n">
        <v>0.388661797</v>
      </c>
      <c r="U140" s="2" t="n">
        <f aca="false">IF(U$7=U$5,U$6,IF(NORMSDIST(U$9*SQRT($C$11)*NORMSINV($B140)+SQRT(1-U$9^2*$C$11)*NORMSINV(T140))&lt;U$8,U$5+SQRT(NORMSDIST(U$9*SQRT($C$11)*NORMSINV($B140)+SQRT(1-U$9^2*$C$11)*NORMSINV(T140))*(U$7-U$5)*(U$6-U$5)),U$7-SQRT((1-NORMSDIST(U$9*SQRT($C$11)*NORMSINV($B140)+SQRT(1-U$9^2*$C$11)*NORMSINV(T140)))*(U$7-U$5)*(U$7-U$6))))</f>
        <v>0.37587646674784</v>
      </c>
      <c r="V140" s="2" t="n">
        <v>0.884347941</v>
      </c>
      <c r="W140" s="2" t="n">
        <f aca="false">IF(W$7=W$5,W$6,IF(NORMSDIST(W$9*SQRT($C$11)*NORMSINV($B140)+SQRT(1-W$9^2*$C$11)*NORMSINV(V140))&lt;W$8,W$5+SQRT(NORMSDIST(W$9*SQRT($C$11)*NORMSINV($B140)+SQRT(1-W$9^2*$C$11)*NORMSINV(V140))*(W$7-W$5)*(W$6-W$5)),W$7-SQRT((1-NORMSDIST(W$9*SQRT($C$11)*NORMSINV($B140)+SQRT(1-W$9^2*$C$11)*NORMSINV(V140)))*(W$7-W$5)*(W$7-W$6))))</f>
        <v>10.4927072560456</v>
      </c>
      <c r="X140" s="2" t="n">
        <v>0.803676526</v>
      </c>
      <c r="Y140" s="2" t="n">
        <f aca="false">IF(Y$7=Y$5,Y$6,IF(NORMSDIST(Y$9*SQRT($C$11)*NORMSINV($B140)+SQRT(1-Y$9^2*$C$11)*NORMSINV(X140))&lt;Y$8,Y$5+SQRT(NORMSDIST(Y$9*SQRT($C$11)*NORMSINV($B140)+SQRT(1-Y$9^2*$C$11)*NORMSINV(X140))*(Y$7-Y$5)*(Y$6-Y$5)),Y$7-SQRT((1-NORMSDIST(Y$9*SQRT($C$11)*NORMSINV($B140)+SQRT(1-Y$9^2*$C$11)*NORMSINV(X140)))*(Y$7-Y$5)*(Y$7-Y$6))))</f>
        <v>0.686692264698109</v>
      </c>
      <c r="Z140" s="2" t="n">
        <v>0.847453353</v>
      </c>
      <c r="AA140" s="2" t="n">
        <f aca="false">IF(AA$7=AA$5,AA$6,IF(NORMSDIST(AA$9*SQRT($C$11)*NORMSINV($B140)+SQRT(1-AA$9^2*$C$11)*NORMSINV(Z140))&lt;AA$8,AA$5+SQRT(NORMSDIST(AA$9*SQRT($C$11)*NORMSINV($B140)+SQRT(1-AA$9^2*$C$11)*NORMSINV(Z140))*(AA$7-AA$5)*(AA$6-AA$5)),AA$7-SQRT((1-NORMSDIST(AA$9*SQRT($C$11)*NORMSINV($B140)+SQRT(1-AA$9^2*$C$11)*NORMSINV(Z140)))*(AA$7-AA$5)*(AA$7-AA$6))))</f>
        <v>0.733255435828461</v>
      </c>
      <c r="AB140" s="2" t="n">
        <v>0.88199734</v>
      </c>
      <c r="AC140" s="2" t="n">
        <f aca="false">IF(AC$7=AC$5,AC$6,IF(NORMSDIST(AC$9*SQRT($C$11)*NORMSINV($B140)+SQRT(1-AC$9^2*$C$11)*NORMSINV(AB140))&lt;AC$8,AC$5+SQRT(NORMSDIST(AC$9*SQRT($C$11)*NORMSINV($B140)+SQRT(1-AC$9^2*$C$11)*NORMSINV(AB140))*(AC$7-AC$5)*(AC$6-AC$5)),AC$7-SQRT((1-NORMSDIST(AC$9*SQRT($C$11)*NORMSINV($B140)+SQRT(1-AC$9^2*$C$11)*NORMSINV(AB140)))*(AC$7-AC$5)*(AC$7-AC$6))))</f>
        <v>9.88624027858395</v>
      </c>
      <c r="AD140" s="2" t="n">
        <f aca="false">Entrées!$C$8*(1+E140)</f>
        <v>7429.35079773093</v>
      </c>
      <c r="AE140" s="2" t="n">
        <f aca="false">I140*Hypothèses!$J$24/12/Hypothèses!$J$19</f>
        <v>101.844793788189</v>
      </c>
      <c r="AF140" s="2" t="n">
        <f aca="false">Entrées!$C$36*S140*1000</f>
        <v>284.128629527917</v>
      </c>
      <c r="AG140" s="2" t="n">
        <f aca="false">-AF140/W140</f>
        <v>-27.0786768938217</v>
      </c>
      <c r="AH140" s="2" t="n">
        <f aca="false">AD140+AE140+AG140</f>
        <v>7504.1169146253</v>
      </c>
      <c r="AI140" s="2" t="n">
        <f aca="false">Entrées!$C$16-M140+Hypothèses!$J$22*1000-AF140+Hypothèses!$J$23</f>
        <v>22648.7410194997</v>
      </c>
      <c r="AJ140" s="2" t="n">
        <f aca="false">AI140/AH140</f>
        <v>3.01817539321089</v>
      </c>
      <c r="AK140" s="2" t="n">
        <f aca="false">AI140/(AH140+I140*(12-Hypothèses!$J$24)/12/Hypothèses!$J$19)</f>
        <v>2.98919756552391</v>
      </c>
      <c r="AL140" s="2" t="n">
        <f aca="false">(AD140+AG140+I140/Hypothèses!$J$19)*(1+G140)</f>
        <v>7979.65299695858</v>
      </c>
      <c r="AM140" s="2" t="n">
        <f aca="false">Entrées!$C$54*K140/Hypothèses!$J$19</f>
        <v>10.918598119053</v>
      </c>
      <c r="AN140" s="2" t="n">
        <f aca="false">Y140*1000/AC140</f>
        <v>69.4593946078424</v>
      </c>
      <c r="AO140" s="2" t="n">
        <f aca="false">(Entrées!$C$36*(1-S140)+MAX(0,Entrées!$C$30-Entrées!$C$35-Entrées!$C$36)*U140)*1000</f>
        <v>742.098423919059</v>
      </c>
      <c r="AP140" s="2" t="n">
        <f aca="false">-AO140/W140</f>
        <v>-70.7251623256222</v>
      </c>
      <c r="AQ140" s="2" t="n">
        <f aca="false">AL140+AM140+AN140+AP140</f>
        <v>7989.30582735986</v>
      </c>
      <c r="AR140" s="2" t="n">
        <f aca="false">O140*AQ140-Hypothèses!$J$25/Hypothèses!$J$19</f>
        <v>1316.02793513893</v>
      </c>
      <c r="AS140" s="2" t="n">
        <f aca="false">Entrées!$C$79*(1+Q140)+Hypothèses!$J$20</f>
        <v>1470.4854421223</v>
      </c>
      <c r="AT140" s="2" t="n">
        <f aca="false">AI140-AR140+AS140+Y140*1000-AO140+Hypothèses!$J$23</f>
        <v>22747.7923672621</v>
      </c>
      <c r="AU140" s="2" t="n">
        <f aca="false">AT140/AQ140</f>
        <v>2.84728020917173</v>
      </c>
      <c r="AV140" s="2" t="n">
        <f aca="false">Hypothèses!$J$26*AQ140-AT140</f>
        <v>1220.12511481749</v>
      </c>
      <c r="AW140" s="2" t="n">
        <f aca="false">IF(AC140&gt;Hypothèses!$J$26,MAX(0,AV140)/(1-Hypothèses!$J$26/AC140),0)</f>
        <v>1751.67429061899</v>
      </c>
      <c r="AX140" s="2" t="n">
        <f aca="false">AQ140-Entrées!$C$17*1000</f>
        <v>-10.6941726401428</v>
      </c>
      <c r="AY140" s="2" t="n">
        <f aca="false">AI140+(Entrées!$C$244-Entrées!$C$13)</f>
        <v>28395.7410194997</v>
      </c>
      <c r="AZ140" s="2" t="n">
        <f aca="false">AA140*AH140</f>
        <v>5502.4345187413</v>
      </c>
      <c r="BA140" s="2" t="n">
        <f aca="false">AZ140/AY140</f>
        <v>0.193776753878785</v>
      </c>
      <c r="BB140" s="2" t="n">
        <f aca="false">AZ140/(Entrées!$C$151/100)-AY140</f>
        <v>2173.33964017422</v>
      </c>
      <c r="BC140" s="2" t="n">
        <f aca="false">AT140+(Entrées!$C$244-Entrées!$C$13)</f>
        <v>28494.7923672621</v>
      </c>
      <c r="BD140" s="2" t="n">
        <f aca="false">AA140*AQ140</f>
        <v>5858.20192640762</v>
      </c>
      <c r="BE140" s="2" t="n">
        <f aca="false">BD140/BC140</f>
        <v>0.205588510732163</v>
      </c>
      <c r="BF140" s="2" t="n">
        <f aca="false">BD140/(Entrées!$C$151/100)-BC140</f>
        <v>4050.773890558</v>
      </c>
      <c r="BG140" s="2" t="n">
        <f aca="false">MIN(AV140,BF140)</f>
        <v>1220.12511481749</v>
      </c>
      <c r="BH140" s="2" t="n">
        <f aca="false">IF(AC140&gt;Hypothèses!$J$26,MAX(0,BG140)/(1-Hypothèses!$J$26/AC140),0)</f>
        <v>1751.67429061899</v>
      </c>
    </row>
    <row r="141" customFormat="false" ht="15" hidden="false" customHeight="false" outlineLevel="0" collapsed="false">
      <c r="A141" s="2" t="n">
        <v>126</v>
      </c>
      <c r="B141" s="2" t="n">
        <v>0.511020154</v>
      </c>
      <c r="C141" s="2"/>
      <c r="D141" s="2" t="n">
        <v>0.68379395</v>
      </c>
      <c r="E141" s="2" t="n">
        <f aca="false">IF(E$7=E$5,E$6,IF(NORMSDIST(E$9*SQRT($C$11)*NORMSINV($B141)+SQRT(1-E$9^2*$C$11)*NORMSINV(D141))&lt;E$8,E$5+SQRT(NORMSDIST(E$9*SQRT($C$11)*NORMSINV($B141)+SQRT(1-E$9^2*$C$11)*NORMSINV(D141))*(E$7-E$5)*(E$6-E$5)),E$7-SQRT((1-NORMSDIST(E$9*SQRT($C$11)*NORMSINV($B141)+SQRT(1-E$9^2*$C$11)*NORMSINV(D141)))*(E$7-E$5)*(E$7-E$6))))</f>
        <v>0.0558226083310344</v>
      </c>
      <c r="F141" s="2" t="n">
        <v>0.626166246</v>
      </c>
      <c r="G141" s="2" t="n">
        <f aca="false">IF(G$7=G$5,G$6,IF(NORMSDIST(G$9*SQRT($C$11)*NORMSINV($B141)+SQRT(1-G$9^2*$C$11)*NORMSINV(F141))&lt;G$8,G$5+SQRT(NORMSDIST(G$9*SQRT($C$11)*NORMSINV($B141)+SQRT(1-G$9^2*$C$11)*NORMSINV(F141))*(G$7-G$5)*(G$6-G$5)),G$7-SQRT((1-NORMSDIST(G$9*SQRT($C$11)*NORMSINV($B141)+SQRT(1-G$9^2*$C$11)*NORMSINV(F141)))*(G$7-G$5)*(G$7-G$6))))</f>
        <v>0.0566700653181458</v>
      </c>
      <c r="H141" s="2" t="n">
        <v>0.502222481</v>
      </c>
      <c r="I141" s="2" t="n">
        <f aca="false">IF(I$7=I$5,I$6,IF(NORMSDIST(I$9*SQRT($C$11)*NORMSINV($B141)+SQRT(1-I$9^2*$C$11)*NORMSINV(H141))&lt;I$8,I$5+SQRT(NORMSDIST(I$9*SQRT($C$11)*NORMSINV($B141)+SQRT(1-I$9^2*$C$11)*NORMSINV(H141))*(I$7-I$5)*(I$6-I$5)),I$7-SQRT((1-NORMSDIST(I$9*SQRT($C$11)*NORMSINV($B141)+SQRT(1-I$9^2*$C$11)*NORMSINV(H141)))*(I$7-I$5)*(I$7-I$6))))</f>
        <v>200.17459189001</v>
      </c>
      <c r="J141" s="2" t="n">
        <v>0.919766657</v>
      </c>
      <c r="K141" s="2" t="n">
        <f aca="false">IF(K$7=K$5,K$6,IF(NORMSDIST(K$9*SQRT($C$11)*NORMSINV($B141)+SQRT(1-K$9^2*$C$11)*NORMSINV(J141))&lt;K$8,K$5+SQRT(NORMSDIST(K$9*SQRT($C$11)*NORMSINV($B141)+SQRT(1-K$9^2*$C$11)*NORMSINV(J141))*(K$7-K$5)*(K$6-K$5)),K$7-SQRT((1-NORMSDIST(K$9*SQRT($C$11)*NORMSINV($B141)+SQRT(1-K$9^2*$C$11)*NORMSINV(J141)))*(K$7-K$5)*(K$7-K$6))))</f>
        <v>0.370259064622294</v>
      </c>
      <c r="L141" s="2" t="n">
        <v>0.88548612</v>
      </c>
      <c r="M141" s="2" t="n">
        <f aca="false">IF(M$7=M$5,M$6,IF(NORMSDIST(M$9*SQRT($C$11)*NORMSINV($B141)+SQRT(1-M$9^2*$C$11)*NORMSINV(L141))&lt;M$8,M$5+SQRT(NORMSDIST(M$9*SQRT($C$11)*NORMSINV($B141)+SQRT(1-M$9^2*$C$11)*NORMSINV(L141))*(M$7-M$5)*(M$6-M$5)),M$7-SQRT((1-NORMSDIST(M$9*SQRT($C$11)*NORMSINV($B141)+SQRT(1-M$9^2*$C$11)*NORMSINV(L141)))*(M$7-M$5)*(M$7-M$6))))</f>
        <v>1675.13683076265</v>
      </c>
      <c r="N141" s="2" t="n">
        <v>0.60452627</v>
      </c>
      <c r="O141" s="2" t="n">
        <f aca="false">IF(O$7=O$5,O$6,IF(NORMSDIST(O$9*SQRT($C$11)*NORMSINV($B141)+SQRT(1-O$9^2*$C$11)*NORMSINV(N141))&lt;O$8,O$5+SQRT(NORMSDIST(O$9*SQRT($C$11)*NORMSINV($B141)+SQRT(1-O$9^2*$C$11)*NORMSINV(N141))*(O$7-O$5)*(O$6-O$5)),O$7-SQRT((1-NORMSDIST(O$9*SQRT($C$11)*NORMSINV($B141)+SQRT(1-O$9^2*$C$11)*NORMSINV(N141)))*(O$7-O$5)*(O$7-O$6))))</f>
        <v>0.169055094807006</v>
      </c>
      <c r="P141" s="2" t="n">
        <v>0.353984458</v>
      </c>
      <c r="Q141" s="2" t="n">
        <f aca="false">IF(Q$7=Q$5,Q$6,IF(NORMSDIST(Q$9*SQRT($C$11)*NORMSINV($B141)+SQRT(1-Q$9^2*$C$11)*NORMSINV(P141))&lt;Q$8,Q$5+SQRT(NORMSDIST(Q$9*SQRT($C$11)*NORMSINV($B141)+SQRT(1-Q$9^2*$C$11)*NORMSINV(P141))*(Q$7-Q$5)*(Q$6-Q$5)),Q$7-SQRT((1-NORMSDIST(Q$9*SQRT($C$11)*NORMSINV($B141)+SQRT(1-Q$9^2*$C$11)*NORMSINV(P141)))*(Q$7-Q$5)*(Q$7-Q$6))))</f>
        <v>0.073656355500856</v>
      </c>
      <c r="R141" s="2" t="n">
        <v>0.328405024</v>
      </c>
      <c r="S141" s="2" t="n">
        <f aca="false">IF(S$7=S$5,S$6,IF(NORMSDIST(S$9*SQRT($C$11)*NORMSINV($B141)+SQRT(1-S$9^2*$C$11)*NORMSINV(R141))&lt;S$8,S$5+SQRT(NORMSDIST(S$9*SQRT($C$11)*NORMSINV($B141)+SQRT(1-S$9^2*$C$11)*NORMSINV(R141))*(S$7-S$5)*(S$6-S$5)),S$7-SQRT((1-NORMSDIST(S$9*SQRT($C$11)*NORMSINV($B141)+SQRT(1-S$9^2*$C$11)*NORMSINV(R141)))*(S$7-S$5)*(S$7-S$6))))</f>
        <v>0.431247282036537</v>
      </c>
      <c r="T141" s="2" t="n">
        <v>0.406302104</v>
      </c>
      <c r="U141" s="2" t="n">
        <f aca="false">IF(U$7=U$5,U$6,IF(NORMSDIST(U$9*SQRT($C$11)*NORMSINV($B141)+SQRT(1-U$9^2*$C$11)*NORMSINV(T141))&lt;U$8,U$5+SQRT(NORMSDIST(U$9*SQRT($C$11)*NORMSINV($B141)+SQRT(1-U$9^2*$C$11)*NORMSINV(T141))*(U$7-U$5)*(U$6-U$5)),U$7-SQRT((1-NORMSDIST(U$9*SQRT($C$11)*NORMSINV($B141)+SQRT(1-U$9^2*$C$11)*NORMSINV(T141)))*(U$7-U$5)*(U$7-U$6))))</f>
        <v>0.465841106500986</v>
      </c>
      <c r="V141" s="2" t="n">
        <v>0.880117148</v>
      </c>
      <c r="W141" s="2" t="n">
        <f aca="false">IF(W$7=W$5,W$6,IF(NORMSDIST(W$9*SQRT($C$11)*NORMSINV($B141)+SQRT(1-W$9^2*$C$11)*NORMSINV(V141))&lt;W$8,W$5+SQRT(NORMSDIST(W$9*SQRT($C$11)*NORMSINV($B141)+SQRT(1-W$9^2*$C$11)*NORMSINV(V141))*(W$7-W$5)*(W$6-W$5)),W$7-SQRT((1-NORMSDIST(W$9*SQRT($C$11)*NORMSINV($B141)+SQRT(1-W$9^2*$C$11)*NORMSINV(V141)))*(W$7-W$5)*(W$7-W$6))))</f>
        <v>10.8110970011786</v>
      </c>
      <c r="X141" s="2" t="n">
        <v>0.087442667</v>
      </c>
      <c r="Y141" s="2" t="n">
        <f aca="false">IF(Y$7=Y$5,Y$6,IF(NORMSDIST(Y$9*SQRT($C$11)*NORMSINV($B141)+SQRT(1-Y$9^2*$C$11)*NORMSINV(X141))&lt;Y$8,Y$5+SQRT(NORMSDIST(Y$9*SQRT($C$11)*NORMSINV($B141)+SQRT(1-Y$9^2*$C$11)*NORMSINV(X141))*(Y$7-Y$5)*(Y$6-Y$5)),Y$7-SQRT((1-NORMSDIST(Y$9*SQRT($C$11)*NORMSINV($B141)+SQRT(1-Y$9^2*$C$11)*NORMSINV(X141)))*(Y$7-Y$5)*(Y$7-Y$6))))</f>
        <v>0.209096469362828</v>
      </c>
      <c r="Z141" s="2" t="n">
        <v>0.975743329</v>
      </c>
      <c r="AA141" s="2" t="n">
        <f aca="false">IF(AA$7=AA$5,AA$6,IF(NORMSDIST(AA$9*SQRT($C$11)*NORMSINV($B141)+SQRT(1-AA$9^2*$C$11)*NORMSINV(Z141))&lt;AA$8,AA$5+SQRT(NORMSDIST(AA$9*SQRT($C$11)*NORMSINV($B141)+SQRT(1-AA$9^2*$C$11)*NORMSINV(Z141))*(AA$7-AA$5)*(AA$6-AA$5)),AA$7-SQRT((1-NORMSDIST(AA$9*SQRT($C$11)*NORMSINV($B141)+SQRT(1-AA$9^2*$C$11)*NORMSINV(Z141)))*(AA$7-AA$5)*(AA$7-AA$6))))</f>
        <v>0.74500944641586</v>
      </c>
      <c r="AB141" s="2" t="n">
        <v>0.080581816</v>
      </c>
      <c r="AC141" s="2" t="n">
        <f aca="false">IF(AC$7=AC$5,AC$6,IF(NORMSDIST(AC$9*SQRT($C$11)*NORMSINV($B141)+SQRT(1-AC$9^2*$C$11)*NORMSINV(AB141))&lt;AC$8,AC$5+SQRT(NORMSDIST(AC$9*SQRT($C$11)*NORMSINV($B141)+SQRT(1-AC$9^2*$C$11)*NORMSINV(AB141))*(AC$7-AC$5)*(AC$6-AC$5)),AC$7-SQRT((1-NORMSDIST(AC$9*SQRT($C$11)*NORMSINV($B141)+SQRT(1-AC$9^2*$C$11)*NORMSINV(AB141)))*(AC$7-AC$5)*(AC$7-AC$6))))</f>
        <v>8.51072330316491</v>
      </c>
      <c r="AD141" s="2" t="n">
        <f aca="false">Entrées!$C$8*(1+E141)</f>
        <v>7443.54938873379</v>
      </c>
      <c r="AE141" s="2" t="n">
        <f aca="false">I141*Hypothèses!$J$24/12/Hypothèses!$J$19</f>
        <v>99.3059743529284</v>
      </c>
      <c r="AF141" s="2" t="n">
        <f aca="false">Entrées!$C$36*S141*1000</f>
        <v>215.623641018268</v>
      </c>
      <c r="AG141" s="2" t="n">
        <f aca="false">-AF141/W141</f>
        <v>-19.9446588070351</v>
      </c>
      <c r="AH141" s="2" t="n">
        <f aca="false">AD141+AE141+AG141</f>
        <v>7522.91070427969</v>
      </c>
      <c r="AI141" s="2" t="n">
        <f aca="false">Entrées!$C$16-M141+Hypothèses!$J$22*1000-AF141+Hypothèses!$J$23</f>
        <v>22657.2395282191</v>
      </c>
      <c r="AJ141" s="2" t="n">
        <f aca="false">AI141/AH141</f>
        <v>3.0117650493086</v>
      </c>
      <c r="AK141" s="2" t="n">
        <f aca="false">AI141/(AH141+I141*(12-Hypothèses!$J$24)/12/Hypothèses!$J$19)</f>
        <v>2.98363264921314</v>
      </c>
      <c r="AL141" s="2" t="n">
        <f aca="false">(AD141+AG141+I141/Hypothèses!$J$19)*(1+G141)</f>
        <v>8024.18715270665</v>
      </c>
      <c r="AM141" s="2" t="n">
        <f aca="false">Entrées!$C$54*K141/Hypothèses!$J$19</f>
        <v>37.7864921620558</v>
      </c>
      <c r="AN141" s="2" t="n">
        <f aca="false">Y141*1000/AC141</f>
        <v>24.5685897560634</v>
      </c>
      <c r="AO141" s="2" t="n">
        <f aca="false">(Entrées!$C$36*(1-S141)+MAX(0,Entrées!$C$30-Entrées!$C$35-Entrées!$C$36)*U141)*1000</f>
        <v>936.553908083112</v>
      </c>
      <c r="AP141" s="2" t="n">
        <f aca="false">-AO141/W141</f>
        <v>-86.6289432035442</v>
      </c>
      <c r="AQ141" s="2" t="n">
        <f aca="false">AL141+AM141+AN141+AP141</f>
        <v>7999.91329142122</v>
      </c>
      <c r="AR141" s="2" t="n">
        <f aca="false">O141*AQ141-Hypothèses!$J$25/Hypothèses!$J$19</f>
        <v>1333.29093766742</v>
      </c>
      <c r="AS141" s="2" t="n">
        <f aca="false">Entrées!$C$79*(1+Q141)+Hypothèses!$J$20</f>
        <v>1474.94833469544</v>
      </c>
      <c r="AT141" s="2" t="n">
        <f aca="false">AI141-AR141+AS141+Y141*1000-AO141+Hypothèses!$J$23</f>
        <v>22071.4394865268</v>
      </c>
      <c r="AU141" s="2" t="n">
        <f aca="false">AT141/AQ141</f>
        <v>2.75895983900167</v>
      </c>
      <c r="AV141" s="2" t="n">
        <f aca="false">Hypothèses!$J$26*AQ141-AT141</f>
        <v>1928.30038773684</v>
      </c>
      <c r="AW141" s="2" t="n">
        <f aca="false">IF(AC141&gt;Hypothèses!$J$26,MAX(0,AV141)/(1-Hypothèses!$J$26/AC141),0)</f>
        <v>2978.05390373866</v>
      </c>
      <c r="AX141" s="2" t="n">
        <f aca="false">AQ141-Entrées!$C$17*1000</f>
        <v>-0.0867085787804172</v>
      </c>
      <c r="AY141" s="2" t="n">
        <f aca="false">AI141+(Entrées!$C$244-Entrées!$C$13)</f>
        <v>28404.2395282191</v>
      </c>
      <c r="AZ141" s="2" t="n">
        <f aca="false">AA141*AH141</f>
        <v>5604.63953923136</v>
      </c>
      <c r="BA141" s="2" t="n">
        <f aca="false">AZ141/AY141</f>
        <v>0.197317007331362</v>
      </c>
      <c r="BB141" s="2" t="n">
        <f aca="false">AZ141/(Entrées!$C$151/100)-AY141</f>
        <v>2732.64680084402</v>
      </c>
      <c r="BC141" s="2" t="n">
        <f aca="false">AT141+(Entrées!$C$244-Entrées!$C$13)</f>
        <v>27818.4394865268</v>
      </c>
      <c r="BD141" s="2" t="n">
        <f aca="false">AA141*AQ141</f>
        <v>5960.01097261661</v>
      </c>
      <c r="BE141" s="2" t="n">
        <f aca="false">BD141/BC141</f>
        <v>0.214246775974015</v>
      </c>
      <c r="BF141" s="2" t="n">
        <f aca="false">BD141/(Entrées!$C$151/100)-BC141</f>
        <v>5292.73258356543</v>
      </c>
      <c r="BG141" s="2" t="n">
        <f aca="false">MIN(AV141,BF141)</f>
        <v>1928.30038773684</v>
      </c>
      <c r="BH141" s="2" t="n">
        <f aca="false">IF(AC141&gt;Hypothèses!$J$26,MAX(0,BG141)/(1-Hypothèses!$J$26/AC141),0)</f>
        <v>2978.05390373866</v>
      </c>
    </row>
    <row r="142" customFormat="false" ht="15" hidden="false" customHeight="false" outlineLevel="0" collapsed="false">
      <c r="A142" s="2" t="n">
        <v>127</v>
      </c>
      <c r="B142" s="2" t="n">
        <v>0.904978117</v>
      </c>
      <c r="C142" s="2"/>
      <c r="D142" s="2" t="n">
        <v>0.548357631</v>
      </c>
      <c r="E142" s="2" t="n">
        <f aca="false">IF(E$7=E$5,E$6,IF(NORMSDIST(E$9*SQRT($C$11)*NORMSINV($B142)+SQRT(1-E$9^2*$C$11)*NORMSINV(D142))&lt;E$8,E$5+SQRT(NORMSDIST(E$9*SQRT($C$11)*NORMSINV($B142)+SQRT(1-E$9^2*$C$11)*NORMSINV(D142))*(E$7-E$5)*(E$6-E$5)),E$7-SQRT((1-NORMSDIST(E$9*SQRT($C$11)*NORMSINV($B142)+SQRT(1-E$9^2*$C$11)*NORMSINV(D142)))*(E$7-E$5)*(E$7-E$6))))</f>
        <v>0.0570165185638514</v>
      </c>
      <c r="F142" s="2" t="n">
        <v>0.042136967</v>
      </c>
      <c r="G142" s="2" t="n">
        <f aca="false">IF(G$7=G$5,G$6,IF(NORMSDIST(G$9*SQRT($C$11)*NORMSINV($B142)+SQRT(1-G$9^2*$C$11)*NORMSINV(F142))&lt;G$8,G$5+SQRT(NORMSDIST(G$9*SQRT($C$11)*NORMSINV($B142)+SQRT(1-G$9^2*$C$11)*NORMSINV(F142))*(G$7-G$5)*(G$6-G$5)),G$7-SQRT((1-NORMSDIST(G$9*SQRT($C$11)*NORMSINV($B142)+SQRT(1-G$9^2*$C$11)*NORMSINV(F142)))*(G$7-G$5)*(G$7-G$6))))</f>
        <v>0.0517261662514707</v>
      </c>
      <c r="H142" s="2" t="n">
        <v>0.318532434</v>
      </c>
      <c r="I142" s="2" t="n">
        <f aca="false">IF(I$7=I$5,I$6,IF(NORMSDIST(I$9*SQRT($C$11)*NORMSINV($B142)+SQRT(1-I$9^2*$C$11)*NORMSINV(H142))&lt;I$8,I$5+SQRT(NORMSDIST(I$9*SQRT($C$11)*NORMSINV($B142)+SQRT(1-I$9^2*$C$11)*NORMSINV(H142))*(I$7-I$5)*(I$6-I$5)),I$7-SQRT((1-NORMSDIST(I$9*SQRT($C$11)*NORMSINV($B142)+SQRT(1-I$9^2*$C$11)*NORMSINV(H142)))*(I$7-I$5)*(I$7-I$6))))</f>
        <v>203.96105094676</v>
      </c>
      <c r="J142" s="2" t="n">
        <v>0.554150066</v>
      </c>
      <c r="K142" s="2" t="n">
        <f aca="false">IF(K$7=K$5,K$6,IF(NORMSDIST(K$9*SQRT($C$11)*NORMSINV($B142)+SQRT(1-K$9^2*$C$11)*NORMSINV(J142))&lt;K$8,K$5+SQRT(NORMSDIST(K$9*SQRT($C$11)*NORMSINV($B142)+SQRT(1-K$9^2*$C$11)*NORMSINV(J142))*(K$7-K$5)*(K$6-K$5)),K$7-SQRT((1-NORMSDIST(K$9*SQRT($C$11)*NORMSINV($B142)+SQRT(1-K$9^2*$C$11)*NORMSINV(J142)))*(K$7-K$5)*(K$7-K$6))))</f>
        <v>0.352062705924768</v>
      </c>
      <c r="L142" s="2" t="n">
        <v>0.021523064</v>
      </c>
      <c r="M142" s="2" t="n">
        <f aca="false">IF(M$7=M$5,M$6,IF(NORMSDIST(M$9*SQRT($C$11)*NORMSINV($B142)+SQRT(1-M$9^2*$C$11)*NORMSINV(L142))&lt;M$8,M$5+SQRT(NORMSDIST(M$9*SQRT($C$11)*NORMSINV($B142)+SQRT(1-M$9^2*$C$11)*NORMSINV(L142))*(M$7-M$5)*(M$6-M$5)),M$7-SQRT((1-NORMSDIST(M$9*SQRT($C$11)*NORMSINV($B142)+SQRT(1-M$9^2*$C$11)*NORMSINV(L142)))*(M$7-M$5)*(M$7-M$6))))</f>
        <v>1494.61923033101</v>
      </c>
      <c r="N142" s="2" t="n">
        <v>0.584604414</v>
      </c>
      <c r="O142" s="2" t="n">
        <f aca="false">IF(O$7=O$5,O$6,IF(NORMSDIST(O$9*SQRT($C$11)*NORMSINV($B142)+SQRT(1-O$9^2*$C$11)*NORMSINV(N142))&lt;O$8,O$5+SQRT(NORMSDIST(O$9*SQRT($C$11)*NORMSINV($B142)+SQRT(1-O$9^2*$C$11)*NORMSINV(N142))*(O$7-O$5)*(O$6-O$5)),O$7-SQRT((1-NORMSDIST(O$9*SQRT($C$11)*NORMSINV($B142)+SQRT(1-O$9^2*$C$11)*NORMSINV(N142)))*(O$7-O$5)*(O$7-O$6))))</f>
        <v>0.176943805553657</v>
      </c>
      <c r="P142" s="2" t="n">
        <v>0.842570014</v>
      </c>
      <c r="Q142" s="2" t="n">
        <f aca="false">IF(Q$7=Q$5,Q$6,IF(NORMSDIST(Q$9*SQRT($C$11)*NORMSINV($B142)+SQRT(1-Q$9^2*$C$11)*NORMSINV(P142))&lt;Q$8,Q$5+SQRT(NORMSDIST(Q$9*SQRT($C$11)*NORMSINV($B142)+SQRT(1-Q$9^2*$C$11)*NORMSINV(P142))*(Q$7-Q$5)*(Q$6-Q$5)),Q$7-SQRT((1-NORMSDIST(Q$9*SQRT($C$11)*NORMSINV($B142)+SQRT(1-Q$9^2*$C$11)*NORMSINV(P142)))*(Q$7-Q$5)*(Q$7-Q$6))))</f>
        <v>0.097555046108312</v>
      </c>
      <c r="R142" s="2" t="n">
        <v>0.137037267</v>
      </c>
      <c r="S142" s="2" t="n">
        <f aca="false">IF(S$7=S$5,S$6,IF(NORMSDIST(S$9*SQRT($C$11)*NORMSINV($B142)+SQRT(1-S$9^2*$C$11)*NORMSINV(R142))&lt;S$8,S$5+SQRT(NORMSDIST(S$9*SQRT($C$11)*NORMSINV($B142)+SQRT(1-S$9^2*$C$11)*NORMSINV(R142))*(S$7-S$5)*(S$6-S$5)),S$7-SQRT((1-NORMSDIST(S$9*SQRT($C$11)*NORMSINV($B142)+SQRT(1-S$9^2*$C$11)*NORMSINV(R142)))*(S$7-S$5)*(S$7-S$6))))</f>
        <v>0.496317071498015</v>
      </c>
      <c r="T142" s="2" t="n">
        <v>0.36389153</v>
      </c>
      <c r="U142" s="2" t="n">
        <f aca="false">IF(U$7=U$5,U$6,IF(NORMSDIST(U$9*SQRT($C$11)*NORMSINV($B142)+SQRT(1-U$9^2*$C$11)*NORMSINV(T142))&lt;U$8,U$5+SQRT(NORMSDIST(U$9*SQRT($C$11)*NORMSINV($B142)+SQRT(1-U$9^2*$C$11)*NORMSINV(T142))*(U$7-U$5)*(U$6-U$5)),U$7-SQRT((1-NORMSDIST(U$9*SQRT($C$11)*NORMSINV($B142)+SQRT(1-U$9^2*$C$11)*NORMSINV(T142)))*(U$7-U$5)*(U$7-U$6))))</f>
        <v>0.620514451580582</v>
      </c>
      <c r="V142" s="2" t="n">
        <v>0.887349448</v>
      </c>
      <c r="W142" s="2" t="n">
        <f aca="false">IF(W$7=W$5,W$6,IF(NORMSDIST(W$9*SQRT($C$11)*NORMSINV($B142)+SQRT(1-W$9^2*$C$11)*NORMSINV(V142))&lt;W$8,W$5+SQRT(NORMSDIST(W$9*SQRT($C$11)*NORMSINV($B142)+SQRT(1-W$9^2*$C$11)*NORMSINV(V142))*(W$7-W$5)*(W$6-W$5)),W$7-SQRT((1-NORMSDIST(W$9*SQRT($C$11)*NORMSINV($B142)+SQRT(1-W$9^2*$C$11)*NORMSINV(V142)))*(W$7-W$5)*(W$7-W$6))))</f>
        <v>11.4448271528512</v>
      </c>
      <c r="X142" s="2" t="n">
        <v>0.444174297</v>
      </c>
      <c r="Y142" s="2" t="n">
        <f aca="false">IF(Y$7=Y$5,Y$6,IF(NORMSDIST(Y$9*SQRT($C$11)*NORMSINV($B142)+SQRT(1-Y$9^2*$C$11)*NORMSINV(X142))&lt;Y$8,Y$5+SQRT(NORMSDIST(Y$9*SQRT($C$11)*NORMSINV($B142)+SQRT(1-Y$9^2*$C$11)*NORMSINV(X142))*(Y$7-Y$5)*(Y$6-Y$5)),Y$7-SQRT((1-NORMSDIST(Y$9*SQRT($C$11)*NORMSINV($B142)+SQRT(1-Y$9^2*$C$11)*NORMSINV(X142)))*(Y$7-Y$5)*(Y$7-Y$6))))</f>
        <v>0.471261231696392</v>
      </c>
      <c r="Z142" s="2" t="n">
        <v>0.736917945</v>
      </c>
      <c r="AA142" s="2" t="n">
        <f aca="false">IF(AA$7=AA$5,AA$6,IF(NORMSDIST(AA$9*SQRT($C$11)*NORMSINV($B142)+SQRT(1-AA$9^2*$C$11)*NORMSINV(Z142))&lt;AA$8,AA$5+SQRT(NORMSDIST(AA$9*SQRT($C$11)*NORMSINV($B142)+SQRT(1-AA$9^2*$C$11)*NORMSINV(Z142))*(AA$7-AA$5)*(AA$6-AA$5)),AA$7-SQRT((1-NORMSDIST(AA$9*SQRT($C$11)*NORMSINV($B142)+SQRT(1-AA$9^2*$C$11)*NORMSINV(Z142)))*(AA$7-AA$5)*(AA$7-AA$6))))</f>
        <v>0.742911110621512</v>
      </c>
      <c r="AB142" s="2" t="n">
        <v>0.142398813</v>
      </c>
      <c r="AC142" s="2" t="n">
        <f aca="false">IF(AC$7=AC$5,AC$6,IF(NORMSDIST(AC$9*SQRT($C$11)*NORMSINV($B142)+SQRT(1-AC$9^2*$C$11)*NORMSINV(AB142))&lt;AC$8,AC$5+SQRT(NORMSDIST(AC$9*SQRT($C$11)*NORMSINV($B142)+SQRT(1-AC$9^2*$C$11)*NORMSINV(AB142))*(AC$7-AC$5)*(AC$6-AC$5)),AC$7-SQRT((1-NORMSDIST(AC$9*SQRT($C$11)*NORMSINV($B142)+SQRT(1-AC$9^2*$C$11)*NORMSINV(AB142)))*(AC$7-AC$5)*(AC$7-AC$6))))</f>
        <v>9.47870099729565</v>
      </c>
      <c r="AD142" s="2" t="n">
        <f aca="false">Entrées!$C$8*(1+E142)</f>
        <v>7451.96645587515</v>
      </c>
      <c r="AE142" s="2" t="n">
        <f aca="false">I142*Hypothèses!$J$24/12/Hypothèses!$J$19</f>
        <v>101.184424571948</v>
      </c>
      <c r="AF142" s="2" t="n">
        <f aca="false">Entrées!$C$36*S142*1000</f>
        <v>248.158535749007</v>
      </c>
      <c r="AG142" s="2" t="n">
        <f aca="false">-AF142/W142</f>
        <v>-21.6830304586282</v>
      </c>
      <c r="AH142" s="2" t="n">
        <f aca="false">AD142+AE142+AG142</f>
        <v>7531.46784998847</v>
      </c>
      <c r="AI142" s="2" t="n">
        <f aca="false">Entrées!$C$16-M142+Hypothèses!$J$22*1000-AF142+Hypothèses!$J$23</f>
        <v>22805.22223392</v>
      </c>
      <c r="AJ142" s="2" t="n">
        <f aca="false">AI142/AH142</f>
        <v>3.02799171265863</v>
      </c>
      <c r="AK142" s="2" t="n">
        <f aca="false">AI142/(AH142+I142*(12-Hypothèses!$J$24)/12/Hypothèses!$J$19)</f>
        <v>2.99921024639728</v>
      </c>
      <c r="AL142" s="2" t="n">
        <f aca="false">(AD142+AG142+I142/Hypothèses!$J$19)*(1+G142)</f>
        <v>7997.05488449988</v>
      </c>
      <c r="AM142" s="2" t="n">
        <f aca="false">Entrées!$C$54*K142/Hypothèses!$J$19</f>
        <v>35.9294773554002</v>
      </c>
      <c r="AN142" s="2" t="n">
        <f aca="false">Y142*1000/AC142</f>
        <v>49.7179130168623</v>
      </c>
      <c r="AO142" s="2" t="n">
        <f aca="false">(Entrées!$C$36*(1-S142)+MAX(0,Entrées!$C$30-Entrées!$C$35-Entrées!$C$36)*U142)*1000</f>
        <v>1120.56169646381</v>
      </c>
      <c r="AP142" s="2" t="n">
        <f aca="false">-AO142/W142</f>
        <v>-97.9098837840157</v>
      </c>
      <c r="AQ142" s="2" t="n">
        <f aca="false">AL142+AM142+AN142+AP142</f>
        <v>7984.79239108813</v>
      </c>
      <c r="AR142" s="2" t="n">
        <f aca="false">O142*AQ142-Hypothèses!$J$25/Hypothèses!$J$19</f>
        <v>1393.72438997339</v>
      </c>
      <c r="AS142" s="2" t="n">
        <f aca="false">Entrées!$C$79*(1+Q142)+Hypothèses!$J$20</f>
        <v>1501.21299567304</v>
      </c>
      <c r="AT142" s="2" t="n">
        <f aca="false">AI142-AR142+AS142+Y142*1000-AO142+Hypothèses!$J$23</f>
        <v>22263.4103748522</v>
      </c>
      <c r="AU142" s="2" t="n">
        <f aca="false">AT142/AQ142</f>
        <v>2.78822657927845</v>
      </c>
      <c r="AV142" s="2" t="n">
        <f aca="false">Hypothèses!$J$26*AQ142-AT142</f>
        <v>1690.96679841216</v>
      </c>
      <c r="AW142" s="2" t="n">
        <f aca="false">IF(AC142&gt;Hypothèses!$J$26,MAX(0,AV142)/(1-Hypothèses!$J$26/AC142),0)</f>
        <v>2473.97876290227</v>
      </c>
      <c r="AX142" s="2" t="n">
        <f aca="false">AQ142-Entrées!$C$17*1000</f>
        <v>-15.2076089118736</v>
      </c>
      <c r="AY142" s="2" t="n">
        <f aca="false">AI142+(Entrées!$C$244-Entrées!$C$13)</f>
        <v>28552.22223392</v>
      </c>
      <c r="AZ142" s="2" t="n">
        <f aca="false">AA142*AH142</f>
        <v>5595.21114504515</v>
      </c>
      <c r="BA142" s="2" t="n">
        <f aca="false">AZ142/AY142</f>
        <v>0.195964121433534</v>
      </c>
      <c r="BB142" s="2" t="n">
        <f aca="false">AZ142/(Entrées!$C$151/100)-AY142</f>
        <v>2532.28412744196</v>
      </c>
      <c r="BC142" s="2" t="n">
        <f aca="false">AT142+(Entrées!$C$244-Entrées!$C$13)</f>
        <v>28010.4103748522</v>
      </c>
      <c r="BD142" s="2" t="n">
        <f aca="false">AA142*AQ142</f>
        <v>5931.99098334548</v>
      </c>
      <c r="BE142" s="2" t="n">
        <f aca="false">BD142/BC142</f>
        <v>0.21177808193311</v>
      </c>
      <c r="BF142" s="2" t="n">
        <f aca="false">BD142/(Entrées!$C$151/100)-BC142</f>
        <v>4945.09508817823</v>
      </c>
      <c r="BG142" s="2" t="n">
        <f aca="false">MIN(AV142,BF142)</f>
        <v>1690.96679841216</v>
      </c>
      <c r="BH142" s="2" t="n">
        <f aca="false">IF(AC142&gt;Hypothèses!$J$26,MAX(0,BG142)/(1-Hypothèses!$J$26/AC142),0)</f>
        <v>2473.97876290227</v>
      </c>
    </row>
    <row r="143" customFormat="false" ht="15" hidden="false" customHeight="false" outlineLevel="0" collapsed="false">
      <c r="A143" s="2" t="n">
        <v>128</v>
      </c>
      <c r="B143" s="2" t="n">
        <v>0.935921588</v>
      </c>
      <c r="C143" s="2"/>
      <c r="D143" s="2" t="n">
        <v>0.026328691</v>
      </c>
      <c r="E143" s="2" t="n">
        <f aca="false">IF(E$7=E$5,E$6,IF(NORMSDIST(E$9*SQRT($C$11)*NORMSINV($B143)+SQRT(1-E$9^2*$C$11)*NORMSINV(D143))&lt;E$8,E$5+SQRT(NORMSDIST(E$9*SQRT($C$11)*NORMSINV($B143)+SQRT(1-E$9^2*$C$11)*NORMSINV(D143))*(E$7-E$5)*(E$6-E$5)),E$7-SQRT((1-NORMSDIST(E$9*SQRT($C$11)*NORMSINV($B143)+SQRT(1-E$9^2*$C$11)*NORMSINV(D143)))*(E$7-E$5)*(E$7-E$6))))</f>
        <v>0.0538408178481012</v>
      </c>
      <c r="F143" s="2" t="n">
        <v>0.719374697</v>
      </c>
      <c r="G143" s="2" t="n">
        <f aca="false">IF(G$7=G$5,G$6,IF(NORMSDIST(G$9*SQRT($C$11)*NORMSINV($B143)+SQRT(1-G$9^2*$C$11)*NORMSINV(F143))&lt;G$8,G$5+SQRT(NORMSDIST(G$9*SQRT($C$11)*NORMSINV($B143)+SQRT(1-G$9^2*$C$11)*NORMSINV(F143))*(G$7-G$5)*(G$6-G$5)),G$7-SQRT((1-NORMSDIST(G$9*SQRT($C$11)*NORMSINV($B143)+SQRT(1-G$9^2*$C$11)*NORMSINV(F143)))*(G$7-G$5)*(G$7-G$6))))</f>
        <v>0.0640399710008483</v>
      </c>
      <c r="H143" s="2" t="n">
        <v>0.508590976</v>
      </c>
      <c r="I143" s="2" t="n">
        <f aca="false">IF(I$7=I$5,I$6,IF(NORMSDIST(I$9*SQRT($C$11)*NORMSINV($B143)+SQRT(1-I$9^2*$C$11)*NORMSINV(H143))&lt;I$8,I$5+SQRT(NORMSDIST(I$9*SQRT($C$11)*NORMSINV($B143)+SQRT(1-I$9^2*$C$11)*NORMSINV(H143))*(I$7-I$5)*(I$6-I$5)),I$7-SQRT((1-NORMSDIST(I$9*SQRT($C$11)*NORMSINV($B143)+SQRT(1-I$9^2*$C$11)*NORMSINV(H143)))*(I$7-I$5)*(I$7-I$6))))</f>
        <v>208.552270613963</v>
      </c>
      <c r="J143" s="2" t="n">
        <v>0.131553074</v>
      </c>
      <c r="K143" s="2" t="n">
        <f aca="false">IF(K$7=K$5,K$6,IF(NORMSDIST(K$9*SQRT($C$11)*NORMSINV($B143)+SQRT(1-K$9^2*$C$11)*NORMSINV(J143))&lt;K$8,K$5+SQRT(NORMSDIST(K$9*SQRT($C$11)*NORMSINV($B143)+SQRT(1-K$9^2*$C$11)*NORMSINV(J143))*(K$7-K$5)*(K$6-K$5)),K$7-SQRT((1-NORMSDIST(K$9*SQRT($C$11)*NORMSINV($B143)+SQRT(1-K$9^2*$C$11)*NORMSINV(J143)))*(K$7-K$5)*(K$7-K$6))))</f>
        <v>0.259686960085353</v>
      </c>
      <c r="L143" s="2" t="n">
        <v>0.076233912</v>
      </c>
      <c r="M143" s="2" t="n">
        <f aca="false">IF(M$7=M$5,M$6,IF(NORMSDIST(M$9*SQRT($C$11)*NORMSINV($B143)+SQRT(1-M$9^2*$C$11)*NORMSINV(L143))&lt;M$8,M$5+SQRT(NORMSDIST(M$9*SQRT($C$11)*NORMSINV($B143)+SQRT(1-M$9^2*$C$11)*NORMSINV(L143))*(M$7-M$5)*(M$6-M$5)),M$7-SQRT((1-NORMSDIST(M$9*SQRT($C$11)*NORMSINV($B143)+SQRT(1-M$9^2*$C$11)*NORMSINV(L143)))*(M$7-M$5)*(M$7-M$6))))</f>
        <v>1568.45583360868</v>
      </c>
      <c r="N143" s="2" t="n">
        <v>0.171243701</v>
      </c>
      <c r="O143" s="2" t="n">
        <f aca="false">IF(O$7=O$5,O$6,IF(NORMSDIST(O$9*SQRT($C$11)*NORMSINV($B143)+SQRT(1-O$9^2*$C$11)*NORMSINV(N143))&lt;O$8,O$5+SQRT(NORMSDIST(O$9*SQRT($C$11)*NORMSINV($B143)+SQRT(1-O$9^2*$C$11)*NORMSINV(N143))*(O$7-O$5)*(O$6-O$5)),O$7-SQRT((1-NORMSDIST(O$9*SQRT($C$11)*NORMSINV($B143)+SQRT(1-O$9^2*$C$11)*NORMSINV(N143)))*(O$7-O$5)*(O$7-O$6))))</f>
        <v>0.169095946851736</v>
      </c>
      <c r="P143" s="2" t="n">
        <v>0.969562327</v>
      </c>
      <c r="Q143" s="2" t="n">
        <f aca="false">IF(Q$7=Q$5,Q$6,IF(NORMSDIST(Q$9*SQRT($C$11)*NORMSINV($B143)+SQRT(1-Q$9^2*$C$11)*NORMSINV(P143))&lt;Q$8,Q$5+SQRT(NORMSDIST(Q$9*SQRT($C$11)*NORMSINV($B143)+SQRT(1-Q$9^2*$C$11)*NORMSINV(P143))*(Q$7-Q$5)*(Q$6-Q$5)),Q$7-SQRT((1-NORMSDIST(Q$9*SQRT($C$11)*NORMSINV($B143)+SQRT(1-Q$9^2*$C$11)*NORMSINV(P143)))*(Q$7-Q$5)*(Q$7-Q$6))))</f>
        <v>0.110130828119847</v>
      </c>
      <c r="R143" s="2" t="n">
        <v>0.683690175</v>
      </c>
      <c r="S143" s="2" t="n">
        <f aca="false">IF(S$7=S$5,S$6,IF(NORMSDIST(S$9*SQRT($C$11)*NORMSINV($B143)+SQRT(1-S$9^2*$C$11)*NORMSINV(R143))&lt;S$8,S$5+SQRT(NORMSDIST(S$9*SQRT($C$11)*NORMSINV($B143)+SQRT(1-S$9^2*$C$11)*NORMSINV(R143))*(S$7-S$5)*(S$6-S$5)),S$7-SQRT((1-NORMSDIST(S$9*SQRT($C$11)*NORMSINV($B143)+SQRT(1-S$9^2*$C$11)*NORMSINV(R143)))*(S$7-S$5)*(S$7-S$6))))</f>
        <v>0.786288157514591</v>
      </c>
      <c r="T143" s="2" t="n">
        <v>0.121206666</v>
      </c>
      <c r="U143" s="2" t="n">
        <f aca="false">IF(U$7=U$5,U$6,IF(NORMSDIST(U$9*SQRT($C$11)*NORMSINV($B143)+SQRT(1-U$9^2*$C$11)*NORMSINV(T143))&lt;U$8,U$5+SQRT(NORMSDIST(U$9*SQRT($C$11)*NORMSINV($B143)+SQRT(1-U$9^2*$C$11)*NORMSINV(T143))*(U$7-U$5)*(U$6-U$5)),U$7-SQRT((1-NORMSDIST(U$9*SQRT($C$11)*NORMSINV($B143)+SQRT(1-U$9^2*$C$11)*NORMSINV(T143)))*(U$7-U$5)*(U$7-U$6))))</f>
        <v>0.511442802547105</v>
      </c>
      <c r="V143" s="2" t="n">
        <v>0.675227476</v>
      </c>
      <c r="W143" s="2" t="n">
        <f aca="false">IF(W$7=W$5,W$6,IF(NORMSDIST(W$9*SQRT($C$11)*NORMSINV($B143)+SQRT(1-W$9^2*$C$11)*NORMSINV(V143))&lt;W$8,W$5+SQRT(NORMSDIST(W$9*SQRT($C$11)*NORMSINV($B143)+SQRT(1-W$9^2*$C$11)*NORMSINV(V143))*(W$7-W$5)*(W$6-W$5)),W$7-SQRT((1-NORMSDIST(W$9*SQRT($C$11)*NORMSINV($B143)+SQRT(1-W$9^2*$C$11)*NORMSINV(V143)))*(W$7-W$5)*(W$7-W$6))))</f>
        <v>11.131023690599</v>
      </c>
      <c r="X143" s="2" t="n">
        <v>0.640626635</v>
      </c>
      <c r="Y143" s="2" t="n">
        <f aca="false">IF(Y$7=Y$5,Y$6,IF(NORMSDIST(Y$9*SQRT($C$11)*NORMSINV($B143)+SQRT(1-Y$9^2*$C$11)*NORMSINV(X143))&lt;Y$8,Y$5+SQRT(NORMSDIST(Y$9*SQRT($C$11)*NORMSINV($B143)+SQRT(1-Y$9^2*$C$11)*NORMSINV(X143))*(Y$7-Y$5)*(Y$6-Y$5)),Y$7-SQRT((1-NORMSDIST(Y$9*SQRT($C$11)*NORMSINV($B143)+SQRT(1-Y$9^2*$C$11)*NORMSINV(X143)))*(Y$7-Y$5)*(Y$7-Y$6))))</f>
        <v>0.576105340326161</v>
      </c>
      <c r="Z143" s="2" t="n">
        <v>0.257041271</v>
      </c>
      <c r="AA143" s="2" t="n">
        <f aca="false">IF(AA$7=AA$5,AA$6,IF(NORMSDIST(AA$9*SQRT($C$11)*NORMSINV($B143)+SQRT(1-AA$9^2*$C$11)*NORMSINV(Z143))&lt;AA$8,AA$5+SQRT(NORMSDIST(AA$9*SQRT($C$11)*NORMSINV($B143)+SQRT(1-AA$9^2*$C$11)*NORMSINV(Z143))*(AA$7-AA$5)*(AA$6-AA$5)),AA$7-SQRT((1-NORMSDIST(AA$9*SQRT($C$11)*NORMSINV($B143)+SQRT(1-AA$9^2*$C$11)*NORMSINV(Z143)))*(AA$7-AA$5)*(AA$7-AA$6))))</f>
        <v>0.7334655142684</v>
      </c>
      <c r="AB143" s="2" t="n">
        <v>0.965387253</v>
      </c>
      <c r="AC143" s="2" t="n">
        <f aca="false">IF(AC$7=AC$5,AC$6,IF(NORMSDIST(AC$9*SQRT($C$11)*NORMSINV($B143)+SQRT(1-AC$9^2*$C$11)*NORMSINV(AB143))&lt;AC$8,AC$5+SQRT(NORMSDIST(AC$9*SQRT($C$11)*NORMSINV($B143)+SQRT(1-AC$9^2*$C$11)*NORMSINV(AB143))*(AC$7-AC$5)*(AC$6-AC$5)),AC$7-SQRT((1-NORMSDIST(AC$9*SQRT($C$11)*NORMSINV($B143)+SQRT(1-AC$9^2*$C$11)*NORMSINV(AB143)))*(AC$7-AC$5)*(AC$7-AC$6))))</f>
        <v>10.8038844164154</v>
      </c>
      <c r="AD143" s="2" t="n">
        <f aca="false">Entrées!$C$8*(1+E143)</f>
        <v>7429.57776582911</v>
      </c>
      <c r="AE143" s="2" t="n">
        <f aca="false">I143*Hypothèses!$J$24/12/Hypothèses!$J$19</f>
        <v>103.462113954078</v>
      </c>
      <c r="AF143" s="2" t="n">
        <f aca="false">Entrées!$C$36*S143*1000</f>
        <v>393.144078757295</v>
      </c>
      <c r="AG143" s="2" t="n">
        <f aca="false">-AF143/W143</f>
        <v>-35.31966957265</v>
      </c>
      <c r="AH143" s="2" t="n">
        <f aca="false">AD143+AE143+AG143</f>
        <v>7497.72021021054</v>
      </c>
      <c r="AI143" s="2" t="n">
        <f aca="false">Entrées!$C$16-M143+Hypothèses!$J$22*1000-AF143+Hypothèses!$J$23</f>
        <v>22586.400087634</v>
      </c>
      <c r="AJ143" s="2" t="n">
        <f aca="false">AI143/AH143</f>
        <v>3.01243570770691</v>
      </c>
      <c r="AK143" s="2" t="n">
        <f aca="false">AI143/(AH143+I143*(12-Hypothèses!$J$24)/12/Hypothèses!$J$19)</f>
        <v>2.98303334772301</v>
      </c>
      <c r="AL143" s="2" t="n">
        <f aca="false">(AD143+AG143+I143/Hypothèses!$J$19)*(1+G143)</f>
        <v>8056.50815556731</v>
      </c>
      <c r="AM143" s="2" t="n">
        <f aca="false">Entrées!$C$54*K143/Hypothèses!$J$19</f>
        <v>26.5021446317953</v>
      </c>
      <c r="AN143" s="2" t="n">
        <f aca="false">Y143*1000/AC143</f>
        <v>53.3239081538882</v>
      </c>
      <c r="AO143" s="2" t="n">
        <f aca="false">(Entrées!$C$36*(1-S143)+MAX(0,Entrées!$C$30-Entrées!$C$35-Entrées!$C$36)*U143)*1000</f>
        <v>822.875844808652</v>
      </c>
      <c r="AP143" s="2" t="n">
        <f aca="false">-AO143/W143</f>
        <v>-73.9263402613754</v>
      </c>
      <c r="AQ143" s="2" t="n">
        <f aca="false">AL143+AM143+AN143+AP143</f>
        <v>8062.40786809162</v>
      </c>
      <c r="AR143" s="2" t="n">
        <f aca="false">O143*AQ143-Hypothèses!$J$25/Hypothèses!$J$19</f>
        <v>1344.18533009822</v>
      </c>
      <c r="AS143" s="2" t="n">
        <f aca="false">Entrées!$C$79*(1+Q143)+Hypothèses!$J$20</f>
        <v>1515.03378010371</v>
      </c>
      <c r="AT143" s="2" t="n">
        <f aca="false">AI143-AR143+AS143+Y143*1000-AO143+Hypothèses!$J$23</f>
        <v>22510.478033157</v>
      </c>
      <c r="AU143" s="2" t="n">
        <f aca="false">AT143/AQ143</f>
        <v>2.79202918054371</v>
      </c>
      <c r="AV143" s="2" t="n">
        <f aca="false">Hypothèses!$J$26*AQ143-AT143</f>
        <v>1676.74557111784</v>
      </c>
      <c r="AW143" s="2" t="n">
        <f aca="false">IF(AC143&gt;Hypothèses!$J$26,MAX(0,AV143)/(1-Hypothèses!$J$26/AC143),0)</f>
        <v>2321.32671109122</v>
      </c>
      <c r="AX143" s="2" t="n">
        <f aca="false">AQ143-Entrées!$C$17*1000</f>
        <v>62.4078680916227</v>
      </c>
      <c r="AY143" s="2" t="n">
        <f aca="false">AI143+(Entrées!$C$244-Entrées!$C$13)</f>
        <v>28333.400087634</v>
      </c>
      <c r="AZ143" s="2" t="n">
        <f aca="false">AA143*AH143</f>
        <v>5499.31920982265</v>
      </c>
      <c r="BA143" s="2" t="n">
        <f aca="false">AZ143/AY143</f>
        <v>0.194093161880095</v>
      </c>
      <c r="BB143" s="2" t="n">
        <f aca="false">AZ143/(Entrées!$C$151/100)-AY143</f>
        <v>2218.37330026959</v>
      </c>
      <c r="BC143" s="2" t="n">
        <f aca="false">AT143+(Entrées!$C$244-Entrées!$C$13)</f>
        <v>28257.478033157</v>
      </c>
      <c r="BD143" s="2" t="n">
        <f aca="false">AA143*AQ143</f>
        <v>5913.49813321142</v>
      </c>
      <c r="BE143" s="2" t="n">
        <f aca="false">BD143/BC143</f>
        <v>0.209271971344102</v>
      </c>
      <c r="BF143" s="2" t="n">
        <f aca="false">BD143/(Entrées!$C$151/100)-BC143</f>
        <v>4595.28937357307</v>
      </c>
      <c r="BG143" s="2" t="n">
        <f aca="false">MIN(AV143,BF143)</f>
        <v>1676.74557111784</v>
      </c>
      <c r="BH143" s="2" t="n">
        <f aca="false">IF(AC143&gt;Hypothèses!$J$26,MAX(0,BG143)/(1-Hypothèses!$J$26/AC143),0)</f>
        <v>2321.32671109122</v>
      </c>
    </row>
    <row r="144" customFormat="false" ht="15" hidden="false" customHeight="false" outlineLevel="0" collapsed="false">
      <c r="A144" s="2" t="n">
        <v>129</v>
      </c>
      <c r="B144" s="2" t="n">
        <v>0.94904159</v>
      </c>
      <c r="C144" s="2"/>
      <c r="D144" s="2" t="n">
        <v>0.541948066</v>
      </c>
      <c r="E144" s="2" t="n">
        <f aca="false">IF(E$7=E$5,E$6,IF(NORMSDIST(E$9*SQRT($C$11)*NORMSINV($B144)+SQRT(1-E$9^2*$C$11)*NORMSINV(D144))&lt;E$8,E$5+SQRT(NORMSDIST(E$9*SQRT($C$11)*NORMSINV($B144)+SQRT(1-E$9^2*$C$11)*NORMSINV(D144))*(E$7-E$5)*(E$6-E$5)),E$7-SQRT((1-NORMSDIST(E$9*SQRT($C$11)*NORMSINV($B144)+SQRT(1-E$9^2*$C$11)*NORMSINV(D144)))*(E$7-E$5)*(E$7-E$6))))</f>
        <v>0.0574290294822277</v>
      </c>
      <c r="F144" s="2" t="n">
        <v>0.486003782</v>
      </c>
      <c r="G144" s="2" t="n">
        <f aca="false">IF(G$7=G$5,G$6,IF(NORMSDIST(G$9*SQRT($C$11)*NORMSINV($B144)+SQRT(1-G$9^2*$C$11)*NORMSINV(F144))&lt;G$8,G$5+SQRT(NORMSDIST(G$9*SQRT($C$11)*NORMSINV($B144)+SQRT(1-G$9^2*$C$11)*NORMSINV(F144))*(G$7-G$5)*(G$6-G$5)),G$7-SQRT((1-NORMSDIST(G$9*SQRT($C$11)*NORMSINV($B144)+SQRT(1-G$9^2*$C$11)*NORMSINV(F144)))*(G$7-G$5)*(G$7-G$6))))</f>
        <v>0.0615973375335435</v>
      </c>
      <c r="H144" s="2" t="n">
        <v>0.436262769</v>
      </c>
      <c r="I144" s="2" t="n">
        <f aca="false">IF(I$7=I$5,I$6,IF(NORMSDIST(I$9*SQRT($C$11)*NORMSINV($B144)+SQRT(1-I$9^2*$C$11)*NORMSINV(H144))&lt;I$8,I$5+SQRT(NORMSDIST(I$9*SQRT($C$11)*NORMSINV($B144)+SQRT(1-I$9^2*$C$11)*NORMSINV(H144))*(I$7-I$5)*(I$6-I$5)),I$7-SQRT((1-NORMSDIST(I$9*SQRT($C$11)*NORMSINV($B144)+SQRT(1-I$9^2*$C$11)*NORMSINV(H144)))*(I$7-I$5)*(I$7-I$6))))</f>
        <v>207.954615835008</v>
      </c>
      <c r="J144" s="2" t="n">
        <v>0.528304514</v>
      </c>
      <c r="K144" s="2" t="n">
        <f aca="false">IF(K$7=K$5,K$6,IF(NORMSDIST(K$9*SQRT($C$11)*NORMSINV($B144)+SQRT(1-K$9^2*$C$11)*NORMSINV(J144))&lt;K$8,K$5+SQRT(NORMSDIST(K$9*SQRT($C$11)*NORMSINV($B144)+SQRT(1-K$9^2*$C$11)*NORMSINV(J144))*(K$7-K$5)*(K$6-K$5)),K$7-SQRT((1-NORMSDIST(K$9*SQRT($C$11)*NORMSINV($B144)+SQRT(1-K$9^2*$C$11)*NORMSINV(J144)))*(K$7-K$5)*(K$7-K$6))))</f>
        <v>0.36867310687776</v>
      </c>
      <c r="L144" s="2" t="n">
        <v>0.473449615</v>
      </c>
      <c r="M144" s="2" t="n">
        <f aca="false">IF(M$7=M$5,M$6,IF(NORMSDIST(M$9*SQRT($C$11)*NORMSINV($B144)+SQRT(1-M$9^2*$C$11)*NORMSINV(L144))&lt;M$8,M$5+SQRT(NORMSDIST(M$9*SQRT($C$11)*NORMSINV($B144)+SQRT(1-M$9^2*$C$11)*NORMSINV(L144))*(M$7-M$5)*(M$6-M$5)),M$7-SQRT((1-NORMSDIST(M$9*SQRT($C$11)*NORMSINV($B144)+SQRT(1-M$9^2*$C$11)*NORMSINV(L144)))*(M$7-M$5)*(M$7-M$6))))</f>
        <v>1678.04425945927</v>
      </c>
      <c r="N144" s="2" t="n">
        <v>0.478335538</v>
      </c>
      <c r="O144" s="2" t="n">
        <f aca="false">IF(O$7=O$5,O$6,IF(NORMSDIST(O$9*SQRT($C$11)*NORMSINV($B144)+SQRT(1-O$9^2*$C$11)*NORMSINV(N144))&lt;O$8,O$5+SQRT(NORMSDIST(O$9*SQRT($C$11)*NORMSINV($B144)+SQRT(1-O$9^2*$C$11)*NORMSINV(N144))*(O$7-O$5)*(O$6-O$5)),O$7-SQRT((1-NORMSDIST(O$9*SQRT($C$11)*NORMSINV($B144)+SQRT(1-O$9^2*$C$11)*NORMSINV(N144)))*(O$7-O$5)*(O$7-O$6))))</f>
        <v>0.176924509945392</v>
      </c>
      <c r="P144" s="2" t="n">
        <v>0.623010912</v>
      </c>
      <c r="Q144" s="2" t="n">
        <f aca="false">IF(Q$7=Q$5,Q$6,IF(NORMSDIST(Q$9*SQRT($C$11)*NORMSINV($B144)+SQRT(1-Q$9^2*$C$11)*NORMSINV(P144))&lt;Q$8,Q$5+SQRT(NORMSDIST(Q$9*SQRT($C$11)*NORMSINV($B144)+SQRT(1-Q$9^2*$C$11)*NORMSINV(P144))*(Q$7-Q$5)*(Q$6-Q$5)),Q$7-SQRT((1-NORMSDIST(Q$9*SQRT($C$11)*NORMSINV($B144)+SQRT(1-Q$9^2*$C$11)*NORMSINV(P144)))*(Q$7-Q$5)*(Q$7-Q$6))))</f>
        <v>0.0852672333149229</v>
      </c>
      <c r="R144" s="2" t="n">
        <v>0.814948239</v>
      </c>
      <c r="S144" s="2" t="n">
        <f aca="false">IF(S$7=S$5,S$6,IF(NORMSDIST(S$9*SQRT($C$11)*NORMSINV($B144)+SQRT(1-S$9^2*$C$11)*NORMSINV(R144))&lt;S$8,S$5+SQRT(NORMSDIST(S$9*SQRT($C$11)*NORMSINV($B144)+SQRT(1-S$9^2*$C$11)*NORMSINV(R144))*(S$7-S$5)*(S$6-S$5)),S$7-SQRT((1-NORMSDIST(S$9*SQRT($C$11)*NORMSINV($B144)+SQRT(1-S$9^2*$C$11)*NORMSINV(R144)))*(S$7-S$5)*(S$7-S$6))))</f>
        <v>0.855207566265192</v>
      </c>
      <c r="T144" s="2" t="n">
        <v>0.414542103</v>
      </c>
      <c r="U144" s="2" t="n">
        <f aca="false">IF(U$7=U$5,U$6,IF(NORMSDIST(U$9*SQRT($C$11)*NORMSINV($B144)+SQRT(1-U$9^2*$C$11)*NORMSINV(T144))&lt;U$8,U$5+SQRT(NORMSDIST(U$9*SQRT($C$11)*NORMSINV($B144)+SQRT(1-U$9^2*$C$11)*NORMSINV(T144))*(U$7-U$5)*(U$6-U$5)),U$7-SQRT((1-NORMSDIST(U$9*SQRT($C$11)*NORMSINV($B144)+SQRT(1-U$9^2*$C$11)*NORMSINV(T144)))*(U$7-U$5)*(U$7-U$6))))</f>
        <v>0.689433282759025</v>
      </c>
      <c r="V144" s="2" t="n">
        <v>0.782556229</v>
      </c>
      <c r="W144" s="2" t="n">
        <f aca="false">IF(W$7=W$5,W$6,IF(NORMSDIST(W$9*SQRT($C$11)*NORMSINV($B144)+SQRT(1-W$9^2*$C$11)*NORMSINV(V144))&lt;W$8,W$5+SQRT(NORMSDIST(W$9*SQRT($C$11)*NORMSINV($B144)+SQRT(1-W$9^2*$C$11)*NORMSINV(V144))*(W$7-W$5)*(W$6-W$5)),W$7-SQRT((1-NORMSDIST(W$9*SQRT($C$11)*NORMSINV($B144)+SQRT(1-W$9^2*$C$11)*NORMSINV(V144)))*(W$7-W$5)*(W$7-W$6))))</f>
        <v>11.3639235476556</v>
      </c>
      <c r="X144" s="2" t="n">
        <v>0.709936991</v>
      </c>
      <c r="Y144" s="2" t="n">
        <f aca="false">IF(Y$7=Y$5,Y$6,IF(NORMSDIST(Y$9*SQRT($C$11)*NORMSINV($B144)+SQRT(1-Y$9^2*$C$11)*NORMSINV(X144))&lt;Y$8,Y$5+SQRT(NORMSDIST(Y$9*SQRT($C$11)*NORMSINV($B144)+SQRT(1-Y$9^2*$C$11)*NORMSINV(X144))*(Y$7-Y$5)*(Y$6-Y$5)),Y$7-SQRT((1-NORMSDIST(Y$9*SQRT($C$11)*NORMSINV($B144)+SQRT(1-Y$9^2*$C$11)*NORMSINV(X144)))*(Y$7-Y$5)*(Y$7-Y$6))))</f>
        <v>0.619169979518421</v>
      </c>
      <c r="Z144" s="2" t="n">
        <v>0.947476034</v>
      </c>
      <c r="AA144" s="2" t="n">
        <f aca="false">IF(AA$7=AA$5,AA$6,IF(NORMSDIST(AA$9*SQRT($C$11)*NORMSINV($B144)+SQRT(1-AA$9^2*$C$11)*NORMSINV(Z144))&lt;AA$8,AA$5+SQRT(NORMSDIST(AA$9*SQRT($C$11)*NORMSINV($B144)+SQRT(1-AA$9^2*$C$11)*NORMSINV(Z144))*(AA$7-AA$5)*(AA$6-AA$5)),AA$7-SQRT((1-NORMSDIST(AA$9*SQRT($C$11)*NORMSINV($B144)+SQRT(1-AA$9^2*$C$11)*NORMSINV(Z144)))*(AA$7-AA$5)*(AA$7-AA$6))))</f>
        <v>0.750109751945544</v>
      </c>
      <c r="AB144" s="2" t="n">
        <v>0.315719123</v>
      </c>
      <c r="AC144" s="2" t="n">
        <f aca="false">IF(AC$7=AC$5,AC$6,IF(NORMSDIST(AC$9*SQRT($C$11)*NORMSINV($B144)+SQRT(1-AC$9^2*$C$11)*NORMSINV(AB144))&lt;AC$8,AC$5+SQRT(NORMSDIST(AC$9*SQRT($C$11)*NORMSINV($B144)+SQRT(1-AC$9^2*$C$11)*NORMSINV(AB144))*(AC$7-AC$5)*(AC$6-AC$5)),AC$7-SQRT((1-NORMSDIST(AC$9*SQRT($C$11)*NORMSINV($B144)+SQRT(1-AC$9^2*$C$11)*NORMSINV(AB144)))*(AC$7-AC$5)*(AC$7-AC$6))))</f>
        <v>9.95310456945153</v>
      </c>
      <c r="AD144" s="2" t="n">
        <f aca="false">Entrées!$C$8*(1+E144)</f>
        <v>7454.87465784971</v>
      </c>
      <c r="AE144" s="2" t="n">
        <f aca="false">I144*Hypothèses!$J$24/12/Hypothèses!$J$19</f>
        <v>103.165619331107</v>
      </c>
      <c r="AF144" s="2" t="n">
        <f aca="false">Entrées!$C$36*S144*1000</f>
        <v>427.603783132596</v>
      </c>
      <c r="AG144" s="2" t="n">
        <f aca="false">-AF144/W144</f>
        <v>-37.6281819689653</v>
      </c>
      <c r="AH144" s="2" t="n">
        <f aca="false">AD144+AE144+AG144</f>
        <v>7520.41209521185</v>
      </c>
      <c r="AI144" s="2" t="n">
        <f aca="false">Entrées!$C$16-M144+Hypothèses!$J$22*1000-AF144+Hypothèses!$J$23</f>
        <v>22442.3519574081</v>
      </c>
      <c r="AJ144" s="2" t="n">
        <f aca="false">AI144/AH144</f>
        <v>2.98419178008834</v>
      </c>
      <c r="AK144" s="2" t="n">
        <f aca="false">AI144/(AH144+I144*(12-Hypothèses!$J$24)/12/Hypothèses!$J$19)</f>
        <v>2.95523453327093</v>
      </c>
      <c r="AL144" s="2" t="n">
        <f aca="false">(AD144+AG144+I144/Hypothèses!$J$19)*(1+G144)</f>
        <v>8061.87827657974</v>
      </c>
      <c r="AM144" s="2" t="n">
        <f aca="false">Entrées!$C$54*K144/Hypothèses!$J$19</f>
        <v>37.6246385152197</v>
      </c>
      <c r="AN144" s="2" t="n">
        <f aca="false">Y144*1000/AC144</f>
        <v>62.2087284623536</v>
      </c>
      <c r="AO144" s="2" t="n">
        <f aca="false">(Entrées!$C$36*(1-S144)+MAX(0,Entrées!$C$30-Entrées!$C$35-Entrées!$C$36)*U144)*1000</f>
        <v>1037.60281273004</v>
      </c>
      <c r="AP144" s="2" t="n">
        <f aca="false">-AO144/W144</f>
        <v>-91.3067399986246</v>
      </c>
      <c r="AQ144" s="2" t="n">
        <f aca="false">AL144+AM144+AN144+AP144</f>
        <v>8070.40490355869</v>
      </c>
      <c r="AR144" s="2" t="n">
        <f aca="false">O144*AQ144-Hypothèses!$J$25/Hypothèses!$J$19</f>
        <v>1408.71727036138</v>
      </c>
      <c r="AS144" s="2" t="n">
        <f aca="false">Entrées!$C$79*(1+Q144)+Hypothèses!$J$20</f>
        <v>1487.7086894131</v>
      </c>
      <c r="AT144" s="2" t="n">
        <f aca="false">AI144-AR144+AS144+Y144*1000-AO144+Hypothèses!$J$23</f>
        <v>22102.9105432482</v>
      </c>
      <c r="AU144" s="2" t="n">
        <f aca="false">AT144/AQ144</f>
        <v>2.73876104202676</v>
      </c>
      <c r="AV144" s="2" t="n">
        <f aca="false">Hypothèses!$J$26*AQ144-AT144</f>
        <v>2108.30416742784</v>
      </c>
      <c r="AW144" s="2" t="n">
        <f aca="false">IF(AC144&gt;Hypothèses!$J$26,MAX(0,AV144)/(1-Hypothèses!$J$26/AC144),0)</f>
        <v>3017.95717769206</v>
      </c>
      <c r="AX144" s="2" t="n">
        <f aca="false">AQ144-Entrées!$C$17*1000</f>
        <v>70.4049035586904</v>
      </c>
      <c r="AY144" s="2" t="n">
        <f aca="false">AI144+(Entrées!$C$244-Entrées!$C$13)</f>
        <v>28189.3519574081</v>
      </c>
      <c r="AZ144" s="2" t="n">
        <f aca="false">AA144*AH144</f>
        <v>5641.13445126763</v>
      </c>
      <c r="BA144" s="2" t="n">
        <f aca="false">AZ144/AY144</f>
        <v>0.200115790522284</v>
      </c>
      <c r="BB144" s="2" t="n">
        <f aca="false">AZ144/(Entrées!$C$151/100)-AY144</f>
        <v>3150.28388296757</v>
      </c>
      <c r="BC144" s="2" t="n">
        <f aca="false">AT144+(Entrées!$C$244-Entrées!$C$13)</f>
        <v>27849.9105432482</v>
      </c>
      <c r="BD144" s="2" t="n">
        <f aca="false">AA144*AQ144</f>
        <v>6053.68942030851</v>
      </c>
      <c r="BE144" s="2" t="n">
        <f aca="false">BD144/BC144</f>
        <v>0.217368361413862</v>
      </c>
      <c r="BF144" s="2" t="n">
        <f aca="false">BD144/(Entrées!$C$151/100)-BC144</f>
        <v>5781.69734735461</v>
      </c>
      <c r="BG144" s="2" t="n">
        <f aca="false">MIN(AV144,BF144)</f>
        <v>2108.30416742784</v>
      </c>
      <c r="BH144" s="2" t="n">
        <f aca="false">IF(AC144&gt;Hypothèses!$J$26,MAX(0,BG144)/(1-Hypothèses!$J$26/AC144),0)</f>
        <v>3017.95717769206</v>
      </c>
    </row>
    <row r="145" customFormat="false" ht="15" hidden="false" customHeight="false" outlineLevel="0" collapsed="false">
      <c r="A145" s="2" t="n">
        <v>130</v>
      </c>
      <c r="B145" s="2" t="n">
        <v>0.348636282</v>
      </c>
      <c r="C145" s="2"/>
      <c r="D145" s="2" t="n">
        <v>0.329402676</v>
      </c>
      <c r="E145" s="2" t="n">
        <f aca="false">IF(E$7=E$5,E$6,IF(NORMSDIST(E$9*SQRT($C$11)*NORMSINV($B145)+SQRT(1-E$9^2*$C$11)*NORMSINV(D145))&lt;E$8,E$5+SQRT(NORMSDIST(E$9*SQRT($C$11)*NORMSINV($B145)+SQRT(1-E$9^2*$C$11)*NORMSINV(D145))*(E$7-E$5)*(E$6-E$5)),E$7-SQRT((1-NORMSDIST(E$9*SQRT($C$11)*NORMSINV($B145)+SQRT(1-E$9^2*$C$11)*NORMSINV(D145)))*(E$7-E$5)*(E$7-E$6))))</f>
        <v>0.053729916010863</v>
      </c>
      <c r="F145" s="2" t="n">
        <v>0.492554146</v>
      </c>
      <c r="G145" s="2" t="n">
        <f aca="false">IF(G$7=G$5,G$6,IF(NORMSDIST(G$9*SQRT($C$11)*NORMSINV($B145)+SQRT(1-G$9^2*$C$11)*NORMSINV(F145))&lt;G$8,G$5+SQRT(NORMSDIST(G$9*SQRT($C$11)*NORMSINV($B145)+SQRT(1-G$9^2*$C$11)*NORMSINV(F145))*(G$7-G$5)*(G$6-G$5)),G$7-SQRT((1-NORMSDIST(G$9*SQRT($C$11)*NORMSINV($B145)+SQRT(1-G$9^2*$C$11)*NORMSINV(F145)))*(G$7-G$5)*(G$7-G$6))))</f>
        <v>0.0533701150484058</v>
      </c>
      <c r="H145" s="2" t="n">
        <v>0.602469246</v>
      </c>
      <c r="I145" s="2" t="n">
        <f aca="false">IF(I$7=I$5,I$6,IF(NORMSDIST(I$9*SQRT($C$11)*NORMSINV($B145)+SQRT(1-I$9^2*$C$11)*NORMSINV(H145))&lt;I$8,I$5+SQRT(NORMSDIST(I$9*SQRT($C$11)*NORMSINV($B145)+SQRT(1-I$9^2*$C$11)*NORMSINV(H145))*(I$7-I$5)*(I$6-I$5)),I$7-SQRT((1-NORMSDIST(I$9*SQRT($C$11)*NORMSINV($B145)+SQRT(1-I$9^2*$C$11)*NORMSINV(H145)))*(I$7-I$5)*(I$7-I$6))))</f>
        <v>199.639159536713</v>
      </c>
      <c r="J145" s="2" t="n">
        <v>0.306605866</v>
      </c>
      <c r="K145" s="2" t="n">
        <f aca="false">IF(K$7=K$5,K$6,IF(NORMSDIST(K$9*SQRT($C$11)*NORMSINV($B145)+SQRT(1-K$9^2*$C$11)*NORMSINV(J145))&lt;K$8,K$5+SQRT(NORMSDIST(K$9*SQRT($C$11)*NORMSINV($B145)+SQRT(1-K$9^2*$C$11)*NORMSINV(J145))*(K$7-K$5)*(K$6-K$5)),K$7-SQRT((1-NORMSDIST(K$9*SQRT($C$11)*NORMSINV($B145)+SQRT(1-K$9^2*$C$11)*NORMSINV(J145)))*(K$7-K$5)*(K$7-K$6))))</f>
        <v>0.180925664105866</v>
      </c>
      <c r="L145" s="2" t="n">
        <v>0.042807395</v>
      </c>
      <c r="M145" s="2" t="n">
        <f aca="false">IF(M$7=M$5,M$6,IF(NORMSDIST(M$9*SQRT($C$11)*NORMSINV($B145)+SQRT(1-M$9^2*$C$11)*NORMSINV(L145))&lt;M$8,M$5+SQRT(NORMSDIST(M$9*SQRT($C$11)*NORMSINV($B145)+SQRT(1-M$9^2*$C$11)*NORMSINV(L145))*(M$7-M$5)*(M$6-M$5)),M$7-SQRT((1-NORMSDIST(M$9*SQRT($C$11)*NORMSINV($B145)+SQRT(1-M$9^2*$C$11)*NORMSINV(L145)))*(M$7-M$5)*(M$7-M$6))))</f>
        <v>1398.74351663964</v>
      </c>
      <c r="N145" s="2" t="n">
        <v>0.345787006</v>
      </c>
      <c r="O145" s="2" t="n">
        <f aca="false">IF(O$7=O$5,O$6,IF(NORMSDIST(O$9*SQRT($C$11)*NORMSINV($B145)+SQRT(1-O$9^2*$C$11)*NORMSINV(N145))&lt;O$8,O$5+SQRT(NORMSDIST(O$9*SQRT($C$11)*NORMSINV($B145)+SQRT(1-O$9^2*$C$11)*NORMSINV(N145))*(O$7-O$5)*(O$6-O$5)),O$7-SQRT((1-NORMSDIST(O$9*SQRT($C$11)*NORMSINV($B145)+SQRT(1-O$9^2*$C$11)*NORMSINV(N145)))*(O$7-O$5)*(O$7-O$6))))</f>
        <v>0.160399167421248</v>
      </c>
      <c r="P145" s="2" t="n">
        <v>0.385583139</v>
      </c>
      <c r="Q145" s="2" t="n">
        <f aca="false">IF(Q$7=Q$5,Q$6,IF(NORMSDIST(Q$9*SQRT($C$11)*NORMSINV($B145)+SQRT(1-Q$9^2*$C$11)*NORMSINV(P145))&lt;Q$8,Q$5+SQRT(NORMSDIST(Q$9*SQRT($C$11)*NORMSINV($B145)+SQRT(1-Q$9^2*$C$11)*NORMSINV(P145))*(Q$7-Q$5)*(Q$6-Q$5)),Q$7-SQRT((1-NORMSDIST(Q$9*SQRT($C$11)*NORMSINV($B145)+SQRT(1-Q$9^2*$C$11)*NORMSINV(P145)))*(Q$7-Q$5)*(Q$7-Q$6))))</f>
        <v>0.0751264294342593</v>
      </c>
      <c r="R145" s="2" t="n">
        <v>0.071768106</v>
      </c>
      <c r="S145" s="2" t="n">
        <f aca="false">IF(S$7=S$5,S$6,IF(NORMSDIST(S$9*SQRT($C$11)*NORMSINV($B145)+SQRT(1-S$9^2*$C$11)*NORMSINV(R145))&lt;S$8,S$5+SQRT(NORMSDIST(S$9*SQRT($C$11)*NORMSINV($B145)+SQRT(1-S$9^2*$C$11)*NORMSINV(R145))*(S$7-S$5)*(S$6-S$5)),S$7-SQRT((1-NORMSDIST(S$9*SQRT($C$11)*NORMSINV($B145)+SQRT(1-S$9^2*$C$11)*NORMSINV(R145)))*(S$7-S$5)*(S$7-S$6))))</f>
        <v>0.204861949605706</v>
      </c>
      <c r="T145" s="2" t="n">
        <v>0.744707316</v>
      </c>
      <c r="U145" s="2" t="n">
        <f aca="false">IF(U$7=U$5,U$6,IF(NORMSDIST(U$9*SQRT($C$11)*NORMSINV($B145)+SQRT(1-U$9^2*$C$11)*NORMSINV(T145))&lt;U$8,U$5+SQRT(NORMSDIST(U$9*SQRT($C$11)*NORMSINV($B145)+SQRT(1-U$9^2*$C$11)*NORMSINV(T145))*(U$7-U$5)*(U$6-U$5)),U$7-SQRT((1-NORMSDIST(U$9*SQRT($C$11)*NORMSINV($B145)+SQRT(1-U$9^2*$C$11)*NORMSINV(T145)))*(U$7-U$5)*(U$7-U$6))))</f>
        <v>0.555003197006007</v>
      </c>
      <c r="V145" s="2" t="n">
        <v>0.311522116</v>
      </c>
      <c r="W145" s="2" t="n">
        <f aca="false">IF(W$7=W$5,W$6,IF(NORMSDIST(W$9*SQRT($C$11)*NORMSINV($B145)+SQRT(1-W$9^2*$C$11)*NORMSINV(V145))&lt;W$8,W$5+SQRT(NORMSDIST(W$9*SQRT($C$11)*NORMSINV($B145)+SQRT(1-W$9^2*$C$11)*NORMSINV(V145))*(W$7-W$5)*(W$6-W$5)),W$7-SQRT((1-NORMSDIST(W$9*SQRT($C$11)*NORMSINV($B145)+SQRT(1-W$9^2*$C$11)*NORMSINV(V145)))*(W$7-W$5)*(W$7-W$6))))</f>
        <v>9.45713069771549</v>
      </c>
      <c r="X145" s="2" t="n">
        <v>0.876587279</v>
      </c>
      <c r="Y145" s="2" t="n">
        <f aca="false">IF(Y$7=Y$5,Y$6,IF(NORMSDIST(Y$9*SQRT($C$11)*NORMSINV($B145)+SQRT(1-Y$9^2*$C$11)*NORMSINV(X145))&lt;Y$8,Y$5+SQRT(NORMSDIST(Y$9*SQRT($C$11)*NORMSINV($B145)+SQRT(1-Y$9^2*$C$11)*NORMSINV(X145))*(Y$7-Y$5)*(Y$6-Y$5)),Y$7-SQRT((1-NORMSDIST(Y$9*SQRT($C$11)*NORMSINV($B145)+SQRT(1-Y$9^2*$C$11)*NORMSINV(X145)))*(Y$7-Y$5)*(Y$7-Y$6))))</f>
        <v>0.751592350158052</v>
      </c>
      <c r="Z145" s="2" t="n">
        <v>0.828686318</v>
      </c>
      <c r="AA145" s="2" t="n">
        <f aca="false">IF(AA$7=AA$5,AA$6,IF(NORMSDIST(AA$9*SQRT($C$11)*NORMSINV($B145)+SQRT(1-AA$9^2*$C$11)*NORMSINV(Z145))&lt;AA$8,AA$5+SQRT(NORMSDIST(AA$9*SQRT($C$11)*NORMSINV($B145)+SQRT(1-AA$9^2*$C$11)*NORMSINV(Z145))*(AA$7-AA$5)*(AA$6-AA$5)),AA$7-SQRT((1-NORMSDIST(AA$9*SQRT($C$11)*NORMSINV($B145)+SQRT(1-AA$9^2*$C$11)*NORMSINV(Z145)))*(AA$7-AA$5)*(AA$7-AA$6))))</f>
        <v>0.733831173794144</v>
      </c>
      <c r="AB145" s="2" t="n">
        <v>0.96953171</v>
      </c>
      <c r="AC145" s="2" t="n">
        <f aca="false">IF(AC$7=AC$5,AC$6,IF(NORMSDIST(AC$9*SQRT($C$11)*NORMSINV($B145)+SQRT(1-AC$9^2*$C$11)*NORMSINV(AB145))&lt;AC$8,AC$5+SQRT(NORMSDIST(AC$9*SQRT($C$11)*NORMSINV($B145)+SQRT(1-AC$9^2*$C$11)*NORMSINV(AB145))*(AC$7-AC$5)*(AC$6-AC$5)),AC$7-SQRT((1-NORMSDIST(AC$9*SQRT($C$11)*NORMSINV($B145)+SQRT(1-AC$9^2*$C$11)*NORMSINV(AB145)))*(AC$7-AC$5)*(AC$7-AC$6))))</f>
        <v>10.2982334842597</v>
      </c>
      <c r="AD145" s="2" t="n">
        <f aca="false">Entrées!$C$8*(1+E145)</f>
        <v>7428.79590787658</v>
      </c>
      <c r="AE145" s="2" t="n">
        <f aca="false">I145*Hypothèses!$J$24/12/Hypothèses!$J$19</f>
        <v>99.0403480761759</v>
      </c>
      <c r="AF145" s="2" t="n">
        <f aca="false">Entrées!$C$36*S145*1000</f>
        <v>102.430974802853</v>
      </c>
      <c r="AG145" s="2" t="n">
        <f aca="false">-AF145/W145</f>
        <v>-10.8310837691602</v>
      </c>
      <c r="AH145" s="2" t="n">
        <f aca="false">AD145+AE145+AG145</f>
        <v>7517.0051721836</v>
      </c>
      <c r="AI145" s="2" t="n">
        <f aca="false">Entrées!$C$16-M145+Hypothèses!$J$22*1000-AF145+Hypothèses!$J$23</f>
        <v>23046.8255085575</v>
      </c>
      <c r="AJ145" s="2" t="n">
        <f aca="false">AI145/AH145</f>
        <v>3.06595844763303</v>
      </c>
      <c r="AK145" s="2" t="n">
        <f aca="false">AI145/(AH145+I145*(12-Hypothèses!$J$24)/12/Hypothèses!$J$19)</f>
        <v>3.03737349531278</v>
      </c>
      <c r="AL145" s="2" t="n">
        <f aca="false">(AD145+AG145+I145/Hypothèses!$J$19)*(1+G145)</f>
        <v>7992.70727650495</v>
      </c>
      <c r="AM145" s="2" t="n">
        <f aca="false">Entrées!$C$54*K145/Hypothèses!$J$19</f>
        <v>18.464223679777</v>
      </c>
      <c r="AN145" s="2" t="n">
        <f aca="false">Y145*1000/AC145</f>
        <v>72.982648073266</v>
      </c>
      <c r="AO145" s="2" t="n">
        <f aca="false">(Entrées!$C$36*(1-S145)+MAX(0,Entrées!$C$30-Entrées!$C$35-Entrées!$C$36)*U145)*1000</f>
        <v>1174.57350100556</v>
      </c>
      <c r="AP145" s="2" t="n">
        <f aca="false">-AO145/W145</f>
        <v>-124.199774598578</v>
      </c>
      <c r="AQ145" s="2" t="n">
        <f aca="false">AL145+AM145+AN145+AP145</f>
        <v>7959.95437365942</v>
      </c>
      <c r="AR145" s="2" t="n">
        <f aca="false">O145*AQ145-Hypothèses!$J$25/Hypothèses!$J$19</f>
        <v>1257.63489198447</v>
      </c>
      <c r="AS145" s="2" t="n">
        <f aca="false">Entrées!$C$79*(1+Q145)+Hypothèses!$J$20</f>
        <v>1476.56394594825</v>
      </c>
      <c r="AT145" s="2" t="n">
        <f aca="false">AI145-AR145+AS145+Y145*1000-AO145+Hypothèses!$J$23</f>
        <v>22842.7734116738</v>
      </c>
      <c r="AU145" s="2" t="n">
        <f aca="false">AT145/AQ145</f>
        <v>2.86971160127044</v>
      </c>
      <c r="AV145" s="2" t="n">
        <f aca="false">Hypothèses!$J$26*AQ145-AT145</f>
        <v>1037.08970930447</v>
      </c>
      <c r="AW145" s="2" t="n">
        <f aca="false">IF(AC145&gt;Hypothèses!$J$26,MAX(0,AV145)/(1-Hypothèses!$J$26/AC145),0)</f>
        <v>1463.39412045047</v>
      </c>
      <c r="AX145" s="2" t="n">
        <f aca="false">AQ145-Entrées!$C$17*1000</f>
        <v>-40.0456263405804</v>
      </c>
      <c r="AY145" s="2" t="n">
        <f aca="false">AI145+(Entrées!$C$244-Entrées!$C$13)</f>
        <v>28793.8255085575</v>
      </c>
      <c r="AZ145" s="2" t="n">
        <f aca="false">AA145*AH145</f>
        <v>5516.21272892014</v>
      </c>
      <c r="BA145" s="2" t="n">
        <f aca="false">AZ145/AY145</f>
        <v>0.191576236623394</v>
      </c>
      <c r="BB145" s="2" t="n">
        <f aca="false">AZ145/(Entrées!$C$151/100)-AY145</f>
        <v>1851.80076322105</v>
      </c>
      <c r="BC145" s="2" t="n">
        <f aca="false">AT145+(Entrées!$C$244-Entrées!$C$13)</f>
        <v>28589.7734116738</v>
      </c>
      <c r="BD145" s="2" t="n">
        <f aca="false">AA145*AQ145</f>
        <v>5841.26266137032</v>
      </c>
      <c r="BE145" s="2" t="n">
        <f aca="false">BD145/BC145</f>
        <v>0.204313010014456</v>
      </c>
      <c r="BF145" s="2" t="n">
        <f aca="false">BD145/(Entrées!$C$151/100)-BC145</f>
        <v>3861.68581816133</v>
      </c>
      <c r="BG145" s="2" t="n">
        <f aca="false">MIN(AV145,BF145)</f>
        <v>1037.08970930447</v>
      </c>
      <c r="BH145" s="2" t="n">
        <f aca="false">IF(AC145&gt;Hypothèses!$J$26,MAX(0,BG145)/(1-Hypothèses!$J$26/AC145),0)</f>
        <v>1463.39412045047</v>
      </c>
    </row>
    <row r="146" customFormat="false" ht="15" hidden="false" customHeight="false" outlineLevel="0" collapsed="false">
      <c r="A146" s="2" t="n">
        <v>131</v>
      </c>
      <c r="B146" s="2" t="n">
        <v>0.773370447</v>
      </c>
      <c r="C146" s="2"/>
      <c r="D146" s="2" t="n">
        <v>0.689128598</v>
      </c>
      <c r="E146" s="2" t="n">
        <f aca="false">IF(E$7=E$5,E$6,IF(NORMSDIST(E$9*SQRT($C$11)*NORMSINV($B146)+SQRT(1-E$9^2*$C$11)*NORMSINV(D146))&lt;E$8,E$5+SQRT(NORMSDIST(E$9*SQRT($C$11)*NORMSINV($B146)+SQRT(1-E$9^2*$C$11)*NORMSINV(D146))*(E$7-E$5)*(E$6-E$5)),E$7-SQRT((1-NORMSDIST(E$9*SQRT($C$11)*NORMSINV($B146)+SQRT(1-E$9^2*$C$11)*NORMSINV(D146)))*(E$7-E$5)*(E$7-E$6))))</f>
        <v>0.0568706377806924</v>
      </c>
      <c r="F146" s="2" t="n">
        <v>0.60128791</v>
      </c>
      <c r="G146" s="2" t="n">
        <f aca="false">IF(G$7=G$5,G$6,IF(NORMSDIST(G$9*SQRT($C$11)*NORMSINV($B146)+SQRT(1-G$9^2*$C$11)*NORMSINV(F146))&lt;G$8,G$5+SQRT(NORMSDIST(G$9*SQRT($C$11)*NORMSINV($B146)+SQRT(1-G$9^2*$C$11)*NORMSINV(F146))*(G$7-G$5)*(G$6-G$5)),G$7-SQRT((1-NORMSDIST(G$9*SQRT($C$11)*NORMSINV($B146)+SQRT(1-G$9^2*$C$11)*NORMSINV(F146)))*(G$7-G$5)*(G$7-G$6))))</f>
        <v>0.0593844485389802</v>
      </c>
      <c r="H146" s="2" t="n">
        <v>0.0177071</v>
      </c>
      <c r="I146" s="2" t="n">
        <f aca="false">IF(I$7=I$5,I$6,IF(NORMSDIST(I$9*SQRT($C$11)*NORMSINV($B146)+SQRT(1-I$9^2*$C$11)*NORMSINV(H146))&lt;I$8,I$5+SQRT(NORMSDIST(I$9*SQRT($C$11)*NORMSINV($B146)+SQRT(1-I$9^2*$C$11)*NORMSINV(H146))*(I$7-I$5)*(I$6-I$5)),I$7-SQRT((1-NORMSDIST(I$9*SQRT($C$11)*NORMSINV($B146)+SQRT(1-I$9^2*$C$11)*NORMSINV(H146)))*(I$7-I$5)*(I$7-I$6))))</f>
        <v>189.960937676392</v>
      </c>
      <c r="J146" s="2" t="n">
        <v>0.095403631</v>
      </c>
      <c r="K146" s="2" t="n">
        <f aca="false">IF(K$7=K$5,K$6,IF(NORMSDIST(K$9*SQRT($C$11)*NORMSINV($B146)+SQRT(1-K$9^2*$C$11)*NORMSINV(J146))&lt;K$8,K$5+SQRT(NORMSDIST(K$9*SQRT($C$11)*NORMSINV($B146)+SQRT(1-K$9^2*$C$11)*NORMSINV(J146))*(K$7-K$5)*(K$6-K$5)),K$7-SQRT((1-NORMSDIST(K$9*SQRT($C$11)*NORMSINV($B146)+SQRT(1-K$9^2*$C$11)*NORMSINV(J146)))*(K$7-K$5)*(K$7-K$6))))</f>
        <v>0.192011771887152</v>
      </c>
      <c r="L146" s="2" t="n">
        <v>0.156910892</v>
      </c>
      <c r="M146" s="2" t="n">
        <f aca="false">IF(M$7=M$5,M$6,IF(NORMSDIST(M$9*SQRT($C$11)*NORMSINV($B146)+SQRT(1-M$9^2*$C$11)*NORMSINV(L146))&lt;M$8,M$5+SQRT(NORMSDIST(M$9*SQRT($C$11)*NORMSINV($B146)+SQRT(1-M$9^2*$C$11)*NORMSINV(L146))*(M$7-M$5)*(M$6-M$5)),M$7-SQRT((1-NORMSDIST(M$9*SQRT($C$11)*NORMSINV($B146)+SQRT(1-M$9^2*$C$11)*NORMSINV(L146)))*(M$7-M$5)*(M$7-M$6))))</f>
        <v>1549.12638446261</v>
      </c>
      <c r="N146" s="2" t="n">
        <v>0.284751076</v>
      </c>
      <c r="O146" s="2" t="n">
        <f aca="false">IF(O$7=O$5,O$6,IF(NORMSDIST(O$9*SQRT($C$11)*NORMSINV($B146)+SQRT(1-O$9^2*$C$11)*NORMSINV(N146))&lt;O$8,O$5+SQRT(NORMSDIST(O$9*SQRT($C$11)*NORMSINV($B146)+SQRT(1-O$9^2*$C$11)*NORMSINV(N146))*(O$7-O$5)*(O$6-O$5)),O$7-SQRT((1-NORMSDIST(O$9*SQRT($C$11)*NORMSINV($B146)+SQRT(1-O$9^2*$C$11)*NORMSINV(N146)))*(O$7-O$5)*(O$7-O$6))))</f>
        <v>0.167142751242064</v>
      </c>
      <c r="P146" s="2" t="n">
        <v>0.380931546</v>
      </c>
      <c r="Q146" s="2" t="n">
        <f aca="false">IF(Q$7=Q$5,Q$6,IF(NORMSDIST(Q$9*SQRT($C$11)*NORMSINV($B146)+SQRT(1-Q$9^2*$C$11)*NORMSINV(P146))&lt;Q$8,Q$5+SQRT(NORMSDIST(Q$9*SQRT($C$11)*NORMSINV($B146)+SQRT(1-Q$9^2*$C$11)*NORMSINV(P146))*(Q$7-Q$5)*(Q$6-Q$5)),Q$7-SQRT((1-NORMSDIST(Q$9*SQRT($C$11)*NORMSINV($B146)+SQRT(1-Q$9^2*$C$11)*NORMSINV(P146)))*(Q$7-Q$5)*(Q$7-Q$6))))</f>
        <v>0.0749139076472399</v>
      </c>
      <c r="R146" s="2" t="n">
        <v>0.933912978</v>
      </c>
      <c r="S146" s="2" t="n">
        <f aca="false">IF(S$7=S$5,S$6,IF(NORMSDIST(S$9*SQRT($C$11)*NORMSINV($B146)+SQRT(1-S$9^2*$C$11)*NORMSINV(R146))&lt;S$8,S$5+SQRT(NORMSDIST(S$9*SQRT($C$11)*NORMSINV($B146)+SQRT(1-S$9^2*$C$11)*NORMSINV(R146))*(S$7-S$5)*(S$6-S$5)),S$7-SQRT((1-NORMSDIST(S$9*SQRT($C$11)*NORMSINV($B146)+SQRT(1-S$9^2*$C$11)*NORMSINV(R146)))*(S$7-S$5)*(S$7-S$6))))</f>
        <v>0.841184574859158</v>
      </c>
      <c r="T146" s="2" t="n">
        <v>0.468542378</v>
      </c>
      <c r="U146" s="2" t="n">
        <f aca="false">IF(U$7=U$5,U$6,IF(NORMSDIST(U$9*SQRT($C$11)*NORMSINV($B146)+SQRT(1-U$9^2*$C$11)*NORMSINV(T146))&lt;U$8,U$5+SQRT(NORMSDIST(U$9*SQRT($C$11)*NORMSINV($B146)+SQRT(1-U$9^2*$C$11)*NORMSINV(T146))*(U$7-U$5)*(U$6-U$5)),U$7-SQRT((1-NORMSDIST(U$9*SQRT($C$11)*NORMSINV($B146)+SQRT(1-U$9^2*$C$11)*NORMSINV(T146)))*(U$7-U$5)*(U$7-U$6))))</f>
        <v>0.587851968222609</v>
      </c>
      <c r="V146" s="2" t="n">
        <v>0.125898768</v>
      </c>
      <c r="W146" s="2" t="n">
        <f aca="false">IF(W$7=W$5,W$6,IF(NORMSDIST(W$9*SQRT($C$11)*NORMSINV($B146)+SQRT(1-W$9^2*$C$11)*NORMSINV(V146))&lt;W$8,W$5+SQRT(NORMSDIST(W$9*SQRT($C$11)*NORMSINV($B146)+SQRT(1-W$9^2*$C$11)*NORMSINV(V146))*(W$7-W$5)*(W$6-W$5)),W$7-SQRT((1-NORMSDIST(W$9*SQRT($C$11)*NORMSINV($B146)+SQRT(1-W$9^2*$C$11)*NORMSINV(V146)))*(W$7-W$5)*(W$7-W$6))))</f>
        <v>9.64845736074378</v>
      </c>
      <c r="X146" s="2" t="n">
        <v>0.254507248</v>
      </c>
      <c r="Y146" s="2" t="n">
        <f aca="false">IF(Y$7=Y$5,Y$6,IF(NORMSDIST(Y$9*SQRT($C$11)*NORMSINV($B146)+SQRT(1-Y$9^2*$C$11)*NORMSINV(X146))&lt;Y$8,Y$5+SQRT(NORMSDIST(Y$9*SQRT($C$11)*NORMSINV($B146)+SQRT(1-Y$9^2*$C$11)*NORMSINV(X146))*(Y$7-Y$5)*(Y$6-Y$5)),Y$7-SQRT((1-NORMSDIST(Y$9*SQRT($C$11)*NORMSINV($B146)+SQRT(1-Y$9^2*$C$11)*NORMSINV(X146)))*(Y$7-Y$5)*(Y$7-Y$6))))</f>
        <v>0.35672625919604</v>
      </c>
      <c r="Z146" s="2" t="n">
        <v>0.698449274</v>
      </c>
      <c r="AA146" s="2" t="n">
        <f aca="false">IF(AA$7=AA$5,AA$6,IF(NORMSDIST(AA$9*SQRT($C$11)*NORMSINV($B146)+SQRT(1-AA$9^2*$C$11)*NORMSINV(Z146))&lt;AA$8,AA$5+SQRT(NORMSDIST(AA$9*SQRT($C$11)*NORMSINV($B146)+SQRT(1-AA$9^2*$C$11)*NORMSINV(Z146))*(AA$7-AA$5)*(AA$6-AA$5)),AA$7-SQRT((1-NORMSDIST(AA$9*SQRT($C$11)*NORMSINV($B146)+SQRT(1-AA$9^2*$C$11)*NORMSINV(Z146)))*(AA$7-AA$5)*(AA$7-AA$6))))</f>
        <v>0.738233861800112</v>
      </c>
      <c r="AB146" s="2" t="n">
        <v>0.044096109</v>
      </c>
      <c r="AC146" s="2" t="n">
        <f aca="false">IF(AC$7=AC$5,AC$6,IF(NORMSDIST(AC$9*SQRT($C$11)*NORMSINV($B146)+SQRT(1-AC$9^2*$C$11)*NORMSINV(AB146))&lt;AC$8,AC$5+SQRT(NORMSDIST(AC$9*SQRT($C$11)*NORMSINV($B146)+SQRT(1-AC$9^2*$C$11)*NORMSINV(AB146))*(AC$7-AC$5)*(AC$6-AC$5)),AC$7-SQRT((1-NORMSDIST(AC$9*SQRT($C$11)*NORMSINV($B146)+SQRT(1-AC$9^2*$C$11)*NORMSINV(AB146)))*(AC$7-AC$5)*(AC$7-AC$6))))</f>
        <v>8.71017621401833</v>
      </c>
      <c r="AD146" s="2" t="n">
        <f aca="false">Entrées!$C$8*(1+E146)</f>
        <v>7450.93799635388</v>
      </c>
      <c r="AE146" s="2" t="n">
        <f aca="false">I146*Hypothèses!$J$24/12/Hypothèses!$J$19</f>
        <v>94.2390131876246</v>
      </c>
      <c r="AF146" s="2" t="n">
        <f aca="false">Entrées!$C$36*S146*1000</f>
        <v>420.592287429579</v>
      </c>
      <c r="AG146" s="2" t="n">
        <f aca="false">-AF146/W146</f>
        <v>-43.5916615168787</v>
      </c>
      <c r="AH146" s="2" t="n">
        <f aca="false">AD146+AE146+AG146</f>
        <v>7501.58534802463</v>
      </c>
      <c r="AI146" s="2" t="n">
        <f aca="false">Entrées!$C$16-M146+Hypothèses!$J$22*1000-AF146+Hypothèses!$J$23</f>
        <v>22578.2813281078</v>
      </c>
      <c r="AJ146" s="2" t="n">
        <f aca="false">AI146/AH146</f>
        <v>3.00980129940844</v>
      </c>
      <c r="AK146" s="2" t="n">
        <f aca="false">AI146/(AH146+I146*(12-Hypothèses!$J$24)/12/Hypothèses!$J$19)</f>
        <v>2.98303379927282</v>
      </c>
      <c r="AL146" s="2" t="n">
        <f aca="false">(AD146+AG146+I146/Hypothèses!$J$19)*(1+G146)</f>
        <v>8018.37381781133</v>
      </c>
      <c r="AM146" s="2" t="n">
        <f aca="false">Entrées!$C$54*K146/Hypothèses!$J$19</f>
        <v>19.5956075264158</v>
      </c>
      <c r="AN146" s="2" t="n">
        <f aca="false">Y146*1000/AC146</f>
        <v>40.9551139300623</v>
      </c>
      <c r="AO146" s="2" t="n">
        <f aca="false">(Entrées!$C$36*(1-S146)+MAX(0,Entrées!$C$30-Entrées!$C$35-Entrées!$C$36)*U146)*1000</f>
        <v>902.400468082073</v>
      </c>
      <c r="AP146" s="2" t="n">
        <f aca="false">-AO146/W146</f>
        <v>-93.5279531579449</v>
      </c>
      <c r="AQ146" s="2" t="n">
        <f aca="false">AL146+AM146+AN146+AP146</f>
        <v>7985.39658610986</v>
      </c>
      <c r="AR146" s="2" t="n">
        <f aca="false">O146*AQ146-Hypothèses!$J$25/Hypothèses!$J$19</f>
        <v>1315.56599289976</v>
      </c>
      <c r="AS146" s="2" t="n">
        <f aca="false">Entrées!$C$79*(1+Q146)+Hypothèses!$J$20</f>
        <v>1476.33038450432</v>
      </c>
      <c r="AT146" s="2" t="n">
        <f aca="false">AI146-AR146+AS146+Y146*1000-AO146+Hypothèses!$J$23</f>
        <v>22193.3715108263</v>
      </c>
      <c r="AU146" s="2" t="n">
        <f aca="false">AT146/AQ146</f>
        <v>2.77924474652022</v>
      </c>
      <c r="AV146" s="2" t="n">
        <f aca="false">Hypothèses!$J$26*AQ146-AT146</f>
        <v>1762.81824750325</v>
      </c>
      <c r="AW146" s="2" t="n">
        <f aca="false">IF(AC146&gt;Hypothèses!$J$26,MAX(0,AV146)/(1-Hypothèses!$J$26/AC146),0)</f>
        <v>2688.96387669184</v>
      </c>
      <c r="AX146" s="2" t="n">
        <f aca="false">AQ146-Entrées!$C$17*1000</f>
        <v>-14.6034138901396</v>
      </c>
      <c r="AY146" s="2" t="n">
        <f aca="false">AI146+(Entrées!$C$244-Entrées!$C$13)</f>
        <v>28325.2813281078</v>
      </c>
      <c r="AZ146" s="2" t="n">
        <f aca="false">AA146*AH146</f>
        <v>5537.92432109536</v>
      </c>
      <c r="BA146" s="2" t="n">
        <f aca="false">AZ146/AY146</f>
        <v>0.195511714674479</v>
      </c>
      <c r="BB146" s="2" t="n">
        <f aca="false">AZ146/(Entrées!$C$151/100)-AY146</f>
        <v>2440.96490019975</v>
      </c>
      <c r="BC146" s="2" t="n">
        <f aca="false">AT146+(Entrées!$C$244-Entrées!$C$13)</f>
        <v>27940.3715108263</v>
      </c>
      <c r="BD146" s="2" t="n">
        <f aca="false">AA146*AQ146</f>
        <v>5895.09015976932</v>
      </c>
      <c r="BE146" s="2" t="n">
        <f aca="false">BD146/BC146</f>
        <v>0.21098825251787</v>
      </c>
      <c r="BF146" s="2" t="n">
        <f aca="false">BD146/(Entrées!$C$151/100)-BC146</f>
        <v>4810.12937678098</v>
      </c>
      <c r="BG146" s="2" t="n">
        <f aca="false">MIN(AV146,BF146)</f>
        <v>1762.81824750325</v>
      </c>
      <c r="BH146" s="2" t="n">
        <f aca="false">IF(AC146&gt;Hypothèses!$J$26,MAX(0,BG146)/(1-Hypothèses!$J$26/AC146),0)</f>
        <v>2688.96387669184</v>
      </c>
    </row>
    <row r="147" customFormat="false" ht="15" hidden="false" customHeight="false" outlineLevel="0" collapsed="false">
      <c r="A147" s="2" t="n">
        <v>132</v>
      </c>
      <c r="B147" s="2" t="n">
        <v>0.595111731</v>
      </c>
      <c r="C147" s="2"/>
      <c r="D147" s="2" t="n">
        <v>0.766699816</v>
      </c>
      <c r="E147" s="2" t="n">
        <f aca="false">IF(E$7=E$5,E$6,IF(NORMSDIST(E$9*SQRT($C$11)*NORMSINV($B147)+SQRT(1-E$9^2*$C$11)*NORMSINV(D147))&lt;E$8,E$5+SQRT(NORMSDIST(E$9*SQRT($C$11)*NORMSINV($B147)+SQRT(1-E$9^2*$C$11)*NORMSINV(D147))*(E$7-E$5)*(E$6-E$5)),E$7-SQRT((1-NORMSDIST(E$9*SQRT($C$11)*NORMSINV($B147)+SQRT(1-E$9^2*$C$11)*NORMSINV(D147)))*(E$7-E$5)*(E$7-E$6))))</f>
        <v>0.0565580166980886</v>
      </c>
      <c r="F147" s="2" t="n">
        <v>0.253273985</v>
      </c>
      <c r="G147" s="2" t="n">
        <f aca="false">IF(G$7=G$5,G$6,IF(NORMSDIST(G$9*SQRT($C$11)*NORMSINV($B147)+SQRT(1-G$9^2*$C$11)*NORMSINV(F147))&lt;G$8,G$5+SQRT(NORMSDIST(G$9*SQRT($C$11)*NORMSINV($B147)+SQRT(1-G$9^2*$C$11)*NORMSINV(F147))*(G$7-G$5)*(G$6-G$5)),G$7-SQRT((1-NORMSDIST(G$9*SQRT($C$11)*NORMSINV($B147)+SQRT(1-G$9^2*$C$11)*NORMSINV(F147)))*(G$7-G$5)*(G$7-G$6))))</f>
        <v>0.0527027527429187</v>
      </c>
      <c r="H147" s="2" t="n">
        <v>0.887351801</v>
      </c>
      <c r="I147" s="2" t="n">
        <f aca="false">IF(I$7=I$5,I$6,IF(NORMSDIST(I$9*SQRT($C$11)*NORMSINV($B147)+SQRT(1-I$9^2*$C$11)*NORMSINV(H147))&lt;I$8,I$5+SQRT(NORMSDIST(I$9*SQRT($C$11)*NORMSINV($B147)+SQRT(1-I$9^2*$C$11)*NORMSINV(H147))*(I$7-I$5)*(I$6-I$5)),I$7-SQRT((1-NORMSDIST(I$9*SQRT($C$11)*NORMSINV($B147)+SQRT(1-I$9^2*$C$11)*NORMSINV(H147)))*(I$7-I$5)*(I$7-I$6))))</f>
        <v>209.510813876136</v>
      </c>
      <c r="J147" s="2" t="n">
        <v>0.670301434</v>
      </c>
      <c r="K147" s="2" t="n">
        <f aca="false">IF(K$7=K$5,K$6,IF(NORMSDIST(K$9*SQRT($C$11)*NORMSINV($B147)+SQRT(1-K$9^2*$C$11)*NORMSINV(J147))&lt;K$8,K$5+SQRT(NORMSDIST(K$9*SQRT($C$11)*NORMSINV($B147)+SQRT(1-K$9^2*$C$11)*NORMSINV(J147))*(K$7-K$5)*(K$6-K$5)),K$7-SQRT((1-NORMSDIST(K$9*SQRT($C$11)*NORMSINV($B147)+SQRT(1-K$9^2*$C$11)*NORMSINV(J147)))*(K$7-K$5)*(K$7-K$6))))</f>
        <v>0.302902375511132</v>
      </c>
      <c r="L147" s="2" t="n">
        <v>0.595444977</v>
      </c>
      <c r="M147" s="2" t="n">
        <f aca="false">IF(M$7=M$5,M$6,IF(NORMSDIST(M$9*SQRT($C$11)*NORMSINV($B147)+SQRT(1-M$9^2*$C$11)*NORMSINV(L147))&lt;M$8,M$5+SQRT(NORMSDIST(M$9*SQRT($C$11)*NORMSINV($B147)+SQRT(1-M$9^2*$C$11)*NORMSINV(L147))*(M$7-M$5)*(M$6-M$5)),M$7-SQRT((1-NORMSDIST(M$9*SQRT($C$11)*NORMSINV($B147)+SQRT(1-M$9^2*$C$11)*NORMSINV(L147)))*(M$7-M$5)*(M$7-M$6))))</f>
        <v>1620.62488590351</v>
      </c>
      <c r="N147" s="2" t="n">
        <v>0.984511409</v>
      </c>
      <c r="O147" s="2" t="n">
        <f aca="false">IF(O$7=O$5,O$6,IF(NORMSDIST(O$9*SQRT($C$11)*NORMSINV($B147)+SQRT(1-O$9^2*$C$11)*NORMSINV(N147))&lt;O$8,O$5+SQRT(NORMSDIST(O$9*SQRT($C$11)*NORMSINV($B147)+SQRT(1-O$9^2*$C$11)*NORMSINV(N147))*(O$7-O$5)*(O$6-O$5)),O$7-SQRT((1-NORMSDIST(O$9*SQRT($C$11)*NORMSINV($B147)+SQRT(1-O$9^2*$C$11)*NORMSINV(N147)))*(O$7-O$5)*(O$7-O$6))))</f>
        <v>0.183970804208541</v>
      </c>
      <c r="P147" s="2" t="n">
        <v>0.431784753</v>
      </c>
      <c r="Q147" s="2" t="n">
        <f aca="false">IF(Q$7=Q$5,Q$6,IF(NORMSDIST(Q$9*SQRT($C$11)*NORMSINV($B147)+SQRT(1-Q$9^2*$C$11)*NORMSINV(P147))&lt;Q$8,Q$5+SQRT(NORMSDIST(Q$9*SQRT($C$11)*NORMSINV($B147)+SQRT(1-Q$9^2*$C$11)*NORMSINV(P147))*(Q$7-Q$5)*(Q$6-Q$5)),Q$7-SQRT((1-NORMSDIST(Q$9*SQRT($C$11)*NORMSINV($B147)+SQRT(1-Q$9^2*$C$11)*NORMSINV(P147)))*(Q$7-Q$5)*(Q$7-Q$6))))</f>
        <v>0.0771713762134253</v>
      </c>
      <c r="R147" s="2" t="n">
        <v>0.168808175</v>
      </c>
      <c r="S147" s="2" t="n">
        <f aca="false">IF(S$7=S$5,S$6,IF(NORMSDIST(S$9*SQRT($C$11)*NORMSINV($B147)+SQRT(1-S$9^2*$C$11)*NORMSINV(R147))&lt;S$8,S$5+SQRT(NORMSDIST(S$9*SQRT($C$11)*NORMSINV($B147)+SQRT(1-S$9^2*$C$11)*NORMSINV(R147))*(S$7-S$5)*(S$6-S$5)),S$7-SQRT((1-NORMSDIST(S$9*SQRT($C$11)*NORMSINV($B147)+SQRT(1-S$9^2*$C$11)*NORMSINV(R147)))*(S$7-S$5)*(S$7-S$6))))</f>
        <v>0.372441192181654</v>
      </c>
      <c r="T147" s="2" t="n">
        <v>0.881283239</v>
      </c>
      <c r="U147" s="2" t="n">
        <f aca="false">IF(U$7=U$5,U$6,IF(NORMSDIST(U$9*SQRT($C$11)*NORMSINV($B147)+SQRT(1-U$9^2*$C$11)*NORMSINV(T147))&lt;U$8,U$5+SQRT(NORMSDIST(U$9*SQRT($C$11)*NORMSINV($B147)+SQRT(1-U$9^2*$C$11)*NORMSINV(T147))*(U$7-U$5)*(U$6-U$5)),U$7-SQRT((1-NORMSDIST(U$9*SQRT($C$11)*NORMSINV($B147)+SQRT(1-U$9^2*$C$11)*NORMSINV(T147)))*(U$7-U$5)*(U$7-U$6))))</f>
        <v>0.732696384148342</v>
      </c>
      <c r="V147" s="2" t="n">
        <v>0.915072067</v>
      </c>
      <c r="W147" s="2" t="n">
        <f aca="false">IF(W$7=W$5,W$6,IF(NORMSDIST(W$9*SQRT($C$11)*NORMSINV($B147)+SQRT(1-W$9^2*$C$11)*NORMSINV(V147))&lt;W$8,W$5+SQRT(NORMSDIST(W$9*SQRT($C$11)*NORMSINV($B147)+SQRT(1-W$9^2*$C$11)*NORMSINV(V147))*(W$7-W$5)*(W$6-W$5)),W$7-SQRT((1-NORMSDIST(W$9*SQRT($C$11)*NORMSINV($B147)+SQRT(1-W$9^2*$C$11)*NORMSINV(V147)))*(W$7-W$5)*(W$7-W$6))))</f>
        <v>11.0530601922043</v>
      </c>
      <c r="X147" s="2" t="n">
        <v>0.866555254</v>
      </c>
      <c r="Y147" s="2" t="n">
        <f aca="false">IF(Y$7=Y$5,Y$6,IF(NORMSDIST(Y$9*SQRT($C$11)*NORMSINV($B147)+SQRT(1-Y$9^2*$C$11)*NORMSINV(X147))&lt;Y$8,Y$5+SQRT(NORMSDIST(Y$9*SQRT($C$11)*NORMSINV($B147)+SQRT(1-Y$9^2*$C$11)*NORMSINV(X147))*(Y$7-Y$5)*(Y$6-Y$5)),Y$7-SQRT((1-NORMSDIST(Y$9*SQRT($C$11)*NORMSINV($B147)+SQRT(1-Y$9^2*$C$11)*NORMSINV(X147)))*(Y$7-Y$5)*(Y$7-Y$6))))</f>
        <v>0.741693257927711</v>
      </c>
      <c r="Z147" s="2" t="n">
        <v>0.854306112</v>
      </c>
      <c r="AA147" s="2" t="n">
        <f aca="false">IF(AA$7=AA$5,AA$6,IF(NORMSDIST(AA$9*SQRT($C$11)*NORMSINV($B147)+SQRT(1-AA$9^2*$C$11)*NORMSINV(Z147))&lt;AA$8,AA$5+SQRT(NORMSDIST(AA$9*SQRT($C$11)*NORMSINV($B147)+SQRT(1-AA$9^2*$C$11)*NORMSINV(Z147))*(AA$7-AA$5)*(AA$6-AA$5)),AA$7-SQRT((1-NORMSDIST(AA$9*SQRT($C$11)*NORMSINV($B147)+SQRT(1-AA$9^2*$C$11)*NORMSINV(Z147)))*(AA$7-AA$5)*(AA$7-AA$6))))</f>
        <v>0.739256888258286</v>
      </c>
      <c r="AB147" s="2" t="n">
        <v>0.532802709</v>
      </c>
      <c r="AC147" s="2" t="n">
        <f aca="false">IF(AC$7=AC$5,AC$6,IF(NORMSDIST(AC$9*SQRT($C$11)*NORMSINV($B147)+SQRT(1-AC$9^2*$C$11)*NORMSINV(AB147))&lt;AC$8,AC$5+SQRT(NORMSDIST(AC$9*SQRT($C$11)*NORMSINV($B147)+SQRT(1-AC$9^2*$C$11)*NORMSINV(AB147))*(AC$7-AC$5)*(AC$6-AC$5)),AC$7-SQRT((1-NORMSDIST(AC$9*SQRT($C$11)*NORMSINV($B147)+SQRT(1-AC$9^2*$C$11)*NORMSINV(AB147)))*(AC$7-AC$5)*(AC$7-AC$6))))</f>
        <v>9.64917432826662</v>
      </c>
      <c r="AD147" s="2" t="n">
        <f aca="false">Entrées!$C$8*(1+E147)</f>
        <v>7448.73401772153</v>
      </c>
      <c r="AE147" s="2" t="n">
        <f aca="false">I147*Hypothèses!$J$24/12/Hypothèses!$J$19</f>
        <v>103.937644198505</v>
      </c>
      <c r="AF147" s="2" t="n">
        <f aca="false">Entrées!$C$36*S147*1000</f>
        <v>186.220596090827</v>
      </c>
      <c r="AG147" s="2" t="n">
        <f aca="false">-AF147/W147</f>
        <v>-16.8478767737254</v>
      </c>
      <c r="AH147" s="2" t="n">
        <f aca="false">AD147+AE147+AG147</f>
        <v>7535.8237851463</v>
      </c>
      <c r="AI147" s="2" t="n">
        <f aca="false">Entrées!$C$16-M147+Hypothèses!$J$22*1000-AF147+Hypothèses!$J$23</f>
        <v>22741.1545180057</v>
      </c>
      <c r="AJ147" s="2" t="n">
        <f aca="false">AI147/AH147</f>
        <v>3.01773968797283</v>
      </c>
      <c r="AK147" s="2" t="n">
        <f aca="false">AI147/(AH147+I147*(12-Hypothèses!$J$24)/12/Hypothèses!$J$19)</f>
        <v>2.9882996582567</v>
      </c>
      <c r="AL147" s="2" t="n">
        <f aca="false">(AD147+AG147+I147/Hypothèses!$J$19)*(1+G147)</f>
        <v>8011.13633149577</v>
      </c>
      <c r="AM147" s="2" t="n">
        <f aca="false">Entrées!$C$54*K147/Hypothèses!$J$19</f>
        <v>30.9124592257998</v>
      </c>
      <c r="AN147" s="2" t="n">
        <f aca="false">Y147*1000/AC147</f>
        <v>76.8659817612549</v>
      </c>
      <c r="AO147" s="2" t="n">
        <f aca="false">(Entrées!$C$36*(1-S147)+MAX(0,Entrées!$C$30-Entrées!$C$35-Entrées!$C$36)*U147)*1000</f>
        <v>1339.55434171685</v>
      </c>
      <c r="AP147" s="2" t="n">
        <f aca="false">-AO147/W147</f>
        <v>-121.193073992453</v>
      </c>
      <c r="AQ147" s="2" t="n">
        <f aca="false">AL147+AM147+AN147+AP147</f>
        <v>7997.72169849038</v>
      </c>
      <c r="AR147" s="2" t="n">
        <f aca="false">O147*AQ147-Hypothèses!$J$25/Hypothèses!$J$19</f>
        <v>1452.21213044575</v>
      </c>
      <c r="AS147" s="2" t="n">
        <f aca="false">Entrées!$C$79*(1+Q147)+Hypothèses!$J$20</f>
        <v>1478.81134245855</v>
      </c>
      <c r="AT147" s="2" t="n">
        <f aca="false">AI147-AR147+AS147+Y147*1000-AO147+Hypothèses!$J$23</f>
        <v>22169.8926462293</v>
      </c>
      <c r="AU147" s="2" t="n">
        <f aca="false">AT147/AQ147</f>
        <v>2.77202601966183</v>
      </c>
      <c r="AV147" s="2" t="n">
        <f aca="false">Hypothèses!$J$26*AQ147-AT147</f>
        <v>1823.27244924181</v>
      </c>
      <c r="AW147" s="2" t="n">
        <f aca="false">IF(AC147&gt;Hypothèses!$J$26,MAX(0,AV147)/(1-Hypothèses!$J$26/AC147),0)</f>
        <v>2645.90351254127</v>
      </c>
      <c r="AX147" s="2" t="n">
        <f aca="false">AQ147-Entrées!$C$17*1000</f>
        <v>-2.27830150962473</v>
      </c>
      <c r="AY147" s="2" t="n">
        <f aca="false">AI147+(Entrées!$C$244-Entrées!$C$13)</f>
        <v>28488.1545180057</v>
      </c>
      <c r="AZ147" s="2" t="n">
        <f aca="false">AA147*AH147</f>
        <v>5570.90964187004</v>
      </c>
      <c r="BA147" s="2" t="n">
        <f aca="false">AZ147/AY147</f>
        <v>0.195551791125992</v>
      </c>
      <c r="BB147" s="2" t="n">
        <f aca="false">AZ147/(Entrées!$C$151/100)-AY147</f>
        <v>2461.34349238344</v>
      </c>
      <c r="BC147" s="2" t="n">
        <f aca="false">AT147+(Entrées!$C$244-Entrées!$C$13)</f>
        <v>27916.8926462293</v>
      </c>
      <c r="BD147" s="2" t="n">
        <f aca="false">AA147*AQ147</f>
        <v>5912.37085598177</v>
      </c>
      <c r="BE147" s="2" t="n">
        <f aca="false">BD147/BC147</f>
        <v>0.211784704368964</v>
      </c>
      <c r="BF147" s="2" t="n">
        <f aca="false">BD147/(Entrées!$C$151/100)-BC147</f>
        <v>4929.61210922497</v>
      </c>
      <c r="BG147" s="2" t="n">
        <f aca="false">MIN(AV147,BF147)</f>
        <v>1823.27244924181</v>
      </c>
      <c r="BH147" s="2" t="n">
        <f aca="false">IF(AC147&gt;Hypothèses!$J$26,MAX(0,BG147)/(1-Hypothèses!$J$26/AC147),0)</f>
        <v>2645.90351254127</v>
      </c>
    </row>
    <row r="148" customFormat="false" ht="15" hidden="false" customHeight="false" outlineLevel="0" collapsed="false">
      <c r="A148" s="2" t="n">
        <v>133</v>
      </c>
      <c r="B148" s="2" t="n">
        <v>0.631785755</v>
      </c>
      <c r="C148" s="2"/>
      <c r="D148" s="2" t="n">
        <v>0.402530645</v>
      </c>
      <c r="E148" s="2" t="n">
        <f aca="false">IF(E$7=E$5,E$6,IF(NORMSDIST(E$9*SQRT($C$11)*NORMSINV($B148)+SQRT(1-E$9^2*$C$11)*NORMSINV(D148))&lt;E$8,E$5+SQRT(NORMSDIST(E$9*SQRT($C$11)*NORMSINV($B148)+SQRT(1-E$9^2*$C$11)*NORMSINV(D148))*(E$7-E$5)*(E$6-E$5)),E$7-SQRT((1-NORMSDIST(E$9*SQRT($C$11)*NORMSINV($B148)+SQRT(1-E$9^2*$C$11)*NORMSINV(D148)))*(E$7-E$5)*(E$7-E$6))))</f>
        <v>0.0550434787282782</v>
      </c>
      <c r="F148" s="2" t="n">
        <v>0.471504037</v>
      </c>
      <c r="G148" s="2" t="n">
        <f aca="false">IF(G$7=G$5,G$6,IF(NORMSDIST(G$9*SQRT($C$11)*NORMSINV($B148)+SQRT(1-G$9^2*$C$11)*NORMSINV(F148))&lt;G$8,G$5+SQRT(NORMSDIST(G$9*SQRT($C$11)*NORMSINV($B148)+SQRT(1-G$9^2*$C$11)*NORMSINV(F148))*(G$7-G$5)*(G$6-G$5)),G$7-SQRT((1-NORMSDIST(G$9*SQRT($C$11)*NORMSINV($B148)+SQRT(1-G$9^2*$C$11)*NORMSINV(F148)))*(G$7-G$5)*(G$7-G$6))))</f>
        <v>0.055969984096881</v>
      </c>
      <c r="H148" s="2" t="n">
        <v>0.491371037</v>
      </c>
      <c r="I148" s="2" t="n">
        <f aca="false">IF(I$7=I$5,I$6,IF(NORMSDIST(I$9*SQRT($C$11)*NORMSINV($B148)+SQRT(1-I$9^2*$C$11)*NORMSINV(H148))&lt;I$8,I$5+SQRT(NORMSDIST(I$9*SQRT($C$11)*NORMSINV($B148)+SQRT(1-I$9^2*$C$11)*NORMSINV(H148))*(I$7-I$5)*(I$6-I$5)),I$7-SQRT((1-NORMSDIST(I$9*SQRT($C$11)*NORMSINV($B148)+SQRT(1-I$9^2*$C$11)*NORMSINV(H148)))*(I$7-I$5)*(I$7-I$6))))</f>
        <v>201.620492058287</v>
      </c>
      <c r="J148" s="2" t="n">
        <v>0.606656499</v>
      </c>
      <c r="K148" s="2" t="n">
        <f aca="false">IF(K$7=K$5,K$6,IF(NORMSDIST(K$9*SQRT($C$11)*NORMSINV($B148)+SQRT(1-K$9^2*$C$11)*NORMSINV(J148))&lt;K$8,K$5+SQRT(NORMSDIST(K$9*SQRT($C$11)*NORMSINV($B148)+SQRT(1-K$9^2*$C$11)*NORMSINV(J148))*(K$7-K$5)*(K$6-K$5)),K$7-SQRT((1-NORMSDIST(K$9*SQRT($C$11)*NORMSINV($B148)+SQRT(1-K$9^2*$C$11)*NORMSINV(J148)))*(K$7-K$5)*(K$7-K$6))))</f>
        <v>0.294959659161715</v>
      </c>
      <c r="L148" s="2" t="n">
        <v>0.371489272</v>
      </c>
      <c r="M148" s="2" t="n">
        <f aca="false">IF(M$7=M$5,M$6,IF(NORMSDIST(M$9*SQRT($C$11)*NORMSINV($B148)+SQRT(1-M$9^2*$C$11)*NORMSINV(L148))&lt;M$8,M$5+SQRT(NORMSDIST(M$9*SQRT($C$11)*NORMSINV($B148)+SQRT(1-M$9^2*$C$11)*NORMSINV(L148))*(M$7-M$5)*(M$6-M$5)),M$7-SQRT((1-NORMSDIST(M$9*SQRT($C$11)*NORMSINV($B148)+SQRT(1-M$9^2*$C$11)*NORMSINV(L148)))*(M$7-M$5)*(M$7-M$6))))</f>
        <v>1580.68490119607</v>
      </c>
      <c r="N148" s="2" t="n">
        <v>0.380724561</v>
      </c>
      <c r="O148" s="2" t="n">
        <f aca="false">IF(O$7=O$5,O$6,IF(NORMSDIST(O$9*SQRT($C$11)*NORMSINV($B148)+SQRT(1-O$9^2*$C$11)*NORMSINV(N148))&lt;O$8,O$5+SQRT(NORMSDIST(O$9*SQRT($C$11)*NORMSINV($B148)+SQRT(1-O$9^2*$C$11)*NORMSINV(N148))*(O$7-O$5)*(O$6-O$5)),O$7-SQRT((1-NORMSDIST(O$9*SQRT($C$11)*NORMSINV($B148)+SQRT(1-O$9^2*$C$11)*NORMSINV(N148)))*(O$7-O$5)*(O$7-O$6))))</f>
        <v>0.166545431214552</v>
      </c>
      <c r="P148" s="2" t="n">
        <v>0.077543576</v>
      </c>
      <c r="Q148" s="2" t="n">
        <f aca="false">IF(Q$7=Q$5,Q$6,IF(NORMSDIST(Q$9*SQRT($C$11)*NORMSINV($B148)+SQRT(1-Q$9^2*$C$11)*NORMSINV(P148))&lt;Q$8,Q$5+SQRT(NORMSDIST(Q$9*SQRT($C$11)*NORMSINV($B148)+SQRT(1-Q$9^2*$C$11)*NORMSINV(P148))*(Q$7-Q$5)*(Q$6-Q$5)),Q$7-SQRT((1-NORMSDIST(Q$9*SQRT($C$11)*NORMSINV($B148)+SQRT(1-Q$9^2*$C$11)*NORMSINV(P148)))*(Q$7-Q$5)*(Q$7-Q$6))))</f>
        <v>0.0557524424518866</v>
      </c>
      <c r="R148" s="2" t="n">
        <v>0.377921503</v>
      </c>
      <c r="S148" s="2" t="n">
        <f aca="false">IF(S$7=S$5,S$6,IF(NORMSDIST(S$9*SQRT($C$11)*NORMSINV($B148)+SQRT(1-S$9^2*$C$11)*NORMSINV(R148))&lt;S$8,S$5+SQRT(NORMSDIST(S$9*SQRT($C$11)*NORMSINV($B148)+SQRT(1-S$9^2*$C$11)*NORMSINV(R148))*(S$7-S$5)*(S$6-S$5)),S$7-SQRT((1-NORMSDIST(S$9*SQRT($C$11)*NORMSINV($B148)+SQRT(1-S$9^2*$C$11)*NORMSINV(R148)))*(S$7-S$5)*(S$7-S$6))))</f>
        <v>0.494387978356417</v>
      </c>
      <c r="T148" s="2" t="n">
        <v>0.094059858</v>
      </c>
      <c r="U148" s="2" t="n">
        <f aca="false">IF(U$7=U$5,U$6,IF(NORMSDIST(U$9*SQRT($C$11)*NORMSINV($B148)+SQRT(1-U$9^2*$C$11)*NORMSINV(T148))&lt;U$8,U$5+SQRT(NORMSDIST(U$9*SQRT($C$11)*NORMSINV($B148)+SQRT(1-U$9^2*$C$11)*NORMSINV(T148))*(U$7-U$5)*(U$6-U$5)),U$7-SQRT((1-NORMSDIST(U$9*SQRT($C$11)*NORMSINV($B148)+SQRT(1-U$9^2*$C$11)*NORMSINV(T148)))*(U$7-U$5)*(U$7-U$6))))</f>
        <v>0.323993177699144</v>
      </c>
      <c r="V148" s="2" t="n">
        <v>0.523521601</v>
      </c>
      <c r="W148" s="2" t="n">
        <f aca="false">IF(W$7=W$5,W$6,IF(NORMSDIST(W$9*SQRT($C$11)*NORMSINV($B148)+SQRT(1-W$9^2*$C$11)*NORMSINV(V148))&lt;W$8,W$5+SQRT(NORMSDIST(W$9*SQRT($C$11)*NORMSINV($B148)+SQRT(1-W$9^2*$C$11)*NORMSINV(V148))*(W$7-W$5)*(W$6-W$5)),W$7-SQRT((1-NORMSDIST(W$9*SQRT($C$11)*NORMSINV($B148)+SQRT(1-W$9^2*$C$11)*NORMSINV(V148)))*(W$7-W$5)*(W$7-W$6))))</f>
        <v>10.2156626946697</v>
      </c>
      <c r="X148" s="2" t="n">
        <v>0.973665345</v>
      </c>
      <c r="Y148" s="2" t="n">
        <f aca="false">IF(Y$7=Y$5,Y$6,IF(NORMSDIST(Y$9*SQRT($C$11)*NORMSINV($B148)+SQRT(1-Y$9^2*$C$11)*NORMSINV(X148))&lt;Y$8,Y$5+SQRT(NORMSDIST(Y$9*SQRT($C$11)*NORMSINV($B148)+SQRT(1-Y$9^2*$C$11)*NORMSINV(X148))*(Y$7-Y$5)*(Y$6-Y$5)),Y$7-SQRT((1-NORMSDIST(Y$9*SQRT($C$11)*NORMSINV($B148)+SQRT(1-Y$9^2*$C$11)*NORMSINV(X148)))*(Y$7-Y$5)*(Y$7-Y$6))))</f>
        <v>0.88525102396971</v>
      </c>
      <c r="Z148" s="2" t="n">
        <v>0.208244701</v>
      </c>
      <c r="AA148" s="2" t="n">
        <f aca="false">IF(AA$7=AA$5,AA$6,IF(NORMSDIST(AA$9*SQRT($C$11)*NORMSINV($B148)+SQRT(1-AA$9^2*$C$11)*NORMSINV(Z148))&lt;AA$8,AA$5+SQRT(NORMSDIST(AA$9*SQRT($C$11)*NORMSINV($B148)+SQRT(1-AA$9^2*$C$11)*NORMSINV(Z148))*(AA$7-AA$5)*(AA$6-AA$5)),AA$7-SQRT((1-NORMSDIST(AA$9*SQRT($C$11)*NORMSINV($B148)+SQRT(1-AA$9^2*$C$11)*NORMSINV(Z148)))*(AA$7-AA$5)*(AA$7-AA$6))))</f>
        <v>0.722252043911996</v>
      </c>
      <c r="AB148" s="2" t="n">
        <v>0.626980347</v>
      </c>
      <c r="AC148" s="2" t="n">
        <f aca="false">IF(AC$7=AC$5,AC$6,IF(NORMSDIST(AC$9*SQRT($C$11)*NORMSINV($B148)+SQRT(1-AC$9^2*$C$11)*NORMSINV(AB148))&lt;AC$8,AC$5+SQRT(NORMSDIST(AC$9*SQRT($C$11)*NORMSINV($B148)+SQRT(1-AC$9^2*$C$11)*NORMSINV(AB148))*(AC$7-AC$5)*(AC$6-AC$5)),AC$7-SQRT((1-NORMSDIST(AC$9*SQRT($C$11)*NORMSINV($B148)+SQRT(1-AC$9^2*$C$11)*NORMSINV(AB148)))*(AC$7-AC$5)*(AC$7-AC$6))))</f>
        <v>9.82164576925348</v>
      </c>
      <c r="AD148" s="2" t="n">
        <f aca="false">Entrées!$C$8*(1+E148)</f>
        <v>7438.05652503436</v>
      </c>
      <c r="AE148" s="2" t="n">
        <f aca="false">I148*Hypothèses!$J$24/12/Hypothèses!$J$19</f>
        <v>100.023280798627</v>
      </c>
      <c r="AF148" s="2" t="n">
        <f aca="false">Entrées!$C$36*S148*1000</f>
        <v>247.193989178208</v>
      </c>
      <c r="AG148" s="2" t="n">
        <f aca="false">-AF148/W148</f>
        <v>-24.1975480755829</v>
      </c>
      <c r="AH148" s="2" t="n">
        <f aca="false">AD148+AE148+AG148</f>
        <v>7513.88225775741</v>
      </c>
      <c r="AI148" s="2" t="n">
        <f aca="false">Entrées!$C$16-M148+Hypothèses!$J$22*1000-AF148+Hypothèses!$J$23</f>
        <v>22720.1211096257</v>
      </c>
      <c r="AJ148" s="2" t="n">
        <f aca="false">AI148/AH148</f>
        <v>3.02375261286125</v>
      </c>
      <c r="AK148" s="2" t="n">
        <f aca="false">AI148/(AH148+I148*(12-Hypothèses!$J$24)/12/Hypothèses!$J$19)</f>
        <v>2.995272285138</v>
      </c>
      <c r="AL148" s="2" t="n">
        <f aca="false">(AD148+AG148+I148/Hypothèses!$J$19)*(1+G148)</f>
        <v>8009.8781155401</v>
      </c>
      <c r="AM148" s="2" t="n">
        <f aca="false">Entrées!$C$54*K148/Hypothèses!$J$19</f>
        <v>30.1018716730309</v>
      </c>
      <c r="AN148" s="2" t="n">
        <f aca="false">Y148*1000/AC148</f>
        <v>90.132656457737</v>
      </c>
      <c r="AO148" s="2" t="n">
        <f aca="false">(Entrées!$C$36*(1-S148)+MAX(0,Entrées!$C$30-Entrées!$C$35-Entrées!$C$36)*U148)*1000</f>
        <v>706.396459600593</v>
      </c>
      <c r="AP148" s="2" t="n">
        <f aca="false">-AO148/W148</f>
        <v>-69.1483735038723</v>
      </c>
      <c r="AQ148" s="2" t="n">
        <f aca="false">AL148+AM148+AN148+AP148</f>
        <v>8060.96427016699</v>
      </c>
      <c r="AR148" s="2" t="n">
        <f aca="false">O148*AQ148-Hypothèses!$J$25/Hypothèses!$J$19</f>
        <v>1323.38160811843</v>
      </c>
      <c r="AS148" s="2" t="n">
        <f aca="false">Entrées!$C$79*(1+Q148)+Hypothèses!$J$20</f>
        <v>1455.27193425462</v>
      </c>
      <c r="AT148" s="2" t="n">
        <f aca="false">AI148-AR148+AS148+Y148*1000-AO148+Hypothèses!$J$23</f>
        <v>23030.866000131</v>
      </c>
      <c r="AU148" s="2" t="n">
        <f aca="false">AT148/AQ148</f>
        <v>2.85708573171159</v>
      </c>
      <c r="AV148" s="2" t="n">
        <f aca="false">Hypothèses!$J$26*AQ148-AT148</f>
        <v>1152.02681036995</v>
      </c>
      <c r="AW148" s="2" t="n">
        <f aca="false">IF(AC148&gt;Hypothèses!$J$26,MAX(0,AV148)/(1-Hypothèses!$J$26/AC148),0)</f>
        <v>1658.66121327124</v>
      </c>
      <c r="AX148" s="2" t="n">
        <f aca="false">AQ148-Entrées!$C$17*1000</f>
        <v>60.9642701669945</v>
      </c>
      <c r="AY148" s="2" t="n">
        <f aca="false">AI148+(Entrées!$C$244-Entrées!$C$13)</f>
        <v>28467.1211096257</v>
      </c>
      <c r="AZ148" s="2" t="n">
        <f aca="false">AA148*AH148</f>
        <v>5426.91681837937</v>
      </c>
      <c r="BA148" s="2" t="n">
        <f aca="false">AZ148/AY148</f>
        <v>0.190638062678714</v>
      </c>
      <c r="BB148" s="2" t="n">
        <f aca="false">AZ148/(Entrées!$C$151/100)-AY148</f>
        <v>1682.41677025968</v>
      </c>
      <c r="BC148" s="2" t="n">
        <f aca="false">AT148+(Entrées!$C$244-Entrées!$C$13)</f>
        <v>28777.866000131</v>
      </c>
      <c r="BD148" s="2" t="n">
        <f aca="false">AA148*AQ148</f>
        <v>5822.04792002968</v>
      </c>
      <c r="BE148" s="2" t="n">
        <f aca="false">BD148/BC148</f>
        <v>0.20230992527393</v>
      </c>
      <c r="BF148" s="2" t="n">
        <f aca="false">BD148/(Entrées!$C$151/100)-BC148</f>
        <v>3566.84466670055</v>
      </c>
      <c r="BG148" s="2" t="n">
        <f aca="false">MIN(AV148,BF148)</f>
        <v>1152.02681036995</v>
      </c>
      <c r="BH148" s="2" t="n">
        <f aca="false">IF(AC148&gt;Hypothèses!$J$26,MAX(0,BG148)/(1-Hypothèses!$J$26/AC148),0)</f>
        <v>1658.66121327124</v>
      </c>
    </row>
    <row r="149" customFormat="false" ht="15" hidden="false" customHeight="false" outlineLevel="0" collapsed="false">
      <c r="A149" s="2" t="n">
        <v>134</v>
      </c>
      <c r="B149" s="2" t="n">
        <v>0.2532832</v>
      </c>
      <c r="C149" s="2"/>
      <c r="D149" s="2" t="n">
        <v>0.899184522</v>
      </c>
      <c r="E149" s="2" t="n">
        <f aca="false">IF(E$7=E$5,E$6,IF(NORMSDIST(E$9*SQRT($C$11)*NORMSINV($B149)+SQRT(1-E$9^2*$C$11)*NORMSINV(D149))&lt;E$8,E$5+SQRT(NORMSDIST(E$9*SQRT($C$11)*NORMSINV($B149)+SQRT(1-E$9^2*$C$11)*NORMSINV(D149))*(E$7-E$5)*(E$6-E$5)),E$7-SQRT((1-NORMSDIST(E$9*SQRT($C$11)*NORMSINV($B149)+SQRT(1-E$9^2*$C$11)*NORMSINV(D149)))*(E$7-E$5)*(E$7-E$6))))</f>
        <v>0.0562272694627685</v>
      </c>
      <c r="F149" s="2" t="n">
        <v>0.898154679</v>
      </c>
      <c r="G149" s="2" t="n">
        <f aca="false">IF(G$7=G$5,G$6,IF(NORMSDIST(G$9*SQRT($C$11)*NORMSINV($B149)+SQRT(1-G$9^2*$C$11)*NORMSINV(F149))&lt;G$8,G$5+SQRT(NORMSDIST(G$9*SQRT($C$11)*NORMSINV($B149)+SQRT(1-G$9^2*$C$11)*NORMSINV(F149))*(G$7-G$5)*(G$6-G$5)),G$7-SQRT((1-NORMSDIST(G$9*SQRT($C$11)*NORMSINV($B149)+SQRT(1-G$9^2*$C$11)*NORMSINV(F149)))*(G$7-G$5)*(G$7-G$6))))</f>
        <v>0.0586514437395194</v>
      </c>
      <c r="H149" s="2" t="n">
        <v>0.742174854</v>
      </c>
      <c r="I149" s="2" t="n">
        <f aca="false">IF(I$7=I$5,I$6,IF(NORMSDIST(I$9*SQRT($C$11)*NORMSINV($B149)+SQRT(1-I$9^2*$C$11)*NORMSINV(H149))&lt;I$8,I$5+SQRT(NORMSDIST(I$9*SQRT($C$11)*NORMSINV($B149)+SQRT(1-I$9^2*$C$11)*NORMSINV(H149))*(I$7-I$5)*(I$6-I$5)),I$7-SQRT((1-NORMSDIST(I$9*SQRT($C$11)*NORMSINV($B149)+SQRT(1-I$9^2*$C$11)*NORMSINV(H149)))*(I$7-I$5)*(I$7-I$6))))</f>
        <v>200.676629131546</v>
      </c>
      <c r="J149" s="2" t="n">
        <v>0.287651565</v>
      </c>
      <c r="K149" s="2" t="n">
        <f aca="false">IF(K$7=K$5,K$6,IF(NORMSDIST(K$9*SQRT($C$11)*NORMSINV($B149)+SQRT(1-K$9^2*$C$11)*NORMSINV(J149))&lt;K$8,K$5+SQRT(NORMSDIST(K$9*SQRT($C$11)*NORMSINV($B149)+SQRT(1-K$9^2*$C$11)*NORMSINV(J149))*(K$7-K$5)*(K$6-K$5)),K$7-SQRT((1-NORMSDIST(K$9*SQRT($C$11)*NORMSINV($B149)+SQRT(1-K$9^2*$C$11)*NORMSINV(J149)))*(K$7-K$5)*(K$7-K$6))))</f>
        <v>0.156739988841959</v>
      </c>
      <c r="L149" s="2" t="n">
        <v>0.762004112</v>
      </c>
      <c r="M149" s="2" t="n">
        <f aca="false">IF(M$7=M$5,M$6,IF(NORMSDIST(M$9*SQRT($C$11)*NORMSINV($B149)+SQRT(1-M$9^2*$C$11)*NORMSINV(L149))&lt;M$8,M$5+SQRT(NORMSDIST(M$9*SQRT($C$11)*NORMSINV($B149)+SQRT(1-M$9^2*$C$11)*NORMSINV(L149))*(M$7-M$5)*(M$6-M$5)),M$7-SQRT((1-NORMSDIST(M$9*SQRT($C$11)*NORMSINV($B149)+SQRT(1-M$9^2*$C$11)*NORMSINV(L149)))*(M$7-M$5)*(M$7-M$6))))</f>
        <v>1599.79981080271</v>
      </c>
      <c r="N149" s="2" t="n">
        <v>0.034929508</v>
      </c>
      <c r="O149" s="2" t="n">
        <f aca="false">IF(O$7=O$5,O$6,IF(NORMSDIST(O$9*SQRT($C$11)*NORMSINV($B149)+SQRT(1-O$9^2*$C$11)*NORMSINV(N149))&lt;O$8,O$5+SQRT(NORMSDIST(O$9*SQRT($C$11)*NORMSINV($B149)+SQRT(1-O$9^2*$C$11)*NORMSINV(N149))*(O$7-O$5)*(O$6-O$5)),O$7-SQRT((1-NORMSDIST(O$9*SQRT($C$11)*NORMSINV($B149)+SQRT(1-O$9^2*$C$11)*NORMSINV(N149)))*(O$7-O$5)*(O$7-O$6))))</f>
        <v>0.146990174721749</v>
      </c>
      <c r="P149" s="2" t="n">
        <v>0.286518547</v>
      </c>
      <c r="Q149" s="2" t="n">
        <f aca="false">IF(Q$7=Q$5,Q$6,IF(NORMSDIST(Q$9*SQRT($C$11)*NORMSINV($B149)+SQRT(1-Q$9^2*$C$11)*NORMSINV(P149))&lt;Q$8,Q$5+SQRT(NORMSDIST(Q$9*SQRT($C$11)*NORMSINV($B149)+SQRT(1-Q$9^2*$C$11)*NORMSINV(P149))*(Q$7-Q$5)*(Q$6-Q$5)),Q$7-SQRT((1-NORMSDIST(Q$9*SQRT($C$11)*NORMSINV($B149)+SQRT(1-Q$9^2*$C$11)*NORMSINV(P149)))*(Q$7-Q$5)*(Q$7-Q$6))))</f>
        <v>0.0702796854409025</v>
      </c>
      <c r="R149" s="2" t="n">
        <v>0.935795582</v>
      </c>
      <c r="S149" s="2" t="n">
        <f aca="false">IF(S$7=S$5,S$6,IF(NORMSDIST(S$9*SQRT($C$11)*NORMSINV($B149)+SQRT(1-S$9^2*$C$11)*NORMSINV(R149))&lt;S$8,S$5+SQRT(NORMSDIST(S$9*SQRT($C$11)*NORMSINV($B149)+SQRT(1-S$9^2*$C$11)*NORMSINV(R149))*(S$7-S$5)*(S$6-S$5)),S$7-SQRT((1-NORMSDIST(S$9*SQRT($C$11)*NORMSINV($B149)+SQRT(1-S$9^2*$C$11)*NORMSINV(R149)))*(S$7-S$5)*(S$7-S$6))))</f>
        <v>0.665084647940331</v>
      </c>
      <c r="T149" s="2" t="n">
        <v>0.543391265</v>
      </c>
      <c r="U149" s="2" t="n">
        <f aca="false">IF(U$7=U$5,U$6,IF(NORMSDIST(U$9*SQRT($C$11)*NORMSINV($B149)+SQRT(1-U$9^2*$C$11)*NORMSINV(T149))&lt;U$8,U$5+SQRT(NORMSDIST(U$9*SQRT($C$11)*NORMSINV($B149)+SQRT(1-U$9^2*$C$11)*NORMSINV(T149))*(U$7-U$5)*(U$6-U$5)),U$7-SQRT((1-NORMSDIST(U$9*SQRT($C$11)*NORMSINV($B149)+SQRT(1-U$9^2*$C$11)*NORMSINV(T149)))*(U$7-U$5)*(U$7-U$6))))</f>
        <v>0.429281346839289</v>
      </c>
      <c r="V149" s="2" t="n">
        <v>0.808837344</v>
      </c>
      <c r="W149" s="2" t="n">
        <f aca="false">IF(W$7=W$5,W$6,IF(NORMSDIST(W$9*SQRT($C$11)*NORMSINV($B149)+SQRT(1-W$9^2*$C$11)*NORMSINV(V149))&lt;W$8,W$5+SQRT(NORMSDIST(W$9*SQRT($C$11)*NORMSINV($B149)+SQRT(1-W$9^2*$C$11)*NORMSINV(V149))*(W$7-W$5)*(W$6-W$5)),W$7-SQRT((1-NORMSDIST(W$9*SQRT($C$11)*NORMSINV($B149)+SQRT(1-W$9^2*$C$11)*NORMSINV(V149)))*(W$7-W$5)*(W$7-W$6))))</f>
        <v>10.2139828267664</v>
      </c>
      <c r="X149" s="2" t="n">
        <v>0.595316245</v>
      </c>
      <c r="Y149" s="2" t="n">
        <f aca="false">IF(Y$7=Y$5,Y$6,IF(NORMSDIST(Y$9*SQRT($C$11)*NORMSINV($B149)+SQRT(1-Y$9^2*$C$11)*NORMSINV(X149))&lt;Y$8,Y$5+SQRT(NORMSDIST(Y$9*SQRT($C$11)*NORMSINV($B149)+SQRT(1-Y$9^2*$C$11)*NORMSINV(X149))*(Y$7-Y$5)*(Y$6-Y$5)),Y$7-SQRT((1-NORMSDIST(Y$9*SQRT($C$11)*NORMSINV($B149)+SQRT(1-Y$9^2*$C$11)*NORMSINV(X149)))*(Y$7-Y$5)*(Y$7-Y$6))))</f>
        <v>0.550175725977355</v>
      </c>
      <c r="Z149" s="2" t="n">
        <v>0.95882515</v>
      </c>
      <c r="AA149" s="2" t="n">
        <f aca="false">IF(AA$7=AA$5,AA$6,IF(NORMSDIST(AA$9*SQRT($C$11)*NORMSINV($B149)+SQRT(1-AA$9^2*$C$11)*NORMSINV(Z149))&lt;AA$8,AA$5+SQRT(NORMSDIST(AA$9*SQRT($C$11)*NORMSINV($B149)+SQRT(1-AA$9^2*$C$11)*NORMSINV(Z149))*(AA$7-AA$5)*(AA$6-AA$5)),AA$7-SQRT((1-NORMSDIST(AA$9*SQRT($C$11)*NORMSINV($B149)+SQRT(1-AA$9^2*$C$11)*NORMSINV(Z149)))*(AA$7-AA$5)*(AA$7-AA$6))))</f>
        <v>0.738772776325693</v>
      </c>
      <c r="AB149" s="2" t="n">
        <v>0.615504567</v>
      </c>
      <c r="AC149" s="2" t="n">
        <f aca="false">IF(AC$7=AC$5,AC$6,IF(NORMSDIST(AC$9*SQRT($C$11)*NORMSINV($B149)+SQRT(1-AC$9^2*$C$11)*NORMSINV(AB149))&lt;AC$8,AC$5+SQRT(NORMSDIST(AC$9*SQRT($C$11)*NORMSINV($B149)+SQRT(1-AC$9^2*$C$11)*NORMSINV(AB149))*(AC$7-AC$5)*(AC$6-AC$5)),AC$7-SQRT((1-NORMSDIST(AC$9*SQRT($C$11)*NORMSINV($B149)+SQRT(1-AC$9^2*$C$11)*NORMSINV(AB149)))*(AC$7-AC$5)*(AC$7-AC$6))))</f>
        <v>9.31318889112659</v>
      </c>
      <c r="AD149" s="2" t="n">
        <f aca="false">Entrées!$C$8*(1+E149)</f>
        <v>7446.40224971252</v>
      </c>
      <c r="AE149" s="2" t="n">
        <f aca="false">I149*Hypothèses!$J$24/12/Hypothèses!$J$19</f>
        <v>99.5550334216217</v>
      </c>
      <c r="AF149" s="2" t="n">
        <f aca="false">Entrées!$C$36*S149*1000</f>
        <v>332.542323970165</v>
      </c>
      <c r="AG149" s="2" t="n">
        <f aca="false">-AF149/W149</f>
        <v>-32.5575565976787</v>
      </c>
      <c r="AH149" s="2" t="n">
        <f aca="false">AD149+AE149+AG149</f>
        <v>7513.39972653646</v>
      </c>
      <c r="AI149" s="2" t="n">
        <f aca="false">Entrées!$C$16-M149+Hypothèses!$J$22*1000-AF149+Hypothèses!$J$23</f>
        <v>22615.6578652271</v>
      </c>
      <c r="AJ149" s="2" t="n">
        <f aca="false">AI149/AH149</f>
        <v>3.01004321457186</v>
      </c>
      <c r="AK149" s="2" t="n">
        <f aca="false">AI149/(AH149+I149*(12-Hypothèses!$J$24)/12/Hypothèses!$J$19)</f>
        <v>2.98182169706286</v>
      </c>
      <c r="AL149" s="2" t="n">
        <f aca="false">(AD149+AG149+I149/Hypothèses!$J$19)*(1+G149)</f>
        <v>8029.3529535066</v>
      </c>
      <c r="AM149" s="2" t="n">
        <f aca="false">Entrées!$C$54*K149/Hypothèses!$J$19</f>
        <v>15.9959739700071</v>
      </c>
      <c r="AN149" s="2" t="n">
        <f aca="false">Y149*1000/AC149</f>
        <v>59.0749025289877</v>
      </c>
      <c r="AO149" s="2" t="n">
        <f aca="false">(Entrées!$C$36*(1-S149)+MAX(0,Entrées!$C$30-Entrées!$C$35-Entrées!$C$36)*U149)*1000</f>
        <v>768.451561604839</v>
      </c>
      <c r="AP149" s="2" t="n">
        <f aca="false">-AO149/W149</f>
        <v>-75.2352509924984</v>
      </c>
      <c r="AQ149" s="2" t="n">
        <f aca="false">AL149+AM149+AN149+AP149</f>
        <v>8029.1885790131</v>
      </c>
      <c r="AR149" s="2" t="n">
        <f aca="false">O149*AQ149-Hypothèses!$J$25/Hypothèses!$J$19</f>
        <v>1161.07666984138</v>
      </c>
      <c r="AS149" s="2" t="n">
        <f aca="false">Entrées!$C$79*(1+Q149)+Hypothèses!$J$20</f>
        <v>1471.23737429955</v>
      </c>
      <c r="AT149" s="2" t="n">
        <f aca="false">AI149-AR149+AS149+Y149*1000-AO149+Hypothèses!$J$23</f>
        <v>22707.5427340578</v>
      </c>
      <c r="AU149" s="2" t="n">
        <f aca="false">AT149/AQ149</f>
        <v>2.82812422582917</v>
      </c>
      <c r="AV149" s="2" t="n">
        <f aca="false">Hypothèses!$J$26*AQ149-AT149</f>
        <v>1380.02300298149</v>
      </c>
      <c r="AW149" s="2" t="n">
        <f aca="false">IF(AC149&gt;Hypothèses!$J$26,MAX(0,AV149)/(1-Hypothèses!$J$26/AC149),0)</f>
        <v>2035.80395304359</v>
      </c>
      <c r="AX149" s="2" t="n">
        <f aca="false">AQ149-Entrées!$C$17*1000</f>
        <v>29.1885790131</v>
      </c>
      <c r="AY149" s="2" t="n">
        <f aca="false">AI149+(Entrées!$C$244-Entrées!$C$13)</f>
        <v>28362.6578652271</v>
      </c>
      <c r="AZ149" s="2" t="n">
        <f aca="false">AA149*AH149</f>
        <v>5550.69517561805</v>
      </c>
      <c r="BA149" s="2" t="n">
        <f aca="false">AZ149/AY149</f>
        <v>0.195704337794916</v>
      </c>
      <c r="BB149" s="2" t="n">
        <f aca="false">AZ149/(Entrées!$C$151/100)-AY149</f>
        <v>2474.53755487314</v>
      </c>
      <c r="BC149" s="2" t="n">
        <f aca="false">AT149+(Entrées!$C$244-Entrées!$C$13)</f>
        <v>28454.5427340578</v>
      </c>
      <c r="BD149" s="2" t="n">
        <f aca="false">AA149*AQ149</f>
        <v>5931.74593816006</v>
      </c>
      <c r="BE149" s="2" t="n">
        <f aca="false">BD149/BC149</f>
        <v>0.208463934690479</v>
      </c>
      <c r="BF149" s="2" t="n">
        <f aca="false">BD149/(Entrées!$C$151/100)-BC149</f>
        <v>4499.6013668314</v>
      </c>
      <c r="BG149" s="2" t="n">
        <f aca="false">MIN(AV149,BF149)</f>
        <v>1380.02300298149</v>
      </c>
      <c r="BH149" s="2" t="n">
        <f aca="false">IF(AC149&gt;Hypothèses!$J$26,MAX(0,BG149)/(1-Hypothèses!$J$26/AC149),0)</f>
        <v>2035.80395304359</v>
      </c>
    </row>
    <row r="150" customFormat="false" ht="15" hidden="false" customHeight="false" outlineLevel="0" collapsed="false">
      <c r="A150" s="2" t="n">
        <v>135</v>
      </c>
      <c r="B150" s="2" t="n">
        <v>0.059032971</v>
      </c>
      <c r="C150" s="2"/>
      <c r="D150" s="2" t="n">
        <v>0.567175449</v>
      </c>
      <c r="E150" s="2" t="n">
        <f aca="false">IF(E$7=E$5,E$6,IF(NORMSDIST(E$9*SQRT($C$11)*NORMSINV($B150)+SQRT(1-E$9^2*$C$11)*NORMSINV(D150))&lt;E$8,E$5+SQRT(NORMSDIST(E$9*SQRT($C$11)*NORMSINV($B150)+SQRT(1-E$9^2*$C$11)*NORMSINV(D150))*(E$7-E$5)*(E$6-E$5)),E$7-SQRT((1-NORMSDIST(E$9*SQRT($C$11)*NORMSINV($B150)+SQRT(1-E$9^2*$C$11)*NORMSINV(D150)))*(E$7-E$5)*(E$7-E$6))))</f>
        <v>0.0531273062450859</v>
      </c>
      <c r="F150" s="2" t="n">
        <v>0.453039009</v>
      </c>
      <c r="G150" s="2" t="n">
        <f aca="false">IF(G$7=G$5,G$6,IF(NORMSDIST(G$9*SQRT($C$11)*NORMSINV($B150)+SQRT(1-G$9^2*$C$11)*NORMSINV(F150))&lt;G$8,G$5+SQRT(NORMSDIST(G$9*SQRT($C$11)*NORMSINV($B150)+SQRT(1-G$9^2*$C$11)*NORMSINV(F150))*(G$7-G$5)*(G$6-G$5)),G$7-SQRT((1-NORMSDIST(G$9*SQRT($C$11)*NORMSINV($B150)+SQRT(1-G$9^2*$C$11)*NORMSINV(F150)))*(G$7-G$5)*(G$7-G$6))))</f>
        <v>0.0479399984196011</v>
      </c>
      <c r="H150" s="2" t="n">
        <v>0.454169045</v>
      </c>
      <c r="I150" s="2" t="n">
        <f aca="false">IF(I$7=I$5,I$6,IF(NORMSDIST(I$9*SQRT($C$11)*NORMSINV($B150)+SQRT(1-I$9^2*$C$11)*NORMSINV(H150))&lt;I$8,I$5+SQRT(NORMSDIST(I$9*SQRT($C$11)*NORMSINV($B150)+SQRT(1-I$9^2*$C$11)*NORMSINV(H150))*(I$7-I$5)*(I$6-I$5)),I$7-SQRT((1-NORMSDIST(I$9*SQRT($C$11)*NORMSINV($B150)+SQRT(1-I$9^2*$C$11)*NORMSINV(H150)))*(I$7-I$5)*(I$7-I$6))))</f>
        <v>190.605256700749</v>
      </c>
      <c r="J150" s="2" t="n">
        <v>0.223939803</v>
      </c>
      <c r="K150" s="2" t="n">
        <f aca="false">IF(K$7=K$5,K$6,IF(NORMSDIST(K$9*SQRT($C$11)*NORMSINV($B150)+SQRT(1-K$9^2*$C$11)*NORMSINV(J150))&lt;K$8,K$5+SQRT(NORMSDIST(K$9*SQRT($C$11)*NORMSINV($B150)+SQRT(1-K$9^2*$C$11)*NORMSINV(J150))*(K$7-K$5)*(K$6-K$5)),K$7-SQRT((1-NORMSDIST(K$9*SQRT($C$11)*NORMSINV($B150)+SQRT(1-K$9^2*$C$11)*NORMSINV(J150)))*(K$7-K$5)*(K$7-K$6))))</f>
        <v>0.0847567055498397</v>
      </c>
      <c r="L150" s="2" t="n">
        <v>0.798926561</v>
      </c>
      <c r="M150" s="2" t="n">
        <f aca="false">IF(M$7=M$5,M$6,IF(NORMSDIST(M$9*SQRT($C$11)*NORMSINV($B150)+SQRT(1-M$9^2*$C$11)*NORMSINV(L150))&lt;M$8,M$5+SQRT(NORMSDIST(M$9*SQRT($C$11)*NORMSINV($B150)+SQRT(1-M$9^2*$C$11)*NORMSINV(L150))*(M$7-M$5)*(M$6-M$5)),M$7-SQRT((1-NORMSDIST(M$9*SQRT($C$11)*NORMSINV($B150)+SQRT(1-M$9^2*$C$11)*NORMSINV(L150)))*(M$7-M$5)*(M$7-M$6))))</f>
        <v>1544.96292981695</v>
      </c>
      <c r="N150" s="2" t="n">
        <v>0.815843834</v>
      </c>
      <c r="O150" s="2" t="n">
        <f aca="false">IF(O$7=O$5,O$6,IF(NORMSDIST(O$9*SQRT($C$11)*NORMSINV($B150)+SQRT(1-O$9^2*$C$11)*NORMSINV(N150))&lt;O$8,O$5+SQRT(NORMSDIST(O$9*SQRT($C$11)*NORMSINV($B150)+SQRT(1-O$9^2*$C$11)*NORMSINV(N150))*(O$7-O$5)*(O$6-O$5)),O$7-SQRT((1-NORMSDIST(O$9*SQRT($C$11)*NORMSINV($B150)+SQRT(1-O$9^2*$C$11)*NORMSINV(N150)))*(O$7-O$5)*(O$7-O$6))))</f>
        <v>0.163511934380706</v>
      </c>
      <c r="P150" s="2" t="n">
        <v>0.809020685</v>
      </c>
      <c r="Q150" s="2" t="n">
        <f aca="false">IF(Q$7=Q$5,Q$6,IF(NORMSDIST(Q$9*SQRT($C$11)*NORMSINV($B150)+SQRT(1-Q$9^2*$C$11)*NORMSINV(P150))&lt;Q$8,Q$5+SQRT(NORMSDIST(Q$9*SQRT($C$11)*NORMSINV($B150)+SQRT(1-Q$9^2*$C$11)*NORMSINV(P150))*(Q$7-Q$5)*(Q$6-Q$5)),Q$7-SQRT((1-NORMSDIST(Q$9*SQRT($C$11)*NORMSINV($B150)+SQRT(1-Q$9^2*$C$11)*NORMSINV(P150)))*(Q$7-Q$5)*(Q$7-Q$6))))</f>
        <v>0.0952788793134292</v>
      </c>
      <c r="R150" s="2" t="n">
        <v>0.514392874</v>
      </c>
      <c r="S150" s="2" t="n">
        <f aca="false">IF(S$7=S$5,S$6,IF(NORMSDIST(S$9*SQRT($C$11)*NORMSINV($B150)+SQRT(1-S$9^2*$C$11)*NORMSINV(R150))&lt;S$8,S$5+SQRT(NORMSDIST(S$9*SQRT($C$11)*NORMSINV($B150)+SQRT(1-S$9^2*$C$11)*NORMSINV(R150))*(S$7-S$5)*(S$6-S$5)),S$7-SQRT((1-NORMSDIST(S$9*SQRT($C$11)*NORMSINV($B150)+SQRT(1-S$9^2*$C$11)*NORMSINV(R150)))*(S$7-S$5)*(S$7-S$6))))</f>
        <v>0.290165157567087</v>
      </c>
      <c r="T150" s="2" t="n">
        <v>0.64555026</v>
      </c>
      <c r="U150" s="2" t="n">
        <f aca="false">IF(U$7=U$5,U$6,IF(NORMSDIST(U$9*SQRT($C$11)*NORMSINV($B150)+SQRT(1-U$9^2*$C$11)*NORMSINV(T150))&lt;U$8,U$5+SQRT(NORMSDIST(U$9*SQRT($C$11)*NORMSINV($B150)+SQRT(1-U$9^2*$C$11)*NORMSINV(T150))*(U$7-U$5)*(U$6-U$5)),U$7-SQRT((1-NORMSDIST(U$9*SQRT($C$11)*NORMSINV($B150)+SQRT(1-U$9^2*$C$11)*NORMSINV(T150)))*(U$7-U$5)*(U$7-U$6))))</f>
        <v>0.347979633970072</v>
      </c>
      <c r="V150" s="2" t="n">
        <v>0.188563146</v>
      </c>
      <c r="W150" s="2" t="n">
        <f aca="false">IF(W$7=W$5,W$6,IF(NORMSDIST(W$9*SQRT($C$11)*NORMSINV($B150)+SQRT(1-W$9^2*$C$11)*NORMSINV(V150))&lt;W$8,W$5+SQRT(NORMSDIST(W$9*SQRT($C$11)*NORMSINV($B150)+SQRT(1-W$9^2*$C$11)*NORMSINV(V150))*(W$7-W$5)*(W$6-W$5)),W$7-SQRT((1-NORMSDIST(W$9*SQRT($C$11)*NORMSINV($B150)+SQRT(1-W$9^2*$C$11)*NORMSINV(V150)))*(W$7-W$5)*(W$7-W$6))))</f>
        <v>8.61449944583039</v>
      </c>
      <c r="X150" s="2" t="n">
        <v>0.16444509</v>
      </c>
      <c r="Y150" s="2" t="n">
        <f aca="false">IF(Y$7=Y$5,Y$6,IF(NORMSDIST(Y$9*SQRT($C$11)*NORMSINV($B150)+SQRT(1-Y$9^2*$C$11)*NORMSINV(X150))&lt;Y$8,Y$5+SQRT(NORMSDIST(Y$9*SQRT($C$11)*NORMSINV($B150)+SQRT(1-Y$9^2*$C$11)*NORMSINV(X150))*(Y$7-Y$5)*(Y$6-Y$5)),Y$7-SQRT((1-NORMSDIST(Y$9*SQRT($C$11)*NORMSINV($B150)+SQRT(1-Y$9^2*$C$11)*NORMSINV(X150)))*(Y$7-Y$5)*(Y$7-Y$6))))</f>
        <v>0.286744738399853</v>
      </c>
      <c r="Z150" s="2" t="n">
        <v>0.013060098</v>
      </c>
      <c r="AA150" s="2" t="n">
        <f aca="false">IF(AA$7=AA$5,AA$6,IF(NORMSDIST(AA$9*SQRT($C$11)*NORMSINV($B150)+SQRT(1-AA$9^2*$C$11)*NORMSINV(Z150))&lt;AA$8,AA$5+SQRT(NORMSDIST(AA$9*SQRT($C$11)*NORMSINV($B150)+SQRT(1-AA$9^2*$C$11)*NORMSINV(Z150))*(AA$7-AA$5)*(AA$6-AA$5)),AA$7-SQRT((1-NORMSDIST(AA$9*SQRT($C$11)*NORMSINV($B150)+SQRT(1-AA$9^2*$C$11)*NORMSINV(Z150)))*(AA$7-AA$5)*(AA$7-AA$6))))</f>
        <v>0.697997905555281</v>
      </c>
      <c r="AB150" s="2" t="n">
        <v>0.84567089</v>
      </c>
      <c r="AC150" s="2" t="n">
        <f aca="false">IF(AC$7=AC$5,AC$6,IF(NORMSDIST(AC$9*SQRT($C$11)*NORMSINV($B150)+SQRT(1-AC$9^2*$C$11)*NORMSINV(AB150))&lt;AC$8,AC$5+SQRT(NORMSDIST(AC$9*SQRT($C$11)*NORMSINV($B150)+SQRT(1-AC$9^2*$C$11)*NORMSINV(AB150))*(AC$7-AC$5)*(AC$6-AC$5)),AC$7-SQRT((1-NORMSDIST(AC$9*SQRT($C$11)*NORMSINV($B150)+SQRT(1-AC$9^2*$C$11)*NORMSINV(AB150)))*(AC$7-AC$5)*(AC$7-AC$6))))</f>
        <v>9.3066894369467</v>
      </c>
      <c r="AD150" s="2" t="n">
        <f aca="false">Entrées!$C$8*(1+E150)</f>
        <v>7424.54750902786</v>
      </c>
      <c r="AE150" s="2" t="n">
        <f aca="false">I150*Hypothèses!$J$24/12/Hypothèses!$J$19</f>
        <v>94.558657793385</v>
      </c>
      <c r="AF150" s="2" t="n">
        <f aca="false">Entrées!$C$36*S150*1000</f>
        <v>145.082578783543</v>
      </c>
      <c r="AG150" s="2" t="n">
        <f aca="false">-AF150/W150</f>
        <v>-16.8416725424211</v>
      </c>
      <c r="AH150" s="2" t="n">
        <f aca="false">AD150+AE150+AG150</f>
        <v>7502.26449427882</v>
      </c>
      <c r="AI150" s="2" t="n">
        <f aca="false">Entrées!$C$16-M150+Hypothèses!$J$22*1000-AF150+Hypothèses!$J$23</f>
        <v>22857.9544913995</v>
      </c>
      <c r="AJ150" s="2" t="n">
        <f aca="false">AI150/AH150</f>
        <v>3.04680733514939</v>
      </c>
      <c r="AK150" s="2" t="n">
        <f aca="false">AI150/(AH150+I150*(12-Hypothèses!$J$24)/12/Hypothèses!$J$19)</f>
        <v>3.0196220755969</v>
      </c>
      <c r="AL150" s="2" t="n">
        <f aca="false">(AD150+AG150+I150/Hypothèses!$J$19)*(1+G150)</f>
        <v>7932.70289920552</v>
      </c>
      <c r="AM150" s="2" t="n">
        <f aca="false">Entrées!$C$54*K150/Hypothèses!$J$19</f>
        <v>8.64977767177086</v>
      </c>
      <c r="AN150" s="2" t="n">
        <f aca="false">Y150*1000/AC150</f>
        <v>30.8106056769771</v>
      </c>
      <c r="AO150" s="2" t="n">
        <f aca="false">(Entrées!$C$36*(1-S150)+MAX(0,Entrées!$C$30-Entrées!$C$35-Entrées!$C$36)*U150)*1000</f>
        <v>842.088908774557</v>
      </c>
      <c r="AP150" s="2" t="n">
        <f aca="false">-AO150/W150</f>
        <v>-97.7525060010477</v>
      </c>
      <c r="AQ150" s="2" t="n">
        <f aca="false">AL150+AM150+AN150+AP150</f>
        <v>7874.41077655322</v>
      </c>
      <c r="AR150" s="2" t="n">
        <f aca="false">O150*AQ150-Hypothèses!$J$25/Hypothèses!$J$19</f>
        <v>1268.42497592087</v>
      </c>
      <c r="AS150" s="2" t="n">
        <f aca="false">Entrées!$C$79*(1+Q150)+Hypothèses!$J$20</f>
        <v>1498.71148836546</v>
      </c>
      <c r="AT150" s="2" t="n">
        <f aca="false">AI150-AR150+AS150+Y150*1000-AO150+Hypothèses!$J$23</f>
        <v>22532.8968334694</v>
      </c>
      <c r="AU150" s="2" t="n">
        <f aca="false">AT150/AQ150</f>
        <v>2.8615343386153</v>
      </c>
      <c r="AV150" s="2" t="n">
        <f aca="false">Hypothèses!$J$26*AQ150-AT150</f>
        <v>1090.33549619026</v>
      </c>
      <c r="AW150" s="2" t="n">
        <f aca="false">IF(AC150&gt;Hypothèses!$J$26,MAX(0,AV150)/(1-Hypothèses!$J$26/AC150),0)</f>
        <v>1608.992157704</v>
      </c>
      <c r="AX150" s="2" t="n">
        <f aca="false">AQ150-Entrées!$C$17*1000</f>
        <v>-125.589223446782</v>
      </c>
      <c r="AY150" s="2" t="n">
        <f aca="false">AI150+(Entrées!$C$244-Entrées!$C$13)</f>
        <v>28604.9544913995</v>
      </c>
      <c r="AZ150" s="2" t="n">
        <f aca="false">AA150*AH150</f>
        <v>5236.56490392836</v>
      </c>
      <c r="BA150" s="2" t="n">
        <f aca="false">AZ150/AY150</f>
        <v>0.183064961893326</v>
      </c>
      <c r="BB150" s="2" t="n">
        <f aca="false">AZ150/(Entrées!$C$151/100)-AY150</f>
        <v>487.072752646953</v>
      </c>
      <c r="BC150" s="2" t="n">
        <f aca="false">AT150+(Entrées!$C$244-Entrées!$C$13)</f>
        <v>28279.8968334694</v>
      </c>
      <c r="BD150" s="2" t="n">
        <f aca="false">AA150*AQ150</f>
        <v>5496.32222951608</v>
      </c>
      <c r="BE150" s="2" t="n">
        <f aca="false">BD150/BC150</f>
        <v>0.194354394638779</v>
      </c>
      <c r="BF150" s="2" t="n">
        <f aca="false">BD150/(Entrées!$C$151/100)-BC150</f>
        <v>2255.22666384215</v>
      </c>
      <c r="BG150" s="2" t="n">
        <f aca="false">MIN(AV150,BF150)</f>
        <v>1090.33549619026</v>
      </c>
      <c r="BH150" s="2" t="n">
        <f aca="false">IF(AC150&gt;Hypothèses!$J$26,MAX(0,BG150)/(1-Hypothèses!$J$26/AC150),0)</f>
        <v>1608.992157704</v>
      </c>
    </row>
    <row r="151" customFormat="false" ht="15" hidden="false" customHeight="false" outlineLevel="0" collapsed="false">
      <c r="A151" s="2" t="n">
        <v>136</v>
      </c>
      <c r="B151" s="2" t="n">
        <v>0.870408142</v>
      </c>
      <c r="C151" s="2"/>
      <c r="D151" s="2" t="n">
        <v>0.025718431</v>
      </c>
      <c r="E151" s="2" t="n">
        <f aca="false">IF(E$7=E$5,E$6,IF(NORMSDIST(E$9*SQRT($C$11)*NORMSINV($B151)+SQRT(1-E$9^2*$C$11)*NORMSINV(D151))&lt;E$8,E$5+SQRT(NORMSDIST(E$9*SQRT($C$11)*NORMSINV($B151)+SQRT(1-E$9^2*$C$11)*NORMSINV(D151))*(E$7-E$5)*(E$6-E$5)),E$7-SQRT((1-NORMSDIST(E$9*SQRT($C$11)*NORMSINV($B151)+SQRT(1-E$9^2*$C$11)*NORMSINV(D151)))*(E$7-E$5)*(E$7-E$6))))</f>
        <v>0.0532654294476846</v>
      </c>
      <c r="F151" s="2" t="n">
        <v>0.953776198</v>
      </c>
      <c r="G151" s="2" t="n">
        <f aca="false">IF(G$7=G$5,G$6,IF(NORMSDIST(G$9*SQRT($C$11)*NORMSINV($B151)+SQRT(1-G$9^2*$C$11)*NORMSINV(F151))&lt;G$8,G$5+SQRT(NORMSDIST(G$9*SQRT($C$11)*NORMSINV($B151)+SQRT(1-G$9^2*$C$11)*NORMSINV(F151))*(G$7-G$5)*(G$6-G$5)),G$7-SQRT((1-NORMSDIST(G$9*SQRT($C$11)*NORMSINV($B151)+SQRT(1-G$9^2*$C$11)*NORMSINV(F151)))*(G$7-G$5)*(G$7-G$6))))</f>
        <v>0.0668643668637285</v>
      </c>
      <c r="H151" s="2" t="n">
        <v>0.510679588</v>
      </c>
      <c r="I151" s="2" t="n">
        <f aca="false">IF(I$7=I$5,I$6,IF(NORMSDIST(I$9*SQRT($C$11)*NORMSINV($B151)+SQRT(1-I$9^2*$C$11)*NORMSINV(H151))&lt;I$8,I$5+SQRT(NORMSDIST(I$9*SQRT($C$11)*NORMSINV($B151)+SQRT(1-I$9^2*$C$11)*NORMSINV(H151))*(I$7-I$5)*(I$6-I$5)),I$7-SQRT((1-NORMSDIST(I$9*SQRT($C$11)*NORMSINV($B151)+SQRT(1-I$9^2*$C$11)*NORMSINV(H151)))*(I$7-I$5)*(I$7-I$6))))</f>
        <v>206.395086516661</v>
      </c>
      <c r="J151" s="2" t="n">
        <v>0.172107885</v>
      </c>
      <c r="K151" s="2" t="n">
        <f aca="false">IF(K$7=K$5,K$6,IF(NORMSDIST(K$9*SQRT($C$11)*NORMSINV($B151)+SQRT(1-K$9^2*$C$11)*NORMSINV(J151))&lt;K$8,K$5+SQRT(NORMSDIST(K$9*SQRT($C$11)*NORMSINV($B151)+SQRT(1-K$9^2*$C$11)*NORMSINV(J151))*(K$7-K$5)*(K$6-K$5)),K$7-SQRT((1-NORMSDIST(K$9*SQRT($C$11)*NORMSINV($B151)+SQRT(1-K$9^2*$C$11)*NORMSINV(J151)))*(K$7-K$5)*(K$7-K$6))))</f>
        <v>0.248092619273872</v>
      </c>
      <c r="L151" s="2" t="n">
        <v>0.536528446</v>
      </c>
      <c r="M151" s="2" t="n">
        <f aca="false">IF(M$7=M$5,M$6,IF(NORMSDIST(M$9*SQRT($C$11)*NORMSINV($B151)+SQRT(1-M$9^2*$C$11)*NORMSINV(L151))&lt;M$8,M$5+SQRT(NORMSDIST(M$9*SQRT($C$11)*NORMSINV($B151)+SQRT(1-M$9^2*$C$11)*NORMSINV(L151))*(M$7-M$5)*(M$6-M$5)),M$7-SQRT((1-NORMSDIST(M$9*SQRT($C$11)*NORMSINV($B151)+SQRT(1-M$9^2*$C$11)*NORMSINV(L151)))*(M$7-M$5)*(M$7-M$6))))</f>
        <v>1660.66699547153</v>
      </c>
      <c r="N151" s="2" t="n">
        <v>0.164595077</v>
      </c>
      <c r="O151" s="2" t="n">
        <f aca="false">IF(O$7=O$5,O$6,IF(NORMSDIST(O$9*SQRT($C$11)*NORMSINV($B151)+SQRT(1-O$9^2*$C$11)*NORMSINV(N151))&lt;O$8,O$5+SQRT(NORMSDIST(O$9*SQRT($C$11)*NORMSINV($B151)+SQRT(1-O$9^2*$C$11)*NORMSINV(N151))*(O$7-O$5)*(O$6-O$5)),O$7-SQRT((1-NORMSDIST(O$9*SQRT($C$11)*NORMSINV($B151)+SQRT(1-O$9^2*$C$11)*NORMSINV(N151)))*(O$7-O$5)*(O$7-O$6))))</f>
        <v>0.166329885030159</v>
      </c>
      <c r="P151" s="2" t="n">
        <v>0.047517012</v>
      </c>
      <c r="Q151" s="2" t="n">
        <f aca="false">IF(Q$7=Q$5,Q$6,IF(NORMSDIST(Q$9*SQRT($C$11)*NORMSINV($B151)+SQRT(1-Q$9^2*$C$11)*NORMSINV(P151))&lt;Q$8,Q$5+SQRT(NORMSDIST(Q$9*SQRT($C$11)*NORMSINV($B151)+SQRT(1-Q$9^2*$C$11)*NORMSINV(P151))*(Q$7-Q$5)*(Q$6-Q$5)),Q$7-SQRT((1-NORMSDIST(Q$9*SQRT($C$11)*NORMSINV($B151)+SQRT(1-Q$9^2*$C$11)*NORMSINV(P151)))*(Q$7-Q$5)*(Q$7-Q$6))))</f>
        <v>0.0523310355769497</v>
      </c>
      <c r="R151" s="2" t="n">
        <v>0.803326442</v>
      </c>
      <c r="S151" s="2" t="n">
        <f aca="false">IF(S$7=S$5,S$6,IF(NORMSDIST(S$9*SQRT($C$11)*NORMSINV($B151)+SQRT(1-S$9^2*$C$11)*NORMSINV(R151))&lt;S$8,S$5+SQRT(NORMSDIST(S$9*SQRT($C$11)*NORMSINV($B151)+SQRT(1-S$9^2*$C$11)*NORMSINV(R151))*(S$7-S$5)*(S$6-S$5)),S$7-SQRT((1-NORMSDIST(S$9*SQRT($C$11)*NORMSINV($B151)+SQRT(1-S$9^2*$C$11)*NORMSINV(R151)))*(S$7-S$5)*(S$7-S$6))))</f>
        <v>0.794330752622246</v>
      </c>
      <c r="T151" s="2" t="n">
        <v>0.015383332</v>
      </c>
      <c r="U151" s="2" t="n">
        <f aca="false">IF(U$7=U$5,U$6,IF(NORMSDIST(U$9*SQRT($C$11)*NORMSINV($B151)+SQRT(1-U$9^2*$C$11)*NORMSINV(T151))&lt;U$8,U$5+SQRT(NORMSDIST(U$9*SQRT($C$11)*NORMSINV($B151)+SQRT(1-U$9^2*$C$11)*NORMSINV(T151))*(U$7-U$5)*(U$6-U$5)),U$7-SQRT((1-NORMSDIST(U$9*SQRT($C$11)*NORMSINV($B151)+SQRT(1-U$9^2*$C$11)*NORMSINV(T151)))*(U$7-U$5)*(U$7-U$6))))</f>
        <v>0.290374383345711</v>
      </c>
      <c r="V151" s="2" t="n">
        <v>0.825797162</v>
      </c>
      <c r="W151" s="2" t="n">
        <f aca="false">IF(W$7=W$5,W$6,IF(NORMSDIST(W$9*SQRT($C$11)*NORMSINV($B151)+SQRT(1-W$9^2*$C$11)*NORMSINV(V151))&lt;W$8,W$5+SQRT(NORMSDIST(W$9*SQRT($C$11)*NORMSINV($B151)+SQRT(1-W$9^2*$C$11)*NORMSINV(V151))*(W$7-W$5)*(W$6-W$5)),W$7-SQRT((1-NORMSDIST(W$9*SQRT($C$11)*NORMSINV($B151)+SQRT(1-W$9^2*$C$11)*NORMSINV(V151)))*(W$7-W$5)*(W$7-W$6))))</f>
        <v>11.2257037505436</v>
      </c>
      <c r="X151" s="2" t="n">
        <v>0.678366127</v>
      </c>
      <c r="Y151" s="2" t="n">
        <f aca="false">IF(Y$7=Y$5,Y$6,IF(NORMSDIST(Y$9*SQRT($C$11)*NORMSINV($B151)+SQRT(1-Y$9^2*$C$11)*NORMSINV(X151))&lt;Y$8,Y$5+SQRT(NORMSDIST(Y$9*SQRT($C$11)*NORMSINV($B151)+SQRT(1-Y$9^2*$C$11)*NORMSINV(X151))*(Y$7-Y$5)*(Y$6-Y$5)),Y$7-SQRT((1-NORMSDIST(Y$9*SQRT($C$11)*NORMSINV($B151)+SQRT(1-Y$9^2*$C$11)*NORMSINV(X151)))*(Y$7-Y$5)*(Y$7-Y$6))))</f>
        <v>0.598980129544682</v>
      </c>
      <c r="Z151" s="2" t="n">
        <v>0.014060704</v>
      </c>
      <c r="AA151" s="2" t="n">
        <f aca="false">IF(AA$7=AA$5,AA$6,IF(NORMSDIST(AA$9*SQRT($C$11)*NORMSINV($B151)+SQRT(1-AA$9^2*$C$11)*NORMSINV(Z151))&lt;AA$8,AA$5+SQRT(NORMSDIST(AA$9*SQRT($C$11)*NORMSINV($B151)+SQRT(1-AA$9^2*$C$11)*NORMSINV(Z151))*(AA$7-AA$5)*(AA$6-AA$5)),AA$7-SQRT((1-NORMSDIST(AA$9*SQRT($C$11)*NORMSINV($B151)+SQRT(1-AA$9^2*$C$11)*NORMSINV(Z151)))*(AA$7-AA$5)*(AA$7-AA$6))))</f>
        <v>0.713939230187451</v>
      </c>
      <c r="AB151" s="2" t="n">
        <v>0.32129146</v>
      </c>
      <c r="AC151" s="2" t="n">
        <f aca="false">IF(AC$7=AC$5,AC$6,IF(NORMSDIST(AC$9*SQRT($C$11)*NORMSINV($B151)+SQRT(1-AC$9^2*$C$11)*NORMSINV(AB151))&lt;AC$8,AC$5+SQRT(NORMSDIST(AC$9*SQRT($C$11)*NORMSINV($B151)+SQRT(1-AC$9^2*$C$11)*NORMSINV(AB151))*(AC$7-AC$5)*(AC$6-AC$5)),AC$7-SQRT((1-NORMSDIST(AC$9*SQRT($C$11)*NORMSINV($B151)+SQRT(1-AC$9^2*$C$11)*NORMSINV(AB151)))*(AC$7-AC$5)*(AC$7-AC$6))))</f>
        <v>9.74853141974591</v>
      </c>
      <c r="AD151" s="2" t="n">
        <f aca="false">Entrées!$C$8*(1+E151)</f>
        <v>7425.52127760618</v>
      </c>
      <c r="AE151" s="2" t="n">
        <f aca="false">I151*Hypothèses!$J$24/12/Hypothèses!$J$19</f>
        <v>102.391941827742</v>
      </c>
      <c r="AF151" s="2" t="n">
        <f aca="false">Entrées!$C$36*S151*1000</f>
        <v>397.165376311123</v>
      </c>
      <c r="AG151" s="2" t="n">
        <f aca="false">-AF151/W151</f>
        <v>-35.379998006084</v>
      </c>
      <c r="AH151" s="2" t="n">
        <f aca="false">AD151+AE151+AG151</f>
        <v>7492.53322142784</v>
      </c>
      <c r="AI151" s="2" t="n">
        <f aca="false">Entrées!$C$16-M151+Hypothèses!$J$22*1000-AF151+Hypothèses!$J$23</f>
        <v>22490.1676282174</v>
      </c>
      <c r="AJ151" s="2" t="n">
        <f aca="false">AI151/AH151</f>
        <v>3.00167739849293</v>
      </c>
      <c r="AK151" s="2" t="n">
        <f aca="false">AI151/(AH151+I151*(12-Hypothèses!$J$24)/12/Hypothèses!$J$19)</f>
        <v>2.97266027580382</v>
      </c>
      <c r="AL151" s="2" t="n">
        <f aca="false">(AD151+AG151+I151/Hypothèses!$J$19)*(1+G151)</f>
        <v>8071.54407876263</v>
      </c>
      <c r="AM151" s="2" t="n">
        <f aca="false">Entrées!$C$54*K151/Hypothèses!$J$19</f>
        <v>25.3188934704924</v>
      </c>
      <c r="AN151" s="2" t="n">
        <f aca="false">Y151*1000/AC151</f>
        <v>61.443114224511</v>
      </c>
      <c r="AO151" s="2" t="n">
        <f aca="false">(Entrées!$C$36*(1-S151)+MAX(0,Entrées!$C$30-Entrées!$C$35-Entrées!$C$36)*U151)*1000</f>
        <v>509.358760372872</v>
      </c>
      <c r="AP151" s="2" t="n">
        <f aca="false">-AO151/W151</f>
        <v>-45.3743276761784</v>
      </c>
      <c r="AQ151" s="2" t="n">
        <f aca="false">AL151+AM151+AN151+AP151</f>
        <v>8112.93175878146</v>
      </c>
      <c r="AR151" s="2" t="n">
        <f aca="false">O151*AQ151-Hypothèses!$J$25/Hypothèses!$J$19</f>
        <v>1330.28784443402</v>
      </c>
      <c r="AS151" s="2" t="n">
        <f aca="false">Entrées!$C$79*(1+Q151)+Hypothèses!$J$20</f>
        <v>1451.51180809907</v>
      </c>
      <c r="AT151" s="2" t="n">
        <f aca="false">AI151-AR151+AS151+Y151*1000-AO151+Hypothèses!$J$23</f>
        <v>22701.0129610542</v>
      </c>
      <c r="AU151" s="2" t="n">
        <f aca="false">AT151/AQ151</f>
        <v>2.79812694547598</v>
      </c>
      <c r="AV151" s="2" t="n">
        <f aca="false">Hypothèses!$J$26*AQ151-AT151</f>
        <v>1637.78231529017</v>
      </c>
      <c r="AW151" s="2" t="n">
        <f aca="false">IF(AC151&gt;Hypothèses!$J$26,MAX(0,AV151)/(1-Hypothèses!$J$26/AC151),0)</f>
        <v>2365.84396904409</v>
      </c>
      <c r="AX151" s="2" t="n">
        <f aca="false">AQ151-Entrées!$C$17*1000</f>
        <v>112.931758781458</v>
      </c>
      <c r="AY151" s="2" t="n">
        <f aca="false">AI151+(Entrées!$C$244-Entrées!$C$13)</f>
        <v>28237.1676282174</v>
      </c>
      <c r="AZ151" s="2" t="n">
        <f aca="false">AA151*AH151</f>
        <v>5349.21340026009</v>
      </c>
      <c r="BA151" s="2" t="n">
        <f aca="false">AZ151/AY151</f>
        <v>0.189438738002697</v>
      </c>
      <c r="BB151" s="2" t="n">
        <f aca="false">AZ151/(Entrées!$C$151/100)-AY151</f>
        <v>1480.68459544983</v>
      </c>
      <c r="BC151" s="2" t="n">
        <f aca="false">AT151+(Entrées!$C$244-Entrées!$C$13)</f>
        <v>28448.0129610542</v>
      </c>
      <c r="BD151" s="2" t="n">
        <f aca="false">AA151*AQ151</f>
        <v>5792.14025442776</v>
      </c>
      <c r="BE151" s="2" t="n">
        <f aca="false">BD151/BC151</f>
        <v>0.203604387496494</v>
      </c>
      <c r="BF151" s="2" t="n">
        <f aca="false">BD151/(Entrées!$C$151/100)-BC151</f>
        <v>3730.54400798889</v>
      </c>
      <c r="BG151" s="2" t="n">
        <f aca="false">MIN(AV151,BF151)</f>
        <v>1637.78231529017</v>
      </c>
      <c r="BH151" s="2" t="n">
        <f aca="false">IF(AC151&gt;Hypothèses!$J$26,MAX(0,BG151)/(1-Hypothèses!$J$26/AC151),0)</f>
        <v>2365.84396904409</v>
      </c>
    </row>
    <row r="152" customFormat="false" ht="15" hidden="false" customHeight="false" outlineLevel="0" collapsed="false">
      <c r="A152" s="2" t="n">
        <v>137</v>
      </c>
      <c r="B152" s="2" t="n">
        <v>0.520880773</v>
      </c>
      <c r="C152" s="2"/>
      <c r="D152" s="2" t="n">
        <v>0.643023388</v>
      </c>
      <c r="E152" s="2" t="n">
        <f aca="false">IF(E$7=E$5,E$6,IF(NORMSDIST(E$9*SQRT($C$11)*NORMSINV($B152)+SQRT(1-E$9^2*$C$11)*NORMSINV(D152))&lt;E$8,E$5+SQRT(NORMSDIST(E$9*SQRT($C$11)*NORMSINV($B152)+SQRT(1-E$9^2*$C$11)*NORMSINV(D152))*(E$7-E$5)*(E$6-E$5)),E$7-SQRT((1-NORMSDIST(E$9*SQRT($C$11)*NORMSINV($B152)+SQRT(1-E$9^2*$C$11)*NORMSINV(D152)))*(E$7-E$5)*(E$7-E$6))))</f>
        <v>0.0556663895862324</v>
      </c>
      <c r="F152" s="2" t="n">
        <v>0.072124921</v>
      </c>
      <c r="G152" s="2" t="n">
        <f aca="false">IF(G$7=G$5,G$6,IF(NORMSDIST(G$9*SQRT($C$11)*NORMSINV($B152)+SQRT(1-G$9^2*$C$11)*NORMSINV(F152))&lt;G$8,G$5+SQRT(NORMSDIST(G$9*SQRT($C$11)*NORMSINV($B152)+SQRT(1-G$9^2*$C$11)*NORMSINV(F152))*(G$7-G$5)*(G$6-G$5)),G$7-SQRT((1-NORMSDIST(G$9*SQRT($C$11)*NORMSINV($B152)+SQRT(1-G$9^2*$C$11)*NORMSINV(F152)))*(G$7-G$5)*(G$7-G$6))))</f>
        <v>0.047826570079504</v>
      </c>
      <c r="H152" s="2" t="n">
        <v>0.12689642</v>
      </c>
      <c r="I152" s="2" t="n">
        <f aca="false">IF(I$7=I$5,I$6,IF(NORMSDIST(I$9*SQRT($C$11)*NORMSINV($B152)+SQRT(1-I$9^2*$C$11)*NORMSINV(H152))&lt;I$8,I$5+SQRT(NORMSDIST(I$9*SQRT($C$11)*NORMSINV($B152)+SQRT(1-I$9^2*$C$11)*NORMSINV(H152))*(I$7-I$5)*(I$6-I$5)),I$7-SQRT((1-NORMSDIST(I$9*SQRT($C$11)*NORMSINV($B152)+SQRT(1-I$9^2*$C$11)*NORMSINV(H152)))*(I$7-I$5)*(I$7-I$6))))</f>
        <v>192.567547248485</v>
      </c>
      <c r="J152" s="2" t="n">
        <v>0.827916061</v>
      </c>
      <c r="K152" s="2" t="n">
        <f aca="false">IF(K$7=K$5,K$6,IF(NORMSDIST(K$9*SQRT($C$11)*NORMSINV($B152)+SQRT(1-K$9^2*$C$11)*NORMSINV(J152))&lt;K$8,K$5+SQRT(NORMSDIST(K$9*SQRT($C$11)*NORMSINV($B152)+SQRT(1-K$9^2*$C$11)*NORMSINV(J152))*(K$7-K$5)*(K$6-K$5)),K$7-SQRT((1-NORMSDIST(K$9*SQRT($C$11)*NORMSINV($B152)+SQRT(1-K$9^2*$C$11)*NORMSINV(J152)))*(K$7-K$5)*(K$7-K$6))))</f>
        <v>0.333461478625473</v>
      </c>
      <c r="L152" s="2" t="n">
        <v>0.143263899</v>
      </c>
      <c r="M152" s="2" t="n">
        <f aca="false">IF(M$7=M$5,M$6,IF(NORMSDIST(M$9*SQRT($C$11)*NORMSINV($B152)+SQRT(1-M$9^2*$C$11)*NORMSINV(L152))&lt;M$8,M$5+SQRT(NORMSDIST(M$9*SQRT($C$11)*NORMSINV($B152)+SQRT(1-M$9^2*$C$11)*NORMSINV(L152))*(M$7-M$5)*(M$6-M$5)),M$7-SQRT((1-NORMSDIST(M$9*SQRT($C$11)*NORMSINV($B152)+SQRT(1-M$9^2*$C$11)*NORMSINV(L152)))*(M$7-M$5)*(M$7-M$6))))</f>
        <v>1487.81258617264</v>
      </c>
      <c r="N152" s="2" t="n">
        <v>0.801794298</v>
      </c>
      <c r="O152" s="2" t="n">
        <f aca="false">IF(O$7=O$5,O$6,IF(NORMSDIST(O$9*SQRT($C$11)*NORMSINV($B152)+SQRT(1-O$9^2*$C$11)*NORMSINV(N152))&lt;O$8,O$5+SQRT(NORMSDIST(O$9*SQRT($C$11)*NORMSINV($B152)+SQRT(1-O$9^2*$C$11)*NORMSINV(N152))*(O$7-O$5)*(O$6-O$5)),O$7-SQRT((1-NORMSDIST(O$9*SQRT($C$11)*NORMSINV($B152)+SQRT(1-O$9^2*$C$11)*NORMSINV(N152)))*(O$7-O$5)*(O$7-O$6))))</f>
        <v>0.173842382394325</v>
      </c>
      <c r="P152" s="2" t="n">
        <v>0.404384133</v>
      </c>
      <c r="Q152" s="2" t="n">
        <f aca="false">IF(Q$7=Q$5,Q$6,IF(NORMSDIST(Q$9*SQRT($C$11)*NORMSINV($B152)+SQRT(1-Q$9^2*$C$11)*NORMSINV(P152))&lt;Q$8,Q$5+SQRT(NORMSDIST(Q$9*SQRT($C$11)*NORMSINV($B152)+SQRT(1-Q$9^2*$C$11)*NORMSINV(P152))*(Q$7-Q$5)*(Q$6-Q$5)),Q$7-SQRT((1-NORMSDIST(Q$9*SQRT($C$11)*NORMSINV($B152)+SQRT(1-Q$9^2*$C$11)*NORMSINV(P152)))*(Q$7-Q$5)*(Q$7-Q$6))))</f>
        <v>0.0759726177195933</v>
      </c>
      <c r="R152" s="2" t="n">
        <v>0.980170184</v>
      </c>
      <c r="S152" s="2" t="n">
        <f aca="false">IF(S$7=S$5,S$6,IF(NORMSDIST(S$9*SQRT($C$11)*NORMSINV($B152)+SQRT(1-S$9^2*$C$11)*NORMSINV(R152))&lt;S$8,S$5+SQRT(NORMSDIST(S$9*SQRT($C$11)*NORMSINV($B152)+SQRT(1-S$9^2*$C$11)*NORMSINV(R152))*(S$7-S$5)*(S$6-S$5)),S$7-SQRT((1-NORMSDIST(S$9*SQRT($C$11)*NORMSINV($B152)+SQRT(1-S$9^2*$C$11)*NORMSINV(R152)))*(S$7-S$5)*(S$7-S$6))))</f>
        <v>0.838905630688849</v>
      </c>
      <c r="T152" s="2" t="n">
        <v>0.50096589</v>
      </c>
      <c r="U152" s="2" t="n">
        <f aca="false">IF(U$7=U$5,U$6,IF(NORMSDIST(U$9*SQRT($C$11)*NORMSINV($B152)+SQRT(1-U$9^2*$C$11)*NORMSINV(T152))&lt;U$8,U$5+SQRT(NORMSDIST(U$9*SQRT($C$11)*NORMSINV($B152)+SQRT(1-U$9^2*$C$11)*NORMSINV(T152))*(U$7-U$5)*(U$6-U$5)),U$7-SQRT((1-NORMSDIST(U$9*SQRT($C$11)*NORMSINV($B152)+SQRT(1-U$9^2*$C$11)*NORMSINV(T152)))*(U$7-U$5)*(U$7-U$6))))</f>
        <v>0.507028156572247</v>
      </c>
      <c r="V152" s="2" t="n">
        <v>0.453819941</v>
      </c>
      <c r="W152" s="2" t="n">
        <f aca="false">IF(W$7=W$5,W$6,IF(NORMSDIST(W$9*SQRT($C$11)*NORMSINV($B152)+SQRT(1-W$9^2*$C$11)*NORMSINV(V152))&lt;W$8,W$5+SQRT(NORMSDIST(W$9*SQRT($C$11)*NORMSINV($B152)+SQRT(1-W$9^2*$C$11)*NORMSINV(V152))*(W$7-W$5)*(W$6-W$5)),W$7-SQRT((1-NORMSDIST(W$9*SQRT($C$11)*NORMSINV($B152)+SQRT(1-W$9^2*$C$11)*NORMSINV(V152)))*(W$7-W$5)*(W$7-W$6))))</f>
        <v>9.95422242037287</v>
      </c>
      <c r="X152" s="2" t="n">
        <v>0.864048838</v>
      </c>
      <c r="Y152" s="2" t="n">
        <f aca="false">IF(Y$7=Y$5,Y$6,IF(NORMSDIST(Y$9*SQRT($C$11)*NORMSINV($B152)+SQRT(1-Y$9^2*$C$11)*NORMSINV(X152))&lt;Y$8,Y$5+SQRT(NORMSDIST(Y$9*SQRT($C$11)*NORMSINV($B152)+SQRT(1-Y$9^2*$C$11)*NORMSINV(X152))*(Y$7-Y$5)*(Y$6-Y$5)),Y$7-SQRT((1-NORMSDIST(Y$9*SQRT($C$11)*NORMSINV($B152)+SQRT(1-Y$9^2*$C$11)*NORMSINV(X152)))*(Y$7-Y$5)*(Y$7-Y$6))))</f>
        <v>0.739278729291222</v>
      </c>
      <c r="Z152" s="2" t="n">
        <v>0.418790753</v>
      </c>
      <c r="AA152" s="2" t="n">
        <f aca="false">IF(AA$7=AA$5,AA$6,IF(NORMSDIST(AA$9*SQRT($C$11)*NORMSINV($B152)+SQRT(1-AA$9^2*$C$11)*NORMSINV(Z152))&lt;AA$8,AA$5+SQRT(NORMSDIST(AA$9*SQRT($C$11)*NORMSINV($B152)+SQRT(1-AA$9^2*$C$11)*NORMSINV(Z152))*(AA$7-AA$5)*(AA$6-AA$5)),AA$7-SQRT((1-NORMSDIST(AA$9*SQRT($C$11)*NORMSINV($B152)+SQRT(1-AA$9^2*$C$11)*NORMSINV(Z152)))*(AA$7-AA$5)*(AA$7-AA$6))))</f>
        <v>0.726371618763993</v>
      </c>
      <c r="AB152" s="2" t="n">
        <v>0.815282997</v>
      </c>
      <c r="AC152" s="2" t="n">
        <f aca="false">IF(AC$7=AC$5,AC$6,IF(NORMSDIST(AC$9*SQRT($C$11)*NORMSINV($B152)+SQRT(1-AC$9^2*$C$11)*NORMSINV(AB152))&lt;AC$8,AC$5+SQRT(NORMSDIST(AC$9*SQRT($C$11)*NORMSINV($B152)+SQRT(1-AC$9^2*$C$11)*NORMSINV(AB152))*(AC$7-AC$5)*(AC$6-AC$5)),AC$7-SQRT((1-NORMSDIST(AC$9*SQRT($C$11)*NORMSINV($B152)+SQRT(1-AC$9^2*$C$11)*NORMSINV(AB152)))*(AC$7-AC$5)*(AC$7-AC$6))))</f>
        <v>9.99629223068709</v>
      </c>
      <c r="AD152" s="2" t="n">
        <f aca="false">Entrées!$C$8*(1+E152)</f>
        <v>7442.44804658294</v>
      </c>
      <c r="AE152" s="2" t="n">
        <f aca="false">I152*Hypothèses!$J$24/12/Hypothèses!$J$19</f>
        <v>95.5321438535617</v>
      </c>
      <c r="AF152" s="2" t="n">
        <f aca="false">Entrées!$C$36*S152*1000</f>
        <v>419.452815344424</v>
      </c>
      <c r="AG152" s="2" t="n">
        <f aca="false">-AF152/W152</f>
        <v>-42.1381799231197</v>
      </c>
      <c r="AH152" s="2" t="n">
        <f aca="false">AD152+AE152+AG152</f>
        <v>7495.84201051338</v>
      </c>
      <c r="AI152" s="2" t="n">
        <f aca="false">Entrées!$C$16-M152+Hypothèses!$J$22*1000-AF152+Hypothèses!$J$23</f>
        <v>22640.7345984829</v>
      </c>
      <c r="AJ152" s="2" t="n">
        <f aca="false">AI152/AH152</f>
        <v>3.02043914035647</v>
      </c>
      <c r="AK152" s="2" t="n">
        <f aca="false">AI152/(AH152+I152*(12-Hypothèses!$J$24)/12/Hypothèses!$J$19)</f>
        <v>2.99319108537307</v>
      </c>
      <c r="AL152" s="2" t="n">
        <f aca="false">(AD152+AG152+I152/Hypothèses!$J$19)*(1+G152)</f>
        <v>7925.84322275296</v>
      </c>
      <c r="AM152" s="2" t="n">
        <f aca="false">Entrées!$C$54*K152/Hypothèses!$J$19</f>
        <v>34.0311440080007</v>
      </c>
      <c r="AN152" s="2" t="n">
        <f aca="false">Y152*1000/AC152</f>
        <v>73.9552938460271</v>
      </c>
      <c r="AO152" s="2" t="n">
        <f aca="false">(Entrées!$C$36*(1-S152)+MAX(0,Entrées!$C$30-Entrées!$C$35-Entrées!$C$36)*U152)*1000</f>
        <v>790.386603856721</v>
      </c>
      <c r="AP152" s="2" t="n">
        <f aca="false">-AO152/W152</f>
        <v>-79.4021441834645</v>
      </c>
      <c r="AQ152" s="2" t="n">
        <f aca="false">AL152+AM152+AN152+AP152</f>
        <v>7954.42751642352</v>
      </c>
      <c r="AR152" s="2" t="n">
        <f aca="false">O152*AQ152-Hypothèses!$J$25/Hypothèses!$J$19</f>
        <v>1363.68146777642</v>
      </c>
      <c r="AS152" s="2" t="n">
        <f aca="false">Entrées!$C$79*(1+Q152)+Hypothèses!$J$20</f>
        <v>1477.49390687383</v>
      </c>
      <c r="AT152" s="2" t="n">
        <f aca="false">AI152-AR152+AS152+Y152*1000-AO152+Hypothèses!$J$23</f>
        <v>22703.4391630149</v>
      </c>
      <c r="AU152" s="2" t="n">
        <f aca="false">AT152/AQ152</f>
        <v>2.85418895528799</v>
      </c>
      <c r="AV152" s="2" t="n">
        <f aca="false">Hypothèses!$J$26*AQ152-AT152</f>
        <v>1159.84338625571</v>
      </c>
      <c r="AW152" s="2" t="n">
        <f aca="false">IF(AC152&gt;Hypothèses!$J$26,MAX(0,AV152)/(1-Hypothèses!$J$26/AC152),0)</f>
        <v>1657.18255449474</v>
      </c>
      <c r="AX152" s="2" t="n">
        <f aca="false">AQ152-Entrées!$C$17*1000</f>
        <v>-45.5724835764777</v>
      </c>
      <c r="AY152" s="2" t="n">
        <f aca="false">AI152+(Entrées!$C$244-Entrées!$C$13)</f>
        <v>28387.7345984829</v>
      </c>
      <c r="AZ152" s="2" t="n">
        <f aca="false">AA152*AH152</f>
        <v>5444.76689517574</v>
      </c>
      <c r="BA152" s="2" t="n">
        <f aca="false">AZ152/AY152</f>
        <v>0.191799978835462</v>
      </c>
      <c r="BB152" s="2" t="n">
        <f aca="false">AZ152/(Entrées!$C$151/100)-AY152</f>
        <v>1860.97037471564</v>
      </c>
      <c r="BC152" s="2" t="n">
        <f aca="false">AT152+(Entrées!$C$244-Entrées!$C$13)</f>
        <v>28450.4391630149</v>
      </c>
      <c r="BD152" s="2" t="n">
        <f aca="false">AA152*AQ152</f>
        <v>5777.8703914454</v>
      </c>
      <c r="BE152" s="2" t="n">
        <f aca="false">BD152/BC152</f>
        <v>0.203085455318965</v>
      </c>
      <c r="BF152" s="2" t="n">
        <f aca="false">BD152/(Entrées!$C$151/100)-BC152</f>
        <v>3648.84078945958</v>
      </c>
      <c r="BG152" s="2" t="n">
        <f aca="false">MIN(AV152,BF152)</f>
        <v>1159.84338625571</v>
      </c>
      <c r="BH152" s="2" t="n">
        <f aca="false">IF(AC152&gt;Hypothèses!$J$26,MAX(0,BG152)/(1-Hypothèses!$J$26/AC152),0)</f>
        <v>1657.18255449474</v>
      </c>
    </row>
    <row r="153" customFormat="false" ht="15" hidden="false" customHeight="false" outlineLevel="0" collapsed="false">
      <c r="A153" s="2" t="n">
        <v>138</v>
      </c>
      <c r="B153" s="2" t="n">
        <v>0.963170066</v>
      </c>
      <c r="C153" s="2"/>
      <c r="D153" s="2" t="n">
        <v>0.103988223</v>
      </c>
      <c r="E153" s="2" t="n">
        <f aca="false">IF(E$7=E$5,E$6,IF(NORMSDIST(E$9*SQRT($C$11)*NORMSINV($B153)+SQRT(1-E$9^2*$C$11)*NORMSINV(D153))&lt;E$8,E$5+SQRT(NORMSDIST(E$9*SQRT($C$11)*NORMSINV($B153)+SQRT(1-E$9^2*$C$11)*NORMSINV(D153))*(E$7-E$5)*(E$6-E$5)),E$7-SQRT((1-NORMSDIST(E$9*SQRT($C$11)*NORMSINV($B153)+SQRT(1-E$9^2*$C$11)*NORMSINV(D153)))*(E$7-E$5)*(E$7-E$6))))</f>
        <v>0.0553200698676703</v>
      </c>
      <c r="F153" s="2" t="n">
        <v>0.9047937</v>
      </c>
      <c r="G153" s="2" t="n">
        <f aca="false">IF(G$7=G$5,G$6,IF(NORMSDIST(G$9*SQRT($C$11)*NORMSINV($B153)+SQRT(1-G$9^2*$C$11)*NORMSINV(F153))&lt;G$8,G$5+SQRT(NORMSDIST(G$9*SQRT($C$11)*NORMSINV($B153)+SQRT(1-G$9^2*$C$11)*NORMSINV(F153))*(G$7-G$5)*(G$6-G$5)),G$7-SQRT((1-NORMSDIST(G$9*SQRT($C$11)*NORMSINV($B153)+SQRT(1-G$9^2*$C$11)*NORMSINV(F153)))*(G$7-G$5)*(G$7-G$6))))</f>
        <v>0.0673204118839401</v>
      </c>
      <c r="H153" s="2" t="n">
        <v>0.554283707</v>
      </c>
      <c r="I153" s="2" t="n">
        <f aca="false">IF(I$7=I$5,I$6,IF(NORMSDIST(I$9*SQRT($C$11)*NORMSINV($B153)+SQRT(1-I$9^2*$C$11)*NORMSINV(H153))&lt;I$8,I$5+SQRT(NORMSDIST(I$9*SQRT($C$11)*NORMSINV($B153)+SQRT(1-I$9^2*$C$11)*NORMSINV(H153))*(I$7-I$5)*(I$6-I$5)),I$7-SQRT((1-NORMSDIST(I$9*SQRT($C$11)*NORMSINV($B153)+SQRT(1-I$9^2*$C$11)*NORMSINV(H153)))*(I$7-I$5)*(I$7-I$6))))</f>
        <v>210.703062917958</v>
      </c>
      <c r="J153" s="2" t="n">
        <v>0.584852451</v>
      </c>
      <c r="K153" s="2" t="n">
        <f aca="false">IF(K$7=K$5,K$6,IF(NORMSDIST(K$9*SQRT($C$11)*NORMSINV($B153)+SQRT(1-K$9^2*$C$11)*NORMSINV(J153))&lt;K$8,K$5+SQRT(NORMSDIST(K$9*SQRT($C$11)*NORMSINV($B153)+SQRT(1-K$9^2*$C$11)*NORMSINV(J153))*(K$7-K$5)*(K$6-K$5)),K$7-SQRT((1-NORMSDIST(K$9*SQRT($C$11)*NORMSINV($B153)+SQRT(1-K$9^2*$C$11)*NORMSINV(J153)))*(K$7-K$5)*(K$7-K$6))))</f>
        <v>0.389736686288408</v>
      </c>
      <c r="L153" s="2" t="n">
        <v>0.708892091</v>
      </c>
      <c r="M153" s="2" t="n">
        <f aca="false">IF(M$7=M$5,M$6,IF(NORMSDIST(M$9*SQRT($C$11)*NORMSINV($B153)+SQRT(1-M$9^2*$C$11)*NORMSINV(L153))&lt;M$8,M$5+SQRT(NORMSDIST(M$9*SQRT($C$11)*NORMSINV($B153)+SQRT(1-M$9^2*$C$11)*NORMSINV(L153))*(M$7-M$5)*(M$6-M$5)),M$7-SQRT((1-NORMSDIST(M$9*SQRT($C$11)*NORMSINV($B153)+SQRT(1-M$9^2*$C$11)*NORMSINV(L153)))*(M$7-M$5)*(M$7-M$6))))</f>
        <v>1722.96957770385</v>
      </c>
      <c r="N153" s="2" t="n">
        <v>0.811118927</v>
      </c>
      <c r="O153" s="2" t="n">
        <f aca="false">IF(O$7=O$5,O$6,IF(NORMSDIST(O$9*SQRT($C$11)*NORMSINV($B153)+SQRT(1-O$9^2*$C$11)*NORMSINV(N153))&lt;O$8,O$5+SQRT(NORMSDIST(O$9*SQRT($C$11)*NORMSINV($B153)+SQRT(1-O$9^2*$C$11)*NORMSINV(N153))*(O$7-O$5)*(O$6-O$5)),O$7-SQRT((1-NORMSDIST(O$9*SQRT($C$11)*NORMSINV($B153)+SQRT(1-O$9^2*$C$11)*NORMSINV(N153)))*(O$7-O$5)*(O$7-O$6))))</f>
        <v>0.183911598408607</v>
      </c>
      <c r="P153" s="2" t="n">
        <v>0.778497765</v>
      </c>
      <c r="Q153" s="2" t="n">
        <f aca="false">IF(Q$7=Q$5,Q$6,IF(NORMSDIST(Q$9*SQRT($C$11)*NORMSINV($B153)+SQRT(1-Q$9^2*$C$11)*NORMSINV(P153))&lt;Q$8,Q$5+SQRT(NORMSDIST(Q$9*SQRT($C$11)*NORMSINV($B153)+SQRT(1-Q$9^2*$C$11)*NORMSINV(P153))*(Q$7-Q$5)*(Q$6-Q$5)),Q$7-SQRT((1-NORMSDIST(Q$9*SQRT($C$11)*NORMSINV($B153)+SQRT(1-Q$9^2*$C$11)*NORMSINV(P153)))*(Q$7-Q$5)*(Q$7-Q$6))))</f>
        <v>0.0933765676142237</v>
      </c>
      <c r="R153" s="2" t="n">
        <v>0.980095168</v>
      </c>
      <c r="S153" s="2" t="n">
        <f aca="false">IF(S$7=S$5,S$6,IF(NORMSDIST(S$9*SQRT($C$11)*NORMSINV($B153)+SQRT(1-S$9^2*$C$11)*NORMSINV(R153))&lt;S$8,S$5+SQRT(NORMSDIST(S$9*SQRT($C$11)*NORMSINV($B153)+SQRT(1-S$9^2*$C$11)*NORMSINV(R153))*(S$7-S$5)*(S$6-S$5)),S$7-SQRT((1-NORMSDIST(S$9*SQRT($C$11)*NORMSINV($B153)+SQRT(1-S$9^2*$C$11)*NORMSINV(R153)))*(S$7-S$5)*(S$7-S$6))))</f>
        <v>0.959823173818171</v>
      </c>
      <c r="T153" s="2" t="n">
        <v>0.379602316</v>
      </c>
      <c r="U153" s="2" t="n">
        <f aca="false">IF(U$7=U$5,U$6,IF(NORMSDIST(U$9*SQRT($C$11)*NORMSINV($B153)+SQRT(1-U$9^2*$C$11)*NORMSINV(T153))&lt;U$8,U$5+SQRT(NORMSDIST(U$9*SQRT($C$11)*NORMSINV($B153)+SQRT(1-U$9^2*$C$11)*NORMSINV(T153))*(U$7-U$5)*(U$6-U$5)),U$7-SQRT((1-NORMSDIST(U$9*SQRT($C$11)*NORMSINV($B153)+SQRT(1-U$9^2*$C$11)*NORMSINV(T153)))*(U$7-U$5)*(U$7-U$6))))</f>
        <v>0.695286685709628</v>
      </c>
      <c r="V153" s="2" t="n">
        <v>0.595251051</v>
      </c>
      <c r="W153" s="2" t="n">
        <f aca="false">IF(W$7=W$5,W$6,IF(NORMSDIST(W$9*SQRT($C$11)*NORMSINV($B153)+SQRT(1-W$9^2*$C$11)*NORMSINV(V153))&lt;W$8,W$5+SQRT(NORMSDIST(W$9*SQRT($C$11)*NORMSINV($B153)+SQRT(1-W$9^2*$C$11)*NORMSINV(V153))*(W$7-W$5)*(W$6-W$5)),W$7-SQRT((1-NORMSDIST(W$9*SQRT($C$11)*NORMSINV($B153)+SQRT(1-W$9^2*$C$11)*NORMSINV(V153)))*(W$7-W$5)*(W$7-W$6))))</f>
        <v>11.1339824432657</v>
      </c>
      <c r="X153" s="2" t="n">
        <v>0.200671789</v>
      </c>
      <c r="Y153" s="2" t="n">
        <f aca="false">IF(Y$7=Y$5,Y$6,IF(NORMSDIST(Y$9*SQRT($C$11)*NORMSINV($B153)+SQRT(1-Y$9^2*$C$11)*NORMSINV(X153))&lt;Y$8,Y$5+SQRT(NORMSDIST(Y$9*SQRT($C$11)*NORMSINV($B153)+SQRT(1-Y$9^2*$C$11)*NORMSINV(X153))*(Y$7-Y$5)*(Y$6-Y$5)),Y$7-SQRT((1-NORMSDIST(Y$9*SQRT($C$11)*NORMSINV($B153)+SQRT(1-Y$9^2*$C$11)*NORMSINV(X153)))*(Y$7-Y$5)*(Y$7-Y$6))))</f>
        <v>0.316758416620616</v>
      </c>
      <c r="Z153" s="2" t="n">
        <v>0.891053274</v>
      </c>
      <c r="AA153" s="2" t="n">
        <f aca="false">IF(AA$7=AA$5,AA$6,IF(NORMSDIST(AA$9*SQRT($C$11)*NORMSINV($B153)+SQRT(1-AA$9^2*$C$11)*NORMSINV(Z153))&lt;AA$8,AA$5+SQRT(NORMSDIST(AA$9*SQRT($C$11)*NORMSINV($B153)+SQRT(1-AA$9^2*$C$11)*NORMSINV(Z153))*(AA$7-AA$5)*(AA$6-AA$5)),AA$7-SQRT((1-NORMSDIST(AA$9*SQRT($C$11)*NORMSINV($B153)+SQRT(1-AA$9^2*$C$11)*NORMSINV(Z153)))*(AA$7-AA$5)*(AA$7-AA$6))))</f>
        <v>0.748994992531738</v>
      </c>
      <c r="AB153" s="2" t="n">
        <v>0.500354842</v>
      </c>
      <c r="AC153" s="2" t="n">
        <f aca="false">IF(AC$7=AC$5,AC$6,IF(NORMSDIST(AC$9*SQRT($C$11)*NORMSINV($B153)+SQRT(1-AC$9^2*$C$11)*NORMSINV(AB153))&lt;AC$8,AC$5+SQRT(NORMSDIST(AC$9*SQRT($C$11)*NORMSINV($B153)+SQRT(1-AC$9^2*$C$11)*NORMSINV(AB153))*(AC$7-AC$5)*(AC$6-AC$5)),AC$7-SQRT((1-NORMSDIST(AC$9*SQRT($C$11)*NORMSINV($B153)+SQRT(1-AC$9^2*$C$11)*NORMSINV(AB153)))*(AC$7-AC$5)*(AC$7-AC$6))))</f>
        <v>10.2540019776645</v>
      </c>
      <c r="AD153" s="2" t="n">
        <f aca="false">Entrées!$C$8*(1+E153)</f>
        <v>7440.00649256708</v>
      </c>
      <c r="AE153" s="2" t="n">
        <f aca="false">I153*Hypothèses!$J$24/12/Hypothèses!$J$19</f>
        <v>104.529115132211</v>
      </c>
      <c r="AF153" s="2" t="n">
        <f aca="false">Entrées!$C$36*S153*1000</f>
        <v>479.911586909086</v>
      </c>
      <c r="AG153" s="2" t="n">
        <f aca="false">-AF153/W153</f>
        <v>-43.1033180943586</v>
      </c>
      <c r="AH153" s="2" t="n">
        <f aca="false">AD153+AE153+AG153</f>
        <v>7501.43228960493</v>
      </c>
      <c r="AI153" s="2" t="n">
        <f aca="false">Entrées!$C$16-M153+Hypothèses!$J$22*1000-AF153+Hypothèses!$J$23</f>
        <v>22345.1188353871</v>
      </c>
      <c r="AJ153" s="2" t="n">
        <f aca="false">AI153/AH153</f>
        <v>2.97878031457429</v>
      </c>
      <c r="AK153" s="2" t="n">
        <f aca="false">AI153/(AH153+I153*(12-Hypothèses!$J$24)/12/Hypothèses!$J$19)</f>
        <v>2.94942395169036</v>
      </c>
      <c r="AL153" s="2" t="n">
        <f aca="false">(AD153+AG153+I153/Hypothèses!$J$19)*(1+G153)</f>
        <v>8086.12184264403</v>
      </c>
      <c r="AM153" s="2" t="n">
        <f aca="false">Entrées!$C$54*K153/Hypothèses!$J$19</f>
        <v>39.7742652343312</v>
      </c>
      <c r="AN153" s="2" t="n">
        <f aca="false">Y153*1000/AC153</f>
        <v>30.8911990957859</v>
      </c>
      <c r="AO153" s="2" t="n">
        <f aca="false">(Entrées!$C$36*(1-S153)+MAX(0,Entrées!$C$30-Entrées!$C$35-Entrées!$C$36)*U153)*1000</f>
        <v>993.489773084393</v>
      </c>
      <c r="AP153" s="2" t="n">
        <f aca="false">-AO153/W153</f>
        <v>-89.230405934877</v>
      </c>
      <c r="AQ153" s="2" t="n">
        <f aca="false">AL153+AM153+AN153+AP153</f>
        <v>8067.55690103927</v>
      </c>
      <c r="AR153" s="2" t="n">
        <f aca="false">O153*AQ153-Hypothèses!$J$25/Hypothèses!$J$19</f>
        <v>1464.5821226609</v>
      </c>
      <c r="AS153" s="2" t="n">
        <f aca="false">Entrées!$C$79*(1+Q153)+Hypothèses!$J$20</f>
        <v>1496.62084780803</v>
      </c>
      <c r="AT153" s="2" t="n">
        <f aca="false">AI153-AR153+AS153+Y153*1000-AO153+Hypothèses!$J$23</f>
        <v>21700.4262040704</v>
      </c>
      <c r="AU153" s="2" t="n">
        <f aca="false">AT153/AQ153</f>
        <v>2.68983863023947</v>
      </c>
      <c r="AV153" s="2" t="n">
        <f aca="false">Hypothèses!$J$26*AQ153-AT153</f>
        <v>2502.24449904739</v>
      </c>
      <c r="AW153" s="2" t="n">
        <f aca="false">IF(AC153&gt;Hypothèses!$J$26,MAX(0,AV153)/(1-Hypothèses!$J$26/AC153),0)</f>
        <v>3537.08478724359</v>
      </c>
      <c r="AX153" s="2" t="n">
        <f aca="false">AQ153-Entrées!$C$17*1000</f>
        <v>67.556901039271</v>
      </c>
      <c r="AY153" s="2" t="n">
        <f aca="false">AI153+(Entrées!$C$244-Entrées!$C$13)</f>
        <v>28092.1188353871</v>
      </c>
      <c r="AZ153" s="2" t="n">
        <f aca="false">AA153*AH153</f>
        <v>5618.53522172998</v>
      </c>
      <c r="BA153" s="2" t="n">
        <f aca="false">AZ153/AY153</f>
        <v>0.200003967470493</v>
      </c>
      <c r="BB153" s="2" t="n">
        <f aca="false">AZ153/(Entrées!$C$151/100)-AY153</f>
        <v>3121.9657297795</v>
      </c>
      <c r="BC153" s="2" t="n">
        <f aca="false">AT153+(Entrées!$C$244-Entrées!$C$13)</f>
        <v>27447.4262040704</v>
      </c>
      <c r="BD153" s="2" t="n">
        <f aca="false">AA153*AQ153</f>
        <v>6042.55972084328</v>
      </c>
      <c r="BE153" s="2" t="n">
        <f aca="false">BD153/BC153</f>
        <v>0.220150322143764</v>
      </c>
      <c r="BF153" s="2" t="n">
        <f aca="false">BD153/(Entrées!$C$151/100)-BC153</f>
        <v>6122.35002283669</v>
      </c>
      <c r="BG153" s="2" t="n">
        <f aca="false">MIN(AV153,BF153)</f>
        <v>2502.24449904739</v>
      </c>
      <c r="BH153" s="2" t="n">
        <f aca="false">IF(AC153&gt;Hypothèses!$J$26,MAX(0,BG153)/(1-Hypothèses!$J$26/AC153),0)</f>
        <v>3537.08478724359</v>
      </c>
    </row>
    <row r="154" customFormat="false" ht="15" hidden="false" customHeight="false" outlineLevel="0" collapsed="false">
      <c r="A154" s="2" t="n">
        <v>139</v>
      </c>
      <c r="B154" s="2" t="n">
        <v>0.776837745</v>
      </c>
      <c r="C154" s="2"/>
      <c r="D154" s="2" t="n">
        <v>0.493699582</v>
      </c>
      <c r="E154" s="2" t="n">
        <f aca="false">IF(E$7=E$5,E$6,IF(NORMSDIST(E$9*SQRT($C$11)*NORMSINV($B154)+SQRT(1-E$9^2*$C$11)*NORMSINV(D154))&lt;E$8,E$5+SQRT(NORMSDIST(E$9*SQRT($C$11)*NORMSINV($B154)+SQRT(1-E$9^2*$C$11)*NORMSINV(D154))*(E$7-E$5)*(E$6-E$5)),E$7-SQRT((1-NORMSDIST(E$9*SQRT($C$11)*NORMSINV($B154)+SQRT(1-E$9^2*$C$11)*NORMSINV(D154)))*(E$7-E$5)*(E$7-E$6))))</f>
        <v>0.0560038412831731</v>
      </c>
      <c r="F154" s="2" t="n">
        <v>0.028748275</v>
      </c>
      <c r="G154" s="2" t="n">
        <f aca="false">IF(G$7=G$5,G$6,IF(NORMSDIST(G$9*SQRT($C$11)*NORMSINV($B154)+SQRT(1-G$9^2*$C$11)*NORMSINV(F154))&lt;G$8,G$5+SQRT(NORMSDIST(G$9*SQRT($C$11)*NORMSINV($B154)+SQRT(1-G$9^2*$C$11)*NORMSINV(F154))*(G$7-G$5)*(G$6-G$5)),G$7-SQRT((1-NORMSDIST(G$9*SQRT($C$11)*NORMSINV($B154)+SQRT(1-G$9^2*$C$11)*NORMSINV(F154)))*(G$7-G$5)*(G$7-G$6))))</f>
        <v>0.0485159398303953</v>
      </c>
      <c r="H154" s="2" t="n">
        <v>0.317783291</v>
      </c>
      <c r="I154" s="2" t="n">
        <f aca="false">IF(I$7=I$5,I$6,IF(NORMSDIST(I$9*SQRT($C$11)*NORMSINV($B154)+SQRT(1-I$9^2*$C$11)*NORMSINV(H154))&lt;I$8,I$5+SQRT(NORMSDIST(I$9*SQRT($C$11)*NORMSINV($B154)+SQRT(1-I$9^2*$C$11)*NORMSINV(H154))*(I$7-I$5)*(I$6-I$5)),I$7-SQRT((1-NORMSDIST(I$9*SQRT($C$11)*NORMSINV($B154)+SQRT(1-I$9^2*$C$11)*NORMSINV(H154)))*(I$7-I$5)*(I$7-I$6))))</f>
        <v>200.933900859256</v>
      </c>
      <c r="J154" s="2" t="n">
        <v>0.221949835</v>
      </c>
      <c r="K154" s="2" t="n">
        <f aca="false">IF(K$7=K$5,K$6,IF(NORMSDIST(K$9*SQRT($C$11)*NORMSINV($B154)+SQRT(1-K$9^2*$C$11)*NORMSINV(J154))&lt;K$8,K$5+SQRT(NORMSDIST(K$9*SQRT($C$11)*NORMSINV($B154)+SQRT(1-K$9^2*$C$11)*NORMSINV(J154))*(K$7-K$5)*(K$6-K$5)),K$7-SQRT((1-NORMSDIST(K$9*SQRT($C$11)*NORMSINV($B154)+SQRT(1-K$9^2*$C$11)*NORMSINV(J154)))*(K$7-K$5)*(K$7-K$6))))</f>
        <v>0.238655034337731</v>
      </c>
      <c r="L154" s="2" t="n">
        <v>0.342703921</v>
      </c>
      <c r="M154" s="2" t="n">
        <f aca="false">IF(M$7=M$5,M$6,IF(NORMSDIST(M$9*SQRT($C$11)*NORMSINV($B154)+SQRT(1-M$9^2*$C$11)*NORMSINV(L154))&lt;M$8,M$5+SQRT(NORMSDIST(M$9*SQRT($C$11)*NORMSINV($B154)+SQRT(1-M$9^2*$C$11)*NORMSINV(L154))*(M$7-M$5)*(M$6-M$5)),M$7-SQRT((1-NORMSDIST(M$9*SQRT($C$11)*NORMSINV($B154)+SQRT(1-M$9^2*$C$11)*NORMSINV(L154)))*(M$7-M$5)*(M$7-M$6))))</f>
        <v>1603.5698181653</v>
      </c>
      <c r="N154" s="2" t="n">
        <v>0.112557339</v>
      </c>
      <c r="O154" s="2" t="n">
        <f aca="false">IF(O$7=O$5,O$6,IF(NORMSDIST(O$9*SQRT($C$11)*NORMSINV($B154)+SQRT(1-O$9^2*$C$11)*NORMSINV(N154))&lt;O$8,O$5+SQRT(NORMSDIST(O$9*SQRT($C$11)*NORMSINV($B154)+SQRT(1-O$9^2*$C$11)*NORMSINV(N154))*(O$7-O$5)*(O$6-O$5)),O$7-SQRT((1-NORMSDIST(O$9*SQRT($C$11)*NORMSINV($B154)+SQRT(1-O$9^2*$C$11)*NORMSINV(N154)))*(O$7-O$5)*(O$7-O$6))))</f>
        <v>0.161544078603633</v>
      </c>
      <c r="P154" s="2" t="n">
        <v>0.102770079</v>
      </c>
      <c r="Q154" s="2" t="n">
        <f aca="false">IF(Q$7=Q$5,Q$6,IF(NORMSDIST(Q$9*SQRT($C$11)*NORMSINV($B154)+SQRT(1-Q$9^2*$C$11)*NORMSINV(P154))&lt;Q$8,Q$5+SQRT(NORMSDIST(Q$9*SQRT($C$11)*NORMSINV($B154)+SQRT(1-Q$9^2*$C$11)*NORMSINV(P154))*(Q$7-Q$5)*(Q$6-Q$5)),Q$7-SQRT((1-NORMSDIST(Q$9*SQRT($C$11)*NORMSINV($B154)+SQRT(1-Q$9^2*$C$11)*NORMSINV(P154)))*(Q$7-Q$5)*(Q$7-Q$6))))</f>
        <v>0.0581346147684477</v>
      </c>
      <c r="R154" s="2" t="n">
        <v>0.62030461</v>
      </c>
      <c r="S154" s="2" t="n">
        <f aca="false">IF(S$7=S$5,S$6,IF(NORMSDIST(S$9*SQRT($C$11)*NORMSINV($B154)+SQRT(1-S$9^2*$C$11)*NORMSINV(R154))&lt;S$8,S$5+SQRT(NORMSDIST(S$9*SQRT($C$11)*NORMSINV($B154)+SQRT(1-S$9^2*$C$11)*NORMSINV(R154))*(S$7-S$5)*(S$6-S$5)),S$7-SQRT((1-NORMSDIST(S$9*SQRT($C$11)*NORMSINV($B154)+SQRT(1-S$9^2*$C$11)*NORMSINV(R154)))*(S$7-S$5)*(S$7-S$6))))</f>
        <v>0.656413913619965</v>
      </c>
      <c r="T154" s="2" t="n">
        <v>0.2948735</v>
      </c>
      <c r="U154" s="2" t="n">
        <f aca="false">IF(U$7=U$5,U$6,IF(NORMSDIST(U$9*SQRT($C$11)*NORMSINV($B154)+SQRT(1-U$9^2*$C$11)*NORMSINV(T154))&lt;U$8,U$5+SQRT(NORMSDIST(U$9*SQRT($C$11)*NORMSINV($B154)+SQRT(1-U$9^2*$C$11)*NORMSINV(T154))*(U$7-U$5)*(U$6-U$5)),U$7-SQRT((1-NORMSDIST(U$9*SQRT($C$11)*NORMSINV($B154)+SQRT(1-U$9^2*$C$11)*NORMSINV(T154)))*(U$7-U$5)*(U$7-U$6))))</f>
        <v>0.512921677558956</v>
      </c>
      <c r="V154" s="2" t="n">
        <v>0.973667888</v>
      </c>
      <c r="W154" s="2" t="n">
        <f aca="false">IF(W$7=W$5,W$6,IF(NORMSDIST(W$9*SQRT($C$11)*NORMSINV($B154)+SQRT(1-W$9^2*$C$11)*NORMSINV(V154))&lt;W$8,W$5+SQRT(NORMSDIST(W$9*SQRT($C$11)*NORMSINV($B154)+SQRT(1-W$9^2*$C$11)*NORMSINV(V154))*(W$7-W$5)*(W$6-W$5)),W$7-SQRT((1-NORMSDIST(W$9*SQRT($C$11)*NORMSINV($B154)+SQRT(1-W$9^2*$C$11)*NORMSINV(V154)))*(W$7-W$5)*(W$7-W$6))))</f>
        <v>11.5644924203488</v>
      </c>
      <c r="X154" s="2" t="n">
        <v>0.927584823</v>
      </c>
      <c r="Y154" s="2" t="n">
        <f aca="false">IF(Y$7=Y$5,Y$6,IF(NORMSDIST(Y$9*SQRT($C$11)*NORMSINV($B154)+SQRT(1-Y$9^2*$C$11)*NORMSINV(X154))&lt;Y$8,Y$5+SQRT(NORMSDIST(Y$9*SQRT($C$11)*NORMSINV($B154)+SQRT(1-Y$9^2*$C$11)*NORMSINV(X154))*(Y$7-Y$5)*(Y$6-Y$5)),Y$7-SQRT((1-NORMSDIST(Y$9*SQRT($C$11)*NORMSINV($B154)+SQRT(1-Y$9^2*$C$11)*NORMSINV(X154)))*(Y$7-Y$5)*(Y$7-Y$6))))</f>
        <v>0.809717083005331</v>
      </c>
      <c r="Z154" s="2" t="n">
        <v>0.903720388</v>
      </c>
      <c r="AA154" s="2" t="n">
        <f aca="false">IF(AA$7=AA$5,AA$6,IF(NORMSDIST(AA$9*SQRT($C$11)*NORMSINV($B154)+SQRT(1-AA$9^2*$C$11)*NORMSINV(Z154))&lt;AA$8,AA$5+SQRT(NORMSDIST(AA$9*SQRT($C$11)*NORMSINV($B154)+SQRT(1-AA$9^2*$C$11)*NORMSINV(Z154))*(AA$7-AA$5)*(AA$6-AA$5)),AA$7-SQRT((1-NORMSDIST(AA$9*SQRT($C$11)*NORMSINV($B154)+SQRT(1-AA$9^2*$C$11)*NORMSINV(Z154)))*(AA$7-AA$5)*(AA$7-AA$6))))</f>
        <v>0.744523339177867</v>
      </c>
      <c r="AB154" s="2" t="n">
        <v>0.674126743</v>
      </c>
      <c r="AC154" s="2" t="n">
        <f aca="false">IF(AC$7=AC$5,AC$6,IF(NORMSDIST(AC$9*SQRT($C$11)*NORMSINV($B154)+SQRT(1-AC$9^2*$C$11)*NORMSINV(AB154))&lt;AC$8,AC$5+SQRT(NORMSDIST(AC$9*SQRT($C$11)*NORMSINV($B154)+SQRT(1-AC$9^2*$C$11)*NORMSINV(AB154))*(AC$7-AC$5)*(AC$6-AC$5)),AC$7-SQRT((1-NORMSDIST(AC$9*SQRT($C$11)*NORMSINV($B154)+SQRT(1-AC$9^2*$C$11)*NORMSINV(AB154)))*(AC$7-AC$5)*(AC$7-AC$6))))</f>
        <v>10.0637352483281</v>
      </c>
      <c r="AD154" s="2" t="n">
        <f aca="false">Entrées!$C$8*(1+E154)</f>
        <v>7444.82708104637</v>
      </c>
      <c r="AE154" s="2" t="n">
        <f aca="false">I154*Hypothèses!$J$24/12/Hypothèses!$J$19</f>
        <v>99.6826651023083</v>
      </c>
      <c r="AF154" s="2" t="n">
        <f aca="false">Entrées!$C$36*S154*1000</f>
        <v>328.206956809982</v>
      </c>
      <c r="AG154" s="2" t="n">
        <f aca="false">-AF154/W154</f>
        <v>-28.3805760668295</v>
      </c>
      <c r="AH154" s="2" t="n">
        <f aca="false">AD154+AE154+AG154</f>
        <v>7516.12917008185</v>
      </c>
      <c r="AI154" s="2" t="n">
        <f aca="false">Entrées!$C$16-M154+Hypothèses!$J$22*1000-AF154+Hypothèses!$J$23</f>
        <v>22616.2232250247</v>
      </c>
      <c r="AJ154" s="2" t="n">
        <f aca="false">AI154/AH154</f>
        <v>3.00902535244461</v>
      </c>
      <c r="AK154" s="2" t="n">
        <f aca="false">AI154/(AH154+I154*(12-Hypothèses!$J$24)/12/Hypothèses!$J$19)</f>
        <v>2.98078771115457</v>
      </c>
      <c r="AL154" s="2" t="n">
        <f aca="false">(AD154+AG154+I154/Hypothèses!$J$19)*(1+G154)</f>
        <v>7955.43757157255</v>
      </c>
      <c r="AM154" s="2" t="n">
        <f aca="false">Entrées!$C$54*K154/Hypothèses!$J$19</f>
        <v>24.3557483019008</v>
      </c>
      <c r="AN154" s="2" t="n">
        <f aca="false">Y154*1000/AC154</f>
        <v>80.4589014938419</v>
      </c>
      <c r="AO154" s="2" t="n">
        <f aca="false">(Entrées!$C$36*(1-S154)+MAX(0,Entrées!$C$30-Entrées!$C$35-Entrées!$C$36)*U154)*1000</f>
        <v>889.883391772556</v>
      </c>
      <c r="AP154" s="2" t="n">
        <f aca="false">-AO154/W154</f>
        <v>-76.9496281744906</v>
      </c>
      <c r="AQ154" s="2" t="n">
        <f aca="false">AL154+AM154+AN154+AP154</f>
        <v>7983.30259319381</v>
      </c>
      <c r="AR154" s="2" t="n">
        <f aca="false">O154*AQ154-Hypothèses!$J$25/Hypothèses!$J$19</f>
        <v>1270.52009936986</v>
      </c>
      <c r="AS154" s="2" t="n">
        <f aca="false">Entrées!$C$79*(1+Q154)+Hypothèses!$J$20</f>
        <v>1457.88994163052</v>
      </c>
      <c r="AT154" s="2" t="n">
        <f aca="false">AI154-AR154+AS154+Y154*1000-AO154+Hypothèses!$J$23</f>
        <v>22723.4267585182</v>
      </c>
      <c r="AU154" s="2" t="n">
        <f aca="false">AT154/AQ154</f>
        <v>2.84636921790878</v>
      </c>
      <c r="AV154" s="2" t="n">
        <f aca="false">Hypothèses!$J$26*AQ154-AT154</f>
        <v>1226.48102106326</v>
      </c>
      <c r="AW154" s="2" t="n">
        <f aca="false">IF(AC154&gt;Hypothèses!$J$26,MAX(0,AV154)/(1-Hypothèses!$J$26/AC154),0)</f>
        <v>1747.37300438903</v>
      </c>
      <c r="AX154" s="2" t="n">
        <f aca="false">AQ154-Entrées!$C$17*1000</f>
        <v>-16.6974068061945</v>
      </c>
      <c r="AY154" s="2" t="n">
        <f aca="false">AI154+(Entrées!$C$244-Entrées!$C$13)</f>
        <v>28363.2232250247</v>
      </c>
      <c r="AZ154" s="2" t="n">
        <f aca="false">AA154*AH154</f>
        <v>5595.93358740151</v>
      </c>
      <c r="BA154" s="2" t="n">
        <f aca="false">AZ154/AY154</f>
        <v>0.197295404087369</v>
      </c>
      <c r="BB154" s="2" t="n">
        <f aca="false">AZ154/(Entrées!$C$151/100)-AY154</f>
        <v>2725.29670498368</v>
      </c>
      <c r="BC154" s="2" t="n">
        <f aca="false">AT154+(Entrées!$C$244-Entrées!$C$13)</f>
        <v>28470.4267585182</v>
      </c>
      <c r="BD154" s="2" t="n">
        <f aca="false">AA154*AQ154</f>
        <v>5943.75510435198</v>
      </c>
      <c r="BE154" s="2" t="n">
        <f aca="false">BD154/BC154</f>
        <v>0.208769441876162</v>
      </c>
      <c r="BF154" s="2" t="n">
        <f aca="false">BD154/(Entrées!$C$151/100)-BC154</f>
        <v>4550.43493232617</v>
      </c>
      <c r="BG154" s="2" t="n">
        <f aca="false">MIN(AV154,BF154)</f>
        <v>1226.48102106326</v>
      </c>
      <c r="BH154" s="2" t="n">
        <f aca="false">IF(AC154&gt;Hypothèses!$J$26,MAX(0,BG154)/(1-Hypothèses!$J$26/AC154),0)</f>
        <v>1747.37300438903</v>
      </c>
    </row>
    <row r="155" customFormat="false" ht="15" hidden="false" customHeight="false" outlineLevel="0" collapsed="false">
      <c r="A155" s="2" t="n">
        <v>140</v>
      </c>
      <c r="B155" s="2" t="n">
        <v>0.819352421</v>
      </c>
      <c r="C155" s="2"/>
      <c r="D155" s="2" t="n">
        <v>0.750891442</v>
      </c>
      <c r="E155" s="2" t="n">
        <f aca="false">IF(E$7=E$5,E$6,IF(NORMSDIST(E$9*SQRT($C$11)*NORMSINV($B155)+SQRT(1-E$9^2*$C$11)*NORMSINV(D155))&lt;E$8,E$5+SQRT(NORMSDIST(E$9*SQRT($C$11)*NORMSINV($B155)+SQRT(1-E$9^2*$C$11)*NORMSINV(D155))*(E$7-E$5)*(E$6-E$5)),E$7-SQRT((1-NORMSDIST(E$9*SQRT($C$11)*NORMSINV($B155)+SQRT(1-E$9^2*$C$11)*NORMSINV(D155)))*(E$7-E$5)*(E$7-E$6))))</f>
        <v>0.0573997059038027</v>
      </c>
      <c r="F155" s="2" t="n">
        <v>0.438328864</v>
      </c>
      <c r="G155" s="2" t="n">
        <f aca="false">IF(G$7=G$5,G$6,IF(NORMSDIST(G$9*SQRT($C$11)*NORMSINV($B155)+SQRT(1-G$9^2*$C$11)*NORMSINV(F155))&lt;G$8,G$5+SQRT(NORMSDIST(G$9*SQRT($C$11)*NORMSINV($B155)+SQRT(1-G$9^2*$C$11)*NORMSINV(F155))*(G$7-G$5)*(G$6-G$5)),G$7-SQRT((1-NORMSDIST(G$9*SQRT($C$11)*NORMSINV($B155)+SQRT(1-G$9^2*$C$11)*NORMSINV(F155)))*(G$7-G$5)*(G$7-G$6))))</f>
        <v>0.0579292721915268</v>
      </c>
      <c r="H155" s="2" t="n">
        <v>0.539703085</v>
      </c>
      <c r="I155" s="2" t="n">
        <f aca="false">IF(I$7=I$5,I$6,IF(NORMSDIST(I$9*SQRT($C$11)*NORMSINV($B155)+SQRT(1-I$9^2*$C$11)*NORMSINV(H155))&lt;I$8,I$5+SQRT(NORMSDIST(I$9*SQRT($C$11)*NORMSINV($B155)+SQRT(1-I$9^2*$C$11)*NORMSINV(H155))*(I$7-I$5)*(I$6-I$5)),I$7-SQRT((1-NORMSDIST(I$9*SQRT($C$11)*NORMSINV($B155)+SQRT(1-I$9^2*$C$11)*NORMSINV(H155)))*(I$7-I$5)*(I$7-I$6))))</f>
        <v>205.678895695246</v>
      </c>
      <c r="J155" s="2" t="n">
        <v>0.888271885</v>
      </c>
      <c r="K155" s="2" t="n">
        <f aca="false">IF(K$7=K$5,K$6,IF(NORMSDIST(K$9*SQRT($C$11)*NORMSINV($B155)+SQRT(1-K$9^2*$C$11)*NORMSINV(J155))&lt;K$8,K$5+SQRT(NORMSDIST(K$9*SQRT($C$11)*NORMSINV($B155)+SQRT(1-K$9^2*$C$11)*NORMSINV(J155))*(K$7-K$5)*(K$6-K$5)),K$7-SQRT((1-NORMSDIST(K$9*SQRT($C$11)*NORMSINV($B155)+SQRT(1-K$9^2*$C$11)*NORMSINV(J155)))*(K$7-K$5)*(K$7-K$6))))</f>
        <v>0.410409962613916</v>
      </c>
      <c r="L155" s="2" t="n">
        <v>0.092250417</v>
      </c>
      <c r="M155" s="2" t="n">
        <f aca="false">IF(M$7=M$5,M$6,IF(NORMSDIST(M$9*SQRT($C$11)*NORMSINV($B155)+SQRT(1-M$9^2*$C$11)*NORMSINV(L155))&lt;M$8,M$5+SQRT(NORMSDIST(M$9*SQRT($C$11)*NORMSINV($B155)+SQRT(1-M$9^2*$C$11)*NORMSINV(L155))*(M$7-M$5)*(M$6-M$5)),M$7-SQRT((1-NORMSDIST(M$9*SQRT($C$11)*NORMSINV($B155)+SQRT(1-M$9^2*$C$11)*NORMSINV(L155)))*(M$7-M$5)*(M$7-M$6))))</f>
        <v>1531.08332331369</v>
      </c>
      <c r="N155" s="2" t="n">
        <v>0.26269756</v>
      </c>
      <c r="O155" s="2" t="n">
        <f aca="false">IF(O$7=O$5,O$6,IF(NORMSDIST(O$9*SQRT($C$11)*NORMSINV($B155)+SQRT(1-O$9^2*$C$11)*NORMSINV(N155))&lt;O$8,O$5+SQRT(NORMSDIST(O$9*SQRT($C$11)*NORMSINV($B155)+SQRT(1-O$9^2*$C$11)*NORMSINV(N155))*(O$7-O$5)*(O$6-O$5)),O$7-SQRT((1-NORMSDIST(O$9*SQRT($C$11)*NORMSINV($B155)+SQRT(1-O$9^2*$C$11)*NORMSINV(N155)))*(O$7-O$5)*(O$7-O$6))))</f>
        <v>0.167681543958419</v>
      </c>
      <c r="P155" s="2" t="n">
        <v>0.055028073</v>
      </c>
      <c r="Q155" s="2" t="n">
        <f aca="false">IF(Q$7=Q$5,Q$6,IF(NORMSDIST(Q$9*SQRT($C$11)*NORMSINV($B155)+SQRT(1-Q$9^2*$C$11)*NORMSINV(P155))&lt;Q$8,Q$5+SQRT(NORMSDIST(Q$9*SQRT($C$11)*NORMSINV($B155)+SQRT(1-Q$9^2*$C$11)*NORMSINV(P155))*(Q$7-Q$5)*(Q$6-Q$5)),Q$7-SQRT((1-NORMSDIST(Q$9*SQRT($C$11)*NORMSINV($B155)+SQRT(1-Q$9^2*$C$11)*NORMSINV(P155)))*(Q$7-Q$5)*(Q$7-Q$6))))</f>
        <v>0.0532698844606877</v>
      </c>
      <c r="R155" s="2" t="n">
        <v>0.443590819</v>
      </c>
      <c r="S155" s="2" t="n">
        <f aca="false">IF(S$7=S$5,S$6,IF(NORMSDIST(S$9*SQRT($C$11)*NORMSINV($B155)+SQRT(1-S$9^2*$C$11)*NORMSINV(R155))&lt;S$8,S$5+SQRT(NORMSDIST(S$9*SQRT($C$11)*NORMSINV($B155)+SQRT(1-S$9^2*$C$11)*NORMSINV(R155))*(S$7-S$5)*(S$6-S$5)),S$7-SQRT((1-NORMSDIST(S$9*SQRT($C$11)*NORMSINV($B155)+SQRT(1-S$9^2*$C$11)*NORMSINV(R155)))*(S$7-S$5)*(S$7-S$6))))</f>
        <v>0.599950106913437</v>
      </c>
      <c r="T155" s="2" t="n">
        <v>0.642353239</v>
      </c>
      <c r="U155" s="2" t="n">
        <f aca="false">IF(U$7=U$5,U$6,IF(NORMSDIST(U$9*SQRT($C$11)*NORMSINV($B155)+SQRT(1-U$9^2*$C$11)*NORMSINV(T155))&lt;U$8,U$5+SQRT(NORMSDIST(U$9*SQRT($C$11)*NORMSINV($B155)+SQRT(1-U$9^2*$C$11)*NORMSINV(T155))*(U$7-U$5)*(U$6-U$5)),U$7-SQRT((1-NORMSDIST(U$9*SQRT($C$11)*NORMSINV($B155)+SQRT(1-U$9^2*$C$11)*NORMSINV(T155)))*(U$7-U$5)*(U$7-U$6))))</f>
        <v>0.68781413213308</v>
      </c>
      <c r="V155" s="2" t="n">
        <v>0.164236472</v>
      </c>
      <c r="W155" s="2" t="n">
        <f aca="false">IF(W$7=W$5,W$6,IF(NORMSDIST(W$9*SQRT($C$11)*NORMSINV($B155)+SQRT(1-W$9^2*$C$11)*NORMSINV(V155))&lt;W$8,W$5+SQRT(NORMSDIST(W$9*SQRT($C$11)*NORMSINV($B155)+SQRT(1-W$9^2*$C$11)*NORMSINV(V155))*(W$7-W$5)*(W$6-W$5)),W$7-SQRT((1-NORMSDIST(W$9*SQRT($C$11)*NORMSINV($B155)+SQRT(1-W$9^2*$C$11)*NORMSINV(V155)))*(W$7-W$5)*(W$7-W$6))))</f>
        <v>9.85202134417692</v>
      </c>
      <c r="X155" s="2" t="n">
        <v>0.251262111</v>
      </c>
      <c r="Y155" s="2" t="n">
        <f aca="false">IF(Y$7=Y$5,Y$6,IF(NORMSDIST(Y$9*SQRT($C$11)*NORMSINV($B155)+SQRT(1-Y$9^2*$C$11)*NORMSINV(X155))&lt;Y$8,Y$5+SQRT(NORMSDIST(Y$9*SQRT($C$11)*NORMSINV($B155)+SQRT(1-Y$9^2*$C$11)*NORMSINV(X155))*(Y$7-Y$5)*(Y$6-Y$5)),Y$7-SQRT((1-NORMSDIST(Y$9*SQRT($C$11)*NORMSINV($B155)+SQRT(1-Y$9^2*$C$11)*NORMSINV(X155)))*(Y$7-Y$5)*(Y$7-Y$6))))</f>
        <v>0.354444714306759</v>
      </c>
      <c r="Z155" s="2" t="n">
        <v>0.977144776</v>
      </c>
      <c r="AA155" s="2" t="n">
        <f aca="false">IF(AA$7=AA$5,AA$6,IF(NORMSDIST(AA$9*SQRT($C$11)*NORMSINV($B155)+SQRT(1-AA$9^2*$C$11)*NORMSINV(Z155))&lt;AA$8,AA$5+SQRT(NORMSDIST(AA$9*SQRT($C$11)*NORMSINV($B155)+SQRT(1-AA$9^2*$C$11)*NORMSINV(Z155))*(AA$7-AA$5)*(AA$6-AA$5)),AA$7-SQRT((1-NORMSDIST(AA$9*SQRT($C$11)*NORMSINV($B155)+SQRT(1-AA$9^2*$C$11)*NORMSINV(Z155)))*(AA$7-AA$5)*(AA$7-AA$6))))</f>
        <v>0.74922608079862</v>
      </c>
      <c r="AB155" s="2" t="n">
        <v>0.00955621</v>
      </c>
      <c r="AC155" s="2" t="n">
        <f aca="false">IF(AC$7=AC$5,AC$6,IF(NORMSDIST(AC$9*SQRT($C$11)*NORMSINV($B155)+SQRT(1-AC$9^2*$C$11)*NORMSINV(AB155))&lt;AC$8,AC$5+SQRT(NORMSDIST(AC$9*SQRT($C$11)*NORMSINV($B155)+SQRT(1-AC$9^2*$C$11)*NORMSINV(AB155))*(AC$7-AC$5)*(AC$6-AC$5)),AC$7-SQRT((1-NORMSDIST(AC$9*SQRT($C$11)*NORMSINV($B155)+SQRT(1-AC$9^2*$C$11)*NORMSINV(AB155)))*(AC$7-AC$5)*(AC$7-AC$6))))</f>
        <v>8.36553895781822</v>
      </c>
      <c r="AD155" s="2" t="n">
        <f aca="false">Entrées!$C$8*(1+E155)</f>
        <v>7454.66792662181</v>
      </c>
      <c r="AE155" s="2" t="n">
        <f aca="false">I155*Hypothèses!$J$24/12/Hypothèses!$J$19</f>
        <v>102.036641853497</v>
      </c>
      <c r="AF155" s="2" t="n">
        <f aca="false">Entrées!$C$36*S155*1000</f>
        <v>299.975053456719</v>
      </c>
      <c r="AG155" s="2" t="n">
        <f aca="false">-AF155/W155</f>
        <v>-30.4480718197003</v>
      </c>
      <c r="AH155" s="2" t="n">
        <f aca="false">AD155+AE155+AG155</f>
        <v>7526.25649665561</v>
      </c>
      <c r="AI155" s="2" t="n">
        <f aca="false">Entrées!$C$16-M155+Hypothèses!$J$22*1000-AF155+Hypothèses!$J$23</f>
        <v>22716.9416232296</v>
      </c>
      <c r="AJ155" s="2" t="n">
        <f aca="false">AI155/AH155</f>
        <v>3.01835867981967</v>
      </c>
      <c r="AK155" s="2" t="n">
        <f aca="false">AI155/(AH155+I155*(12-Hypothèses!$J$24)/12/Hypothèses!$J$19)</f>
        <v>2.98940961535722</v>
      </c>
      <c r="AL155" s="2" t="n">
        <f aca="false">(AD155+AG155+I155/Hypothèses!$J$19)*(1+G155)</f>
        <v>8039.35245087143</v>
      </c>
      <c r="AM155" s="2" t="n">
        <f aca="false">Entrées!$C$54*K155/Hypothèses!$J$19</f>
        <v>41.8840598848273</v>
      </c>
      <c r="AN155" s="2" t="n">
        <f aca="false">Y155*1000/AC155</f>
        <v>42.36962090476</v>
      </c>
      <c r="AO155" s="2" t="n">
        <f aca="false">(Entrées!$C$36*(1-S155)+MAX(0,Entrées!$C$30-Entrées!$C$35-Entrées!$C$36)*U155)*1000</f>
        <v>1162.96473152959</v>
      </c>
      <c r="AP155" s="2" t="n">
        <f aca="false">-AO155/W155</f>
        <v>-118.043261469076</v>
      </c>
      <c r="AQ155" s="2" t="n">
        <f aca="false">AL155+AM155+AN155+AP155</f>
        <v>8005.56287019194</v>
      </c>
      <c r="AR155" s="2" t="n">
        <f aca="false">O155*AQ155-Hypothèses!$J$25/Hypothèses!$J$19</f>
        <v>1323.24998006835</v>
      </c>
      <c r="AS155" s="2" t="n">
        <f aca="false">Entrées!$C$79*(1+Q155)+Hypothèses!$J$20</f>
        <v>1452.5436030223</v>
      </c>
      <c r="AT155" s="2" t="n">
        <f aca="false">AI155-AR155+AS155+Y155*1000-AO155+Hypothèses!$J$23</f>
        <v>22037.7152289607</v>
      </c>
      <c r="AU155" s="2" t="n">
        <f aca="false">AT155/AQ155</f>
        <v>2.75280021983418</v>
      </c>
      <c r="AV155" s="2" t="n">
        <f aca="false">Hypothèses!$J$26*AQ155-AT155</f>
        <v>1978.97338161511</v>
      </c>
      <c r="AW155" s="2" t="n">
        <f aca="false">IF(AC155&gt;Hypothèses!$J$26,MAX(0,AV155)/(1-Hypothèses!$J$26/AC155),0)</f>
        <v>3085.46430294083</v>
      </c>
      <c r="AX155" s="2" t="n">
        <f aca="false">AQ155-Entrées!$C$17*1000</f>
        <v>5.56287019193769</v>
      </c>
      <c r="AY155" s="2" t="n">
        <f aca="false">AI155+(Entrées!$C$244-Entrées!$C$13)</f>
        <v>28463.9416232296</v>
      </c>
      <c r="AZ155" s="2" t="n">
        <f aca="false">AA155*AH155</f>
        <v>5638.86765807443</v>
      </c>
      <c r="BA155" s="2" t="n">
        <f aca="false">AZ155/AY155</f>
        <v>0.198105650043651</v>
      </c>
      <c r="BB155" s="2" t="n">
        <f aca="false">AZ155/(Entrées!$C$151/100)-AY155</f>
        <v>2863.10092162835</v>
      </c>
      <c r="BC155" s="2" t="n">
        <f aca="false">AT155+(Entrées!$C$244-Entrées!$C$13)</f>
        <v>27784.7152289607</v>
      </c>
      <c r="BD155" s="2" t="n">
        <f aca="false">AA155*AQ155</f>
        <v>5997.97649382086</v>
      </c>
      <c r="BE155" s="2" t="n">
        <f aca="false">BD155/BC155</f>
        <v>0.215873239815286</v>
      </c>
      <c r="BF155" s="2" t="n">
        <f aca="false">BD155/(Entrées!$C$151/100)-BC155</f>
        <v>5537.37640337738</v>
      </c>
      <c r="BG155" s="2" t="n">
        <f aca="false">MIN(AV155,BF155)</f>
        <v>1978.97338161511</v>
      </c>
      <c r="BH155" s="2" t="n">
        <f aca="false">IF(AC155&gt;Hypothèses!$J$26,MAX(0,BG155)/(1-Hypothèses!$J$26/AC155),0)</f>
        <v>3085.46430294083</v>
      </c>
    </row>
    <row r="156" customFormat="false" ht="15" hidden="false" customHeight="false" outlineLevel="0" collapsed="false">
      <c r="A156" s="2" t="n">
        <v>141</v>
      </c>
      <c r="B156" s="2" t="n">
        <v>0.578996372</v>
      </c>
      <c r="C156" s="2"/>
      <c r="D156" s="2" t="n">
        <v>0.626812906</v>
      </c>
      <c r="E156" s="2" t="n">
        <f aca="false">IF(E$7=E$5,E$6,IF(NORMSDIST(E$9*SQRT($C$11)*NORMSINV($B156)+SQRT(1-E$9^2*$C$11)*NORMSINV(D156))&lt;E$8,E$5+SQRT(NORMSDIST(E$9*SQRT($C$11)*NORMSINV($B156)+SQRT(1-E$9^2*$C$11)*NORMSINV(D156))*(E$7-E$5)*(E$6-E$5)),E$7-SQRT((1-NORMSDIST(E$9*SQRT($C$11)*NORMSINV($B156)+SQRT(1-E$9^2*$C$11)*NORMSINV(D156)))*(E$7-E$5)*(E$7-E$6))))</f>
        <v>0.055797383105206</v>
      </c>
      <c r="F156" s="2" t="n">
        <v>0.604392581</v>
      </c>
      <c r="G156" s="2" t="n">
        <f aca="false">IF(G$7=G$5,G$6,IF(NORMSDIST(G$9*SQRT($C$11)*NORMSINV($B156)+SQRT(1-G$9^2*$C$11)*NORMSINV(F156))&lt;G$8,G$5+SQRT(NORMSDIST(G$9*SQRT($C$11)*NORMSINV($B156)+SQRT(1-G$9^2*$C$11)*NORMSINV(F156))*(G$7-G$5)*(G$6-G$5)),G$7-SQRT((1-NORMSDIST(G$9*SQRT($C$11)*NORMSINV($B156)+SQRT(1-G$9^2*$C$11)*NORMSINV(F156)))*(G$7-G$5)*(G$7-G$6))))</f>
        <v>0.0570917293039052</v>
      </c>
      <c r="H156" s="2" t="n">
        <v>0.137063549</v>
      </c>
      <c r="I156" s="2" t="n">
        <f aca="false">IF(I$7=I$5,I$6,IF(NORMSDIST(I$9*SQRT($C$11)*NORMSINV($B156)+SQRT(1-I$9^2*$C$11)*NORMSINV(H156))&lt;I$8,I$5+SQRT(NORMSDIST(I$9*SQRT($C$11)*NORMSINV($B156)+SQRT(1-I$9^2*$C$11)*NORMSINV(H156))*(I$7-I$5)*(I$6-I$5)),I$7-SQRT((1-NORMSDIST(I$9*SQRT($C$11)*NORMSINV($B156)+SQRT(1-I$9^2*$C$11)*NORMSINV(H156)))*(I$7-I$5)*(I$7-I$6))))</f>
        <v>193.724214296812</v>
      </c>
      <c r="J156" s="2" t="n">
        <v>0.065866348</v>
      </c>
      <c r="K156" s="2" t="n">
        <f aca="false">IF(K$7=K$5,K$6,IF(NORMSDIST(K$9*SQRT($C$11)*NORMSINV($B156)+SQRT(1-K$9^2*$C$11)*NORMSINV(J156))&lt;K$8,K$5+SQRT(NORMSDIST(K$9*SQRT($C$11)*NORMSINV($B156)+SQRT(1-K$9^2*$C$11)*NORMSINV(J156))*(K$7-K$5)*(K$6-K$5)),K$7-SQRT((1-NORMSDIST(K$9*SQRT($C$11)*NORMSINV($B156)+SQRT(1-K$9^2*$C$11)*NORMSINV(J156)))*(K$7-K$5)*(K$7-K$6))))</f>
        <v>0.136393113564799</v>
      </c>
      <c r="L156" s="2" t="n">
        <v>0.646529796</v>
      </c>
      <c r="M156" s="2" t="n">
        <f aca="false">IF(M$7=M$5,M$6,IF(NORMSDIST(M$9*SQRT($C$11)*NORMSINV($B156)+SQRT(1-M$9^2*$C$11)*NORMSINV(L156))&lt;M$8,M$5+SQRT(NORMSDIST(M$9*SQRT($C$11)*NORMSINV($B156)+SQRT(1-M$9^2*$C$11)*NORMSINV(L156))*(M$7-M$5)*(M$6-M$5)),M$7-SQRT((1-NORMSDIST(M$9*SQRT($C$11)*NORMSINV($B156)+SQRT(1-M$9^2*$C$11)*NORMSINV(L156)))*(M$7-M$5)*(M$7-M$6))))</f>
        <v>1627.80043853194</v>
      </c>
      <c r="N156" s="2" t="n">
        <v>0.757435773</v>
      </c>
      <c r="O156" s="2" t="n">
        <f aca="false">IF(O$7=O$5,O$6,IF(NORMSDIST(O$9*SQRT($C$11)*NORMSINV($B156)+SQRT(1-O$9^2*$C$11)*NORMSINV(N156))&lt;O$8,O$5+SQRT(NORMSDIST(O$9*SQRT($C$11)*NORMSINV($B156)+SQRT(1-O$9^2*$C$11)*NORMSINV(N156))*(O$7-O$5)*(O$6-O$5)),O$7-SQRT((1-NORMSDIST(O$9*SQRT($C$11)*NORMSINV($B156)+SQRT(1-O$9^2*$C$11)*NORMSINV(N156)))*(O$7-O$5)*(O$7-O$6))))</f>
        <v>0.173601612889136</v>
      </c>
      <c r="P156" s="2" t="n">
        <v>0.335183384</v>
      </c>
      <c r="Q156" s="2" t="n">
        <f aca="false">IF(Q$7=Q$5,Q$6,IF(NORMSDIST(Q$9*SQRT($C$11)*NORMSINV($B156)+SQRT(1-Q$9^2*$C$11)*NORMSINV(P156))&lt;Q$8,Q$5+SQRT(NORMSDIST(Q$9*SQRT($C$11)*NORMSINV($B156)+SQRT(1-Q$9^2*$C$11)*NORMSINV(P156))*(Q$7-Q$5)*(Q$6-Q$5)),Q$7-SQRT((1-NORMSDIST(Q$9*SQRT($C$11)*NORMSINV($B156)+SQRT(1-Q$9^2*$C$11)*NORMSINV(P156)))*(Q$7-Q$5)*(Q$7-Q$6))))</f>
        <v>0.0727503714299548</v>
      </c>
      <c r="R156" s="2" t="n">
        <v>0.273631176</v>
      </c>
      <c r="S156" s="2" t="n">
        <f aca="false">IF(S$7=S$5,S$6,IF(NORMSDIST(S$9*SQRT($C$11)*NORMSINV($B156)+SQRT(1-S$9^2*$C$11)*NORMSINV(R156))&lt;S$8,S$5+SQRT(NORMSDIST(S$9*SQRT($C$11)*NORMSINV($B156)+SQRT(1-S$9^2*$C$11)*NORMSINV(R156))*(S$7-S$5)*(S$6-S$5)),S$7-SQRT((1-NORMSDIST(S$9*SQRT($C$11)*NORMSINV($B156)+SQRT(1-S$9^2*$C$11)*NORMSINV(R156)))*(S$7-S$5)*(S$7-S$6))))</f>
        <v>0.428296512613227</v>
      </c>
      <c r="T156" s="2" t="n">
        <v>0.513148458</v>
      </c>
      <c r="U156" s="2" t="n">
        <f aca="false">IF(U$7=U$5,U$6,IF(NORMSDIST(U$9*SQRT($C$11)*NORMSINV($B156)+SQRT(1-U$9^2*$C$11)*NORMSINV(T156))&lt;U$8,U$5+SQRT(NORMSDIST(U$9*SQRT($C$11)*NORMSINV($B156)+SQRT(1-U$9^2*$C$11)*NORMSINV(T156))*(U$7-U$5)*(U$6-U$5)),U$7-SQRT((1-NORMSDIST(U$9*SQRT($C$11)*NORMSINV($B156)+SQRT(1-U$9^2*$C$11)*NORMSINV(T156)))*(U$7-U$5)*(U$7-U$6))))</f>
        <v>0.531090883829047</v>
      </c>
      <c r="V156" s="2" t="n">
        <v>0.971972877</v>
      </c>
      <c r="W156" s="2" t="n">
        <f aca="false">IF(W$7=W$5,W$6,IF(NORMSDIST(W$9*SQRT($C$11)*NORMSINV($B156)+SQRT(1-W$9^2*$C$11)*NORMSINV(V156))&lt;W$8,W$5+SQRT(NORMSDIST(W$9*SQRT($C$11)*NORMSINV($B156)+SQRT(1-W$9^2*$C$11)*NORMSINV(V156))*(W$7-W$5)*(W$6-W$5)),W$7-SQRT((1-NORMSDIST(W$9*SQRT($C$11)*NORMSINV($B156)+SQRT(1-W$9^2*$C$11)*NORMSINV(V156)))*(W$7-W$5)*(W$7-W$6))))</f>
        <v>11.3419134731546</v>
      </c>
      <c r="X156" s="2" t="n">
        <v>0.283922225</v>
      </c>
      <c r="Y156" s="2" t="n">
        <f aca="false">IF(Y$7=Y$5,Y$6,IF(NORMSDIST(Y$9*SQRT($C$11)*NORMSINV($B156)+SQRT(1-Y$9^2*$C$11)*NORMSINV(X156))&lt;Y$8,Y$5+SQRT(NORMSDIST(Y$9*SQRT($C$11)*NORMSINV($B156)+SQRT(1-Y$9^2*$C$11)*NORMSINV(X156))*(Y$7-Y$5)*(Y$6-Y$5)),Y$7-SQRT((1-NORMSDIST(Y$9*SQRT($C$11)*NORMSINV($B156)+SQRT(1-Y$9^2*$C$11)*NORMSINV(X156)))*(Y$7-Y$5)*(Y$7-Y$6))))</f>
        <v>0.376777271740215</v>
      </c>
      <c r="Z156" s="2" t="n">
        <v>0.157807817</v>
      </c>
      <c r="AA156" s="2" t="n">
        <f aca="false">IF(AA$7=AA$5,AA$6,IF(NORMSDIST(AA$9*SQRT($C$11)*NORMSINV($B156)+SQRT(1-AA$9^2*$C$11)*NORMSINV(Z156))&lt;AA$8,AA$5+SQRT(NORMSDIST(AA$9*SQRT($C$11)*NORMSINV($B156)+SQRT(1-AA$9^2*$C$11)*NORMSINV(Z156))*(AA$7-AA$5)*(AA$6-AA$5)),AA$7-SQRT((1-NORMSDIST(AA$9*SQRT($C$11)*NORMSINV($B156)+SQRT(1-AA$9^2*$C$11)*NORMSINV(Z156)))*(AA$7-AA$5)*(AA$7-AA$6))))</f>
        <v>0.718806336574703</v>
      </c>
      <c r="AB156" s="2" t="n">
        <v>0.94342176</v>
      </c>
      <c r="AC156" s="2" t="n">
        <f aca="false">IF(AC$7=AC$5,AC$6,IF(NORMSDIST(AC$9*SQRT($C$11)*NORMSINV($B156)+SQRT(1-AC$9^2*$C$11)*NORMSINV(AB156))&lt;AC$8,AC$5+SQRT(NORMSDIST(AC$9*SQRT($C$11)*NORMSINV($B156)+SQRT(1-AC$9^2*$C$11)*NORMSINV(AB156))*(AC$7-AC$5)*(AC$6-AC$5)),AC$7-SQRT((1-NORMSDIST(AC$9*SQRT($C$11)*NORMSINV($B156)+SQRT(1-AC$9^2*$C$11)*NORMSINV(AB156)))*(AC$7-AC$5)*(AC$7-AC$6))))</f>
        <v>10.3834170689248</v>
      </c>
      <c r="AD156" s="2" t="n">
        <f aca="false">Entrées!$C$8*(1+E156)</f>
        <v>7443.3715508917</v>
      </c>
      <c r="AE156" s="2" t="n">
        <f aca="false">I156*Hypothèses!$J$24/12/Hypothèses!$J$19</f>
        <v>96.1059626741797</v>
      </c>
      <c r="AF156" s="2" t="n">
        <f aca="false">Entrées!$C$36*S156*1000</f>
        <v>214.148256306614</v>
      </c>
      <c r="AG156" s="2" t="n">
        <f aca="false">-AF156/W156</f>
        <v>-18.8811400134099</v>
      </c>
      <c r="AH156" s="2" t="n">
        <f aca="false">AD156+AE156+AG156</f>
        <v>7520.59637355247</v>
      </c>
      <c r="AI156" s="2" t="n">
        <f aca="false">Entrées!$C$16-M156+Hypothèses!$J$22*1000-AF156+Hypothèses!$J$23</f>
        <v>22706.0513051615</v>
      </c>
      <c r="AJ156" s="2" t="n">
        <f aca="false">AI156/AH156</f>
        <v>3.01918227988027</v>
      </c>
      <c r="AK156" s="2" t="n">
        <f aca="false">AI156/(AH156+I156*(12-Hypothèses!$J$24)/12/Hypothèses!$J$19)</f>
        <v>2.99187281786824</v>
      </c>
      <c r="AL156" s="2" t="n">
        <f aca="false">(AD156+AG156+I156/Hypothèses!$J$19)*(1+G156)</f>
        <v>8022.52652468645</v>
      </c>
      <c r="AM156" s="2" t="n">
        <f aca="false">Entrées!$C$54*K156/Hypothèses!$J$19</f>
        <v>13.9194899169643</v>
      </c>
      <c r="AN156" s="2" t="n">
        <f aca="false">Y156*1000/AC156</f>
        <v>36.2864430118891</v>
      </c>
      <c r="AO156" s="2" t="n">
        <f aca="false">(Entrées!$C$36*(1-S156)+MAX(0,Entrées!$C$30-Entrées!$C$35-Entrées!$C$36)*U156)*1000</f>
        <v>1029.37898105405</v>
      </c>
      <c r="AP156" s="2" t="n">
        <f aca="false">-AO156/W156</f>
        <v>-90.758846246756</v>
      </c>
      <c r="AQ156" s="2" t="n">
        <f aca="false">AL156+AM156+AN156+AP156</f>
        <v>7981.97361136855</v>
      </c>
      <c r="AR156" s="2" t="n">
        <f aca="false">O156*AQ156-Hypothèses!$J$25/Hypothèses!$J$19</f>
        <v>1366.54833071048</v>
      </c>
      <c r="AS156" s="2" t="n">
        <f aca="false">Entrées!$C$79*(1+Q156)+Hypothèses!$J$20</f>
        <v>1473.95265820152</v>
      </c>
      <c r="AT156" s="2" t="n">
        <f aca="false">AI156-AR156+AS156+Y156*1000-AO156+Hypothèses!$J$23</f>
        <v>22160.8539233387</v>
      </c>
      <c r="AU156" s="2" t="n">
        <f aca="false">AT156/AQ156</f>
        <v>2.77636271457669</v>
      </c>
      <c r="AV156" s="2" t="n">
        <f aca="false">Hypothèses!$J$26*AQ156-AT156</f>
        <v>1785.06691076699</v>
      </c>
      <c r="AW156" s="2" t="n">
        <f aca="false">IF(AC156&gt;Hypothèses!$J$26,MAX(0,AV156)/(1-Hypothèses!$J$26/AC156),0)</f>
        <v>2510.3680392702</v>
      </c>
      <c r="AX156" s="2" t="n">
        <f aca="false">AQ156-Entrées!$C$17*1000</f>
        <v>-18.0263886314506</v>
      </c>
      <c r="AY156" s="2" t="n">
        <f aca="false">AI156+(Entrées!$C$244-Entrées!$C$13)</f>
        <v>28453.0513051615</v>
      </c>
      <c r="AZ156" s="2" t="n">
        <f aca="false">AA156*AH156</f>
        <v>5405.85232813025</v>
      </c>
      <c r="BA156" s="2" t="n">
        <f aca="false">AZ156/AY156</f>
        <v>0.189992007189388</v>
      </c>
      <c r="BB156" s="2" t="n">
        <f aca="false">AZ156/(Entrées!$C$151/100)-AY156</f>
        <v>1579.46162889549</v>
      </c>
      <c r="BC156" s="2" t="n">
        <f aca="false">AT156+(Entrées!$C$244-Entrées!$C$13)</f>
        <v>27907.8539233387</v>
      </c>
      <c r="BD156" s="2" t="n">
        <f aca="false">AA156*AQ156</f>
        <v>5737.49321022378</v>
      </c>
      <c r="BE156" s="2" t="n">
        <f aca="false">BD156/BC156</f>
        <v>0.205587044635691</v>
      </c>
      <c r="BF156" s="2" t="n">
        <f aca="false">BD156/(Entrées!$C$151/100)-BC156</f>
        <v>3967.10835568234</v>
      </c>
      <c r="BG156" s="2" t="n">
        <f aca="false">MIN(AV156,BF156)</f>
        <v>1785.06691076699</v>
      </c>
      <c r="BH156" s="2" t="n">
        <f aca="false">IF(AC156&gt;Hypothèses!$J$26,MAX(0,BG156)/(1-Hypothèses!$J$26/AC156),0)</f>
        <v>2510.3680392702</v>
      </c>
    </row>
    <row r="157" customFormat="false" ht="15" hidden="false" customHeight="false" outlineLevel="0" collapsed="false">
      <c r="A157" s="2" t="n">
        <v>142</v>
      </c>
      <c r="B157" s="2" t="n">
        <v>0.87600595</v>
      </c>
      <c r="C157" s="2"/>
      <c r="D157" s="2" t="n">
        <v>0.696477197</v>
      </c>
      <c r="E157" s="2" t="n">
        <f aca="false">IF(E$7=E$5,E$6,IF(NORMSDIST(E$9*SQRT($C$11)*NORMSINV($B157)+SQRT(1-E$9^2*$C$11)*NORMSINV(D157))&lt;E$8,E$5+SQRT(NORMSDIST(E$9*SQRT($C$11)*NORMSINV($B157)+SQRT(1-E$9^2*$C$11)*NORMSINV(D157))*(E$7-E$5)*(E$6-E$5)),E$7-SQRT((1-NORMSDIST(E$9*SQRT($C$11)*NORMSINV($B157)+SQRT(1-E$9^2*$C$11)*NORMSINV(D157)))*(E$7-E$5)*(E$7-E$6))))</f>
        <v>0.0574559320483177</v>
      </c>
      <c r="F157" s="2" t="n">
        <v>0.754172069</v>
      </c>
      <c r="G157" s="2" t="n">
        <f aca="false">IF(G$7=G$5,G$6,IF(NORMSDIST(G$9*SQRT($C$11)*NORMSINV($B157)+SQRT(1-G$9^2*$C$11)*NORMSINV(F157))&lt;G$8,G$5+SQRT(NORMSDIST(G$9*SQRT($C$11)*NORMSINV($B157)+SQRT(1-G$9^2*$C$11)*NORMSINV(F157))*(G$7-G$5)*(G$6-G$5)),G$7-SQRT((1-NORMSDIST(G$9*SQRT($C$11)*NORMSINV($B157)+SQRT(1-G$9^2*$C$11)*NORMSINV(F157)))*(G$7-G$5)*(G$7-G$6))))</f>
        <v>0.0631840669810752</v>
      </c>
      <c r="H157" s="2" t="n">
        <v>0.60054767</v>
      </c>
      <c r="I157" s="2" t="n">
        <f aca="false">IF(I$7=I$5,I$6,IF(NORMSDIST(I$9*SQRT($C$11)*NORMSINV($B157)+SQRT(1-I$9^2*$C$11)*NORMSINV(H157))&lt;I$8,I$5+SQRT(NORMSDIST(I$9*SQRT($C$11)*NORMSINV($B157)+SQRT(1-I$9^2*$C$11)*NORMSINV(H157))*(I$7-I$5)*(I$6-I$5)),I$7-SQRT((1-NORMSDIST(I$9*SQRT($C$11)*NORMSINV($B157)+SQRT(1-I$9^2*$C$11)*NORMSINV(H157)))*(I$7-I$5)*(I$7-I$6))))</f>
        <v>208.110244242707</v>
      </c>
      <c r="J157" s="2" t="n">
        <v>0.20909151</v>
      </c>
      <c r="K157" s="2" t="n">
        <f aca="false">IF(K$7=K$5,K$6,IF(NORMSDIST(K$9*SQRT($C$11)*NORMSINV($B157)+SQRT(1-K$9^2*$C$11)*NORMSINV(J157))&lt;K$8,K$5+SQRT(NORMSDIST(K$9*SQRT($C$11)*NORMSINV($B157)+SQRT(1-K$9^2*$C$11)*NORMSINV(J157))*(K$7-K$5)*(K$6-K$5)),K$7-SQRT((1-NORMSDIST(K$9*SQRT($C$11)*NORMSINV($B157)+SQRT(1-K$9^2*$C$11)*NORMSINV(J157)))*(K$7-K$5)*(K$7-K$6))))</f>
        <v>0.260530801657953</v>
      </c>
      <c r="L157" s="2" t="n">
        <v>0.342319074</v>
      </c>
      <c r="M157" s="2" t="n">
        <f aca="false">IF(M$7=M$5,M$6,IF(NORMSDIST(M$9*SQRT($C$11)*NORMSINV($B157)+SQRT(1-M$9^2*$C$11)*NORMSINV(L157))&lt;M$8,M$5+SQRT(NORMSDIST(M$9*SQRT($C$11)*NORMSINV($B157)+SQRT(1-M$9^2*$C$11)*NORMSINV(L157))*(M$7-M$5)*(M$6-M$5)),M$7-SQRT((1-NORMSDIST(M$9*SQRT($C$11)*NORMSINV($B157)+SQRT(1-M$9^2*$C$11)*NORMSINV(L157)))*(M$7-M$5)*(M$7-M$6))))</f>
        <v>1627.68907171796</v>
      </c>
      <c r="N157" s="2" t="n">
        <v>0.912905924</v>
      </c>
      <c r="O157" s="2" t="n">
        <f aca="false">IF(O$7=O$5,O$6,IF(NORMSDIST(O$9*SQRT($C$11)*NORMSINV($B157)+SQRT(1-O$9^2*$C$11)*NORMSINV(N157))&lt;O$8,O$5+SQRT(NORMSDIST(O$9*SQRT($C$11)*NORMSINV($B157)+SQRT(1-O$9^2*$C$11)*NORMSINV(N157))*(O$7-O$5)*(O$6-O$5)),O$7-SQRT((1-NORMSDIST(O$9*SQRT($C$11)*NORMSINV($B157)+SQRT(1-O$9^2*$C$11)*NORMSINV(N157)))*(O$7-O$5)*(O$7-O$6))))</f>
        <v>0.183698812742595</v>
      </c>
      <c r="P157" s="2" t="n">
        <v>0.967812165</v>
      </c>
      <c r="Q157" s="2" t="n">
        <f aca="false">IF(Q$7=Q$5,Q$6,IF(NORMSDIST(Q$9*SQRT($C$11)*NORMSINV($B157)+SQRT(1-Q$9^2*$C$11)*NORMSINV(P157))&lt;Q$8,Q$5+SQRT(NORMSDIST(Q$9*SQRT($C$11)*NORMSINV($B157)+SQRT(1-Q$9^2*$C$11)*NORMSINV(P157))*(Q$7-Q$5)*(Q$6-Q$5)),Q$7-SQRT((1-NORMSDIST(Q$9*SQRT($C$11)*NORMSINV($B157)+SQRT(1-Q$9^2*$C$11)*NORMSINV(P157)))*(Q$7-Q$5)*(Q$7-Q$6))))</f>
        <v>0.109851055621396</v>
      </c>
      <c r="R157" s="2" t="n">
        <v>0.193602699</v>
      </c>
      <c r="S157" s="2" t="n">
        <f aca="false">IF(S$7=S$5,S$6,IF(NORMSDIST(S$9*SQRT($C$11)*NORMSINV($B157)+SQRT(1-S$9^2*$C$11)*NORMSINV(R157))&lt;S$8,S$5+SQRT(NORMSDIST(S$9*SQRT($C$11)*NORMSINV($B157)+SQRT(1-S$9^2*$C$11)*NORMSINV(R157))*(S$7-S$5)*(S$6-S$5)),S$7-SQRT((1-NORMSDIST(S$9*SQRT($C$11)*NORMSINV($B157)+SQRT(1-S$9^2*$C$11)*NORMSINV(R157)))*(S$7-S$5)*(S$7-S$6))))</f>
        <v>0.512281808511684</v>
      </c>
      <c r="T157" s="2" t="n">
        <v>0.195521976</v>
      </c>
      <c r="U157" s="2" t="n">
        <f aca="false">IF(U$7=U$5,U$6,IF(NORMSDIST(U$9*SQRT($C$11)*NORMSINV($B157)+SQRT(1-U$9^2*$C$11)*NORMSINV(T157))&lt;U$8,U$5+SQRT(NORMSDIST(U$9*SQRT($C$11)*NORMSINV($B157)+SQRT(1-U$9^2*$C$11)*NORMSINV(T157))*(U$7-U$5)*(U$6-U$5)),U$7-SQRT((1-NORMSDIST(U$9*SQRT($C$11)*NORMSINV($B157)+SQRT(1-U$9^2*$C$11)*NORMSINV(T157)))*(U$7-U$5)*(U$7-U$6))))</f>
        <v>0.513385005819159</v>
      </c>
      <c r="V157" s="2" t="n">
        <v>0.488602659</v>
      </c>
      <c r="W157" s="2" t="n">
        <f aca="false">IF(W$7=W$5,W$6,IF(NORMSDIST(W$9*SQRT($C$11)*NORMSINV($B157)+SQRT(1-W$9^2*$C$11)*NORMSINV(V157))&lt;W$8,W$5+SQRT(NORMSDIST(W$9*SQRT($C$11)*NORMSINV($B157)+SQRT(1-W$9^2*$C$11)*NORMSINV(V157))*(W$7-W$5)*(W$6-W$5)),W$7-SQRT((1-NORMSDIST(W$9*SQRT($C$11)*NORMSINV($B157)+SQRT(1-W$9^2*$C$11)*NORMSINV(V157)))*(W$7-W$5)*(W$7-W$6))))</f>
        <v>10.6163418376367</v>
      </c>
      <c r="X157" s="2" t="n">
        <v>0.634201427</v>
      </c>
      <c r="Y157" s="2" t="n">
        <f aca="false">IF(Y$7=Y$5,Y$6,IF(NORMSDIST(Y$9*SQRT($C$11)*NORMSINV($B157)+SQRT(1-Y$9^2*$C$11)*NORMSINV(X157))&lt;Y$8,Y$5+SQRT(NORMSDIST(Y$9*SQRT($C$11)*NORMSINV($B157)+SQRT(1-Y$9^2*$C$11)*NORMSINV(X157))*(Y$7-Y$5)*(Y$6-Y$5)),Y$7-SQRT((1-NORMSDIST(Y$9*SQRT($C$11)*NORMSINV($B157)+SQRT(1-Y$9^2*$C$11)*NORMSINV(X157)))*(Y$7-Y$5)*(Y$7-Y$6))))</f>
        <v>0.572332738568873</v>
      </c>
      <c r="Z157" s="2" t="n">
        <v>0.213123191</v>
      </c>
      <c r="AA157" s="2" t="n">
        <f aca="false">IF(AA$7=AA$5,AA$6,IF(NORMSDIST(AA$9*SQRT($C$11)*NORMSINV($B157)+SQRT(1-AA$9^2*$C$11)*NORMSINV(Z157))&lt;AA$8,AA$5+SQRT(NORMSDIST(AA$9*SQRT($C$11)*NORMSINV($B157)+SQRT(1-AA$9^2*$C$11)*NORMSINV(Z157))*(AA$7-AA$5)*(AA$6-AA$5)),AA$7-SQRT((1-NORMSDIST(AA$9*SQRT($C$11)*NORMSINV($B157)+SQRT(1-AA$9^2*$C$11)*NORMSINV(Z157)))*(AA$7-AA$5)*(AA$7-AA$6))))</f>
        <v>0.72950890370411</v>
      </c>
      <c r="AB157" s="2" t="n">
        <v>0.904366861</v>
      </c>
      <c r="AC157" s="2" t="n">
        <f aca="false">IF(AC$7=AC$5,AC$6,IF(NORMSDIST(AC$9*SQRT($C$11)*NORMSINV($B157)+SQRT(1-AC$9^2*$C$11)*NORMSINV(AB157))&lt;AC$8,AC$5+SQRT(NORMSDIST(AC$9*SQRT($C$11)*NORMSINV($B157)+SQRT(1-AC$9^2*$C$11)*NORMSINV(AB157))*(AC$7-AC$5)*(AC$6-AC$5)),AC$7-SQRT((1-NORMSDIST(AC$9*SQRT($C$11)*NORMSINV($B157)+SQRT(1-AC$9^2*$C$11)*NORMSINV(AB157)))*(AC$7-AC$5)*(AC$7-AC$6))))</f>
        <v>10.5808212348745</v>
      </c>
      <c r="AD157" s="2" t="n">
        <f aca="false">Entrées!$C$8*(1+E157)</f>
        <v>7455.06432094064</v>
      </c>
      <c r="AE157" s="2" t="n">
        <f aca="false">I157*Hypothèses!$J$24/12/Hypothèses!$J$19</f>
        <v>103.242826086058</v>
      </c>
      <c r="AF157" s="2" t="n">
        <f aca="false">Entrées!$C$36*S157*1000</f>
        <v>256.140904255842</v>
      </c>
      <c r="AG157" s="2" t="n">
        <f aca="false">-AF157/W157</f>
        <v>-24.1270400080545</v>
      </c>
      <c r="AH157" s="2" t="n">
        <f aca="false">AD157+AE157+AG157</f>
        <v>7534.18010701864</v>
      </c>
      <c r="AI157" s="2" t="n">
        <f aca="false">Entrées!$C$16-M157+Hypothèses!$J$22*1000-AF157+Hypothèses!$J$23</f>
        <v>22664.1700240262</v>
      </c>
      <c r="AJ157" s="2" t="n">
        <f aca="false">AI157/AH157</f>
        <v>3.00818001455963</v>
      </c>
      <c r="AK157" s="2" t="n">
        <f aca="false">AI157/(AH157+I157*(12-Hypothèses!$J$24)/12/Hypothèses!$J$19)</f>
        <v>2.97902122790144</v>
      </c>
      <c r="AL157" s="2" t="n">
        <f aca="false">(AD157+AG157+I157/Hypothèses!$J$19)*(1+G157)</f>
        <v>8088.62462449428</v>
      </c>
      <c r="AM157" s="2" t="n">
        <f aca="false">Entrées!$C$54*K157/Hypothèses!$J$19</f>
        <v>26.5882622073409</v>
      </c>
      <c r="AN157" s="2" t="n">
        <f aca="false">Y157*1000/AC157</f>
        <v>54.0915233198021</v>
      </c>
      <c r="AO157" s="2" t="n">
        <f aca="false">(Entrées!$C$36*(1-S157)+MAX(0,Entrées!$C$30-Entrées!$C$35-Entrées!$C$36)*U157)*1000</f>
        <v>962.59810389098</v>
      </c>
      <c r="AP157" s="2" t="n">
        <f aca="false">-AO157/W157</f>
        <v>-90.6713554077934</v>
      </c>
      <c r="AQ157" s="2" t="n">
        <f aca="false">AL157+AM157+AN157+AP157</f>
        <v>8078.63305461363</v>
      </c>
      <c r="AR157" s="2" t="n">
        <f aca="false">O157*AQ157-Hypothèses!$J$25/Hypothèses!$J$19</f>
        <v>1464.90013845398</v>
      </c>
      <c r="AS157" s="2" t="n">
        <f aca="false">Entrées!$C$79*(1+Q157)+Hypothèses!$J$20</f>
        <v>1514.72631012791</v>
      </c>
      <c r="AT157" s="2" t="n">
        <f aca="false">AI157-AR157+AS157+Y157*1000-AO157+Hypothèses!$J$23</f>
        <v>22323.730830378</v>
      </c>
      <c r="AU157" s="2" t="n">
        <f aca="false">AT157/AQ157</f>
        <v>2.76330546015197</v>
      </c>
      <c r="AV157" s="2" t="n">
        <f aca="false">Hypothèses!$J$26*AQ157-AT157</f>
        <v>1912.16833346286</v>
      </c>
      <c r="AW157" s="2" t="n">
        <f aca="false">IF(AC157&gt;Hypothèses!$J$26,MAX(0,AV157)/(1-Hypothèses!$J$26/AC157),0)</f>
        <v>2668.88120435851</v>
      </c>
      <c r="AX157" s="2" t="n">
        <f aca="false">AQ157-Entrées!$C$17*1000</f>
        <v>78.633054613626</v>
      </c>
      <c r="AY157" s="2" t="n">
        <f aca="false">AI157+(Entrées!$C$244-Entrées!$C$13)</f>
        <v>28411.1700240262</v>
      </c>
      <c r="AZ157" s="2" t="n">
        <f aca="false">AA157*AH157</f>
        <v>5496.25147018049</v>
      </c>
      <c r="BA157" s="2" t="n">
        <f aca="false">AZ157/AY157</f>
        <v>0.193453893856977</v>
      </c>
      <c r="BB157" s="2" t="n">
        <f aca="false">AZ157/(Entrées!$C$151/100)-AY157</f>
        <v>2123.56036586539</v>
      </c>
      <c r="BC157" s="2" t="n">
        <f aca="false">AT157+(Entrées!$C$244-Entrées!$C$13)</f>
        <v>28070.730830378</v>
      </c>
      <c r="BD157" s="2" t="n">
        <f aca="false">AA157*AQ157</f>
        <v>5893.43474309897</v>
      </c>
      <c r="BE157" s="2" t="n">
        <f aca="false">BD157/BC157</f>
        <v>0.209949458698137</v>
      </c>
      <c r="BF157" s="2" t="n">
        <f aca="false">BD157/(Entrées!$C$151/100)-BC157</f>
        <v>4670.57329794961</v>
      </c>
      <c r="BG157" s="2" t="n">
        <f aca="false">MIN(AV157,BF157)</f>
        <v>1912.16833346286</v>
      </c>
      <c r="BH157" s="2" t="n">
        <f aca="false">IF(AC157&gt;Hypothèses!$J$26,MAX(0,BG157)/(1-Hypothèses!$J$26/AC157),0)</f>
        <v>2668.88120435851</v>
      </c>
    </row>
    <row r="158" customFormat="false" ht="15" hidden="false" customHeight="false" outlineLevel="0" collapsed="false">
      <c r="A158" s="2" t="n">
        <v>143</v>
      </c>
      <c r="B158" s="2" t="n">
        <v>0.609567324</v>
      </c>
      <c r="C158" s="2"/>
      <c r="D158" s="2" t="n">
        <v>0.859771625</v>
      </c>
      <c r="E158" s="2" t="n">
        <f aca="false">IF(E$7=E$5,E$6,IF(NORMSDIST(E$9*SQRT($C$11)*NORMSINV($B158)+SQRT(1-E$9^2*$C$11)*NORMSINV(D158))&lt;E$8,E$5+SQRT(NORMSDIST(E$9*SQRT($C$11)*NORMSINV($B158)+SQRT(1-E$9^2*$C$11)*NORMSINV(D158))*(E$7-E$5)*(E$6-E$5)),E$7-SQRT((1-NORMSDIST(E$9*SQRT($C$11)*NORMSINV($B158)+SQRT(1-E$9^2*$C$11)*NORMSINV(D158)))*(E$7-E$5)*(E$7-E$6))))</f>
        <v>0.0572091371779655</v>
      </c>
      <c r="F158" s="2" t="n">
        <v>0.513352553</v>
      </c>
      <c r="G158" s="2" t="n">
        <f aca="false">IF(G$7=G$5,G$6,IF(NORMSDIST(G$9*SQRT($C$11)*NORMSINV($B158)+SQRT(1-G$9^2*$C$11)*NORMSINV(F158))&lt;G$8,G$5+SQRT(NORMSDIST(G$9*SQRT($C$11)*NORMSINV($B158)+SQRT(1-G$9^2*$C$11)*NORMSINV(F158))*(G$7-G$5)*(G$6-G$5)),G$7-SQRT((1-NORMSDIST(G$9*SQRT($C$11)*NORMSINV($B158)+SQRT(1-G$9^2*$C$11)*NORMSINV(F158)))*(G$7-G$5)*(G$7-G$6))))</f>
        <v>0.0562521499900032</v>
      </c>
      <c r="H158" s="2" t="n">
        <v>0.014739188</v>
      </c>
      <c r="I158" s="2" t="n">
        <f aca="false">IF(I$7=I$5,I$6,IF(NORMSDIST(I$9*SQRT($C$11)*NORMSINV($B158)+SQRT(1-I$9^2*$C$11)*NORMSINV(H158))&lt;I$8,I$5+SQRT(NORMSDIST(I$9*SQRT($C$11)*NORMSINV($B158)+SQRT(1-I$9^2*$C$11)*NORMSINV(H158))*(I$7-I$5)*(I$6-I$5)),I$7-SQRT((1-NORMSDIST(I$9*SQRT($C$11)*NORMSINV($B158)+SQRT(1-I$9^2*$C$11)*NORMSINV(H158)))*(I$7-I$5)*(I$7-I$6))))</f>
        <v>187.237334427001</v>
      </c>
      <c r="J158" s="2" t="n">
        <v>0.723362821</v>
      </c>
      <c r="K158" s="2" t="n">
        <f aca="false">IF(K$7=K$5,K$6,IF(NORMSDIST(K$9*SQRT($C$11)*NORMSINV($B158)+SQRT(1-K$9^2*$C$11)*NORMSINV(J158))&lt;K$8,K$5+SQRT(NORMSDIST(K$9*SQRT($C$11)*NORMSINV($B158)+SQRT(1-K$9^2*$C$11)*NORMSINV(J158))*(K$7-K$5)*(K$6-K$5)),K$7-SQRT((1-NORMSDIST(K$9*SQRT($C$11)*NORMSINV($B158)+SQRT(1-K$9^2*$C$11)*NORMSINV(J158)))*(K$7-K$5)*(K$7-K$6))))</f>
        <v>0.31880320914798</v>
      </c>
      <c r="L158" s="2" t="n">
        <v>0.264463017</v>
      </c>
      <c r="M158" s="2" t="n">
        <f aca="false">IF(M$7=M$5,M$6,IF(NORMSDIST(M$9*SQRT($C$11)*NORMSINV($B158)+SQRT(1-M$9^2*$C$11)*NORMSINV(L158))&lt;M$8,M$5+SQRT(NORMSDIST(M$9*SQRT($C$11)*NORMSINV($B158)+SQRT(1-M$9^2*$C$11)*NORMSINV(L158))*(M$7-M$5)*(M$6-M$5)),M$7-SQRT((1-NORMSDIST(M$9*SQRT($C$11)*NORMSINV($B158)+SQRT(1-M$9^2*$C$11)*NORMSINV(L158)))*(M$7-M$5)*(M$7-M$6))))</f>
        <v>1548.39709837147</v>
      </c>
      <c r="N158" s="2" t="n">
        <v>0.161010952</v>
      </c>
      <c r="O158" s="2" t="n">
        <f aca="false">IF(O$7=O$5,O$6,IF(NORMSDIST(O$9*SQRT($C$11)*NORMSINV($B158)+SQRT(1-O$9^2*$C$11)*NORMSINV(N158))&lt;O$8,O$5+SQRT(NORMSDIST(O$9*SQRT($C$11)*NORMSINV($B158)+SQRT(1-O$9^2*$C$11)*NORMSINV(N158))*(O$7-O$5)*(O$6-O$5)),O$7-SQRT((1-NORMSDIST(O$9*SQRT($C$11)*NORMSINV($B158)+SQRT(1-O$9^2*$C$11)*NORMSINV(N158)))*(O$7-O$5)*(O$7-O$6))))</f>
        <v>0.159943589602887</v>
      </c>
      <c r="P158" s="2" t="n">
        <v>0.87784369</v>
      </c>
      <c r="Q158" s="2" t="n">
        <f aca="false">IF(Q$7=Q$5,Q$6,IF(NORMSDIST(Q$9*SQRT($C$11)*NORMSINV($B158)+SQRT(1-Q$9^2*$C$11)*NORMSINV(P158))&lt;Q$8,Q$5+SQRT(NORMSDIST(Q$9*SQRT($C$11)*NORMSINV($B158)+SQRT(1-Q$9^2*$C$11)*NORMSINV(P158))*(Q$7-Q$5)*(Q$6-Q$5)),Q$7-SQRT((1-NORMSDIST(Q$9*SQRT($C$11)*NORMSINV($B158)+SQRT(1-Q$9^2*$C$11)*NORMSINV(P158)))*(Q$7-Q$5)*(Q$7-Q$6))))</f>
        <v>0.100228803981549</v>
      </c>
      <c r="R158" s="2" t="n">
        <v>0.17749079</v>
      </c>
      <c r="S158" s="2" t="n">
        <f aca="false">IF(S$7=S$5,S$6,IF(NORMSDIST(S$9*SQRT($C$11)*NORMSINV($B158)+SQRT(1-S$9^2*$C$11)*NORMSINV(R158))&lt;S$8,S$5+SQRT(NORMSDIST(S$9*SQRT($C$11)*NORMSINV($B158)+SQRT(1-S$9^2*$C$11)*NORMSINV(R158))*(S$7-S$5)*(S$6-S$5)),S$7-SQRT((1-NORMSDIST(S$9*SQRT($C$11)*NORMSINV($B158)+SQRT(1-S$9^2*$C$11)*NORMSINV(R158)))*(S$7-S$5)*(S$7-S$6))))</f>
        <v>0.38367572683203</v>
      </c>
      <c r="T158" s="2" t="n">
        <v>0.561182517</v>
      </c>
      <c r="U158" s="2" t="n">
        <f aca="false">IF(U$7=U$5,U$6,IF(NORMSDIST(U$9*SQRT($C$11)*NORMSINV($B158)+SQRT(1-U$9^2*$C$11)*NORMSINV(T158))&lt;U$8,U$5+SQRT(NORMSDIST(U$9*SQRT($C$11)*NORMSINV($B158)+SQRT(1-U$9^2*$C$11)*NORMSINV(T158))*(U$7-U$5)*(U$6-U$5)),U$7-SQRT((1-NORMSDIST(U$9*SQRT($C$11)*NORMSINV($B158)+SQRT(1-U$9^2*$C$11)*NORMSINV(T158)))*(U$7-U$5)*(U$7-U$6))))</f>
        <v>0.561868780581297</v>
      </c>
      <c r="V158" s="2" t="n">
        <v>0.077279818</v>
      </c>
      <c r="W158" s="2" t="n">
        <f aca="false">IF(W$7=W$5,W$6,IF(NORMSDIST(W$9*SQRT($C$11)*NORMSINV($B158)+SQRT(1-W$9^2*$C$11)*NORMSINV(V158))&lt;W$8,W$5+SQRT(NORMSDIST(W$9*SQRT($C$11)*NORMSINV($B158)+SQRT(1-W$9^2*$C$11)*NORMSINV(V158))*(W$7-W$5)*(W$6-W$5)),W$7-SQRT((1-NORMSDIST(W$9*SQRT($C$11)*NORMSINV($B158)+SQRT(1-W$9^2*$C$11)*NORMSINV(V158)))*(W$7-W$5)*(W$7-W$6))))</f>
        <v>9.19002722804294</v>
      </c>
      <c r="X158" s="2" t="n">
        <v>0.220500831</v>
      </c>
      <c r="Y158" s="2" t="n">
        <f aca="false">IF(Y$7=Y$5,Y$6,IF(NORMSDIST(Y$9*SQRT($C$11)*NORMSINV($B158)+SQRT(1-Y$9^2*$C$11)*NORMSINV(X158))&lt;Y$8,Y$5+SQRT(NORMSDIST(Y$9*SQRT($C$11)*NORMSINV($B158)+SQRT(1-Y$9^2*$C$11)*NORMSINV(X158))*(Y$7-Y$5)*(Y$6-Y$5)),Y$7-SQRT((1-NORMSDIST(Y$9*SQRT($C$11)*NORMSINV($B158)+SQRT(1-Y$9^2*$C$11)*NORMSINV(X158)))*(Y$7-Y$5)*(Y$7-Y$6))))</f>
        <v>0.332039779996313</v>
      </c>
      <c r="Z158" s="2" t="n">
        <v>0.839388713</v>
      </c>
      <c r="AA158" s="2" t="n">
        <f aca="false">IF(AA$7=AA$5,AA$6,IF(NORMSDIST(AA$9*SQRT($C$11)*NORMSINV($B158)+SQRT(1-AA$9^2*$C$11)*NORMSINV(Z158))&lt;AA$8,AA$5+SQRT(NORMSDIST(AA$9*SQRT($C$11)*NORMSINV($B158)+SQRT(1-AA$9^2*$C$11)*NORMSINV(Z158))*(AA$7-AA$5)*(AA$6-AA$5)),AA$7-SQRT((1-NORMSDIST(AA$9*SQRT($C$11)*NORMSINV($B158)+SQRT(1-AA$9^2*$C$11)*NORMSINV(Z158)))*(AA$7-AA$5)*(AA$7-AA$6))))</f>
        <v>0.738979765017252</v>
      </c>
      <c r="AB158" s="2" t="n">
        <v>0.245526395</v>
      </c>
      <c r="AC158" s="2" t="n">
        <f aca="false">IF(AC$7=AC$5,AC$6,IF(NORMSDIST(AC$9*SQRT($C$11)*NORMSINV($B158)+SQRT(1-AC$9^2*$C$11)*NORMSINV(AB158))&lt;AC$8,AC$5+SQRT(NORMSDIST(AC$9*SQRT($C$11)*NORMSINV($B158)+SQRT(1-AC$9^2*$C$11)*NORMSINV(AB158))*(AC$7-AC$5)*(AC$6-AC$5)),AC$7-SQRT((1-NORMSDIST(AC$9*SQRT($C$11)*NORMSINV($B158)+SQRT(1-AC$9^2*$C$11)*NORMSINV(AB158)))*(AC$7-AC$5)*(AC$7-AC$6))))</f>
        <v>9.16453787845147</v>
      </c>
      <c r="AD158" s="2" t="n">
        <f aca="false">Entrées!$C$8*(1+E158)</f>
        <v>7453.32441710466</v>
      </c>
      <c r="AE158" s="2" t="n">
        <f aca="false">I158*Hypothèses!$J$24/12/Hypothèses!$J$19</f>
        <v>92.8878423328332</v>
      </c>
      <c r="AF158" s="2" t="n">
        <f aca="false">Entrées!$C$36*S158*1000</f>
        <v>191.837863416015</v>
      </c>
      <c r="AG158" s="2" t="n">
        <f aca="false">-AF158/W158</f>
        <v>-20.8745696455208</v>
      </c>
      <c r="AH158" s="2" t="n">
        <f aca="false">AD158+AE158+AG158</f>
        <v>7525.33768979197</v>
      </c>
      <c r="AI158" s="2" t="n">
        <f aca="false">Entrées!$C$16-M158+Hypothèses!$J$22*1000-AF158+Hypothèses!$J$23</f>
        <v>22807.7650382125</v>
      </c>
      <c r="AJ158" s="2" t="n">
        <f aca="false">AI158/AH158</f>
        <v>3.03079622182948</v>
      </c>
      <c r="AK158" s="2" t="n">
        <f aca="false">AI158/(AH158+I158*(12-Hypothèses!$J$24)/12/Hypothèses!$J$19)</f>
        <v>3.004308211874</v>
      </c>
      <c r="AL158" s="2" t="n">
        <f aca="false">(AD158+AG158+I158/Hypothèses!$J$19)*(1+G158)</f>
        <v>8018.73481650928</v>
      </c>
      <c r="AM158" s="2" t="n">
        <f aca="false">Entrées!$C$54*K158/Hypothèses!$J$19</f>
        <v>32.5352060617263</v>
      </c>
      <c r="AN158" s="2" t="n">
        <f aca="false">Y158*1000/AC158</f>
        <v>36.2309354165076</v>
      </c>
      <c r="AO158" s="2" t="n">
        <f aca="false">(Entrées!$C$36*(1-S158)+MAX(0,Entrées!$C$30-Entrées!$C$35-Entrées!$C$36)*U158)*1000</f>
        <v>1094.7784293978</v>
      </c>
      <c r="AP158" s="2" t="n">
        <f aca="false">-AO158/W158</f>
        <v>-119.126788444885</v>
      </c>
      <c r="AQ158" s="2" t="n">
        <f aca="false">AL158+AM158+AN158+AP158</f>
        <v>7968.37416954263</v>
      </c>
      <c r="AR158" s="2" t="n">
        <f aca="false">O158*AQ158-Hypothèses!$J$25/Hypothèses!$J$19</f>
        <v>1255.35520571394</v>
      </c>
      <c r="AS158" s="2" t="n">
        <f aca="false">Entrées!$C$79*(1+Q158)+Hypothèses!$J$20</f>
        <v>1504.15145557572</v>
      </c>
      <c r="AT158" s="2" t="n">
        <f aca="false">AI158-AR158+AS158+Y158*1000-AO158+Hypothèses!$J$23</f>
        <v>22293.8226386728</v>
      </c>
      <c r="AU158" s="2" t="n">
        <f aca="false">AT158/AQ158</f>
        <v>2.79778812645195</v>
      </c>
      <c r="AV158" s="2" t="n">
        <f aca="false">Hypothèses!$J$26*AQ158-AT158</f>
        <v>1611.29986995507</v>
      </c>
      <c r="AW158" s="2" t="n">
        <f aca="false">IF(AC158&gt;Hypothèses!$J$26,MAX(0,AV158)/(1-Hypothèses!$J$26/AC158),0)</f>
        <v>2395.44617664943</v>
      </c>
      <c r="AX158" s="2" t="n">
        <f aca="false">AQ158-Entrées!$C$17*1000</f>
        <v>-31.625830457373</v>
      </c>
      <c r="AY158" s="2" t="n">
        <f aca="false">AI158+(Entrées!$C$244-Entrées!$C$13)</f>
        <v>28554.7650382125</v>
      </c>
      <c r="AZ158" s="2" t="n">
        <f aca="false">AA158*AH158</f>
        <v>5561.07227767794</v>
      </c>
      <c r="BA158" s="2" t="n">
        <f aca="false">AZ158/AY158</f>
        <v>0.194751113176243</v>
      </c>
      <c r="BB158" s="2" t="n">
        <f aca="false">AZ158/(Entrées!$C$151/100)-AY158</f>
        <v>2340.08094888717</v>
      </c>
      <c r="BC158" s="2" t="n">
        <f aca="false">AT158+(Entrées!$C$244-Entrées!$C$13)</f>
        <v>28040.8226386728</v>
      </c>
      <c r="BD158" s="2" t="n">
        <f aca="false">AA158*AQ158</f>
        <v>5888.46727137815</v>
      </c>
      <c r="BE158" s="2" t="n">
        <f aca="false">BD158/BC158</f>
        <v>0.209996238243632</v>
      </c>
      <c r="BF158" s="2" t="n">
        <f aca="false">BD158/(Entrées!$C$151/100)-BC158</f>
        <v>4672.88442453915</v>
      </c>
      <c r="BG158" s="2" t="n">
        <f aca="false">MIN(AV158,BF158)</f>
        <v>1611.29986995507</v>
      </c>
      <c r="BH158" s="2" t="n">
        <f aca="false">IF(AC158&gt;Hypothèses!$J$26,MAX(0,BG158)/(1-Hypothèses!$J$26/AC158),0)</f>
        <v>2395.44617664943</v>
      </c>
    </row>
    <row r="159" customFormat="false" ht="15" hidden="false" customHeight="false" outlineLevel="0" collapsed="false">
      <c r="A159" s="2" t="n">
        <v>144</v>
      </c>
      <c r="B159" s="2" t="n">
        <v>0.632859361</v>
      </c>
      <c r="C159" s="2"/>
      <c r="D159" s="2" t="n">
        <v>0.035129058</v>
      </c>
      <c r="E159" s="2" t="n">
        <f aca="false">IF(E$7=E$5,E$6,IF(NORMSDIST(E$9*SQRT($C$11)*NORMSINV($B159)+SQRT(1-E$9^2*$C$11)*NORMSINV(D159))&lt;E$8,E$5+SQRT(NORMSDIST(E$9*SQRT($C$11)*NORMSINV($B159)+SQRT(1-E$9^2*$C$11)*NORMSINV(D159))*(E$7-E$5)*(E$6-E$5)),E$7-SQRT((1-NORMSDIST(E$9*SQRT($C$11)*NORMSINV($B159)+SQRT(1-E$9^2*$C$11)*NORMSINV(D159)))*(E$7-E$5)*(E$7-E$6))))</f>
        <v>0.0524239360428492</v>
      </c>
      <c r="F159" s="2" t="n">
        <v>0.081070467</v>
      </c>
      <c r="G159" s="2" t="n">
        <f aca="false">IF(G$7=G$5,G$6,IF(NORMSDIST(G$9*SQRT($C$11)*NORMSINV($B159)+SQRT(1-G$9^2*$C$11)*NORMSINV(F159))&lt;G$8,G$5+SQRT(NORMSDIST(G$9*SQRT($C$11)*NORMSINV($B159)+SQRT(1-G$9^2*$C$11)*NORMSINV(F159))*(G$7-G$5)*(G$6-G$5)),G$7-SQRT((1-NORMSDIST(G$9*SQRT($C$11)*NORMSINV($B159)+SQRT(1-G$9^2*$C$11)*NORMSINV(F159)))*(G$7-G$5)*(G$7-G$6))))</f>
        <v>0.0493111205300764</v>
      </c>
      <c r="H159" s="2" t="n">
        <v>0.650533491</v>
      </c>
      <c r="I159" s="2" t="n">
        <f aca="false">IF(I$7=I$5,I$6,IF(NORMSDIST(I$9*SQRT($C$11)*NORMSINV($B159)+SQRT(1-I$9^2*$C$11)*NORMSINV(H159))&lt;I$8,I$5+SQRT(NORMSDIST(I$9*SQRT($C$11)*NORMSINV($B159)+SQRT(1-I$9^2*$C$11)*NORMSINV(H159))*(I$7-I$5)*(I$6-I$5)),I$7-SQRT((1-NORMSDIST(I$9*SQRT($C$11)*NORMSINV($B159)+SQRT(1-I$9^2*$C$11)*NORMSINV(H159)))*(I$7-I$5)*(I$7-I$6))))</f>
        <v>204.417076753887</v>
      </c>
      <c r="J159" s="2" t="n">
        <v>0.90122294</v>
      </c>
      <c r="K159" s="2" t="n">
        <f aca="false">IF(K$7=K$5,K$6,IF(NORMSDIST(K$9*SQRT($C$11)*NORMSINV($B159)+SQRT(1-K$9^2*$C$11)*NORMSINV(J159))&lt;K$8,K$5+SQRT(NORMSDIST(K$9*SQRT($C$11)*NORMSINV($B159)+SQRT(1-K$9^2*$C$11)*NORMSINV(J159))*(K$7-K$5)*(K$6-K$5)),K$7-SQRT((1-NORMSDIST(K$9*SQRT($C$11)*NORMSINV($B159)+SQRT(1-K$9^2*$C$11)*NORMSINV(J159)))*(K$7-K$5)*(K$7-K$6))))</f>
        <v>0.381358801086305</v>
      </c>
      <c r="L159" s="2" t="n">
        <v>0.279433403</v>
      </c>
      <c r="M159" s="2" t="n">
        <f aca="false">IF(M$7=M$5,M$6,IF(NORMSDIST(M$9*SQRT($C$11)*NORMSINV($B159)+SQRT(1-M$9^2*$C$11)*NORMSINV(L159))&lt;M$8,M$5+SQRT(NORMSDIST(M$9*SQRT($C$11)*NORMSINV($B159)+SQRT(1-M$9^2*$C$11)*NORMSINV(L159))*(M$7-M$5)*(M$6-M$5)),M$7-SQRT((1-NORMSDIST(M$9*SQRT($C$11)*NORMSINV($B159)+SQRT(1-M$9^2*$C$11)*NORMSINV(L159)))*(M$7-M$5)*(M$7-M$6))))</f>
        <v>1557.41932827416</v>
      </c>
      <c r="N159" s="2" t="n">
        <v>0.828428676</v>
      </c>
      <c r="O159" s="2" t="n">
        <f aca="false">IF(O$7=O$5,O$6,IF(NORMSDIST(O$9*SQRT($C$11)*NORMSINV($B159)+SQRT(1-O$9^2*$C$11)*NORMSINV(N159))&lt;O$8,O$5+SQRT(NORMSDIST(O$9*SQRT($C$11)*NORMSINV($B159)+SQRT(1-O$9^2*$C$11)*NORMSINV(N159))*(O$7-O$5)*(O$6-O$5)),O$7-SQRT((1-NORMSDIST(O$9*SQRT($C$11)*NORMSINV($B159)+SQRT(1-O$9^2*$C$11)*NORMSINV(N159)))*(O$7-O$5)*(O$7-O$6))))</f>
        <v>0.176491366422408</v>
      </c>
      <c r="P159" s="2" t="n">
        <v>0.711148272</v>
      </c>
      <c r="Q159" s="2" t="n">
        <f aca="false">IF(Q$7=Q$5,Q$6,IF(NORMSDIST(Q$9*SQRT($C$11)*NORMSINV($B159)+SQRT(1-Q$9^2*$C$11)*NORMSINV(P159))&lt;Q$8,Q$5+SQRT(NORMSDIST(Q$9*SQRT($C$11)*NORMSINV($B159)+SQRT(1-Q$9^2*$C$11)*NORMSINV(P159))*(Q$7-Q$5)*(Q$6-Q$5)),Q$7-SQRT((1-NORMSDIST(Q$9*SQRT($C$11)*NORMSINV($B159)+SQRT(1-Q$9^2*$C$11)*NORMSINV(P159)))*(Q$7-Q$5)*(Q$7-Q$6))))</f>
        <v>0.0895972775955836</v>
      </c>
      <c r="R159" s="2" t="n">
        <v>0.954014826</v>
      </c>
      <c r="S159" s="2" t="n">
        <f aca="false">IF(S$7=S$5,S$6,IF(NORMSDIST(S$9*SQRT($C$11)*NORMSINV($B159)+SQRT(1-S$9^2*$C$11)*NORMSINV(R159))&lt;S$8,S$5+SQRT(NORMSDIST(S$9*SQRT($C$11)*NORMSINV($B159)+SQRT(1-S$9^2*$C$11)*NORMSINV(R159))*(S$7-S$5)*(S$6-S$5)),S$7-SQRT((1-NORMSDIST(S$9*SQRT($C$11)*NORMSINV($B159)+SQRT(1-S$9^2*$C$11)*NORMSINV(R159)))*(S$7-S$5)*(S$7-S$6))))</f>
        <v>0.820748529681272</v>
      </c>
      <c r="T159" s="2" t="n">
        <v>0.208992112</v>
      </c>
      <c r="U159" s="2" t="n">
        <f aca="false">IF(U$7=U$5,U$6,IF(NORMSDIST(U$9*SQRT($C$11)*NORMSINV($B159)+SQRT(1-U$9^2*$C$11)*NORMSINV(T159))&lt;U$8,U$5+SQRT(NORMSDIST(U$9*SQRT($C$11)*NORMSINV($B159)+SQRT(1-U$9^2*$C$11)*NORMSINV(T159))*(U$7-U$5)*(U$6-U$5)),U$7-SQRT((1-NORMSDIST(U$9*SQRT($C$11)*NORMSINV($B159)+SQRT(1-U$9^2*$C$11)*NORMSINV(T159)))*(U$7-U$5)*(U$7-U$6))))</f>
        <v>0.412261104328807</v>
      </c>
      <c r="V159" s="2" t="n">
        <v>0.303121237</v>
      </c>
      <c r="W159" s="2" t="n">
        <f aca="false">IF(W$7=W$5,W$6,IF(NORMSDIST(W$9*SQRT($C$11)*NORMSINV($B159)+SQRT(1-W$9^2*$C$11)*NORMSINV(V159))&lt;W$8,W$5+SQRT(NORMSDIST(W$9*SQRT($C$11)*NORMSINV($B159)+SQRT(1-W$9^2*$C$11)*NORMSINV(V159))*(W$7-W$5)*(W$6-W$5)),W$7-SQRT((1-NORMSDIST(W$9*SQRT($C$11)*NORMSINV($B159)+SQRT(1-W$9^2*$C$11)*NORMSINV(V159)))*(W$7-W$5)*(W$7-W$6))))</f>
        <v>9.84776171289408</v>
      </c>
      <c r="X159" s="2" t="n">
        <v>0.533315365</v>
      </c>
      <c r="Y159" s="2" t="n">
        <f aca="false">IF(Y$7=Y$5,Y$6,IF(NORMSDIST(Y$9*SQRT($C$11)*NORMSINV($B159)+SQRT(1-Y$9^2*$C$11)*NORMSINV(X159))&lt;Y$8,Y$5+SQRT(NORMSDIST(Y$9*SQRT($C$11)*NORMSINV($B159)+SQRT(1-Y$9^2*$C$11)*NORMSINV(X159))*(Y$7-Y$5)*(Y$6-Y$5)),Y$7-SQRT((1-NORMSDIST(Y$9*SQRT($C$11)*NORMSINV($B159)+SQRT(1-Y$9^2*$C$11)*NORMSINV(X159)))*(Y$7-Y$5)*(Y$7-Y$6))))</f>
        <v>0.516944809053872</v>
      </c>
      <c r="Z159" s="2" t="n">
        <v>0.17671262</v>
      </c>
      <c r="AA159" s="2" t="n">
        <f aca="false">IF(AA$7=AA$5,AA$6,IF(NORMSDIST(AA$9*SQRT($C$11)*NORMSINV($B159)+SQRT(1-AA$9^2*$C$11)*NORMSINV(Z159))&lt;AA$8,AA$5+SQRT(NORMSDIST(AA$9*SQRT($C$11)*NORMSINV($B159)+SQRT(1-AA$9^2*$C$11)*NORMSINV(Z159))*(AA$7-AA$5)*(AA$6-AA$5)),AA$7-SQRT((1-NORMSDIST(AA$9*SQRT($C$11)*NORMSINV($B159)+SQRT(1-AA$9^2*$C$11)*NORMSINV(Z159)))*(AA$7-AA$5)*(AA$7-AA$6))))</f>
        <v>0.720971200008805</v>
      </c>
      <c r="AB159" s="2" t="n">
        <v>0.769706043</v>
      </c>
      <c r="AC159" s="2" t="n">
        <f aca="false">IF(AC$7=AC$5,AC$6,IF(NORMSDIST(AC$9*SQRT($C$11)*NORMSINV($B159)+SQRT(1-AC$9^2*$C$11)*NORMSINV(AB159))&lt;AC$8,AC$5+SQRT(NORMSDIST(AC$9*SQRT($C$11)*NORMSINV($B159)+SQRT(1-AC$9^2*$C$11)*NORMSINV(AB159))*(AC$7-AC$5)*(AC$6-AC$5)),AC$7-SQRT((1-NORMSDIST(AC$9*SQRT($C$11)*NORMSINV($B159)+SQRT(1-AC$9^2*$C$11)*NORMSINV(AB159)))*(AC$7-AC$5)*(AC$7-AC$6))))</f>
        <v>10.0343219893355</v>
      </c>
      <c r="AD159" s="2" t="n">
        <f aca="false">Entrées!$C$8*(1+E159)</f>
        <v>7419.58874910209</v>
      </c>
      <c r="AE159" s="2" t="n">
        <f aca="false">I159*Hypothèses!$J$24/12/Hypothèses!$J$19</f>
        <v>101.410657515297</v>
      </c>
      <c r="AF159" s="2" t="n">
        <f aca="false">Entrées!$C$36*S159*1000</f>
        <v>410.374264840636</v>
      </c>
      <c r="AG159" s="2" t="n">
        <f aca="false">-AF159/W159</f>
        <v>-41.6718313059216</v>
      </c>
      <c r="AH159" s="2" t="n">
        <f aca="false">AD159+AE159+AG159</f>
        <v>7479.32757531146</v>
      </c>
      <c r="AI159" s="2" t="n">
        <f aca="false">Entrées!$C$16-M159+Hypothèses!$J$22*1000-AF159+Hypothèses!$J$23</f>
        <v>22580.2064068852</v>
      </c>
      <c r="AJ159" s="2" t="n">
        <f aca="false">AI159/AH159</f>
        <v>3.01901557052004</v>
      </c>
      <c r="AK159" s="2" t="n">
        <f aca="false">AI159/(AH159+I159*(12-Hypothèses!$J$24)/12/Hypothèses!$J$19)</f>
        <v>2.99005730670855</v>
      </c>
      <c r="AL159" s="2" t="n">
        <f aca="false">(AD159+AG159+I159/Hypothèses!$J$19)*(1+G159)</f>
        <v>7924.14969219805</v>
      </c>
      <c r="AM159" s="2" t="n">
        <f aca="false">Entrées!$C$54*K159/Hypothèses!$J$19</f>
        <v>38.9192668729898</v>
      </c>
      <c r="AN159" s="2" t="n">
        <f aca="false">Y159*1000/AC159</f>
        <v>51.5176620406722</v>
      </c>
      <c r="AO159" s="2" t="n">
        <f aca="false">(Entrées!$C$36*(1-S159)+MAX(0,Entrées!$C$30-Entrées!$C$35-Entrées!$C$36)*U159)*1000</f>
        <v>666.791281219693</v>
      </c>
      <c r="AP159" s="2" t="n">
        <f aca="false">-AO159/W159</f>
        <v>-67.7099325369171</v>
      </c>
      <c r="AQ159" s="2" t="n">
        <f aca="false">AL159+AM159+AN159+AP159</f>
        <v>7946.87668857479</v>
      </c>
      <c r="AR159" s="2" t="n">
        <f aca="false">O159*AQ159-Hypothèses!$J$25/Hypothèses!$J$19</f>
        <v>1383.41996329532</v>
      </c>
      <c r="AS159" s="2" t="n">
        <f aca="false">Entrées!$C$79*(1+Q159)+Hypothèses!$J$20</f>
        <v>1492.46740807755</v>
      </c>
      <c r="AT159" s="2" t="n">
        <f aca="false">AI159-AR159+AS159+Y159*1000-AO159+Hypothèses!$J$23</f>
        <v>22539.4073795016</v>
      </c>
      <c r="AU159" s="2" t="n">
        <f aca="false">AT159/AQ159</f>
        <v>2.83625986192871</v>
      </c>
      <c r="AV159" s="2" t="n">
        <f aca="false">Hypothèses!$J$26*AQ159-AT159</f>
        <v>1301.22268622278</v>
      </c>
      <c r="AW159" s="2" t="n">
        <f aca="false">IF(AC159&gt;Hypothèses!$J$26,MAX(0,AV159)/(1-Hypothèses!$J$26/AC159),0)</f>
        <v>1856.16857362835</v>
      </c>
      <c r="AX159" s="2" t="n">
        <f aca="false">AQ159-Entrées!$C$17*1000</f>
        <v>-53.1233114252063</v>
      </c>
      <c r="AY159" s="2" t="n">
        <f aca="false">AI159+(Entrées!$C$244-Entrées!$C$13)</f>
        <v>28327.2064068852</v>
      </c>
      <c r="AZ159" s="2" t="n">
        <f aca="false">AA159*AH159</f>
        <v>5392.37977723126</v>
      </c>
      <c r="BA159" s="2" t="n">
        <f aca="false">AZ159/AY159</f>
        <v>0.190360450648624</v>
      </c>
      <c r="BB159" s="2" t="n">
        <f aca="false">AZ159/(Entrées!$C$151/100)-AY159</f>
        <v>1630.45902217733</v>
      </c>
      <c r="BC159" s="2" t="n">
        <f aca="false">AT159+(Entrées!$C$244-Entrées!$C$13)</f>
        <v>28286.4073795016</v>
      </c>
      <c r="BD159" s="2" t="n">
        <f aca="false">AA159*AQ159</f>
        <v>5729.46922248377</v>
      </c>
      <c r="BE159" s="2" t="n">
        <f aca="false">BD159/BC159</f>
        <v>0.202552029517745</v>
      </c>
      <c r="BF159" s="2" t="n">
        <f aca="false">BD159/(Entrées!$C$151/100)-BC159</f>
        <v>3543.97718985268</v>
      </c>
      <c r="BG159" s="2" t="n">
        <f aca="false">MIN(AV159,BF159)</f>
        <v>1301.22268622278</v>
      </c>
      <c r="BH159" s="2" t="n">
        <f aca="false">IF(AC159&gt;Hypothèses!$J$26,MAX(0,BG159)/(1-Hypothèses!$J$26/AC159),0)</f>
        <v>1856.16857362835</v>
      </c>
    </row>
    <row r="160" customFormat="false" ht="15" hidden="false" customHeight="false" outlineLevel="0" collapsed="false">
      <c r="A160" s="2" t="n">
        <v>145</v>
      </c>
      <c r="B160" s="2" t="n">
        <v>0.2237997</v>
      </c>
      <c r="C160" s="2"/>
      <c r="D160" s="2" t="n">
        <v>0.729322764</v>
      </c>
      <c r="E160" s="2" t="n">
        <f aca="false">IF(E$7=E$5,E$6,IF(NORMSDIST(E$9*SQRT($C$11)*NORMSINV($B160)+SQRT(1-E$9^2*$C$11)*NORMSINV(D160))&lt;E$8,E$5+SQRT(NORMSDIST(E$9*SQRT($C$11)*NORMSINV($B160)+SQRT(1-E$9^2*$C$11)*NORMSINV(D160))*(E$7-E$5)*(E$6-E$5)),E$7-SQRT((1-NORMSDIST(E$9*SQRT($C$11)*NORMSINV($B160)+SQRT(1-E$9^2*$C$11)*NORMSINV(D160)))*(E$7-E$5)*(E$7-E$6))))</f>
        <v>0.0549856093192418</v>
      </c>
      <c r="F160" s="2" t="n">
        <v>0.416169143</v>
      </c>
      <c r="G160" s="2" t="n">
        <f aca="false">IF(G$7=G$5,G$6,IF(NORMSDIST(G$9*SQRT($C$11)*NORMSINV($B160)+SQRT(1-G$9^2*$C$11)*NORMSINV(F160))&lt;G$8,G$5+SQRT(NORMSDIST(G$9*SQRT($C$11)*NORMSINV($B160)+SQRT(1-G$9^2*$C$11)*NORMSINV(F160))*(G$7-G$5)*(G$6-G$5)),G$7-SQRT((1-NORMSDIST(G$9*SQRT($C$11)*NORMSINV($B160)+SQRT(1-G$9^2*$C$11)*NORMSINV(F160)))*(G$7-G$5)*(G$7-G$6))))</f>
        <v>0.0508103051887123</v>
      </c>
      <c r="H160" s="2" t="n">
        <v>0.870351099</v>
      </c>
      <c r="I160" s="2" t="n">
        <f aca="false">IF(I$7=I$5,I$6,IF(NORMSDIST(I$9*SQRT($C$11)*NORMSINV($B160)+SQRT(1-I$9^2*$C$11)*NORMSINV(H160))&lt;I$8,I$5+SQRT(NORMSDIST(I$9*SQRT($C$11)*NORMSINV($B160)+SQRT(1-I$9^2*$C$11)*NORMSINV(H160))*(I$7-I$5)*(I$6-I$5)),I$7-SQRT((1-NORMSDIST(I$9*SQRT($C$11)*NORMSINV($B160)+SQRT(1-I$9^2*$C$11)*NORMSINV(H160)))*(I$7-I$5)*(I$7-I$6))))</f>
        <v>203.339124656043</v>
      </c>
      <c r="J160" s="2" t="n">
        <v>0.467435494</v>
      </c>
      <c r="K160" s="2" t="n">
        <f aca="false">IF(K$7=K$5,K$6,IF(NORMSDIST(K$9*SQRT($C$11)*NORMSINV($B160)+SQRT(1-K$9^2*$C$11)*NORMSINV(J160))&lt;K$8,K$5+SQRT(NORMSDIST(K$9*SQRT($C$11)*NORMSINV($B160)+SQRT(1-K$9^2*$C$11)*NORMSINV(J160))*(K$7-K$5)*(K$6-K$5)),K$7-SQRT((1-NORMSDIST(K$9*SQRT($C$11)*NORMSINV($B160)+SQRT(1-K$9^2*$C$11)*NORMSINV(J160)))*(K$7-K$5)*(K$7-K$6))))</f>
        <v>0.191493606184766</v>
      </c>
      <c r="L160" s="2" t="n">
        <v>0.454335719</v>
      </c>
      <c r="M160" s="2" t="n">
        <f aca="false">IF(M$7=M$5,M$6,IF(NORMSDIST(M$9*SQRT($C$11)*NORMSINV($B160)+SQRT(1-M$9^2*$C$11)*NORMSINV(L160))&lt;M$8,M$5+SQRT(NORMSDIST(M$9*SQRT($C$11)*NORMSINV($B160)+SQRT(1-M$9^2*$C$11)*NORMSINV(L160))*(M$7-M$5)*(M$6-M$5)),M$7-SQRT((1-NORMSDIST(M$9*SQRT($C$11)*NORMSINV($B160)+SQRT(1-M$9^2*$C$11)*NORMSINV(L160)))*(M$7-M$5)*(M$7-M$6))))</f>
        <v>1516.07888505371</v>
      </c>
      <c r="N160" s="2" t="n">
        <v>0.96096797</v>
      </c>
      <c r="O160" s="2" t="n">
        <f aca="false">IF(O$7=O$5,O$6,IF(NORMSDIST(O$9*SQRT($C$11)*NORMSINV($B160)+SQRT(1-O$9^2*$C$11)*NORMSINV(N160))&lt;O$8,O$5+SQRT(NORMSDIST(O$9*SQRT($C$11)*NORMSINV($B160)+SQRT(1-O$9^2*$C$11)*NORMSINV(N160))*(O$7-O$5)*(O$6-O$5)),O$7-SQRT((1-NORMSDIST(O$9*SQRT($C$11)*NORMSINV($B160)+SQRT(1-O$9^2*$C$11)*NORMSINV(N160)))*(O$7-O$5)*(O$7-O$6))))</f>
        <v>0.175841487953724</v>
      </c>
      <c r="P160" s="2" t="n">
        <v>0.136703048</v>
      </c>
      <c r="Q160" s="2" t="n">
        <f aca="false">IF(Q$7=Q$5,Q$6,IF(NORMSDIST(Q$9*SQRT($C$11)*NORMSINV($B160)+SQRT(1-Q$9^2*$C$11)*NORMSINV(P160))&lt;Q$8,Q$5+SQRT(NORMSDIST(Q$9*SQRT($C$11)*NORMSINV($B160)+SQRT(1-Q$9^2*$C$11)*NORMSINV(P160))*(Q$7-Q$5)*(Q$6-Q$5)),Q$7-SQRT((1-NORMSDIST(Q$9*SQRT($C$11)*NORMSINV($B160)+SQRT(1-Q$9^2*$C$11)*NORMSINV(P160)))*(Q$7-Q$5)*(Q$7-Q$6))))</f>
        <v>0.0609152995101672</v>
      </c>
      <c r="R160" s="2" t="n">
        <v>0.635450791</v>
      </c>
      <c r="S160" s="2" t="n">
        <f aca="false">IF(S$7=S$5,S$6,IF(NORMSDIST(S$9*SQRT($C$11)*NORMSINV($B160)+SQRT(1-S$9^2*$C$11)*NORMSINV(R160))&lt;S$8,S$5+SQRT(NORMSDIST(S$9*SQRT($C$11)*NORMSINV($B160)+SQRT(1-S$9^2*$C$11)*NORMSINV(R160))*(S$7-S$5)*(S$6-S$5)),S$7-SQRT((1-NORMSDIST(S$9*SQRT($C$11)*NORMSINV($B160)+SQRT(1-S$9^2*$C$11)*NORMSINV(R160)))*(S$7-S$5)*(S$7-S$6))))</f>
        <v>0.456091126251932</v>
      </c>
      <c r="T160" s="2" t="n">
        <v>0.636542845</v>
      </c>
      <c r="U160" s="2" t="n">
        <f aca="false">IF(U$7=U$5,U$6,IF(NORMSDIST(U$9*SQRT($C$11)*NORMSINV($B160)+SQRT(1-U$9^2*$C$11)*NORMSINV(T160))&lt;U$8,U$5+SQRT(NORMSDIST(U$9*SQRT($C$11)*NORMSINV($B160)+SQRT(1-U$9^2*$C$11)*NORMSINV(T160))*(U$7-U$5)*(U$6-U$5)),U$7-SQRT((1-NORMSDIST(U$9*SQRT($C$11)*NORMSINV($B160)+SQRT(1-U$9^2*$C$11)*NORMSINV(T160)))*(U$7-U$5)*(U$7-U$6))))</f>
        <v>0.456572611942987</v>
      </c>
      <c r="V160" s="2" t="n">
        <v>0.553924596</v>
      </c>
      <c r="W160" s="2" t="n">
        <f aca="false">IF(W$7=W$5,W$6,IF(NORMSDIST(W$9*SQRT($C$11)*NORMSINV($B160)+SQRT(1-W$9^2*$C$11)*NORMSINV(V160))&lt;W$8,W$5+SQRT(NORMSDIST(W$9*SQRT($C$11)*NORMSINV($B160)+SQRT(1-W$9^2*$C$11)*NORMSINV(V160))*(W$7-W$5)*(W$6-W$5)),W$7-SQRT((1-NORMSDIST(W$9*SQRT($C$11)*NORMSINV($B160)+SQRT(1-W$9^2*$C$11)*NORMSINV(V160)))*(W$7-W$5)*(W$7-W$6))))</f>
        <v>9.68220433374536</v>
      </c>
      <c r="X160" s="2" t="n">
        <v>0.023130324</v>
      </c>
      <c r="Y160" s="2" t="n">
        <f aca="false">IF(Y$7=Y$5,Y$6,IF(NORMSDIST(Y$9*SQRT($C$11)*NORMSINV($B160)+SQRT(1-Y$9^2*$C$11)*NORMSINV(X160))&lt;Y$8,Y$5+SQRT(NORMSDIST(Y$9*SQRT($C$11)*NORMSINV($B160)+SQRT(1-Y$9^2*$C$11)*NORMSINV(X160))*(Y$7-Y$5)*(Y$6-Y$5)),Y$7-SQRT((1-NORMSDIST(Y$9*SQRT($C$11)*NORMSINV($B160)+SQRT(1-Y$9^2*$C$11)*NORMSINV(X160)))*(Y$7-Y$5)*(Y$7-Y$6))))</f>
        <v>0.107541443174248</v>
      </c>
      <c r="Z160" s="2" t="n">
        <v>0.166820105</v>
      </c>
      <c r="AA160" s="2" t="n">
        <f aca="false">IF(AA$7=AA$5,AA$6,IF(NORMSDIST(AA$9*SQRT($C$11)*NORMSINV($B160)+SQRT(1-AA$9^2*$C$11)*NORMSINV(Z160))&lt;AA$8,AA$5+SQRT(NORMSDIST(AA$9*SQRT($C$11)*NORMSINV($B160)+SQRT(1-AA$9^2*$C$11)*NORMSINV(Z160))*(AA$7-AA$5)*(AA$6-AA$5)),AA$7-SQRT((1-NORMSDIST(AA$9*SQRT($C$11)*NORMSINV($B160)+SQRT(1-AA$9^2*$C$11)*NORMSINV(Z160)))*(AA$7-AA$5)*(AA$7-AA$6))))</f>
        <v>0.710637046929238</v>
      </c>
      <c r="AB160" s="2" t="n">
        <v>0.105537998</v>
      </c>
      <c r="AC160" s="2" t="n">
        <f aca="false">IF(AC$7=AC$5,AC$6,IF(NORMSDIST(AC$9*SQRT($C$11)*NORMSINV($B160)+SQRT(1-AC$9^2*$C$11)*NORMSINV(AB160))&lt;AC$8,AC$5+SQRT(NORMSDIST(AC$9*SQRT($C$11)*NORMSINV($B160)+SQRT(1-AC$9^2*$C$11)*NORMSINV(AB160))*(AC$7-AC$5)*(AC$6-AC$5)),AC$7-SQRT((1-NORMSDIST(AC$9*SQRT($C$11)*NORMSINV($B160)+SQRT(1-AC$9^2*$C$11)*NORMSINV(AB160)))*(AC$7-AC$5)*(AC$7-AC$6))))</f>
        <v>8.19779222036453</v>
      </c>
      <c r="AD160" s="2" t="n">
        <f aca="false">Entrées!$C$8*(1+E160)</f>
        <v>7437.64854570066</v>
      </c>
      <c r="AE160" s="2" t="n">
        <f aca="false">I160*Hypothèses!$J$24/12/Hypothèses!$J$19</f>
        <v>100.875888929676</v>
      </c>
      <c r="AF160" s="2" t="n">
        <f aca="false">Entrées!$C$36*S160*1000</f>
        <v>228.045563125966</v>
      </c>
      <c r="AG160" s="2" t="n">
        <f aca="false">-AF160/W160</f>
        <v>-23.5530624293023</v>
      </c>
      <c r="AH160" s="2" t="n">
        <f aca="false">AD160+AE160+AG160</f>
        <v>7514.97137220103</v>
      </c>
      <c r="AI160" s="2" t="n">
        <f aca="false">Entrées!$C$16-M160+Hypothèses!$J$22*1000-AF160+Hypothèses!$J$23</f>
        <v>22803.8755518203</v>
      </c>
      <c r="AJ160" s="2" t="n">
        <f aca="false">AI160/AH160</f>
        <v>3.03445940408704</v>
      </c>
      <c r="AK160" s="2" t="n">
        <f aca="false">AI160/(AH160+I160*(12-Hypothèses!$J$24)/12/Hypothèses!$J$19)</f>
        <v>3.00564105335338</v>
      </c>
      <c r="AL160" s="2" t="n">
        <f aca="false">(AD160+AG160+I160/Hypothèses!$J$19)*(1+G160)</f>
        <v>7972.52466370155</v>
      </c>
      <c r="AM160" s="2" t="n">
        <f aca="false">Entrées!$C$54*K160/Hypothèses!$J$19</f>
        <v>19.5427265408501</v>
      </c>
      <c r="AN160" s="2" t="n">
        <f aca="false">Y160*1000/AC160</f>
        <v>13.1183421442543</v>
      </c>
      <c r="AO160" s="2" t="n">
        <f aca="false">(Entrées!$C$36*(1-S160)+MAX(0,Entrées!$C$30-Entrées!$C$35-Entrées!$C$36)*U160)*1000</f>
        <v>911.156093594217</v>
      </c>
      <c r="AP160" s="2" t="n">
        <f aca="false">-AO160/W160</f>
        <v>-94.106265700112</v>
      </c>
      <c r="AQ160" s="2" t="n">
        <f aca="false">AL160+AM160+AN160+AP160</f>
        <v>7911.07946668655</v>
      </c>
      <c r="AR160" s="2" t="n">
        <f aca="false">O160*AQ160-Hypothèses!$J$25/Hypothèses!$J$19</f>
        <v>1371.96082248069</v>
      </c>
      <c r="AS160" s="2" t="n">
        <f aca="false">Entrées!$C$79*(1+Q160)+Hypothèses!$J$20</f>
        <v>1460.94591416167</v>
      </c>
      <c r="AT160" s="2" t="n">
        <f aca="false">AI160-AR160+AS160+Y160*1000-AO160+Hypothèses!$J$23</f>
        <v>22089.2459930813</v>
      </c>
      <c r="AU160" s="2" t="n">
        <f aca="false">AT160/AQ160</f>
        <v>2.79219113979311</v>
      </c>
      <c r="AV160" s="2" t="n">
        <f aca="false">Hypothèses!$J$26*AQ160-AT160</f>
        <v>1643.9924069783</v>
      </c>
      <c r="AW160" s="2" t="n">
        <f aca="false">IF(AC160&gt;Hypothèses!$J$26,MAX(0,AV160)/(1-Hypothèses!$J$26/AC160),0)</f>
        <v>2592.85242520138</v>
      </c>
      <c r="AX160" s="2" t="n">
        <f aca="false">AQ160-Entrées!$C$17*1000</f>
        <v>-88.9205333134541</v>
      </c>
      <c r="AY160" s="2" t="n">
        <f aca="false">AI160+(Entrées!$C$244-Entrées!$C$13)</f>
        <v>28550.8755518203</v>
      </c>
      <c r="AZ160" s="2" t="n">
        <f aca="false">AA160*AH160</f>
        <v>5340.4170636987</v>
      </c>
      <c r="BA160" s="2" t="n">
        <f aca="false">AZ160/AY160</f>
        <v>0.187049152100634</v>
      </c>
      <c r="BB160" s="2" t="n">
        <f aca="false">AZ160/(Entrées!$C$151/100)-AY160</f>
        <v>1118.10813539469</v>
      </c>
      <c r="BC160" s="2" t="n">
        <f aca="false">AT160+(Entrées!$C$244-Entrées!$C$13)</f>
        <v>27836.2459930813</v>
      </c>
      <c r="BD160" s="2" t="n">
        <f aca="false">AA160*AQ160</f>
        <v>5621.90615022866</v>
      </c>
      <c r="BE160" s="2" t="n">
        <f aca="false">BD160/BC160</f>
        <v>0.201963517337287</v>
      </c>
      <c r="BF160" s="2" t="n">
        <f aca="false">BD160/(Entrées!$C$151/100)-BC160</f>
        <v>3396.56595263343</v>
      </c>
      <c r="BG160" s="2" t="n">
        <f aca="false">MIN(AV160,BF160)</f>
        <v>1643.9924069783</v>
      </c>
      <c r="BH160" s="2" t="n">
        <f aca="false">IF(AC160&gt;Hypothèses!$J$26,MAX(0,BG160)/(1-Hypothèses!$J$26/AC160),0)</f>
        <v>2592.85242520138</v>
      </c>
    </row>
    <row r="161" customFormat="false" ht="15" hidden="false" customHeight="false" outlineLevel="0" collapsed="false">
      <c r="A161" s="2" t="n">
        <v>146</v>
      </c>
      <c r="B161" s="2" t="n">
        <v>0.261771434</v>
      </c>
      <c r="C161" s="2"/>
      <c r="D161" s="2" t="n">
        <v>0.598723789</v>
      </c>
      <c r="E161" s="2" t="n">
        <f aca="false">IF(E$7=E$5,E$6,IF(NORMSDIST(E$9*SQRT($C$11)*NORMSINV($B161)+SQRT(1-E$9^2*$C$11)*NORMSINV(D161))&lt;E$8,E$5+SQRT(NORMSDIST(E$9*SQRT($C$11)*NORMSINV($B161)+SQRT(1-E$9^2*$C$11)*NORMSINV(D161))*(E$7-E$5)*(E$6-E$5)),E$7-SQRT((1-NORMSDIST(E$9*SQRT($C$11)*NORMSINV($B161)+SQRT(1-E$9^2*$C$11)*NORMSINV(D161)))*(E$7-E$5)*(E$7-E$6))))</f>
        <v>0.0545657931793207</v>
      </c>
      <c r="F161" s="2" t="n">
        <v>0.36360786</v>
      </c>
      <c r="G161" s="2" t="n">
        <f aca="false">IF(G$7=G$5,G$6,IF(NORMSDIST(G$9*SQRT($C$11)*NORMSINV($B161)+SQRT(1-G$9^2*$C$11)*NORMSINV(F161))&lt;G$8,G$5+SQRT(NORMSDIST(G$9*SQRT($C$11)*NORMSINV($B161)+SQRT(1-G$9^2*$C$11)*NORMSINV(F161))*(G$7-G$5)*(G$6-G$5)),G$7-SQRT((1-NORMSDIST(G$9*SQRT($C$11)*NORMSINV($B161)+SQRT(1-G$9^2*$C$11)*NORMSINV(F161)))*(G$7-G$5)*(G$7-G$6))))</f>
        <v>0.0506123082902961</v>
      </c>
      <c r="H161" s="2" t="n">
        <v>0.939244311</v>
      </c>
      <c r="I161" s="2" t="n">
        <f aca="false">IF(I$7=I$5,I$6,IF(NORMSDIST(I$9*SQRT($C$11)*NORMSINV($B161)+SQRT(1-I$9^2*$C$11)*NORMSINV(H161))&lt;I$8,I$5+SQRT(NORMSDIST(I$9*SQRT($C$11)*NORMSINV($B161)+SQRT(1-I$9^2*$C$11)*NORMSINV(H161))*(I$7-I$5)*(I$6-I$5)),I$7-SQRT((1-NORMSDIST(I$9*SQRT($C$11)*NORMSINV($B161)+SQRT(1-I$9^2*$C$11)*NORMSINV(H161)))*(I$7-I$5)*(I$7-I$6))))</f>
        <v>206.945713668099</v>
      </c>
      <c r="J161" s="2" t="n">
        <v>0.436803444</v>
      </c>
      <c r="K161" s="2" t="n">
        <f aca="false">IF(K$7=K$5,K$6,IF(NORMSDIST(K$9*SQRT($C$11)*NORMSINV($B161)+SQRT(1-K$9^2*$C$11)*NORMSINV(J161))&lt;K$8,K$5+SQRT(NORMSDIST(K$9*SQRT($C$11)*NORMSINV($B161)+SQRT(1-K$9^2*$C$11)*NORMSINV(J161))*(K$7-K$5)*(K$6-K$5)),K$7-SQRT((1-NORMSDIST(K$9*SQRT($C$11)*NORMSINV($B161)+SQRT(1-K$9^2*$C$11)*NORMSINV(J161)))*(K$7-K$5)*(K$7-K$6))))</f>
        <v>0.193395460815965</v>
      </c>
      <c r="L161" s="2" t="n">
        <v>0.096585341</v>
      </c>
      <c r="M161" s="2" t="n">
        <f aca="false">IF(M$7=M$5,M$6,IF(NORMSDIST(M$9*SQRT($C$11)*NORMSINV($B161)+SQRT(1-M$9^2*$C$11)*NORMSINV(L161))&lt;M$8,M$5+SQRT(NORMSDIST(M$9*SQRT($C$11)*NORMSINV($B161)+SQRT(1-M$9^2*$C$11)*NORMSINV(L161))*(M$7-M$5)*(M$6-M$5)),M$7-SQRT((1-NORMSDIST(M$9*SQRT($C$11)*NORMSINV($B161)+SQRT(1-M$9^2*$C$11)*NORMSINV(L161)))*(M$7-M$5)*(M$7-M$6))))</f>
        <v>1415.39901373155</v>
      </c>
      <c r="N161" s="2" t="n">
        <v>0.706545498</v>
      </c>
      <c r="O161" s="2" t="n">
        <f aca="false">IF(O$7=O$5,O$6,IF(NORMSDIST(O$9*SQRT($C$11)*NORMSINV($B161)+SQRT(1-O$9^2*$C$11)*NORMSINV(N161))&lt;O$8,O$5+SQRT(NORMSDIST(O$9*SQRT($C$11)*NORMSINV($B161)+SQRT(1-O$9^2*$C$11)*NORMSINV(N161))*(O$7-O$5)*(O$6-O$5)),O$7-SQRT((1-NORMSDIST(O$9*SQRT($C$11)*NORMSINV($B161)+SQRT(1-O$9^2*$C$11)*NORMSINV(N161)))*(O$7-O$5)*(O$7-O$6))))</f>
        <v>0.166969930021568</v>
      </c>
      <c r="P161" s="2" t="n">
        <v>0.363825003</v>
      </c>
      <c r="Q161" s="2" t="n">
        <f aca="false">IF(Q$7=Q$5,Q$6,IF(NORMSDIST(Q$9*SQRT($C$11)*NORMSINV($B161)+SQRT(1-Q$9^2*$C$11)*NORMSINV(P161))&lt;Q$8,Q$5+SQRT(NORMSDIST(Q$9*SQRT($C$11)*NORMSINV($B161)+SQRT(1-Q$9^2*$C$11)*NORMSINV(P161))*(Q$7-Q$5)*(Q$6-Q$5)),Q$7-SQRT((1-NORMSDIST(Q$9*SQRT($C$11)*NORMSINV($B161)+SQRT(1-Q$9^2*$C$11)*NORMSINV(P161)))*(Q$7-Q$5)*(Q$7-Q$6))))</f>
        <v>0.074120961440147</v>
      </c>
      <c r="R161" s="2" t="n">
        <v>0.272145629</v>
      </c>
      <c r="S161" s="2" t="n">
        <f aca="false">IF(S$7=S$5,S$6,IF(NORMSDIST(S$9*SQRT($C$11)*NORMSINV($B161)+SQRT(1-S$9^2*$C$11)*NORMSINV(R161))&lt;S$8,S$5+SQRT(NORMSDIST(S$9*SQRT($C$11)*NORMSINV($B161)+SQRT(1-S$9^2*$C$11)*NORMSINV(R161))*(S$7-S$5)*(S$6-S$5)),S$7-SQRT((1-NORMSDIST(S$9*SQRT($C$11)*NORMSINV($B161)+SQRT(1-S$9^2*$C$11)*NORMSINV(R161)))*(S$7-S$5)*(S$7-S$6))))</f>
        <v>0.309275546661397</v>
      </c>
      <c r="T161" s="2" t="n">
        <v>0.835519749</v>
      </c>
      <c r="U161" s="2" t="n">
        <f aca="false">IF(U$7=U$5,U$6,IF(NORMSDIST(U$9*SQRT($C$11)*NORMSINV($B161)+SQRT(1-U$9^2*$C$11)*NORMSINV(T161))&lt;U$8,U$5+SQRT(NORMSDIST(U$9*SQRT($C$11)*NORMSINV($B161)+SQRT(1-U$9^2*$C$11)*NORMSINV(T161))*(U$7-U$5)*(U$6-U$5)),U$7-SQRT((1-NORMSDIST(U$9*SQRT($C$11)*NORMSINV($B161)+SQRT(1-U$9^2*$C$11)*NORMSINV(T161)))*(U$7-U$5)*(U$7-U$6))))</f>
        <v>0.574473481311699</v>
      </c>
      <c r="V161" s="2" t="n">
        <v>0.444049363</v>
      </c>
      <c r="W161" s="2" t="n">
        <f aca="false">IF(W$7=W$5,W$6,IF(NORMSDIST(W$9*SQRT($C$11)*NORMSINV($B161)+SQRT(1-W$9^2*$C$11)*NORMSINV(V161))&lt;W$8,W$5+SQRT(NORMSDIST(W$9*SQRT($C$11)*NORMSINV($B161)+SQRT(1-W$9^2*$C$11)*NORMSINV(V161))*(W$7-W$5)*(W$6-W$5)),W$7-SQRT((1-NORMSDIST(W$9*SQRT($C$11)*NORMSINV($B161)+SQRT(1-W$9^2*$C$11)*NORMSINV(V161)))*(W$7-W$5)*(W$7-W$6))))</f>
        <v>9.55993313480258</v>
      </c>
      <c r="X161" s="2" t="n">
        <v>0.041589014</v>
      </c>
      <c r="Y161" s="2" t="n">
        <f aca="false">IF(Y$7=Y$5,Y$6,IF(NORMSDIST(Y$9*SQRT($C$11)*NORMSINV($B161)+SQRT(1-Y$9^2*$C$11)*NORMSINV(X161))&lt;Y$8,Y$5+SQRT(NORMSDIST(Y$9*SQRT($C$11)*NORMSINV($B161)+SQRT(1-Y$9^2*$C$11)*NORMSINV(X161))*(Y$7-Y$5)*(Y$6-Y$5)),Y$7-SQRT((1-NORMSDIST(Y$9*SQRT($C$11)*NORMSINV($B161)+SQRT(1-Y$9^2*$C$11)*NORMSINV(X161)))*(Y$7-Y$5)*(Y$7-Y$6))))</f>
        <v>0.144203006209996</v>
      </c>
      <c r="Z161" s="2" t="n">
        <v>0.291428836</v>
      </c>
      <c r="AA161" s="2" t="n">
        <f aca="false">IF(AA$7=AA$5,AA$6,IF(NORMSDIST(AA$9*SQRT($C$11)*NORMSINV($B161)+SQRT(1-AA$9^2*$C$11)*NORMSINV(Z161))&lt;AA$8,AA$5+SQRT(NORMSDIST(AA$9*SQRT($C$11)*NORMSINV($B161)+SQRT(1-AA$9^2*$C$11)*NORMSINV(Z161))*(AA$7-AA$5)*(AA$6-AA$5)),AA$7-SQRT((1-NORMSDIST(AA$9*SQRT($C$11)*NORMSINV($B161)+SQRT(1-AA$9^2*$C$11)*NORMSINV(Z161)))*(AA$7-AA$5)*(AA$7-AA$6))))</f>
        <v>0.71620589571857</v>
      </c>
      <c r="AB161" s="2" t="n">
        <v>0.126038103</v>
      </c>
      <c r="AC161" s="2" t="n">
        <f aca="false">IF(AC$7=AC$5,AC$6,IF(NORMSDIST(AC$9*SQRT($C$11)*NORMSINV($B161)+SQRT(1-AC$9^2*$C$11)*NORMSINV(AB161))&lt;AC$8,AC$5+SQRT(NORMSDIST(AC$9*SQRT($C$11)*NORMSINV($B161)+SQRT(1-AC$9^2*$C$11)*NORMSINV(AB161))*(AC$7-AC$5)*(AC$6-AC$5)),AC$7-SQRT((1-NORMSDIST(AC$9*SQRT($C$11)*NORMSINV($B161)+SQRT(1-AC$9^2*$C$11)*NORMSINV(AB161)))*(AC$7-AC$5)*(AC$7-AC$6))))</f>
        <v>8.32214823353375</v>
      </c>
      <c r="AD161" s="2" t="n">
        <f aca="false">Entrées!$C$8*(1+E161)</f>
        <v>7434.68884191421</v>
      </c>
      <c r="AE161" s="2" t="n">
        <f aca="false">I161*Hypothèses!$J$24/12/Hypothèses!$J$19</f>
        <v>102.66510619522</v>
      </c>
      <c r="AF161" s="2" t="n">
        <f aca="false">Entrées!$C$36*S161*1000</f>
        <v>154.637773330699</v>
      </c>
      <c r="AG161" s="2" t="n">
        <f aca="false">-AF161/W161</f>
        <v>-16.1756124389349</v>
      </c>
      <c r="AH161" s="2" t="n">
        <f aca="false">AD161+AE161+AG161</f>
        <v>7521.1783356705</v>
      </c>
      <c r="AI161" s="2" t="n">
        <f aca="false">Entrées!$C$16-M161+Hypothèses!$J$22*1000-AF161+Hypothèses!$J$23</f>
        <v>22977.9632129378</v>
      </c>
      <c r="AJ161" s="2" t="n">
        <f aca="false">AI161/AH161</f>
        <v>3.05510149971591</v>
      </c>
      <c r="AK161" s="2" t="n">
        <f aca="false">AI161/(AH161+I161*(12-Hypothèses!$J$24)/12/Hypothèses!$J$19)</f>
        <v>3.02560159057011</v>
      </c>
      <c r="AL161" s="2" t="n">
        <f aca="false">(AD161+AG161+I161/Hypothèses!$J$19)*(1+G161)</f>
        <v>7978.88626387362</v>
      </c>
      <c r="AM161" s="2" t="n">
        <f aca="false">Entrées!$C$54*K161/Hypothèses!$J$19</f>
        <v>19.7368187913356</v>
      </c>
      <c r="AN161" s="2" t="n">
        <f aca="false">Y161*1000/AC161</f>
        <v>17.3276180817034</v>
      </c>
      <c r="AO161" s="2" t="n">
        <f aca="false">(Entrées!$C$36*(1-S161)+MAX(0,Entrées!$C$30-Entrées!$C$35-Entrées!$C$36)*U161)*1000</f>
        <v>1149.62510050568</v>
      </c>
      <c r="AP161" s="2" t="n">
        <f aca="false">-AO161/W161</f>
        <v>-120.254512693244</v>
      </c>
      <c r="AQ161" s="2" t="n">
        <f aca="false">AL161+AM161+AN161+AP161</f>
        <v>7895.69618805342</v>
      </c>
      <c r="AR161" s="2" t="n">
        <f aca="false">O161*AQ161-Hypothèses!$J$25/Hypothèses!$J$19</f>
        <v>1299.20867772922</v>
      </c>
      <c r="AS161" s="2" t="n">
        <f aca="false">Entrées!$C$79*(1+Q161)+Hypothèses!$J$20</f>
        <v>1475.45893662272</v>
      </c>
      <c r="AT161" s="2" t="n">
        <f aca="false">AI161-AR161+AS161+Y161*1000-AO161+Hypothèses!$J$23</f>
        <v>22148.7913775356</v>
      </c>
      <c r="AU161" s="2" t="n">
        <f aca="false">AT161/AQ161</f>
        <v>2.8051726978867</v>
      </c>
      <c r="AV161" s="2" t="n">
        <f aca="false">Hypothèses!$J$26*AQ161-AT161</f>
        <v>1538.29718662469</v>
      </c>
      <c r="AW161" s="2" t="n">
        <f aca="false">IF(AC161&gt;Hypothèses!$J$26,MAX(0,AV161)/(1-Hypothèses!$J$26/AC161),0)</f>
        <v>2405.40786400052</v>
      </c>
      <c r="AX161" s="2" t="n">
        <f aca="false">AQ161-Entrées!$C$17*1000</f>
        <v>-104.303811946581</v>
      </c>
      <c r="AY161" s="2" t="n">
        <f aca="false">AI161+(Entrées!$C$244-Entrées!$C$13)</f>
        <v>28724.9632129378</v>
      </c>
      <c r="AZ161" s="2" t="n">
        <f aca="false">AA161*AH161</f>
        <v>5386.71226675799</v>
      </c>
      <c r="BA161" s="2" t="n">
        <f aca="false">AZ161/AY161</f>
        <v>0.187527212022044</v>
      </c>
      <c r="BB161" s="2" t="n">
        <f aca="false">AZ161/(Entrées!$C$151/100)-AY161</f>
        <v>1201.21604682886</v>
      </c>
      <c r="BC161" s="2" t="n">
        <f aca="false">AT161+(Entrées!$C$244-Entrées!$C$13)</f>
        <v>27895.7913775356</v>
      </c>
      <c r="BD161" s="2" t="n">
        <f aca="false">AA161*AQ161</f>
        <v>5654.9441606865</v>
      </c>
      <c r="BE161" s="2" t="n">
        <f aca="false">BD161/BC161</f>
        <v>0.202716749783281</v>
      </c>
      <c r="BF161" s="2" t="n">
        <f aca="false">BD161/(Entrées!$C$151/100)-BC161</f>
        <v>3520.56507072274</v>
      </c>
      <c r="BG161" s="2" t="n">
        <f aca="false">MIN(AV161,BF161)</f>
        <v>1538.29718662469</v>
      </c>
      <c r="BH161" s="2" t="n">
        <f aca="false">IF(AC161&gt;Hypothèses!$J$26,MAX(0,BG161)/(1-Hypothèses!$J$26/AC161),0)</f>
        <v>2405.40786400052</v>
      </c>
    </row>
    <row r="162" customFormat="false" ht="15" hidden="false" customHeight="false" outlineLevel="0" collapsed="false">
      <c r="A162" s="2" t="n">
        <v>147</v>
      </c>
      <c r="B162" s="2" t="n">
        <v>0.950756905</v>
      </c>
      <c r="C162" s="2"/>
      <c r="D162" s="2" t="n">
        <v>0.646709814</v>
      </c>
      <c r="E162" s="2" t="n">
        <f aca="false">IF(E$7=E$5,E$6,IF(NORMSDIST(E$9*SQRT($C$11)*NORMSINV($B162)+SQRT(1-E$9^2*$C$11)*NORMSINV(D162))&lt;E$8,E$5+SQRT(NORMSDIST(E$9*SQRT($C$11)*NORMSINV($B162)+SQRT(1-E$9^2*$C$11)*NORMSINV(D162))*(E$7-E$5)*(E$6-E$5)),E$7-SQRT((1-NORMSDIST(E$9*SQRT($C$11)*NORMSINV($B162)+SQRT(1-E$9^2*$C$11)*NORMSINV(D162)))*(E$7-E$5)*(E$7-E$6))))</f>
        <v>0.0578706546248895</v>
      </c>
      <c r="F162" s="2" t="n">
        <v>0.194885535</v>
      </c>
      <c r="G162" s="2" t="n">
        <f aca="false">IF(G$7=G$5,G$6,IF(NORMSDIST(G$9*SQRT($C$11)*NORMSINV($B162)+SQRT(1-G$9^2*$C$11)*NORMSINV(F162))&lt;G$8,G$5+SQRT(NORMSDIST(G$9*SQRT($C$11)*NORMSINV($B162)+SQRT(1-G$9^2*$C$11)*NORMSINV(F162))*(G$7-G$5)*(G$6-G$5)),G$7-SQRT((1-NORMSDIST(G$9*SQRT($C$11)*NORMSINV($B162)+SQRT(1-G$9^2*$C$11)*NORMSINV(F162)))*(G$7-G$5)*(G$7-G$6))))</f>
        <v>0.0574067416328906</v>
      </c>
      <c r="H162" s="2" t="n">
        <v>0.884485051</v>
      </c>
      <c r="I162" s="2" t="n">
        <f aca="false">IF(I$7=I$5,I$6,IF(NORMSDIST(I$9*SQRT($C$11)*NORMSINV($B162)+SQRT(1-I$9^2*$C$11)*NORMSINV(H162))&lt;I$8,I$5+SQRT(NORMSDIST(I$9*SQRT($C$11)*NORMSINV($B162)+SQRT(1-I$9^2*$C$11)*NORMSINV(H162))*(I$7-I$5)*(I$6-I$5)),I$7-SQRT((1-NORMSDIST(I$9*SQRT($C$11)*NORMSINV($B162)+SQRT(1-I$9^2*$C$11)*NORMSINV(H162)))*(I$7-I$5)*(I$7-I$6))))</f>
        <v>215.594151961126</v>
      </c>
      <c r="J162" s="2" t="n">
        <v>0.777699563</v>
      </c>
      <c r="K162" s="2" t="n">
        <f aca="false">IF(K$7=K$5,K$6,IF(NORMSDIST(K$9*SQRT($C$11)*NORMSINV($B162)+SQRT(1-K$9^2*$C$11)*NORMSINV(J162))&lt;K$8,K$5+SQRT(NORMSDIST(K$9*SQRT($C$11)*NORMSINV($B162)+SQRT(1-K$9^2*$C$11)*NORMSINV(J162))*(K$7-K$5)*(K$6-K$5)),K$7-SQRT((1-NORMSDIST(K$9*SQRT($C$11)*NORMSINV($B162)+SQRT(1-K$9^2*$C$11)*NORMSINV(J162)))*(K$7-K$5)*(K$7-K$6))))</f>
        <v>0.420309746596657</v>
      </c>
      <c r="L162" s="2" t="n">
        <v>0.281195386</v>
      </c>
      <c r="M162" s="2" t="n">
        <f aca="false">IF(M$7=M$5,M$6,IF(NORMSDIST(M$9*SQRT($C$11)*NORMSINV($B162)+SQRT(1-M$9^2*$C$11)*NORMSINV(L162))&lt;M$8,M$5+SQRT(NORMSDIST(M$9*SQRT($C$11)*NORMSINV($B162)+SQRT(1-M$9^2*$C$11)*NORMSINV(L162))*(M$7-M$5)*(M$6-M$5)),M$7-SQRT((1-NORMSDIST(M$9*SQRT($C$11)*NORMSINV($B162)+SQRT(1-M$9^2*$C$11)*NORMSINV(L162)))*(M$7-M$5)*(M$7-M$6))))</f>
        <v>1643.80293497396</v>
      </c>
      <c r="N162" s="2" t="n">
        <v>0.835485149</v>
      </c>
      <c r="O162" s="2" t="n">
        <f aca="false">IF(O$7=O$5,O$6,IF(NORMSDIST(O$9*SQRT($C$11)*NORMSINV($B162)+SQRT(1-O$9^2*$C$11)*NORMSINV(N162))&lt;O$8,O$5+SQRT(NORMSDIST(O$9*SQRT($C$11)*NORMSINV($B162)+SQRT(1-O$9^2*$C$11)*NORMSINV(N162))*(O$7-O$5)*(O$6-O$5)),O$7-SQRT((1-NORMSDIST(O$9*SQRT($C$11)*NORMSINV($B162)+SQRT(1-O$9^2*$C$11)*NORMSINV(N162)))*(O$7-O$5)*(O$7-O$6))))</f>
        <v>0.183820517061313</v>
      </c>
      <c r="P162" s="2" t="n">
        <v>0.509664722</v>
      </c>
      <c r="Q162" s="2" t="n">
        <f aca="false">IF(Q$7=Q$5,Q$6,IF(NORMSDIST(Q$9*SQRT($C$11)*NORMSINV($B162)+SQRT(1-Q$9^2*$C$11)*NORMSINV(P162))&lt;Q$8,Q$5+SQRT(NORMSDIST(Q$9*SQRT($C$11)*NORMSINV($B162)+SQRT(1-Q$9^2*$C$11)*NORMSINV(P162))*(Q$7-Q$5)*(Q$6-Q$5)),Q$7-SQRT((1-NORMSDIST(Q$9*SQRT($C$11)*NORMSINV($B162)+SQRT(1-Q$9^2*$C$11)*NORMSINV(P162)))*(Q$7-Q$5)*(Q$7-Q$6))))</f>
        <v>0.0803884752931675</v>
      </c>
      <c r="R162" s="2" t="n">
        <v>0.609612856</v>
      </c>
      <c r="S162" s="2" t="n">
        <f aca="false">IF(S$7=S$5,S$6,IF(NORMSDIST(S$9*SQRT($C$11)*NORMSINV($B162)+SQRT(1-S$9^2*$C$11)*NORMSINV(R162))&lt;S$8,S$5+SQRT(NORMSDIST(S$9*SQRT($C$11)*NORMSINV($B162)+SQRT(1-S$9^2*$C$11)*NORMSINV(R162))*(S$7-S$5)*(S$6-S$5)),S$7-SQRT((1-NORMSDIST(S$9*SQRT($C$11)*NORMSINV($B162)+SQRT(1-S$9^2*$C$11)*NORMSINV(R162)))*(S$7-S$5)*(S$7-S$6))))</f>
        <v>0.772254019480523</v>
      </c>
      <c r="T162" s="2" t="n">
        <v>0.679623542</v>
      </c>
      <c r="U162" s="2" t="n">
        <f aca="false">IF(U$7=U$5,U$6,IF(NORMSDIST(U$9*SQRT($C$11)*NORMSINV($B162)+SQRT(1-U$9^2*$C$11)*NORMSINV(T162))&lt;U$8,U$5+SQRT(NORMSDIST(U$9*SQRT($C$11)*NORMSINV($B162)+SQRT(1-U$9^2*$C$11)*NORMSINV(T162))*(U$7-U$5)*(U$6-U$5)),U$7-SQRT((1-NORMSDIST(U$9*SQRT($C$11)*NORMSINV($B162)+SQRT(1-U$9^2*$C$11)*NORMSINV(T162)))*(U$7-U$5)*(U$7-U$6))))</f>
        <v>0.800252234503923</v>
      </c>
      <c r="V162" s="2" t="n">
        <v>0.275834715</v>
      </c>
      <c r="W162" s="2" t="n">
        <f aca="false">IF(W$7=W$5,W$6,IF(NORMSDIST(W$9*SQRT($C$11)*NORMSINV($B162)+SQRT(1-W$9^2*$C$11)*NORMSINV(V162))&lt;W$8,W$5+SQRT(NORMSDIST(W$9*SQRT($C$11)*NORMSINV($B162)+SQRT(1-W$9^2*$C$11)*NORMSINV(V162))*(W$7-W$5)*(W$6-W$5)),W$7-SQRT((1-NORMSDIST(W$9*SQRT($C$11)*NORMSINV($B162)+SQRT(1-W$9^2*$C$11)*NORMSINV(V162)))*(W$7-W$5)*(W$7-W$6))))</f>
        <v>10.5042712516521</v>
      </c>
      <c r="X162" s="2" t="n">
        <v>0.71307536</v>
      </c>
      <c r="Y162" s="2" t="n">
        <f aca="false">IF(Y$7=Y$5,Y$6,IF(NORMSDIST(Y$9*SQRT($C$11)*NORMSINV($B162)+SQRT(1-Y$9^2*$C$11)*NORMSINV(X162))&lt;Y$8,Y$5+SQRT(NORMSDIST(Y$9*SQRT($C$11)*NORMSINV($B162)+SQRT(1-Y$9^2*$C$11)*NORMSINV(X162))*(Y$7-Y$5)*(Y$6-Y$5)),Y$7-SQRT((1-NORMSDIST(Y$9*SQRT($C$11)*NORMSINV($B162)+SQRT(1-Y$9^2*$C$11)*NORMSINV(X162)))*(Y$7-Y$5)*(Y$7-Y$6))))</f>
        <v>0.621235798946099</v>
      </c>
      <c r="Z162" s="2" t="n">
        <v>0.820763552</v>
      </c>
      <c r="AA162" s="2" t="n">
        <f aca="false">IF(AA$7=AA$5,AA$6,IF(NORMSDIST(AA$9*SQRT($C$11)*NORMSINV($B162)+SQRT(1-AA$9^2*$C$11)*NORMSINV(Z162))&lt;AA$8,AA$5+SQRT(NORMSDIST(AA$9*SQRT($C$11)*NORMSINV($B162)+SQRT(1-AA$9^2*$C$11)*NORMSINV(Z162))*(AA$7-AA$5)*(AA$6-AA$5)),AA$7-SQRT((1-NORMSDIST(AA$9*SQRT($C$11)*NORMSINV($B162)+SQRT(1-AA$9^2*$C$11)*NORMSINV(Z162)))*(AA$7-AA$5)*(AA$7-AA$6))))</f>
        <v>0.746744062439368</v>
      </c>
      <c r="AB162" s="2" t="n">
        <v>0.420622834</v>
      </c>
      <c r="AC162" s="2" t="n">
        <f aca="false">IF(AC$7=AC$5,AC$6,IF(NORMSDIST(AC$9*SQRT($C$11)*NORMSINV($B162)+SQRT(1-AC$9^2*$C$11)*NORMSINV(AB162))&lt;AC$8,AC$5+SQRT(NORMSDIST(AC$9*SQRT($C$11)*NORMSINV($B162)+SQRT(1-AC$9^2*$C$11)*NORMSINV(AB162))*(AC$7-AC$5)*(AC$6-AC$5)),AC$7-SQRT((1-NORMSDIST(AC$9*SQRT($C$11)*NORMSINV($B162)+SQRT(1-AC$9^2*$C$11)*NORMSINV(AB162)))*(AC$7-AC$5)*(AC$7-AC$6))))</f>
        <v>10.101723115779</v>
      </c>
      <c r="AD162" s="2" t="n">
        <f aca="false">Entrées!$C$8*(1+E162)</f>
        <v>7457.98811510547</v>
      </c>
      <c r="AE162" s="2" t="n">
        <f aca="false">I162*Hypothèses!$J$24/12/Hypothèses!$J$19</f>
        <v>106.955568751987</v>
      </c>
      <c r="AF162" s="2" t="n">
        <f aca="false">Entrées!$C$36*S162*1000</f>
        <v>386.127009740262</v>
      </c>
      <c r="AG162" s="2" t="n">
        <f aca="false">-AF162/W162</f>
        <v>-36.7590478663175</v>
      </c>
      <c r="AH162" s="2" t="n">
        <f aca="false">AD162+AE162+AG162</f>
        <v>7528.18463599114</v>
      </c>
      <c r="AI162" s="2" t="n">
        <f aca="false">Entrées!$C$16-M162+Hypothèses!$J$22*1000-AF162+Hypothèses!$J$23</f>
        <v>22518.0700552858</v>
      </c>
      <c r="AJ162" s="2" t="n">
        <f aca="false">AI162/AH162</f>
        <v>2.99116867400279</v>
      </c>
      <c r="AK162" s="2" t="n">
        <f aca="false">AI162/(AH162+I162*(12-Hypothèses!$J$24)/12/Hypothèses!$J$19)</f>
        <v>2.96111891781409</v>
      </c>
      <c r="AL162" s="2" t="n">
        <f aca="false">(AD162+AG162+I162/Hypothèses!$J$19)*(1+G162)</f>
        <v>8041.13571453527</v>
      </c>
      <c r="AM162" s="2" t="n">
        <f aca="false">Entrées!$C$54*K162/Hypothèses!$J$19</f>
        <v>42.8943744067729</v>
      </c>
      <c r="AN162" s="2" t="n">
        <f aca="false">Y162*1000/AC162</f>
        <v>61.4980030462052</v>
      </c>
      <c r="AO162" s="2" t="n">
        <f aca="false">(Entrées!$C$36*(1-S162)+MAX(0,Entrées!$C$30-Entrées!$C$35-Entrées!$C$36)*U162)*1000</f>
        <v>1234.22611856523</v>
      </c>
      <c r="AP162" s="2" t="n">
        <f aca="false">-AO162/W162</f>
        <v>-117.497548282668</v>
      </c>
      <c r="AQ162" s="2" t="n">
        <f aca="false">AL162+AM162+AN162+AP162</f>
        <v>8028.03054370558</v>
      </c>
      <c r="AR162" s="2" t="n">
        <f aca="false">O162*AQ162-Hypothèses!$J$25/Hypothèses!$J$19</f>
        <v>1456.58156326635</v>
      </c>
      <c r="AS162" s="2" t="n">
        <f aca="false">Entrées!$C$79*(1+Q162)+Hypothèses!$J$20</f>
        <v>1482.34693434719</v>
      </c>
      <c r="AT162" s="2" t="n">
        <f aca="false">AI162-AR162+AS162+Y162*1000-AO162+Hypothèses!$J$23</f>
        <v>21930.8451067475</v>
      </c>
      <c r="AU162" s="2" t="n">
        <f aca="false">AT162/AQ162</f>
        <v>2.73178396461664</v>
      </c>
      <c r="AV162" s="2" t="n">
        <f aca="false">Hypothèses!$J$26*AQ162-AT162</f>
        <v>2153.24652436926</v>
      </c>
      <c r="AW162" s="2" t="n">
        <f aca="false">IF(AC162&gt;Hypothèses!$J$26,MAX(0,AV162)/(1-Hypothèses!$J$26/AC162),0)</f>
        <v>3062.84824606342</v>
      </c>
      <c r="AX162" s="2" t="n">
        <f aca="false">AQ162-Entrées!$C$17*1000</f>
        <v>28.030543705584</v>
      </c>
      <c r="AY162" s="2" t="n">
        <f aca="false">AI162+(Entrées!$C$244-Entrées!$C$13)</f>
        <v>28265.0700552858</v>
      </c>
      <c r="AZ162" s="2" t="n">
        <f aca="false">AA162*AH162</f>
        <v>5621.62717787366</v>
      </c>
      <c r="BA162" s="2" t="n">
        <f aca="false">AZ162/AY162</f>
        <v>0.198889554028272</v>
      </c>
      <c r="BB162" s="2" t="n">
        <f aca="false">AZ162/(Entrées!$C$151/100)-AY162</f>
        <v>2966.19204401231</v>
      </c>
      <c r="BC162" s="2" t="n">
        <f aca="false">AT162+(Entrées!$C$244-Entrées!$C$13)</f>
        <v>27677.8451067475</v>
      </c>
      <c r="BD162" s="2" t="n">
        <f aca="false">AA162*AQ162</f>
        <v>5994.88414159403</v>
      </c>
      <c r="BE162" s="2" t="n">
        <f aca="false">BD162/BC162</f>
        <v>0.216595046271596</v>
      </c>
      <c r="BF162" s="2" t="n">
        <f aca="false">BD162/(Entrées!$C$151/100)-BC162</f>
        <v>5627.06679099714</v>
      </c>
      <c r="BG162" s="2" t="n">
        <f aca="false">MIN(AV162,BF162)</f>
        <v>2153.24652436926</v>
      </c>
      <c r="BH162" s="2" t="n">
        <f aca="false">IF(AC162&gt;Hypothèses!$J$26,MAX(0,BG162)/(1-Hypothèses!$J$26/AC162),0)</f>
        <v>3062.84824606342</v>
      </c>
    </row>
    <row r="163" customFormat="false" ht="15" hidden="false" customHeight="false" outlineLevel="0" collapsed="false">
      <c r="A163" s="2" t="n">
        <v>148</v>
      </c>
      <c r="B163" s="2" t="n">
        <v>0.296417102</v>
      </c>
      <c r="C163" s="2"/>
      <c r="D163" s="2" t="n">
        <v>0.298518286</v>
      </c>
      <c r="E163" s="2" t="n">
        <f aca="false">IF(E$7=E$5,E$6,IF(NORMSDIST(E$9*SQRT($C$11)*NORMSINV($B163)+SQRT(1-E$9^2*$C$11)*NORMSINV(D163))&lt;E$8,E$5+SQRT(NORMSDIST(E$9*SQRT($C$11)*NORMSINV($B163)+SQRT(1-E$9^2*$C$11)*NORMSINV(D163))*(E$7-E$5)*(E$6-E$5)),E$7-SQRT((1-NORMSDIST(E$9*SQRT($C$11)*NORMSINV($B163)+SQRT(1-E$9^2*$C$11)*NORMSINV(D163)))*(E$7-E$5)*(E$7-E$6))))</f>
        <v>0.0533713569785729</v>
      </c>
      <c r="F163" s="2" t="n">
        <v>0.481390863</v>
      </c>
      <c r="G163" s="2" t="n">
        <f aca="false">IF(G$7=G$5,G$6,IF(NORMSDIST(G$9*SQRT($C$11)*NORMSINV($B163)+SQRT(1-G$9^2*$C$11)*NORMSINV(F163))&lt;G$8,G$5+SQRT(NORMSDIST(G$9*SQRT($C$11)*NORMSINV($B163)+SQRT(1-G$9^2*$C$11)*NORMSINV(F163))*(G$7-G$5)*(G$6-G$5)),G$7-SQRT((1-NORMSDIST(G$9*SQRT($C$11)*NORMSINV($B163)+SQRT(1-G$9^2*$C$11)*NORMSINV(F163)))*(G$7-G$5)*(G$7-G$6))))</f>
        <v>0.0526227582007043</v>
      </c>
      <c r="H163" s="2" t="n">
        <v>0.516537635</v>
      </c>
      <c r="I163" s="2" t="n">
        <f aca="false">IF(I$7=I$5,I$6,IF(NORMSDIST(I$9*SQRT($C$11)*NORMSINV($B163)+SQRT(1-I$9^2*$C$11)*NORMSINV(H163))&lt;I$8,I$5+SQRT(NORMSDIST(I$9*SQRT($C$11)*NORMSINV($B163)+SQRT(1-I$9^2*$C$11)*NORMSINV(H163))*(I$7-I$5)*(I$6-I$5)),I$7-SQRT((1-NORMSDIST(I$9*SQRT($C$11)*NORMSINV($B163)+SQRT(1-I$9^2*$C$11)*NORMSINV(H163)))*(I$7-I$5)*(I$7-I$6))))</f>
        <v>197.43039612112</v>
      </c>
      <c r="J163" s="2" t="n">
        <v>0.322748674</v>
      </c>
      <c r="K163" s="2" t="n">
        <f aca="false">IF(K$7=K$5,K$6,IF(NORMSDIST(K$9*SQRT($C$11)*NORMSINV($B163)+SQRT(1-K$9^2*$C$11)*NORMSINV(J163))&lt;K$8,K$5+SQRT(NORMSDIST(K$9*SQRT($C$11)*NORMSINV($B163)+SQRT(1-K$9^2*$C$11)*NORMSINV(J163))*(K$7-K$5)*(K$6-K$5)),K$7-SQRT((1-NORMSDIST(K$9*SQRT($C$11)*NORMSINV($B163)+SQRT(1-K$9^2*$C$11)*NORMSINV(J163)))*(K$7-K$5)*(K$7-K$6))))</f>
        <v>0.174526130999627</v>
      </c>
      <c r="L163" s="2" t="n">
        <v>0.877723556</v>
      </c>
      <c r="M163" s="2" t="n">
        <f aca="false">IF(M$7=M$5,M$6,IF(NORMSDIST(M$9*SQRT($C$11)*NORMSINV($B163)+SQRT(1-M$9^2*$C$11)*NORMSINV(L163))&lt;M$8,M$5+SQRT(NORMSDIST(M$9*SQRT($C$11)*NORMSINV($B163)+SQRT(1-M$9^2*$C$11)*NORMSINV(L163))*(M$7-M$5)*(M$6-M$5)),M$7-SQRT((1-NORMSDIST(M$9*SQRT($C$11)*NORMSINV($B163)+SQRT(1-M$9^2*$C$11)*NORMSINV(L163)))*(M$7-M$5)*(M$7-M$6))))</f>
        <v>1640.83634147439</v>
      </c>
      <c r="N163" s="2" t="n">
        <v>0.444024951</v>
      </c>
      <c r="O163" s="2" t="n">
        <f aca="false">IF(O$7=O$5,O$6,IF(NORMSDIST(O$9*SQRT($C$11)*NORMSINV($B163)+SQRT(1-O$9^2*$C$11)*NORMSINV(N163))&lt;O$8,O$5+SQRT(NORMSDIST(O$9*SQRT($C$11)*NORMSINV($B163)+SQRT(1-O$9^2*$C$11)*NORMSINV(N163))*(O$7-O$5)*(O$6-O$5)),O$7-SQRT((1-NORMSDIST(O$9*SQRT($C$11)*NORMSINV($B163)+SQRT(1-O$9^2*$C$11)*NORMSINV(N163)))*(O$7-O$5)*(O$7-O$6))))</f>
        <v>0.161672348396704</v>
      </c>
      <c r="P163" s="2" t="n">
        <v>0.003724626</v>
      </c>
      <c r="Q163" s="2" t="n">
        <f aca="false">IF(Q$7=Q$5,Q$6,IF(NORMSDIST(Q$9*SQRT($C$11)*NORMSINV($B163)+SQRT(1-Q$9^2*$C$11)*NORMSINV(P163))&lt;Q$8,Q$5+SQRT(NORMSDIST(Q$9*SQRT($C$11)*NORMSINV($B163)+SQRT(1-Q$9^2*$C$11)*NORMSINV(P163))*(Q$7-Q$5)*(Q$6-Q$5)),Q$7-SQRT((1-NORMSDIST(Q$9*SQRT($C$11)*NORMSINV($B163)+SQRT(1-Q$9^2*$C$11)*NORMSINV(P163)))*(Q$7-Q$5)*(Q$7-Q$6))))</f>
        <v>0.0434523619740694</v>
      </c>
      <c r="R163" s="2" t="n">
        <v>0.840946427</v>
      </c>
      <c r="S163" s="2" t="n">
        <f aca="false">IF(S$7=S$5,S$6,IF(NORMSDIST(S$9*SQRT($C$11)*NORMSINV($B163)+SQRT(1-S$9^2*$C$11)*NORMSINV(R163))&lt;S$8,S$5+SQRT(NORMSDIST(S$9*SQRT($C$11)*NORMSINV($B163)+SQRT(1-S$9^2*$C$11)*NORMSINV(R163))*(S$7-S$5)*(S$6-S$5)),S$7-SQRT((1-NORMSDIST(S$9*SQRT($C$11)*NORMSINV($B163)+SQRT(1-S$9^2*$C$11)*NORMSINV(R163)))*(S$7-S$5)*(S$7-S$6))))</f>
        <v>0.592731697719221</v>
      </c>
      <c r="T163" s="2" t="n">
        <v>0.153982649</v>
      </c>
      <c r="U163" s="2" t="n">
        <f aca="false">IF(U$7=U$5,U$6,IF(NORMSDIST(U$9*SQRT($C$11)*NORMSINV($B163)+SQRT(1-U$9^2*$C$11)*NORMSINV(T163))&lt;U$8,U$5+SQRT(NORMSDIST(U$9*SQRT($C$11)*NORMSINV($B163)+SQRT(1-U$9^2*$C$11)*NORMSINV(T163))*(U$7-U$5)*(U$6-U$5)),U$7-SQRT((1-NORMSDIST(U$9*SQRT($C$11)*NORMSINV($B163)+SQRT(1-U$9^2*$C$11)*NORMSINV(T163)))*(U$7-U$5)*(U$7-U$6))))</f>
        <v>0.254638676353448</v>
      </c>
      <c r="V163" s="2" t="n">
        <v>0.733709176</v>
      </c>
      <c r="W163" s="2" t="n">
        <f aca="false">IF(W$7=W$5,W$6,IF(NORMSDIST(W$9*SQRT($C$11)*NORMSINV($B163)+SQRT(1-W$9^2*$C$11)*NORMSINV(V163))&lt;W$8,W$5+SQRT(NORMSDIST(W$9*SQRT($C$11)*NORMSINV($B163)+SQRT(1-W$9^2*$C$11)*NORMSINV(V163))*(W$7-W$5)*(W$6-W$5)),W$7-SQRT((1-NORMSDIST(W$9*SQRT($C$11)*NORMSINV($B163)+SQRT(1-W$9^2*$C$11)*NORMSINV(V163)))*(W$7-W$5)*(W$7-W$6))))</f>
        <v>10.1189926838114</v>
      </c>
      <c r="X163" s="2" t="n">
        <v>0.487180507</v>
      </c>
      <c r="Y163" s="2" t="n">
        <f aca="false">IF(Y$7=Y$5,Y$6,IF(NORMSDIST(Y$9*SQRT($C$11)*NORMSINV($B163)+SQRT(1-Y$9^2*$C$11)*NORMSINV(X163))&lt;Y$8,Y$5+SQRT(NORMSDIST(Y$9*SQRT($C$11)*NORMSINV($B163)+SQRT(1-Y$9^2*$C$11)*NORMSINV(X163))*(Y$7-Y$5)*(Y$6-Y$5)),Y$7-SQRT((1-NORMSDIST(Y$9*SQRT($C$11)*NORMSINV($B163)+SQRT(1-Y$9^2*$C$11)*NORMSINV(X163)))*(Y$7-Y$5)*(Y$7-Y$6))))</f>
        <v>0.493548633368587</v>
      </c>
      <c r="Z163" s="2" t="n">
        <v>0.514693716</v>
      </c>
      <c r="AA163" s="2" t="n">
        <f aca="false">IF(AA$7=AA$5,AA$6,IF(NORMSDIST(AA$9*SQRT($C$11)*NORMSINV($B163)+SQRT(1-AA$9^2*$C$11)*NORMSINV(Z163))&lt;AA$8,AA$5+SQRT(NORMSDIST(AA$9*SQRT($C$11)*NORMSINV($B163)+SQRT(1-AA$9^2*$C$11)*NORMSINV(Z163))*(AA$7-AA$5)*(AA$6-AA$5)),AA$7-SQRT((1-NORMSDIST(AA$9*SQRT($C$11)*NORMSINV($B163)+SQRT(1-AA$9^2*$C$11)*NORMSINV(Z163)))*(AA$7-AA$5)*(AA$7-AA$6))))</f>
        <v>0.723794689216413</v>
      </c>
      <c r="AB163" s="2" t="n">
        <v>0.246469432</v>
      </c>
      <c r="AC163" s="2" t="n">
        <f aca="false">IF(AC$7=AC$5,AC$6,IF(NORMSDIST(AC$9*SQRT($C$11)*NORMSINV($B163)+SQRT(1-AC$9^2*$C$11)*NORMSINV(AB163))&lt;AC$8,AC$5+SQRT(NORMSDIST(AC$9*SQRT($C$11)*NORMSINV($B163)+SQRT(1-AC$9^2*$C$11)*NORMSINV(AB163))*(AC$7-AC$5)*(AC$6-AC$5)),AC$7-SQRT((1-NORMSDIST(AC$9*SQRT($C$11)*NORMSINV($B163)+SQRT(1-AC$9^2*$C$11)*NORMSINV(AB163)))*(AC$7-AC$5)*(AC$7-AC$6))))</f>
        <v>8.68912828185952</v>
      </c>
      <c r="AD163" s="2" t="n">
        <f aca="false">Entrées!$C$8*(1+E163)</f>
        <v>7426.26806669894</v>
      </c>
      <c r="AE163" s="2" t="n">
        <f aca="false">I163*Hypothèses!$J$24/12/Hypothèses!$J$19</f>
        <v>97.9445876151224</v>
      </c>
      <c r="AF163" s="2" t="n">
        <f aca="false">Entrées!$C$36*S163*1000</f>
        <v>296.365848859611</v>
      </c>
      <c r="AG163" s="2" t="n">
        <f aca="false">-AF163/W163</f>
        <v>-29.2880781832902</v>
      </c>
      <c r="AH163" s="2" t="n">
        <f aca="false">AD163+AE163+AG163</f>
        <v>7494.92457613077</v>
      </c>
      <c r="AI163" s="2" t="n">
        <f aca="false">Entrées!$C$16-M163+Hypothèses!$J$22*1000-AF163+Hypothèses!$J$23</f>
        <v>22610.797809666</v>
      </c>
      <c r="AJ163" s="2" t="n">
        <f aca="false">AI163/AH163</f>
        <v>3.01681458965912</v>
      </c>
      <c r="AK163" s="2" t="n">
        <f aca="false">AI163/(AH163+I163*(12-Hypothèses!$J$24)/12/Hypothèses!$J$19)</f>
        <v>2.98891494345948</v>
      </c>
      <c r="AL163" s="2" t="n">
        <f aca="false">(AD163+AG163+I163/Hypothèses!$J$19)*(1+G163)</f>
        <v>7962.97010980892</v>
      </c>
      <c r="AM163" s="2" t="n">
        <f aca="false">Entrées!$C$54*K163/Hypothèses!$J$19</f>
        <v>17.8111244563822</v>
      </c>
      <c r="AN163" s="2" t="n">
        <f aca="false">Y163*1000/AC163</f>
        <v>56.8007074310296</v>
      </c>
      <c r="AO163" s="2" t="n">
        <f aca="false">(Entrées!$C$36*(1-S163)+MAX(0,Entrées!$C$30-Entrées!$C$35-Entrées!$C$36)*U163)*1000</f>
        <v>560.128298035217</v>
      </c>
      <c r="AP163" s="2" t="n">
        <f aca="false">-AO163/W163</f>
        <v>-55.3541558470856</v>
      </c>
      <c r="AQ163" s="2" t="n">
        <f aca="false">AL163+AM163+AN163+AP163</f>
        <v>7982.22778584925</v>
      </c>
      <c r="AR163" s="2" t="n">
        <f aca="false">O163*AQ163-Hypothèses!$J$25/Hypothèses!$J$19</f>
        <v>1271.37034931405</v>
      </c>
      <c r="AS163" s="2" t="n">
        <f aca="false">Entrées!$C$79*(1+Q163)+Hypothèses!$J$20</f>
        <v>1441.7541458095</v>
      </c>
      <c r="AT163" s="2" t="n">
        <f aca="false">AI163-AR163+AS163+Y163*1000-AO163+Hypothèses!$J$23</f>
        <v>22714.6019414948</v>
      </c>
      <c r="AU163" s="2" t="n">
        <f aca="false">AT163/AQ163</f>
        <v>2.84564692350209</v>
      </c>
      <c r="AV163" s="2" t="n">
        <f aca="false">Hypothèses!$J$26*AQ163-AT163</f>
        <v>1232.08141605292</v>
      </c>
      <c r="AW163" s="2" t="n">
        <f aca="false">IF(AC163&gt;Hypothèses!$J$26,MAX(0,AV163)/(1-Hypothèses!$J$26/AC163),0)</f>
        <v>1881.78451027645</v>
      </c>
      <c r="AX163" s="2" t="n">
        <f aca="false">AQ163-Entrées!$C$17*1000</f>
        <v>-17.7722141507538</v>
      </c>
      <c r="AY163" s="2" t="n">
        <f aca="false">AI163+(Entrées!$C$244-Entrées!$C$13)</f>
        <v>28357.797809666</v>
      </c>
      <c r="AZ163" s="2" t="n">
        <f aca="false">AA163*AH163</f>
        <v>5424.78660428103</v>
      </c>
      <c r="BA163" s="2" t="n">
        <f aca="false">AZ163/AY163</f>
        <v>0.191297880064295</v>
      </c>
      <c r="BB163" s="2" t="n">
        <f aca="false">AZ163/(Entrées!$C$151/100)-AY163</f>
        <v>1779.90554745081</v>
      </c>
      <c r="BC163" s="2" t="n">
        <f aca="false">AT163+(Entrées!$C$244-Entrées!$C$13)</f>
        <v>28461.6019414948</v>
      </c>
      <c r="BD163" s="2" t="n">
        <f aca="false">AA163*AQ163</f>
        <v>5777.49407951337</v>
      </c>
      <c r="BE163" s="2" t="n">
        <f aca="false">BD163/BC163</f>
        <v>0.20299258247619</v>
      </c>
      <c r="BF163" s="2" t="n">
        <f aca="false">BD163/(Entrées!$C$151/100)-BC163</f>
        <v>3635.587389135</v>
      </c>
      <c r="BG163" s="2" t="n">
        <f aca="false">MIN(AV163,BF163)</f>
        <v>1232.08141605292</v>
      </c>
      <c r="BH163" s="2" t="n">
        <f aca="false">IF(AC163&gt;Hypothèses!$J$26,MAX(0,BG163)/(1-Hypothèses!$J$26/AC163),0)</f>
        <v>1881.78451027645</v>
      </c>
    </row>
    <row r="164" customFormat="false" ht="15" hidden="false" customHeight="false" outlineLevel="0" collapsed="false">
      <c r="A164" s="2" t="n">
        <v>149</v>
      </c>
      <c r="B164" s="2" t="n">
        <v>0.628720034</v>
      </c>
      <c r="C164" s="2"/>
      <c r="D164" s="2" t="n">
        <v>0.916662125</v>
      </c>
      <c r="E164" s="2" t="n">
        <f aca="false">IF(E$7=E$5,E$6,IF(NORMSDIST(E$9*SQRT($C$11)*NORMSINV($B164)+SQRT(1-E$9^2*$C$11)*NORMSINV(D164))&lt;E$8,E$5+SQRT(NORMSDIST(E$9*SQRT($C$11)*NORMSINV($B164)+SQRT(1-E$9^2*$C$11)*NORMSINV(D164))*(E$7-E$5)*(E$6-E$5)),E$7-SQRT((1-NORMSDIST(E$9*SQRT($C$11)*NORMSINV($B164)+SQRT(1-E$9^2*$C$11)*NORMSINV(D164)))*(E$7-E$5)*(E$7-E$6))))</f>
        <v>0.0577588823752097</v>
      </c>
      <c r="F164" s="2" t="n">
        <v>0.185639329</v>
      </c>
      <c r="G164" s="2" t="n">
        <f aca="false">IF(G$7=G$5,G$6,IF(NORMSDIST(G$9*SQRT($C$11)*NORMSINV($B164)+SQRT(1-G$9^2*$C$11)*NORMSINV(F164))&lt;G$8,G$5+SQRT(NORMSDIST(G$9*SQRT($C$11)*NORMSINV($B164)+SQRT(1-G$9^2*$C$11)*NORMSINV(F164))*(G$7-G$5)*(G$6-G$5)),G$7-SQRT((1-NORMSDIST(G$9*SQRT($C$11)*NORMSINV($B164)+SQRT(1-G$9^2*$C$11)*NORMSINV(F164)))*(G$7-G$5)*(G$7-G$6))))</f>
        <v>0.0518851641335597</v>
      </c>
      <c r="H164" s="2" t="n">
        <v>0.410777304</v>
      </c>
      <c r="I164" s="2" t="n">
        <f aca="false">IF(I$7=I$5,I$6,IF(NORMSDIST(I$9*SQRT($C$11)*NORMSINV($B164)+SQRT(1-I$9^2*$C$11)*NORMSINV(H164))&lt;I$8,I$5+SQRT(NORMSDIST(I$9*SQRT($C$11)*NORMSINV($B164)+SQRT(1-I$9^2*$C$11)*NORMSINV(H164))*(I$7-I$5)*(I$6-I$5)),I$7-SQRT((1-NORMSDIST(I$9*SQRT($C$11)*NORMSINV($B164)+SQRT(1-I$9^2*$C$11)*NORMSINV(H164)))*(I$7-I$5)*(I$7-I$6))))</f>
        <v>200.265272798956</v>
      </c>
      <c r="J164" s="2" t="n">
        <v>0.928965948</v>
      </c>
      <c r="K164" s="2" t="n">
        <f aca="false">IF(K$7=K$5,K$6,IF(NORMSDIST(K$9*SQRT($C$11)*NORMSINV($B164)+SQRT(1-K$9^2*$C$11)*NORMSINV(J164))&lt;K$8,K$5+SQRT(NORMSDIST(K$9*SQRT($C$11)*NORMSINV($B164)+SQRT(1-K$9^2*$C$11)*NORMSINV(J164))*(K$7-K$5)*(K$6-K$5)),K$7-SQRT((1-NORMSDIST(K$9*SQRT($C$11)*NORMSINV($B164)+SQRT(1-K$9^2*$C$11)*NORMSINV(J164)))*(K$7-K$5)*(K$7-K$6))))</f>
        <v>0.394335081980611</v>
      </c>
      <c r="L164" s="2" t="n">
        <v>0.875376049</v>
      </c>
      <c r="M164" s="2" t="n">
        <f aca="false">IF(M$7=M$5,M$6,IF(NORMSDIST(M$9*SQRT($C$11)*NORMSINV($B164)+SQRT(1-M$9^2*$C$11)*NORMSINV(L164))&lt;M$8,M$5+SQRT(NORMSDIST(M$9*SQRT($C$11)*NORMSINV($B164)+SQRT(1-M$9^2*$C$11)*NORMSINV(L164))*(M$7-M$5)*(M$6-M$5)),M$7-SQRT((1-NORMSDIST(M$9*SQRT($C$11)*NORMSINV($B164)+SQRT(1-M$9^2*$C$11)*NORMSINV(L164)))*(M$7-M$5)*(M$7-M$6))))</f>
        <v>1687.99341797263</v>
      </c>
      <c r="N164" s="2" t="n">
        <v>0.077520512</v>
      </c>
      <c r="O164" s="2" t="n">
        <f aca="false">IF(O$7=O$5,O$6,IF(NORMSDIST(O$9*SQRT($C$11)*NORMSINV($B164)+SQRT(1-O$9^2*$C$11)*NORMSINV(N164))&lt;O$8,O$5+SQRT(NORMSDIST(O$9*SQRT($C$11)*NORMSINV($B164)+SQRT(1-O$9^2*$C$11)*NORMSINV(N164))*(O$7-O$5)*(O$6-O$5)),O$7-SQRT((1-NORMSDIST(O$9*SQRT($C$11)*NORMSINV($B164)+SQRT(1-O$9^2*$C$11)*NORMSINV(N164)))*(O$7-O$5)*(O$7-O$6))))</f>
        <v>0.156325007692206</v>
      </c>
      <c r="P164" s="2" t="n">
        <v>0.509163663</v>
      </c>
      <c r="Q164" s="2" t="n">
        <f aca="false">IF(Q$7=Q$5,Q$6,IF(NORMSDIST(Q$9*SQRT($C$11)*NORMSINV($B164)+SQRT(1-Q$9^2*$C$11)*NORMSINV(P164))&lt;Q$8,Q$5+SQRT(NORMSDIST(Q$9*SQRT($C$11)*NORMSINV($B164)+SQRT(1-Q$9^2*$C$11)*NORMSINV(P164))*(Q$7-Q$5)*(Q$6-Q$5)),Q$7-SQRT((1-NORMSDIST(Q$9*SQRT($C$11)*NORMSINV($B164)+SQRT(1-Q$9^2*$C$11)*NORMSINV(P164)))*(Q$7-Q$5)*(Q$7-Q$6))))</f>
        <v>0.0803682415429242</v>
      </c>
      <c r="R164" s="2" t="n">
        <v>0.130791404</v>
      </c>
      <c r="S164" s="2" t="n">
        <f aca="false">IF(S$7=S$5,S$6,IF(NORMSDIST(S$9*SQRT($C$11)*NORMSINV($B164)+SQRT(1-S$9^2*$C$11)*NORMSINV(R164))&lt;S$8,S$5+SQRT(NORMSDIST(S$9*SQRT($C$11)*NORMSINV($B164)+SQRT(1-S$9^2*$C$11)*NORMSINV(R164))*(S$7-S$5)*(S$6-S$5)),S$7-SQRT((1-NORMSDIST(S$9*SQRT($C$11)*NORMSINV($B164)+SQRT(1-S$9^2*$C$11)*NORMSINV(R164)))*(S$7-S$5)*(S$7-S$6))))</f>
        <v>0.356390300588937</v>
      </c>
      <c r="T164" s="2" t="n">
        <v>0.363909967</v>
      </c>
      <c r="U164" s="2" t="n">
        <f aca="false">IF(U$7=U$5,U$6,IF(NORMSDIST(U$9*SQRT($C$11)*NORMSINV($B164)+SQRT(1-U$9^2*$C$11)*NORMSINV(T164))&lt;U$8,U$5+SQRT(NORMSDIST(U$9*SQRT($C$11)*NORMSINV($B164)+SQRT(1-U$9^2*$C$11)*NORMSINV(T164))*(U$7-U$5)*(U$6-U$5)),U$7-SQRT((1-NORMSDIST(U$9*SQRT($C$11)*NORMSINV($B164)+SQRT(1-U$9^2*$C$11)*NORMSINV(T164)))*(U$7-U$5)*(U$7-U$6))))</f>
        <v>0.487516551211719</v>
      </c>
      <c r="V164" s="2" t="n">
        <v>0.8742244</v>
      </c>
      <c r="W164" s="2" t="n">
        <f aca="false">IF(W$7=W$5,W$6,IF(NORMSDIST(W$9*SQRT($C$11)*NORMSINV($B164)+SQRT(1-W$9^2*$C$11)*NORMSINV(V164))&lt;W$8,W$5+SQRT(NORMSDIST(W$9*SQRT($C$11)*NORMSINV($B164)+SQRT(1-W$9^2*$C$11)*NORMSINV(V164))*(W$7-W$5)*(W$6-W$5)),W$7-SQRT((1-NORMSDIST(W$9*SQRT($C$11)*NORMSINV($B164)+SQRT(1-W$9^2*$C$11)*NORMSINV(V164)))*(W$7-W$5)*(W$7-W$6))))</f>
        <v>10.9547642947757</v>
      </c>
      <c r="X164" s="2" t="n">
        <v>0.683812871</v>
      </c>
      <c r="Y164" s="2" t="n">
        <f aca="false">IF(Y$7=Y$5,Y$6,IF(NORMSDIST(Y$9*SQRT($C$11)*NORMSINV($B164)+SQRT(1-Y$9^2*$C$11)*NORMSINV(X164))&lt;Y$8,Y$5+SQRT(NORMSDIST(Y$9*SQRT($C$11)*NORMSINV($B164)+SQRT(1-Y$9^2*$C$11)*NORMSINV(X164))*(Y$7-Y$5)*(Y$6-Y$5)),Y$7-SQRT((1-NORMSDIST(Y$9*SQRT($C$11)*NORMSINV($B164)+SQRT(1-Y$9^2*$C$11)*NORMSINV(X164)))*(Y$7-Y$5)*(Y$7-Y$6))))</f>
        <v>0.602390185609057</v>
      </c>
      <c r="Z164" s="2" t="n">
        <v>0.97759279</v>
      </c>
      <c r="AA164" s="2" t="n">
        <f aca="false">IF(AA$7=AA$5,AA$6,IF(NORMSDIST(AA$9*SQRT($C$11)*NORMSINV($B164)+SQRT(1-AA$9^2*$C$11)*NORMSINV(Z164))&lt;AA$8,AA$5+SQRT(NORMSDIST(AA$9*SQRT($C$11)*NORMSINV($B164)+SQRT(1-AA$9^2*$C$11)*NORMSINV(Z164))*(AA$7-AA$5)*(AA$6-AA$5)),AA$7-SQRT((1-NORMSDIST(AA$9*SQRT($C$11)*NORMSINV($B164)+SQRT(1-AA$9^2*$C$11)*NORMSINV(Z164)))*(AA$7-AA$5)*(AA$7-AA$6))))</f>
        <v>0.746787245311649</v>
      </c>
      <c r="AB164" s="2" t="n">
        <v>0.119418346</v>
      </c>
      <c r="AC164" s="2" t="n">
        <f aca="false">IF(AC$7=AC$5,AC$6,IF(NORMSDIST(AC$9*SQRT($C$11)*NORMSINV($B164)+SQRT(1-AC$9^2*$C$11)*NORMSINV(AB164))&lt;AC$8,AC$5+SQRT(NORMSDIST(AC$9*SQRT($C$11)*NORMSINV($B164)+SQRT(1-AC$9^2*$C$11)*NORMSINV(AB164))*(AC$7-AC$5)*(AC$6-AC$5)),AC$7-SQRT((1-NORMSDIST(AC$9*SQRT($C$11)*NORMSINV($B164)+SQRT(1-AC$9^2*$C$11)*NORMSINV(AB164)))*(AC$7-AC$5)*(AC$7-AC$6))))</f>
        <v>8.84153443554147</v>
      </c>
      <c r="AD164" s="2" t="n">
        <f aca="false">Entrées!$C$8*(1+E164)</f>
        <v>7457.20012074523</v>
      </c>
      <c r="AE164" s="2" t="n">
        <f aca="false">I164*Hypothèses!$J$24/12/Hypothèses!$J$19</f>
        <v>99.350960861621</v>
      </c>
      <c r="AF164" s="2" t="n">
        <f aca="false">Entrées!$C$36*S164*1000</f>
        <v>178.195150294468</v>
      </c>
      <c r="AG164" s="2" t="n">
        <f aca="false">-AF164/W164</f>
        <v>-16.2664522484933</v>
      </c>
      <c r="AH164" s="2" t="n">
        <f aca="false">AD164+AE164+AG164</f>
        <v>7540.28462935836</v>
      </c>
      <c r="AI164" s="2" t="n">
        <f aca="false">Entrées!$C$16-M164+Hypothèses!$J$22*1000-AF164+Hypothèses!$J$23</f>
        <v>22681.8114317329</v>
      </c>
      <c r="AJ164" s="2" t="n">
        <f aca="false">AI164/AH164</f>
        <v>3.0080842496874</v>
      </c>
      <c r="AK164" s="2" t="n">
        <f aca="false">AI164/(AH164+I164*(12-Hypothèses!$J$24)/12/Hypothèses!$J$19)</f>
        <v>2.98003778874283</v>
      </c>
      <c r="AL164" s="2" t="n">
        <f aca="false">(AD164+AG164+I164/Hypothèses!$J$19)*(1+G164)</f>
        <v>8006.16053623262</v>
      </c>
      <c r="AM164" s="2" t="n">
        <f aca="false">Entrées!$C$54*K164/Hypothèses!$J$19</f>
        <v>40.2435508221363</v>
      </c>
      <c r="AN164" s="2" t="n">
        <f aca="false">Y164*1000/AC164</f>
        <v>68.1318599164813</v>
      </c>
      <c r="AO164" s="2" t="n">
        <f aca="false">(Entrées!$C$36*(1-S164)+MAX(0,Entrées!$C$30-Entrées!$C$35-Entrées!$C$36)*U164)*1000</f>
        <v>1004.32802140194</v>
      </c>
      <c r="AP164" s="2" t="n">
        <f aca="false">-AO164/W164</f>
        <v>-91.6795646512358</v>
      </c>
      <c r="AQ164" s="2" t="n">
        <f aca="false">AL164+AM164+AN164+AP164</f>
        <v>8022.85638232001</v>
      </c>
      <c r="AR164" s="2" t="n">
        <f aca="false">O164*AQ164-Hypothèses!$J$25/Hypothèses!$J$19</f>
        <v>1235.03792341802</v>
      </c>
      <c r="AS164" s="2" t="n">
        <f aca="false">Entrées!$C$79*(1+Q164)+Hypothèses!$J$20</f>
        <v>1482.32469745567</v>
      </c>
      <c r="AT164" s="2" t="n">
        <f aca="false">AI164-AR164+AS164+Y164*1000-AO164+Hypothèses!$J$23</f>
        <v>22527.1603699777</v>
      </c>
      <c r="AU164" s="2" t="n">
        <f aca="false">AT164/AQ164</f>
        <v>2.8078728194139</v>
      </c>
      <c r="AV164" s="2" t="n">
        <f aca="false">Hypothèses!$J$26*AQ164-AT164</f>
        <v>1541.40877698234</v>
      </c>
      <c r="AW164" s="2" t="n">
        <f aca="false">IF(AC164&gt;Hypothèses!$J$26,MAX(0,AV164)/(1-Hypothèses!$J$26/AC164),0)</f>
        <v>2333.0203615708</v>
      </c>
      <c r="AX164" s="2" t="n">
        <f aca="false">AQ164-Entrées!$C$17*1000</f>
        <v>22.8563823200057</v>
      </c>
      <c r="AY164" s="2" t="n">
        <f aca="false">AI164+(Entrées!$C$244-Entrées!$C$13)</f>
        <v>28428.8114317329</v>
      </c>
      <c r="AZ164" s="2" t="n">
        <f aca="false">AA164*AH164</f>
        <v>5630.9883872243</v>
      </c>
      <c r="BA164" s="2" t="n">
        <f aca="false">AZ164/AY164</f>
        <v>0.198073296196226</v>
      </c>
      <c r="BB164" s="2" t="n">
        <f aca="false">AZ164/(Entrées!$C$151/100)-AY164</f>
        <v>2854.45738617986</v>
      </c>
      <c r="BC164" s="2" t="n">
        <f aca="false">AT164+(Entrées!$C$244-Entrées!$C$13)</f>
        <v>28274.1603699777</v>
      </c>
      <c r="BD164" s="2" t="n">
        <f aca="false">AA164*AQ164</f>
        <v>5991.36681728374</v>
      </c>
      <c r="BE164" s="2" t="n">
        <f aca="false">BD164/BC164</f>
        <v>0.211902554802142</v>
      </c>
      <c r="BF164" s="2" t="n">
        <f aca="false">BD164/(Entrées!$C$151/100)-BC164</f>
        <v>5011.21083715422</v>
      </c>
      <c r="BG164" s="2" t="n">
        <f aca="false">MIN(AV164,BF164)</f>
        <v>1541.40877698234</v>
      </c>
      <c r="BH164" s="2" t="n">
        <f aca="false">IF(AC164&gt;Hypothèses!$J$26,MAX(0,BG164)/(1-Hypothèses!$J$26/AC164),0)</f>
        <v>2333.0203615708</v>
      </c>
    </row>
    <row r="165" customFormat="false" ht="15" hidden="false" customHeight="false" outlineLevel="0" collapsed="false">
      <c r="A165" s="2" t="n">
        <v>150</v>
      </c>
      <c r="B165" s="2" t="n">
        <v>0.291100963</v>
      </c>
      <c r="C165" s="2"/>
      <c r="D165" s="2" t="n">
        <v>0.562018579</v>
      </c>
      <c r="E165" s="2" t="n">
        <f aca="false">IF(E$7=E$5,E$6,IF(NORMSDIST(E$9*SQRT($C$11)*NORMSINV($B165)+SQRT(1-E$9^2*$C$11)*NORMSINV(D165))&lt;E$8,E$5+SQRT(NORMSDIST(E$9*SQRT($C$11)*NORMSINV($B165)+SQRT(1-E$9^2*$C$11)*NORMSINV(D165))*(E$7-E$5)*(E$6-E$5)),E$7-SQRT((1-NORMSDIST(E$9*SQRT($C$11)*NORMSINV($B165)+SQRT(1-E$9^2*$C$11)*NORMSINV(D165)))*(E$7-E$5)*(E$7-E$6))))</f>
        <v>0.0545287489598507</v>
      </c>
      <c r="F165" s="2" t="n">
        <v>0.128674182</v>
      </c>
      <c r="G165" s="2" t="n">
        <f aca="false">IF(G$7=G$5,G$6,IF(NORMSDIST(G$9*SQRT($C$11)*NORMSINV($B165)+SQRT(1-G$9^2*$C$11)*NORMSINV(F165))&lt;G$8,G$5+SQRT(NORMSDIST(G$9*SQRT($C$11)*NORMSINV($B165)+SQRT(1-G$9^2*$C$11)*NORMSINV(F165))*(G$7-G$5)*(G$6-G$5)),G$7-SQRT((1-NORMSDIST(G$9*SQRT($C$11)*NORMSINV($B165)+SQRT(1-G$9^2*$C$11)*NORMSINV(F165)))*(G$7-G$5)*(G$7-G$6))))</f>
        <v>0.0470428327470625</v>
      </c>
      <c r="H165" s="2" t="n">
        <v>0.841882329</v>
      </c>
      <c r="I165" s="2" t="n">
        <f aca="false">IF(I$7=I$5,I$6,IF(NORMSDIST(I$9*SQRT($C$11)*NORMSINV($B165)+SQRT(1-I$9^2*$C$11)*NORMSINV(H165))&lt;I$8,I$5+SQRT(NORMSDIST(I$9*SQRT($C$11)*NORMSINV($B165)+SQRT(1-I$9^2*$C$11)*NORMSINV(H165))*(I$7-I$5)*(I$6-I$5)),I$7-SQRT((1-NORMSDIST(I$9*SQRT($C$11)*NORMSINV($B165)+SQRT(1-I$9^2*$C$11)*NORMSINV(H165)))*(I$7-I$5)*(I$7-I$6))))</f>
        <v>203.648993070306</v>
      </c>
      <c r="J165" s="2" t="n">
        <v>0.111013411</v>
      </c>
      <c r="K165" s="2" t="n">
        <f aca="false">IF(K$7=K$5,K$6,IF(NORMSDIST(K$9*SQRT($C$11)*NORMSINV($B165)+SQRT(1-K$9^2*$C$11)*NORMSINV(J165))&lt;K$8,K$5+SQRT(NORMSDIST(K$9*SQRT($C$11)*NORMSINV($B165)+SQRT(1-K$9^2*$C$11)*NORMSINV(J165))*(K$7-K$5)*(K$6-K$5)),K$7-SQRT((1-NORMSDIST(K$9*SQRT($C$11)*NORMSINV($B165)+SQRT(1-K$9^2*$C$11)*NORMSINV(J165)))*(K$7-K$5)*(K$7-K$6))))</f>
        <v>0.110598632460221</v>
      </c>
      <c r="L165" s="2" t="n">
        <v>0.917258113</v>
      </c>
      <c r="M165" s="2" t="n">
        <f aca="false">IF(M$7=M$5,M$6,IF(NORMSDIST(M$9*SQRT($C$11)*NORMSINV($B165)+SQRT(1-M$9^2*$C$11)*NORMSINV(L165))&lt;M$8,M$5+SQRT(NORMSDIST(M$9*SQRT($C$11)*NORMSINV($B165)+SQRT(1-M$9^2*$C$11)*NORMSINV(L165))*(M$7-M$5)*(M$6-M$5)),M$7-SQRT((1-NORMSDIST(M$9*SQRT($C$11)*NORMSINV($B165)+SQRT(1-M$9^2*$C$11)*NORMSINV(L165)))*(M$7-M$5)*(M$7-M$6))))</f>
        <v>1655.46385449422</v>
      </c>
      <c r="N165" s="2" t="n">
        <v>0.462723038</v>
      </c>
      <c r="O165" s="2" t="n">
        <f aca="false">IF(O$7=O$5,O$6,IF(NORMSDIST(O$9*SQRT($C$11)*NORMSINV($B165)+SQRT(1-O$9^2*$C$11)*NORMSINV(N165))&lt;O$8,O$5+SQRT(NORMSDIST(O$9*SQRT($C$11)*NORMSINV($B165)+SQRT(1-O$9^2*$C$11)*NORMSINV(N165))*(O$7-O$5)*(O$6-O$5)),O$7-SQRT((1-NORMSDIST(O$9*SQRT($C$11)*NORMSINV($B165)+SQRT(1-O$9^2*$C$11)*NORMSINV(N165)))*(O$7-O$5)*(O$7-O$6))))</f>
        <v>0.161992047957657</v>
      </c>
      <c r="P165" s="2" t="n">
        <v>0.683425737</v>
      </c>
      <c r="Q165" s="2" t="n">
        <f aca="false">IF(Q$7=Q$5,Q$6,IF(NORMSDIST(Q$9*SQRT($C$11)*NORMSINV($B165)+SQRT(1-Q$9^2*$C$11)*NORMSINV(P165))&lt;Q$8,Q$5+SQRT(NORMSDIST(Q$9*SQRT($C$11)*NORMSINV($B165)+SQRT(1-Q$9^2*$C$11)*NORMSINV(P165))*(Q$7-Q$5)*(Q$6-Q$5)),Q$7-SQRT((1-NORMSDIST(Q$9*SQRT($C$11)*NORMSINV($B165)+SQRT(1-Q$9^2*$C$11)*NORMSINV(P165)))*(Q$7-Q$5)*(Q$7-Q$6))))</f>
        <v>0.0881717477451243</v>
      </c>
      <c r="R165" s="2" t="n">
        <v>0.477703164</v>
      </c>
      <c r="S165" s="2" t="n">
        <f aca="false">IF(S$7=S$5,S$6,IF(NORMSDIST(S$9*SQRT($C$11)*NORMSINV($B165)+SQRT(1-S$9^2*$C$11)*NORMSINV(R165))&lt;S$8,S$5+SQRT(NORMSDIST(S$9*SQRT($C$11)*NORMSINV($B165)+SQRT(1-S$9^2*$C$11)*NORMSINV(R165))*(S$7-S$5)*(S$6-S$5)),S$7-SQRT((1-NORMSDIST(S$9*SQRT($C$11)*NORMSINV($B165)+SQRT(1-S$9^2*$C$11)*NORMSINV(R165)))*(S$7-S$5)*(S$7-S$6))))</f>
        <v>0.41701171062546</v>
      </c>
      <c r="T165" s="2" t="n">
        <v>0.014661959</v>
      </c>
      <c r="U165" s="2" t="n">
        <f aca="false">IF(U$7=U$5,U$6,IF(NORMSDIST(U$9*SQRT($C$11)*NORMSINV($B165)+SQRT(1-U$9^2*$C$11)*NORMSINV(T165))&lt;U$8,U$5+SQRT(NORMSDIST(U$9*SQRT($C$11)*NORMSINV($B165)+SQRT(1-U$9^2*$C$11)*NORMSINV(T165))*(U$7-U$5)*(U$6-U$5)),U$7-SQRT((1-NORMSDIST(U$9*SQRT($C$11)*NORMSINV($B165)+SQRT(1-U$9^2*$C$11)*NORMSINV(T165)))*(U$7-U$5)*(U$7-U$6))))</f>
        <v>0.102178548574545</v>
      </c>
      <c r="V165" s="2" t="n">
        <v>0.9573887</v>
      </c>
      <c r="W165" s="2" t="n">
        <f aca="false">IF(W$7=W$5,W$6,IF(NORMSDIST(W$9*SQRT($C$11)*NORMSINV($B165)+SQRT(1-W$9^2*$C$11)*NORMSINV(V165))&lt;W$8,W$5+SQRT(NORMSDIST(W$9*SQRT($C$11)*NORMSINV($B165)+SQRT(1-W$9^2*$C$11)*NORMSINV(V165))*(W$7-W$5)*(W$6-W$5)),W$7-SQRT((1-NORMSDIST(W$9*SQRT($C$11)*NORMSINV($B165)+SQRT(1-W$9^2*$C$11)*NORMSINV(V165)))*(W$7-W$5)*(W$7-W$6))))</f>
        <v>10.8606932611909</v>
      </c>
      <c r="X165" s="2" t="n">
        <v>0.464400133</v>
      </c>
      <c r="Y165" s="2" t="n">
        <f aca="false">IF(Y$7=Y$5,Y$6,IF(NORMSDIST(Y$9*SQRT($C$11)*NORMSINV($B165)+SQRT(1-Y$9^2*$C$11)*NORMSINV(X165))&lt;Y$8,Y$5+SQRT(NORMSDIST(Y$9*SQRT($C$11)*NORMSINV($B165)+SQRT(1-Y$9^2*$C$11)*NORMSINV(X165))*(Y$7-Y$5)*(Y$6-Y$5)),Y$7-SQRT((1-NORMSDIST(Y$9*SQRT($C$11)*NORMSINV($B165)+SQRT(1-Y$9^2*$C$11)*NORMSINV(X165)))*(Y$7-Y$5)*(Y$7-Y$6))))</f>
        <v>0.481871421128085</v>
      </c>
      <c r="Z165" s="2" t="n">
        <v>0.174954934</v>
      </c>
      <c r="AA165" s="2" t="n">
        <f aca="false">IF(AA$7=AA$5,AA$6,IF(NORMSDIST(AA$9*SQRT($C$11)*NORMSINV($B165)+SQRT(1-AA$9^2*$C$11)*NORMSINV(Z165))&lt;AA$8,AA$5+SQRT(NORMSDIST(AA$9*SQRT($C$11)*NORMSINV($B165)+SQRT(1-AA$9^2*$C$11)*NORMSINV(Z165))*(AA$7-AA$5)*(AA$6-AA$5)),AA$7-SQRT((1-NORMSDIST(AA$9*SQRT($C$11)*NORMSINV($B165)+SQRT(1-AA$9^2*$C$11)*NORMSINV(Z165)))*(AA$7-AA$5)*(AA$7-AA$6))))</f>
        <v>0.712753762359558</v>
      </c>
      <c r="AB165" s="2" t="n">
        <v>0.963058224</v>
      </c>
      <c r="AC165" s="2" t="n">
        <f aca="false">IF(AC$7=AC$5,AC$6,IF(NORMSDIST(AC$9*SQRT($C$11)*NORMSINV($B165)+SQRT(1-AC$9^2*$C$11)*NORMSINV(AB165))&lt;AC$8,AC$5+SQRT(NORMSDIST(AC$9*SQRT($C$11)*NORMSINV($B165)+SQRT(1-AC$9^2*$C$11)*NORMSINV(AB165))*(AC$7-AC$5)*(AC$6-AC$5)),AC$7-SQRT((1-NORMSDIST(AC$9*SQRT($C$11)*NORMSINV($B165)+SQRT(1-AC$9^2*$C$11)*NORMSINV(AB165)))*(AC$7-AC$5)*(AC$7-AC$6))))</f>
        <v>10.1950596868961</v>
      </c>
      <c r="AD165" s="2" t="n">
        <f aca="false">Entrées!$C$8*(1+E165)</f>
        <v>7434.42768016695</v>
      </c>
      <c r="AE165" s="2" t="n">
        <f aca="false">I165*Hypothèses!$J$24/12/Hypothèses!$J$19</f>
        <v>101.02961365822</v>
      </c>
      <c r="AF165" s="2" t="n">
        <f aca="false">Entrées!$C$36*S165*1000</f>
        <v>208.50585531273</v>
      </c>
      <c r="AG165" s="2" t="n">
        <f aca="false">-AF165/W165</f>
        <v>-19.1982086500679</v>
      </c>
      <c r="AH165" s="2" t="n">
        <f aca="false">AD165+AE165+AG165</f>
        <v>7516.2590851751</v>
      </c>
      <c r="AI165" s="2" t="n">
        <f aca="false">Entrées!$C$16-M165+Hypothèses!$J$22*1000-AF165+Hypothèses!$J$23</f>
        <v>22684.030290193</v>
      </c>
      <c r="AJ165" s="2" t="n">
        <f aca="false">AI165/AH165</f>
        <v>3.01799472758124</v>
      </c>
      <c r="AK165" s="2" t="n">
        <f aca="false">AI165/(AH165+I165*(12-Hypothèses!$J$24)/12/Hypothèses!$J$19)</f>
        <v>2.98929435093648</v>
      </c>
      <c r="AL165" s="2" t="n">
        <f aca="false">(AD165+AG165+I165/Hypothèses!$J$19)*(1+G165)</f>
        <v>7945.40401339976</v>
      </c>
      <c r="AM165" s="2" t="n">
        <f aca="false">Entrées!$C$54*K165/Hypothèses!$J$19</f>
        <v>11.2870548162148</v>
      </c>
      <c r="AN165" s="2" t="n">
        <f aca="false">Y165*1000/AC165</f>
        <v>47.2651888195851</v>
      </c>
      <c r="AO165" s="2" t="n">
        <f aca="false">(Entrées!$C$36*(1-S165)+MAX(0,Entrées!$C$30-Entrées!$C$35-Entrées!$C$36)*U165)*1000</f>
        <v>434.544112691633</v>
      </c>
      <c r="AP165" s="2" t="n">
        <f aca="false">-AO165/W165</f>
        <v>-40.0107159129899</v>
      </c>
      <c r="AQ165" s="2" t="n">
        <f aca="false">AL165+AM165+AN165+AP165</f>
        <v>7963.94554112256</v>
      </c>
      <c r="AR165" s="2" t="n">
        <f aca="false">O165*AQ165-Hypothèses!$J$25/Hypothèses!$J$19</f>
        <v>1270.96068576807</v>
      </c>
      <c r="AS165" s="2" t="n">
        <f aca="false">Entrées!$C$79*(1+Q165)+Hypothèses!$J$20</f>
        <v>1490.90075077189</v>
      </c>
      <c r="AT165" s="2" t="n">
        <f aca="false">AI165-AR165+AS165+Y165*1000-AO165+Hypothèses!$J$23</f>
        <v>22951.2976636333</v>
      </c>
      <c r="AU165" s="2" t="n">
        <f aca="false">AT165/AQ165</f>
        <v>2.88190037778664</v>
      </c>
      <c r="AV165" s="2" t="n">
        <f aca="false">Hypothèses!$J$26*AQ165-AT165</f>
        <v>940.538959734378</v>
      </c>
      <c r="AW165" s="2" t="n">
        <f aca="false">IF(AC165&gt;Hypothèses!$J$26,MAX(0,AV165)/(1-Hypothèses!$J$26/AC165),0)</f>
        <v>1332.6992755608</v>
      </c>
      <c r="AX165" s="2" t="n">
        <f aca="false">AQ165-Entrées!$C$17*1000</f>
        <v>-36.0544588774355</v>
      </c>
      <c r="AY165" s="2" t="n">
        <f aca="false">AI165+(Entrées!$C$244-Entrées!$C$13)</f>
        <v>28431.030290193</v>
      </c>
      <c r="AZ165" s="2" t="n">
        <f aca="false">AA165*AH165</f>
        <v>5357.24194182777</v>
      </c>
      <c r="BA165" s="2" t="n">
        <f aca="false">AZ165/AY165</f>
        <v>0.188429398693852</v>
      </c>
      <c r="BB165" s="2" t="n">
        <f aca="false">AZ165/(Entrées!$C$151/100)-AY165</f>
        <v>1331.42494218343</v>
      </c>
      <c r="BC165" s="2" t="n">
        <f aca="false">AT165+(Entrées!$C$244-Entrées!$C$13)</f>
        <v>28698.2976636333</v>
      </c>
      <c r="BD165" s="2" t="n">
        <f aca="false">AA165*AQ165</f>
        <v>5676.33214766174</v>
      </c>
      <c r="BE165" s="2" t="n">
        <f aca="false">BD165/BC165</f>
        <v>0.197793340015942</v>
      </c>
      <c r="BF165" s="2" t="n">
        <f aca="false">BD165/(Entrées!$C$151/100)-BC165</f>
        <v>2836.88093448745</v>
      </c>
      <c r="BG165" s="2" t="n">
        <f aca="false">MIN(AV165,BF165)</f>
        <v>940.538959734378</v>
      </c>
      <c r="BH165" s="2" t="n">
        <f aca="false">IF(AC165&gt;Hypothèses!$J$26,MAX(0,BG165)/(1-Hypothèses!$J$26/AC165),0)</f>
        <v>1332.6992755608</v>
      </c>
    </row>
    <row r="166" customFormat="false" ht="15" hidden="false" customHeight="false" outlineLevel="0" collapsed="false">
      <c r="A166" s="2" t="n">
        <v>151</v>
      </c>
      <c r="B166" s="2" t="n">
        <v>0.523764629</v>
      </c>
      <c r="C166" s="2"/>
      <c r="D166" s="2" t="n">
        <v>0.206164471</v>
      </c>
      <c r="E166" s="2" t="n">
        <f aca="false">IF(E$7=E$5,E$6,IF(NORMSDIST(E$9*SQRT($C$11)*NORMSINV($B166)+SQRT(1-E$9^2*$C$11)*NORMSINV(D166))&lt;E$8,E$5+SQRT(NORMSDIST(E$9*SQRT($C$11)*NORMSINV($B166)+SQRT(1-E$9^2*$C$11)*NORMSINV(D166))*(E$7-E$5)*(E$6-E$5)),E$7-SQRT((1-NORMSDIST(E$9*SQRT($C$11)*NORMSINV($B166)+SQRT(1-E$9^2*$C$11)*NORMSINV(D166)))*(E$7-E$5)*(E$7-E$6))))</f>
        <v>0.0537090919325533</v>
      </c>
      <c r="F166" s="2" t="n">
        <v>0.290575554</v>
      </c>
      <c r="G166" s="2" t="n">
        <f aca="false">IF(G$7=G$5,G$6,IF(NORMSDIST(G$9*SQRT($C$11)*NORMSINV($B166)+SQRT(1-G$9^2*$C$11)*NORMSINV(F166))&lt;G$8,G$5+SQRT(NORMSDIST(G$9*SQRT($C$11)*NORMSINV($B166)+SQRT(1-G$9^2*$C$11)*NORMSINV(F166))*(G$7-G$5)*(G$6-G$5)),G$7-SQRT((1-NORMSDIST(G$9*SQRT($C$11)*NORMSINV($B166)+SQRT(1-G$9^2*$C$11)*NORMSINV(F166)))*(G$7-G$5)*(G$7-G$6))))</f>
        <v>0.0525211335813574</v>
      </c>
      <c r="H166" s="2" t="n">
        <v>0.369385735</v>
      </c>
      <c r="I166" s="2" t="n">
        <f aca="false">IF(I$7=I$5,I$6,IF(NORMSDIST(I$9*SQRT($C$11)*NORMSINV($B166)+SQRT(1-I$9^2*$C$11)*NORMSINV(H166))&lt;I$8,I$5+SQRT(NORMSDIST(I$9*SQRT($C$11)*NORMSINV($B166)+SQRT(1-I$9^2*$C$11)*NORMSINV(H166))*(I$7-I$5)*(I$6-I$5)),I$7-SQRT((1-NORMSDIST(I$9*SQRT($C$11)*NORMSINV($B166)+SQRT(1-I$9^2*$C$11)*NORMSINV(H166)))*(I$7-I$5)*(I$7-I$6))))</f>
        <v>198.170211978206</v>
      </c>
      <c r="J166" s="2" t="n">
        <v>0.292858423</v>
      </c>
      <c r="K166" s="2" t="n">
        <f aca="false">IF(K$7=K$5,K$6,IF(NORMSDIST(K$9*SQRT($C$11)*NORMSINV($B166)+SQRT(1-K$9^2*$C$11)*NORMSINV(J166))&lt;K$8,K$5+SQRT(NORMSDIST(K$9*SQRT($C$11)*NORMSINV($B166)+SQRT(1-K$9^2*$C$11)*NORMSINV(J166))*(K$7-K$5)*(K$6-K$5)),K$7-SQRT((1-NORMSDIST(K$9*SQRT($C$11)*NORMSINV($B166)+SQRT(1-K$9^2*$C$11)*NORMSINV(J166)))*(K$7-K$5)*(K$7-K$6))))</f>
        <v>0.209255877752611</v>
      </c>
      <c r="L166" s="2" t="n">
        <v>0.826547508</v>
      </c>
      <c r="M166" s="2" t="n">
        <f aca="false">IF(M$7=M$5,M$6,IF(NORMSDIST(M$9*SQRT($C$11)*NORMSINV($B166)+SQRT(1-M$9^2*$C$11)*NORMSINV(L166))&lt;M$8,M$5+SQRT(NORMSDIST(M$9*SQRT($C$11)*NORMSINV($B166)+SQRT(1-M$9^2*$C$11)*NORMSINV(L166))*(M$7-M$5)*(M$6-M$5)),M$7-SQRT((1-NORMSDIST(M$9*SQRT($C$11)*NORMSINV($B166)+SQRT(1-M$9^2*$C$11)*NORMSINV(L166)))*(M$7-M$5)*(M$7-M$6))))</f>
        <v>1659.03355037196</v>
      </c>
      <c r="N166" s="2" t="n">
        <v>0.795647435</v>
      </c>
      <c r="O166" s="2" t="n">
        <f aca="false">IF(O$7=O$5,O$6,IF(NORMSDIST(O$9*SQRT($C$11)*NORMSINV($B166)+SQRT(1-O$9^2*$C$11)*NORMSINV(N166))&lt;O$8,O$5+SQRT(NORMSDIST(O$9*SQRT($C$11)*NORMSINV($B166)+SQRT(1-O$9^2*$C$11)*NORMSINV(N166))*(O$7-O$5)*(O$6-O$5)),O$7-SQRT((1-NORMSDIST(O$9*SQRT($C$11)*NORMSINV($B166)+SQRT(1-O$9^2*$C$11)*NORMSINV(N166)))*(O$7-O$5)*(O$7-O$6))))</f>
        <v>0.17371420322247</v>
      </c>
      <c r="P166" s="2" t="n">
        <v>0.676873335</v>
      </c>
      <c r="Q166" s="2" t="n">
        <f aca="false">IF(Q$7=Q$5,Q$6,IF(NORMSDIST(Q$9*SQRT($C$11)*NORMSINV($B166)+SQRT(1-Q$9^2*$C$11)*NORMSINV(P166))&lt;Q$8,Q$5+SQRT(NORMSDIST(Q$9*SQRT($C$11)*NORMSINV($B166)+SQRT(1-Q$9^2*$C$11)*NORMSINV(P166))*(Q$7-Q$5)*(Q$6-Q$5)),Q$7-SQRT((1-NORMSDIST(Q$9*SQRT($C$11)*NORMSINV($B166)+SQRT(1-Q$9^2*$C$11)*NORMSINV(P166)))*(Q$7-Q$5)*(Q$7-Q$6))))</f>
        <v>0.0878440467720206</v>
      </c>
      <c r="R166" s="2" t="n">
        <v>0.269779028</v>
      </c>
      <c r="S166" s="2" t="n">
        <f aca="false">IF(S$7=S$5,S$6,IF(NORMSDIST(S$9*SQRT($C$11)*NORMSINV($B166)+SQRT(1-S$9^2*$C$11)*NORMSINV(R166))&lt;S$8,S$5+SQRT(NORMSDIST(S$9*SQRT($C$11)*NORMSINV($B166)+SQRT(1-S$9^2*$C$11)*NORMSINV(R166))*(S$7-S$5)*(S$6-S$5)),S$7-SQRT((1-NORMSDIST(S$9*SQRT($C$11)*NORMSINV($B166)+SQRT(1-S$9^2*$C$11)*NORMSINV(R166)))*(S$7-S$5)*(S$7-S$6))))</f>
        <v>0.406738918642715</v>
      </c>
      <c r="T166" s="2" t="n">
        <v>0.303237879</v>
      </c>
      <c r="U166" s="2" t="n">
        <f aca="false">IF(U$7=U$5,U$6,IF(NORMSDIST(U$9*SQRT($C$11)*NORMSINV($B166)+SQRT(1-U$9^2*$C$11)*NORMSINV(T166))&lt;U$8,U$5+SQRT(NORMSDIST(U$9*SQRT($C$11)*NORMSINV($B166)+SQRT(1-U$9^2*$C$11)*NORMSINV(T166))*(U$7-U$5)*(U$6-U$5)),U$7-SQRT((1-NORMSDIST(U$9*SQRT($C$11)*NORMSINV($B166)+SQRT(1-U$9^2*$C$11)*NORMSINV(T166)))*(U$7-U$5)*(U$7-U$6))))</f>
        <v>0.423636295407945</v>
      </c>
      <c r="V166" s="2" t="n">
        <v>0.073611019</v>
      </c>
      <c r="W166" s="2" t="n">
        <f aca="false">IF(W$7=W$5,W$6,IF(NORMSDIST(W$9*SQRT($C$11)*NORMSINV($B166)+SQRT(1-W$9^2*$C$11)*NORMSINV(V166))&lt;W$8,W$5+SQRT(NORMSDIST(W$9*SQRT($C$11)*NORMSINV($B166)+SQRT(1-W$9^2*$C$11)*NORMSINV(V166))*(W$7-W$5)*(W$6-W$5)),W$7-SQRT((1-NORMSDIST(W$9*SQRT($C$11)*NORMSINV($B166)+SQRT(1-W$9^2*$C$11)*NORMSINV(V166)))*(W$7-W$5)*(W$7-W$6))))</f>
        <v>9.054353707067</v>
      </c>
      <c r="X166" s="2" t="n">
        <v>0.741612654</v>
      </c>
      <c r="Y166" s="2" t="n">
        <f aca="false">IF(Y$7=Y$5,Y$6,IF(NORMSDIST(Y$9*SQRT($C$11)*NORMSINV($B166)+SQRT(1-Y$9^2*$C$11)*NORMSINV(X166))&lt;Y$8,Y$5+SQRT(NORMSDIST(Y$9*SQRT($C$11)*NORMSINV($B166)+SQRT(1-Y$9^2*$C$11)*NORMSINV(X166))*(Y$7-Y$5)*(Y$6-Y$5)),Y$7-SQRT((1-NORMSDIST(Y$9*SQRT($C$11)*NORMSINV($B166)+SQRT(1-Y$9^2*$C$11)*NORMSINV(X166)))*(Y$7-Y$5)*(Y$7-Y$6))))</f>
        <v>0.640564786087952</v>
      </c>
      <c r="Z166" s="2" t="n">
        <v>0.433326022</v>
      </c>
      <c r="AA166" s="2" t="n">
        <f aca="false">IF(AA$7=AA$5,AA$6,IF(NORMSDIST(AA$9*SQRT($C$11)*NORMSINV($B166)+SQRT(1-AA$9^2*$C$11)*NORMSINV(Z166))&lt;AA$8,AA$5+SQRT(NORMSDIST(AA$9*SQRT($C$11)*NORMSINV($B166)+SQRT(1-AA$9^2*$C$11)*NORMSINV(Z166))*(AA$7-AA$5)*(AA$6-AA$5)),AA$7-SQRT((1-NORMSDIST(AA$9*SQRT($C$11)*NORMSINV($B166)+SQRT(1-AA$9^2*$C$11)*NORMSINV(Z166)))*(AA$7-AA$5)*(AA$7-AA$6))))</f>
        <v>0.726823917260954</v>
      </c>
      <c r="AB166" s="2" t="n">
        <v>0.707805094</v>
      </c>
      <c r="AC166" s="2" t="n">
        <f aca="false">IF(AC$7=AC$5,AC$6,IF(NORMSDIST(AC$9*SQRT($C$11)*NORMSINV($B166)+SQRT(1-AC$9^2*$C$11)*NORMSINV(AB166))&lt;AC$8,AC$5+SQRT(NORMSDIST(AC$9*SQRT($C$11)*NORMSINV($B166)+SQRT(1-AC$9^2*$C$11)*NORMSINV(AB166))*(AC$7-AC$5)*(AC$6-AC$5)),AC$7-SQRT((1-NORMSDIST(AC$9*SQRT($C$11)*NORMSINV($B166)+SQRT(1-AC$9^2*$C$11)*NORMSINV(AB166)))*(AC$7-AC$5)*(AC$7-AC$6))))</f>
        <v>9.82010075982726</v>
      </c>
      <c r="AD166" s="2" t="n">
        <f aca="false">Entrées!$C$8*(1+E166)</f>
        <v>7428.6490981245</v>
      </c>
      <c r="AE166" s="2" t="n">
        <f aca="false">I166*Hypothèses!$J$24/12/Hypothèses!$J$19</f>
        <v>98.31160789395</v>
      </c>
      <c r="AF166" s="2" t="n">
        <f aca="false">Entrées!$C$36*S166*1000</f>
        <v>203.369459321357</v>
      </c>
      <c r="AG166" s="2" t="n">
        <f aca="false">-AF166/W166</f>
        <v>-22.4609581093155</v>
      </c>
      <c r="AH166" s="2" t="n">
        <f aca="false">AD166+AE166+AG166</f>
        <v>7504.49974790914</v>
      </c>
      <c r="AI166" s="2" t="n">
        <f aca="false">Entrées!$C$16-M166+Hypothèses!$J$22*1000-AF166+Hypothèses!$J$23</f>
        <v>22685.5969903067</v>
      </c>
      <c r="AJ166" s="2" t="n">
        <f aca="false">AI166/AH166</f>
        <v>3.02293260741693</v>
      </c>
      <c r="AK166" s="2" t="n">
        <f aca="false">AI166/(AH166+I166*(12-Hypothèses!$J$24)/12/Hypothèses!$J$19)</f>
        <v>2.99490806620133</v>
      </c>
      <c r="AL166" s="2" t="n">
        <f aca="false">(AD166+AG166+I166/Hypothèses!$J$19)*(1+G166)</f>
        <v>7972.55532804801</v>
      </c>
      <c r="AM166" s="2" t="n">
        <f aca="false">Entrées!$C$54*K166/Hypothèses!$J$19</f>
        <v>21.3554409333076</v>
      </c>
      <c r="AN166" s="2" t="n">
        <f aca="false">Y166*1000/AC166</f>
        <v>65.2299606444384</v>
      </c>
      <c r="AO166" s="2" t="n">
        <f aca="false">(Entrées!$C$36*(1-S166)+MAX(0,Entrées!$C$30-Entrées!$C$35-Entrées!$C$36)*U166)*1000</f>
        <v>889.721354249765</v>
      </c>
      <c r="AP166" s="2" t="n">
        <f aca="false">-AO166/W166</f>
        <v>-98.2644795017594</v>
      </c>
      <c r="AQ166" s="2" t="n">
        <f aca="false">AL166+AM166+AN166+AP166</f>
        <v>7960.876250124</v>
      </c>
      <c r="AR166" s="2" t="n">
        <f aca="false">O166*AQ166-Hypothèses!$J$25/Hypothèses!$J$19</f>
        <v>1363.78211248135</v>
      </c>
      <c r="AS166" s="2" t="n">
        <f aca="false">Entrées!$C$79*(1+Q166)+Hypothèses!$J$20</f>
        <v>1490.54060740245</v>
      </c>
      <c r="AT166" s="2" t="n">
        <f aca="false">AI166-AR166+AS166+Y166*1000-AO166+Hypothèses!$J$23</f>
        <v>22563.198917066</v>
      </c>
      <c r="AU166" s="2" t="n">
        <f aca="false">AT166/AQ166</f>
        <v>2.83426072810949</v>
      </c>
      <c r="AV166" s="2" t="n">
        <f aca="false">Hypothèses!$J$26*AQ166-AT166</f>
        <v>1319.42983330603</v>
      </c>
      <c r="AW166" s="2" t="n">
        <f aca="false">IF(AC166&gt;Hypothèses!$J$26,MAX(0,AV166)/(1-Hypothèses!$J$26/AC166),0)</f>
        <v>1899.81561341557</v>
      </c>
      <c r="AX166" s="2" t="n">
        <f aca="false">AQ166-Entrées!$C$17*1000</f>
        <v>-39.1237498760038</v>
      </c>
      <c r="AY166" s="2" t="n">
        <f aca="false">AI166+(Entrées!$C$244-Entrées!$C$13)</f>
        <v>28432.5969903067</v>
      </c>
      <c r="AZ166" s="2" t="n">
        <f aca="false">AA166*AH166</f>
        <v>5454.44990385916</v>
      </c>
      <c r="BA166" s="2" t="n">
        <f aca="false">AZ166/AY166</f>
        <v>0.191837907234387</v>
      </c>
      <c r="BB166" s="2" t="n">
        <f aca="false">AZ166/(Entrées!$C$151/100)-AY166</f>
        <v>1869.90247557754</v>
      </c>
      <c r="BC166" s="2" t="n">
        <f aca="false">AT166+(Entrées!$C$244-Entrées!$C$13)</f>
        <v>28310.198917066</v>
      </c>
      <c r="BD166" s="2" t="n">
        <f aca="false">AA166*AQ166</f>
        <v>5786.15526094482</v>
      </c>
      <c r="BE166" s="2" t="n">
        <f aca="false">BD166/BC166</f>
        <v>0.204384125943276</v>
      </c>
      <c r="BF166" s="2" t="n">
        <f aca="false">BD166/(Entrées!$C$151/100)-BC166</f>
        <v>3835.10808818301</v>
      </c>
      <c r="BG166" s="2" t="n">
        <f aca="false">MIN(AV166,BF166)</f>
        <v>1319.42983330603</v>
      </c>
      <c r="BH166" s="2" t="n">
        <f aca="false">IF(AC166&gt;Hypothèses!$J$26,MAX(0,BG166)/(1-Hypothèses!$J$26/AC166),0)</f>
        <v>1899.81561341557</v>
      </c>
    </row>
    <row r="167" customFormat="false" ht="15" hidden="false" customHeight="false" outlineLevel="0" collapsed="false">
      <c r="A167" s="2" t="n">
        <v>152</v>
      </c>
      <c r="B167" s="2" t="n">
        <v>0.231977479</v>
      </c>
      <c r="C167" s="2"/>
      <c r="D167" s="2" t="n">
        <v>0.518401266</v>
      </c>
      <c r="E167" s="2" t="n">
        <f aca="false">IF(E$7=E$5,E$6,IF(NORMSDIST(E$9*SQRT($C$11)*NORMSINV($B167)+SQRT(1-E$9^2*$C$11)*NORMSINV(D167))&lt;E$8,E$5+SQRT(NORMSDIST(E$9*SQRT($C$11)*NORMSINV($B167)+SQRT(1-E$9^2*$C$11)*NORMSINV(D167))*(E$7-E$5)*(E$6-E$5)),E$7-SQRT((1-NORMSDIST(E$9*SQRT($C$11)*NORMSINV($B167)+SQRT(1-E$9^2*$C$11)*NORMSINV(D167)))*(E$7-E$5)*(E$7-E$6))))</f>
        <v>0.0540898059384188</v>
      </c>
      <c r="F167" s="2" t="n">
        <v>0.836496864</v>
      </c>
      <c r="G167" s="2" t="n">
        <f aca="false">IF(G$7=G$5,G$6,IF(NORMSDIST(G$9*SQRT($C$11)*NORMSINV($B167)+SQRT(1-G$9^2*$C$11)*NORMSINV(F167))&lt;G$8,G$5+SQRT(NORMSDIST(G$9*SQRT($C$11)*NORMSINV($B167)+SQRT(1-G$9^2*$C$11)*NORMSINV(F167))*(G$7-G$5)*(G$6-G$5)),G$7-SQRT((1-NORMSDIST(G$9*SQRT($C$11)*NORMSINV($B167)+SQRT(1-G$9^2*$C$11)*NORMSINV(F167)))*(G$7-G$5)*(G$7-G$6))))</f>
        <v>0.0568615843124633</v>
      </c>
      <c r="H167" s="2" t="n">
        <v>0.777669419</v>
      </c>
      <c r="I167" s="2" t="n">
        <f aca="false">IF(I$7=I$5,I$6,IF(NORMSDIST(I$9*SQRT($C$11)*NORMSINV($B167)+SQRT(1-I$9^2*$C$11)*NORMSINV(H167))&lt;I$8,I$5+SQRT(NORMSDIST(I$9*SQRT($C$11)*NORMSINV($B167)+SQRT(1-I$9^2*$C$11)*NORMSINV(H167))*(I$7-I$5)*(I$6-I$5)),I$7-SQRT((1-NORMSDIST(I$9*SQRT($C$11)*NORMSINV($B167)+SQRT(1-I$9^2*$C$11)*NORMSINV(H167)))*(I$7-I$5)*(I$7-I$6))))</f>
        <v>201.053212837064</v>
      </c>
      <c r="J167" s="2" t="n">
        <v>0.107872903</v>
      </c>
      <c r="K167" s="2" t="n">
        <f aca="false">IF(K$7=K$5,K$6,IF(NORMSDIST(K$9*SQRT($C$11)*NORMSINV($B167)+SQRT(1-K$9^2*$C$11)*NORMSINV(J167))&lt;K$8,K$5+SQRT(NORMSDIST(K$9*SQRT($C$11)*NORMSINV($B167)+SQRT(1-K$9^2*$C$11)*NORMSINV(J167))*(K$7-K$5)*(K$6-K$5)),K$7-SQRT((1-NORMSDIST(K$9*SQRT($C$11)*NORMSINV($B167)+SQRT(1-K$9^2*$C$11)*NORMSINV(J167)))*(K$7-K$5)*(K$7-K$6))))</f>
        <v>0.0984272246724922</v>
      </c>
      <c r="L167" s="2" t="n">
        <v>0.817882266</v>
      </c>
      <c r="M167" s="2" t="n">
        <f aca="false">IF(M$7=M$5,M$6,IF(NORMSDIST(M$9*SQRT($C$11)*NORMSINV($B167)+SQRT(1-M$9^2*$C$11)*NORMSINV(L167))&lt;M$8,M$5+SQRT(NORMSDIST(M$9*SQRT($C$11)*NORMSINV($B167)+SQRT(1-M$9^2*$C$11)*NORMSINV(L167))*(M$7-M$5)*(M$6-M$5)),M$7-SQRT((1-NORMSDIST(M$9*SQRT($C$11)*NORMSINV($B167)+SQRT(1-M$9^2*$C$11)*NORMSINV(L167)))*(M$7-M$5)*(M$7-M$6))))</f>
        <v>1610.91080585973</v>
      </c>
      <c r="N167" s="2" t="n">
        <v>0.644904404</v>
      </c>
      <c r="O167" s="2" t="n">
        <f aca="false">IF(O$7=O$5,O$6,IF(NORMSDIST(O$9*SQRT($C$11)*NORMSINV($B167)+SQRT(1-O$9^2*$C$11)*NORMSINV(N167))&lt;O$8,O$5+SQRT(NORMSDIST(O$9*SQRT($C$11)*NORMSINV($B167)+SQRT(1-O$9^2*$C$11)*NORMSINV(N167))*(O$7-O$5)*(O$6-O$5)),O$7-SQRT((1-NORMSDIST(O$9*SQRT($C$11)*NORMSINV($B167)+SQRT(1-O$9^2*$C$11)*NORMSINV(N167)))*(O$7-O$5)*(O$7-O$6))))</f>
        <v>0.164850657096247</v>
      </c>
      <c r="P167" s="2" t="n">
        <v>0.121925538</v>
      </c>
      <c r="Q167" s="2" t="n">
        <f aca="false">IF(Q$7=Q$5,Q$6,IF(NORMSDIST(Q$9*SQRT($C$11)*NORMSINV($B167)+SQRT(1-Q$9^2*$C$11)*NORMSINV(P167))&lt;Q$8,Q$5+SQRT(NORMSDIST(Q$9*SQRT($C$11)*NORMSINV($B167)+SQRT(1-Q$9^2*$C$11)*NORMSINV(P167))*(Q$7-Q$5)*(Q$6-Q$5)),Q$7-SQRT((1-NORMSDIST(Q$9*SQRT($C$11)*NORMSINV($B167)+SQRT(1-Q$9^2*$C$11)*NORMSINV(P167)))*(Q$7-Q$5)*(Q$7-Q$6))))</f>
        <v>0.0597525117795181</v>
      </c>
      <c r="R167" s="2" t="n">
        <v>0.719237585</v>
      </c>
      <c r="S167" s="2" t="n">
        <f aca="false">IF(S$7=S$5,S$6,IF(NORMSDIST(S$9*SQRT($C$11)*NORMSINV($B167)+SQRT(1-S$9^2*$C$11)*NORMSINV(R167))&lt;S$8,S$5+SQRT(NORMSDIST(S$9*SQRT($C$11)*NORMSINV($B167)+SQRT(1-S$9^2*$C$11)*NORMSINV(R167))*(S$7-S$5)*(S$6-S$5)),S$7-SQRT((1-NORMSDIST(S$9*SQRT($C$11)*NORMSINV($B167)+SQRT(1-S$9^2*$C$11)*NORMSINV(R167)))*(S$7-S$5)*(S$7-S$6))))</f>
        <v>0.497306959621041</v>
      </c>
      <c r="T167" s="2" t="n">
        <v>0.733856517</v>
      </c>
      <c r="U167" s="2" t="n">
        <f aca="false">IF(U$7=U$5,U$6,IF(NORMSDIST(U$9*SQRT($C$11)*NORMSINV($B167)+SQRT(1-U$9^2*$C$11)*NORMSINV(T167))&lt;U$8,U$5+SQRT(NORMSDIST(U$9*SQRT($C$11)*NORMSINV($B167)+SQRT(1-U$9^2*$C$11)*NORMSINV(T167))*(U$7-U$5)*(U$6-U$5)),U$7-SQRT((1-NORMSDIST(U$9*SQRT($C$11)*NORMSINV($B167)+SQRT(1-U$9^2*$C$11)*NORMSINV(T167)))*(U$7-U$5)*(U$7-U$6))))</f>
        <v>0.504120069718007</v>
      </c>
      <c r="V167" s="2" t="n">
        <v>0.115703685</v>
      </c>
      <c r="W167" s="2" t="n">
        <f aca="false">IF(W$7=W$5,W$6,IF(NORMSDIST(W$9*SQRT($C$11)*NORMSINV($B167)+SQRT(1-W$9^2*$C$11)*NORMSINV(V167))&lt;W$8,W$5+SQRT(NORMSDIST(W$9*SQRT($C$11)*NORMSINV($B167)+SQRT(1-W$9^2*$C$11)*NORMSINV(V167))*(W$7-W$5)*(W$6-W$5)),W$7-SQRT((1-NORMSDIST(W$9*SQRT($C$11)*NORMSINV($B167)+SQRT(1-W$9^2*$C$11)*NORMSINV(V167)))*(W$7-W$5)*(W$7-W$6))))</f>
        <v>8.81111539173559</v>
      </c>
      <c r="X167" s="2" t="n">
        <v>0.349480203</v>
      </c>
      <c r="Y167" s="2" t="n">
        <f aca="false">IF(Y$7=Y$5,Y$6,IF(NORMSDIST(Y$9*SQRT($C$11)*NORMSINV($B167)+SQRT(1-Y$9^2*$C$11)*NORMSINV(X167))&lt;Y$8,Y$5+SQRT(NORMSDIST(Y$9*SQRT($C$11)*NORMSINV($B167)+SQRT(1-Y$9^2*$C$11)*NORMSINV(X167))*(Y$7-Y$5)*(Y$6-Y$5)),Y$7-SQRT((1-NORMSDIST(Y$9*SQRT($C$11)*NORMSINV($B167)+SQRT(1-Y$9^2*$C$11)*NORMSINV(X167)))*(Y$7-Y$5)*(Y$7-Y$6))))</f>
        <v>0.41801925972376</v>
      </c>
      <c r="Z167" s="2" t="n">
        <v>0.170672163</v>
      </c>
      <c r="AA167" s="2" t="n">
        <f aca="false">IF(AA$7=AA$5,AA$6,IF(NORMSDIST(AA$9*SQRT($C$11)*NORMSINV($B167)+SQRT(1-AA$9^2*$C$11)*NORMSINV(Z167))&lt;AA$8,AA$5+SQRT(NORMSDIST(AA$9*SQRT($C$11)*NORMSINV($B167)+SQRT(1-AA$9^2*$C$11)*NORMSINV(Z167))*(AA$7-AA$5)*(AA$6-AA$5)),AA$7-SQRT((1-NORMSDIST(AA$9*SQRT($C$11)*NORMSINV($B167)+SQRT(1-AA$9^2*$C$11)*NORMSINV(Z167)))*(AA$7-AA$5)*(AA$7-AA$6))))</f>
        <v>0.711018851830064</v>
      </c>
      <c r="AB167" s="2" t="n">
        <v>0.32387657</v>
      </c>
      <c r="AC167" s="2" t="n">
        <f aca="false">IF(AC$7=AC$5,AC$6,IF(NORMSDIST(AC$9*SQRT($C$11)*NORMSINV($B167)+SQRT(1-AC$9^2*$C$11)*NORMSINV(AB167))&lt;AC$8,AC$5+SQRT(NORMSDIST(AC$9*SQRT($C$11)*NORMSINV($B167)+SQRT(1-AC$9^2*$C$11)*NORMSINV(AB167))*(AC$7-AC$5)*(AC$6-AC$5)),AC$7-SQRT((1-NORMSDIST(AC$9*SQRT($C$11)*NORMSINV($B167)+SQRT(1-AC$9^2*$C$11)*NORMSINV(AB167)))*(AC$7-AC$5)*(AC$7-AC$6))))</f>
        <v>8.7371502435902</v>
      </c>
      <c r="AD167" s="2" t="n">
        <f aca="false">Entrées!$C$8*(1+E167)</f>
        <v>7431.33313186585</v>
      </c>
      <c r="AE167" s="2" t="n">
        <f aca="false">I167*Hypothèses!$J$24/12/Hypothèses!$J$19</f>
        <v>99.7418553926261</v>
      </c>
      <c r="AF167" s="2" t="n">
        <f aca="false">Entrées!$C$36*S167*1000</f>
        <v>248.65347981052</v>
      </c>
      <c r="AG167" s="2" t="n">
        <f aca="false">-AF167/W167</f>
        <v>-28.2204316656374</v>
      </c>
      <c r="AH167" s="2" t="n">
        <f aca="false">AD167+AE167+AG167</f>
        <v>7502.85455559284</v>
      </c>
      <c r="AI167" s="2" t="n">
        <f aca="false">Entrées!$C$16-M167+Hypothèses!$J$22*1000-AF167+Hypothèses!$J$23</f>
        <v>22688.4357143298</v>
      </c>
      <c r="AJ167" s="2" t="n">
        <f aca="false">AI167/AH167</f>
        <v>3.02397381506178</v>
      </c>
      <c r="AK167" s="2" t="n">
        <f aca="false">AI167/(AH167+I167*(12-Hypothèses!$J$24)/12/Hypothèses!$J$19)</f>
        <v>2.99552943513283</v>
      </c>
      <c r="AL167" s="2" t="n">
        <f aca="false">(AD167+AG167+I167/Hypothèses!$J$19)*(1+G167)</f>
        <v>8004.77399199877</v>
      </c>
      <c r="AM167" s="2" t="n">
        <f aca="false">Entrées!$C$54*K167/Hypothèses!$J$19</f>
        <v>10.0449115470381</v>
      </c>
      <c r="AN167" s="2" t="n">
        <f aca="false">Y167*1000/AC167</f>
        <v>47.8438905214465</v>
      </c>
      <c r="AO167" s="2" t="n">
        <f aca="false">(Entrées!$C$36*(1-S167)+MAX(0,Entrées!$C$30-Entrées!$C$35-Entrées!$C$36)*U167)*1000</f>
        <v>957.11461779469</v>
      </c>
      <c r="AP167" s="2" t="n">
        <f aca="false">-AO167/W167</f>
        <v>-108.625818099309</v>
      </c>
      <c r="AQ167" s="2" t="n">
        <f aca="false">AL167+AM167+AN167+AP167</f>
        <v>7954.03697596795</v>
      </c>
      <c r="AR167" s="2" t="n">
        <f aca="false">O167*AQ167-Hypothèses!$J$25/Hypothèses!$J$19</f>
        <v>1292.09305979454</v>
      </c>
      <c r="AS167" s="2" t="n">
        <f aca="false">Entrées!$C$79*(1+Q167)+Hypothèses!$J$20</f>
        <v>1459.66801044569</v>
      </c>
      <c r="AT167" s="2" t="n">
        <f aca="false">AI167-AR167+AS167+Y167*1000-AO167+Hypothèses!$J$23</f>
        <v>22316.91530691</v>
      </c>
      <c r="AU167" s="2" t="n">
        <f aca="false">AT167/AQ167</f>
        <v>2.80573441817501</v>
      </c>
      <c r="AV167" s="2" t="n">
        <f aca="false">Hypothèses!$J$26*AQ167-AT167</f>
        <v>1545.19562099387</v>
      </c>
      <c r="AW167" s="2" t="n">
        <f aca="false">IF(AC167&gt;Hypothèses!$J$26,MAX(0,AV167)/(1-Hypothèses!$J$26/AC167),0)</f>
        <v>2353.19029886738</v>
      </c>
      <c r="AX167" s="2" t="n">
        <f aca="false">AQ167-Entrées!$C$17*1000</f>
        <v>-45.9630240320521</v>
      </c>
      <c r="AY167" s="2" t="n">
        <f aca="false">AI167+(Entrées!$C$244-Entrées!$C$13)</f>
        <v>28435.4357143298</v>
      </c>
      <c r="AZ167" s="2" t="n">
        <f aca="false">AA167*AH167</f>
        <v>5334.67103156559</v>
      </c>
      <c r="BA167" s="2" t="n">
        <f aca="false">AZ167/AY167</f>
        <v>0.187606445885309</v>
      </c>
      <c r="BB167" s="2" t="n">
        <f aca="false">AZ167/(Entrées!$C$151/100)-AY167</f>
        <v>1201.62557214573</v>
      </c>
      <c r="BC167" s="2" t="n">
        <f aca="false">AT167+(Entrées!$C$244-Entrées!$C$13)</f>
        <v>28063.91530691</v>
      </c>
      <c r="BD167" s="2" t="n">
        <f aca="false">AA167*AQ167</f>
        <v>5655.4702380666</v>
      </c>
      <c r="BE167" s="2" t="n">
        <f aca="false">BD167/BC167</f>
        <v>0.201521069894125</v>
      </c>
      <c r="BF167" s="2" t="n">
        <f aca="false">BD167/(Entrées!$C$151/100)-BC167</f>
        <v>3355.36379346005</v>
      </c>
      <c r="BG167" s="2" t="n">
        <f aca="false">MIN(AV167,BF167)</f>
        <v>1545.19562099387</v>
      </c>
      <c r="BH167" s="2" t="n">
        <f aca="false">IF(AC167&gt;Hypothèses!$J$26,MAX(0,BG167)/(1-Hypothèses!$J$26/AC167),0)</f>
        <v>2353.19029886738</v>
      </c>
    </row>
    <row r="168" customFormat="false" ht="15" hidden="false" customHeight="false" outlineLevel="0" collapsed="false">
      <c r="A168" s="2" t="n">
        <v>153</v>
      </c>
      <c r="B168" s="2" t="n">
        <v>0.919981153</v>
      </c>
      <c r="C168" s="2"/>
      <c r="D168" s="2" t="n">
        <v>0.842838933</v>
      </c>
      <c r="E168" s="2" t="n">
        <f aca="false">IF(E$7=E$5,E$6,IF(NORMSDIST(E$9*SQRT($C$11)*NORMSINV($B168)+SQRT(1-E$9^2*$C$11)*NORMSINV(D168))&lt;E$8,E$5+SQRT(NORMSDIST(E$9*SQRT($C$11)*NORMSINV($B168)+SQRT(1-E$9^2*$C$11)*NORMSINV(D168))*(E$7-E$5)*(E$6-E$5)),E$7-SQRT((1-NORMSDIST(E$9*SQRT($C$11)*NORMSINV($B168)+SQRT(1-E$9^2*$C$11)*NORMSINV(D168)))*(E$7-E$5)*(E$7-E$6))))</f>
        <v>0.0584562731677243</v>
      </c>
      <c r="F168" s="2" t="n">
        <v>0.678181303</v>
      </c>
      <c r="G168" s="2" t="n">
        <f aca="false">IF(G$7=G$5,G$6,IF(NORMSDIST(G$9*SQRT($C$11)*NORMSINV($B168)+SQRT(1-G$9^2*$C$11)*NORMSINV(F168))&lt;G$8,G$5+SQRT(NORMSDIST(G$9*SQRT($C$11)*NORMSINV($B168)+SQRT(1-G$9^2*$C$11)*NORMSINV(F168))*(G$7-G$5)*(G$6-G$5)),G$7-SQRT((1-NORMSDIST(G$9*SQRT($C$11)*NORMSINV($B168)+SQRT(1-G$9^2*$C$11)*NORMSINV(F168)))*(G$7-G$5)*(G$7-G$6))))</f>
        <v>0.063086462640146</v>
      </c>
      <c r="H168" s="2" t="n">
        <v>0.236203807</v>
      </c>
      <c r="I168" s="2" t="n">
        <f aca="false">IF(I$7=I$5,I$6,IF(NORMSDIST(I$9*SQRT($C$11)*NORMSINV($B168)+SQRT(1-I$9^2*$C$11)*NORMSINV(H168))&lt;I$8,I$5+SQRT(NORMSDIST(I$9*SQRT($C$11)*NORMSINV($B168)+SQRT(1-I$9^2*$C$11)*NORMSINV(H168))*(I$7-I$5)*(I$6-I$5)),I$7-SQRT((1-NORMSDIST(I$9*SQRT($C$11)*NORMSINV($B168)+SQRT(1-I$9^2*$C$11)*NORMSINV(H168)))*(I$7-I$5)*(I$7-I$6))))</f>
        <v>202.796332508898</v>
      </c>
      <c r="J168" s="2" t="n">
        <v>0.633341493</v>
      </c>
      <c r="K168" s="2" t="n">
        <f aca="false">IF(K$7=K$5,K$6,IF(NORMSDIST(K$9*SQRT($C$11)*NORMSINV($B168)+SQRT(1-K$9^2*$C$11)*NORMSINV(J168))&lt;K$8,K$5+SQRT(NORMSDIST(K$9*SQRT($C$11)*NORMSINV($B168)+SQRT(1-K$9^2*$C$11)*NORMSINV(J168))*(K$7-K$5)*(K$6-K$5)),K$7-SQRT((1-NORMSDIST(K$9*SQRT($C$11)*NORMSINV($B168)+SQRT(1-K$9^2*$C$11)*NORMSINV(J168)))*(K$7-K$5)*(K$7-K$6))))</f>
        <v>0.375219527581767</v>
      </c>
      <c r="L168" s="2" t="n">
        <v>0.900265811</v>
      </c>
      <c r="M168" s="2" t="n">
        <f aca="false">IF(M$7=M$5,M$6,IF(NORMSDIST(M$9*SQRT($C$11)*NORMSINV($B168)+SQRT(1-M$9^2*$C$11)*NORMSINV(L168))&lt;M$8,M$5+SQRT(NORMSDIST(M$9*SQRT($C$11)*NORMSINV($B168)+SQRT(1-M$9^2*$C$11)*NORMSINV(L168))*(M$7-M$5)*(M$6-M$5)),M$7-SQRT((1-NORMSDIST(M$9*SQRT($C$11)*NORMSINV($B168)+SQRT(1-M$9^2*$C$11)*NORMSINV(L168)))*(M$7-M$5)*(M$7-M$6))))</f>
        <v>1743.12035880575</v>
      </c>
      <c r="N168" s="2" t="n">
        <v>0.450548993</v>
      </c>
      <c r="O168" s="2" t="n">
        <f aca="false">IF(O$7=O$5,O$6,IF(NORMSDIST(O$9*SQRT($C$11)*NORMSINV($B168)+SQRT(1-O$9^2*$C$11)*NORMSINV(N168))&lt;O$8,O$5+SQRT(NORMSDIST(O$9*SQRT($C$11)*NORMSINV($B168)+SQRT(1-O$9^2*$C$11)*NORMSINV(N168))*(O$7-O$5)*(O$6-O$5)),O$7-SQRT((1-NORMSDIST(O$9*SQRT($C$11)*NORMSINV($B168)+SQRT(1-O$9^2*$C$11)*NORMSINV(N168)))*(O$7-O$5)*(O$7-O$6))))</f>
        <v>0.174898773203712</v>
      </c>
      <c r="P168" s="2" t="n">
        <v>0.734518072</v>
      </c>
      <c r="Q168" s="2" t="n">
        <f aca="false">IF(Q$7=Q$5,Q$6,IF(NORMSDIST(Q$9*SQRT($C$11)*NORMSINV($B168)+SQRT(1-Q$9^2*$C$11)*NORMSINV(P168))&lt;Q$8,Q$5+SQRT(NORMSDIST(Q$9*SQRT($C$11)*NORMSINV($B168)+SQRT(1-Q$9^2*$C$11)*NORMSINV(P168))*(Q$7-Q$5)*(Q$6-Q$5)),Q$7-SQRT((1-NORMSDIST(Q$9*SQRT($C$11)*NORMSINV($B168)+SQRT(1-Q$9^2*$C$11)*NORMSINV(P168)))*(Q$7-Q$5)*(Q$7-Q$6))))</f>
        <v>0.0908530933099239</v>
      </c>
      <c r="R168" s="2" t="n">
        <v>0.440166827</v>
      </c>
      <c r="S168" s="2" t="n">
        <f aca="false">IF(S$7=S$5,S$6,IF(NORMSDIST(S$9*SQRT($C$11)*NORMSINV($B168)+SQRT(1-S$9^2*$C$11)*NORMSINV(R168))&lt;S$8,S$5+SQRT(NORMSDIST(S$9*SQRT($C$11)*NORMSINV($B168)+SQRT(1-S$9^2*$C$11)*NORMSINV(R168))*(S$7-S$5)*(S$6-S$5)),S$7-SQRT((1-NORMSDIST(S$9*SQRT($C$11)*NORMSINV($B168)+SQRT(1-S$9^2*$C$11)*NORMSINV(R168)))*(S$7-S$5)*(S$7-S$6))))</f>
        <v>0.668283790132554</v>
      </c>
      <c r="T168" s="2" t="n">
        <v>0.861688111</v>
      </c>
      <c r="U168" s="2" t="n">
        <f aca="false">IF(U$7=U$5,U$6,IF(NORMSDIST(U$9*SQRT($C$11)*NORMSINV($B168)+SQRT(1-U$9^2*$C$11)*NORMSINV(T168))&lt;U$8,U$5+SQRT(NORMSDIST(U$9*SQRT($C$11)*NORMSINV($B168)+SQRT(1-U$9^2*$C$11)*NORMSINV(T168))*(U$7-U$5)*(U$6-U$5)),U$7-SQRT((1-NORMSDIST(U$9*SQRT($C$11)*NORMSINV($B168)+SQRT(1-U$9^2*$C$11)*NORMSINV(T168)))*(U$7-U$5)*(U$7-U$6))))</f>
        <v>0.855602499039804</v>
      </c>
      <c r="V168" s="2" t="n">
        <v>0.315425366</v>
      </c>
      <c r="W168" s="2" t="n">
        <f aca="false">IF(W$7=W$5,W$6,IF(NORMSDIST(W$9*SQRT($C$11)*NORMSINV($B168)+SQRT(1-W$9^2*$C$11)*NORMSINV(V168))&lt;W$8,W$5+SQRT(NORMSDIST(W$9*SQRT($C$11)*NORMSINV($B168)+SQRT(1-W$9^2*$C$11)*NORMSINV(V168))*(W$7-W$5)*(W$6-W$5)),W$7-SQRT((1-NORMSDIST(W$9*SQRT($C$11)*NORMSINV($B168)+SQRT(1-W$9^2*$C$11)*NORMSINV(V168)))*(W$7-W$5)*(W$7-W$6))))</f>
        <v>10.443579570003</v>
      </c>
      <c r="X168" s="2" t="n">
        <v>0.201292261</v>
      </c>
      <c r="Y168" s="2" t="n">
        <f aca="false">IF(Y$7=Y$5,Y$6,IF(NORMSDIST(Y$9*SQRT($C$11)*NORMSINV($B168)+SQRT(1-Y$9^2*$C$11)*NORMSINV(X168))&lt;Y$8,Y$5+SQRT(NORMSDIST(Y$9*SQRT($C$11)*NORMSINV($B168)+SQRT(1-Y$9^2*$C$11)*NORMSINV(X168))*(Y$7-Y$5)*(Y$6-Y$5)),Y$7-SQRT((1-NORMSDIST(Y$9*SQRT($C$11)*NORMSINV($B168)+SQRT(1-Y$9^2*$C$11)*NORMSINV(X168)))*(Y$7-Y$5)*(Y$7-Y$6))))</f>
        <v>0.317247743096779</v>
      </c>
      <c r="Z168" s="2" t="n">
        <v>0.77804654</v>
      </c>
      <c r="AA168" s="2" t="n">
        <f aca="false">IF(AA$7=AA$5,AA$6,IF(NORMSDIST(AA$9*SQRT($C$11)*NORMSINV($B168)+SQRT(1-AA$9^2*$C$11)*NORMSINV(Z168))&lt;AA$8,AA$5+SQRT(NORMSDIST(AA$9*SQRT($C$11)*NORMSINV($B168)+SQRT(1-AA$9^2*$C$11)*NORMSINV(Z168))*(AA$7-AA$5)*(AA$6-AA$5)),AA$7-SQRT((1-NORMSDIST(AA$9*SQRT($C$11)*NORMSINV($B168)+SQRT(1-AA$9^2*$C$11)*NORMSINV(Z168)))*(AA$7-AA$5)*(AA$7-AA$6))))</f>
        <v>0.744438465663303</v>
      </c>
      <c r="AB168" s="2" t="n">
        <v>0.932999596</v>
      </c>
      <c r="AC168" s="2" t="n">
        <f aca="false">IF(AC$7=AC$5,AC$6,IF(NORMSDIST(AC$9*SQRT($C$11)*NORMSINV($B168)+SQRT(1-AC$9^2*$C$11)*NORMSINV(AB168))&lt;AC$8,AC$5+SQRT(NORMSDIST(AC$9*SQRT($C$11)*NORMSINV($B168)+SQRT(1-AC$9^2*$C$11)*NORMSINV(AB168))*(AC$7-AC$5)*(AC$6-AC$5)),AC$7-SQRT((1-NORMSDIST(AC$9*SQRT($C$11)*NORMSINV($B168)+SQRT(1-AC$9^2*$C$11)*NORMSINV(AB168)))*(AC$7-AC$5)*(AC$7-AC$6))))</f>
        <v>10.7044774597095</v>
      </c>
      <c r="AD168" s="2" t="n">
        <f aca="false">Entrées!$C$8*(1+E168)</f>
        <v>7462.11672583246</v>
      </c>
      <c r="AE168" s="2" t="n">
        <f aca="false">I168*Hypothèses!$J$24/12/Hypothèses!$J$19</f>
        <v>100.606611482752</v>
      </c>
      <c r="AF168" s="2" t="n">
        <f aca="false">Entrées!$C$36*S168*1000</f>
        <v>334.141895066277</v>
      </c>
      <c r="AG168" s="2" t="n">
        <f aca="false">-AF168/W168</f>
        <v>-31.9949585126951</v>
      </c>
      <c r="AH168" s="2" t="n">
        <f aca="false">AD168+AE168+AG168</f>
        <v>7530.72837880251</v>
      </c>
      <c r="AI168" s="2" t="n">
        <f aca="false">Entrées!$C$16-M168+Hypothèses!$J$22*1000-AF168+Hypothèses!$J$23</f>
        <v>22470.737746128</v>
      </c>
      <c r="AJ168" s="2" t="n">
        <f aca="false">AI168/AH168</f>
        <v>2.98387308847556</v>
      </c>
      <c r="AK168" s="2" t="n">
        <f aca="false">AI168/(AH168+I168*(12-Hypothèses!$J$24)/12/Hypothèses!$J$19)</f>
        <v>2.95566866350932</v>
      </c>
      <c r="AL168" s="2" t="n">
        <f aca="false">(AD168+AG168+I168/Hypothèses!$J$19)*(1+G168)</f>
        <v>8082.21076955307</v>
      </c>
      <c r="AM168" s="2" t="n">
        <f aca="false">Entrées!$C$54*K168/Hypothèses!$J$19</f>
        <v>38.292728234708</v>
      </c>
      <c r="AN168" s="2" t="n">
        <f aca="false">Y168*1000/AC168</f>
        <v>29.6369200916967</v>
      </c>
      <c r="AO168" s="2" t="n">
        <f aca="false">(Entrées!$C$36*(1-S168)+MAX(0,Entrées!$C$30-Entrées!$C$35-Entrées!$C$36)*U168)*1000</f>
        <v>1363.70160358945</v>
      </c>
      <c r="AP168" s="2" t="n">
        <f aca="false">-AO168/W168</f>
        <v>-130.577987599807</v>
      </c>
      <c r="AQ168" s="2" t="n">
        <f aca="false">AL168+AM168+AN168+AP168</f>
        <v>8019.56243027967</v>
      </c>
      <c r="AR168" s="2" t="n">
        <f aca="false">O168*AQ168-Hypothèses!$J$25/Hypothèses!$J$19</f>
        <v>1383.47646842487</v>
      </c>
      <c r="AS168" s="2" t="n">
        <f aca="false">Entrées!$C$79*(1+Q168)+Hypothèses!$J$20</f>
        <v>1493.84754954761</v>
      </c>
      <c r="AT168" s="2" t="n">
        <f aca="false">AI168-AR168+AS168+Y168*1000-AO168+Hypothèses!$J$23</f>
        <v>21534.654966758</v>
      </c>
      <c r="AU168" s="2" t="n">
        <f aca="false">AT168/AQ168</f>
        <v>2.68526558075651</v>
      </c>
      <c r="AV168" s="2" t="n">
        <f aca="false">Hypothèses!$J$26*AQ168-AT168</f>
        <v>2524.03232408098</v>
      </c>
      <c r="AW168" s="2" t="n">
        <f aca="false">IF(AC168&gt;Hypothèses!$J$26,MAX(0,AV168)/(1-Hypothèses!$J$26/AC168),0)</f>
        <v>3506.85004427565</v>
      </c>
      <c r="AX168" s="2" t="n">
        <f aca="false">AQ168-Entrées!$C$17*1000</f>
        <v>19.5624302796723</v>
      </c>
      <c r="AY168" s="2" t="n">
        <f aca="false">AI168+(Entrées!$C$244-Entrées!$C$13)</f>
        <v>28217.737746128</v>
      </c>
      <c r="AZ168" s="2" t="n">
        <f aca="false">AA168*AH168</f>
        <v>5606.16387964284</v>
      </c>
      <c r="BA168" s="2" t="n">
        <f aca="false">AZ168/AY168</f>
        <v>0.198675171272797</v>
      </c>
      <c r="BB168" s="2" t="n">
        <f aca="false">AZ168/(Entrées!$C$151/100)-AY168</f>
        <v>2927.61714077668</v>
      </c>
      <c r="BC168" s="2" t="n">
        <f aca="false">AT168+(Entrées!$C$244-Entrées!$C$13)</f>
        <v>27281.654966758</v>
      </c>
      <c r="BD168" s="2" t="n">
        <f aca="false">AA168*AQ168</f>
        <v>5970.07075088847</v>
      </c>
      <c r="BE168" s="2" t="n">
        <f aca="false">BD168/BC168</f>
        <v>0.218830960151165</v>
      </c>
      <c r="BF168" s="2" t="n">
        <f aca="false">BD168/(Entrées!$C$151/100)-BC168</f>
        <v>5885.40476040014</v>
      </c>
      <c r="BG168" s="2" t="n">
        <f aca="false">MIN(AV168,BF168)</f>
        <v>2524.03232408098</v>
      </c>
      <c r="BH168" s="2" t="n">
        <f aca="false">IF(AC168&gt;Hypothèses!$J$26,MAX(0,BG168)/(1-Hypothèses!$J$26/AC168),0)</f>
        <v>3506.85004427565</v>
      </c>
    </row>
    <row r="169" customFormat="false" ht="15" hidden="false" customHeight="false" outlineLevel="0" collapsed="false">
      <c r="A169" s="2" t="n">
        <v>154</v>
      </c>
      <c r="B169" s="2" t="n">
        <v>0.698226208</v>
      </c>
      <c r="C169" s="2"/>
      <c r="D169" s="2" t="n">
        <v>0.323140253</v>
      </c>
      <c r="E169" s="2" t="n">
        <f aca="false">IF(E$7=E$5,E$6,IF(NORMSDIST(E$9*SQRT($C$11)*NORMSINV($B169)+SQRT(1-E$9^2*$C$11)*NORMSINV(D169))&lt;E$8,E$5+SQRT(NORMSDIST(E$9*SQRT($C$11)*NORMSINV($B169)+SQRT(1-E$9^2*$C$11)*NORMSINV(D169))*(E$7-E$5)*(E$6-E$5)),E$7-SQRT((1-NORMSDIST(E$9*SQRT($C$11)*NORMSINV($B169)+SQRT(1-E$9^2*$C$11)*NORMSINV(D169)))*(E$7-E$5)*(E$7-E$6))))</f>
        <v>0.0549457510972565</v>
      </c>
      <c r="F169" s="2" t="n">
        <v>0.971732527</v>
      </c>
      <c r="G169" s="2" t="n">
        <f aca="false">IF(G$7=G$5,G$6,IF(NORMSDIST(G$9*SQRT($C$11)*NORMSINV($B169)+SQRT(1-G$9^2*$C$11)*NORMSINV(F169))&lt;G$8,G$5+SQRT(NORMSDIST(G$9*SQRT($C$11)*NORMSINV($B169)+SQRT(1-G$9^2*$C$11)*NORMSINV(F169))*(G$7-G$5)*(G$6-G$5)),G$7-SQRT((1-NORMSDIST(G$9*SQRT($C$11)*NORMSINV($B169)+SQRT(1-G$9^2*$C$11)*NORMSINV(F169)))*(G$7-G$5)*(G$7-G$6))))</f>
        <v>0.0660032594329222</v>
      </c>
      <c r="H169" s="2" t="n">
        <v>0.47377556</v>
      </c>
      <c r="I169" s="2" t="n">
        <f aca="false">IF(I$7=I$5,I$6,IF(NORMSDIST(I$9*SQRT($C$11)*NORMSINV($B169)+SQRT(1-I$9^2*$C$11)*NORMSINV(H169))&lt;I$8,I$5+SQRT(NORMSDIST(I$9*SQRT($C$11)*NORMSINV($B169)+SQRT(1-I$9^2*$C$11)*NORMSINV(H169))*(I$7-I$5)*(I$6-I$5)),I$7-SQRT((1-NORMSDIST(I$9*SQRT($C$11)*NORMSINV($B169)+SQRT(1-I$9^2*$C$11)*NORMSINV(H169)))*(I$7-I$5)*(I$7-I$6))))</f>
        <v>202.320528598251</v>
      </c>
      <c r="J169" s="2" t="n">
        <v>0.256529219</v>
      </c>
      <c r="K169" s="2" t="n">
        <f aca="false">IF(K$7=K$5,K$6,IF(NORMSDIST(K$9*SQRT($C$11)*NORMSINV($B169)+SQRT(1-K$9^2*$C$11)*NORMSINV(J169))&lt;K$8,K$5+SQRT(NORMSDIST(K$9*SQRT($C$11)*NORMSINV($B169)+SQRT(1-K$9^2*$C$11)*NORMSINV(J169))*(K$7-K$5)*(K$6-K$5)),K$7-SQRT((1-NORMSDIST(K$9*SQRT($C$11)*NORMSINV($B169)+SQRT(1-K$9^2*$C$11)*NORMSINV(J169)))*(K$7-K$5)*(K$7-K$6))))</f>
        <v>0.231645741382767</v>
      </c>
      <c r="L169" s="2" t="n">
        <v>0.576755545</v>
      </c>
      <c r="M169" s="2" t="n">
        <f aca="false">IF(M$7=M$5,M$6,IF(NORMSDIST(M$9*SQRT($C$11)*NORMSINV($B169)+SQRT(1-M$9^2*$C$11)*NORMSINV(L169))&lt;M$8,M$5+SQRT(NORMSDIST(M$9*SQRT($C$11)*NORMSINV($B169)+SQRT(1-M$9^2*$C$11)*NORMSINV(L169))*(M$7-M$5)*(M$6-M$5)),M$7-SQRT((1-NORMSDIST(M$9*SQRT($C$11)*NORMSINV($B169)+SQRT(1-M$9^2*$C$11)*NORMSINV(L169)))*(M$7-M$5)*(M$7-M$6))))</f>
        <v>1633.2460666104</v>
      </c>
      <c r="N169" s="2" t="n">
        <v>0.789151564</v>
      </c>
      <c r="O169" s="2" t="n">
        <f aca="false">IF(O$7=O$5,O$6,IF(NORMSDIST(O$9*SQRT($C$11)*NORMSINV($B169)+SQRT(1-O$9^2*$C$11)*NORMSINV(N169))&lt;O$8,O$5+SQRT(NORMSDIST(O$9*SQRT($C$11)*NORMSINV($B169)+SQRT(1-O$9^2*$C$11)*NORMSINV(N169))*(O$7-O$5)*(O$6-O$5)),O$7-SQRT((1-NORMSDIST(O$9*SQRT($C$11)*NORMSINV($B169)+SQRT(1-O$9^2*$C$11)*NORMSINV(N169)))*(O$7-O$5)*(O$7-O$6))))</f>
        <v>0.176509766837494</v>
      </c>
      <c r="P169" s="2" t="n">
        <v>0.412410176</v>
      </c>
      <c r="Q169" s="2" t="n">
        <f aca="false">IF(Q$7=Q$5,Q$6,IF(NORMSDIST(Q$9*SQRT($C$11)*NORMSINV($B169)+SQRT(1-Q$9^2*$C$11)*NORMSINV(P169))&lt;Q$8,Q$5+SQRT(NORMSDIST(Q$9*SQRT($C$11)*NORMSINV($B169)+SQRT(1-Q$9^2*$C$11)*NORMSINV(P169))*(Q$7-Q$5)*(Q$6-Q$5)),Q$7-SQRT((1-NORMSDIST(Q$9*SQRT($C$11)*NORMSINV($B169)+SQRT(1-Q$9^2*$C$11)*NORMSINV(P169)))*(Q$7-Q$5)*(Q$7-Q$6))))</f>
        <v>0.0763278483150324</v>
      </c>
      <c r="R169" s="2" t="n">
        <v>0.100263859</v>
      </c>
      <c r="S169" s="2" t="n">
        <f aca="false">IF(S$7=S$5,S$6,IF(NORMSDIST(S$9*SQRT($C$11)*NORMSINV($B169)+SQRT(1-S$9^2*$C$11)*NORMSINV(R169))&lt;S$8,S$5+SQRT(NORMSDIST(S$9*SQRT($C$11)*NORMSINV($B169)+SQRT(1-S$9^2*$C$11)*NORMSINV(R169))*(S$7-S$5)*(S$6-S$5)),S$7-SQRT((1-NORMSDIST(S$9*SQRT($C$11)*NORMSINV($B169)+SQRT(1-S$9^2*$C$11)*NORMSINV(R169)))*(S$7-S$5)*(S$7-S$6))))</f>
        <v>0.356116742930946</v>
      </c>
      <c r="T169" s="2" t="n">
        <v>0.082608608</v>
      </c>
      <c r="U169" s="2" t="n">
        <f aca="false">IF(U$7=U$5,U$6,IF(NORMSDIST(U$9*SQRT($C$11)*NORMSINV($B169)+SQRT(1-U$9^2*$C$11)*NORMSINV(T169))&lt;U$8,U$5+SQRT(NORMSDIST(U$9*SQRT($C$11)*NORMSINV($B169)+SQRT(1-U$9^2*$C$11)*NORMSINV(T169))*(U$7-U$5)*(U$6-U$5)),U$7-SQRT((1-NORMSDIST(U$9*SQRT($C$11)*NORMSINV($B169)+SQRT(1-U$9^2*$C$11)*NORMSINV(T169)))*(U$7-U$5)*(U$7-U$6))))</f>
        <v>0.33740418121344</v>
      </c>
      <c r="V169" s="2" t="n">
        <v>0.643669971</v>
      </c>
      <c r="W169" s="2" t="n">
        <f aca="false">IF(W$7=W$5,W$6,IF(NORMSDIST(W$9*SQRT($C$11)*NORMSINV($B169)+SQRT(1-W$9^2*$C$11)*NORMSINV(V169))&lt;W$8,W$5+SQRT(NORMSDIST(W$9*SQRT($C$11)*NORMSINV($B169)+SQRT(1-W$9^2*$C$11)*NORMSINV(V169))*(W$7-W$5)*(W$6-W$5)),W$7-SQRT((1-NORMSDIST(W$9*SQRT($C$11)*NORMSINV($B169)+SQRT(1-W$9^2*$C$11)*NORMSINV(V169)))*(W$7-W$5)*(W$7-W$6))))</f>
        <v>10.5311140925841</v>
      </c>
      <c r="X169" s="2" t="n">
        <v>0.74457435</v>
      </c>
      <c r="Y169" s="2" t="n">
        <f aca="false">IF(Y$7=Y$5,Y$6,IF(NORMSDIST(Y$9*SQRT($C$11)*NORMSINV($B169)+SQRT(1-Y$9^2*$C$11)*NORMSINV(X169))&lt;Y$8,Y$5+SQRT(NORMSDIST(Y$9*SQRT($C$11)*NORMSINV($B169)+SQRT(1-Y$9^2*$C$11)*NORMSINV(X169))*(Y$7-Y$5)*(Y$6-Y$5)),Y$7-SQRT((1-NORMSDIST(Y$9*SQRT($C$11)*NORMSINV($B169)+SQRT(1-Y$9^2*$C$11)*NORMSINV(X169)))*(Y$7-Y$5)*(Y$7-Y$6))))</f>
        <v>0.642630688222953</v>
      </c>
      <c r="Z169" s="2" t="n">
        <v>0.189324962</v>
      </c>
      <c r="AA169" s="2" t="n">
        <f aca="false">IF(AA$7=AA$5,AA$6,IF(NORMSDIST(AA$9*SQRT($C$11)*NORMSINV($B169)+SQRT(1-AA$9^2*$C$11)*NORMSINV(Z169))&lt;AA$8,AA$5+SQRT(NORMSDIST(AA$9*SQRT($C$11)*NORMSINV($B169)+SQRT(1-AA$9^2*$C$11)*NORMSINV(Z169))*(AA$7-AA$5)*(AA$6-AA$5)),AA$7-SQRT((1-NORMSDIST(AA$9*SQRT($C$11)*NORMSINV($B169)+SQRT(1-AA$9^2*$C$11)*NORMSINV(Z169)))*(AA$7-AA$5)*(AA$7-AA$6))))</f>
        <v>0.723164804000733</v>
      </c>
      <c r="AB169" s="2" t="n">
        <v>0.504075671</v>
      </c>
      <c r="AC169" s="2" t="n">
        <f aca="false">IF(AC$7=AC$5,AC$6,IF(NORMSDIST(AC$9*SQRT($C$11)*NORMSINV($B169)+SQRT(1-AC$9^2*$C$11)*NORMSINV(AB169))&lt;AC$8,AC$5+SQRT(NORMSDIST(AC$9*SQRT($C$11)*NORMSINV($B169)+SQRT(1-AC$9^2*$C$11)*NORMSINV(AB169))*(AC$7-AC$5)*(AC$6-AC$5)),AC$7-SQRT((1-NORMSDIST(AC$9*SQRT($C$11)*NORMSINV($B169)+SQRT(1-AC$9^2*$C$11)*NORMSINV(AB169)))*(AC$7-AC$5)*(AC$7-AC$6))))</f>
        <v>9.73620681720464</v>
      </c>
      <c r="AD169" s="2" t="n">
        <f aca="false">Entrées!$C$8*(1+E169)</f>
        <v>7437.36754523566</v>
      </c>
      <c r="AE169" s="2" t="n">
        <f aca="false">I169*Hypothèses!$J$24/12/Hypothèses!$J$19</f>
        <v>100.370566685549</v>
      </c>
      <c r="AF169" s="2" t="n">
        <f aca="false">Entrées!$C$36*S169*1000</f>
        <v>178.058371465473</v>
      </c>
      <c r="AG169" s="2" t="n">
        <f aca="false">-AF169/W169</f>
        <v>-16.9078380406932</v>
      </c>
      <c r="AH169" s="2" t="n">
        <f aca="false">AD169+AE169+AG169</f>
        <v>7520.83027388051</v>
      </c>
      <c r="AI169" s="2" t="n">
        <f aca="false">Entrées!$C$16-M169+Hypothèses!$J$22*1000-AF169+Hypothèses!$J$23</f>
        <v>22736.6955619241</v>
      </c>
      <c r="AJ169" s="2" t="n">
        <f aca="false">AI169/AH169</f>
        <v>3.02316296657931</v>
      </c>
      <c r="AK169" s="2" t="n">
        <f aca="false">AI169/(AH169+I169*(12-Hypothèses!$J$24)/12/Hypothèses!$J$19)</f>
        <v>2.99461640846032</v>
      </c>
      <c r="AL169" s="2" t="n">
        <f aca="false">(AD169+AG169+I169/Hypothèses!$J$19)*(1+G169)</f>
        <v>8093.65483648266</v>
      </c>
      <c r="AM169" s="2" t="n">
        <f aca="false">Entrées!$C$54*K169/Hypothèses!$J$19</f>
        <v>23.6404205257274</v>
      </c>
      <c r="AN169" s="2" t="n">
        <f aca="false">Y169*1000/AC169</f>
        <v>66.0042150180474</v>
      </c>
      <c r="AO169" s="2" t="n">
        <f aca="false">(Entrées!$C$36*(1-S169)+MAX(0,Entrées!$C$30-Entrées!$C$35-Entrées!$C$36)*U169)*1000</f>
        <v>794.307482233344</v>
      </c>
      <c r="AP169" s="2" t="n">
        <f aca="false">-AO169/W169</f>
        <v>-75.4248292488532</v>
      </c>
      <c r="AQ169" s="2" t="n">
        <f aca="false">AL169+AM169+AN169+AP169</f>
        <v>8107.87464277758</v>
      </c>
      <c r="AR169" s="2" t="n">
        <f aca="false">O169*AQ169-Hypothèses!$J$25/Hypothèses!$J$19</f>
        <v>1411.98390048267</v>
      </c>
      <c r="AS169" s="2" t="n">
        <f aca="false">Entrées!$C$79*(1+Q169)+Hypothèses!$J$20</f>
        <v>1477.88430529822</v>
      </c>
      <c r="AT169" s="2" t="n">
        <f aca="false">AI169-AR169+AS169+Y169*1000-AO169+Hypothèses!$J$23</f>
        <v>22650.9191727293</v>
      </c>
      <c r="AU169" s="2" t="n">
        <f aca="false">AT169/AQ169</f>
        <v>2.79369380641652</v>
      </c>
      <c r="AV169" s="2" t="n">
        <f aca="false">Hypothèses!$J$26*AQ169-AT169</f>
        <v>1672.70475560346</v>
      </c>
      <c r="AW169" s="2" t="n">
        <f aca="false">IF(AC169&gt;Hypothèses!$J$26,MAX(0,AV169)/(1-Hypothèses!$J$26/AC169),0)</f>
        <v>2417.65134097162</v>
      </c>
      <c r="AX169" s="2" t="n">
        <f aca="false">AQ169-Entrées!$C$17*1000</f>
        <v>107.874642777579</v>
      </c>
      <c r="AY169" s="2" t="n">
        <f aca="false">AI169+(Entrées!$C$244-Entrées!$C$13)</f>
        <v>28483.6955619241</v>
      </c>
      <c r="AZ169" s="2" t="n">
        <f aca="false">AA169*AH169</f>
        <v>5438.79975093358</v>
      </c>
      <c r="BA169" s="2" t="n">
        <f aca="false">AZ169/AY169</f>
        <v>0.190944315463193</v>
      </c>
      <c r="BB169" s="2" t="n">
        <f aca="false">AZ169/(Entrées!$C$151/100)-AY169</f>
        <v>1731.8586099291</v>
      </c>
      <c r="BC169" s="2" t="n">
        <f aca="false">AT169+(Entrées!$C$244-Entrées!$C$13)</f>
        <v>28397.9191727293</v>
      </c>
      <c r="BD169" s="2" t="n">
        <f aca="false">AA169*AQ169</f>
        <v>5863.32957690676</v>
      </c>
      <c r="BE169" s="2" t="n">
        <f aca="false">BD169/BC169</f>
        <v>0.206470394582197</v>
      </c>
      <c r="BF169" s="2" t="n">
        <f aca="false">BD169/(Entrées!$C$151/100)-BC169</f>
        <v>4176.13403230828</v>
      </c>
      <c r="BG169" s="2" t="n">
        <f aca="false">MIN(AV169,BF169)</f>
        <v>1672.70475560346</v>
      </c>
      <c r="BH169" s="2" t="n">
        <f aca="false">IF(AC169&gt;Hypothèses!$J$26,MAX(0,BG169)/(1-Hypothèses!$J$26/AC169),0)</f>
        <v>2417.65134097162</v>
      </c>
    </row>
    <row r="170" customFormat="false" ht="15" hidden="false" customHeight="false" outlineLevel="0" collapsed="false">
      <c r="A170" s="2" t="n">
        <v>155</v>
      </c>
      <c r="B170" s="2" t="n">
        <v>0.515716898</v>
      </c>
      <c r="C170" s="2"/>
      <c r="D170" s="2" t="n">
        <v>0.979001526</v>
      </c>
      <c r="E170" s="2" t="n">
        <f aca="false">IF(E$7=E$5,E$6,IF(NORMSDIST(E$9*SQRT($C$11)*NORMSINV($B170)+SQRT(1-E$9^2*$C$11)*NORMSINV(D170))&lt;E$8,E$5+SQRT(NORMSDIST(E$9*SQRT($C$11)*NORMSINV($B170)+SQRT(1-E$9^2*$C$11)*NORMSINV(D170))*(E$7-E$5)*(E$6-E$5)),E$7-SQRT((1-NORMSDIST(E$9*SQRT($C$11)*NORMSINV($B170)+SQRT(1-E$9^2*$C$11)*NORMSINV(D170)))*(E$7-E$5)*(E$7-E$6))))</f>
        <v>0.0583448908733796</v>
      </c>
      <c r="F170" s="2" t="n">
        <v>0.402471421</v>
      </c>
      <c r="G170" s="2" t="n">
        <f aca="false">IF(G$7=G$5,G$6,IF(NORMSDIST(G$9*SQRT($C$11)*NORMSINV($B170)+SQRT(1-G$9^2*$C$11)*NORMSINV(F170))&lt;G$8,G$5+SQRT(NORMSDIST(G$9*SQRT($C$11)*NORMSINV($B170)+SQRT(1-G$9^2*$C$11)*NORMSINV(F170))*(G$7-G$5)*(G$6-G$5)),G$7-SQRT((1-NORMSDIST(G$9*SQRT($C$11)*NORMSINV($B170)+SQRT(1-G$9^2*$C$11)*NORMSINV(F170)))*(G$7-G$5)*(G$7-G$6))))</f>
        <v>0.0539739110882858</v>
      </c>
      <c r="H170" s="2" t="n">
        <v>0.015759012</v>
      </c>
      <c r="I170" s="2" t="n">
        <f aca="false">IF(I$7=I$5,I$6,IF(NORMSDIST(I$9*SQRT($C$11)*NORMSINV($B170)+SQRT(1-I$9^2*$C$11)*NORMSINV(H170))&lt;I$8,I$5+SQRT(NORMSDIST(I$9*SQRT($C$11)*NORMSINV($B170)+SQRT(1-I$9^2*$C$11)*NORMSINV(H170))*(I$7-I$5)*(I$6-I$5)),I$7-SQRT((1-NORMSDIST(I$9*SQRT($C$11)*NORMSINV($B170)+SQRT(1-I$9^2*$C$11)*NORMSINV(H170)))*(I$7-I$5)*(I$7-I$6))))</f>
        <v>186.350870669287</v>
      </c>
      <c r="J170" s="2" t="n">
        <v>0.68800727</v>
      </c>
      <c r="K170" s="2" t="n">
        <f aca="false">IF(K$7=K$5,K$6,IF(NORMSDIST(K$9*SQRT($C$11)*NORMSINV($B170)+SQRT(1-K$9^2*$C$11)*NORMSINV(J170))&lt;K$8,K$5+SQRT(NORMSDIST(K$9*SQRT($C$11)*NORMSINV($B170)+SQRT(1-K$9^2*$C$11)*NORMSINV(J170))*(K$7-K$5)*(K$6-K$5)),K$7-SQRT((1-NORMSDIST(K$9*SQRT($C$11)*NORMSINV($B170)+SQRT(1-K$9^2*$C$11)*NORMSINV(J170)))*(K$7-K$5)*(K$7-K$6))))</f>
        <v>0.29297588136472</v>
      </c>
      <c r="L170" s="2" t="n">
        <v>0.947843861</v>
      </c>
      <c r="M170" s="2" t="n">
        <f aca="false">IF(M$7=M$5,M$6,IF(NORMSDIST(M$9*SQRT($C$11)*NORMSINV($B170)+SQRT(1-M$9^2*$C$11)*NORMSINV(L170))&lt;M$8,M$5+SQRT(NORMSDIST(M$9*SQRT($C$11)*NORMSINV($B170)+SQRT(1-M$9^2*$C$11)*NORMSINV(L170))*(M$7-M$5)*(M$6-M$5)),M$7-SQRT((1-NORMSDIST(M$9*SQRT($C$11)*NORMSINV($B170)+SQRT(1-M$9^2*$C$11)*NORMSINV(L170)))*(M$7-M$5)*(M$7-M$6))))</f>
        <v>1702.79707663872</v>
      </c>
      <c r="N170" s="2" t="n">
        <v>0.078737122</v>
      </c>
      <c r="O170" s="2" t="n">
        <f aca="false">IF(O$7=O$5,O$6,IF(NORMSDIST(O$9*SQRT($C$11)*NORMSINV($B170)+SQRT(1-O$9^2*$C$11)*NORMSINV(N170))&lt;O$8,O$5+SQRT(NORMSDIST(O$9*SQRT($C$11)*NORMSINV($B170)+SQRT(1-O$9^2*$C$11)*NORMSINV(N170))*(O$7-O$5)*(O$6-O$5)),O$7-SQRT((1-NORMSDIST(O$9*SQRT($C$11)*NORMSINV($B170)+SQRT(1-O$9^2*$C$11)*NORMSINV(N170)))*(O$7-O$5)*(O$7-O$6))))</f>
        <v>0.154288770452925</v>
      </c>
      <c r="P170" s="2" t="n">
        <v>0.206412463</v>
      </c>
      <c r="Q170" s="2" t="n">
        <f aca="false">IF(Q$7=Q$5,Q$6,IF(NORMSDIST(Q$9*SQRT($C$11)*NORMSINV($B170)+SQRT(1-Q$9^2*$C$11)*NORMSINV(P170))&lt;Q$8,Q$5+SQRT(NORMSDIST(Q$9*SQRT($C$11)*NORMSINV($B170)+SQRT(1-Q$9^2*$C$11)*NORMSINV(P170))*(Q$7-Q$5)*(Q$6-Q$5)),Q$7-SQRT((1-NORMSDIST(Q$9*SQRT($C$11)*NORMSINV($B170)+SQRT(1-Q$9^2*$C$11)*NORMSINV(P170)))*(Q$7-Q$5)*(Q$7-Q$6))))</f>
        <v>0.0657005813475104</v>
      </c>
      <c r="R170" s="2" t="n">
        <v>0.495825719</v>
      </c>
      <c r="S170" s="2" t="n">
        <f aca="false">IF(S$7=S$5,S$6,IF(NORMSDIST(S$9*SQRT($C$11)*NORMSINV($B170)+SQRT(1-S$9^2*$C$11)*NORMSINV(R170))&lt;S$8,S$5+SQRT(NORMSDIST(S$9*SQRT($C$11)*NORMSINV($B170)+SQRT(1-S$9^2*$C$11)*NORMSINV(R170))*(S$7-S$5)*(S$6-S$5)),S$7-SQRT((1-NORMSDIST(S$9*SQRT($C$11)*NORMSINV($B170)+SQRT(1-S$9^2*$C$11)*NORMSINV(R170)))*(S$7-S$5)*(S$7-S$6))))</f>
        <v>0.50336585517761</v>
      </c>
      <c r="T170" s="2" t="n">
        <v>0.194269093</v>
      </c>
      <c r="U170" s="2" t="n">
        <f aca="false">IF(U$7=U$5,U$6,IF(NORMSDIST(U$9*SQRT($C$11)*NORMSINV($B170)+SQRT(1-U$9^2*$C$11)*NORMSINV(T170))&lt;U$8,U$5+SQRT(NORMSDIST(U$9*SQRT($C$11)*NORMSINV($B170)+SQRT(1-U$9^2*$C$11)*NORMSINV(T170))*(U$7-U$5)*(U$6-U$5)),U$7-SQRT((1-NORMSDIST(U$9*SQRT($C$11)*NORMSINV($B170)+SQRT(1-U$9^2*$C$11)*NORMSINV(T170)))*(U$7-U$5)*(U$7-U$6))))</f>
        <v>0.360635145762867</v>
      </c>
      <c r="V170" s="2" t="n">
        <v>0.415099817</v>
      </c>
      <c r="W170" s="2" t="n">
        <f aca="false">IF(W$7=W$5,W$6,IF(NORMSDIST(W$9*SQRT($C$11)*NORMSINV($B170)+SQRT(1-W$9^2*$C$11)*NORMSINV(V170))&lt;W$8,W$5+SQRT(NORMSDIST(W$9*SQRT($C$11)*NORMSINV($B170)+SQRT(1-W$9^2*$C$11)*NORMSINV(V170))*(W$7-W$5)*(W$6-W$5)),W$7-SQRT((1-NORMSDIST(W$9*SQRT($C$11)*NORMSINV($B170)+SQRT(1-W$9^2*$C$11)*NORMSINV(V170)))*(W$7-W$5)*(W$7-W$6))))</f>
        <v>9.88438118422635</v>
      </c>
      <c r="X170" s="2" t="n">
        <v>0.460758701</v>
      </c>
      <c r="Y170" s="2" t="n">
        <f aca="false">IF(Y$7=Y$5,Y$6,IF(NORMSDIST(Y$9*SQRT($C$11)*NORMSINV($B170)+SQRT(1-Y$9^2*$C$11)*NORMSINV(X170))&lt;Y$8,Y$5+SQRT(NORMSDIST(Y$9*SQRT($C$11)*NORMSINV($B170)+SQRT(1-Y$9^2*$C$11)*NORMSINV(X170))*(Y$7-Y$5)*(Y$6-Y$5)),Y$7-SQRT((1-NORMSDIST(Y$9*SQRT($C$11)*NORMSINV($B170)+SQRT(1-Y$9^2*$C$11)*NORMSINV(X170)))*(Y$7-Y$5)*(Y$7-Y$6))))</f>
        <v>0.479978489622191</v>
      </c>
      <c r="Z170" s="2" t="n">
        <v>0.579116549</v>
      </c>
      <c r="AA170" s="2" t="n">
        <f aca="false">IF(AA$7=AA$5,AA$6,IF(NORMSDIST(AA$9*SQRT($C$11)*NORMSINV($B170)+SQRT(1-AA$9^2*$C$11)*NORMSINV(Z170))&lt;AA$8,AA$5+SQRT(NORMSDIST(AA$9*SQRT($C$11)*NORMSINV($B170)+SQRT(1-AA$9^2*$C$11)*NORMSINV(Z170))*(AA$7-AA$5)*(AA$6-AA$5)),AA$7-SQRT((1-NORMSDIST(AA$9*SQRT($C$11)*NORMSINV($B170)+SQRT(1-AA$9^2*$C$11)*NORMSINV(Z170)))*(AA$7-AA$5)*(AA$7-AA$6))))</f>
        <v>0.730305920618723</v>
      </c>
      <c r="AB170" s="2" t="n">
        <v>0.33798809</v>
      </c>
      <c r="AC170" s="2" t="n">
        <f aca="false">IF(AC$7=AC$5,AC$6,IF(NORMSDIST(AC$9*SQRT($C$11)*NORMSINV($B170)+SQRT(1-AC$9^2*$C$11)*NORMSINV(AB170))&lt;AC$8,AC$5+SQRT(NORMSDIST(AC$9*SQRT($C$11)*NORMSINV($B170)+SQRT(1-AC$9^2*$C$11)*NORMSINV(AB170))*(AC$7-AC$5)*(AC$6-AC$5)),AC$7-SQRT((1-NORMSDIST(AC$9*SQRT($C$11)*NORMSINV($B170)+SQRT(1-AC$9^2*$C$11)*NORMSINV(AB170)))*(AC$7-AC$5)*(AC$7-AC$6))))</f>
        <v>9.21799587292774</v>
      </c>
      <c r="AD170" s="2" t="n">
        <f aca="false">Entrées!$C$8*(1+E170)</f>
        <v>7461.33148065733</v>
      </c>
      <c r="AE170" s="2" t="n">
        <f aca="false">I170*Hypothèses!$J$24/12/Hypothèses!$J$19</f>
        <v>92.4480704998688</v>
      </c>
      <c r="AF170" s="2" t="n">
        <f aca="false">Entrées!$C$36*S170*1000</f>
        <v>251.682927588805</v>
      </c>
      <c r="AG170" s="2" t="n">
        <f aca="false">-AF170/W170</f>
        <v>-25.4626893578775</v>
      </c>
      <c r="AH170" s="2" t="n">
        <f aca="false">AD170+AE170+AG170</f>
        <v>7528.31686179932</v>
      </c>
      <c r="AI170" s="2" t="n">
        <f aca="false">Entrées!$C$16-M170+Hypothèses!$J$22*1000-AF170+Hypothèses!$J$23</f>
        <v>22593.5199957725</v>
      </c>
      <c r="AJ170" s="2" t="n">
        <f aca="false">AI170/AH170</f>
        <v>3.0011382903419</v>
      </c>
      <c r="AK170" s="2" t="n">
        <f aca="false">AI170/(AH170+I170*(12-Hypothèses!$J$24)/12/Hypothèses!$J$19)</f>
        <v>2.97504281894514</v>
      </c>
      <c r="AL170" s="2" t="n">
        <f aca="false">(AD170+AG170+I170/Hypothèses!$J$19)*(1+G170)</f>
        <v>8004.24803419774</v>
      </c>
      <c r="AM170" s="2" t="n">
        <f aca="false">Entrées!$C$54*K170/Hypothèses!$J$19</f>
        <v>29.8994188195029</v>
      </c>
      <c r="AN170" s="2" t="n">
        <f aca="false">Y170*1000/AC170</f>
        <v>52.0697227725862</v>
      </c>
      <c r="AO170" s="2" t="n">
        <f aca="false">(Entrées!$C$36*(1-S170)+MAX(0,Entrées!$C$30-Entrées!$C$35-Entrées!$C$36)*U170)*1000</f>
        <v>753.206276479208</v>
      </c>
      <c r="AP170" s="2" t="n">
        <f aca="false">-AO170/W170</f>
        <v>-76.2016622427701</v>
      </c>
      <c r="AQ170" s="2" t="n">
        <f aca="false">AL170+AM170+AN170+AP170</f>
        <v>8010.01551354706</v>
      </c>
      <c r="AR170" s="2" t="n">
        <f aca="false">O170*AQ170-Hypothèses!$J$25/Hypothèses!$J$19</f>
        <v>1216.7202826324</v>
      </c>
      <c r="AS170" s="2" t="n">
        <f aca="false">Entrées!$C$79*(1+Q170)+Hypothèses!$J$20</f>
        <v>1466.20493890091</v>
      </c>
      <c r="AT170" s="2" t="n">
        <f aca="false">AI170-AR170+AS170+Y170*1000-AO170+Hypothèses!$J$23</f>
        <v>22569.776865184</v>
      </c>
      <c r="AU170" s="2" t="n">
        <f aca="false">AT170/AQ170</f>
        <v>2.817694525936</v>
      </c>
      <c r="AV170" s="2" t="n">
        <f aca="false">Hypothèses!$J$26*AQ170-AT170</f>
        <v>1460.2696754572</v>
      </c>
      <c r="AW170" s="2" t="n">
        <f aca="false">IF(AC170&gt;Hypothèses!$J$26,MAX(0,AV170)/(1-Hypothèses!$J$26/AC170),0)</f>
        <v>2164.80681505953</v>
      </c>
      <c r="AX170" s="2" t="n">
        <f aca="false">AQ170-Entrées!$C$17*1000</f>
        <v>10.0155135470586</v>
      </c>
      <c r="AY170" s="2" t="n">
        <f aca="false">AI170+(Entrées!$C$244-Entrées!$C$13)</f>
        <v>28340.5199957725</v>
      </c>
      <c r="AZ170" s="2" t="n">
        <f aca="false">AA170*AH170</f>
        <v>5497.97437646581</v>
      </c>
      <c r="BA170" s="2" t="n">
        <f aca="false">AZ170/AY170</f>
        <v>0.19399694773723</v>
      </c>
      <c r="BB170" s="2" t="n">
        <f aca="false">AZ170/(Entrées!$C$151/100)-AY170</f>
        <v>2203.78209570424</v>
      </c>
      <c r="BC170" s="2" t="n">
        <f aca="false">AT170+(Entrées!$C$244-Entrées!$C$13)</f>
        <v>28316.776865184</v>
      </c>
      <c r="BD170" s="2" t="n">
        <f aca="false">AA170*AQ170</f>
        <v>5849.76175379124</v>
      </c>
      <c r="BE170" s="2" t="n">
        <f aca="false">BD170/BC170</f>
        <v>0.206582895420687</v>
      </c>
      <c r="BF170" s="2" t="n">
        <f aca="false">BD170/(Entrées!$C$151/100)-BC170</f>
        <v>4181.89954476737</v>
      </c>
      <c r="BG170" s="2" t="n">
        <f aca="false">MIN(AV170,BF170)</f>
        <v>1460.2696754572</v>
      </c>
      <c r="BH170" s="2" t="n">
        <f aca="false">IF(AC170&gt;Hypothèses!$J$26,MAX(0,BG170)/(1-Hypothèses!$J$26/AC170),0)</f>
        <v>2164.80681505953</v>
      </c>
    </row>
    <row r="171" customFormat="false" ht="15" hidden="false" customHeight="false" outlineLevel="0" collapsed="false">
      <c r="A171" s="2" t="n">
        <v>156</v>
      </c>
      <c r="B171" s="2" t="n">
        <v>0.121883585</v>
      </c>
      <c r="C171" s="2"/>
      <c r="D171" s="2" t="n">
        <v>0.88151043</v>
      </c>
      <c r="E171" s="2" t="n">
        <f aca="false">IF(E$7=E$5,E$6,IF(NORMSDIST(E$9*SQRT($C$11)*NORMSINV($B171)+SQRT(1-E$9^2*$C$11)*NORMSINV(D171))&lt;E$8,E$5+SQRT(NORMSDIST(E$9*SQRT($C$11)*NORMSINV($B171)+SQRT(1-E$9^2*$C$11)*NORMSINV(D171))*(E$7-E$5)*(E$6-E$5)),E$7-SQRT((1-NORMSDIST(E$9*SQRT($C$11)*NORMSINV($B171)+SQRT(1-E$9^2*$C$11)*NORMSINV(D171)))*(E$7-E$5)*(E$7-E$6))))</f>
        <v>0.0553683539768166</v>
      </c>
      <c r="F171" s="2" t="n">
        <v>0.668292216</v>
      </c>
      <c r="G171" s="2" t="n">
        <f aca="false">IF(G$7=G$5,G$6,IF(NORMSDIST(G$9*SQRT($C$11)*NORMSINV($B171)+SQRT(1-G$9^2*$C$11)*NORMSINV(F171))&lt;G$8,G$5+SQRT(NORMSDIST(G$9*SQRT($C$11)*NORMSINV($B171)+SQRT(1-G$9^2*$C$11)*NORMSINV(F171))*(G$7-G$5)*(G$6-G$5)),G$7-SQRT((1-NORMSDIST(G$9*SQRT($C$11)*NORMSINV($B171)+SQRT(1-G$9^2*$C$11)*NORMSINV(F171)))*(G$7-G$5)*(G$7-G$6))))</f>
        <v>0.0524516654506216</v>
      </c>
      <c r="H171" s="2" t="n">
        <v>0.964700629</v>
      </c>
      <c r="I171" s="2" t="n">
        <f aca="false">IF(I$7=I$5,I$6,IF(NORMSDIST(I$9*SQRT($C$11)*NORMSINV($B171)+SQRT(1-I$9^2*$C$11)*NORMSINV(H171))&lt;I$8,I$5+SQRT(NORMSDIST(I$9*SQRT($C$11)*NORMSINV($B171)+SQRT(1-I$9^2*$C$11)*NORMSINV(H171))*(I$7-I$5)*(I$6-I$5)),I$7-SQRT((1-NORMSDIST(I$9*SQRT($C$11)*NORMSINV($B171)+SQRT(1-I$9^2*$C$11)*NORMSINV(H171)))*(I$7-I$5)*(I$7-I$6))))</f>
        <v>205.757315215472</v>
      </c>
      <c r="J171" s="2" t="n">
        <v>0.571771692</v>
      </c>
      <c r="K171" s="2" t="n">
        <f aca="false">IF(K$7=K$5,K$6,IF(NORMSDIST(K$9*SQRT($C$11)*NORMSINV($B171)+SQRT(1-K$9^2*$C$11)*NORMSINV(J171))&lt;K$8,K$5+SQRT(NORMSDIST(K$9*SQRT($C$11)*NORMSINV($B171)+SQRT(1-K$9^2*$C$11)*NORMSINV(J171))*(K$7-K$5)*(K$6-K$5)),K$7-SQRT((1-NORMSDIST(K$9*SQRT($C$11)*NORMSINV($B171)+SQRT(1-K$9^2*$C$11)*NORMSINV(J171)))*(K$7-K$5)*(K$7-K$6))))</f>
        <v>0.185480319103177</v>
      </c>
      <c r="L171" s="2" t="n">
        <v>0.12038296</v>
      </c>
      <c r="M171" s="2" t="n">
        <f aca="false">IF(M$7=M$5,M$6,IF(NORMSDIST(M$9*SQRT($C$11)*NORMSINV($B171)+SQRT(1-M$9^2*$C$11)*NORMSINV(L171))&lt;M$8,M$5+SQRT(NORMSDIST(M$9*SQRT($C$11)*NORMSINV($B171)+SQRT(1-M$9^2*$C$11)*NORMSINV(L171))*(M$7-M$5)*(M$6-M$5)),M$7-SQRT((1-NORMSDIST(M$9*SQRT($C$11)*NORMSINV($B171)+SQRT(1-M$9^2*$C$11)*NORMSINV(L171)))*(M$7-M$5)*(M$7-M$6))))</f>
        <v>1392.33106432952</v>
      </c>
      <c r="N171" s="2" t="n">
        <v>0.767259808</v>
      </c>
      <c r="O171" s="2" t="n">
        <f aca="false">IF(O$7=O$5,O$6,IF(NORMSDIST(O$9*SQRT($C$11)*NORMSINV($B171)+SQRT(1-O$9^2*$C$11)*NORMSINV(N171))&lt;O$8,O$5+SQRT(NORMSDIST(O$9*SQRT($C$11)*NORMSINV($B171)+SQRT(1-O$9^2*$C$11)*NORMSINV(N171))*(O$7-O$5)*(O$6-O$5)),O$7-SQRT((1-NORMSDIST(O$9*SQRT($C$11)*NORMSINV($B171)+SQRT(1-O$9^2*$C$11)*NORMSINV(N171)))*(O$7-O$5)*(O$7-O$6))))</f>
        <v>0.164890062367465</v>
      </c>
      <c r="P171" s="2" t="n">
        <v>0.40908407</v>
      </c>
      <c r="Q171" s="2" t="n">
        <f aca="false">IF(Q$7=Q$5,Q$6,IF(NORMSDIST(Q$9*SQRT($C$11)*NORMSINV($B171)+SQRT(1-Q$9^2*$C$11)*NORMSINV(P171))&lt;Q$8,Q$5+SQRT(NORMSDIST(Q$9*SQRT($C$11)*NORMSINV($B171)+SQRT(1-Q$9^2*$C$11)*NORMSINV(P171))*(Q$7-Q$5)*(Q$6-Q$5)),Q$7-SQRT((1-NORMSDIST(Q$9*SQRT($C$11)*NORMSINV($B171)+SQRT(1-Q$9^2*$C$11)*NORMSINV(P171)))*(Q$7-Q$5)*(Q$7-Q$6))))</f>
        <v>0.0761810589120882</v>
      </c>
      <c r="R171" s="2" t="n">
        <v>0.853140426</v>
      </c>
      <c r="S171" s="2" t="n">
        <f aca="false">IF(S$7=S$5,S$6,IF(NORMSDIST(S$9*SQRT($C$11)*NORMSINV($B171)+SQRT(1-S$9^2*$C$11)*NORMSINV(R171))&lt;S$8,S$5+SQRT(NORMSDIST(S$9*SQRT($C$11)*NORMSINV($B171)+SQRT(1-S$9^2*$C$11)*NORMSINV(R171))*(S$7-S$5)*(S$6-S$5)),S$7-SQRT((1-NORMSDIST(S$9*SQRT($C$11)*NORMSINV($B171)+SQRT(1-S$9^2*$C$11)*NORMSINV(R171)))*(S$7-S$5)*(S$7-S$6))))</f>
        <v>0.515406545821091</v>
      </c>
      <c r="T171" s="2" t="n">
        <v>0.252249321</v>
      </c>
      <c r="U171" s="2" t="n">
        <f aca="false">IF(U$7=U$5,U$6,IF(NORMSDIST(U$9*SQRT($C$11)*NORMSINV($B171)+SQRT(1-U$9^2*$C$11)*NORMSINV(T171))&lt;U$8,U$5+SQRT(NORMSDIST(U$9*SQRT($C$11)*NORMSINV($B171)+SQRT(1-U$9^2*$C$11)*NORMSINV(T171))*(U$7-U$5)*(U$6-U$5)),U$7-SQRT((1-NORMSDIST(U$9*SQRT($C$11)*NORMSINV($B171)+SQRT(1-U$9^2*$C$11)*NORMSINV(T171)))*(U$7-U$5)*(U$7-U$6))))</f>
        <v>0.229004494712286</v>
      </c>
      <c r="V171" s="2" t="n">
        <v>0.565201254</v>
      </c>
      <c r="W171" s="2" t="n">
        <f aca="false">IF(W$7=W$5,W$6,IF(NORMSDIST(W$9*SQRT($C$11)*NORMSINV($B171)+SQRT(1-W$9^2*$C$11)*NORMSINV(V171))&lt;W$8,W$5+SQRT(NORMSDIST(W$9*SQRT($C$11)*NORMSINV($B171)+SQRT(1-W$9^2*$C$11)*NORMSINV(V171))*(W$7-W$5)*(W$6-W$5)),W$7-SQRT((1-NORMSDIST(W$9*SQRT($C$11)*NORMSINV($B171)+SQRT(1-W$9^2*$C$11)*NORMSINV(V171)))*(W$7-W$5)*(W$7-W$6))))</f>
        <v>9.47219022596492</v>
      </c>
      <c r="X171" s="2" t="n">
        <v>0.983026272</v>
      </c>
      <c r="Y171" s="2" t="n">
        <f aca="false">IF(Y$7=Y$5,Y$6,IF(NORMSDIST(Y$9*SQRT($C$11)*NORMSINV($B171)+SQRT(1-Y$9^2*$C$11)*NORMSINV(X171))&lt;Y$8,Y$5+SQRT(NORMSDIST(Y$9*SQRT($C$11)*NORMSINV($B171)+SQRT(1-Y$9^2*$C$11)*NORMSINV(X171))*(Y$7-Y$5)*(Y$6-Y$5)),Y$7-SQRT((1-NORMSDIST(Y$9*SQRT($C$11)*NORMSINV($B171)+SQRT(1-Y$9^2*$C$11)*NORMSINV(X171)))*(Y$7-Y$5)*(Y$7-Y$6))))</f>
        <v>0.907875822934476</v>
      </c>
      <c r="Z171" s="2" t="n">
        <v>0.33196005</v>
      </c>
      <c r="AA171" s="2" t="n">
        <f aca="false">IF(AA$7=AA$5,AA$6,IF(NORMSDIST(AA$9*SQRT($C$11)*NORMSINV($B171)+SQRT(1-AA$9^2*$C$11)*NORMSINV(Z171))&lt;AA$8,AA$5+SQRT(NORMSDIST(AA$9*SQRT($C$11)*NORMSINV($B171)+SQRT(1-AA$9^2*$C$11)*NORMSINV(Z171))*(AA$7-AA$5)*(AA$6-AA$5)),AA$7-SQRT((1-NORMSDIST(AA$9*SQRT($C$11)*NORMSINV($B171)+SQRT(1-AA$9^2*$C$11)*NORMSINV(Z171)))*(AA$7-AA$5)*(AA$7-AA$6))))</f>
        <v>0.712729642586549</v>
      </c>
      <c r="AB171" s="2" t="n">
        <v>0.747072609</v>
      </c>
      <c r="AC171" s="2" t="n">
        <f aca="false">IF(AC$7=AC$5,AC$6,IF(NORMSDIST(AC$9*SQRT($C$11)*NORMSINV($B171)+SQRT(1-AC$9^2*$C$11)*NORMSINV(AB171))&lt;AC$8,AC$5+SQRT(NORMSDIST(AC$9*SQRT($C$11)*NORMSINV($B171)+SQRT(1-AC$9^2*$C$11)*NORMSINV(AB171))*(AC$7-AC$5)*(AC$6-AC$5)),AC$7-SQRT((1-NORMSDIST(AC$9*SQRT($C$11)*NORMSINV($B171)+SQRT(1-AC$9^2*$C$11)*NORMSINV(AB171)))*(AC$7-AC$5)*(AC$7-AC$6))))</f>
        <v>9.28719506285608</v>
      </c>
      <c r="AD171" s="2" t="n">
        <f aca="false">Entrées!$C$8*(1+E171)</f>
        <v>7440.34689553656</v>
      </c>
      <c r="AE171" s="2" t="n">
        <f aca="false">I171*Hypothèses!$J$24/12/Hypothèses!$J$19</f>
        <v>102.075545526489</v>
      </c>
      <c r="AF171" s="2" t="n">
        <f aca="false">Entrées!$C$36*S171*1000</f>
        <v>257.703272910545</v>
      </c>
      <c r="AG171" s="2" t="n">
        <f aca="false">-AF171/W171</f>
        <v>-27.2063025301304</v>
      </c>
      <c r="AH171" s="2" t="n">
        <f aca="false">AD171+AE171+AG171</f>
        <v>7515.21613853292</v>
      </c>
      <c r="AI171" s="2" t="n">
        <f aca="false">Entrées!$C$16-M171+Hypothèses!$J$22*1000-AF171+Hypothèses!$J$23</f>
        <v>22897.9656627599</v>
      </c>
      <c r="AJ171" s="2" t="n">
        <f aca="false">AI171/AH171</f>
        <v>3.04688052088811</v>
      </c>
      <c r="AK171" s="2" t="n">
        <f aca="false">AI171/(AH171+I171*(12-Hypothèses!$J$24)/12/Hypothèses!$J$19)</f>
        <v>3.01760433517388</v>
      </c>
      <c r="AL171" s="2" t="n">
        <f aca="false">(AD171+AG171+I171/Hypothèses!$J$19)*(1+G171)</f>
        <v>7986.13715399974</v>
      </c>
      <c r="AM171" s="2" t="n">
        <f aca="false">Entrées!$C$54*K171/Hypothèses!$J$19</f>
        <v>18.9290453460131</v>
      </c>
      <c r="AN171" s="2" t="n">
        <f aca="false">Y171*1000/AC171</f>
        <v>97.7556535412403</v>
      </c>
      <c r="AO171" s="2" t="n">
        <f aca="false">(Entrées!$C$36*(1-S171)+MAX(0,Entrées!$C$30-Entrées!$C$35-Entrées!$C$36)*U171)*1000</f>
        <v>562.903019686655</v>
      </c>
      <c r="AP171" s="2" t="n">
        <f aca="false">-AO171/W171</f>
        <v>-59.4269124941811</v>
      </c>
      <c r="AQ171" s="2" t="n">
        <f aca="false">AL171+AM171+AN171+AP171</f>
        <v>8043.39494039281</v>
      </c>
      <c r="AR171" s="2" t="n">
        <f aca="false">O171*AQ171-Hypothèses!$J$25/Hypothèses!$J$19</f>
        <v>1307.1407311059</v>
      </c>
      <c r="AS171" s="2" t="n">
        <f aca="false">Entrées!$C$79*(1+Q171)+Hypothèses!$J$20</f>
        <v>1477.72298374439</v>
      </c>
      <c r="AT171" s="2" t="n">
        <f aca="false">AI171-AR171+AS171+Y171*1000-AO171+Hypothèses!$J$23</f>
        <v>23413.5207186462</v>
      </c>
      <c r="AU171" s="2" t="n">
        <f aca="false">AT171/AQ171</f>
        <v>2.91090029672257</v>
      </c>
      <c r="AV171" s="2" t="n">
        <f aca="false">Hypothèses!$J$26*AQ171-AT171</f>
        <v>716.664102532192</v>
      </c>
      <c r="AW171" s="2" t="n">
        <f aca="false">IF(AC171&gt;Hypothèses!$J$26,MAX(0,AV171)/(1-Hypothèses!$J$26/AC171),0)</f>
        <v>1058.62777410625</v>
      </c>
      <c r="AX171" s="2" t="n">
        <f aca="false">AQ171-Entrées!$C$17*1000</f>
        <v>43.39494039281</v>
      </c>
      <c r="AY171" s="2" t="n">
        <f aca="false">AI171+(Entrées!$C$244-Entrées!$C$13)</f>
        <v>28644.9656627599</v>
      </c>
      <c r="AZ171" s="2" t="n">
        <f aca="false">AA171*AH171</f>
        <v>5356.31731237723</v>
      </c>
      <c r="BA171" s="2" t="n">
        <f aca="false">AZ171/AY171</f>
        <v>0.186989831841228</v>
      </c>
      <c r="BB171" s="2" t="n">
        <f aca="false">AZ171/(Entrées!$C$151/100)-AY171</f>
        <v>1112.35273933578</v>
      </c>
      <c r="BC171" s="2" t="n">
        <f aca="false">AT171+(Entrées!$C$244-Entrées!$C$13)</f>
        <v>29160.5207186462</v>
      </c>
      <c r="BD171" s="2" t="n">
        <f aca="false">AA171*AQ171</f>
        <v>5732.76600104862</v>
      </c>
      <c r="BE171" s="2" t="n">
        <f aca="false">BD171/BC171</f>
        <v>0.196593402990328</v>
      </c>
      <c r="BF171" s="2" t="n">
        <f aca="false">BD171/(Entrées!$C$151/100)-BC171</f>
        <v>2688.17928717944</v>
      </c>
      <c r="BG171" s="2" t="n">
        <f aca="false">MIN(AV171,BF171)</f>
        <v>716.664102532192</v>
      </c>
      <c r="BH171" s="2" t="n">
        <f aca="false">IF(AC171&gt;Hypothèses!$J$26,MAX(0,BG171)/(1-Hypothèses!$J$26/AC171),0)</f>
        <v>1058.62777410625</v>
      </c>
    </row>
    <row r="172" customFormat="false" ht="15" hidden="false" customHeight="false" outlineLevel="0" collapsed="false">
      <c r="A172" s="2" t="n">
        <v>157</v>
      </c>
      <c r="B172" s="2" t="n">
        <v>0.281830829</v>
      </c>
      <c r="C172" s="2"/>
      <c r="D172" s="2" t="n">
        <v>0.915317014</v>
      </c>
      <c r="E172" s="2" t="n">
        <f aca="false">IF(E$7=E$5,E$6,IF(NORMSDIST(E$9*SQRT($C$11)*NORMSINV($B172)+SQRT(1-E$9^2*$C$11)*NORMSINV(D172))&lt;E$8,E$5+SQRT(NORMSDIST(E$9*SQRT($C$11)*NORMSINV($B172)+SQRT(1-E$9^2*$C$11)*NORMSINV(D172))*(E$7-E$5)*(E$6-E$5)),E$7-SQRT((1-NORMSDIST(E$9*SQRT($C$11)*NORMSINV($B172)+SQRT(1-E$9^2*$C$11)*NORMSINV(D172)))*(E$7-E$5)*(E$7-E$6))))</f>
        <v>0.0565201798154466</v>
      </c>
      <c r="F172" s="2" t="n">
        <v>0.445182376</v>
      </c>
      <c r="G172" s="2" t="n">
        <f aca="false">IF(G$7=G$5,G$6,IF(NORMSDIST(G$9*SQRT($C$11)*NORMSINV($B172)+SQRT(1-G$9^2*$C$11)*NORMSINV(F172))&lt;G$8,G$5+SQRT(NORMSDIST(G$9*SQRT($C$11)*NORMSINV($B172)+SQRT(1-G$9^2*$C$11)*NORMSINV(F172))*(G$7-G$5)*(G$6-G$5)),G$7-SQRT((1-NORMSDIST(G$9*SQRT($C$11)*NORMSINV($B172)+SQRT(1-G$9^2*$C$11)*NORMSINV(F172)))*(G$7-G$5)*(G$7-G$6))))</f>
        <v>0.0519714260551278</v>
      </c>
      <c r="H172" s="2" t="n">
        <v>0.228503133</v>
      </c>
      <c r="I172" s="2" t="n">
        <f aca="false">IF(I$7=I$5,I$6,IF(NORMSDIST(I$9*SQRT($C$11)*NORMSINV($B172)+SQRT(1-I$9^2*$C$11)*NORMSINV(H172))&lt;I$8,I$5+SQRT(NORMSDIST(I$9*SQRT($C$11)*NORMSINV($B172)+SQRT(1-I$9^2*$C$11)*NORMSINV(H172))*(I$7-I$5)*(I$6-I$5)),I$7-SQRT((1-NORMSDIST(I$9*SQRT($C$11)*NORMSINV($B172)+SQRT(1-I$9^2*$C$11)*NORMSINV(H172)))*(I$7-I$5)*(I$7-I$6))))</f>
        <v>191.773538668759</v>
      </c>
      <c r="J172" s="2" t="n">
        <v>0.159915962</v>
      </c>
      <c r="K172" s="2" t="n">
        <f aca="false">IF(K$7=K$5,K$6,IF(NORMSDIST(K$9*SQRT($C$11)*NORMSINV($B172)+SQRT(1-K$9^2*$C$11)*NORMSINV(J172))&lt;K$8,K$5+SQRT(NORMSDIST(K$9*SQRT($C$11)*NORMSINV($B172)+SQRT(1-K$9^2*$C$11)*NORMSINV(J172))*(K$7-K$5)*(K$6-K$5)),K$7-SQRT((1-NORMSDIST(K$9*SQRT($C$11)*NORMSINV($B172)+SQRT(1-K$9^2*$C$11)*NORMSINV(J172)))*(K$7-K$5)*(K$7-K$6))))</f>
        <v>0.126505368220925</v>
      </c>
      <c r="L172" s="2" t="n">
        <v>0.840429577</v>
      </c>
      <c r="M172" s="2" t="n">
        <f aca="false">IF(M$7=M$5,M$6,IF(NORMSDIST(M$9*SQRT($C$11)*NORMSINV($B172)+SQRT(1-M$9^2*$C$11)*NORMSINV(L172))&lt;M$8,M$5+SQRT(NORMSDIST(M$9*SQRT($C$11)*NORMSINV($B172)+SQRT(1-M$9^2*$C$11)*NORMSINV(L172))*(M$7-M$5)*(M$6-M$5)),M$7-SQRT((1-NORMSDIST(M$9*SQRT($C$11)*NORMSINV($B172)+SQRT(1-M$9^2*$C$11)*NORMSINV(L172)))*(M$7-M$5)*(M$7-M$6))))</f>
        <v>1626.82791938675</v>
      </c>
      <c r="N172" s="2" t="n">
        <v>0.362098177</v>
      </c>
      <c r="O172" s="2" t="n">
        <f aca="false">IF(O$7=O$5,O$6,IF(NORMSDIST(O$9*SQRT($C$11)*NORMSINV($B172)+SQRT(1-O$9^2*$C$11)*NORMSINV(N172))&lt;O$8,O$5+SQRT(NORMSDIST(O$9*SQRT($C$11)*NORMSINV($B172)+SQRT(1-O$9^2*$C$11)*NORMSINV(N172))*(O$7-O$5)*(O$6-O$5)),O$7-SQRT((1-NORMSDIST(O$9*SQRT($C$11)*NORMSINV($B172)+SQRT(1-O$9^2*$C$11)*NORMSINV(N172)))*(O$7-O$5)*(O$7-O$6))))</f>
        <v>0.159372856004505</v>
      </c>
      <c r="P172" s="2" t="n">
        <v>0.01813238</v>
      </c>
      <c r="Q172" s="2" t="n">
        <f aca="false">IF(Q$7=Q$5,Q$6,IF(NORMSDIST(Q$9*SQRT($C$11)*NORMSINV($B172)+SQRT(1-Q$9^2*$C$11)*NORMSINV(P172))&lt;Q$8,Q$5+SQRT(NORMSDIST(Q$9*SQRT($C$11)*NORMSINV($B172)+SQRT(1-Q$9^2*$C$11)*NORMSINV(P172))*(Q$7-Q$5)*(Q$6-Q$5)),Q$7-SQRT((1-NORMSDIST(Q$9*SQRT($C$11)*NORMSINV($B172)+SQRT(1-Q$9^2*$C$11)*NORMSINV(P172)))*(Q$7-Q$5)*(Q$7-Q$6))))</f>
        <v>0.0476173234144285</v>
      </c>
      <c r="R172" s="2" t="n">
        <v>0.840033984</v>
      </c>
      <c r="S172" s="2" t="n">
        <f aca="false">IF(S$7=S$5,S$6,IF(NORMSDIST(S$9*SQRT($C$11)*NORMSINV($B172)+SQRT(1-S$9^2*$C$11)*NORMSINV(R172))&lt;S$8,S$5+SQRT(NORMSDIST(S$9*SQRT($C$11)*NORMSINV($B172)+SQRT(1-S$9^2*$C$11)*NORMSINV(R172))*(S$7-S$5)*(S$6-S$5)),S$7-SQRT((1-NORMSDIST(S$9*SQRT($C$11)*NORMSINV($B172)+SQRT(1-S$9^2*$C$11)*NORMSINV(R172)))*(S$7-S$5)*(S$7-S$6))))</f>
        <v>0.586082095597405</v>
      </c>
      <c r="T172" s="2" t="n">
        <v>0.836897842</v>
      </c>
      <c r="U172" s="2" t="n">
        <f aca="false">IF(U$7=U$5,U$6,IF(NORMSDIST(U$9*SQRT($C$11)*NORMSINV($B172)+SQRT(1-U$9^2*$C$11)*NORMSINV(T172))&lt;U$8,U$5+SQRT(NORMSDIST(U$9*SQRT($C$11)*NORMSINV($B172)+SQRT(1-U$9^2*$C$11)*NORMSINV(T172))*(U$7-U$5)*(U$6-U$5)),U$7-SQRT((1-NORMSDIST(U$9*SQRT($C$11)*NORMSINV($B172)+SQRT(1-U$9^2*$C$11)*NORMSINV(T172)))*(U$7-U$5)*(U$7-U$6))))</f>
        <v>0.583881182471682</v>
      </c>
      <c r="V172" s="2" t="n">
        <v>0.322771291</v>
      </c>
      <c r="W172" s="2" t="n">
        <f aca="false">IF(W$7=W$5,W$6,IF(NORMSDIST(W$9*SQRT($C$11)*NORMSINV($B172)+SQRT(1-W$9^2*$C$11)*NORMSINV(V172))&lt;W$8,W$5+SQRT(NORMSDIST(W$9*SQRT($C$11)*NORMSINV($B172)+SQRT(1-W$9^2*$C$11)*NORMSINV(V172))*(W$7-W$5)*(W$6-W$5)),W$7-SQRT((1-NORMSDIST(W$9*SQRT($C$11)*NORMSINV($B172)+SQRT(1-W$9^2*$C$11)*NORMSINV(V172)))*(W$7-W$5)*(W$7-W$6))))</f>
        <v>9.37203288789766</v>
      </c>
      <c r="X172" s="2" t="n">
        <v>0.163518431</v>
      </c>
      <c r="Y172" s="2" t="n">
        <f aca="false">IF(Y$7=Y$5,Y$6,IF(NORMSDIST(Y$9*SQRT($C$11)*NORMSINV($B172)+SQRT(1-Y$9^2*$C$11)*NORMSINV(X172))&lt;Y$8,Y$5+SQRT(NORMSDIST(Y$9*SQRT($C$11)*NORMSINV($B172)+SQRT(1-Y$9^2*$C$11)*NORMSINV(X172))*(Y$7-Y$5)*(Y$6-Y$5)),Y$7-SQRT((1-NORMSDIST(Y$9*SQRT($C$11)*NORMSINV($B172)+SQRT(1-Y$9^2*$C$11)*NORMSINV(X172)))*(Y$7-Y$5)*(Y$7-Y$6))))</f>
        <v>0.285935684201885</v>
      </c>
      <c r="Z172" s="2" t="n">
        <v>0.276106917</v>
      </c>
      <c r="AA172" s="2" t="n">
        <f aca="false">IF(AA$7=AA$5,AA$6,IF(NORMSDIST(AA$9*SQRT($C$11)*NORMSINV($B172)+SQRT(1-AA$9^2*$C$11)*NORMSINV(Z172))&lt;AA$8,AA$5+SQRT(NORMSDIST(AA$9*SQRT($C$11)*NORMSINV($B172)+SQRT(1-AA$9^2*$C$11)*NORMSINV(Z172))*(AA$7-AA$5)*(AA$6-AA$5)),AA$7-SQRT((1-NORMSDIST(AA$9*SQRT($C$11)*NORMSINV($B172)+SQRT(1-AA$9^2*$C$11)*NORMSINV(Z172)))*(AA$7-AA$5)*(AA$7-AA$6))))</f>
        <v>0.716252598458701</v>
      </c>
      <c r="AB172" s="2" t="n">
        <v>0.188005467</v>
      </c>
      <c r="AC172" s="2" t="n">
        <f aca="false">IF(AC$7=AC$5,AC$6,IF(NORMSDIST(AC$9*SQRT($C$11)*NORMSINV($B172)+SQRT(1-AC$9^2*$C$11)*NORMSINV(AB172))&lt;AC$8,AC$5+SQRT(NORMSDIST(AC$9*SQRT($C$11)*NORMSINV($B172)+SQRT(1-AC$9^2*$C$11)*NORMSINV(AB172))*(AC$7-AC$5)*(AC$6-AC$5)),AC$7-SQRT((1-NORMSDIST(AC$9*SQRT($C$11)*NORMSINV($B172)+SQRT(1-AC$9^2*$C$11)*NORMSINV(AB172)))*(AC$7-AC$5)*(AC$7-AC$6))))</f>
        <v>8.52563190611122</v>
      </c>
      <c r="AD172" s="2" t="n">
        <f aca="false">Entrées!$C$8*(1+E172)</f>
        <v>7448.4672676989</v>
      </c>
      <c r="AE172" s="2" t="n">
        <f aca="false">I172*Hypothèses!$J$24/12/Hypothèses!$J$19</f>
        <v>95.1382387384826</v>
      </c>
      <c r="AF172" s="2" t="n">
        <f aca="false">Entrées!$C$36*S172*1000</f>
        <v>293.041047798702</v>
      </c>
      <c r="AG172" s="2" t="n">
        <f aca="false">-AF172/W172</f>
        <v>-31.2676077115685</v>
      </c>
      <c r="AH172" s="2" t="n">
        <f aca="false">AD172+AE172+AG172</f>
        <v>7512.33789872581</v>
      </c>
      <c r="AI172" s="2" t="n">
        <f aca="false">Entrées!$C$16-M172+Hypothèses!$J$22*1000-AF172+Hypothèses!$J$23</f>
        <v>22628.1310328145</v>
      </c>
      <c r="AJ172" s="2" t="n">
        <f aca="false">AI172/AH172</f>
        <v>3.0121290253268</v>
      </c>
      <c r="AK172" s="2" t="n">
        <f aca="false">AI172/(AH172+I172*(12-Hypothèses!$J$24)/12/Hypothèses!$J$19)</f>
        <v>2.98512586437648</v>
      </c>
      <c r="AL172" s="2" t="n">
        <f aca="false">(AD172+AG172+I172/Hypothèses!$J$19)*(1+G172)</f>
        <v>7974.25246138636</v>
      </c>
      <c r="AM172" s="2" t="n">
        <f aca="false">Entrées!$C$54*K172/Hypothèses!$J$19</f>
        <v>12.9104039886621</v>
      </c>
      <c r="AN172" s="2" t="n">
        <f aca="false">Y172*1000/AC172</f>
        <v>33.5383567283646</v>
      </c>
      <c r="AO172" s="2" t="n">
        <f aca="false">(Entrées!$C$36*(1-S172)+MAX(0,Entrées!$C$30-Entrées!$C$35-Entrées!$C$36)*U172)*1000</f>
        <v>1024.39260766165</v>
      </c>
      <c r="AP172" s="2" t="n">
        <f aca="false">-AO172/W172</f>
        <v>-109.303138381479</v>
      </c>
      <c r="AQ172" s="2" t="n">
        <f aca="false">AL172+AM172+AN172+AP172</f>
        <v>7911.39808372191</v>
      </c>
      <c r="AR172" s="2" t="n">
        <f aca="false">O172*AQ172-Hypothèses!$J$25/Hypothèses!$J$19</f>
        <v>1241.7269453297</v>
      </c>
      <c r="AS172" s="2" t="n">
        <f aca="false">Entrées!$C$79*(1+Q172)+Hypothèses!$J$20</f>
        <v>1446.33143843246</v>
      </c>
      <c r="AT172" s="2" t="n">
        <f aca="false">AI172-AR172+AS172+Y172*1000-AO172+Hypothèses!$J$23</f>
        <v>22094.2786024575</v>
      </c>
      <c r="AU172" s="2" t="n">
        <f aca="false">AT172/AQ172</f>
        <v>2.79271481078896</v>
      </c>
      <c r="AV172" s="2" t="n">
        <f aca="false">Hypothèses!$J$26*AQ172-AT172</f>
        <v>1639.91564870819</v>
      </c>
      <c r="AW172" s="2" t="n">
        <f aca="false">IF(AC172&gt;Hypothèses!$J$26,MAX(0,AV172)/(1-Hypothèses!$J$26/AC172),0)</f>
        <v>2530.26575340543</v>
      </c>
      <c r="AX172" s="2" t="n">
        <f aca="false">AQ172-Entrées!$C$17*1000</f>
        <v>-88.601916278094</v>
      </c>
      <c r="AY172" s="2" t="n">
        <f aca="false">AI172+(Entrées!$C$244-Entrées!$C$13)</f>
        <v>28375.1310328145</v>
      </c>
      <c r="AZ172" s="2" t="n">
        <f aca="false">AA172*AH172</f>
        <v>5380.73154046214</v>
      </c>
      <c r="BA172" s="2" t="n">
        <f aca="false">AZ172/AY172</f>
        <v>0.189628429706265</v>
      </c>
      <c r="BB172" s="2" t="n">
        <f aca="false">AZ172/(Entrées!$C$151/100)-AY172</f>
        <v>1517.82196975292</v>
      </c>
      <c r="BC172" s="2" t="n">
        <f aca="false">AT172+(Entrées!$C$244-Entrées!$C$13)</f>
        <v>27841.2786024575</v>
      </c>
      <c r="BD172" s="2" t="n">
        <f aca="false">AA172*AQ172</f>
        <v>5666.55943490701</v>
      </c>
      <c r="BE172" s="2" t="n">
        <f aca="false">BD172/BC172</f>
        <v>0.203530862063455</v>
      </c>
      <c r="BF172" s="2" t="n">
        <f aca="false">BD172/(Entrées!$C$151/100)-BC172</f>
        <v>3639.60714702583</v>
      </c>
      <c r="BG172" s="2" t="n">
        <f aca="false">MIN(AV172,BF172)</f>
        <v>1639.91564870819</v>
      </c>
      <c r="BH172" s="2" t="n">
        <f aca="false">IF(AC172&gt;Hypothèses!$J$26,MAX(0,BG172)/(1-Hypothèses!$J$26/AC172),0)</f>
        <v>2530.26575340543</v>
      </c>
    </row>
    <row r="173" customFormat="false" ht="15" hidden="false" customHeight="false" outlineLevel="0" collapsed="false">
      <c r="A173" s="2" t="n">
        <v>158</v>
      </c>
      <c r="B173" s="2" t="n">
        <v>0.277732922</v>
      </c>
      <c r="C173" s="2"/>
      <c r="D173" s="2" t="n">
        <v>0.072744406</v>
      </c>
      <c r="E173" s="2" t="n">
        <f aca="false">IF(E$7=E$5,E$6,IF(NORMSDIST(E$9*SQRT($C$11)*NORMSINV($B173)+SQRT(1-E$9^2*$C$11)*NORMSINV(D173))&lt;E$8,E$5+SQRT(NORMSDIST(E$9*SQRT($C$11)*NORMSINV($B173)+SQRT(1-E$9^2*$C$11)*NORMSINV(D173))*(E$7-E$5)*(E$6-E$5)),E$7-SQRT((1-NORMSDIST(E$9*SQRT($C$11)*NORMSINV($B173)+SQRT(1-E$9^2*$C$11)*NORMSINV(D173)))*(E$7-E$5)*(E$7-E$6))))</f>
        <v>0.0518268991053669</v>
      </c>
      <c r="F173" s="2" t="n">
        <v>0.583143868</v>
      </c>
      <c r="G173" s="2" t="n">
        <f aca="false">IF(G$7=G$5,G$6,IF(NORMSDIST(G$9*SQRT($C$11)*NORMSINV($B173)+SQRT(1-G$9^2*$C$11)*NORMSINV(F173))&lt;G$8,G$5+SQRT(NORMSDIST(G$9*SQRT($C$11)*NORMSINV($B173)+SQRT(1-G$9^2*$C$11)*NORMSINV(F173))*(G$7-G$5)*(G$6-G$5)),G$7-SQRT((1-NORMSDIST(G$9*SQRT($C$11)*NORMSINV($B173)+SQRT(1-G$9^2*$C$11)*NORMSINV(F173)))*(G$7-G$5)*(G$7-G$6))))</f>
        <v>0.0536940914215571</v>
      </c>
      <c r="H173" s="2" t="n">
        <v>0.450899056</v>
      </c>
      <c r="I173" s="2" t="n">
        <f aca="false">IF(I$7=I$5,I$6,IF(NORMSDIST(I$9*SQRT($C$11)*NORMSINV($B173)+SQRT(1-I$9^2*$C$11)*NORMSINV(H173))&lt;I$8,I$5+SQRT(NORMSDIST(I$9*SQRT($C$11)*NORMSINV($B173)+SQRT(1-I$9^2*$C$11)*NORMSINV(H173))*(I$7-I$5)*(I$6-I$5)),I$7-SQRT((1-NORMSDIST(I$9*SQRT($C$11)*NORMSINV($B173)+SQRT(1-I$9^2*$C$11)*NORMSINV(H173)))*(I$7-I$5)*(I$7-I$6))))</f>
        <v>195.993133355211</v>
      </c>
      <c r="J173" s="2" t="n">
        <v>0.635851838</v>
      </c>
      <c r="K173" s="2" t="n">
        <f aca="false">IF(K$7=K$5,K$6,IF(NORMSDIST(K$9*SQRT($C$11)*NORMSINV($B173)+SQRT(1-K$9^2*$C$11)*NORMSINV(J173))&lt;K$8,K$5+SQRT(NORMSDIST(K$9*SQRT($C$11)*NORMSINV($B173)+SQRT(1-K$9^2*$C$11)*NORMSINV(J173))*(K$7-K$5)*(K$6-K$5)),K$7-SQRT((1-NORMSDIST(K$9*SQRT($C$11)*NORMSINV($B173)+SQRT(1-K$9^2*$C$11)*NORMSINV(J173)))*(K$7-K$5)*(K$7-K$6))))</f>
        <v>0.239443116080448</v>
      </c>
      <c r="L173" s="2" t="n">
        <v>0.507572881</v>
      </c>
      <c r="M173" s="2" t="n">
        <f aca="false">IF(M$7=M$5,M$6,IF(NORMSDIST(M$9*SQRT($C$11)*NORMSINV($B173)+SQRT(1-M$9^2*$C$11)*NORMSINV(L173))&lt;M$8,M$5+SQRT(NORMSDIST(M$9*SQRT($C$11)*NORMSINV($B173)+SQRT(1-M$9^2*$C$11)*NORMSINV(L173))*(M$7-M$5)*(M$6-M$5)),M$7-SQRT((1-NORMSDIST(M$9*SQRT($C$11)*NORMSINV($B173)+SQRT(1-M$9^2*$C$11)*NORMSINV(L173)))*(M$7-M$5)*(M$7-M$6))))</f>
        <v>1542.6472363746</v>
      </c>
      <c r="N173" s="2" t="n">
        <v>0.070608605</v>
      </c>
      <c r="O173" s="2" t="n">
        <f aca="false">IF(O$7=O$5,O$6,IF(NORMSDIST(O$9*SQRT($C$11)*NORMSINV($B173)+SQRT(1-O$9^2*$C$11)*NORMSINV(N173))&lt;O$8,O$5+SQRT(NORMSDIST(O$9*SQRT($C$11)*NORMSINV($B173)+SQRT(1-O$9^2*$C$11)*NORMSINV(N173))*(O$7-O$5)*(O$6-O$5)),O$7-SQRT((1-NORMSDIST(O$9*SQRT($C$11)*NORMSINV($B173)+SQRT(1-O$9^2*$C$11)*NORMSINV(N173)))*(O$7-O$5)*(O$7-O$6))))</f>
        <v>0.149672074020618</v>
      </c>
      <c r="P173" s="2" t="n">
        <v>0.229109468</v>
      </c>
      <c r="Q173" s="2" t="n">
        <f aca="false">IF(Q$7=Q$5,Q$6,IF(NORMSDIST(Q$9*SQRT($C$11)*NORMSINV($B173)+SQRT(1-Q$9^2*$C$11)*NORMSINV(P173))&lt;Q$8,Q$5+SQRT(NORMSDIST(Q$9*SQRT($C$11)*NORMSINV($B173)+SQRT(1-Q$9^2*$C$11)*NORMSINV(P173))*(Q$7-Q$5)*(Q$6-Q$5)),Q$7-SQRT((1-NORMSDIST(Q$9*SQRT($C$11)*NORMSINV($B173)+SQRT(1-Q$9^2*$C$11)*NORMSINV(P173)))*(Q$7-Q$5)*(Q$7-Q$6))))</f>
        <v>0.0670767482833519</v>
      </c>
      <c r="R173" s="2" t="n">
        <v>0.569028765</v>
      </c>
      <c r="S173" s="2" t="n">
        <f aca="false">IF(S$7=S$5,S$6,IF(NORMSDIST(S$9*SQRT($C$11)*NORMSINV($B173)+SQRT(1-S$9^2*$C$11)*NORMSINV(R173))&lt;S$8,S$5+SQRT(NORMSDIST(S$9*SQRT($C$11)*NORMSINV($B173)+SQRT(1-S$9^2*$C$11)*NORMSINV(R173))*(S$7-S$5)*(S$6-S$5)),S$7-SQRT((1-NORMSDIST(S$9*SQRT($C$11)*NORMSINV($B173)+SQRT(1-S$9^2*$C$11)*NORMSINV(R173)))*(S$7-S$5)*(S$7-S$6))))</f>
        <v>0.450482353722004</v>
      </c>
      <c r="T173" s="2" t="n">
        <v>0.159956593</v>
      </c>
      <c r="U173" s="2" t="n">
        <f aca="false">IF(U$7=U$5,U$6,IF(NORMSDIST(U$9*SQRT($C$11)*NORMSINV($B173)+SQRT(1-U$9^2*$C$11)*NORMSINV(T173))&lt;U$8,U$5+SQRT(NORMSDIST(U$9*SQRT($C$11)*NORMSINV($B173)+SQRT(1-U$9^2*$C$11)*NORMSINV(T173))*(U$7-U$5)*(U$6-U$5)),U$7-SQRT((1-NORMSDIST(U$9*SQRT($C$11)*NORMSINV($B173)+SQRT(1-U$9^2*$C$11)*NORMSINV(T173)))*(U$7-U$5)*(U$7-U$6))))</f>
        <v>0.251446378814037</v>
      </c>
      <c r="V173" s="2" t="n">
        <v>0.387709558</v>
      </c>
      <c r="W173" s="2" t="n">
        <f aca="false">IF(W$7=W$5,W$6,IF(NORMSDIST(W$9*SQRT($C$11)*NORMSINV($B173)+SQRT(1-W$9^2*$C$11)*NORMSINV(V173))&lt;W$8,W$5+SQRT(NORMSDIST(W$9*SQRT($C$11)*NORMSINV($B173)+SQRT(1-W$9^2*$C$11)*NORMSINV(V173))*(W$7-W$5)*(W$6-W$5)),W$7-SQRT((1-NORMSDIST(W$9*SQRT($C$11)*NORMSINV($B173)+SQRT(1-W$9^2*$C$11)*NORMSINV(V173)))*(W$7-W$5)*(W$7-W$6))))</f>
        <v>9.48673406345816</v>
      </c>
      <c r="X173" s="2" t="n">
        <v>0.796271792</v>
      </c>
      <c r="Y173" s="2" t="n">
        <f aca="false">IF(Y$7=Y$5,Y$6,IF(NORMSDIST(Y$9*SQRT($C$11)*NORMSINV($B173)+SQRT(1-Y$9^2*$C$11)*NORMSINV(X173))&lt;Y$8,Y$5+SQRT(NORMSDIST(Y$9*SQRT($C$11)*NORMSINV($B173)+SQRT(1-Y$9^2*$C$11)*NORMSINV(X173))*(Y$7-Y$5)*(Y$6-Y$5)),Y$7-SQRT((1-NORMSDIST(Y$9*SQRT($C$11)*NORMSINV($B173)+SQRT(1-Y$9^2*$C$11)*NORMSINV(X173)))*(Y$7-Y$5)*(Y$7-Y$6))))</f>
        <v>0.680838435898055</v>
      </c>
      <c r="Z173" s="2" t="n">
        <v>0.930472302</v>
      </c>
      <c r="AA173" s="2" t="n">
        <f aca="false">IF(AA$7=AA$5,AA$6,IF(NORMSDIST(AA$9*SQRT($C$11)*NORMSINV($B173)+SQRT(1-AA$9^2*$C$11)*NORMSINV(Z173))&lt;AA$8,AA$5+SQRT(NORMSDIST(AA$9*SQRT($C$11)*NORMSINV($B173)+SQRT(1-AA$9^2*$C$11)*NORMSINV(Z173))*(AA$7-AA$5)*(AA$6-AA$5)),AA$7-SQRT((1-NORMSDIST(AA$9*SQRT($C$11)*NORMSINV($B173)+SQRT(1-AA$9^2*$C$11)*NORMSINV(Z173)))*(AA$7-AA$5)*(AA$7-AA$6))))</f>
        <v>0.737063182535041</v>
      </c>
      <c r="AB173" s="2" t="n">
        <v>0.330017532</v>
      </c>
      <c r="AC173" s="2" t="n">
        <f aca="false">IF(AC$7=AC$5,AC$6,IF(NORMSDIST(AC$9*SQRT($C$11)*NORMSINV($B173)+SQRT(1-AC$9^2*$C$11)*NORMSINV(AB173))&lt;AC$8,AC$5+SQRT(NORMSDIST(AC$9*SQRT($C$11)*NORMSINV($B173)+SQRT(1-AC$9^2*$C$11)*NORMSINV(AB173))*(AC$7-AC$5)*(AC$6-AC$5)),AC$7-SQRT((1-NORMSDIST(AC$9*SQRT($C$11)*NORMSINV($B173)+SQRT(1-AC$9^2*$C$11)*NORMSINV(AB173)))*(AC$7-AC$5)*(AC$7-AC$6))))</f>
        <v>8.83318927146463</v>
      </c>
      <c r="AD173" s="2" t="n">
        <f aca="false">Entrées!$C$8*(1+E173)</f>
        <v>7415.37963869284</v>
      </c>
      <c r="AE173" s="2" t="n">
        <f aca="false">I173*Hypothèses!$J$24/12/Hypothèses!$J$19</f>
        <v>97.2315661570932</v>
      </c>
      <c r="AF173" s="2" t="n">
        <f aca="false">Entrées!$C$36*S173*1000</f>
        <v>225.241176861002</v>
      </c>
      <c r="AG173" s="2" t="n">
        <f aca="false">-AF173/W173</f>
        <v>-23.742752284857</v>
      </c>
      <c r="AH173" s="2" t="n">
        <f aca="false">AD173+AE173+AG173</f>
        <v>7488.86845256507</v>
      </c>
      <c r="AI173" s="2" t="n">
        <f aca="false">Entrées!$C$16-M173+Hypothèses!$J$22*1000-AF173+Hypothèses!$J$23</f>
        <v>22780.1115867644</v>
      </c>
      <c r="AJ173" s="2" t="n">
        <f aca="false">AI173/AH173</f>
        <v>3.04186296381823</v>
      </c>
      <c r="AK173" s="2" t="n">
        <f aca="false">AI173/(AH173+I173*(12-Hypothèses!$J$24)/12/Hypothèses!$J$19)</f>
        <v>3.01391220257718</v>
      </c>
      <c r="AL173" s="2" t="n">
        <f aca="false">(AD173+AG173+I173/Hypothèses!$J$19)*(1+G173)</f>
        <v>7964.15667330068</v>
      </c>
      <c r="AM173" s="2" t="n">
        <f aca="false">Entrées!$C$54*K173/Hypothèses!$J$19</f>
        <v>24.4361753526864</v>
      </c>
      <c r="AN173" s="2" t="n">
        <f aca="false">Y173*1000/AC173</f>
        <v>77.0773063923225</v>
      </c>
      <c r="AO173" s="2" t="n">
        <f aca="false">(Entrées!$C$36*(1-S173)+MAX(0,Entrées!$C$30-Entrées!$C$35-Entrées!$C$36)*U173)*1000</f>
        <v>626.783753478649</v>
      </c>
      <c r="AP173" s="2" t="n">
        <f aca="false">-AO173/W173</f>
        <v>-66.069497604339</v>
      </c>
      <c r="AQ173" s="2" t="n">
        <f aca="false">AL173+AM173+AN173+AP173</f>
        <v>7999.60065744135</v>
      </c>
      <c r="AR173" s="2" t="n">
        <f aca="false">O173*AQ173-Hypothèses!$J$25/Hypothèses!$J$19</f>
        <v>1178.18165947432</v>
      </c>
      <c r="AS173" s="2" t="n">
        <f aca="false">Entrées!$C$79*(1+Q173)+Hypothèses!$J$20</f>
        <v>1467.7173463634</v>
      </c>
      <c r="AT173" s="2" t="n">
        <f aca="false">AI173-AR173+AS173+Y173*1000-AO173+Hypothèses!$J$23</f>
        <v>23123.7019560729</v>
      </c>
      <c r="AU173" s="2" t="n">
        <f aca="false">AT173/AQ173</f>
        <v>2.8906070373104</v>
      </c>
      <c r="AV173" s="2" t="n">
        <f aca="false">Hypothèses!$J$26*AQ173-AT173</f>
        <v>875.100016251177</v>
      </c>
      <c r="AW173" s="2" t="n">
        <f aca="false">IF(AC173&gt;Hypothèses!$J$26,MAX(0,AV173)/(1-Hypothèses!$J$26/AC173),0)</f>
        <v>1325.16256806931</v>
      </c>
      <c r="AX173" s="2" t="n">
        <f aca="false">AQ173-Entrées!$C$17*1000</f>
        <v>-0.399342558645913</v>
      </c>
      <c r="AY173" s="2" t="n">
        <f aca="false">AI173+(Entrées!$C$244-Entrées!$C$13)</f>
        <v>28527.1115867644</v>
      </c>
      <c r="AZ173" s="2" t="n">
        <f aca="false">AA173*AH173</f>
        <v>5519.76921523388</v>
      </c>
      <c r="BA173" s="2" t="n">
        <f aca="false">AZ173/AY173</f>
        <v>0.193492046975932</v>
      </c>
      <c r="BB173" s="2" t="n">
        <f aca="false">AZ173/(Entrées!$C$151/100)-AY173</f>
        <v>2138.27294231272</v>
      </c>
      <c r="BC173" s="2" t="n">
        <f aca="false">AT173+(Entrées!$C$244-Entrées!$C$13)</f>
        <v>28870.7019560729</v>
      </c>
      <c r="BD173" s="2" t="n">
        <f aca="false">AA173*AQ173</f>
        <v>5896.21111958313</v>
      </c>
      <c r="BE173" s="2" t="n">
        <f aca="false">BD173/BC173</f>
        <v>0.204228187058087</v>
      </c>
      <c r="BF173" s="2" t="n">
        <f aca="false">BD173/(Entrées!$C$151/100)-BC173</f>
        <v>3886.02648605562</v>
      </c>
      <c r="BG173" s="2" t="n">
        <f aca="false">MIN(AV173,BF173)</f>
        <v>875.100016251177</v>
      </c>
      <c r="BH173" s="2" t="n">
        <f aca="false">IF(AC173&gt;Hypothèses!$J$26,MAX(0,BG173)/(1-Hypothèses!$J$26/AC173),0)</f>
        <v>1325.16256806931</v>
      </c>
    </row>
    <row r="174" customFormat="false" ht="15" hidden="false" customHeight="false" outlineLevel="0" collapsed="false">
      <c r="A174" s="2" t="n">
        <v>159</v>
      </c>
      <c r="B174" s="2" t="n">
        <v>0.242328981</v>
      </c>
      <c r="C174" s="2"/>
      <c r="D174" s="2" t="n">
        <v>0.25889642</v>
      </c>
      <c r="E174" s="2" t="n">
        <f aca="false">IF(E$7=E$5,E$6,IF(NORMSDIST(E$9*SQRT($C$11)*NORMSINV($B174)+SQRT(1-E$9^2*$C$11)*NORMSINV(D174))&lt;E$8,E$5+SQRT(NORMSDIST(E$9*SQRT($C$11)*NORMSINV($B174)+SQRT(1-E$9^2*$C$11)*NORMSINV(D174))*(E$7-E$5)*(E$6-E$5)),E$7-SQRT((1-NORMSDIST(E$9*SQRT($C$11)*NORMSINV($B174)+SQRT(1-E$9^2*$C$11)*NORMSINV(D174)))*(E$7-E$5)*(E$7-E$6))))</f>
        <v>0.0529398389152753</v>
      </c>
      <c r="F174" s="2" t="n">
        <v>0.26323915</v>
      </c>
      <c r="G174" s="2" t="n">
        <f aca="false">IF(G$7=G$5,G$6,IF(NORMSDIST(G$9*SQRT($C$11)*NORMSINV($B174)+SQRT(1-G$9^2*$C$11)*NORMSINV(F174))&lt;G$8,G$5+SQRT(NORMSDIST(G$9*SQRT($C$11)*NORMSINV($B174)+SQRT(1-G$9^2*$C$11)*NORMSINV(F174))*(G$7-G$5)*(G$6-G$5)),G$7-SQRT((1-NORMSDIST(G$9*SQRT($C$11)*NORMSINV($B174)+SQRT(1-G$9^2*$C$11)*NORMSINV(F174)))*(G$7-G$5)*(G$7-G$6))))</f>
        <v>0.0488871118912593</v>
      </c>
      <c r="H174" s="2" t="n">
        <v>0.529488478</v>
      </c>
      <c r="I174" s="2" t="n">
        <f aca="false">IF(I$7=I$5,I$6,IF(NORMSDIST(I$9*SQRT($C$11)*NORMSINV($B174)+SQRT(1-I$9^2*$C$11)*NORMSINV(H174))&lt;I$8,I$5+SQRT(NORMSDIST(I$9*SQRT($C$11)*NORMSINV($B174)+SQRT(1-I$9^2*$C$11)*NORMSINV(H174))*(I$7-I$5)*(I$6-I$5)),I$7-SQRT((1-NORMSDIST(I$9*SQRT($C$11)*NORMSINV($B174)+SQRT(1-I$9^2*$C$11)*NORMSINV(H174)))*(I$7-I$5)*(I$7-I$6))))</f>
        <v>196.738947347854</v>
      </c>
      <c r="J174" s="2" t="n">
        <v>0.600325433</v>
      </c>
      <c r="K174" s="2" t="n">
        <f aca="false">IF(K$7=K$5,K$6,IF(NORMSDIST(K$9*SQRT($C$11)*NORMSINV($B174)+SQRT(1-K$9^2*$C$11)*NORMSINV(J174))&lt;K$8,K$5+SQRT(NORMSDIST(K$9*SQRT($C$11)*NORMSINV($B174)+SQRT(1-K$9^2*$C$11)*NORMSINV(J174))*(K$7-K$5)*(K$6-K$5)),K$7-SQRT((1-NORMSDIST(K$9*SQRT($C$11)*NORMSINV($B174)+SQRT(1-K$9^2*$C$11)*NORMSINV(J174)))*(K$7-K$5)*(K$7-K$6))))</f>
        <v>0.224498153192681</v>
      </c>
      <c r="L174" s="2" t="n">
        <v>0.539315451</v>
      </c>
      <c r="M174" s="2" t="n">
        <f aca="false">IF(M$7=M$5,M$6,IF(NORMSDIST(M$9*SQRT($C$11)*NORMSINV($B174)+SQRT(1-M$9^2*$C$11)*NORMSINV(L174))&lt;M$8,M$5+SQRT(NORMSDIST(M$9*SQRT($C$11)*NORMSINV($B174)+SQRT(1-M$9^2*$C$11)*NORMSINV(L174))*(M$7-M$5)*(M$6-M$5)),M$7-SQRT((1-NORMSDIST(M$9*SQRT($C$11)*NORMSINV($B174)+SQRT(1-M$9^2*$C$11)*NORMSINV(L174)))*(M$7-M$5)*(M$7-M$6))))</f>
        <v>1541.7342939545</v>
      </c>
      <c r="N174" s="2" t="n">
        <v>0.687351864</v>
      </c>
      <c r="O174" s="2" t="n">
        <f aca="false">IF(O$7=O$5,O$6,IF(NORMSDIST(O$9*SQRT($C$11)*NORMSINV($B174)+SQRT(1-O$9^2*$C$11)*NORMSINV(N174))&lt;O$8,O$5+SQRT(NORMSDIST(O$9*SQRT($C$11)*NORMSINV($B174)+SQRT(1-O$9^2*$C$11)*NORMSINV(N174))*(O$7-O$5)*(O$6-O$5)),O$7-SQRT((1-NORMSDIST(O$9*SQRT($C$11)*NORMSINV($B174)+SQRT(1-O$9^2*$C$11)*NORMSINV(N174)))*(O$7-O$5)*(O$7-O$6))))</f>
        <v>0.166095440015388</v>
      </c>
      <c r="P174" s="2" t="n">
        <v>0.787218042</v>
      </c>
      <c r="Q174" s="2" t="n">
        <f aca="false">IF(Q$7=Q$5,Q$6,IF(NORMSDIST(Q$9*SQRT($C$11)*NORMSINV($B174)+SQRT(1-Q$9^2*$C$11)*NORMSINV(P174))&lt;Q$8,Q$5+SQRT(NORMSDIST(Q$9*SQRT($C$11)*NORMSINV($B174)+SQRT(1-Q$9^2*$C$11)*NORMSINV(P174))*(Q$7-Q$5)*(Q$6-Q$5)),Q$7-SQRT((1-NORMSDIST(Q$9*SQRT($C$11)*NORMSINV($B174)+SQRT(1-Q$9^2*$C$11)*NORMSINV(P174)))*(Q$7-Q$5)*(Q$7-Q$6))))</f>
        <v>0.0939058959609647</v>
      </c>
      <c r="R174" s="2" t="n">
        <v>0.936891564</v>
      </c>
      <c r="S174" s="2" t="n">
        <f aca="false">IF(S$7=S$5,S$6,IF(NORMSDIST(S$9*SQRT($C$11)*NORMSINV($B174)+SQRT(1-S$9^2*$C$11)*NORMSINV(R174))&lt;S$8,S$5+SQRT(NORMSDIST(S$9*SQRT($C$11)*NORMSINV($B174)+SQRT(1-S$9^2*$C$11)*NORMSINV(R174))*(S$7-S$5)*(S$6-S$5)),S$7-SQRT((1-NORMSDIST(S$9*SQRT($C$11)*NORMSINV($B174)+SQRT(1-S$9^2*$C$11)*NORMSINV(R174)))*(S$7-S$5)*(S$7-S$6))))</f>
        <v>0.66170735904992</v>
      </c>
      <c r="T174" s="2" t="n">
        <v>0.602920256</v>
      </c>
      <c r="U174" s="2" t="n">
        <f aca="false">IF(U$7=U$5,U$6,IF(NORMSDIST(U$9*SQRT($C$11)*NORMSINV($B174)+SQRT(1-U$9^2*$C$11)*NORMSINV(T174))&lt;U$8,U$5+SQRT(NORMSDIST(U$9*SQRT($C$11)*NORMSINV($B174)+SQRT(1-U$9^2*$C$11)*NORMSINV(T174))*(U$7-U$5)*(U$6-U$5)),U$7-SQRT((1-NORMSDIST(U$9*SQRT($C$11)*NORMSINV($B174)+SQRT(1-U$9^2*$C$11)*NORMSINV(T174)))*(U$7-U$5)*(U$7-U$6))))</f>
        <v>0.450118260262666</v>
      </c>
      <c r="V174" s="2" t="n">
        <v>0.358606281</v>
      </c>
      <c r="W174" s="2" t="n">
        <f aca="false">IF(W$7=W$5,W$6,IF(NORMSDIST(W$9*SQRT($C$11)*NORMSINV($B174)+SQRT(1-W$9^2*$C$11)*NORMSINV(V174))&lt;W$8,W$5+SQRT(NORMSDIST(W$9*SQRT($C$11)*NORMSINV($B174)+SQRT(1-W$9^2*$C$11)*NORMSINV(V174))*(W$7-W$5)*(W$6-W$5)),W$7-SQRT((1-NORMSDIST(W$9*SQRT($C$11)*NORMSINV($B174)+SQRT(1-W$9^2*$C$11)*NORMSINV(V174)))*(W$7-W$5)*(W$7-W$6))))</f>
        <v>9.37108723185887</v>
      </c>
      <c r="X174" s="2" t="n">
        <v>0.576181869</v>
      </c>
      <c r="Y174" s="2" t="n">
        <f aca="false">IF(Y$7=Y$5,Y$6,IF(NORMSDIST(Y$9*SQRT($C$11)*NORMSINV($B174)+SQRT(1-Y$9^2*$C$11)*NORMSINV(X174))&lt;Y$8,Y$5+SQRT(NORMSDIST(Y$9*SQRT($C$11)*NORMSINV($B174)+SQRT(1-Y$9^2*$C$11)*NORMSINV(X174))*(Y$7-Y$5)*(Y$6-Y$5)),Y$7-SQRT((1-NORMSDIST(Y$9*SQRT($C$11)*NORMSINV($B174)+SQRT(1-Y$9^2*$C$11)*NORMSINV(X174)))*(Y$7-Y$5)*(Y$7-Y$6))))</f>
        <v>0.539664181819403</v>
      </c>
      <c r="Z174" s="2" t="n">
        <v>0.735541359</v>
      </c>
      <c r="AA174" s="2" t="n">
        <f aca="false">IF(AA$7=AA$5,AA$6,IF(NORMSDIST(AA$9*SQRT($C$11)*NORMSINV($B174)+SQRT(1-AA$9^2*$C$11)*NORMSINV(Z174))&lt;AA$8,AA$5+SQRT(NORMSDIST(AA$9*SQRT($C$11)*NORMSINV($B174)+SQRT(1-AA$9^2*$C$11)*NORMSINV(Z174))*(AA$7-AA$5)*(AA$6-AA$5)),AA$7-SQRT((1-NORMSDIST(AA$9*SQRT($C$11)*NORMSINV($B174)+SQRT(1-AA$9^2*$C$11)*NORMSINV(Z174)))*(AA$7-AA$5)*(AA$7-AA$6))))</f>
        <v>0.728643273811194</v>
      </c>
      <c r="AB174" s="2" t="n">
        <v>0.048506113</v>
      </c>
      <c r="AC174" s="2" t="n">
        <f aca="false">IF(AC$7=AC$5,AC$6,IF(NORMSDIST(AC$9*SQRT($C$11)*NORMSINV($B174)+SQRT(1-AC$9^2*$C$11)*NORMSINV(AB174))&lt;AC$8,AC$5+SQRT(NORMSDIST(AC$9*SQRT($C$11)*NORMSINV($B174)+SQRT(1-AC$9^2*$C$11)*NORMSINV(AB174))*(AC$7-AC$5)*(AC$6-AC$5)),AC$7-SQRT((1-NORMSDIST(AC$9*SQRT($C$11)*NORMSINV($B174)+SQRT(1-AC$9^2*$C$11)*NORMSINV(AB174)))*(AC$7-AC$5)*(AC$7-AC$6))))</f>
        <v>8.00271734681587</v>
      </c>
      <c r="AD174" s="2" t="n">
        <f aca="false">Entrées!$C$8*(1+E174)</f>
        <v>7423.22586435269</v>
      </c>
      <c r="AE174" s="2" t="n">
        <f aca="false">I174*Hypothèses!$J$24/12/Hypothèses!$J$19</f>
        <v>97.6015620917732</v>
      </c>
      <c r="AF174" s="2" t="n">
        <f aca="false">Entrées!$C$36*S174*1000</f>
        <v>330.85367952496</v>
      </c>
      <c r="AG174" s="2" t="n">
        <f aca="false">-AF174/W174</f>
        <v>-35.3057944440169</v>
      </c>
      <c r="AH174" s="2" t="n">
        <f aca="false">AD174+AE174+AG174</f>
        <v>7485.52163200045</v>
      </c>
      <c r="AI174" s="2" t="n">
        <f aca="false">Entrées!$C$16-M174+Hypothèses!$J$22*1000-AF174+Hypothèses!$J$23</f>
        <v>22675.4120265205</v>
      </c>
      <c r="AJ174" s="2" t="n">
        <f aca="false">AI174/AH174</f>
        <v>3.02923605611981</v>
      </c>
      <c r="AK174" s="2" t="n">
        <f aca="false">AI174/(AH174+I174*(12-Hypothèses!$J$24)/12/Hypothèses!$J$19)</f>
        <v>3.00128400022313</v>
      </c>
      <c r="AL174" s="2" t="n">
        <f aca="false">(AD174+AG174+I174/Hypothèses!$J$19)*(1+G174)</f>
        <v>7924.59075171601</v>
      </c>
      <c r="AM174" s="2" t="n">
        <f aca="false">Entrées!$C$54*K174/Hypothèses!$J$19</f>
        <v>22.9109791401457</v>
      </c>
      <c r="AN174" s="2" t="n">
        <f aca="false">Y174*1000/AC174</f>
        <v>67.4351171523164</v>
      </c>
      <c r="AO174" s="2" t="n">
        <f aca="false">(Entrées!$C$36*(1-S174)+MAX(0,Entrées!$C$30-Entrées!$C$35-Entrées!$C$36)*U174)*1000</f>
        <v>799.311884842773</v>
      </c>
      <c r="AP174" s="2" t="n">
        <f aca="false">-AO174/W174</f>
        <v>-85.2955334921389</v>
      </c>
      <c r="AQ174" s="2" t="n">
        <f aca="false">AL174+AM174+AN174+AP174</f>
        <v>7929.64131451633</v>
      </c>
      <c r="AR174" s="2" t="n">
        <f aca="false">O174*AQ174-Hypothèses!$J$25/Hypothèses!$J$19</f>
        <v>1297.94210103716</v>
      </c>
      <c r="AS174" s="2" t="n">
        <f aca="false">Entrées!$C$79*(1+Q174)+Hypothèses!$J$20</f>
        <v>1497.2025796611</v>
      </c>
      <c r="AT174" s="2" t="n">
        <f aca="false">AI174-AR174+AS174+Y174*1000-AO174+Hypothèses!$J$23</f>
        <v>22615.0248021211</v>
      </c>
      <c r="AU174" s="2" t="n">
        <f aca="false">AT174/AQ174</f>
        <v>2.85196062534646</v>
      </c>
      <c r="AV174" s="2" t="n">
        <f aca="false">Hypothèses!$J$26*AQ174-AT174</f>
        <v>1173.89914142788</v>
      </c>
      <c r="AW174" s="2" t="n">
        <f aca="false">IF(AC174&gt;Hypothèses!$J$26,MAX(0,AV174)/(1-Hypothèses!$J$26/AC174),0)</f>
        <v>1877.85604727329</v>
      </c>
      <c r="AX174" s="2" t="n">
        <f aca="false">AQ174-Entrées!$C$17*1000</f>
        <v>-70.3586854836703</v>
      </c>
      <c r="AY174" s="2" t="n">
        <f aca="false">AI174+(Entrées!$C$244-Entrées!$C$13)</f>
        <v>28422.4120265205</v>
      </c>
      <c r="AZ174" s="2" t="n">
        <f aca="false">AA174*AH174</f>
        <v>5454.27498812532</v>
      </c>
      <c r="BA174" s="2" t="n">
        <f aca="false">AZ174/AY174</f>
        <v>0.191900496799357</v>
      </c>
      <c r="BB174" s="2" t="n">
        <f aca="false">AZ174/(Entrées!$C$151/100)-AY174</f>
        <v>1879.11568528677</v>
      </c>
      <c r="BC174" s="2" t="n">
        <f aca="false">AT174+(Entrées!$C$244-Entrées!$C$13)</f>
        <v>28362.0248021211</v>
      </c>
      <c r="BD174" s="2" t="n">
        <f aca="false">AA174*AQ174</f>
        <v>5777.87980755768</v>
      </c>
      <c r="BE174" s="2" t="n">
        <f aca="false">BD174/BC174</f>
        <v>0.203718875780885</v>
      </c>
      <c r="BF174" s="2" t="n">
        <f aca="false">BD174/(Entrées!$C$151/100)-BC174</f>
        <v>3737.30746208821</v>
      </c>
      <c r="BG174" s="2" t="n">
        <f aca="false">MIN(AV174,BF174)</f>
        <v>1173.89914142788</v>
      </c>
      <c r="BH174" s="2" t="n">
        <f aca="false">IF(AC174&gt;Hypothèses!$J$26,MAX(0,BG174)/(1-Hypothèses!$J$26/AC174),0)</f>
        <v>1877.85604727329</v>
      </c>
    </row>
    <row r="175" customFormat="false" ht="15" hidden="false" customHeight="false" outlineLevel="0" collapsed="false">
      <c r="A175" s="2" t="n">
        <v>160</v>
      </c>
      <c r="B175" s="2" t="n">
        <v>0.757501536</v>
      </c>
      <c r="C175" s="2"/>
      <c r="D175" s="2" t="n">
        <v>0.376010434</v>
      </c>
      <c r="E175" s="2" t="n">
        <f aca="false">IF(E$7=E$5,E$6,IF(NORMSDIST(E$9*SQRT($C$11)*NORMSINV($B175)+SQRT(1-E$9^2*$C$11)*NORMSINV(D175))&lt;E$8,E$5+SQRT(NORMSDIST(E$9*SQRT($C$11)*NORMSINV($B175)+SQRT(1-E$9^2*$C$11)*NORMSINV(D175))*(E$7-E$5)*(E$6-E$5)),E$7-SQRT((1-NORMSDIST(E$9*SQRT($C$11)*NORMSINV($B175)+SQRT(1-E$9^2*$C$11)*NORMSINV(D175)))*(E$7-E$5)*(E$7-E$6))))</f>
        <v>0.0554067454100478</v>
      </c>
      <c r="F175" s="2" t="n">
        <v>0.998707938</v>
      </c>
      <c r="G175" s="2" t="n">
        <f aca="false">IF(G$7=G$5,G$6,IF(NORMSDIST(G$9*SQRT($C$11)*NORMSINV($B175)+SQRT(1-G$9^2*$C$11)*NORMSINV(F175))&lt;G$8,G$5+SQRT(NORMSDIST(G$9*SQRT($C$11)*NORMSINV($B175)+SQRT(1-G$9^2*$C$11)*NORMSINV(F175))*(G$7-G$5)*(G$6-G$5)),G$7-SQRT((1-NORMSDIST(G$9*SQRT($C$11)*NORMSINV($B175)+SQRT(1-G$9^2*$C$11)*NORMSINV(F175)))*(G$7-G$5)*(G$7-G$6))))</f>
        <v>0.0688867967349967</v>
      </c>
      <c r="H175" s="2" t="n">
        <v>0.201575389</v>
      </c>
      <c r="I175" s="2" t="n">
        <f aca="false">IF(I$7=I$5,I$6,IF(NORMSDIST(I$9*SQRT($C$11)*NORMSINV($B175)+SQRT(1-I$9^2*$C$11)*NORMSINV(H175))&lt;I$8,I$5+SQRT(NORMSDIST(I$9*SQRT($C$11)*NORMSINV($B175)+SQRT(1-I$9^2*$C$11)*NORMSINV(H175))*(I$7-I$5)*(I$6-I$5)),I$7-SQRT((1-NORMSDIST(I$9*SQRT($C$11)*NORMSINV($B175)+SQRT(1-I$9^2*$C$11)*NORMSINV(H175)))*(I$7-I$5)*(I$7-I$6))))</f>
        <v>198.295834109367</v>
      </c>
      <c r="J175" s="2" t="n">
        <v>0.1477611</v>
      </c>
      <c r="K175" s="2" t="n">
        <f aca="false">IF(K$7=K$5,K$6,IF(NORMSDIST(K$9*SQRT($C$11)*NORMSINV($B175)+SQRT(1-K$9^2*$C$11)*NORMSINV(J175))&lt;K$8,K$5+SQRT(NORMSDIST(K$9*SQRT($C$11)*NORMSINV($B175)+SQRT(1-K$9^2*$C$11)*NORMSINV(J175))*(K$7-K$5)*(K$6-K$5)),K$7-SQRT((1-NORMSDIST(K$9*SQRT($C$11)*NORMSINV($B175)+SQRT(1-K$9^2*$C$11)*NORMSINV(J175)))*(K$7-K$5)*(K$7-K$6))))</f>
        <v>0.211007022319404</v>
      </c>
      <c r="L175" s="2" t="n">
        <v>0.649885446</v>
      </c>
      <c r="M175" s="2" t="n">
        <f aca="false">IF(M$7=M$5,M$6,IF(NORMSDIST(M$9*SQRT($C$11)*NORMSINV($B175)+SQRT(1-M$9^2*$C$11)*NORMSINV(L175))&lt;M$8,M$5+SQRT(NORMSDIST(M$9*SQRT($C$11)*NORMSINV($B175)+SQRT(1-M$9^2*$C$11)*NORMSINV(L175))*(M$7-M$5)*(M$6-M$5)),M$7-SQRT((1-NORMSDIST(M$9*SQRT($C$11)*NORMSINV($B175)+SQRT(1-M$9^2*$C$11)*NORMSINV(L175)))*(M$7-M$5)*(M$7-M$6))))</f>
        <v>1656.67600899963</v>
      </c>
      <c r="N175" s="2" t="n">
        <v>0.108909892</v>
      </c>
      <c r="O175" s="2" t="n">
        <f aca="false">IF(O$7=O$5,O$6,IF(NORMSDIST(O$9*SQRT($C$11)*NORMSINV($B175)+SQRT(1-O$9^2*$C$11)*NORMSINV(N175))&lt;O$8,O$5+SQRT(NORMSDIST(O$9*SQRT($C$11)*NORMSINV($B175)+SQRT(1-O$9^2*$C$11)*NORMSINV(N175))*(O$7-O$5)*(O$6-O$5)),O$7-SQRT((1-NORMSDIST(O$9*SQRT($C$11)*NORMSINV($B175)+SQRT(1-O$9^2*$C$11)*NORMSINV(N175)))*(O$7-O$5)*(O$7-O$6))))</f>
        <v>0.160884981286259</v>
      </c>
      <c r="P175" s="2" t="n">
        <v>0.469326583</v>
      </c>
      <c r="Q175" s="2" t="n">
        <f aca="false">IF(Q$7=Q$5,Q$6,IF(NORMSDIST(Q$9*SQRT($C$11)*NORMSINV($B175)+SQRT(1-Q$9^2*$C$11)*NORMSINV(P175))&lt;Q$8,Q$5+SQRT(NORMSDIST(Q$9*SQRT($C$11)*NORMSINV($B175)+SQRT(1-Q$9^2*$C$11)*NORMSINV(P175))*(Q$7-Q$5)*(Q$6-Q$5)),Q$7-SQRT((1-NORMSDIST(Q$9*SQRT($C$11)*NORMSINV($B175)+SQRT(1-Q$9^2*$C$11)*NORMSINV(P175)))*(Q$7-Q$5)*(Q$7-Q$6))))</f>
        <v>0.0787536458362307</v>
      </c>
      <c r="R175" s="2" t="n">
        <v>0.450495194</v>
      </c>
      <c r="S175" s="2" t="n">
        <f aca="false">IF(S$7=S$5,S$6,IF(NORMSDIST(S$9*SQRT($C$11)*NORMSINV($B175)+SQRT(1-S$9^2*$C$11)*NORMSINV(R175))&lt;S$8,S$5+SQRT(NORMSDIST(S$9*SQRT($C$11)*NORMSINV($B175)+SQRT(1-S$9^2*$C$11)*NORMSINV(R175))*(S$7-S$5)*(S$6-S$5)),S$7-SQRT((1-NORMSDIST(S$9*SQRT($C$11)*NORMSINV($B175)+SQRT(1-S$9^2*$C$11)*NORMSINV(R175)))*(S$7-S$5)*(S$7-S$6))))</f>
        <v>0.572831250435301</v>
      </c>
      <c r="T175" s="2" t="n">
        <v>0.14204903</v>
      </c>
      <c r="U175" s="2" t="n">
        <f aca="false">IF(U$7=U$5,U$6,IF(NORMSDIST(U$9*SQRT($C$11)*NORMSINV($B175)+SQRT(1-U$9^2*$C$11)*NORMSINV(T175))&lt;U$8,U$5+SQRT(NORMSDIST(U$9*SQRT($C$11)*NORMSINV($B175)+SQRT(1-U$9^2*$C$11)*NORMSINV(T175))*(U$7-U$5)*(U$6-U$5)),U$7-SQRT((1-NORMSDIST(U$9*SQRT($C$11)*NORMSINV($B175)+SQRT(1-U$9^2*$C$11)*NORMSINV(T175)))*(U$7-U$5)*(U$7-U$6))))</f>
        <v>0.417719118672668</v>
      </c>
      <c r="V175" s="2" t="n">
        <v>0.063033019</v>
      </c>
      <c r="W175" s="2" t="n">
        <f aca="false">IF(W$7=W$5,W$6,IF(NORMSDIST(W$9*SQRT($C$11)*NORMSINV($B175)+SQRT(1-W$9^2*$C$11)*NORMSINV(V175))&lt;W$8,W$5+SQRT(NORMSDIST(W$9*SQRT($C$11)*NORMSINV($B175)+SQRT(1-W$9^2*$C$11)*NORMSINV(V175))*(W$7-W$5)*(W$6-W$5)),W$7-SQRT((1-NORMSDIST(W$9*SQRT($C$11)*NORMSINV($B175)+SQRT(1-W$9^2*$C$11)*NORMSINV(V175)))*(W$7-W$5)*(W$7-W$6))))</f>
        <v>9.35244141573418</v>
      </c>
      <c r="X175" s="2" t="n">
        <v>0.035811438</v>
      </c>
      <c r="Y175" s="2" t="n">
        <f aca="false">IF(Y$7=Y$5,Y$6,IF(NORMSDIST(Y$9*SQRT($C$11)*NORMSINV($B175)+SQRT(1-Y$9^2*$C$11)*NORMSINV(X175))&lt;Y$8,Y$5+SQRT(NORMSDIST(Y$9*SQRT($C$11)*NORMSINV($B175)+SQRT(1-Y$9^2*$C$11)*NORMSINV(X175))*(Y$7-Y$5)*(Y$6-Y$5)),Y$7-SQRT((1-NORMSDIST(Y$9*SQRT($C$11)*NORMSINV($B175)+SQRT(1-Y$9^2*$C$11)*NORMSINV(X175)))*(Y$7-Y$5)*(Y$7-Y$6))))</f>
        <v>0.1338122528022</v>
      </c>
      <c r="Z175" s="2" t="n">
        <v>0.567129756</v>
      </c>
      <c r="AA175" s="2" t="n">
        <f aca="false">IF(AA$7=AA$5,AA$6,IF(NORMSDIST(AA$9*SQRT($C$11)*NORMSINV($B175)+SQRT(1-AA$9^2*$C$11)*NORMSINV(Z175))&lt;AA$8,AA$5+SQRT(NORMSDIST(AA$9*SQRT($C$11)*NORMSINV($B175)+SQRT(1-AA$9^2*$C$11)*NORMSINV(Z175))*(AA$7-AA$5)*(AA$6-AA$5)),AA$7-SQRT((1-NORMSDIST(AA$9*SQRT($C$11)*NORMSINV($B175)+SQRT(1-AA$9^2*$C$11)*NORMSINV(Z175)))*(AA$7-AA$5)*(AA$7-AA$6))))</f>
        <v>0.734782126032666</v>
      </c>
      <c r="AB175" s="2" t="n">
        <v>0.028757241</v>
      </c>
      <c r="AC175" s="2" t="n">
        <f aca="false">IF(AC$7=AC$5,AC$6,IF(NORMSDIST(AC$9*SQRT($C$11)*NORMSINV($B175)+SQRT(1-AC$9^2*$C$11)*NORMSINV(AB175))&lt;AC$8,AC$5+SQRT(NORMSDIST(AC$9*SQRT($C$11)*NORMSINV($B175)+SQRT(1-AC$9^2*$C$11)*NORMSINV(AB175))*(AC$7-AC$5)*(AC$6-AC$5)),AC$7-SQRT((1-NORMSDIST(AC$9*SQRT($C$11)*NORMSINV($B175)+SQRT(1-AC$9^2*$C$11)*NORMSINV(AB175)))*(AC$7-AC$5)*(AC$7-AC$6))))</f>
        <v>8.54445585655844</v>
      </c>
      <c r="AD175" s="2" t="n">
        <f aca="false">Entrées!$C$8*(1+E175)</f>
        <v>7440.61755514084</v>
      </c>
      <c r="AE175" s="2" t="n">
        <f aca="false">I175*Hypothèses!$J$24/12/Hypothèses!$J$19</f>
        <v>98.3739286311499</v>
      </c>
      <c r="AF175" s="2" t="n">
        <f aca="false">Entrées!$C$36*S175*1000</f>
        <v>286.41562521765</v>
      </c>
      <c r="AG175" s="2" t="n">
        <f aca="false">-AF175/W175</f>
        <v>-30.6246906541212</v>
      </c>
      <c r="AH175" s="2" t="n">
        <f aca="false">AD175+AE175+AG175</f>
        <v>7508.36679311787</v>
      </c>
      <c r="AI175" s="2" t="n">
        <f aca="false">Entrées!$C$16-M175+Hypothèses!$J$22*1000-AF175+Hypothèses!$J$23</f>
        <v>22604.9083657827</v>
      </c>
      <c r="AJ175" s="2" t="n">
        <f aca="false">AI175/AH175</f>
        <v>3.01062920720686</v>
      </c>
      <c r="AK175" s="2" t="n">
        <f aca="false">AI175/(AH175+I175*(12-Hypothèses!$J$24)/12/Hypothèses!$J$19)</f>
        <v>2.98271544829889</v>
      </c>
      <c r="AL175" s="2" t="n">
        <f aca="false">(AD175+AG175+I175/Hypothèses!$J$19)*(1+G175)</f>
        <v>8100.70169696202</v>
      </c>
      <c r="AM175" s="2" t="n">
        <f aca="false">Entrées!$C$54*K175/Hypothèses!$J$19</f>
        <v>21.5341525889298</v>
      </c>
      <c r="AN175" s="2" t="n">
        <f aca="false">Y175*1000/AC175</f>
        <v>15.660710880669</v>
      </c>
      <c r="AO175" s="2" t="n">
        <f aca="false">(Entrées!$C$36*(1-S175)+MAX(0,Entrées!$C$30-Entrées!$C$35-Entrées!$C$36)*U175)*1000</f>
        <v>798.391140924084</v>
      </c>
      <c r="AP175" s="2" t="n">
        <f aca="false">-AO175/W175</f>
        <v>-85.3671362838908</v>
      </c>
      <c r="AQ175" s="2" t="n">
        <f aca="false">AL175+AM175+AN175+AP175</f>
        <v>8052.52942414773</v>
      </c>
      <c r="AR175" s="2" t="n">
        <f aca="false">O175*AQ175-Hypothèses!$J$25/Hypothèses!$J$19</f>
        <v>1276.39588344943</v>
      </c>
      <c r="AS175" s="2" t="n">
        <f aca="false">Entrées!$C$79*(1+Q175)+Hypothèses!$J$20</f>
        <v>1480.55025677402</v>
      </c>
      <c r="AT175" s="2" t="n">
        <f aca="false">AI175-AR175+AS175+Y175*1000-AO175+Hypothèses!$J$23</f>
        <v>22144.4838509854</v>
      </c>
      <c r="AU175" s="2" t="n">
        <f aca="false">AT175/AQ175</f>
        <v>2.75000346904403</v>
      </c>
      <c r="AV175" s="2" t="n">
        <f aca="false">Hypothèses!$J$26*AQ175-AT175</f>
        <v>2013.10442145777</v>
      </c>
      <c r="AW175" s="2" t="n">
        <f aca="false">IF(AC175&gt;Hypothèses!$J$26,MAX(0,AV175)/(1-Hypothèses!$J$26/AC175),0)</f>
        <v>3102.35707683414</v>
      </c>
      <c r="AX175" s="2" t="n">
        <f aca="false">AQ175-Entrées!$C$17*1000</f>
        <v>52.5294241477322</v>
      </c>
      <c r="AY175" s="2" t="n">
        <f aca="false">AI175+(Entrées!$C$244-Entrées!$C$13)</f>
        <v>28351.9083657827</v>
      </c>
      <c r="AZ175" s="2" t="n">
        <f aca="false">AA175*AH175</f>
        <v>5517.01371528021</v>
      </c>
      <c r="BA175" s="2" t="n">
        <f aca="false">AZ175/AY175</f>
        <v>0.19459055962309</v>
      </c>
      <c r="BB175" s="2" t="n">
        <f aca="false">AZ175/(Entrées!$C$151/100)-AY175</f>
        <v>2298.16783021847</v>
      </c>
      <c r="BC175" s="2" t="n">
        <f aca="false">AT175+(Entrées!$C$244-Entrées!$C$13)</f>
        <v>27891.4838509854</v>
      </c>
      <c r="BD175" s="2" t="n">
        <f aca="false">AA175*AQ175</f>
        <v>5916.85469021587</v>
      </c>
      <c r="BE175" s="2" t="n">
        <f aca="false">BD175/BC175</f>
        <v>0.212138397577826</v>
      </c>
      <c r="BF175" s="2" t="n">
        <f aca="false">BD175/(Entrées!$C$151/100)-BC175</f>
        <v>4979.93109465829</v>
      </c>
      <c r="BG175" s="2" t="n">
        <f aca="false">MIN(AV175,BF175)</f>
        <v>2013.10442145777</v>
      </c>
      <c r="BH175" s="2" t="n">
        <f aca="false">IF(AC175&gt;Hypothèses!$J$26,MAX(0,BG175)/(1-Hypothèses!$J$26/AC175),0)</f>
        <v>3102.35707683414</v>
      </c>
    </row>
    <row r="176" customFormat="false" ht="15" hidden="false" customHeight="false" outlineLevel="0" collapsed="false">
      <c r="A176" s="2" t="n">
        <v>161</v>
      </c>
      <c r="B176" s="2" t="n">
        <v>0.920186968</v>
      </c>
      <c r="C176" s="2"/>
      <c r="D176" s="2" t="n">
        <v>0.503606575</v>
      </c>
      <c r="E176" s="2" t="n">
        <f aca="false">IF(E$7=E$5,E$6,IF(NORMSDIST(E$9*SQRT($C$11)*NORMSINV($B176)+SQRT(1-E$9^2*$C$11)*NORMSINV(D176))&lt;E$8,E$5+SQRT(NORMSDIST(E$9*SQRT($C$11)*NORMSINV($B176)+SQRT(1-E$9^2*$C$11)*NORMSINV(D176))*(E$7-E$5)*(E$6-E$5)),E$7-SQRT((1-NORMSDIST(E$9*SQRT($C$11)*NORMSINV($B176)+SQRT(1-E$9^2*$C$11)*NORMSINV(D176)))*(E$7-E$5)*(E$7-E$6))))</f>
        <v>0.0569585545224035</v>
      </c>
      <c r="F176" s="2" t="n">
        <v>0.542893798</v>
      </c>
      <c r="G176" s="2" t="n">
        <f aca="false">IF(G$7=G$5,G$6,IF(NORMSDIST(G$9*SQRT($C$11)*NORMSINV($B176)+SQRT(1-G$9^2*$C$11)*NORMSINV(F176))&lt;G$8,G$5+SQRT(NORMSDIST(G$9*SQRT($C$11)*NORMSINV($B176)+SQRT(1-G$9^2*$C$11)*NORMSINV(F176))*(G$7-G$5)*(G$6-G$5)),G$7-SQRT((1-NORMSDIST(G$9*SQRT($C$11)*NORMSINV($B176)+SQRT(1-G$9^2*$C$11)*NORMSINV(F176)))*(G$7-G$5)*(G$7-G$6))))</f>
        <v>0.0613751974891162</v>
      </c>
      <c r="H176" s="2" t="n">
        <v>0.315076267</v>
      </c>
      <c r="I176" s="2" t="n">
        <f aca="false">IF(I$7=I$5,I$6,IF(NORMSDIST(I$9*SQRT($C$11)*NORMSINV($B176)+SQRT(1-I$9^2*$C$11)*NORMSINV(H176))&lt;I$8,I$5+SQRT(NORMSDIST(I$9*SQRT($C$11)*NORMSINV($B176)+SQRT(1-I$9^2*$C$11)*NORMSINV(H176))*(I$7-I$5)*(I$6-I$5)),I$7-SQRT((1-NORMSDIST(I$9*SQRT($C$11)*NORMSINV($B176)+SQRT(1-I$9^2*$C$11)*NORMSINV(H176)))*(I$7-I$5)*(I$7-I$6))))</f>
        <v>204.436830505661</v>
      </c>
      <c r="J176" s="2" t="n">
        <v>0.702338259</v>
      </c>
      <c r="K176" s="2" t="n">
        <f aca="false">IF(K$7=K$5,K$6,IF(NORMSDIST(K$9*SQRT($C$11)*NORMSINV($B176)+SQRT(1-K$9^2*$C$11)*NORMSINV(J176))&lt;K$8,K$5+SQRT(NORMSDIST(K$9*SQRT($C$11)*NORMSINV($B176)+SQRT(1-K$9^2*$C$11)*NORMSINV(J176))*(K$7-K$5)*(K$6-K$5)),K$7-SQRT((1-NORMSDIST(K$9*SQRT($C$11)*NORMSINV($B176)+SQRT(1-K$9^2*$C$11)*NORMSINV(J176)))*(K$7-K$5)*(K$7-K$6))))</f>
        <v>0.390083323990866</v>
      </c>
      <c r="L176" s="2" t="n">
        <v>0.592794324</v>
      </c>
      <c r="M176" s="2" t="n">
        <f aca="false">IF(M$7=M$5,M$6,IF(NORMSDIST(M$9*SQRT($C$11)*NORMSINV($B176)+SQRT(1-M$9^2*$C$11)*NORMSINV(L176))&lt;M$8,M$5+SQRT(NORMSDIST(M$9*SQRT($C$11)*NORMSINV($B176)+SQRT(1-M$9^2*$C$11)*NORMSINV(L176))*(M$7-M$5)*(M$6-M$5)),M$7-SQRT((1-NORMSDIST(M$9*SQRT($C$11)*NORMSINV($B176)+SQRT(1-M$9^2*$C$11)*NORMSINV(L176)))*(M$7-M$5)*(M$7-M$6))))</f>
        <v>1685.56828371349</v>
      </c>
      <c r="N176" s="2" t="n">
        <v>0.609791811</v>
      </c>
      <c r="O176" s="2" t="n">
        <f aca="false">IF(O$7=O$5,O$6,IF(NORMSDIST(O$9*SQRT($C$11)*NORMSINV($B176)+SQRT(1-O$9^2*$C$11)*NORMSINV(N176))&lt;O$8,O$5+SQRT(NORMSDIST(O$9*SQRT($C$11)*NORMSINV($B176)+SQRT(1-O$9^2*$C$11)*NORMSINV(N176))*(O$7-O$5)*(O$6-O$5)),O$7-SQRT((1-NORMSDIST(O$9*SQRT($C$11)*NORMSINV($B176)+SQRT(1-O$9^2*$C$11)*NORMSINV(N176)))*(O$7-O$5)*(O$7-O$6))))</f>
        <v>0.178030701539962</v>
      </c>
      <c r="P176" s="2" t="n">
        <v>0.672003966</v>
      </c>
      <c r="Q176" s="2" t="n">
        <f aca="false">IF(Q$7=Q$5,Q$6,IF(NORMSDIST(Q$9*SQRT($C$11)*NORMSINV($B176)+SQRT(1-Q$9^2*$C$11)*NORMSINV(P176))&lt;Q$8,Q$5+SQRT(NORMSDIST(Q$9*SQRT($C$11)*NORMSINV($B176)+SQRT(1-Q$9^2*$C$11)*NORMSINV(P176))*(Q$7-Q$5)*(Q$6-Q$5)),Q$7-SQRT((1-NORMSDIST(Q$9*SQRT($C$11)*NORMSINV($B176)+SQRT(1-Q$9^2*$C$11)*NORMSINV(P176)))*(Q$7-Q$5)*(Q$7-Q$6))))</f>
        <v>0.0876026650972646</v>
      </c>
      <c r="R176" s="2" t="n">
        <v>0.905242326</v>
      </c>
      <c r="S176" s="2" t="n">
        <f aca="false">IF(S$7=S$5,S$6,IF(NORMSDIST(S$9*SQRT($C$11)*NORMSINV($B176)+SQRT(1-S$9^2*$C$11)*NORMSINV(R176))&lt;S$8,S$5+SQRT(NORMSDIST(S$9*SQRT($C$11)*NORMSINV($B176)+SQRT(1-S$9^2*$C$11)*NORMSINV(R176))*(S$7-S$5)*(S$6-S$5)),S$7-SQRT((1-NORMSDIST(S$9*SQRT($C$11)*NORMSINV($B176)+SQRT(1-S$9^2*$C$11)*NORMSINV(R176)))*(S$7-S$5)*(S$7-S$6))))</f>
        <v>0.880955756858419</v>
      </c>
      <c r="T176" s="2" t="n">
        <v>0.576601236</v>
      </c>
      <c r="U176" s="2" t="n">
        <f aca="false">IF(U$7=U$5,U$6,IF(NORMSDIST(U$9*SQRT($C$11)*NORMSINV($B176)+SQRT(1-U$9^2*$C$11)*NORMSINV(T176))&lt;U$8,U$5+SQRT(NORMSDIST(U$9*SQRT($C$11)*NORMSINV($B176)+SQRT(1-U$9^2*$C$11)*NORMSINV(T176))*(U$7-U$5)*(U$6-U$5)),U$7-SQRT((1-NORMSDIST(U$9*SQRT($C$11)*NORMSINV($B176)+SQRT(1-U$9^2*$C$11)*NORMSINV(T176)))*(U$7-U$5)*(U$7-U$6))))</f>
        <v>0.726705717528173</v>
      </c>
      <c r="V176" s="2" t="n">
        <v>0.473690218</v>
      </c>
      <c r="W176" s="2" t="n">
        <f aca="false">IF(W$7=W$5,W$6,IF(NORMSDIST(W$9*SQRT($C$11)*NORMSINV($B176)+SQRT(1-W$9^2*$C$11)*NORMSINV(V176))&lt;W$8,W$5+SQRT(NORMSDIST(W$9*SQRT($C$11)*NORMSINV($B176)+SQRT(1-W$9^2*$C$11)*NORMSINV(V176))*(W$7-W$5)*(W$6-W$5)),W$7-SQRT((1-NORMSDIST(W$9*SQRT($C$11)*NORMSINV($B176)+SQRT(1-W$9^2*$C$11)*NORMSINV(V176)))*(W$7-W$5)*(W$7-W$6))))</f>
        <v>10.732166097584</v>
      </c>
      <c r="X176" s="2" t="n">
        <v>0.211652954</v>
      </c>
      <c r="Y176" s="2" t="n">
        <f aca="false">IF(Y$7=Y$5,Y$6,IF(NORMSDIST(Y$9*SQRT($C$11)*NORMSINV($B176)+SQRT(1-Y$9^2*$C$11)*NORMSINV(X176))&lt;Y$8,Y$5+SQRT(NORMSDIST(Y$9*SQRT($C$11)*NORMSINV($B176)+SQRT(1-Y$9^2*$C$11)*NORMSINV(X176))*(Y$7-Y$5)*(Y$6-Y$5)),Y$7-SQRT((1-NORMSDIST(Y$9*SQRT($C$11)*NORMSINV($B176)+SQRT(1-Y$9^2*$C$11)*NORMSINV(X176)))*(Y$7-Y$5)*(Y$7-Y$6))))</f>
        <v>0.325309816943787</v>
      </c>
      <c r="Z176" s="2" t="n">
        <v>0.474377835</v>
      </c>
      <c r="AA176" s="2" t="n">
        <f aca="false">IF(AA$7=AA$5,AA$6,IF(NORMSDIST(AA$9*SQRT($C$11)*NORMSINV($B176)+SQRT(1-AA$9^2*$C$11)*NORMSINV(Z176))&lt;AA$8,AA$5+SQRT(NORMSDIST(AA$9*SQRT($C$11)*NORMSINV($B176)+SQRT(1-AA$9^2*$C$11)*NORMSINV(Z176))*(AA$7-AA$5)*(AA$6-AA$5)),AA$7-SQRT((1-NORMSDIST(AA$9*SQRT($C$11)*NORMSINV($B176)+SQRT(1-AA$9^2*$C$11)*NORMSINV(Z176)))*(AA$7-AA$5)*(AA$7-AA$6))))</f>
        <v>0.737814856850916</v>
      </c>
      <c r="AB176" s="2" t="n">
        <v>0.448615181</v>
      </c>
      <c r="AC176" s="2" t="n">
        <f aca="false">IF(AC$7=AC$5,AC$6,IF(NORMSDIST(AC$9*SQRT($C$11)*NORMSINV($B176)+SQRT(1-AC$9^2*$C$11)*NORMSINV(AB176))&lt;AC$8,AC$5+SQRT(NORMSDIST(AC$9*SQRT($C$11)*NORMSINV($B176)+SQRT(1-AC$9^2*$C$11)*NORMSINV(AB176))*(AC$7-AC$5)*(AC$6-AC$5)),AC$7-SQRT((1-NORMSDIST(AC$9*SQRT($C$11)*NORMSINV($B176)+SQRT(1-AC$9^2*$C$11)*NORMSINV(AB176)))*(AC$7-AC$5)*(AC$7-AC$6))))</f>
        <v>10.0363896807821</v>
      </c>
      <c r="AD176" s="2" t="n">
        <f aca="false">Entrées!$C$8*(1+E176)</f>
        <v>7451.55780938294</v>
      </c>
      <c r="AE176" s="2" t="n">
        <f aca="false">I176*Hypothèses!$J$24/12/Hypothèses!$J$19</f>
        <v>101.420457288328</v>
      </c>
      <c r="AF176" s="2" t="n">
        <f aca="false">Entrées!$C$36*S176*1000</f>
        <v>440.47787842921</v>
      </c>
      <c r="AG176" s="2" t="n">
        <f aca="false">-AF176/W176</f>
        <v>-41.0427750021844</v>
      </c>
      <c r="AH176" s="2" t="n">
        <f aca="false">AD176+AE176+AG176</f>
        <v>7511.93549166909</v>
      </c>
      <c r="AI176" s="2" t="n">
        <f aca="false">Entrées!$C$16-M176+Hypothèses!$J$22*1000-AF176+Hypothèses!$J$23</f>
        <v>22421.9538378573</v>
      </c>
      <c r="AJ176" s="2" t="n">
        <f aca="false">AI176/AH176</f>
        <v>2.98484376799079</v>
      </c>
      <c r="AK176" s="2" t="n">
        <f aca="false">AI176/(AH176+I176*(12-Hypothèses!$J$24)/12/Hypothèses!$J$19)</f>
        <v>2.95633364278682</v>
      </c>
      <c r="AL176" s="2" t="n">
        <f aca="false">(AD176+AG176+I176/Hypothèses!$J$19)*(1+G176)</f>
        <v>8049.87141448423</v>
      </c>
      <c r="AM176" s="2" t="n">
        <f aca="false">Entrées!$C$54*K176/Hypothèses!$J$19</f>
        <v>39.8096410673047</v>
      </c>
      <c r="AN176" s="2" t="n">
        <f aca="false">Y176*1000/AC176</f>
        <v>32.41303170668</v>
      </c>
      <c r="AO176" s="2" t="n">
        <f aca="false">(Entrées!$C$36*(1-S176)+MAX(0,Entrées!$C$30-Entrées!$C$35-Entrées!$C$36)*U176)*1000</f>
        <v>1076.91012611023</v>
      </c>
      <c r="AP176" s="2" t="n">
        <f aca="false">-AO176/W176</f>
        <v>-100.34415385657</v>
      </c>
      <c r="AQ176" s="2" t="n">
        <f aca="false">AL176+AM176+AN176+AP176</f>
        <v>8021.74993340165</v>
      </c>
      <c r="AR176" s="2" t="n">
        <f aca="false">O176*AQ176-Hypothèses!$J$25/Hypothèses!$J$19</f>
        <v>1408.98260596001</v>
      </c>
      <c r="AS176" s="2" t="n">
        <f aca="false">Entrées!$C$79*(1+Q176)+Hypothèses!$J$20</f>
        <v>1490.27532894189</v>
      </c>
      <c r="AT176" s="2" t="n">
        <f aca="false">AI176-AR176+AS176+Y176*1000-AO176+Hypothèses!$J$23</f>
        <v>21751.6462516727</v>
      </c>
      <c r="AU176" s="2" t="n">
        <f aca="false">AT176/AQ176</f>
        <v>2.71158368588646</v>
      </c>
      <c r="AV176" s="2" t="n">
        <f aca="false">Hypothèses!$J$26*AQ176-AT176</f>
        <v>2313.6035485322</v>
      </c>
      <c r="AW176" s="2" t="n">
        <f aca="false">IF(AC176&gt;Hypothèses!$J$26,MAX(0,AV176)/(1-Hypothèses!$J$26/AC176),0)</f>
        <v>3300.02001499844</v>
      </c>
      <c r="AX176" s="2" t="n">
        <f aca="false">AQ176-Entrées!$C$17*1000</f>
        <v>21.7499334016457</v>
      </c>
      <c r="AY176" s="2" t="n">
        <f aca="false">AI176+(Entrées!$C$244-Entrées!$C$13)</f>
        <v>28168.9538378573</v>
      </c>
      <c r="AZ176" s="2" t="n">
        <f aca="false">AA176*AH176</f>
        <v>5542.41760945915</v>
      </c>
      <c r="BA176" s="2" t="n">
        <f aca="false">AZ176/AY176</f>
        <v>0.196756245949414</v>
      </c>
      <c r="BB176" s="2" t="n">
        <f aca="false">AZ176/(Entrées!$C$151/100)-AY176</f>
        <v>2622.25510358239</v>
      </c>
      <c r="BC176" s="2" t="n">
        <f aca="false">AT176+(Entrées!$C$244-Entrées!$C$13)</f>
        <v>27498.6462516727</v>
      </c>
      <c r="BD176" s="2" t="n">
        <f aca="false">AA176*AQ176</f>
        <v>5918.56627880658</v>
      </c>
      <c r="BE176" s="2" t="n">
        <f aca="false">BD176/BC176</f>
        <v>0.215231187187862</v>
      </c>
      <c r="BF176" s="2" t="n">
        <f aca="false">BD176/(Entrées!$C$151/100)-BC176</f>
        <v>5382.27751947495</v>
      </c>
      <c r="BG176" s="2" t="n">
        <f aca="false">MIN(AV176,BF176)</f>
        <v>2313.6035485322</v>
      </c>
      <c r="BH176" s="2" t="n">
        <f aca="false">IF(AC176&gt;Hypothèses!$J$26,MAX(0,BG176)/(1-Hypothèses!$J$26/AC176),0)</f>
        <v>3300.02001499844</v>
      </c>
    </row>
    <row r="177" customFormat="false" ht="15" hidden="false" customHeight="false" outlineLevel="0" collapsed="false">
      <c r="A177" s="2" t="n">
        <v>162</v>
      </c>
      <c r="B177" s="2" t="n">
        <v>0.257585106</v>
      </c>
      <c r="C177" s="2"/>
      <c r="D177" s="2" t="n">
        <v>0.798923603</v>
      </c>
      <c r="E177" s="2" t="n">
        <f aca="false">IF(E$7=E$5,E$6,IF(NORMSDIST(E$9*SQRT($C$11)*NORMSINV($B177)+SQRT(1-E$9^2*$C$11)*NORMSINV(D177))&lt;E$8,E$5+SQRT(NORMSDIST(E$9*SQRT($C$11)*NORMSINV($B177)+SQRT(1-E$9^2*$C$11)*NORMSINV(D177))*(E$7-E$5)*(E$6-E$5)),E$7-SQRT((1-NORMSDIST(E$9*SQRT($C$11)*NORMSINV($B177)+SQRT(1-E$9^2*$C$11)*NORMSINV(D177)))*(E$7-E$5)*(E$7-E$6))))</f>
        <v>0.0554933496250253</v>
      </c>
      <c r="F177" s="2" t="n">
        <v>0.522364824</v>
      </c>
      <c r="G177" s="2" t="n">
        <f aca="false">IF(G$7=G$5,G$6,IF(NORMSDIST(G$9*SQRT($C$11)*NORMSINV($B177)+SQRT(1-G$9^2*$C$11)*NORMSINV(F177))&lt;G$8,G$5+SQRT(NORMSDIST(G$9*SQRT($C$11)*NORMSINV($B177)+SQRT(1-G$9^2*$C$11)*NORMSINV(F177))*(G$7-G$5)*(G$6-G$5)),G$7-SQRT((1-NORMSDIST(G$9*SQRT($C$11)*NORMSINV($B177)+SQRT(1-G$9^2*$C$11)*NORMSINV(F177)))*(G$7-G$5)*(G$7-G$6))))</f>
        <v>0.0526637103677607</v>
      </c>
      <c r="H177" s="2" t="n">
        <v>0.369545339</v>
      </c>
      <c r="I177" s="2" t="n">
        <f aca="false">IF(I$7=I$5,I$6,IF(NORMSDIST(I$9*SQRT($C$11)*NORMSINV($B177)+SQRT(1-I$9^2*$C$11)*NORMSINV(H177))&lt;I$8,I$5+SQRT(NORMSDIST(I$9*SQRT($C$11)*NORMSINV($B177)+SQRT(1-I$9^2*$C$11)*NORMSINV(H177))*(I$7-I$5)*(I$6-I$5)),I$7-SQRT((1-NORMSDIST(I$9*SQRT($C$11)*NORMSINV($B177)+SQRT(1-I$9^2*$C$11)*NORMSINV(H177)))*(I$7-I$5)*(I$7-I$6))))</f>
        <v>194.186154102228</v>
      </c>
      <c r="J177" s="2" t="n">
        <v>0.890800744</v>
      </c>
      <c r="K177" s="2" t="n">
        <f aca="false">IF(K$7=K$5,K$6,IF(NORMSDIST(K$9*SQRT($C$11)*NORMSINV($B177)+SQRT(1-K$9^2*$C$11)*NORMSINV(J177))&lt;K$8,K$5+SQRT(NORMSDIST(K$9*SQRT($C$11)*NORMSINV($B177)+SQRT(1-K$9^2*$C$11)*NORMSINV(J177))*(K$7-K$5)*(K$6-K$5)),K$7-SQRT((1-NORMSDIST(K$9*SQRT($C$11)*NORMSINV($B177)+SQRT(1-K$9^2*$C$11)*NORMSINV(J177)))*(K$7-K$5)*(K$7-K$6))))</f>
        <v>0.308300244023803</v>
      </c>
      <c r="L177" s="2" t="n">
        <v>0.140498752</v>
      </c>
      <c r="M177" s="2" t="n">
        <f aca="false">IF(M$7=M$5,M$6,IF(NORMSDIST(M$9*SQRT($C$11)*NORMSINV($B177)+SQRT(1-M$9^2*$C$11)*NORMSINV(L177))&lt;M$8,M$5+SQRT(NORMSDIST(M$9*SQRT($C$11)*NORMSINV($B177)+SQRT(1-M$9^2*$C$11)*NORMSINV(L177))*(M$7-M$5)*(M$6-M$5)),M$7-SQRT((1-NORMSDIST(M$9*SQRT($C$11)*NORMSINV($B177)+SQRT(1-M$9^2*$C$11)*NORMSINV(L177)))*(M$7-M$5)*(M$7-M$6))))</f>
        <v>1433.26915127452</v>
      </c>
      <c r="N177" s="2" t="n">
        <v>0.822810111</v>
      </c>
      <c r="O177" s="2" t="n">
        <f aca="false">IF(O$7=O$5,O$6,IF(NORMSDIST(O$9*SQRT($C$11)*NORMSINV($B177)+SQRT(1-O$9^2*$C$11)*NORMSINV(N177))&lt;O$8,O$5+SQRT(NORMSDIST(O$9*SQRT($C$11)*NORMSINV($B177)+SQRT(1-O$9^2*$C$11)*NORMSINV(N177))*(O$7-O$5)*(O$6-O$5)),O$7-SQRT((1-NORMSDIST(O$9*SQRT($C$11)*NORMSINV($B177)+SQRT(1-O$9^2*$C$11)*NORMSINV(N177)))*(O$7-O$5)*(O$7-O$6))))</f>
        <v>0.169884019975859</v>
      </c>
      <c r="P177" s="2" t="n">
        <v>0.875593214</v>
      </c>
      <c r="Q177" s="2" t="n">
        <f aca="false">IF(Q$7=Q$5,Q$6,IF(NORMSDIST(Q$9*SQRT($C$11)*NORMSINV($B177)+SQRT(1-Q$9^2*$C$11)*NORMSINV(P177))&lt;Q$8,Q$5+SQRT(NORMSDIST(Q$9*SQRT($C$11)*NORMSINV($B177)+SQRT(1-Q$9^2*$C$11)*NORMSINV(P177))*(Q$7-Q$5)*(Q$6-Q$5)),Q$7-SQRT((1-NORMSDIST(Q$9*SQRT($C$11)*NORMSINV($B177)+SQRT(1-Q$9^2*$C$11)*NORMSINV(P177)))*(Q$7-Q$5)*(Q$7-Q$6))))</f>
        <v>0.100047513558456</v>
      </c>
      <c r="R177" s="2" t="n">
        <v>0.083549639</v>
      </c>
      <c r="S177" s="2" t="n">
        <f aca="false">IF(S$7=S$5,S$6,IF(NORMSDIST(S$9*SQRT($C$11)*NORMSINV($B177)+SQRT(1-S$9^2*$C$11)*NORMSINV(R177))&lt;S$8,S$5+SQRT(NORMSDIST(S$9*SQRT($C$11)*NORMSINV($B177)+SQRT(1-S$9^2*$C$11)*NORMSINV(R177))*(S$7-S$5)*(S$6-S$5)),S$7-SQRT((1-NORMSDIST(S$9*SQRT($C$11)*NORMSINV($B177)+SQRT(1-S$9^2*$C$11)*NORMSINV(R177)))*(S$7-S$5)*(S$7-S$6))))</f>
        <v>0.186010298878471</v>
      </c>
      <c r="T177" s="2" t="n">
        <v>0.926547071</v>
      </c>
      <c r="U177" s="2" t="n">
        <f aca="false">IF(U$7=U$5,U$6,IF(NORMSDIST(U$9*SQRT($C$11)*NORMSINV($B177)+SQRT(1-U$9^2*$C$11)*NORMSINV(T177))&lt;U$8,U$5+SQRT(NORMSDIST(U$9*SQRT($C$11)*NORMSINV($B177)+SQRT(1-U$9^2*$C$11)*NORMSINV(T177))*(U$7-U$5)*(U$6-U$5)),U$7-SQRT((1-NORMSDIST(U$9*SQRT($C$11)*NORMSINV($B177)+SQRT(1-U$9^2*$C$11)*NORMSINV(T177)))*(U$7-U$5)*(U$7-U$6))))</f>
        <v>0.654863834190165</v>
      </c>
      <c r="V177" s="2" t="n">
        <v>0.61801821</v>
      </c>
      <c r="W177" s="2" t="n">
        <f aca="false">IF(W$7=W$5,W$6,IF(NORMSDIST(W$9*SQRT($C$11)*NORMSINV($B177)+SQRT(1-W$9^2*$C$11)*NORMSINV(V177))&lt;W$8,W$5+SQRT(NORMSDIST(W$9*SQRT($C$11)*NORMSINV($B177)+SQRT(1-W$9^2*$C$11)*NORMSINV(V177))*(W$7-W$5)*(W$6-W$5)),W$7-SQRT((1-NORMSDIST(W$9*SQRT($C$11)*NORMSINV($B177)+SQRT(1-W$9^2*$C$11)*NORMSINV(V177)))*(W$7-W$5)*(W$7-W$6))))</f>
        <v>9.85248883003376</v>
      </c>
      <c r="X177" s="2" t="n">
        <v>0.60701727</v>
      </c>
      <c r="Y177" s="2" t="n">
        <f aca="false">IF(Y$7=Y$5,Y$6,IF(NORMSDIST(Y$9*SQRT($C$11)*NORMSINV($B177)+SQRT(1-Y$9^2*$C$11)*NORMSINV(X177))&lt;Y$8,Y$5+SQRT(NORMSDIST(Y$9*SQRT($C$11)*NORMSINV($B177)+SQRT(1-Y$9^2*$C$11)*NORMSINV(X177))*(Y$7-Y$5)*(Y$6-Y$5)),Y$7-SQRT((1-NORMSDIST(Y$9*SQRT($C$11)*NORMSINV($B177)+SQRT(1-Y$9^2*$C$11)*NORMSINV(X177)))*(Y$7-Y$5)*(Y$7-Y$6))))</f>
        <v>0.55672653474407</v>
      </c>
      <c r="Z177" s="2" t="n">
        <v>0.579379623</v>
      </c>
      <c r="AA177" s="2" t="n">
        <f aca="false">IF(AA$7=AA$5,AA$6,IF(NORMSDIST(AA$9*SQRT($C$11)*NORMSINV($B177)+SQRT(1-AA$9^2*$C$11)*NORMSINV(Z177))&lt;AA$8,AA$5+SQRT(NORMSDIST(AA$9*SQRT($C$11)*NORMSINV($B177)+SQRT(1-AA$9^2*$C$11)*NORMSINV(Z177))*(AA$7-AA$5)*(AA$6-AA$5)),AA$7-SQRT((1-NORMSDIST(AA$9*SQRT($C$11)*NORMSINV($B177)+SQRT(1-AA$9^2*$C$11)*NORMSINV(Z177)))*(AA$7-AA$5)*(AA$7-AA$6))))</f>
        <v>0.724551852207184</v>
      </c>
      <c r="AB177" s="2" t="n">
        <v>0.90068786</v>
      </c>
      <c r="AC177" s="2" t="n">
        <f aca="false">IF(AC$7=AC$5,AC$6,IF(NORMSDIST(AC$9*SQRT($C$11)*NORMSINV($B177)+SQRT(1-AC$9^2*$C$11)*NORMSINV(AB177))&lt;AC$8,AC$5+SQRT(NORMSDIST(AC$9*SQRT($C$11)*NORMSINV($B177)+SQRT(1-AC$9^2*$C$11)*NORMSINV(AB177))*(AC$7-AC$5)*(AC$6-AC$5)),AC$7-SQRT((1-NORMSDIST(AC$9*SQRT($C$11)*NORMSINV($B177)+SQRT(1-AC$9^2*$C$11)*NORMSINV(AB177)))*(AC$7-AC$5)*(AC$7-AC$6))))</f>
        <v>9.90102833013649</v>
      </c>
      <c r="AD177" s="2" t="n">
        <f aca="false">Entrées!$C$8*(1+E177)</f>
        <v>7441.22811485643</v>
      </c>
      <c r="AE177" s="2" t="n">
        <f aca="false">I177*Hypothèses!$J$24/12/Hypothèses!$J$19</f>
        <v>96.3351295331505</v>
      </c>
      <c r="AF177" s="2" t="n">
        <f aca="false">Entrées!$C$36*S177*1000</f>
        <v>93.0051494392357</v>
      </c>
      <c r="AG177" s="2" t="n">
        <f aca="false">-AF177/W177</f>
        <v>-9.43976197727058</v>
      </c>
      <c r="AH177" s="2" t="n">
        <f aca="false">AD177+AE177+AG177</f>
        <v>7528.12348241231</v>
      </c>
      <c r="AI177" s="2" t="n">
        <f aca="false">Entrées!$C$16-M177+Hypothèses!$J$22*1000-AF177+Hypothèses!$J$23</f>
        <v>23021.7256992862</v>
      </c>
      <c r="AJ177" s="2" t="n">
        <f aca="false">AI177/AH177</f>
        <v>3.05809618466954</v>
      </c>
      <c r="AK177" s="2" t="n">
        <f aca="false">AI177/(AH177+I177*(12-Hypothèses!$J$24)/12/Hypothèses!$J$19)</f>
        <v>3.03039684467835</v>
      </c>
      <c r="AL177" s="2" t="n">
        <f aca="false">(AD177+AG177+I177/Hypothèses!$J$19)*(1+G177)</f>
        <v>7997.01703631218</v>
      </c>
      <c r="AM177" s="2" t="n">
        <f aca="false">Entrées!$C$54*K177/Hypothèses!$J$19</f>
        <v>31.4633343717032</v>
      </c>
      <c r="AN177" s="2" t="n">
        <f aca="false">Y177*1000/AC177</f>
        <v>56.2291628890224</v>
      </c>
      <c r="AO177" s="2" t="n">
        <f aca="false">(Entrées!$C$36*(1-S177)+MAX(0,Entrées!$C$30-Entrées!$C$35-Entrées!$C$36)*U177)*1000</f>
        <v>1323.80421842699</v>
      </c>
      <c r="AP177" s="2" t="n">
        <f aca="false">-AO177/W177</f>
        <v>-134.362417584437</v>
      </c>
      <c r="AQ177" s="2" t="n">
        <f aca="false">AL177+AM177+AN177+AP177</f>
        <v>7950.34711598847</v>
      </c>
      <c r="AR177" s="2" t="n">
        <f aca="false">O177*AQ177-Hypothèses!$J$25/Hypothèses!$J$19</f>
        <v>1331.50176600598</v>
      </c>
      <c r="AS177" s="2" t="n">
        <f aca="false">Entrées!$C$79*(1+Q177)+Hypothèses!$J$20</f>
        <v>1503.95221740074</v>
      </c>
      <c r="AT177" s="2" t="n">
        <f aca="false">AI177-AR177+AS177+Y177*1000-AO177+Hypothèses!$J$23</f>
        <v>22427.0984669981</v>
      </c>
      <c r="AU177" s="2" t="n">
        <f aca="false">AT177/AQ177</f>
        <v>2.82089550805854</v>
      </c>
      <c r="AV177" s="2" t="n">
        <f aca="false">Hypothèses!$J$26*AQ177-AT177</f>
        <v>1423.94288096733</v>
      </c>
      <c r="AW177" s="2" t="n">
        <f aca="false">IF(AC177&gt;Hypothèses!$J$26,MAX(0,AV177)/(1-Hypothèses!$J$26/AC177),0)</f>
        <v>2042.95622775322</v>
      </c>
      <c r="AX177" s="2" t="n">
        <f aca="false">AQ177-Entrées!$C$17*1000</f>
        <v>-49.652884011527</v>
      </c>
      <c r="AY177" s="2" t="n">
        <f aca="false">AI177+(Entrées!$C$244-Entrées!$C$13)</f>
        <v>28768.7256992862</v>
      </c>
      <c r="AZ177" s="2" t="n">
        <f aca="false">AA177*AH177</f>
        <v>5454.51581282623</v>
      </c>
      <c r="BA177" s="2" t="n">
        <f aca="false">AZ177/AY177</f>
        <v>0.189598798008685</v>
      </c>
      <c r="BB177" s="2" t="n">
        <f aca="false">AZ177/(Entrées!$C$151/100)-AY177</f>
        <v>1534.13992752617</v>
      </c>
      <c r="BC177" s="2" t="n">
        <f aca="false">AT177+(Entrées!$C$244-Entrées!$C$13)</f>
        <v>28174.0984669981</v>
      </c>
      <c r="BD177" s="2" t="n">
        <f aca="false">AA177*AQ177</f>
        <v>5760.43872857949</v>
      </c>
      <c r="BE177" s="2" t="n">
        <f aca="false">BD177/BC177</f>
        <v>0.204458670978488</v>
      </c>
      <c r="BF177" s="2" t="n">
        <f aca="false">BD177/(Entrées!$C$151/100)-BC177</f>
        <v>3828.33891399909</v>
      </c>
      <c r="BG177" s="2" t="n">
        <f aca="false">MIN(AV177,BF177)</f>
        <v>1423.94288096733</v>
      </c>
      <c r="BH177" s="2" t="n">
        <f aca="false">IF(AC177&gt;Hypothèses!$J$26,MAX(0,BG177)/(1-Hypothèses!$J$26/AC177),0)</f>
        <v>2042.95622775322</v>
      </c>
    </row>
    <row r="178" customFormat="false" ht="15" hidden="false" customHeight="false" outlineLevel="0" collapsed="false">
      <c r="A178" s="2" t="n">
        <v>163</v>
      </c>
      <c r="B178" s="2" t="n">
        <v>0.147645951</v>
      </c>
      <c r="C178" s="2"/>
      <c r="D178" s="2" t="n">
        <v>0.504973999</v>
      </c>
      <c r="E178" s="2" t="n">
        <f aca="false">IF(E$7=E$5,E$6,IF(NORMSDIST(E$9*SQRT($C$11)*NORMSINV($B178)+SQRT(1-E$9^2*$C$11)*NORMSINV(D178))&lt;E$8,E$5+SQRT(NORMSDIST(E$9*SQRT($C$11)*NORMSINV($B178)+SQRT(1-E$9^2*$C$11)*NORMSINV(D178))*(E$7-E$5)*(E$6-E$5)),E$7-SQRT((1-NORMSDIST(E$9*SQRT($C$11)*NORMSINV($B178)+SQRT(1-E$9^2*$C$11)*NORMSINV(D178)))*(E$7-E$5)*(E$7-E$6))))</f>
        <v>0.0535855050695003</v>
      </c>
      <c r="F178" s="2" t="n">
        <v>0.998997755</v>
      </c>
      <c r="G178" s="2" t="n">
        <f aca="false">IF(G$7=G$5,G$6,IF(NORMSDIST(G$9*SQRT($C$11)*NORMSINV($B178)+SQRT(1-G$9^2*$C$11)*NORMSINV(F178))&lt;G$8,G$5+SQRT(NORMSDIST(G$9*SQRT($C$11)*NORMSINV($B178)+SQRT(1-G$9^2*$C$11)*NORMSINV(F178))*(G$7-G$5)*(G$6-G$5)),G$7-SQRT((1-NORMSDIST(G$9*SQRT($C$11)*NORMSINV($B178)+SQRT(1-G$9^2*$C$11)*NORMSINV(F178)))*(G$7-G$5)*(G$7-G$6))))</f>
        <v>0.0656679567842724</v>
      </c>
      <c r="H178" s="2" t="n">
        <v>0.160460402</v>
      </c>
      <c r="I178" s="2" t="n">
        <f aca="false">IF(I$7=I$5,I$6,IF(NORMSDIST(I$9*SQRT($C$11)*NORMSINV($B178)+SQRT(1-I$9^2*$C$11)*NORMSINV(H178))&lt;I$8,I$5+SQRT(NORMSDIST(I$9*SQRT($C$11)*NORMSINV($B178)+SQRT(1-I$9^2*$C$11)*NORMSINV(H178))*(I$7-I$5)*(I$6-I$5)),I$7-SQRT((1-NORMSDIST(I$9*SQRT($C$11)*NORMSINV($B178)+SQRT(1-I$9^2*$C$11)*NORMSINV(H178)))*(I$7-I$5)*(I$7-I$6))))</f>
        <v>187.810248620535</v>
      </c>
      <c r="J178" s="2" t="n">
        <v>0.80889585</v>
      </c>
      <c r="K178" s="2" t="n">
        <f aca="false">IF(K$7=K$5,K$6,IF(NORMSDIST(K$9*SQRT($C$11)*NORMSINV($B178)+SQRT(1-K$9^2*$C$11)*NORMSINV(J178))&lt;K$8,K$5+SQRT(NORMSDIST(K$9*SQRT($C$11)*NORMSINV($B178)+SQRT(1-K$9^2*$C$11)*NORMSINV(J178))*(K$7-K$5)*(K$6-K$5)),K$7-SQRT((1-NORMSDIST(K$9*SQRT($C$11)*NORMSINV($B178)+SQRT(1-K$9^2*$C$11)*NORMSINV(J178)))*(K$7-K$5)*(K$7-K$6))))</f>
        <v>0.251495679939674</v>
      </c>
      <c r="L178" s="2" t="n">
        <v>0.959373246</v>
      </c>
      <c r="M178" s="2" t="n">
        <f aca="false">IF(M$7=M$5,M$6,IF(NORMSDIST(M$9*SQRT($C$11)*NORMSINV($B178)+SQRT(1-M$9^2*$C$11)*NORMSINV(L178))&lt;M$8,M$5+SQRT(NORMSDIST(M$9*SQRT($C$11)*NORMSINV($B178)+SQRT(1-M$9^2*$C$11)*NORMSINV(L178))*(M$7-M$5)*(M$6-M$5)),M$7-SQRT((1-NORMSDIST(M$9*SQRT($C$11)*NORMSINV($B178)+SQRT(1-M$9^2*$C$11)*NORMSINV(L178)))*(M$7-M$5)*(M$7-M$6))))</f>
        <v>1652.08565185675</v>
      </c>
      <c r="N178" s="2" t="n">
        <v>0.823279391</v>
      </c>
      <c r="O178" s="2" t="n">
        <f aca="false">IF(O$7=O$5,O$6,IF(NORMSDIST(O$9*SQRT($C$11)*NORMSINV($B178)+SQRT(1-O$9^2*$C$11)*NORMSINV(N178))&lt;O$8,O$5+SQRT(NORMSDIST(O$9*SQRT($C$11)*NORMSINV($B178)+SQRT(1-O$9^2*$C$11)*NORMSINV(N178))*(O$7-O$5)*(O$6-O$5)),O$7-SQRT((1-NORMSDIST(O$9*SQRT($C$11)*NORMSINV($B178)+SQRT(1-O$9^2*$C$11)*NORMSINV(N178)))*(O$7-O$5)*(O$7-O$6))))</f>
        <v>0.167384991588266</v>
      </c>
      <c r="P178" s="2" t="n">
        <v>0.808304121</v>
      </c>
      <c r="Q178" s="2" t="n">
        <f aca="false">IF(Q$7=Q$5,Q$6,IF(NORMSDIST(Q$9*SQRT($C$11)*NORMSINV($B178)+SQRT(1-Q$9^2*$C$11)*NORMSINV(P178))&lt;Q$8,Q$5+SQRT(NORMSDIST(Q$9*SQRT($C$11)*NORMSINV($B178)+SQRT(1-Q$9^2*$C$11)*NORMSINV(P178))*(Q$7-Q$5)*(Q$6-Q$5)),Q$7-SQRT((1-NORMSDIST(Q$9*SQRT($C$11)*NORMSINV($B178)+SQRT(1-Q$9^2*$C$11)*NORMSINV(P178)))*(Q$7-Q$5)*(Q$7-Q$6))))</f>
        <v>0.0952325452902403</v>
      </c>
      <c r="R178" s="2" t="n">
        <v>0.766416701</v>
      </c>
      <c r="S178" s="2" t="n">
        <f aca="false">IF(S$7=S$5,S$6,IF(NORMSDIST(S$9*SQRT($C$11)*NORMSINV($B178)+SQRT(1-S$9^2*$C$11)*NORMSINV(R178))&lt;S$8,S$5+SQRT(NORMSDIST(S$9*SQRT($C$11)*NORMSINV($B178)+SQRT(1-S$9^2*$C$11)*NORMSINV(R178))*(S$7-S$5)*(S$6-S$5)),S$7-SQRT((1-NORMSDIST(S$9*SQRT($C$11)*NORMSINV($B178)+SQRT(1-S$9^2*$C$11)*NORMSINV(R178)))*(S$7-S$5)*(S$7-S$6))))</f>
        <v>0.479939627974457</v>
      </c>
      <c r="T178" s="2" t="n">
        <v>0.302791595</v>
      </c>
      <c r="U178" s="2" t="n">
        <f aca="false">IF(U$7=U$5,U$6,IF(NORMSDIST(U$9*SQRT($C$11)*NORMSINV($B178)+SQRT(1-U$9^2*$C$11)*NORMSINV(T178))&lt;U$8,U$5+SQRT(NORMSDIST(U$9*SQRT($C$11)*NORMSINV($B178)+SQRT(1-U$9^2*$C$11)*NORMSINV(T178))*(U$7-U$5)*(U$6-U$5)),U$7-SQRT((1-NORMSDIST(U$9*SQRT($C$11)*NORMSINV($B178)+SQRT(1-U$9^2*$C$11)*NORMSINV(T178)))*(U$7-U$5)*(U$7-U$6))))</f>
        <v>0.268456959158987</v>
      </c>
      <c r="V178" s="2" t="n">
        <v>0.645910715</v>
      </c>
      <c r="W178" s="2" t="n">
        <f aca="false">IF(W$7=W$5,W$6,IF(NORMSDIST(W$9*SQRT($C$11)*NORMSINV($B178)+SQRT(1-W$9^2*$C$11)*NORMSINV(V178))&lt;W$8,W$5+SQRT(NORMSDIST(W$9*SQRT($C$11)*NORMSINV($B178)+SQRT(1-W$9^2*$C$11)*NORMSINV(V178))*(W$7-W$5)*(W$6-W$5)),W$7-SQRT((1-NORMSDIST(W$9*SQRT($C$11)*NORMSINV($B178)+SQRT(1-W$9^2*$C$11)*NORMSINV(V178)))*(W$7-W$5)*(W$7-W$6))))</f>
        <v>9.68511774856371</v>
      </c>
      <c r="X178" s="2" t="n">
        <v>0.624739787</v>
      </c>
      <c r="Y178" s="2" t="n">
        <f aca="false">IF(Y$7=Y$5,Y$6,IF(NORMSDIST(Y$9*SQRT($C$11)*NORMSINV($B178)+SQRT(1-Y$9^2*$C$11)*NORMSINV(X178))&lt;Y$8,Y$5+SQRT(NORMSDIST(Y$9*SQRT($C$11)*NORMSINV($B178)+SQRT(1-Y$9^2*$C$11)*NORMSINV(X178))*(Y$7-Y$5)*(Y$6-Y$5)),Y$7-SQRT((1-NORMSDIST(Y$9*SQRT($C$11)*NORMSINV($B178)+SQRT(1-Y$9^2*$C$11)*NORMSINV(X178)))*(Y$7-Y$5)*(Y$7-Y$6))))</f>
        <v>0.566837090115047</v>
      </c>
      <c r="Z178" s="2" t="n">
        <v>0.969979114</v>
      </c>
      <c r="AA178" s="2" t="n">
        <f aca="false">IF(AA$7=AA$5,AA$6,IF(NORMSDIST(AA$9*SQRT($C$11)*NORMSINV($B178)+SQRT(1-AA$9^2*$C$11)*NORMSINV(Z178))&lt;AA$8,AA$5+SQRT(NORMSDIST(AA$9*SQRT($C$11)*NORMSINV($B178)+SQRT(1-AA$9^2*$C$11)*NORMSINV(Z178))*(AA$7-AA$5)*(AA$6-AA$5)),AA$7-SQRT((1-NORMSDIST(AA$9*SQRT($C$11)*NORMSINV($B178)+SQRT(1-AA$9^2*$C$11)*NORMSINV(Z178)))*(AA$7-AA$5)*(AA$7-AA$6))))</f>
        <v>0.737308658538791</v>
      </c>
      <c r="AB178" s="2" t="n">
        <v>0.500704178</v>
      </c>
      <c r="AC178" s="2" t="n">
        <f aca="false">IF(AC$7=AC$5,AC$6,IF(NORMSDIST(AC$9*SQRT($C$11)*NORMSINV($B178)+SQRT(1-AC$9^2*$C$11)*NORMSINV(AB178))&lt;AC$8,AC$5+SQRT(NORMSDIST(AC$9*SQRT($C$11)*NORMSINV($B178)+SQRT(1-AC$9^2*$C$11)*NORMSINV(AB178))*(AC$7-AC$5)*(AC$6-AC$5)),AC$7-SQRT((1-NORMSDIST(AC$9*SQRT($C$11)*NORMSINV($B178)+SQRT(1-AC$9^2*$C$11)*NORMSINV(AB178)))*(AC$7-AC$5)*(AC$7-AC$6))))</f>
        <v>8.88271778395464</v>
      </c>
      <c r="AD178" s="2" t="n">
        <f aca="false">Entrées!$C$8*(1+E178)</f>
        <v>7427.77781073998</v>
      </c>
      <c r="AE178" s="2" t="n">
        <f aca="false">I178*Hypothèses!$J$24/12/Hypothèses!$J$19</f>
        <v>93.1720632305621</v>
      </c>
      <c r="AF178" s="2" t="n">
        <f aca="false">Entrées!$C$36*S178*1000</f>
        <v>239.969813987229</v>
      </c>
      <c r="AG178" s="2" t="n">
        <f aca="false">-AF178/W178</f>
        <v>-24.7771705225593</v>
      </c>
      <c r="AH178" s="2" t="n">
        <f aca="false">AD178+AE178+AG178</f>
        <v>7496.17270344798</v>
      </c>
      <c r="AI178" s="2" t="n">
        <f aca="false">Entrées!$C$16-M178+Hypothèses!$J$22*1000-AF178+Hypothèses!$J$23</f>
        <v>22655.944534156</v>
      </c>
      <c r="AJ178" s="2" t="n">
        <f aca="false">AI178/AH178</f>
        <v>3.02233492082367</v>
      </c>
      <c r="AK178" s="2" t="n">
        <f aca="false">AI178/(AH178+I178*(12-Hypothèses!$J$24)/12/Hypothèses!$J$19)</f>
        <v>2.99573857294789</v>
      </c>
      <c r="AL178" s="2" t="n">
        <f aca="false">(AD178+AG178+I178/Hypothèses!$J$19)*(1+G178)</f>
        <v>8059.35282162279</v>
      </c>
      <c r="AM178" s="2" t="n">
        <f aca="false">Entrées!$C$54*K178/Hypothèses!$J$19</f>
        <v>25.6661900999659</v>
      </c>
      <c r="AN178" s="2" t="n">
        <f aca="false">Y178*1000/AC178</f>
        <v>63.8134750986862</v>
      </c>
      <c r="AO178" s="2" t="n">
        <f aca="false">(Entrées!$C$36*(1-S178)+MAX(0,Entrées!$C$30-Entrées!$C$35-Entrées!$C$36)*U178)*1000</f>
        <v>635.869928835353</v>
      </c>
      <c r="AP178" s="2" t="n">
        <f aca="false">-AO178/W178</f>
        <v>-65.6543312475113</v>
      </c>
      <c r="AQ178" s="2" t="n">
        <f aca="false">AL178+AM178+AN178+AP178</f>
        <v>8083.17815557393</v>
      </c>
      <c r="AR178" s="2" t="n">
        <f aca="false">O178*AQ178-Hypothèses!$J$25/Hypothèses!$J$19</f>
        <v>1333.86754531557</v>
      </c>
      <c r="AS178" s="2" t="n">
        <f aca="false">Entrées!$C$79*(1+Q178)+Hypothèses!$J$20</f>
        <v>1498.66056727397</v>
      </c>
      <c r="AT178" s="2" t="n">
        <f aca="false">AI178-AR178+AS178+Y178*1000-AO178+Hypothèses!$J$23</f>
        <v>22751.7047173941</v>
      </c>
      <c r="AU178" s="2" t="n">
        <f aca="false">AT178/AQ178</f>
        <v>2.81469791701983</v>
      </c>
      <c r="AV178" s="2" t="n">
        <f aca="false">Hypothèses!$J$26*AQ178-AT178</f>
        <v>1497.82974932768</v>
      </c>
      <c r="AW178" s="2" t="n">
        <f aca="false">IF(AC178&gt;Hypothèses!$J$26,MAX(0,AV178)/(1-Hypothèses!$J$26/AC178),0)</f>
        <v>2261.675545269</v>
      </c>
      <c r="AX178" s="2" t="n">
        <f aca="false">AQ178-Entrées!$C$17*1000</f>
        <v>83.1781555739326</v>
      </c>
      <c r="AY178" s="2" t="n">
        <f aca="false">AI178+(Entrées!$C$244-Entrées!$C$13)</f>
        <v>28402.944534156</v>
      </c>
      <c r="AZ178" s="2" t="n">
        <f aca="false">AA178*AH178</f>
        <v>5526.99304015433</v>
      </c>
      <c r="BA178" s="2" t="n">
        <f aca="false">AZ178/AY178</f>
        <v>0.194592255514488</v>
      </c>
      <c r="BB178" s="2" t="n">
        <f aca="false">AZ178/(Entrées!$C$151/100)-AY178</f>
        <v>2302.57235559025</v>
      </c>
      <c r="BC178" s="2" t="n">
        <f aca="false">AT178+(Entrées!$C$244-Entrées!$C$13)</f>
        <v>28498.7047173941</v>
      </c>
      <c r="BD178" s="2" t="n">
        <f aca="false">AA178*AQ178</f>
        <v>5959.79724261627</v>
      </c>
      <c r="BE178" s="2" t="n">
        <f aca="false">BD178/BC178</f>
        <v>0.209125197152512</v>
      </c>
      <c r="BF178" s="2" t="n">
        <f aca="false">BD178/(Entrées!$C$151/100)-BC178</f>
        <v>4611.27996380739</v>
      </c>
      <c r="BG178" s="2" t="n">
        <f aca="false">MIN(AV178,BF178)</f>
        <v>1497.82974932768</v>
      </c>
      <c r="BH178" s="2" t="n">
        <f aca="false">IF(AC178&gt;Hypothèses!$J$26,MAX(0,BG178)/(1-Hypothèses!$J$26/AC178),0)</f>
        <v>2261.675545269</v>
      </c>
    </row>
    <row r="179" customFormat="false" ht="15" hidden="false" customHeight="false" outlineLevel="0" collapsed="false">
      <c r="A179" s="2" t="n">
        <v>164</v>
      </c>
      <c r="B179" s="2" t="n">
        <v>0.307029745</v>
      </c>
      <c r="C179" s="2"/>
      <c r="D179" s="2" t="n">
        <v>0.986380734</v>
      </c>
      <c r="E179" s="2" t="n">
        <f aca="false">IF(E$7=E$5,E$6,IF(NORMSDIST(E$9*SQRT($C$11)*NORMSINV($B179)+SQRT(1-E$9^2*$C$11)*NORMSINV(D179))&lt;E$8,E$5+SQRT(NORMSDIST(E$9*SQRT($C$11)*NORMSINV($B179)+SQRT(1-E$9^2*$C$11)*NORMSINV(D179))*(E$7-E$5)*(E$6-E$5)),E$7-SQRT((1-NORMSDIST(E$9*SQRT($C$11)*NORMSINV($B179)+SQRT(1-E$9^2*$C$11)*NORMSINV(D179)))*(E$7-E$5)*(E$7-E$6))))</f>
        <v>0.0579745748755027</v>
      </c>
      <c r="F179" s="2" t="n">
        <v>0.10420189</v>
      </c>
      <c r="G179" s="2" t="n">
        <f aca="false">IF(G$7=G$5,G$6,IF(NORMSDIST(G$9*SQRT($C$11)*NORMSINV($B179)+SQRT(1-G$9^2*$C$11)*NORMSINV(F179))&lt;G$8,G$5+SQRT(NORMSDIST(G$9*SQRT($C$11)*NORMSINV($B179)+SQRT(1-G$9^2*$C$11)*NORMSINV(F179))*(G$7-G$5)*(G$6-G$5)),G$7-SQRT((1-NORMSDIST(G$9*SQRT($C$11)*NORMSINV($B179)+SQRT(1-G$9^2*$C$11)*NORMSINV(F179)))*(G$7-G$5)*(G$7-G$6))))</f>
        <v>0.0466388838449007</v>
      </c>
      <c r="H179" s="2" t="n">
        <v>0.148276175</v>
      </c>
      <c r="I179" s="2" t="n">
        <f aca="false">IF(I$7=I$5,I$6,IF(NORMSDIST(I$9*SQRT($C$11)*NORMSINV($B179)+SQRT(1-I$9^2*$C$11)*NORMSINV(H179))&lt;I$8,I$5+SQRT(NORMSDIST(I$9*SQRT($C$11)*NORMSINV($B179)+SQRT(1-I$9^2*$C$11)*NORMSINV(H179))*(I$7-I$5)*(I$6-I$5)),I$7-SQRT((1-NORMSDIST(I$9*SQRT($C$11)*NORMSINV($B179)+SQRT(1-I$9^2*$C$11)*NORMSINV(H179)))*(I$7-I$5)*(I$7-I$6))))</f>
        <v>190.188788965205</v>
      </c>
      <c r="J179" s="2" t="n">
        <v>0.899045313</v>
      </c>
      <c r="K179" s="2" t="n">
        <f aca="false">IF(K$7=K$5,K$6,IF(NORMSDIST(K$9*SQRT($C$11)*NORMSINV($B179)+SQRT(1-K$9^2*$C$11)*NORMSINV(J179))&lt;K$8,K$5+SQRT(NORMSDIST(K$9*SQRT($C$11)*NORMSINV($B179)+SQRT(1-K$9^2*$C$11)*NORMSINV(J179))*(K$7-K$5)*(K$6-K$5)),K$7-SQRT((1-NORMSDIST(K$9*SQRT($C$11)*NORMSINV($B179)+SQRT(1-K$9^2*$C$11)*NORMSINV(J179)))*(K$7-K$5)*(K$7-K$6))))</f>
        <v>0.322667949033414</v>
      </c>
      <c r="L179" s="2" t="n">
        <v>0.327154732</v>
      </c>
      <c r="M179" s="2" t="n">
        <f aca="false">IF(M$7=M$5,M$6,IF(NORMSDIST(M$9*SQRT($C$11)*NORMSINV($B179)+SQRT(1-M$9^2*$C$11)*NORMSINV(L179))&lt;M$8,M$5+SQRT(NORMSDIST(M$9*SQRT($C$11)*NORMSINV($B179)+SQRT(1-M$9^2*$C$11)*NORMSINV(L179))*(M$7-M$5)*(M$6-M$5)),M$7-SQRT((1-NORMSDIST(M$9*SQRT($C$11)*NORMSINV($B179)+SQRT(1-M$9^2*$C$11)*NORMSINV(L179)))*(M$7-M$5)*(M$7-M$6))))</f>
        <v>1503.8141305373</v>
      </c>
      <c r="N179" s="2" t="n">
        <v>0.194778751</v>
      </c>
      <c r="O179" s="2" t="n">
        <f aca="false">IF(O$7=O$5,O$6,IF(NORMSDIST(O$9*SQRT($C$11)*NORMSINV($B179)+SQRT(1-O$9^2*$C$11)*NORMSINV(N179))&lt;O$8,O$5+SQRT(NORMSDIST(O$9*SQRT($C$11)*NORMSINV($B179)+SQRT(1-O$9^2*$C$11)*NORMSINV(N179))*(O$7-O$5)*(O$6-O$5)),O$7-SQRT((1-NORMSDIST(O$9*SQRT($C$11)*NORMSINV($B179)+SQRT(1-O$9^2*$C$11)*NORMSINV(N179)))*(O$7-O$5)*(O$7-O$6))))</f>
        <v>0.155255852892882</v>
      </c>
      <c r="P179" s="2" t="n">
        <v>0.63154373</v>
      </c>
      <c r="Q179" s="2" t="n">
        <f aca="false">IF(Q$7=Q$5,Q$6,IF(NORMSDIST(Q$9*SQRT($C$11)*NORMSINV($B179)+SQRT(1-Q$9^2*$C$11)*NORMSINV(P179))&lt;Q$8,Q$5+SQRT(NORMSDIST(Q$9*SQRT($C$11)*NORMSINV($B179)+SQRT(1-Q$9^2*$C$11)*NORMSINV(P179))*(Q$7-Q$5)*(Q$6-Q$5)),Q$7-SQRT((1-NORMSDIST(Q$9*SQRT($C$11)*NORMSINV($B179)+SQRT(1-Q$9^2*$C$11)*NORMSINV(P179)))*(Q$7-Q$5)*(Q$7-Q$6))))</f>
        <v>0.0856625559483528</v>
      </c>
      <c r="R179" s="2" t="n">
        <v>0.245767405</v>
      </c>
      <c r="S179" s="2" t="n">
        <f aca="false">IF(S$7=S$5,S$6,IF(NORMSDIST(S$9*SQRT($C$11)*NORMSINV($B179)+SQRT(1-S$9^2*$C$11)*NORMSINV(R179))&lt;S$8,S$5+SQRT(NORMSDIST(S$9*SQRT($C$11)*NORMSINV($B179)+SQRT(1-S$9^2*$C$11)*NORMSINV(R179))*(S$7-S$5)*(S$6-S$5)),S$7-SQRT((1-NORMSDIST(S$9*SQRT($C$11)*NORMSINV($B179)+SQRT(1-S$9^2*$C$11)*NORMSINV(R179)))*(S$7-S$5)*(S$7-S$6))))</f>
        <v>0.31398519186384</v>
      </c>
      <c r="T179" s="2" t="n">
        <v>0.994842837</v>
      </c>
      <c r="U179" s="2" t="n">
        <f aca="false">IF(U$7=U$5,U$6,IF(NORMSDIST(U$9*SQRT($C$11)*NORMSINV($B179)+SQRT(1-U$9^2*$C$11)*NORMSINV(T179))&lt;U$8,U$5+SQRT(NORMSDIST(U$9*SQRT($C$11)*NORMSINV($B179)+SQRT(1-U$9^2*$C$11)*NORMSINV(T179))*(U$7-U$5)*(U$6-U$5)),U$7-SQRT((1-NORMSDIST(U$9*SQRT($C$11)*NORMSINV($B179)+SQRT(1-U$9^2*$C$11)*NORMSINV(T179)))*(U$7-U$5)*(U$7-U$6))))</f>
        <v>0.845631514591177</v>
      </c>
      <c r="V179" s="2" t="n">
        <v>0.027511871</v>
      </c>
      <c r="W179" s="2" t="n">
        <f aca="false">IF(W$7=W$5,W$6,IF(NORMSDIST(W$9*SQRT($C$11)*NORMSINV($B179)+SQRT(1-W$9^2*$C$11)*NORMSINV(V179))&lt;W$8,W$5+SQRT(NORMSDIST(W$9*SQRT($C$11)*NORMSINV($B179)+SQRT(1-W$9^2*$C$11)*NORMSINV(V179))*(W$7-W$5)*(W$6-W$5)),W$7-SQRT((1-NORMSDIST(W$9*SQRT($C$11)*NORMSINV($B179)+SQRT(1-W$9^2*$C$11)*NORMSINV(V179)))*(W$7-W$5)*(W$7-W$6))))</f>
        <v>8.53310914736381</v>
      </c>
      <c r="X179" s="2" t="n">
        <v>0.176399304</v>
      </c>
      <c r="Y179" s="2" t="n">
        <f aca="false">IF(Y$7=Y$5,Y$6,IF(NORMSDIST(Y$9*SQRT($C$11)*NORMSINV($B179)+SQRT(1-Y$9^2*$C$11)*NORMSINV(X179))&lt;Y$8,Y$5+SQRT(NORMSDIST(Y$9*SQRT($C$11)*NORMSINV($B179)+SQRT(1-Y$9^2*$C$11)*NORMSINV(X179))*(Y$7-Y$5)*(Y$6-Y$5)),Y$7-SQRT((1-NORMSDIST(Y$9*SQRT($C$11)*NORMSINV($B179)+SQRT(1-Y$9^2*$C$11)*NORMSINV(X179)))*(Y$7-Y$5)*(Y$7-Y$6))))</f>
        <v>0.296984262209296</v>
      </c>
      <c r="Z179" s="2" t="n">
        <v>0.415497968</v>
      </c>
      <c r="AA179" s="2" t="n">
        <f aca="false">IF(AA$7=AA$5,AA$6,IF(NORMSDIST(AA$9*SQRT($C$11)*NORMSINV($B179)+SQRT(1-AA$9^2*$C$11)*NORMSINV(Z179))&lt;AA$8,AA$5+SQRT(NORMSDIST(AA$9*SQRT($C$11)*NORMSINV($B179)+SQRT(1-AA$9^2*$C$11)*NORMSINV(Z179))*(AA$7-AA$5)*(AA$6-AA$5)),AA$7-SQRT((1-NORMSDIST(AA$9*SQRT($C$11)*NORMSINV($B179)+SQRT(1-AA$9^2*$C$11)*NORMSINV(Z179)))*(AA$7-AA$5)*(AA$7-AA$6))))</f>
        <v>0.72126247885877</v>
      </c>
      <c r="AB179" s="2" t="n">
        <v>0.022557335</v>
      </c>
      <c r="AC179" s="2" t="n">
        <f aca="false">IF(AC$7=AC$5,AC$6,IF(NORMSDIST(AC$9*SQRT($C$11)*NORMSINV($B179)+SQRT(1-AC$9^2*$C$11)*NORMSINV(AB179))&lt;AC$8,AC$5+SQRT(NORMSDIST(AC$9*SQRT($C$11)*NORMSINV($B179)+SQRT(1-AC$9^2*$C$11)*NORMSINV(AB179))*(AC$7-AC$5)*(AC$6-AC$5)),AC$7-SQRT((1-NORMSDIST(AC$9*SQRT($C$11)*NORMSINV($B179)+SQRT(1-AC$9^2*$C$11)*NORMSINV(AB179)))*(AC$7-AC$5)*(AC$7-AC$6))))</f>
        <v>7.91484511375926</v>
      </c>
      <c r="AD179" s="2" t="n">
        <f aca="false">Entrées!$C$8*(1+E179)</f>
        <v>7458.72075287229</v>
      </c>
      <c r="AE179" s="2" t="n">
        <f aca="false">I179*Hypothèses!$J$24/12/Hypothèses!$J$19</f>
        <v>94.3520494827385</v>
      </c>
      <c r="AF179" s="2" t="n">
        <f aca="false">Entrées!$C$36*S179*1000</f>
        <v>156.99259593192</v>
      </c>
      <c r="AG179" s="2" t="n">
        <f aca="false">-AF179/W179</f>
        <v>-18.3980531856223</v>
      </c>
      <c r="AH179" s="2" t="n">
        <f aca="false">AD179+AE179+AG179</f>
        <v>7534.67474916941</v>
      </c>
      <c r="AI179" s="2" t="n">
        <f aca="false">Entrées!$C$16-M179+Hypothèses!$J$22*1000-AF179+Hypothèses!$J$23</f>
        <v>22887.1932735308</v>
      </c>
      <c r="AJ179" s="2" t="n">
        <f aca="false">AI179/AH179</f>
        <v>3.03758211674018</v>
      </c>
      <c r="AK179" s="2" t="n">
        <f aca="false">AI179/(AH179+I179*(12-Hypothèses!$J$24)/12/Hypothèses!$J$19)</f>
        <v>3.01065316061945</v>
      </c>
      <c r="AL179" s="2" t="n">
        <f aca="false">(AD179+AG179+I179/Hypothèses!$J$19)*(1+G179)</f>
        <v>7956.62108657581</v>
      </c>
      <c r="AM179" s="2" t="n">
        <f aca="false">Entrées!$C$54*K179/Hypothèses!$J$19</f>
        <v>32.929618994029</v>
      </c>
      <c r="AN179" s="2" t="n">
        <f aca="false">Y179*1000/AC179</f>
        <v>37.5224351128508</v>
      </c>
      <c r="AO179" s="2" t="n">
        <f aca="false">(Entrées!$C$36*(1-S179)+MAX(0,Entrées!$C$30-Entrées!$C$35-Entrées!$C$36)*U179)*1000</f>
        <v>1526.89152449573</v>
      </c>
      <c r="AP179" s="2" t="n">
        <f aca="false">-AO179/W179</f>
        <v>-178.937301530643</v>
      </c>
      <c r="AQ179" s="2" t="n">
        <f aca="false">AL179+AM179+AN179+AP179</f>
        <v>7848.13583915205</v>
      </c>
      <c r="AR179" s="2" t="n">
        <f aca="false">O179*AQ179-Hypothèses!$J$25/Hypothèses!$J$19</f>
        <v>1199.33386106512</v>
      </c>
      <c r="AS179" s="2" t="n">
        <f aca="false">Entrées!$C$79*(1+Q179)+Hypothèses!$J$20</f>
        <v>1488.14314898724</v>
      </c>
      <c r="AT179" s="2" t="n">
        <f aca="false">AI179-AR179+AS179+Y179*1000-AO179+Hypothèses!$J$23</f>
        <v>21946.0952991665</v>
      </c>
      <c r="AU179" s="2" t="n">
        <f aca="false">AT179/AQ179</f>
        <v>2.79634498547844</v>
      </c>
      <c r="AV179" s="2" t="n">
        <f aca="false">Hypothèses!$J$26*AQ179-AT179</f>
        <v>1598.31221828967</v>
      </c>
      <c r="AW179" s="2" t="n">
        <f aca="false">IF(AC179&gt;Hypothèses!$J$26,MAX(0,AV179)/(1-Hypothèses!$J$26/AC179),0)</f>
        <v>2573.9150183546</v>
      </c>
      <c r="AX179" s="2" t="n">
        <f aca="false">AQ179-Entrées!$C$17*1000</f>
        <v>-151.864160847954</v>
      </c>
      <c r="AY179" s="2" t="n">
        <f aca="false">AI179+(Entrées!$C$244-Entrées!$C$13)</f>
        <v>28634.1932735308</v>
      </c>
      <c r="AZ179" s="2" t="n">
        <f aca="false">AA179*AH179</f>
        <v>5434.47818698051</v>
      </c>
      <c r="BA179" s="2" t="n">
        <f aca="false">AZ179/AY179</f>
        <v>0.189789813006679</v>
      </c>
      <c r="BB179" s="2" t="n">
        <f aca="false">AZ179/(Entrées!$C$151/100)-AY179</f>
        <v>1557.35220969427</v>
      </c>
      <c r="BC179" s="2" t="n">
        <f aca="false">AT179+(Entrées!$C$244-Entrées!$C$13)</f>
        <v>27693.0952991665</v>
      </c>
      <c r="BD179" s="2" t="n">
        <f aca="false">AA179*AQ179</f>
        <v>5660.56590976716</v>
      </c>
      <c r="BE179" s="2" t="n">
        <f aca="false">BD179/BC179</f>
        <v>0.204403511005775</v>
      </c>
      <c r="BF179" s="2" t="n">
        <f aca="false">BD179/(Entrées!$C$151/100)-BC179</f>
        <v>3754.49308842884</v>
      </c>
      <c r="BG179" s="2" t="n">
        <f aca="false">MIN(AV179,BF179)</f>
        <v>1598.31221828967</v>
      </c>
      <c r="BH179" s="2" t="n">
        <f aca="false">IF(AC179&gt;Hypothèses!$J$26,MAX(0,BG179)/(1-Hypothèses!$J$26/AC179),0)</f>
        <v>2573.9150183546</v>
      </c>
    </row>
    <row r="180" customFormat="false" ht="15" hidden="false" customHeight="false" outlineLevel="0" collapsed="false">
      <c r="A180" s="2" t="n">
        <v>165</v>
      </c>
      <c r="B180" s="2" t="n">
        <v>0.611396306</v>
      </c>
      <c r="C180" s="2"/>
      <c r="D180" s="2" t="n">
        <v>0.089840839</v>
      </c>
      <c r="E180" s="2" t="n">
        <f aca="false">IF(E$7=E$5,E$6,IF(NORMSDIST(E$9*SQRT($C$11)*NORMSINV($B180)+SQRT(1-E$9^2*$C$11)*NORMSINV(D180))&lt;E$8,E$5+SQRT(NORMSDIST(E$9*SQRT($C$11)*NORMSINV($B180)+SQRT(1-E$9^2*$C$11)*NORMSINV(D180))*(E$7-E$5)*(E$6-E$5)),E$7-SQRT((1-NORMSDIST(E$9*SQRT($C$11)*NORMSINV($B180)+SQRT(1-E$9^2*$C$11)*NORMSINV(D180)))*(E$7-E$5)*(E$7-E$6))))</f>
        <v>0.0531208942798701</v>
      </c>
      <c r="F180" s="2" t="n">
        <v>0.126064993</v>
      </c>
      <c r="G180" s="2" t="n">
        <f aca="false">IF(G$7=G$5,G$6,IF(NORMSDIST(G$9*SQRT($C$11)*NORMSINV($B180)+SQRT(1-G$9^2*$C$11)*NORMSINV(F180))&lt;G$8,G$5+SQRT(NORMSDIST(G$9*SQRT($C$11)*NORMSINV($B180)+SQRT(1-G$9^2*$C$11)*NORMSINV(F180))*(G$7-G$5)*(G$6-G$5)),G$7-SQRT((1-NORMSDIST(G$9*SQRT($C$11)*NORMSINV($B180)+SQRT(1-G$9^2*$C$11)*NORMSINV(F180)))*(G$7-G$5)*(G$7-G$6))))</f>
        <v>0.0503801973131828</v>
      </c>
      <c r="H180" s="2" t="n">
        <v>0.736300489</v>
      </c>
      <c r="I180" s="2" t="n">
        <f aca="false">IF(I$7=I$5,I$6,IF(NORMSDIST(I$9*SQRT($C$11)*NORMSINV($B180)+SQRT(1-I$9^2*$C$11)*NORMSINV(H180))&lt;I$8,I$5+SQRT(NORMSDIST(I$9*SQRT($C$11)*NORMSINV($B180)+SQRT(1-I$9^2*$C$11)*NORMSINV(H180))*(I$7-I$5)*(I$6-I$5)),I$7-SQRT((1-NORMSDIST(I$9*SQRT($C$11)*NORMSINV($B180)+SQRT(1-I$9^2*$C$11)*NORMSINV(H180)))*(I$7-I$5)*(I$7-I$6))))</f>
        <v>205.803935718775</v>
      </c>
      <c r="J180" s="2" t="n">
        <v>0.671659434</v>
      </c>
      <c r="K180" s="2" t="n">
        <f aca="false">IF(K$7=K$5,K$6,IF(NORMSDIST(K$9*SQRT($C$11)*NORMSINV($B180)+SQRT(1-K$9^2*$C$11)*NORMSINV(J180))&lt;K$8,K$5+SQRT(NORMSDIST(K$9*SQRT($C$11)*NORMSINV($B180)+SQRT(1-K$9^2*$C$11)*NORMSINV(J180))*(K$7-K$5)*(K$6-K$5)),K$7-SQRT((1-NORMSDIST(K$9*SQRT($C$11)*NORMSINV($B180)+SQRT(1-K$9^2*$C$11)*NORMSINV(J180)))*(K$7-K$5)*(K$7-K$6))))</f>
        <v>0.306223740802472</v>
      </c>
      <c r="L180" s="2" t="n">
        <v>0.218587696</v>
      </c>
      <c r="M180" s="2" t="n">
        <f aca="false">IF(M$7=M$5,M$6,IF(NORMSDIST(M$9*SQRT($C$11)*NORMSINV($B180)+SQRT(1-M$9^2*$C$11)*NORMSINV(L180))&lt;M$8,M$5+SQRT(NORMSDIST(M$9*SQRT($C$11)*NORMSINV($B180)+SQRT(1-M$9^2*$C$11)*NORMSINV(L180))*(M$7-M$5)*(M$6-M$5)),M$7-SQRT((1-NORMSDIST(M$9*SQRT($C$11)*NORMSINV($B180)+SQRT(1-M$9^2*$C$11)*NORMSINV(L180)))*(M$7-M$5)*(M$7-M$6))))</f>
        <v>1534.56091624219</v>
      </c>
      <c r="N180" s="2" t="n">
        <v>0.630316177</v>
      </c>
      <c r="O180" s="2" t="n">
        <f aca="false">IF(O$7=O$5,O$6,IF(NORMSDIST(O$9*SQRT($C$11)*NORMSINV($B180)+SQRT(1-O$9^2*$C$11)*NORMSINV(N180))&lt;O$8,O$5+SQRT(NORMSDIST(O$9*SQRT($C$11)*NORMSINV($B180)+SQRT(1-O$9^2*$C$11)*NORMSINV(N180))*(O$7-O$5)*(O$6-O$5)),O$7-SQRT((1-NORMSDIST(O$9*SQRT($C$11)*NORMSINV($B180)+SQRT(1-O$9^2*$C$11)*NORMSINV(N180)))*(O$7-O$5)*(O$7-O$6))))</f>
        <v>0.171217949001352</v>
      </c>
      <c r="P180" s="2" t="n">
        <v>0.089866466</v>
      </c>
      <c r="Q180" s="2" t="n">
        <f aca="false">IF(Q$7=Q$5,Q$6,IF(NORMSDIST(Q$9*SQRT($C$11)*NORMSINV($B180)+SQRT(1-Q$9^2*$C$11)*NORMSINV(P180))&lt;Q$8,Q$5+SQRT(NORMSDIST(Q$9*SQRT($C$11)*NORMSINV($B180)+SQRT(1-Q$9^2*$C$11)*NORMSINV(P180))*(Q$7-Q$5)*(Q$6-Q$5)),Q$7-SQRT((1-NORMSDIST(Q$9*SQRT($C$11)*NORMSINV($B180)+SQRT(1-Q$9^2*$C$11)*NORMSINV(P180)))*(Q$7-Q$5)*(Q$7-Q$6))))</f>
        <v>0.0569579683688819</v>
      </c>
      <c r="R180" s="2" t="n">
        <v>0.54652092</v>
      </c>
      <c r="S180" s="2" t="n">
        <f aca="false">IF(S$7=S$5,S$6,IF(NORMSDIST(S$9*SQRT($C$11)*NORMSINV($B180)+SQRT(1-S$9^2*$C$11)*NORMSINV(R180))&lt;S$8,S$5+SQRT(NORMSDIST(S$9*SQRT($C$11)*NORMSINV($B180)+SQRT(1-S$9^2*$C$11)*NORMSINV(R180))*(S$7-S$5)*(S$6-S$5)),S$7-SQRT((1-NORMSDIST(S$9*SQRT($C$11)*NORMSINV($B180)+SQRT(1-S$9^2*$C$11)*NORMSINV(R180)))*(S$7-S$5)*(S$7-S$6))))</f>
        <v>0.556279539727187</v>
      </c>
      <c r="T180" s="2" t="n">
        <v>0.239088474</v>
      </c>
      <c r="U180" s="2" t="n">
        <f aca="false">IF(U$7=U$5,U$6,IF(NORMSDIST(U$9*SQRT($C$11)*NORMSINV($B180)+SQRT(1-U$9^2*$C$11)*NORMSINV(T180))&lt;U$8,U$5+SQRT(NORMSDIST(U$9*SQRT($C$11)*NORMSINV($B180)+SQRT(1-U$9^2*$C$11)*NORMSINV(T180))*(U$7-U$5)*(U$6-U$5)),U$7-SQRT((1-NORMSDIST(U$9*SQRT($C$11)*NORMSINV($B180)+SQRT(1-U$9^2*$C$11)*NORMSINV(T180)))*(U$7-U$5)*(U$7-U$6))))</f>
        <v>0.421626144153047</v>
      </c>
      <c r="V180" s="2" t="n">
        <v>0.321039758</v>
      </c>
      <c r="W180" s="2" t="n">
        <f aca="false">IF(W$7=W$5,W$6,IF(NORMSDIST(W$9*SQRT($C$11)*NORMSINV($B180)+SQRT(1-W$9^2*$C$11)*NORMSINV(V180))&lt;W$8,W$5+SQRT(NORMSDIST(W$9*SQRT($C$11)*NORMSINV($B180)+SQRT(1-W$9^2*$C$11)*NORMSINV(V180))*(W$7-W$5)*(W$6-W$5)),W$7-SQRT((1-NORMSDIST(W$9*SQRT($C$11)*NORMSINV($B180)+SQRT(1-W$9^2*$C$11)*NORMSINV(V180)))*(W$7-W$5)*(W$7-W$6))))</f>
        <v>9.85074527193755</v>
      </c>
      <c r="X180" s="2" t="n">
        <v>0.842706306</v>
      </c>
      <c r="Y180" s="2" t="n">
        <f aca="false">IF(Y$7=Y$5,Y$6,IF(NORMSDIST(Y$9*SQRT($C$11)*NORMSINV($B180)+SQRT(1-Y$9^2*$C$11)*NORMSINV(X180))&lt;Y$8,Y$5+SQRT(NORMSDIST(Y$9*SQRT($C$11)*NORMSINV($B180)+SQRT(1-Y$9^2*$C$11)*NORMSINV(X180))*(Y$7-Y$5)*(Y$6-Y$5)),Y$7-SQRT((1-NORMSDIST(Y$9*SQRT($C$11)*NORMSINV($B180)+SQRT(1-Y$9^2*$C$11)*NORMSINV(X180)))*(Y$7-Y$5)*(Y$7-Y$6))))</f>
        <v>0.71955954821032</v>
      </c>
      <c r="Z180" s="2" t="n">
        <v>0.476351294</v>
      </c>
      <c r="AA180" s="2" t="n">
        <f aca="false">IF(AA$7=AA$5,AA$6,IF(NORMSDIST(AA$9*SQRT($C$11)*NORMSINV($B180)+SQRT(1-AA$9^2*$C$11)*NORMSINV(Z180))&lt;AA$8,AA$5+SQRT(NORMSDIST(AA$9*SQRT($C$11)*NORMSINV($B180)+SQRT(1-AA$9^2*$C$11)*NORMSINV(Z180))*(AA$7-AA$5)*(AA$6-AA$5)),AA$7-SQRT((1-NORMSDIST(AA$9*SQRT($C$11)*NORMSINV($B180)+SQRT(1-AA$9^2*$C$11)*NORMSINV(Z180)))*(AA$7-AA$5)*(AA$7-AA$6))))</f>
        <v>0.729739685480745</v>
      </c>
      <c r="AB180" s="2" t="n">
        <v>0.817556366</v>
      </c>
      <c r="AC180" s="2" t="n">
        <f aca="false">IF(AC$7=AC$5,AC$6,IF(NORMSDIST(AC$9*SQRT($C$11)*NORMSINV($B180)+SQRT(1-AC$9^2*$C$11)*NORMSINV(AB180))&lt;AC$8,AC$5+SQRT(NORMSDIST(AC$9*SQRT($C$11)*NORMSINV($B180)+SQRT(1-AC$9^2*$C$11)*NORMSINV(AB180))*(AC$7-AC$5)*(AC$6-AC$5)),AC$7-SQRT((1-NORMSDIST(AC$9*SQRT($C$11)*NORMSINV($B180)+SQRT(1-AC$9^2*$C$11)*NORMSINV(AB180)))*(AC$7-AC$5)*(AC$7-AC$6))))</f>
        <v>10.0959080079828</v>
      </c>
      <c r="AD180" s="2" t="n">
        <f aca="false">Entrées!$C$8*(1+E180)</f>
        <v>7424.50230467309</v>
      </c>
      <c r="AE180" s="2" t="n">
        <f aca="false">I180*Hypothèses!$J$24/12/Hypothèses!$J$19</f>
        <v>102.098673808963</v>
      </c>
      <c r="AF180" s="2" t="n">
        <f aca="false">Entrées!$C$36*S180*1000</f>
        <v>278.139769863594</v>
      </c>
      <c r="AG180" s="2" t="n">
        <f aca="false">-AF180/W180</f>
        <v>-28.2354037370094</v>
      </c>
      <c r="AH180" s="2" t="n">
        <f aca="false">AD180+AE180+AG180</f>
        <v>7498.36557474504</v>
      </c>
      <c r="AI180" s="2" t="n">
        <f aca="false">Entrées!$C$16-M180+Hypothèses!$J$22*1000-AF180+Hypothèses!$J$23</f>
        <v>22735.2993138942</v>
      </c>
      <c r="AJ180" s="2" t="n">
        <f aca="false">AI180/AH180</f>
        <v>3.03203399291015</v>
      </c>
      <c r="AK180" s="2" t="n">
        <f aca="false">AI180/(AH180+I180*(12-Hypothèses!$J$24)/12/Hypothèses!$J$19)</f>
        <v>3.00282906983637</v>
      </c>
      <c r="AL180" s="2" t="n">
        <f aca="false">(AD180+AG180+I180/Hypothèses!$J$19)*(1+G180)</f>
        <v>7952.73644417055</v>
      </c>
      <c r="AM180" s="2" t="n">
        <f aca="false">Entrées!$C$54*K180/Hypothèses!$J$19</f>
        <v>31.2514184992927</v>
      </c>
      <c r="AN180" s="2" t="n">
        <f aca="false">Y180*1000/AC180</f>
        <v>71.2723954736283</v>
      </c>
      <c r="AO180" s="2" t="n">
        <f aca="false">(Entrées!$C$36*(1-S180)+MAX(0,Entrées!$C$30-Entrées!$C$35-Entrées!$C$36)*U180)*1000</f>
        <v>812.136831950673</v>
      </c>
      <c r="AP180" s="2" t="n">
        <f aca="false">-AO180/W180</f>
        <v>-82.4442018883849</v>
      </c>
      <c r="AQ180" s="2" t="n">
        <f aca="false">AL180+AM180+AN180+AP180</f>
        <v>7972.81605625509</v>
      </c>
      <c r="AR180" s="2" t="n">
        <f aca="false">O180*AQ180-Hypothèses!$J$25/Hypothèses!$J$19</f>
        <v>1345.95405065542</v>
      </c>
      <c r="AS180" s="2" t="n">
        <f aca="false">Entrées!$C$79*(1+Q180)+Hypothèses!$J$20</f>
        <v>1456.5968072374</v>
      </c>
      <c r="AT180" s="2" t="n">
        <f aca="false">AI180-AR180+AS180+Y180*1000-AO180+Hypothèses!$J$23</f>
        <v>22753.3647867358</v>
      </c>
      <c r="AU180" s="2" t="n">
        <f aca="false">AT180/AQ180</f>
        <v>2.85386802181202</v>
      </c>
      <c r="AV180" s="2" t="n">
        <f aca="false">Hypothèses!$J$26*AQ180-AT180</f>
        <v>1165.08338202941</v>
      </c>
      <c r="AW180" s="2" t="n">
        <f aca="false">IF(AC180&gt;Hypothèses!$J$26,MAX(0,AV180)/(1-Hypothèses!$J$26/AC180),0)</f>
        <v>1657.65602279028</v>
      </c>
      <c r="AX180" s="2" t="n">
        <f aca="false">AQ180-Entrées!$C$17*1000</f>
        <v>-27.1839437449135</v>
      </c>
      <c r="AY180" s="2" t="n">
        <f aca="false">AI180+(Entrées!$C$244-Entrées!$C$13)</f>
        <v>28482.2993138942</v>
      </c>
      <c r="AZ180" s="2" t="n">
        <f aca="false">AA180*AH180</f>
        <v>5471.85493613409</v>
      </c>
      <c r="BA180" s="2" t="n">
        <f aca="false">AZ180/AY180</f>
        <v>0.192114227711413</v>
      </c>
      <c r="BB180" s="2" t="n">
        <f aca="false">AZ180/(Entrées!$C$151/100)-AY180</f>
        <v>1916.8947757396</v>
      </c>
      <c r="BC180" s="2" t="n">
        <f aca="false">AT180+(Entrées!$C$244-Entrées!$C$13)</f>
        <v>28500.3647867358</v>
      </c>
      <c r="BD180" s="2" t="n">
        <f aca="false">AA180*AQ180</f>
        <v>5818.08028128742</v>
      </c>
      <c r="BE180" s="2" t="n">
        <f aca="false">BD180/BC180</f>
        <v>0.204140554860377</v>
      </c>
      <c r="BF180" s="2" t="n">
        <f aca="false">BD180/(Entrées!$C$151/100)-BC180</f>
        <v>3822.3034426387</v>
      </c>
      <c r="BG180" s="2" t="n">
        <f aca="false">MIN(AV180,BF180)</f>
        <v>1165.08338202941</v>
      </c>
      <c r="BH180" s="2" t="n">
        <f aca="false">IF(AC180&gt;Hypothèses!$J$26,MAX(0,BG180)/(1-Hypothèses!$J$26/AC180),0)</f>
        <v>1657.65602279028</v>
      </c>
    </row>
    <row r="181" customFormat="false" ht="15" hidden="false" customHeight="false" outlineLevel="0" collapsed="false">
      <c r="A181" s="2" t="n">
        <v>166</v>
      </c>
      <c r="B181" s="2" t="n">
        <v>0.462008627</v>
      </c>
      <c r="C181" s="2"/>
      <c r="D181" s="2" t="n">
        <v>0.19399522</v>
      </c>
      <c r="E181" s="2" t="n">
        <f aca="false">IF(E$7=E$5,E$6,IF(NORMSDIST(E$9*SQRT($C$11)*NORMSINV($B181)+SQRT(1-E$9^2*$C$11)*NORMSINV(D181))&lt;E$8,E$5+SQRT(NORMSDIST(E$9*SQRT($C$11)*NORMSINV($B181)+SQRT(1-E$9^2*$C$11)*NORMSINV(D181))*(E$7-E$5)*(E$6-E$5)),E$7-SQRT((1-NORMSDIST(E$9*SQRT($C$11)*NORMSINV($B181)+SQRT(1-E$9^2*$C$11)*NORMSINV(D181)))*(E$7-E$5)*(E$7-E$6))))</f>
        <v>0.0534132060697284</v>
      </c>
      <c r="F181" s="2" t="n">
        <v>0.91289339</v>
      </c>
      <c r="G181" s="2" t="n">
        <f aca="false">IF(G$7=G$5,G$6,IF(NORMSDIST(G$9*SQRT($C$11)*NORMSINV($B181)+SQRT(1-G$9^2*$C$11)*NORMSINV(F181))&lt;G$8,G$5+SQRT(NORMSDIST(G$9*SQRT($C$11)*NORMSINV($B181)+SQRT(1-G$9^2*$C$11)*NORMSINV(F181))*(G$7-G$5)*(G$6-G$5)),G$7-SQRT((1-NORMSDIST(G$9*SQRT($C$11)*NORMSINV($B181)+SQRT(1-G$9^2*$C$11)*NORMSINV(F181)))*(G$7-G$5)*(G$7-G$6))))</f>
        <v>0.0615001073871626</v>
      </c>
      <c r="H181" s="2" t="n">
        <v>0.341225001</v>
      </c>
      <c r="I181" s="2" t="n">
        <f aca="false">IF(I$7=I$5,I$6,IF(NORMSDIST(I$9*SQRT($C$11)*NORMSINV($B181)+SQRT(1-I$9^2*$C$11)*NORMSINV(H181))&lt;I$8,I$5+SQRT(NORMSDIST(I$9*SQRT($C$11)*NORMSINV($B181)+SQRT(1-I$9^2*$C$11)*NORMSINV(H181))*(I$7-I$5)*(I$6-I$5)),I$7-SQRT((1-NORMSDIST(I$9*SQRT($C$11)*NORMSINV($B181)+SQRT(1-I$9^2*$C$11)*NORMSINV(H181)))*(I$7-I$5)*(I$7-I$6))))</f>
        <v>196.804838335943</v>
      </c>
      <c r="J181" s="2" t="n">
        <v>0.504475457</v>
      </c>
      <c r="K181" s="2" t="n">
        <f aca="false">IF(K$7=K$5,K$6,IF(NORMSDIST(K$9*SQRT($C$11)*NORMSINV($B181)+SQRT(1-K$9^2*$C$11)*NORMSINV(J181))&lt;K$8,K$5+SQRT(NORMSDIST(K$9*SQRT($C$11)*NORMSINV($B181)+SQRT(1-K$9^2*$C$11)*NORMSINV(J181))*(K$7-K$5)*(K$6-K$5)),K$7-SQRT((1-NORMSDIST(K$9*SQRT($C$11)*NORMSINV($B181)+SQRT(1-K$9^2*$C$11)*NORMSINV(J181)))*(K$7-K$5)*(K$7-K$6))))</f>
        <v>0.244798796775195</v>
      </c>
      <c r="L181" s="2" t="n">
        <v>0.609606186</v>
      </c>
      <c r="M181" s="2" t="n">
        <f aca="false">IF(M$7=M$5,M$6,IF(NORMSDIST(M$9*SQRT($C$11)*NORMSINV($B181)+SQRT(1-M$9^2*$C$11)*NORMSINV(L181))&lt;M$8,M$5+SQRT(NORMSDIST(M$9*SQRT($C$11)*NORMSINV($B181)+SQRT(1-M$9^2*$C$11)*NORMSINV(L181))*(M$7-M$5)*(M$6-M$5)),M$7-SQRT((1-NORMSDIST(M$9*SQRT($C$11)*NORMSINV($B181)+SQRT(1-M$9^2*$C$11)*NORMSINV(L181)))*(M$7-M$5)*(M$7-M$6))))</f>
        <v>1602.24971195903</v>
      </c>
      <c r="N181" s="2" t="n">
        <v>0.051022166</v>
      </c>
      <c r="O181" s="2" t="n">
        <f aca="false">IF(O$7=O$5,O$6,IF(NORMSDIST(O$9*SQRT($C$11)*NORMSINV($B181)+SQRT(1-O$9^2*$C$11)*NORMSINV(N181))&lt;O$8,O$5+SQRT(NORMSDIST(O$9*SQRT($C$11)*NORMSINV($B181)+SQRT(1-O$9^2*$C$11)*NORMSINV(N181))*(O$7-O$5)*(O$6-O$5)),O$7-SQRT((1-NORMSDIST(O$9*SQRT($C$11)*NORMSINV($B181)+SQRT(1-O$9^2*$C$11)*NORMSINV(N181)))*(O$7-O$5)*(O$7-O$6))))</f>
        <v>0.151507168183341</v>
      </c>
      <c r="P181" s="2" t="n">
        <v>0.899218719</v>
      </c>
      <c r="Q181" s="2" t="n">
        <f aca="false">IF(Q$7=Q$5,Q$6,IF(NORMSDIST(Q$9*SQRT($C$11)*NORMSINV($B181)+SQRT(1-Q$9^2*$C$11)*NORMSINV(P181))&lt;Q$8,Q$5+SQRT(NORMSDIST(Q$9*SQRT($C$11)*NORMSINV($B181)+SQRT(1-Q$9^2*$C$11)*NORMSINV(P181))*(Q$7-Q$5)*(Q$6-Q$5)),Q$7-SQRT((1-NORMSDIST(Q$9*SQRT($C$11)*NORMSINV($B181)+SQRT(1-Q$9^2*$C$11)*NORMSINV(P181)))*(Q$7-Q$5)*(Q$7-Q$6))))</f>
        <v>0.102041712241976</v>
      </c>
      <c r="R181" s="2" t="n">
        <v>0.598109238</v>
      </c>
      <c r="S181" s="2" t="n">
        <f aca="false">IF(S$7=S$5,S$6,IF(NORMSDIST(S$9*SQRT($C$11)*NORMSINV($B181)+SQRT(1-S$9^2*$C$11)*NORMSINV(R181))&lt;S$8,S$5+SQRT(NORMSDIST(S$9*SQRT($C$11)*NORMSINV($B181)+SQRT(1-S$9^2*$C$11)*NORMSINV(R181))*(S$7-S$5)*(S$6-S$5)),S$7-SQRT((1-NORMSDIST(S$9*SQRT($C$11)*NORMSINV($B181)+SQRT(1-S$9^2*$C$11)*NORMSINV(R181)))*(S$7-S$5)*(S$7-S$6))))</f>
        <v>0.527009764340443</v>
      </c>
      <c r="T181" s="2" t="n">
        <v>0.770493041</v>
      </c>
      <c r="U181" s="2" t="n">
        <f aca="false">IF(U$7=U$5,U$6,IF(NORMSDIST(U$9*SQRT($C$11)*NORMSINV($B181)+SQRT(1-U$9^2*$C$11)*NORMSINV(T181))&lt;U$8,U$5+SQRT(NORMSDIST(U$9*SQRT($C$11)*NORMSINV($B181)+SQRT(1-U$9^2*$C$11)*NORMSINV(T181))*(U$7-U$5)*(U$6-U$5)),U$7-SQRT((1-NORMSDIST(U$9*SQRT($C$11)*NORMSINV($B181)+SQRT(1-U$9^2*$C$11)*NORMSINV(T181)))*(U$7-U$5)*(U$7-U$6))))</f>
        <v>0.610199137082813</v>
      </c>
      <c r="V181" s="2" t="n">
        <v>0.382462322</v>
      </c>
      <c r="W181" s="2" t="n">
        <f aca="false">IF(W$7=W$5,W$6,IF(NORMSDIST(W$9*SQRT($C$11)*NORMSINV($B181)+SQRT(1-W$9^2*$C$11)*NORMSINV(V181))&lt;W$8,W$5+SQRT(NORMSDIST(W$9*SQRT($C$11)*NORMSINV($B181)+SQRT(1-W$9^2*$C$11)*NORMSINV(V181))*(W$7-W$5)*(W$6-W$5)),W$7-SQRT((1-NORMSDIST(W$9*SQRT($C$11)*NORMSINV($B181)+SQRT(1-W$9^2*$C$11)*NORMSINV(V181)))*(W$7-W$5)*(W$7-W$6))))</f>
        <v>9.75537152655231</v>
      </c>
      <c r="X181" s="2" t="n">
        <v>0.309769157</v>
      </c>
      <c r="Y181" s="2" t="n">
        <f aca="false">IF(Y$7=Y$5,Y$6,IF(NORMSDIST(Y$9*SQRT($C$11)*NORMSINV($B181)+SQRT(1-Y$9^2*$C$11)*NORMSINV(X181))&lt;Y$8,Y$5+SQRT(NORMSDIST(Y$9*SQRT($C$11)*NORMSINV($B181)+SQRT(1-Y$9^2*$C$11)*NORMSINV(X181))*(Y$7-Y$5)*(Y$6-Y$5)),Y$7-SQRT((1-NORMSDIST(Y$9*SQRT($C$11)*NORMSINV($B181)+SQRT(1-Y$9^2*$C$11)*NORMSINV(X181)))*(Y$7-Y$5)*(Y$7-Y$6))))</f>
        <v>0.393553780949949</v>
      </c>
      <c r="Z181" s="2" t="n">
        <v>0.49472285</v>
      </c>
      <c r="AA181" s="2" t="n">
        <f aca="false">IF(AA$7=AA$5,AA$6,IF(NORMSDIST(AA$9*SQRT($C$11)*NORMSINV($B181)+SQRT(1-AA$9^2*$C$11)*NORMSINV(Z181))&lt;AA$8,AA$5+SQRT(NORMSDIST(AA$9*SQRT($C$11)*NORMSINV($B181)+SQRT(1-AA$9^2*$C$11)*NORMSINV(Z181))*(AA$7-AA$5)*(AA$6-AA$5)),AA$7-SQRT((1-NORMSDIST(AA$9*SQRT($C$11)*NORMSINV($B181)+SQRT(1-AA$9^2*$C$11)*NORMSINV(Z181)))*(AA$7-AA$5)*(AA$7-AA$6))))</f>
        <v>0.72711733542561</v>
      </c>
      <c r="AB181" s="2" t="n">
        <v>0.935438178</v>
      </c>
      <c r="AC181" s="2" t="n">
        <f aca="false">IF(AC$7=AC$5,AC$6,IF(NORMSDIST(AC$9*SQRT($C$11)*NORMSINV($B181)+SQRT(1-AC$9^2*$C$11)*NORMSINV(AB181))&lt;AC$8,AC$5+SQRT(NORMSDIST(AC$9*SQRT($C$11)*NORMSINV($B181)+SQRT(1-AC$9^2*$C$11)*NORMSINV(AB181))*(AC$7-AC$5)*(AC$6-AC$5)),AC$7-SQRT((1-NORMSDIST(AC$9*SQRT($C$11)*NORMSINV($B181)+SQRT(1-AC$9^2*$C$11)*NORMSINV(AB181)))*(AC$7-AC$5)*(AC$7-AC$6))))</f>
        <v>10.2437536752842</v>
      </c>
      <c r="AD181" s="2" t="n">
        <f aca="false">Entrées!$C$8*(1+E181)</f>
        <v>7426.56310279158</v>
      </c>
      <c r="AE181" s="2" t="n">
        <f aca="false">I181*Hypothèses!$J$24/12/Hypothèses!$J$19</f>
        <v>97.6342504000715</v>
      </c>
      <c r="AF181" s="2" t="n">
        <f aca="false">Entrées!$C$36*S181*1000</f>
        <v>263.504882170221</v>
      </c>
      <c r="AG181" s="2" t="n">
        <f aca="false">-AF181/W181</f>
        <v>-27.0112605607085</v>
      </c>
      <c r="AH181" s="2" t="n">
        <f aca="false">AD181+AE181+AG181</f>
        <v>7497.18609263095</v>
      </c>
      <c r="AI181" s="2" t="n">
        <f aca="false">Entrées!$C$16-M181+Hypothèses!$J$22*1000-AF181+Hypothèses!$J$23</f>
        <v>22682.2454058707</v>
      </c>
      <c r="AJ181" s="2" t="n">
        <f aca="false">AI181/AH181</f>
        <v>3.02543449310473</v>
      </c>
      <c r="AK181" s="2" t="n">
        <f aca="false">AI181/(AH181+I181*(12-Hypothèses!$J$24)/12/Hypothèses!$J$19)</f>
        <v>2.99755130079074</v>
      </c>
      <c r="AL181" s="2" t="n">
        <f aca="false">(AD181+AG181+I181/Hypothèses!$J$19)*(1+G181)</f>
        <v>8032.29153334668</v>
      </c>
      <c r="AM181" s="2" t="n">
        <f aca="false">Entrées!$C$54*K181/Hypothèses!$J$19</f>
        <v>24.9827450546355</v>
      </c>
      <c r="AN181" s="2" t="n">
        <f aca="false">Y181*1000/AC181</f>
        <v>38.418903209231</v>
      </c>
      <c r="AO181" s="2" t="n">
        <f aca="false">(Entrées!$C$36*(1-S181)+MAX(0,Entrées!$C$30-Entrées!$C$35-Entrées!$C$36)*U181)*1000</f>
        <v>1090.77390974572</v>
      </c>
      <c r="AP181" s="2" t="n">
        <f aca="false">-AO181/W181</f>
        <v>-111.812646681557</v>
      </c>
      <c r="AQ181" s="2" t="n">
        <f aca="false">AL181+AM181+AN181+AP181</f>
        <v>7983.88053492899</v>
      </c>
      <c r="AR181" s="2" t="n">
        <f aca="false">O181*AQ181-Hypothèses!$J$25/Hypothèses!$J$19</f>
        <v>1190.47996869956</v>
      </c>
      <c r="AS181" s="2" t="n">
        <f aca="false">Entrées!$C$79*(1+Q181)+Hypothèses!$J$20</f>
        <v>1506.14384175393</v>
      </c>
      <c r="AT181" s="2" t="n">
        <f aca="false">AI181-AR181+AS181+Y181*1000-AO181+Hypothèses!$J$23</f>
        <v>22300.6891501293</v>
      </c>
      <c r="AU181" s="2" t="n">
        <f aca="false">AT181/AQ181</f>
        <v>2.79321428377657</v>
      </c>
      <c r="AV181" s="2" t="n">
        <f aca="false">Hypothèses!$J$26*AQ181-AT181</f>
        <v>1650.95245465762</v>
      </c>
      <c r="AW181" s="2" t="n">
        <f aca="false">IF(AC181&gt;Hypothèses!$J$26,MAX(0,AV181)/(1-Hypothèses!$J$26/AC181),0)</f>
        <v>2334.69428051126</v>
      </c>
      <c r="AX181" s="2" t="n">
        <f aca="false">AQ181-Entrées!$C$17*1000</f>
        <v>-16.1194650710122</v>
      </c>
      <c r="AY181" s="2" t="n">
        <f aca="false">AI181+(Entrées!$C$244-Entrées!$C$13)</f>
        <v>28429.2454058707</v>
      </c>
      <c r="AZ181" s="2" t="n">
        <f aca="false">AA181*AH181</f>
        <v>5451.33397486376</v>
      </c>
      <c r="BA181" s="2" t="n">
        <f aca="false">AZ181/AY181</f>
        <v>0.191750920470722</v>
      </c>
      <c r="BB181" s="2" t="n">
        <f aca="false">AZ181/(Entrées!$C$151/100)-AY181</f>
        <v>1855.94334337234</v>
      </c>
      <c r="BC181" s="2" t="n">
        <f aca="false">AT181+(Entrées!$C$244-Entrées!$C$13)</f>
        <v>28047.6891501293</v>
      </c>
      <c r="BD181" s="2" t="n">
        <f aca="false">AA181*AQ181</f>
        <v>5805.21794091396</v>
      </c>
      <c r="BE181" s="2" t="n">
        <f aca="false">BD181/BC181</f>
        <v>0.20697669279778</v>
      </c>
      <c r="BF181" s="2" t="n">
        <f aca="false">BD181/(Entrées!$C$151/100)-BC181</f>
        <v>4203.52163272599</v>
      </c>
      <c r="BG181" s="2" t="n">
        <f aca="false">MIN(AV181,BF181)</f>
        <v>1650.95245465762</v>
      </c>
      <c r="BH181" s="2" t="n">
        <f aca="false">IF(AC181&gt;Hypothèses!$J$26,MAX(0,BG181)/(1-Hypothèses!$J$26/AC181),0)</f>
        <v>2334.69428051126</v>
      </c>
    </row>
    <row r="182" customFormat="false" ht="15" hidden="false" customHeight="false" outlineLevel="0" collapsed="false">
      <c r="A182" s="2" t="n">
        <v>167</v>
      </c>
      <c r="B182" s="2" t="n">
        <v>0.655819191</v>
      </c>
      <c r="C182" s="2"/>
      <c r="D182" s="2" t="n">
        <v>0.857173385</v>
      </c>
      <c r="E182" s="2" t="n">
        <f aca="false">IF(E$7=E$5,E$6,IF(NORMSDIST(E$9*SQRT($C$11)*NORMSINV($B182)+SQRT(1-E$9^2*$C$11)*NORMSINV(D182))&lt;E$8,E$5+SQRT(NORMSDIST(E$9*SQRT($C$11)*NORMSINV($B182)+SQRT(1-E$9^2*$C$11)*NORMSINV(D182))*(E$7-E$5)*(E$6-E$5)),E$7-SQRT((1-NORMSDIST(E$9*SQRT($C$11)*NORMSINV($B182)+SQRT(1-E$9^2*$C$11)*NORMSINV(D182)))*(E$7-E$5)*(E$7-E$6))))</f>
        <v>0.0573550624848875</v>
      </c>
      <c r="F182" s="2" t="n">
        <v>0.619143333</v>
      </c>
      <c r="G182" s="2" t="n">
        <f aca="false">IF(G$7=G$5,G$6,IF(NORMSDIST(G$9*SQRT($C$11)*NORMSINV($B182)+SQRT(1-G$9^2*$C$11)*NORMSINV(F182))&lt;G$8,G$5+SQRT(NORMSDIST(G$9*SQRT($C$11)*NORMSINV($B182)+SQRT(1-G$9^2*$C$11)*NORMSINV(F182))*(G$7-G$5)*(G$6-G$5)),G$7-SQRT((1-NORMSDIST(G$9*SQRT($C$11)*NORMSINV($B182)+SQRT(1-G$9^2*$C$11)*NORMSINV(F182)))*(G$7-G$5)*(G$7-G$6))))</f>
        <v>0.0581399188092576</v>
      </c>
      <c r="H182" s="2" t="n">
        <v>0.175619465</v>
      </c>
      <c r="I182" s="2" t="n">
        <f aca="false">IF(I$7=I$5,I$6,IF(NORMSDIST(I$9*SQRT($C$11)*NORMSINV($B182)+SQRT(1-I$9^2*$C$11)*NORMSINV(H182))&lt;I$8,I$5+SQRT(NORMSDIST(I$9*SQRT($C$11)*NORMSINV($B182)+SQRT(1-I$9^2*$C$11)*NORMSINV(H182))*(I$7-I$5)*(I$6-I$5)),I$7-SQRT((1-NORMSDIST(I$9*SQRT($C$11)*NORMSINV($B182)+SQRT(1-I$9^2*$C$11)*NORMSINV(H182)))*(I$7-I$5)*(I$7-I$6))))</f>
        <v>195.993682046031</v>
      </c>
      <c r="J182" s="2" t="n">
        <v>0.206036751</v>
      </c>
      <c r="K182" s="2" t="n">
        <f aca="false">IF(K$7=K$5,K$6,IF(NORMSDIST(K$9*SQRT($C$11)*NORMSINV($B182)+SQRT(1-K$9^2*$C$11)*NORMSINV(J182))&lt;K$8,K$5+SQRT(NORMSDIST(K$9*SQRT($C$11)*NORMSINV($B182)+SQRT(1-K$9^2*$C$11)*NORMSINV(J182))*(K$7-K$5)*(K$6-K$5)),K$7-SQRT((1-NORMSDIST(K$9*SQRT($C$11)*NORMSINV($B182)+SQRT(1-K$9^2*$C$11)*NORMSINV(J182)))*(K$7-K$5)*(K$7-K$6))))</f>
        <v>0.209565814289355</v>
      </c>
      <c r="L182" s="2" t="n">
        <v>0.279299881</v>
      </c>
      <c r="M182" s="2" t="n">
        <f aca="false">IF(M$7=M$5,M$6,IF(NORMSDIST(M$9*SQRT($C$11)*NORMSINV($B182)+SQRT(1-M$9^2*$C$11)*NORMSINV(L182))&lt;M$8,M$5+SQRT(NORMSDIST(M$9*SQRT($C$11)*NORMSINV($B182)+SQRT(1-M$9^2*$C$11)*NORMSINV(L182))*(M$7-M$5)*(M$6-M$5)),M$7-SQRT((1-NORMSDIST(M$9*SQRT($C$11)*NORMSINV($B182)+SQRT(1-M$9^2*$C$11)*NORMSINV(L182)))*(M$7-M$5)*(M$7-M$6))))</f>
        <v>1562.09398941004</v>
      </c>
      <c r="N182" s="2" t="n">
        <v>0.170570865</v>
      </c>
      <c r="O182" s="2" t="n">
        <f aca="false">IF(O$7=O$5,O$6,IF(NORMSDIST(O$9*SQRT($C$11)*NORMSINV($B182)+SQRT(1-O$9^2*$C$11)*NORMSINV(N182))&lt;O$8,O$5+SQRT(NORMSDIST(O$9*SQRT($C$11)*NORMSINV($B182)+SQRT(1-O$9^2*$C$11)*NORMSINV(N182))*(O$7-O$5)*(O$6-O$5)),O$7-SQRT((1-NORMSDIST(O$9*SQRT($C$11)*NORMSINV($B182)+SQRT(1-O$9^2*$C$11)*NORMSINV(N182)))*(O$7-O$5)*(O$7-O$6))))</f>
        <v>0.161236084415811</v>
      </c>
      <c r="P182" s="2" t="n">
        <v>0.234511297</v>
      </c>
      <c r="Q182" s="2" t="n">
        <f aca="false">IF(Q$7=Q$5,Q$6,IF(NORMSDIST(Q$9*SQRT($C$11)*NORMSINV($B182)+SQRT(1-Q$9^2*$C$11)*NORMSINV(P182))&lt;Q$8,Q$5+SQRT(NORMSDIST(Q$9*SQRT($C$11)*NORMSINV($B182)+SQRT(1-Q$9^2*$C$11)*NORMSINV(P182))*(Q$7-Q$5)*(Q$6-Q$5)),Q$7-SQRT((1-NORMSDIST(Q$9*SQRT($C$11)*NORMSINV($B182)+SQRT(1-Q$9^2*$C$11)*NORMSINV(P182)))*(Q$7-Q$5)*(Q$7-Q$6))))</f>
        <v>0.0673940896983273</v>
      </c>
      <c r="R182" s="2" t="n">
        <v>0.047545099</v>
      </c>
      <c r="S182" s="2" t="n">
        <f aca="false">IF(S$7=S$5,S$6,IF(NORMSDIST(S$9*SQRT($C$11)*NORMSINV($B182)+SQRT(1-S$9^2*$C$11)*NORMSINV(R182))&lt;S$8,S$5+SQRT(NORMSDIST(S$9*SQRT($C$11)*NORMSINV($B182)+SQRT(1-S$9^2*$C$11)*NORMSINV(R182))*(S$7-S$5)*(S$6-S$5)),S$7-SQRT((1-NORMSDIST(S$9*SQRT($C$11)*NORMSINV($B182)+SQRT(1-S$9^2*$C$11)*NORMSINV(R182)))*(S$7-S$5)*(S$7-S$6))))</f>
        <v>0.273263453185063</v>
      </c>
      <c r="T182" s="2" t="n">
        <v>0.183804334</v>
      </c>
      <c r="U182" s="2" t="n">
        <f aca="false">IF(U$7=U$5,U$6,IF(NORMSDIST(U$9*SQRT($C$11)*NORMSINV($B182)+SQRT(1-U$9^2*$C$11)*NORMSINV(T182))&lt;U$8,U$5+SQRT(NORMSDIST(U$9*SQRT($C$11)*NORMSINV($B182)+SQRT(1-U$9^2*$C$11)*NORMSINV(T182))*(U$7-U$5)*(U$6-U$5)),U$7-SQRT((1-NORMSDIST(U$9*SQRT($C$11)*NORMSINV($B182)+SQRT(1-U$9^2*$C$11)*NORMSINV(T182)))*(U$7-U$5)*(U$7-U$6))))</f>
        <v>0.405242422074684</v>
      </c>
      <c r="V182" s="2" t="n">
        <v>0.497100193</v>
      </c>
      <c r="W182" s="2" t="n">
        <f aca="false">IF(W$7=W$5,W$6,IF(NORMSDIST(W$9*SQRT($C$11)*NORMSINV($B182)+SQRT(1-W$9^2*$C$11)*NORMSINV(V182))&lt;W$8,W$5+SQRT(NORMSDIST(W$9*SQRT($C$11)*NORMSINV($B182)+SQRT(1-W$9^2*$C$11)*NORMSINV(V182))*(W$7-W$5)*(W$6-W$5)),W$7-SQRT((1-NORMSDIST(W$9*SQRT($C$11)*NORMSINV($B182)+SQRT(1-W$9^2*$C$11)*NORMSINV(V182)))*(W$7-W$5)*(W$7-W$6))))</f>
        <v>10.2065589671198</v>
      </c>
      <c r="X182" s="2" t="n">
        <v>0.421744804</v>
      </c>
      <c r="Y182" s="2" t="n">
        <f aca="false">IF(Y$7=Y$5,Y$6,IF(NORMSDIST(Y$9*SQRT($C$11)*NORMSINV($B182)+SQRT(1-Y$9^2*$C$11)*NORMSINV(X182))&lt;Y$8,Y$5+SQRT(NORMSDIST(Y$9*SQRT($C$11)*NORMSINV($B182)+SQRT(1-Y$9^2*$C$11)*NORMSINV(X182))*(Y$7-Y$5)*(Y$6-Y$5)),Y$7-SQRT((1-NORMSDIST(Y$9*SQRT($C$11)*NORMSINV($B182)+SQRT(1-Y$9^2*$C$11)*NORMSINV(X182)))*(Y$7-Y$5)*(Y$7-Y$6))))</f>
        <v>0.459208451577277</v>
      </c>
      <c r="Z182" s="2" t="n">
        <v>0.253816858</v>
      </c>
      <c r="AA182" s="2" t="n">
        <f aca="false">IF(AA$7=AA$5,AA$6,IF(NORMSDIST(AA$9*SQRT($C$11)*NORMSINV($B182)+SQRT(1-AA$9^2*$C$11)*NORMSINV(Z182))&lt;AA$8,AA$5+SQRT(NORMSDIST(AA$9*SQRT($C$11)*NORMSINV($B182)+SQRT(1-AA$9^2*$C$11)*NORMSINV(Z182))*(AA$7-AA$5)*(AA$6-AA$5)),AA$7-SQRT((1-NORMSDIST(AA$9*SQRT($C$11)*NORMSINV($B182)+SQRT(1-AA$9^2*$C$11)*NORMSINV(Z182)))*(AA$7-AA$5)*(AA$7-AA$6))))</f>
        <v>0.724508321864392</v>
      </c>
      <c r="AB182" s="2" t="n">
        <v>0.002767344</v>
      </c>
      <c r="AC182" s="2" t="n">
        <f aca="false">IF(AC$7=AC$5,AC$6,IF(NORMSDIST(AC$9*SQRT($C$11)*NORMSINV($B182)+SQRT(1-AC$9^2*$C$11)*NORMSINV(AB182))&lt;AC$8,AC$5+SQRT(NORMSDIST(AC$9*SQRT($C$11)*NORMSINV($B182)+SQRT(1-AC$9^2*$C$11)*NORMSINV(AB182))*(AC$7-AC$5)*(AC$6-AC$5)),AC$7-SQRT((1-NORMSDIST(AC$9*SQRT($C$11)*NORMSINV($B182)+SQRT(1-AC$9^2*$C$11)*NORMSINV(AB182)))*(AC$7-AC$5)*(AC$7-AC$6))))</f>
        <v>7.9008559504014</v>
      </c>
      <c r="AD182" s="2" t="n">
        <f aca="false">Entrées!$C$8*(1+E182)</f>
        <v>7454.35319051846</v>
      </c>
      <c r="AE182" s="2" t="n">
        <f aca="false">I182*Hypothèses!$J$24/12/Hypothèses!$J$19</f>
        <v>97.2318383608532</v>
      </c>
      <c r="AF182" s="2" t="n">
        <f aca="false">Entrées!$C$36*S182*1000</f>
        <v>136.631726592532</v>
      </c>
      <c r="AG182" s="2" t="n">
        <f aca="false">-AF182/W182</f>
        <v>-13.3866592093073</v>
      </c>
      <c r="AH182" s="2" t="n">
        <f aca="false">AD182+AE182+AG182</f>
        <v>7538.19836967</v>
      </c>
      <c r="AI182" s="2" t="n">
        <f aca="false">Entrées!$C$16-M182+Hypothèses!$J$22*1000-AF182+Hypothèses!$J$23</f>
        <v>22849.2742839974</v>
      </c>
      <c r="AJ182" s="2" t="n">
        <f aca="false">AI182/AH182</f>
        <v>3.0311319977903</v>
      </c>
      <c r="AK182" s="2" t="n">
        <f aca="false">AI182/(AH182+I182*(12-Hypothèses!$J$24)/12/Hypothèses!$J$19)</f>
        <v>3.00346036381017</v>
      </c>
      <c r="AL182" s="2" t="n">
        <f aca="false">(AD182+AG182+I182/Hypothèses!$J$19)*(1+G182)</f>
        <v>8049.95781767129</v>
      </c>
      <c r="AM182" s="2" t="n">
        <f aca="false">Entrées!$C$54*K182/Hypothèses!$J$19</f>
        <v>21.3870712582218</v>
      </c>
      <c r="AN182" s="2" t="n">
        <f aca="false">Y182*1000/AC182</f>
        <v>58.1213547570054</v>
      </c>
      <c r="AO182" s="2" t="n">
        <f aca="false">(Entrées!$C$36*(1-S182)+MAX(0,Entrées!$C$30-Entrées!$C$35-Entrées!$C$36)*U182)*1000</f>
        <v>930.707664312026</v>
      </c>
      <c r="AP182" s="2" t="n">
        <f aca="false">-AO182/W182</f>
        <v>-91.1872127825141</v>
      </c>
      <c r="AQ182" s="2" t="n">
        <f aca="false">AL182+AM182+AN182+AP182</f>
        <v>8038.279030904</v>
      </c>
      <c r="AR182" s="2" t="n">
        <f aca="false">O182*AQ182-Hypothèses!$J$25/Hypothèses!$J$19</f>
        <v>1276.92547412305</v>
      </c>
      <c r="AS182" s="2" t="n">
        <f aca="false">Entrées!$C$79*(1+Q182)+Hypothèses!$J$20</f>
        <v>1468.06610457846</v>
      </c>
      <c r="AT182" s="2" t="n">
        <f aca="false">AI182-AR182+AS182+Y182*1000-AO182+Hypothèses!$J$23</f>
        <v>22568.9157017181</v>
      </c>
      <c r="AU182" s="2" t="n">
        <f aca="false">AT182/AQ182</f>
        <v>2.8076800537714</v>
      </c>
      <c r="AV182" s="2" t="n">
        <f aca="false">Hypothèses!$J$26*AQ182-AT182</f>
        <v>1545.92139099391</v>
      </c>
      <c r="AW182" s="2" t="n">
        <f aca="false">IF(AC182&gt;Hypothèses!$J$26,MAX(0,AV182)/(1-Hypothèses!$J$26/AC182),0)</f>
        <v>2492.23856903744</v>
      </c>
      <c r="AX182" s="2" t="n">
        <f aca="false">AQ182-Entrées!$C$17*1000</f>
        <v>38.2790309039992</v>
      </c>
      <c r="AY182" s="2" t="n">
        <f aca="false">AI182+(Entrées!$C$244-Entrées!$C$13)</f>
        <v>28596.2742839974</v>
      </c>
      <c r="AZ182" s="2" t="n">
        <f aca="false">AA182*AH182</f>
        <v>5461.48745069051</v>
      </c>
      <c r="BA182" s="2" t="n">
        <f aca="false">AZ182/AY182</f>
        <v>0.190985979377977</v>
      </c>
      <c r="BB182" s="2" t="n">
        <f aca="false">AZ182/(Entrées!$C$151/100)-AY182</f>
        <v>1745.32266428318</v>
      </c>
      <c r="BC182" s="2" t="n">
        <f aca="false">AT182+(Entrées!$C$244-Entrées!$C$13)</f>
        <v>28315.9157017181</v>
      </c>
      <c r="BD182" s="2" t="n">
        <f aca="false">AA182*AQ182</f>
        <v>5823.80005135799</v>
      </c>
      <c r="BE182" s="2" t="n">
        <f aca="false">BD182/BC182</f>
        <v>0.205672319154581</v>
      </c>
      <c r="BF182" s="2" t="n">
        <f aca="false">BD182/(Entrées!$C$151/100)-BC182</f>
        <v>4038.5290280485</v>
      </c>
      <c r="BG182" s="2" t="n">
        <f aca="false">MIN(AV182,BF182)</f>
        <v>1545.92139099391</v>
      </c>
      <c r="BH182" s="2" t="n">
        <f aca="false">IF(AC182&gt;Hypothèses!$J$26,MAX(0,BG182)/(1-Hypothèses!$J$26/AC182),0)</f>
        <v>2492.23856903744</v>
      </c>
    </row>
    <row r="183" customFormat="false" ht="15" hidden="false" customHeight="false" outlineLevel="0" collapsed="false">
      <c r="A183" s="2" t="n">
        <v>168</v>
      </c>
      <c r="B183" s="2" t="n">
        <v>0.863322715</v>
      </c>
      <c r="C183" s="2"/>
      <c r="D183" s="2" t="n">
        <v>0.614571161</v>
      </c>
      <c r="E183" s="2" t="n">
        <f aca="false">IF(E$7=E$5,E$6,IF(NORMSDIST(E$9*SQRT($C$11)*NORMSINV($B183)+SQRT(1-E$9^2*$C$11)*NORMSINV(D183))&lt;E$8,E$5+SQRT(NORMSDIST(E$9*SQRT($C$11)*NORMSINV($B183)+SQRT(1-E$9^2*$C$11)*NORMSINV(D183))*(E$7-E$5)*(E$6-E$5)),E$7-SQRT((1-NORMSDIST(E$9*SQRT($C$11)*NORMSINV($B183)+SQRT(1-E$9^2*$C$11)*NORMSINV(D183)))*(E$7-E$5)*(E$7-E$6))))</f>
        <v>0.0570065832679077</v>
      </c>
      <c r="F183" s="2" t="n">
        <v>0.049859501</v>
      </c>
      <c r="G183" s="2" t="n">
        <f aca="false">IF(G$7=G$5,G$6,IF(NORMSDIST(G$9*SQRT($C$11)*NORMSINV($B183)+SQRT(1-G$9^2*$C$11)*NORMSINV(F183))&lt;G$8,G$5+SQRT(NORMSDIST(G$9*SQRT($C$11)*NORMSINV($B183)+SQRT(1-G$9^2*$C$11)*NORMSINV(F183))*(G$7-G$5)*(G$6-G$5)),G$7-SQRT((1-NORMSDIST(G$9*SQRT($C$11)*NORMSINV($B183)+SQRT(1-G$9^2*$C$11)*NORMSINV(F183)))*(G$7-G$5)*(G$7-G$6))))</f>
        <v>0.0512280745546526</v>
      </c>
      <c r="H183" s="2" t="n">
        <v>0.791230249</v>
      </c>
      <c r="I183" s="2" t="n">
        <f aca="false">IF(I$7=I$5,I$6,IF(NORMSDIST(I$9*SQRT($C$11)*NORMSINV($B183)+SQRT(1-I$9^2*$C$11)*NORMSINV(H183))&lt;I$8,I$5+SQRT(NORMSDIST(I$9*SQRT($C$11)*NORMSINV($B183)+SQRT(1-I$9^2*$C$11)*NORMSINV(H183))*(I$7-I$5)*(I$6-I$5)),I$7-SQRT((1-NORMSDIST(I$9*SQRT($C$11)*NORMSINV($B183)+SQRT(1-I$9^2*$C$11)*NORMSINV(H183)))*(I$7-I$5)*(I$7-I$6))))</f>
        <v>211.360802961688</v>
      </c>
      <c r="J183" s="2" t="n">
        <v>0.037544098</v>
      </c>
      <c r="K183" s="2" t="n">
        <f aca="false">IF(K$7=K$5,K$6,IF(NORMSDIST(K$9*SQRT($C$11)*NORMSINV($B183)+SQRT(1-K$9^2*$C$11)*NORMSINV(J183))&lt;K$8,K$5+SQRT(NORMSDIST(K$9*SQRT($C$11)*NORMSINV($B183)+SQRT(1-K$9^2*$C$11)*NORMSINV(J183))*(K$7-K$5)*(K$6-K$5)),K$7-SQRT((1-NORMSDIST(K$9*SQRT($C$11)*NORMSINV($B183)+SQRT(1-K$9^2*$C$11)*NORMSINV(J183)))*(K$7-K$5)*(K$7-K$6))))</f>
        <v>0.175489278530465</v>
      </c>
      <c r="L183" s="2" t="n">
        <v>0.623787441</v>
      </c>
      <c r="M183" s="2" t="n">
        <f aca="false">IF(M$7=M$5,M$6,IF(NORMSDIST(M$9*SQRT($C$11)*NORMSINV($B183)+SQRT(1-M$9^2*$C$11)*NORMSINV(L183))&lt;M$8,M$5+SQRT(NORMSDIST(M$9*SQRT($C$11)*NORMSINV($B183)+SQRT(1-M$9^2*$C$11)*NORMSINV(L183))*(M$7-M$5)*(M$6-M$5)),M$7-SQRT((1-NORMSDIST(M$9*SQRT($C$11)*NORMSINV($B183)+SQRT(1-M$9^2*$C$11)*NORMSINV(L183)))*(M$7-M$5)*(M$7-M$6))))</f>
        <v>1674.08716731449</v>
      </c>
      <c r="N183" s="2" t="n">
        <v>0.330287686</v>
      </c>
      <c r="O183" s="2" t="n">
        <f aca="false">IF(O$7=O$5,O$6,IF(NORMSDIST(O$9*SQRT($C$11)*NORMSINV($B183)+SQRT(1-O$9^2*$C$11)*NORMSINV(N183))&lt;O$8,O$5+SQRT(NORMSDIST(O$9*SQRT($C$11)*NORMSINV($B183)+SQRT(1-O$9^2*$C$11)*NORMSINV(N183))*(O$7-O$5)*(O$6-O$5)),O$7-SQRT((1-NORMSDIST(O$9*SQRT($C$11)*NORMSINV($B183)+SQRT(1-O$9^2*$C$11)*NORMSINV(N183)))*(O$7-O$5)*(O$7-O$6))))</f>
        <v>0.170358474008736</v>
      </c>
      <c r="P183" s="2" t="n">
        <v>0.018592709</v>
      </c>
      <c r="Q183" s="2" t="n">
        <f aca="false">IF(Q$7=Q$5,Q$6,IF(NORMSDIST(Q$9*SQRT($C$11)*NORMSINV($B183)+SQRT(1-Q$9^2*$C$11)*NORMSINV(P183))&lt;Q$8,Q$5+SQRT(NORMSDIST(Q$9*SQRT($C$11)*NORMSINV($B183)+SQRT(1-Q$9^2*$C$11)*NORMSINV(P183))*(Q$7-Q$5)*(Q$6-Q$5)),Q$7-SQRT((1-NORMSDIST(Q$9*SQRT($C$11)*NORMSINV($B183)+SQRT(1-Q$9^2*$C$11)*NORMSINV(P183)))*(Q$7-Q$5)*(Q$7-Q$6))))</f>
        <v>0.047713408377624</v>
      </c>
      <c r="R183" s="2" t="n">
        <v>0.412116913</v>
      </c>
      <c r="S183" s="2" t="n">
        <f aca="false">IF(S$7=S$5,S$6,IF(NORMSDIST(S$9*SQRT($C$11)*NORMSINV($B183)+SQRT(1-S$9^2*$C$11)*NORMSINV(R183))&lt;S$8,S$5+SQRT(NORMSDIST(S$9*SQRT($C$11)*NORMSINV($B183)+SQRT(1-S$9^2*$C$11)*NORMSINV(R183))*(S$7-S$5)*(S$6-S$5)),S$7-SQRT((1-NORMSDIST(S$9*SQRT($C$11)*NORMSINV($B183)+SQRT(1-S$9^2*$C$11)*NORMSINV(R183)))*(S$7-S$5)*(S$7-S$6))))</f>
        <v>0.611878564959295</v>
      </c>
      <c r="T183" s="2" t="n">
        <v>0.473468744</v>
      </c>
      <c r="U183" s="2" t="n">
        <f aca="false">IF(U$7=U$5,U$6,IF(NORMSDIST(U$9*SQRT($C$11)*NORMSINV($B183)+SQRT(1-U$9^2*$C$11)*NORMSINV(T183))&lt;U$8,U$5+SQRT(NORMSDIST(U$9*SQRT($C$11)*NORMSINV($B183)+SQRT(1-U$9^2*$C$11)*NORMSINV(T183))*(U$7-U$5)*(U$6-U$5)),U$7-SQRT((1-NORMSDIST(U$9*SQRT($C$11)*NORMSINV($B183)+SQRT(1-U$9^2*$C$11)*NORMSINV(T183)))*(U$7-U$5)*(U$7-U$6))))</f>
        <v>0.638967072447746</v>
      </c>
      <c r="V183" s="2" t="n">
        <v>0.488169381</v>
      </c>
      <c r="W183" s="2" t="n">
        <f aca="false">IF(W$7=W$5,W$6,IF(NORMSDIST(W$9*SQRT($C$11)*NORMSINV($B183)+SQRT(1-W$9^2*$C$11)*NORMSINV(V183))&lt;W$8,W$5+SQRT(NORMSDIST(W$9*SQRT($C$11)*NORMSINV($B183)+SQRT(1-W$9^2*$C$11)*NORMSINV(V183))*(W$7-W$5)*(W$6-W$5)),W$7-SQRT((1-NORMSDIST(W$9*SQRT($C$11)*NORMSINV($B183)+SQRT(1-W$9^2*$C$11)*NORMSINV(V183)))*(W$7-W$5)*(W$7-W$6))))</f>
        <v>10.5815698119651</v>
      </c>
      <c r="X183" s="2" t="n">
        <v>0.4594383</v>
      </c>
      <c r="Y183" s="2" t="n">
        <f aca="false">IF(Y$7=Y$5,Y$6,IF(NORMSDIST(Y$9*SQRT($C$11)*NORMSINV($B183)+SQRT(1-Y$9^2*$C$11)*NORMSINV(X183))&lt;Y$8,Y$5+SQRT(NORMSDIST(Y$9*SQRT($C$11)*NORMSINV($B183)+SQRT(1-Y$9^2*$C$11)*NORMSINV(X183))*(Y$7-Y$5)*(Y$6-Y$5)),Y$7-SQRT((1-NORMSDIST(Y$9*SQRT($C$11)*NORMSINV($B183)+SQRT(1-Y$9^2*$C$11)*NORMSINV(X183)))*(Y$7-Y$5)*(Y$7-Y$6))))</f>
        <v>0.479290256525208</v>
      </c>
      <c r="Z183" s="2" t="n">
        <v>0.065738091</v>
      </c>
      <c r="AA183" s="2" t="n">
        <f aca="false">IF(AA$7=AA$5,AA$6,IF(NORMSDIST(AA$9*SQRT($C$11)*NORMSINV($B183)+SQRT(1-AA$9^2*$C$11)*NORMSINV(Z183))&lt;AA$8,AA$5+SQRT(NORMSDIST(AA$9*SQRT($C$11)*NORMSINV($B183)+SQRT(1-AA$9^2*$C$11)*NORMSINV(Z183))*(AA$7-AA$5)*(AA$6-AA$5)),AA$7-SQRT((1-NORMSDIST(AA$9*SQRT($C$11)*NORMSINV($B183)+SQRT(1-AA$9^2*$C$11)*NORMSINV(Z183)))*(AA$7-AA$5)*(AA$7-AA$6))))</f>
        <v>0.721389925370752</v>
      </c>
      <c r="AB183" s="2" t="n">
        <v>0.867097343</v>
      </c>
      <c r="AC183" s="2" t="n">
        <f aca="false">IF(AC$7=AC$5,AC$6,IF(NORMSDIST(AC$9*SQRT($C$11)*NORMSINV($B183)+SQRT(1-AC$9^2*$C$11)*NORMSINV(AB183))&lt;AC$8,AC$5+SQRT(NORMSDIST(AC$9*SQRT($C$11)*NORMSINV($B183)+SQRT(1-AC$9^2*$C$11)*NORMSINV(AB183))*(AC$7-AC$5)*(AC$6-AC$5)),AC$7-SQRT((1-NORMSDIST(AC$9*SQRT($C$11)*NORMSINV($B183)+SQRT(1-AC$9^2*$C$11)*NORMSINV(AB183)))*(AC$7-AC$5)*(AC$7-AC$6))))</f>
        <v>10.4908581514259</v>
      </c>
      <c r="AD183" s="2" t="n">
        <f aca="false">Entrées!$C$8*(1+E183)</f>
        <v>7451.89641203875</v>
      </c>
      <c r="AE183" s="2" t="n">
        <f aca="false">I183*Hypothèses!$J$24/12/Hypothèses!$J$19</f>
        <v>104.855417862727</v>
      </c>
      <c r="AF183" s="2" t="n">
        <f aca="false">Entrées!$C$36*S183*1000</f>
        <v>305.939282479648</v>
      </c>
      <c r="AG183" s="2" t="n">
        <f aca="false">-AF183/W183</f>
        <v>-28.9124664786227</v>
      </c>
      <c r="AH183" s="2" t="n">
        <f aca="false">AD183+AE183+AG183</f>
        <v>7527.83936342285</v>
      </c>
      <c r="AI183" s="2" t="n">
        <f aca="false">Entrées!$C$16-M183+Hypothèses!$J$22*1000-AF183+Hypothèses!$J$23</f>
        <v>22567.9735502059</v>
      </c>
      <c r="AJ183" s="2" t="n">
        <f aca="false">AI183/AH183</f>
        <v>2.99793505954202</v>
      </c>
      <c r="AK183" s="2" t="n">
        <f aca="false">AI183/(AH183+I183*(12-Hypothèses!$J$24)/12/Hypothèses!$J$19)</f>
        <v>2.9684015440838</v>
      </c>
      <c r="AL183" s="2" t="n">
        <f aca="false">(AD183+AG183+I183/Hypothèses!$J$19)*(1+G183)</f>
        <v>7992.20962172948</v>
      </c>
      <c r="AM183" s="2" t="n">
        <f aca="false">Entrées!$C$54*K183/Hypothèses!$J$19</f>
        <v>17.9094177058993</v>
      </c>
      <c r="AN183" s="2" t="n">
        <f aca="false">Y183*1000/AC183</f>
        <v>45.6864681236837</v>
      </c>
      <c r="AO183" s="2" t="n">
        <f aca="false">(Entrées!$C$36*(1-S183)+MAX(0,Entrées!$C$30-Entrées!$C$35-Entrées!$C$36)*U183)*1000</f>
        <v>1088.6146189472</v>
      </c>
      <c r="AP183" s="2" t="n">
        <f aca="false">-AO183/W183</f>
        <v>-102.878366659382</v>
      </c>
      <c r="AQ183" s="2" t="n">
        <f aca="false">AL183+AM183+AN183+AP183</f>
        <v>7952.92714089968</v>
      </c>
      <c r="AR183" s="2" t="n">
        <f aca="false">O183*AQ183-Hypothèses!$J$25/Hypothèses!$J$19</f>
        <v>1335.7133693647</v>
      </c>
      <c r="AS183" s="2" t="n">
        <f aca="false">Entrées!$C$79*(1+Q183)+Hypothèses!$J$20</f>
        <v>1446.43703580701</v>
      </c>
      <c r="AT183" s="2" t="n">
        <f aca="false">AI183-AR183+AS183+Y183*1000-AO183+Hypothèses!$J$23</f>
        <v>22069.3728542262</v>
      </c>
      <c r="AU183" s="2" t="n">
        <f aca="false">AT183/AQ183</f>
        <v>2.77500000480698</v>
      </c>
      <c r="AV183" s="2" t="n">
        <f aca="false">Hypothèses!$J$26*AQ183-AT183</f>
        <v>1789.40856847288</v>
      </c>
      <c r="AW183" s="2" t="n">
        <f aca="false">IF(AC183&gt;Hypothèses!$J$26,MAX(0,AV183)/(1-Hypothèses!$J$26/AC183),0)</f>
        <v>2506.04551405391</v>
      </c>
      <c r="AX183" s="2" t="n">
        <f aca="false">AQ183-Entrées!$C$17*1000</f>
        <v>-47.0728591003162</v>
      </c>
      <c r="AY183" s="2" t="n">
        <f aca="false">AI183+(Entrées!$C$244-Entrées!$C$13)</f>
        <v>28314.9735502059</v>
      </c>
      <c r="AZ183" s="2" t="n">
        <f aca="false">AA183*AH183</f>
        <v>5430.50747658262</v>
      </c>
      <c r="BA183" s="2" t="n">
        <f aca="false">AZ183/AY183</f>
        <v>0.191789247726249</v>
      </c>
      <c r="BB183" s="2" t="n">
        <f aca="false">AZ183/(Entrées!$C$151/100)-AY183</f>
        <v>1854.51243080871</v>
      </c>
      <c r="BC183" s="2" t="n">
        <f aca="false">AT183+(Entrées!$C$244-Entrées!$C$13)</f>
        <v>27816.3728542262</v>
      </c>
      <c r="BD183" s="2" t="n">
        <f aca="false">AA183*AQ183</f>
        <v>5737.16151665265</v>
      </c>
      <c r="BE183" s="2" t="n">
        <f aca="false">BD183/BC183</f>
        <v>0.20625124442783</v>
      </c>
      <c r="BF183" s="2" t="n">
        <f aca="false">BD183/(Entrées!$C$151/100)-BC183</f>
        <v>4056.746682733</v>
      </c>
      <c r="BG183" s="2" t="n">
        <f aca="false">MIN(AV183,BF183)</f>
        <v>1789.40856847288</v>
      </c>
      <c r="BH183" s="2" t="n">
        <f aca="false">IF(AC183&gt;Hypothèses!$J$26,MAX(0,BG183)/(1-Hypothèses!$J$26/AC183),0)</f>
        <v>2506.04551405391</v>
      </c>
    </row>
    <row r="184" customFormat="false" ht="15" hidden="false" customHeight="false" outlineLevel="0" collapsed="false">
      <c r="A184" s="2" t="n">
        <v>169</v>
      </c>
      <c r="B184" s="2" t="n">
        <v>0.692538376</v>
      </c>
      <c r="C184" s="2"/>
      <c r="D184" s="2" t="n">
        <v>0.991113083</v>
      </c>
      <c r="E184" s="2" t="n">
        <f aca="false">IF(E$7=E$5,E$6,IF(NORMSDIST(E$9*SQRT($C$11)*NORMSINV($B184)+SQRT(1-E$9^2*$C$11)*NORMSINV(D184))&lt;E$8,E$5+SQRT(NORMSDIST(E$9*SQRT($C$11)*NORMSINV($B184)+SQRT(1-E$9^2*$C$11)*NORMSINV(D184))*(E$7-E$5)*(E$6-E$5)),E$7-SQRT((1-NORMSDIST(E$9*SQRT($C$11)*NORMSINV($B184)+SQRT(1-E$9^2*$C$11)*NORMSINV(D184)))*(E$7-E$5)*(E$7-E$6))))</f>
        <v>0.0591164614592375</v>
      </c>
      <c r="F184" s="2" t="n">
        <v>0.644549562</v>
      </c>
      <c r="G184" s="2" t="n">
        <f aca="false">IF(G$7=G$5,G$6,IF(NORMSDIST(G$9*SQRT($C$11)*NORMSINV($B184)+SQRT(1-G$9^2*$C$11)*NORMSINV(F184))&lt;G$8,G$5+SQRT(NORMSDIST(G$9*SQRT($C$11)*NORMSINV($B184)+SQRT(1-G$9^2*$C$11)*NORMSINV(F184))*(G$7-G$5)*(G$6-G$5)),G$7-SQRT((1-NORMSDIST(G$9*SQRT($C$11)*NORMSINV($B184)+SQRT(1-G$9^2*$C$11)*NORMSINV(F184)))*(G$7-G$5)*(G$7-G$6))))</f>
        <v>0.0589263431008002</v>
      </c>
      <c r="H184" s="2" t="n">
        <v>0.264567039</v>
      </c>
      <c r="I184" s="2" t="n">
        <f aca="false">IF(I$7=I$5,I$6,IF(NORMSDIST(I$9*SQRT($C$11)*NORMSINV($B184)+SQRT(1-I$9^2*$C$11)*NORMSINV(H184))&lt;I$8,I$5+SQRT(NORMSDIST(I$9*SQRT($C$11)*NORMSINV($B184)+SQRT(1-I$9^2*$C$11)*NORMSINV(H184))*(I$7-I$5)*(I$6-I$5)),I$7-SQRT((1-NORMSDIST(I$9*SQRT($C$11)*NORMSINV($B184)+SQRT(1-I$9^2*$C$11)*NORMSINV(H184)))*(I$7-I$5)*(I$7-I$6))))</f>
        <v>198.606987282906</v>
      </c>
      <c r="J184" s="2" t="n">
        <v>0.177713646</v>
      </c>
      <c r="K184" s="2" t="n">
        <f aca="false">IF(K$7=K$5,K$6,IF(NORMSDIST(K$9*SQRT($C$11)*NORMSINV($B184)+SQRT(1-K$9^2*$C$11)*NORMSINV(J184))&lt;K$8,K$5+SQRT(NORMSDIST(K$9*SQRT($C$11)*NORMSINV($B184)+SQRT(1-K$9^2*$C$11)*NORMSINV(J184))*(K$7-K$5)*(K$6-K$5)),K$7-SQRT((1-NORMSDIST(K$9*SQRT($C$11)*NORMSINV($B184)+SQRT(1-K$9^2*$C$11)*NORMSINV(J184)))*(K$7-K$5)*(K$7-K$6))))</f>
        <v>0.207798867753344</v>
      </c>
      <c r="L184" s="2" t="n">
        <v>0.515844778</v>
      </c>
      <c r="M184" s="2" t="n">
        <f aca="false">IF(M$7=M$5,M$6,IF(NORMSDIST(M$9*SQRT($C$11)*NORMSINV($B184)+SQRT(1-M$9^2*$C$11)*NORMSINV(L184))&lt;M$8,M$5+SQRT(NORMSDIST(M$9*SQRT($C$11)*NORMSINV($B184)+SQRT(1-M$9^2*$C$11)*NORMSINV(L184))*(M$7-M$5)*(M$6-M$5)),M$7-SQRT((1-NORMSDIST(M$9*SQRT($C$11)*NORMSINV($B184)+SQRT(1-M$9^2*$C$11)*NORMSINV(L184)))*(M$7-M$5)*(M$7-M$6))))</f>
        <v>1621.52615476143</v>
      </c>
      <c r="N184" s="2" t="n">
        <v>0.520019479</v>
      </c>
      <c r="O184" s="2" t="n">
        <f aca="false">IF(O$7=O$5,O$6,IF(NORMSDIST(O$9*SQRT($C$11)*NORMSINV($B184)+SQRT(1-O$9^2*$C$11)*NORMSINV(N184))&lt;O$8,O$5+SQRT(NORMSDIST(O$9*SQRT($C$11)*NORMSINV($B184)+SQRT(1-O$9^2*$C$11)*NORMSINV(N184))*(O$7-O$5)*(O$6-O$5)),O$7-SQRT((1-NORMSDIST(O$9*SQRT($C$11)*NORMSINV($B184)+SQRT(1-O$9^2*$C$11)*NORMSINV(N184)))*(O$7-O$5)*(O$7-O$6))))</f>
        <v>0.170403380222466</v>
      </c>
      <c r="P184" s="2" t="n">
        <v>0.727864658</v>
      </c>
      <c r="Q184" s="2" t="n">
        <f aca="false">IF(Q$7=Q$5,Q$6,IF(NORMSDIST(Q$9*SQRT($C$11)*NORMSINV($B184)+SQRT(1-Q$9^2*$C$11)*NORMSINV(P184))&lt;Q$8,Q$5+SQRT(NORMSDIST(Q$9*SQRT($C$11)*NORMSINV($B184)+SQRT(1-Q$9^2*$C$11)*NORMSINV(P184))*(Q$7-Q$5)*(Q$6-Q$5)),Q$7-SQRT((1-NORMSDIST(Q$9*SQRT($C$11)*NORMSINV($B184)+SQRT(1-Q$9^2*$C$11)*NORMSINV(P184)))*(Q$7-Q$5)*(Q$7-Q$6))))</f>
        <v>0.0904901186989849</v>
      </c>
      <c r="R184" s="2" t="n">
        <v>0.55020996</v>
      </c>
      <c r="S184" s="2" t="n">
        <f aca="false">IF(S$7=S$5,S$6,IF(NORMSDIST(S$9*SQRT($C$11)*NORMSINV($B184)+SQRT(1-S$9^2*$C$11)*NORMSINV(R184))&lt;S$8,S$5+SQRT(NORMSDIST(S$9*SQRT($C$11)*NORMSINV($B184)+SQRT(1-S$9^2*$C$11)*NORMSINV(R184))*(S$7-S$5)*(S$6-S$5)),S$7-SQRT((1-NORMSDIST(S$9*SQRT($C$11)*NORMSINV($B184)+SQRT(1-S$9^2*$C$11)*NORMSINV(R184)))*(S$7-S$5)*(S$7-S$6))))</f>
        <v>0.588455347692066</v>
      </c>
      <c r="T184" s="2" t="n">
        <v>0.598334009</v>
      </c>
      <c r="U184" s="2" t="n">
        <f aca="false">IF(U$7=U$5,U$6,IF(NORMSDIST(U$9*SQRT($C$11)*NORMSINV($B184)+SQRT(1-U$9^2*$C$11)*NORMSINV(T184))&lt;U$8,U$5+SQRT(NORMSDIST(U$9*SQRT($C$11)*NORMSINV($B184)+SQRT(1-U$9^2*$C$11)*NORMSINV(T184))*(U$7-U$5)*(U$6-U$5)),U$7-SQRT((1-NORMSDIST(U$9*SQRT($C$11)*NORMSINV($B184)+SQRT(1-U$9^2*$C$11)*NORMSINV(T184)))*(U$7-U$5)*(U$7-U$6))))</f>
        <v>0.609709970025419</v>
      </c>
      <c r="V184" s="2" t="n">
        <v>0.985710385</v>
      </c>
      <c r="W184" s="2" t="n">
        <f aca="false">IF(W$7=W$5,W$6,IF(NORMSDIST(W$9*SQRT($C$11)*NORMSINV($B184)+SQRT(1-W$9^2*$C$11)*NORMSINV(V184))&lt;W$8,W$5+SQRT(NORMSDIST(W$9*SQRT($C$11)*NORMSINV($B184)+SQRT(1-W$9^2*$C$11)*NORMSINV(V184))*(W$7-W$5)*(W$6-W$5)),W$7-SQRT((1-NORMSDIST(W$9*SQRT($C$11)*NORMSINV($B184)+SQRT(1-W$9^2*$C$11)*NORMSINV(V184)))*(W$7-W$5)*(W$7-W$6))))</f>
        <v>11.5804019211176</v>
      </c>
      <c r="X184" s="2" t="n">
        <v>0.34503022</v>
      </c>
      <c r="Y184" s="2" t="n">
        <f aca="false">IF(Y$7=Y$5,Y$6,IF(NORMSDIST(Y$9*SQRT($C$11)*NORMSINV($B184)+SQRT(1-Y$9^2*$C$11)*NORMSINV(X184))&lt;Y$8,Y$5+SQRT(NORMSDIST(Y$9*SQRT($C$11)*NORMSINV($B184)+SQRT(1-Y$9^2*$C$11)*NORMSINV(X184))*(Y$7-Y$5)*(Y$6-Y$5)),Y$7-SQRT((1-NORMSDIST(Y$9*SQRT($C$11)*NORMSINV($B184)+SQRT(1-Y$9^2*$C$11)*NORMSINV(X184)))*(Y$7-Y$5)*(Y$7-Y$6))))</f>
        <v>0.415349383049981</v>
      </c>
      <c r="Z184" s="2" t="n">
        <v>0.628449962</v>
      </c>
      <c r="AA184" s="2" t="n">
        <f aca="false">IF(AA$7=AA$5,AA$6,IF(NORMSDIST(AA$9*SQRT($C$11)*NORMSINV($B184)+SQRT(1-AA$9^2*$C$11)*NORMSINV(Z184))&lt;AA$8,AA$5+SQRT(NORMSDIST(AA$9*SQRT($C$11)*NORMSINV($B184)+SQRT(1-AA$9^2*$C$11)*NORMSINV(Z184))*(AA$7-AA$5)*(AA$6-AA$5)),AA$7-SQRT((1-NORMSDIST(AA$9*SQRT($C$11)*NORMSINV($B184)+SQRT(1-AA$9^2*$C$11)*NORMSINV(Z184)))*(AA$7-AA$5)*(AA$7-AA$6))))</f>
        <v>0.734775721305367</v>
      </c>
      <c r="AB184" s="2" t="n">
        <v>0.476943726</v>
      </c>
      <c r="AC184" s="2" t="n">
        <f aca="false">IF(AC$7=AC$5,AC$6,IF(NORMSDIST(AC$9*SQRT($C$11)*NORMSINV($B184)+SQRT(1-AC$9^2*$C$11)*NORMSINV(AB184))&lt;AC$8,AC$5+SQRT(NORMSDIST(AC$9*SQRT($C$11)*NORMSINV($B184)+SQRT(1-AC$9^2*$C$11)*NORMSINV(AB184))*(AC$7-AC$5)*(AC$6-AC$5)),AC$7-SQRT((1-NORMSDIST(AC$9*SQRT($C$11)*NORMSINV($B184)+SQRT(1-AC$9^2*$C$11)*NORMSINV(AB184)))*(AC$7-AC$5)*(AC$7-AC$6))))</f>
        <v>9.69143277355368</v>
      </c>
      <c r="AD184" s="2" t="n">
        <f aca="false">Entrées!$C$8*(1+E184)</f>
        <v>7466.77105328762</v>
      </c>
      <c r="AE184" s="2" t="n">
        <f aca="false">I184*Hypothèses!$J$24/12/Hypothèses!$J$19</f>
        <v>98.528290724658</v>
      </c>
      <c r="AF184" s="2" t="n">
        <f aca="false">Entrées!$C$36*S184*1000</f>
        <v>294.227673846033</v>
      </c>
      <c r="AG184" s="2" t="n">
        <f aca="false">-AF184/W184</f>
        <v>-25.4073801453722</v>
      </c>
      <c r="AH184" s="2" t="n">
        <f aca="false">AD184+AE184+AG184</f>
        <v>7539.89196386691</v>
      </c>
      <c r="AI184" s="2" t="n">
        <f aca="false">Entrées!$C$16-M184+Hypothèses!$J$22*1000-AF184+Hypothèses!$J$23</f>
        <v>22632.2461713925</v>
      </c>
      <c r="AJ184" s="2" t="n">
        <f aca="false">AI184/AH184</f>
        <v>3.00166716974886</v>
      </c>
      <c r="AK184" s="2" t="n">
        <f aca="false">AI184/(AH184+I184*(12-Hypothèses!$J$24)/12/Hypothèses!$J$19)</f>
        <v>2.97390870630745</v>
      </c>
      <c r="AL184" s="2" t="n">
        <f aca="false">(AD184+AG184+I184/Hypothèses!$J$19)*(1+G184)</f>
        <v>8058.71465509344</v>
      </c>
      <c r="AM184" s="2" t="n">
        <f aca="false">Entrées!$C$54*K184/Hypothèses!$J$19</f>
        <v>21.2067469452927</v>
      </c>
      <c r="AN184" s="2" t="n">
        <f aca="false">Y184*1000/AC184</f>
        <v>42.8573764844556</v>
      </c>
      <c r="AO184" s="2" t="n">
        <f aca="false">(Entrées!$C$36*(1-S184)+MAX(0,Entrées!$C$30-Entrées!$C$35-Entrées!$C$36)*U184)*1000</f>
        <v>1059.36628418955</v>
      </c>
      <c r="AP184" s="2" t="n">
        <f aca="false">-AO184/W184</f>
        <v>-91.4792328803142</v>
      </c>
      <c r="AQ184" s="2" t="n">
        <f aca="false">AL184+AM184+AN184+AP184</f>
        <v>8031.29954564287</v>
      </c>
      <c r="AR184" s="2" t="n">
        <f aca="false">O184*AQ184-Hypothèses!$J$25/Hypothèses!$J$19</f>
        <v>1349.42542789507</v>
      </c>
      <c r="AS184" s="2" t="n">
        <f aca="false">Entrées!$C$79*(1+Q184)+Hypothèses!$J$20</f>
        <v>1493.44864045018</v>
      </c>
      <c r="AT184" s="2" t="n">
        <f aca="false">AI184-AR184+AS184+Y184*1000-AO184+Hypothèses!$J$23</f>
        <v>22132.2524828081</v>
      </c>
      <c r="AU184" s="2" t="n">
        <f aca="false">AT184/AQ184</f>
        <v>2.75574984559196</v>
      </c>
      <c r="AV184" s="2" t="n">
        <f aca="false">Hypothèses!$J$26*AQ184-AT184</f>
        <v>1961.64615412054</v>
      </c>
      <c r="AW184" s="2" t="n">
        <f aca="false">IF(AC184&gt;Hypothèses!$J$26,MAX(0,AV184)/(1-Hypothèses!$J$26/AC184),0)</f>
        <v>2841.11975290202</v>
      </c>
      <c r="AX184" s="2" t="n">
        <f aca="false">AQ184-Entrées!$C$17*1000</f>
        <v>31.2995456428707</v>
      </c>
      <c r="AY184" s="2" t="n">
        <f aca="false">AI184+(Entrées!$C$244-Entrées!$C$13)</f>
        <v>28379.2461713925</v>
      </c>
      <c r="AZ184" s="2" t="n">
        <f aca="false">AA184*AH184</f>
        <v>5540.12955631485</v>
      </c>
      <c r="BA184" s="2" t="n">
        <f aca="false">AZ184/AY184</f>
        <v>0.195217643303702</v>
      </c>
      <c r="BB184" s="2" t="n">
        <f aca="false">AZ184/(Entrées!$C$151/100)-AY184</f>
        <v>2399.25136368994</v>
      </c>
      <c r="BC184" s="2" t="n">
        <f aca="false">AT184+(Entrées!$C$244-Entrées!$C$13)</f>
        <v>27879.2524828081</v>
      </c>
      <c r="BD184" s="2" t="n">
        <f aca="false">AA184*AQ184</f>
        <v>5901.2039166692</v>
      </c>
      <c r="BE184" s="2" t="n">
        <f aca="false">BD184/BC184</f>
        <v>0.211670091237497</v>
      </c>
      <c r="BF184" s="2" t="n">
        <f aca="false">BD184/(Entrées!$C$151/100)-BC184</f>
        <v>4905.21372090972</v>
      </c>
      <c r="BG184" s="2" t="n">
        <f aca="false">MIN(AV184,BF184)</f>
        <v>1961.64615412054</v>
      </c>
      <c r="BH184" s="2" t="n">
        <f aca="false">IF(AC184&gt;Hypothèses!$J$26,MAX(0,BG184)/(1-Hypothèses!$J$26/AC184),0)</f>
        <v>2841.11975290202</v>
      </c>
    </row>
    <row r="185" customFormat="false" ht="15" hidden="false" customHeight="false" outlineLevel="0" collapsed="false">
      <c r="A185" s="2" t="n">
        <v>170</v>
      </c>
      <c r="B185" s="2" t="n">
        <v>0.107901145</v>
      </c>
      <c r="C185" s="2"/>
      <c r="D185" s="2" t="n">
        <v>0.428672862</v>
      </c>
      <c r="E185" s="2" t="n">
        <f aca="false">IF(E$7=E$5,E$6,IF(NORMSDIST(E$9*SQRT($C$11)*NORMSINV($B185)+SQRT(1-E$9^2*$C$11)*NORMSINV(D185))&lt;E$8,E$5+SQRT(NORMSDIST(E$9*SQRT($C$11)*NORMSINV($B185)+SQRT(1-E$9^2*$C$11)*NORMSINV(D185))*(E$7-E$5)*(E$6-E$5)),E$7-SQRT((1-NORMSDIST(E$9*SQRT($C$11)*NORMSINV($B185)+SQRT(1-E$9^2*$C$11)*NORMSINV(D185)))*(E$7-E$5)*(E$7-E$6))))</f>
        <v>0.052985348444219</v>
      </c>
      <c r="F185" s="2" t="n">
        <v>0.737317091</v>
      </c>
      <c r="G185" s="2" t="n">
        <f aca="false">IF(G$7=G$5,G$6,IF(NORMSDIST(G$9*SQRT($C$11)*NORMSINV($B185)+SQRT(1-G$9^2*$C$11)*NORMSINV(F185))&lt;G$8,G$5+SQRT(NORMSDIST(G$9*SQRT($C$11)*NORMSINV($B185)+SQRT(1-G$9^2*$C$11)*NORMSINV(F185))*(G$7-G$5)*(G$6-G$5)),G$7-SQRT((1-NORMSDIST(G$9*SQRT($C$11)*NORMSINV($B185)+SQRT(1-G$9^2*$C$11)*NORMSINV(F185)))*(G$7-G$5)*(G$7-G$6))))</f>
        <v>0.0531721499756847</v>
      </c>
      <c r="H185" s="2" t="n">
        <v>0.106216283</v>
      </c>
      <c r="I185" s="2" t="n">
        <f aca="false">IF(I$7=I$5,I$6,IF(NORMSDIST(I$9*SQRT($C$11)*NORMSINV($B185)+SQRT(1-I$9^2*$C$11)*NORMSINV(H185))&lt;I$8,I$5+SQRT(NORMSDIST(I$9*SQRT($C$11)*NORMSINV($B185)+SQRT(1-I$9^2*$C$11)*NORMSINV(H185))*(I$7-I$5)*(I$6-I$5)),I$7-SQRT((1-NORMSDIST(I$9*SQRT($C$11)*NORMSINV($B185)+SQRT(1-I$9^2*$C$11)*NORMSINV(H185)))*(I$7-I$5)*(I$7-I$6))))</f>
        <v>185.669081078272</v>
      </c>
      <c r="J185" s="2" t="n">
        <v>0.367385063</v>
      </c>
      <c r="K185" s="2" t="n">
        <f aca="false">IF(K$7=K$5,K$6,IF(NORMSDIST(K$9*SQRT($C$11)*NORMSINV($B185)+SQRT(1-K$9^2*$C$11)*NORMSINV(J185))&lt;K$8,K$5+SQRT(NORMSDIST(K$9*SQRT($C$11)*NORMSINV($B185)+SQRT(1-K$9^2*$C$11)*NORMSINV(J185))*(K$7-K$5)*(K$6-K$5)),K$7-SQRT((1-NORMSDIST(K$9*SQRT($C$11)*NORMSINV($B185)+SQRT(1-K$9^2*$C$11)*NORMSINV(J185)))*(K$7-K$5)*(K$7-K$6))))</f>
        <v>0.135992774492043</v>
      </c>
      <c r="L185" s="2" t="n">
        <v>0.726156024</v>
      </c>
      <c r="M185" s="2" t="n">
        <f aca="false">IF(M$7=M$5,M$6,IF(NORMSDIST(M$9*SQRT($C$11)*NORMSINV($B185)+SQRT(1-M$9^2*$C$11)*NORMSINV(L185))&lt;M$8,M$5+SQRT(NORMSDIST(M$9*SQRT($C$11)*NORMSINV($B185)+SQRT(1-M$9^2*$C$11)*NORMSINV(L185))*(M$7-M$5)*(M$6-M$5)),M$7-SQRT((1-NORMSDIST(M$9*SQRT($C$11)*NORMSINV($B185)+SQRT(1-M$9^2*$C$11)*NORMSINV(L185)))*(M$7-M$5)*(M$7-M$6))))</f>
        <v>1547.737249972</v>
      </c>
      <c r="N185" s="2" t="n">
        <v>0.193411054</v>
      </c>
      <c r="O185" s="2" t="n">
        <f aca="false">IF(O$7=O$5,O$6,IF(NORMSDIST(O$9*SQRT($C$11)*NORMSINV($B185)+SQRT(1-O$9^2*$C$11)*NORMSINV(N185))&lt;O$8,O$5+SQRT(NORMSDIST(O$9*SQRT($C$11)*NORMSINV($B185)+SQRT(1-O$9^2*$C$11)*NORMSINV(N185))*(O$7-O$5)*(O$6-O$5)),O$7-SQRT((1-NORMSDIST(O$9*SQRT($C$11)*NORMSINV($B185)+SQRT(1-O$9^2*$C$11)*NORMSINV(N185)))*(O$7-O$5)*(O$7-O$6))))</f>
        <v>0.150240577129016</v>
      </c>
      <c r="P185" s="2" t="n">
        <v>0.667909276</v>
      </c>
      <c r="Q185" s="2" t="n">
        <f aca="false">IF(Q$7=Q$5,Q$6,IF(NORMSDIST(Q$9*SQRT($C$11)*NORMSINV($B185)+SQRT(1-Q$9^2*$C$11)*NORMSINV(P185))&lt;Q$8,Q$5+SQRT(NORMSDIST(Q$9*SQRT($C$11)*NORMSINV($B185)+SQRT(1-Q$9^2*$C$11)*NORMSINV(P185))*(Q$7-Q$5)*(Q$6-Q$5)),Q$7-SQRT((1-NORMSDIST(Q$9*SQRT($C$11)*NORMSINV($B185)+SQRT(1-Q$9^2*$C$11)*NORMSINV(P185)))*(Q$7-Q$5)*(Q$7-Q$6))))</f>
        <v>0.0874010687782559</v>
      </c>
      <c r="R185" s="2" t="n">
        <v>0.218733983</v>
      </c>
      <c r="S185" s="2" t="n">
        <f aca="false">IF(S$7=S$5,S$6,IF(NORMSDIST(S$9*SQRT($C$11)*NORMSINV($B185)+SQRT(1-S$9^2*$C$11)*NORMSINV(R185))&lt;S$8,S$5+SQRT(NORMSDIST(S$9*SQRT($C$11)*NORMSINV($B185)+SQRT(1-S$9^2*$C$11)*NORMSINV(R185))*(S$7-S$5)*(S$6-S$5)),S$7-SQRT((1-NORMSDIST(S$9*SQRT($C$11)*NORMSINV($B185)+SQRT(1-S$9^2*$C$11)*NORMSINV(R185)))*(S$7-S$5)*(S$7-S$6))))</f>
        <v>0.203881148696752</v>
      </c>
      <c r="T185" s="2" t="n">
        <v>0.182125081</v>
      </c>
      <c r="U185" s="2" t="n">
        <f aca="false">IF(U$7=U$5,U$6,IF(NORMSDIST(U$9*SQRT($C$11)*NORMSINV($B185)+SQRT(1-U$9^2*$C$11)*NORMSINV(T185))&lt;U$8,U$5+SQRT(NORMSDIST(U$9*SQRT($C$11)*NORMSINV($B185)+SQRT(1-U$9^2*$C$11)*NORMSINV(T185))*(U$7-U$5)*(U$6-U$5)),U$7-SQRT((1-NORMSDIST(U$9*SQRT($C$11)*NORMSINV($B185)+SQRT(1-U$9^2*$C$11)*NORMSINV(T185)))*(U$7-U$5)*(U$7-U$6))))</f>
        <v>0.185323538385338</v>
      </c>
      <c r="V185" s="2" t="n">
        <v>0.005046961</v>
      </c>
      <c r="W185" s="2" t="n">
        <f aca="false">IF(W$7=W$5,W$6,IF(NORMSDIST(W$9*SQRT($C$11)*NORMSINV($B185)+SQRT(1-W$9^2*$C$11)*NORMSINV(V185))&lt;W$8,W$5+SQRT(NORMSDIST(W$9*SQRT($C$11)*NORMSINV($B185)+SQRT(1-W$9^2*$C$11)*NORMSINV(V185))*(W$7-W$5)*(W$6-W$5)),W$7-SQRT((1-NORMSDIST(W$9*SQRT($C$11)*NORMSINV($B185)+SQRT(1-W$9^2*$C$11)*NORMSINV(V185)))*(W$7-W$5)*(W$7-W$6))))</f>
        <v>8.14846861719926</v>
      </c>
      <c r="X185" s="2" t="n">
        <v>0.048198732</v>
      </c>
      <c r="Y185" s="2" t="n">
        <f aca="false">IF(Y$7=Y$5,Y$6,IF(NORMSDIST(Y$9*SQRT($C$11)*NORMSINV($B185)+SQRT(1-Y$9^2*$C$11)*NORMSINV(X185))&lt;Y$8,Y$5+SQRT(NORMSDIST(Y$9*SQRT($C$11)*NORMSINV($B185)+SQRT(1-Y$9^2*$C$11)*NORMSINV(X185))*(Y$7-Y$5)*(Y$6-Y$5)),Y$7-SQRT((1-NORMSDIST(Y$9*SQRT($C$11)*NORMSINV($B185)+SQRT(1-Y$9^2*$C$11)*NORMSINV(X185)))*(Y$7-Y$5)*(Y$7-Y$6))))</f>
        <v>0.155239704972665</v>
      </c>
      <c r="Z185" s="2" t="n">
        <v>0.303943854</v>
      </c>
      <c r="AA185" s="2" t="n">
        <f aca="false">IF(AA$7=AA$5,AA$6,IF(NORMSDIST(AA$9*SQRT($C$11)*NORMSINV($B185)+SQRT(1-AA$9^2*$C$11)*NORMSINV(Z185))&lt;AA$8,AA$5+SQRT(NORMSDIST(AA$9*SQRT($C$11)*NORMSINV($B185)+SQRT(1-AA$9^2*$C$11)*NORMSINV(Z185))*(AA$7-AA$5)*(AA$6-AA$5)),AA$7-SQRT((1-NORMSDIST(AA$9*SQRT($C$11)*NORMSINV($B185)+SQRT(1-AA$9^2*$C$11)*NORMSINV(Z185)))*(AA$7-AA$5)*(AA$7-AA$6))))</f>
        <v>0.711284032543346</v>
      </c>
      <c r="AB185" s="2" t="n">
        <v>0.456072339</v>
      </c>
      <c r="AC185" s="2" t="n">
        <f aca="false">IF(AC$7=AC$5,AC$6,IF(NORMSDIST(AC$9*SQRT($C$11)*NORMSINV($B185)+SQRT(1-AC$9^2*$C$11)*NORMSINV(AB185))&lt;AC$8,AC$5+SQRT(NORMSDIST(AC$9*SQRT($C$11)*NORMSINV($B185)+SQRT(1-AC$9^2*$C$11)*NORMSINV(AB185))*(AC$7-AC$5)*(AC$6-AC$5)),AC$7-SQRT((1-NORMSDIST(AC$9*SQRT($C$11)*NORMSINV($B185)+SQRT(1-AC$9^2*$C$11)*NORMSINV(AB185)))*(AC$7-AC$5)*(AC$7-AC$6))))</f>
        <v>8.69003917839745</v>
      </c>
      <c r="AD185" s="2" t="n">
        <f aca="false">Entrées!$C$8*(1+E185)</f>
        <v>7423.54670653174</v>
      </c>
      <c r="AE185" s="2" t="n">
        <f aca="false">I185*Hypothèses!$J$24/12/Hypothèses!$J$19</f>
        <v>92.1098368659186</v>
      </c>
      <c r="AF185" s="2" t="n">
        <f aca="false">Entrées!$C$36*S185*1000</f>
        <v>101.940574348376</v>
      </c>
      <c r="AG185" s="2" t="n">
        <f aca="false">-AF185/W185</f>
        <v>-12.5103966324674</v>
      </c>
      <c r="AH185" s="2" t="n">
        <f aca="false">AD185+AE185+AG185</f>
        <v>7503.1461467652</v>
      </c>
      <c r="AI185" s="2" t="n">
        <f aca="false">Entrées!$C$16-M185+Hypothèses!$J$22*1000-AF185+Hypothèses!$J$23</f>
        <v>22898.3221756796</v>
      </c>
      <c r="AJ185" s="2" t="n">
        <f aca="false">AI185/AH185</f>
        <v>3.05182942298834</v>
      </c>
      <c r="AK185" s="2" t="n">
        <f aca="false">AI185/(AH185+I185*(12-Hypothèses!$J$24)/12/Hypothèses!$J$19)</f>
        <v>3.0253015008283</v>
      </c>
      <c r="AL185" s="2" t="n">
        <f aca="false">(AD185+AG185+I185/Hypothèses!$J$19)*(1+G185)</f>
        <v>7971.39564106047</v>
      </c>
      <c r="AM185" s="2" t="n">
        <f aca="false">Entrées!$C$54*K185/Hypothèses!$J$19</f>
        <v>13.8786336336744</v>
      </c>
      <c r="AN185" s="2" t="n">
        <f aca="false">Y185*1000/AC185</f>
        <v>17.864097248097</v>
      </c>
      <c r="AO185" s="2" t="n">
        <f aca="false">(Entrées!$C$36*(1-S185)+MAX(0,Entrées!$C$30-Entrées!$C$35-Entrées!$C$36)*U185)*1000</f>
        <v>657.512379391096</v>
      </c>
      <c r="AP185" s="2" t="n">
        <f aca="false">-AO185/W185</f>
        <v>-80.6915274856998</v>
      </c>
      <c r="AQ185" s="2" t="n">
        <f aca="false">AL185+AM185+AN185+AP185</f>
        <v>7922.44684445654</v>
      </c>
      <c r="AR185" s="2" t="n">
        <f aca="false">O185*AQ185-Hypothèses!$J$25/Hypothèses!$J$19</f>
        <v>1171.13782392348</v>
      </c>
      <c r="AS185" s="2" t="n">
        <f aca="false">Entrées!$C$79*(1+Q185)+Hypothèses!$J$20</f>
        <v>1490.0537745873</v>
      </c>
      <c r="AT185" s="2" t="n">
        <f aca="false">AI185-AR185+AS185+Y185*1000-AO185+Hypothèses!$J$23</f>
        <v>22714.965451925</v>
      </c>
      <c r="AU185" s="2" t="n">
        <f aca="false">AT185/AQ185</f>
        <v>2.86716539699084</v>
      </c>
      <c r="AV185" s="2" t="n">
        <f aca="false">Hypothèses!$J$26*AQ185-AT185</f>
        <v>1052.3750814446</v>
      </c>
      <c r="AW185" s="2" t="n">
        <f aca="false">IF(AC185&gt;Hypothèses!$J$26,MAX(0,AV185)/(1-Hypothèses!$J$26/AC185),0)</f>
        <v>1607.22631275421</v>
      </c>
      <c r="AX185" s="2" t="n">
        <f aca="false">AQ185-Entrées!$C$17*1000</f>
        <v>-77.5531555434609</v>
      </c>
      <c r="AY185" s="2" t="n">
        <f aca="false">AI185+(Entrées!$C$244-Entrées!$C$13)</f>
        <v>28645.3221756796</v>
      </c>
      <c r="AZ185" s="2" t="n">
        <f aca="false">AA185*AH185</f>
        <v>5336.86804803321</v>
      </c>
      <c r="BA185" s="2" t="n">
        <f aca="false">AZ185/AY185</f>
        <v>0.186308536357266</v>
      </c>
      <c r="BB185" s="2" t="n">
        <f aca="false">AZ185/(Entrées!$C$151/100)-AY185</f>
        <v>1003.94475783823</v>
      </c>
      <c r="BC185" s="2" t="n">
        <f aca="false">AT185+(Entrées!$C$244-Entrées!$C$13)</f>
        <v>28461.965451925</v>
      </c>
      <c r="BD185" s="2" t="n">
        <f aca="false">AA185*AQ185</f>
        <v>5635.10993913535</v>
      </c>
      <c r="BE185" s="2" t="n">
        <f aca="false">BD185/BC185</f>
        <v>0.197987378933953</v>
      </c>
      <c r="BF185" s="2" t="n">
        <f aca="false">BD185/(Entrées!$C$151/100)-BC185</f>
        <v>2844.20087660471</v>
      </c>
      <c r="BG185" s="2" t="n">
        <f aca="false">MIN(AV185,BF185)</f>
        <v>1052.3750814446</v>
      </c>
      <c r="BH185" s="2" t="n">
        <f aca="false">IF(AC185&gt;Hypothèses!$J$26,MAX(0,BG185)/(1-Hypothèses!$J$26/AC185),0)</f>
        <v>1607.22631275421</v>
      </c>
    </row>
    <row r="186" customFormat="false" ht="15" hidden="false" customHeight="false" outlineLevel="0" collapsed="false">
      <c r="A186" s="2" t="n">
        <v>171</v>
      </c>
      <c r="B186" s="2" t="n">
        <v>0.519632338</v>
      </c>
      <c r="C186" s="2"/>
      <c r="D186" s="2" t="n">
        <v>0.82609434</v>
      </c>
      <c r="E186" s="2" t="n">
        <f aca="false">IF(E$7=E$5,E$6,IF(NORMSDIST(E$9*SQRT($C$11)*NORMSINV($B186)+SQRT(1-E$9^2*$C$11)*NORMSINV(D186))&lt;E$8,E$5+SQRT(NORMSDIST(E$9*SQRT($C$11)*NORMSINV($B186)+SQRT(1-E$9^2*$C$11)*NORMSINV(D186))*(E$7-E$5)*(E$6-E$5)),E$7-SQRT((1-NORMSDIST(E$9*SQRT($C$11)*NORMSINV($B186)+SQRT(1-E$9^2*$C$11)*NORMSINV(D186)))*(E$7-E$5)*(E$7-E$6))))</f>
        <v>0.0566524827382314</v>
      </c>
      <c r="F186" s="2" t="n">
        <v>0.856064854</v>
      </c>
      <c r="G186" s="2" t="n">
        <f aca="false">IF(G$7=G$5,G$6,IF(NORMSDIST(G$9*SQRT($C$11)*NORMSINV($B186)+SQRT(1-G$9^2*$C$11)*NORMSINV(F186))&lt;G$8,G$5+SQRT(NORMSDIST(G$9*SQRT($C$11)*NORMSINV($B186)+SQRT(1-G$9^2*$C$11)*NORMSINV(F186))*(G$7-G$5)*(G$6-G$5)),G$7-SQRT((1-NORMSDIST(G$9*SQRT($C$11)*NORMSINV($B186)+SQRT(1-G$9^2*$C$11)*NORMSINV(F186)))*(G$7-G$5)*(G$7-G$6))))</f>
        <v>0.0605978170782869</v>
      </c>
      <c r="H186" s="2" t="n">
        <v>0.250792856</v>
      </c>
      <c r="I186" s="2" t="n">
        <f aca="false">IF(I$7=I$5,I$6,IF(NORMSDIST(I$9*SQRT($C$11)*NORMSINV($B186)+SQRT(1-I$9^2*$C$11)*NORMSINV(H186))&lt;I$8,I$5+SQRT(NORMSDIST(I$9*SQRT($C$11)*NORMSINV($B186)+SQRT(1-I$9^2*$C$11)*NORMSINV(H186))*(I$7-I$5)*(I$6-I$5)),I$7-SQRT((1-NORMSDIST(I$9*SQRT($C$11)*NORMSINV($B186)+SQRT(1-I$9^2*$C$11)*NORMSINV(H186)))*(I$7-I$5)*(I$7-I$6))))</f>
        <v>195.805891107254</v>
      </c>
      <c r="J186" s="2" t="n">
        <v>0.839484715</v>
      </c>
      <c r="K186" s="2" t="n">
        <f aca="false">IF(K$7=K$5,K$6,IF(NORMSDIST(K$9*SQRT($C$11)*NORMSINV($B186)+SQRT(1-K$9^2*$C$11)*NORMSINV(J186))&lt;K$8,K$5+SQRT(NORMSDIST(K$9*SQRT($C$11)*NORMSINV($B186)+SQRT(1-K$9^2*$C$11)*NORMSINV(J186))*(K$7-K$5)*(K$6-K$5)),K$7-SQRT((1-NORMSDIST(K$9*SQRT($C$11)*NORMSINV($B186)+SQRT(1-K$9^2*$C$11)*NORMSINV(J186)))*(K$7-K$5)*(K$7-K$6))))</f>
        <v>0.337245221509121</v>
      </c>
      <c r="L186" s="2" t="n">
        <v>0.787607958</v>
      </c>
      <c r="M186" s="2" t="n">
        <f aca="false">IF(M$7=M$5,M$6,IF(NORMSDIST(M$9*SQRT($C$11)*NORMSINV($B186)+SQRT(1-M$9^2*$C$11)*NORMSINV(L186))&lt;M$8,M$5+SQRT(NORMSDIST(M$9*SQRT($C$11)*NORMSINV($B186)+SQRT(1-M$9^2*$C$11)*NORMSINV(L186))*(M$7-M$5)*(M$6-M$5)),M$7-SQRT((1-NORMSDIST(M$9*SQRT($C$11)*NORMSINV($B186)+SQRT(1-M$9^2*$C$11)*NORMSINV(L186)))*(M$7-M$5)*(M$7-M$6))))</f>
        <v>1648.57212537124</v>
      </c>
      <c r="N186" s="2" t="n">
        <v>0.588983759</v>
      </c>
      <c r="O186" s="2" t="n">
        <f aca="false">IF(O$7=O$5,O$6,IF(NORMSDIST(O$9*SQRT($C$11)*NORMSINV($B186)+SQRT(1-O$9^2*$C$11)*NORMSINV(N186))&lt;O$8,O$5+SQRT(NORMSDIST(O$9*SQRT($C$11)*NORMSINV($B186)+SQRT(1-O$9^2*$C$11)*NORMSINV(N186))*(O$7-O$5)*(O$6-O$5)),O$7-SQRT((1-NORMSDIST(O$9*SQRT($C$11)*NORMSINV($B186)+SQRT(1-O$9^2*$C$11)*NORMSINV(N186)))*(O$7-O$5)*(O$7-O$6))))</f>
        <v>0.168882937538606</v>
      </c>
      <c r="P186" s="2" t="n">
        <v>0.872689181</v>
      </c>
      <c r="Q186" s="2" t="n">
        <f aca="false">IF(Q$7=Q$5,Q$6,IF(NORMSDIST(Q$9*SQRT($C$11)*NORMSINV($B186)+SQRT(1-Q$9^2*$C$11)*NORMSINV(P186))&lt;Q$8,Q$5+SQRT(NORMSDIST(Q$9*SQRT($C$11)*NORMSINV($B186)+SQRT(1-Q$9^2*$C$11)*NORMSINV(P186))*(Q$7-Q$5)*(Q$6-Q$5)),Q$7-SQRT((1-NORMSDIST(Q$9*SQRT($C$11)*NORMSINV($B186)+SQRT(1-Q$9^2*$C$11)*NORMSINV(P186)))*(Q$7-Q$5)*(Q$7-Q$6))))</f>
        <v>0.0998159810543093</v>
      </c>
      <c r="R186" s="2" t="n">
        <v>0.423173553</v>
      </c>
      <c r="S186" s="2" t="n">
        <f aca="false">IF(S$7=S$5,S$6,IF(NORMSDIST(S$9*SQRT($C$11)*NORMSINV($B186)+SQRT(1-S$9^2*$C$11)*NORMSINV(R186))&lt;S$8,S$5+SQRT(NORMSDIST(S$9*SQRT($C$11)*NORMSINV($B186)+SQRT(1-S$9^2*$C$11)*NORMSINV(R186))*(S$7-S$5)*(S$6-S$5)),S$7-SQRT((1-NORMSDIST(S$9*SQRT($C$11)*NORMSINV($B186)+SQRT(1-S$9^2*$C$11)*NORMSINV(R186)))*(S$7-S$5)*(S$7-S$6))))</f>
        <v>0.475736863862529</v>
      </c>
      <c r="T186" s="2" t="n">
        <v>0.04146363</v>
      </c>
      <c r="U186" s="2" t="n">
        <f aca="false">IF(U$7=U$5,U$6,IF(NORMSDIST(U$9*SQRT($C$11)*NORMSINV($B186)+SQRT(1-U$9^2*$C$11)*NORMSINV(T186))&lt;U$8,U$5+SQRT(NORMSDIST(U$9*SQRT($C$11)*NORMSINV($B186)+SQRT(1-U$9^2*$C$11)*NORMSINV(T186))*(U$7-U$5)*(U$6-U$5)),U$7-SQRT((1-NORMSDIST(U$9*SQRT($C$11)*NORMSINV($B186)+SQRT(1-U$9^2*$C$11)*NORMSINV(T186)))*(U$7-U$5)*(U$7-U$6))))</f>
        <v>0.217674543069176</v>
      </c>
      <c r="V186" s="2" t="n">
        <v>0.266483284</v>
      </c>
      <c r="W186" s="2" t="n">
        <f aca="false">IF(W$7=W$5,W$6,IF(NORMSDIST(W$9*SQRT($C$11)*NORMSINV($B186)+SQRT(1-W$9^2*$C$11)*NORMSINV(V186))&lt;W$8,W$5+SQRT(NORMSDIST(W$9*SQRT($C$11)*NORMSINV($B186)+SQRT(1-W$9^2*$C$11)*NORMSINV(V186))*(W$7-W$5)*(W$6-W$5)),W$7-SQRT((1-NORMSDIST(W$9*SQRT($C$11)*NORMSINV($B186)+SQRT(1-W$9^2*$C$11)*NORMSINV(V186)))*(W$7-W$5)*(W$7-W$6))))</f>
        <v>9.61419236925131</v>
      </c>
      <c r="X186" s="2" t="n">
        <v>0.820747269</v>
      </c>
      <c r="Y186" s="2" t="n">
        <f aca="false">IF(Y$7=Y$5,Y$6,IF(NORMSDIST(Y$9*SQRT($C$11)*NORMSINV($B186)+SQRT(1-Y$9^2*$C$11)*NORMSINV(X186))&lt;Y$8,Y$5+SQRT(NORMSDIST(Y$9*SQRT($C$11)*NORMSINV($B186)+SQRT(1-Y$9^2*$C$11)*NORMSINV(X186))*(Y$7-Y$5)*(Y$6-Y$5)),Y$7-SQRT((1-NORMSDIST(Y$9*SQRT($C$11)*NORMSINV($B186)+SQRT(1-Y$9^2*$C$11)*NORMSINV(X186)))*(Y$7-Y$5)*(Y$7-Y$6))))</f>
        <v>0.700623371820711</v>
      </c>
      <c r="Z186" s="2" t="n">
        <v>0.954434202</v>
      </c>
      <c r="AA186" s="2" t="n">
        <f aca="false">IF(AA$7=AA$5,AA$6,IF(NORMSDIST(AA$9*SQRT($C$11)*NORMSINV($B186)+SQRT(1-AA$9^2*$C$11)*NORMSINV(Z186))&lt;AA$8,AA$5+SQRT(NORMSDIST(AA$9*SQRT($C$11)*NORMSINV($B186)+SQRT(1-AA$9^2*$C$11)*NORMSINV(Z186))*(AA$7-AA$5)*(AA$6-AA$5)),AA$7-SQRT((1-NORMSDIST(AA$9*SQRT($C$11)*NORMSINV($B186)+SQRT(1-AA$9^2*$C$11)*NORMSINV(Z186)))*(AA$7-AA$5)*(AA$7-AA$6))))</f>
        <v>0.743106019066334</v>
      </c>
      <c r="AB186" s="2" t="n">
        <v>0.840266571</v>
      </c>
      <c r="AC186" s="2" t="n">
        <f aca="false">IF(AC$7=AC$5,AC$6,IF(NORMSDIST(AC$9*SQRT($C$11)*NORMSINV($B186)+SQRT(1-AC$9^2*$C$11)*NORMSINV(AB186))&lt;AC$8,AC$5+SQRT(NORMSDIST(AC$9*SQRT($C$11)*NORMSINV($B186)+SQRT(1-AC$9^2*$C$11)*NORMSINV(AB186))*(AC$7-AC$5)*(AC$6-AC$5)),AC$7-SQRT((1-NORMSDIST(AC$9*SQRT($C$11)*NORMSINV($B186)+SQRT(1-AC$9^2*$C$11)*NORMSINV(AB186)))*(AC$7-AC$5)*(AC$7-AC$6))))</f>
        <v>10.0448282396841</v>
      </c>
      <c r="AD186" s="2" t="n">
        <f aca="false">Entrées!$C$8*(1+E186)</f>
        <v>7449.40000330453</v>
      </c>
      <c r="AE186" s="2" t="n">
        <f aca="false">I186*Hypothèses!$J$24/12/Hypothèses!$J$19</f>
        <v>97.1386758771739</v>
      </c>
      <c r="AF186" s="2" t="n">
        <f aca="false">Entrées!$C$36*S186*1000</f>
        <v>237.868431931264</v>
      </c>
      <c r="AG186" s="2" t="n">
        <f aca="false">-AF186/W186</f>
        <v>-24.7413846941559</v>
      </c>
      <c r="AH186" s="2" t="n">
        <f aca="false">AD186+AE186+AG186</f>
        <v>7521.79729448755</v>
      </c>
      <c r="AI186" s="2" t="n">
        <f aca="false">Entrées!$C$16-M186+Hypothèses!$J$22*1000-AF186+Hypothèses!$J$23</f>
        <v>22661.5594426975</v>
      </c>
      <c r="AJ186" s="2" t="n">
        <f aca="false">AI186/AH186</f>
        <v>3.01278518357645</v>
      </c>
      <c r="AK186" s="2" t="n">
        <f aca="false">AI186/(AH186+I186*(12-Hypothèses!$J$24)/12/Hypothèses!$J$19)</f>
        <v>2.98524778548489</v>
      </c>
      <c r="AL186" s="2" t="n">
        <f aca="false">(AD186+AG186+I186/Hypothèses!$J$19)*(1+G186)</f>
        <v>8051.19112503115</v>
      </c>
      <c r="AM186" s="2" t="n">
        <f aca="false">Entrées!$C$54*K186/Hypothèses!$J$19</f>
        <v>34.4172908561867</v>
      </c>
      <c r="AN186" s="2" t="n">
        <f aca="false">Y186*1000/AC186</f>
        <v>69.7496617266945</v>
      </c>
      <c r="AO186" s="2" t="n">
        <f aca="false">(Entrées!$C$36*(1-S186)+MAX(0,Entrées!$C$30-Entrées!$C$35-Entrées!$C$36)*U186)*1000</f>
        <v>566.875928365582</v>
      </c>
      <c r="AP186" s="2" t="n">
        <f aca="false">-AO186/W186</f>
        <v>-58.9624075110665</v>
      </c>
      <c r="AQ186" s="2" t="n">
        <f aca="false">AL186+AM186+AN186+AP186</f>
        <v>8096.39567010296</v>
      </c>
      <c r="AR186" s="2" t="n">
        <f aca="false">O186*AQ186-Hypothèses!$J$25/Hypothèses!$J$19</f>
        <v>1348.20792198021</v>
      </c>
      <c r="AS186" s="2" t="n">
        <f aca="false">Entrées!$C$79*(1+Q186)+Hypothèses!$J$20</f>
        <v>1503.69776317869</v>
      </c>
      <c r="AT186" s="2" t="n">
        <f aca="false">AI186-AR186+AS186+Y186*1000-AO186+Hypothèses!$J$23</f>
        <v>22950.7967273511</v>
      </c>
      <c r="AU186" s="2" t="n">
        <f aca="false">AT186/AQ186</f>
        <v>2.83469307362287</v>
      </c>
      <c r="AV186" s="2" t="n">
        <f aca="false">Hypothèses!$J$26*AQ186-AT186</f>
        <v>1338.39028295779</v>
      </c>
      <c r="AW186" s="2" t="n">
        <f aca="false">IF(AC186&gt;Hypothèses!$J$26,MAX(0,AV186)/(1-Hypothèses!$J$26/AC186),0)</f>
        <v>1908.33616556365</v>
      </c>
      <c r="AX186" s="2" t="n">
        <f aca="false">AQ186-Entrées!$C$17*1000</f>
        <v>96.3956701029638</v>
      </c>
      <c r="AY186" s="2" t="n">
        <f aca="false">AI186+(Entrées!$C$244-Entrées!$C$13)</f>
        <v>28408.5594426975</v>
      </c>
      <c r="AZ186" s="2" t="n">
        <f aca="false">AA186*AH186</f>
        <v>5589.49284373057</v>
      </c>
      <c r="BA186" s="2" t="n">
        <f aca="false">AZ186/AY186</f>
        <v>0.1967538288946</v>
      </c>
      <c r="BB186" s="2" t="n">
        <f aca="false">AZ186/(Entrées!$C$151/100)-AY186</f>
        <v>2644.17857802788</v>
      </c>
      <c r="BC186" s="2" t="n">
        <f aca="false">AT186+(Entrées!$C$244-Entrées!$C$13)</f>
        <v>28697.7967273511</v>
      </c>
      <c r="BD186" s="2" t="n">
        <f aca="false">AA186*AQ186</f>
        <v>6016.48035519612</v>
      </c>
      <c r="BE186" s="2" t="n">
        <f aca="false">BD186/BC186</f>
        <v>0.209649556457481</v>
      </c>
      <c r="BF186" s="2" t="n">
        <f aca="false">BD186/(Entrées!$C$151/100)-BC186</f>
        <v>4727.09413484957</v>
      </c>
      <c r="BG186" s="2" t="n">
        <f aca="false">MIN(AV186,BF186)</f>
        <v>1338.39028295779</v>
      </c>
      <c r="BH186" s="2" t="n">
        <f aca="false">IF(AC186&gt;Hypothèses!$J$26,MAX(0,BG186)/(1-Hypothèses!$J$26/AC186),0)</f>
        <v>1908.33616556365</v>
      </c>
    </row>
    <row r="187" customFormat="false" ht="15" hidden="false" customHeight="false" outlineLevel="0" collapsed="false">
      <c r="A187" s="2" t="n">
        <v>172</v>
      </c>
      <c r="B187" s="2" t="n">
        <v>0.812859698</v>
      </c>
      <c r="C187" s="2"/>
      <c r="D187" s="2" t="n">
        <v>0.01993015</v>
      </c>
      <c r="E187" s="2" t="n">
        <f aca="false">IF(E$7=E$5,E$6,IF(NORMSDIST(E$9*SQRT($C$11)*NORMSINV($B187)+SQRT(1-E$9^2*$C$11)*NORMSINV(D187))&lt;E$8,E$5+SQRT(NORMSDIST(E$9*SQRT($C$11)*NORMSINV($B187)+SQRT(1-E$9^2*$C$11)*NORMSINV(D187))*(E$7-E$5)*(E$6-E$5)),E$7-SQRT((1-NORMSDIST(E$9*SQRT($C$11)*NORMSINV($B187)+SQRT(1-E$9^2*$C$11)*NORMSINV(D187)))*(E$7-E$5)*(E$7-E$6))))</f>
        <v>0.0527522751462518</v>
      </c>
      <c r="F187" s="2" t="n">
        <v>0.038850265</v>
      </c>
      <c r="G187" s="2" t="n">
        <f aca="false">IF(G$7=G$5,G$6,IF(NORMSDIST(G$9*SQRT($C$11)*NORMSINV($B187)+SQRT(1-G$9^2*$C$11)*NORMSINV(F187))&lt;G$8,G$5+SQRT(NORMSDIST(G$9*SQRT($C$11)*NORMSINV($B187)+SQRT(1-G$9^2*$C$11)*NORMSINV(F187))*(G$7-G$5)*(G$6-G$5)),G$7-SQRT((1-NORMSDIST(G$9*SQRT($C$11)*NORMSINV($B187)+SQRT(1-G$9^2*$C$11)*NORMSINV(F187)))*(G$7-G$5)*(G$7-G$6))))</f>
        <v>0.0497332158188585</v>
      </c>
      <c r="H187" s="2" t="n">
        <v>0.126237453</v>
      </c>
      <c r="I187" s="2" t="n">
        <f aca="false">IF(I$7=I$5,I$6,IF(NORMSDIST(I$9*SQRT($C$11)*NORMSINV($B187)+SQRT(1-I$9^2*$C$11)*NORMSINV(H187))&lt;I$8,I$5+SQRT(NORMSDIST(I$9*SQRT($C$11)*NORMSINV($B187)+SQRT(1-I$9^2*$C$11)*NORMSINV(H187))*(I$7-I$5)*(I$6-I$5)),I$7-SQRT((1-NORMSDIST(I$9*SQRT($C$11)*NORMSINV($B187)+SQRT(1-I$9^2*$C$11)*NORMSINV(H187)))*(I$7-I$5)*(I$7-I$6))))</f>
        <v>197.26924546927</v>
      </c>
      <c r="J187" s="2" t="n">
        <v>0.959346734</v>
      </c>
      <c r="K187" s="2" t="n">
        <f aca="false">IF(K$7=K$5,K$6,IF(NORMSDIST(K$9*SQRT($C$11)*NORMSINV($B187)+SQRT(1-K$9^2*$C$11)*NORMSINV(J187))&lt;K$8,K$5+SQRT(NORMSDIST(K$9*SQRT($C$11)*NORMSINV($B187)+SQRT(1-K$9^2*$C$11)*NORMSINV(J187))*(K$7-K$5)*(K$6-K$5)),K$7-SQRT((1-NORMSDIST(K$9*SQRT($C$11)*NORMSINV($B187)+SQRT(1-K$9^2*$C$11)*NORMSINV(J187)))*(K$7-K$5)*(K$7-K$6))))</f>
        <v>0.440916067336</v>
      </c>
      <c r="L187" s="2" t="n">
        <v>0.215148478</v>
      </c>
      <c r="M187" s="2" t="n">
        <f aca="false">IF(M$7=M$5,M$6,IF(NORMSDIST(M$9*SQRT($C$11)*NORMSINV($B187)+SQRT(1-M$9^2*$C$11)*NORMSINV(L187))&lt;M$8,M$5+SQRT(NORMSDIST(M$9*SQRT($C$11)*NORMSINV($B187)+SQRT(1-M$9^2*$C$11)*NORMSINV(L187))*(M$7-M$5)*(M$6-M$5)),M$7-SQRT((1-NORMSDIST(M$9*SQRT($C$11)*NORMSINV($B187)+SQRT(1-M$9^2*$C$11)*NORMSINV(L187)))*(M$7-M$5)*(M$7-M$6))))</f>
        <v>1579.7844929041</v>
      </c>
      <c r="N187" s="2" t="n">
        <v>0.526599942</v>
      </c>
      <c r="O187" s="2" t="n">
        <f aca="false">IF(O$7=O$5,O$6,IF(NORMSDIST(O$9*SQRT($C$11)*NORMSINV($B187)+SQRT(1-O$9^2*$C$11)*NORMSINV(N187))&lt;O$8,O$5+SQRT(NORMSDIST(O$9*SQRT($C$11)*NORMSINV($B187)+SQRT(1-O$9^2*$C$11)*NORMSINV(N187))*(O$7-O$5)*(O$6-O$5)),O$7-SQRT((1-NORMSDIST(O$9*SQRT($C$11)*NORMSINV($B187)+SQRT(1-O$9^2*$C$11)*NORMSINV(N187)))*(O$7-O$5)*(O$7-O$6))))</f>
        <v>0.173049549570192</v>
      </c>
      <c r="P187" s="2" t="n">
        <v>0.732210097</v>
      </c>
      <c r="Q187" s="2" t="n">
        <f aca="false">IF(Q$7=Q$5,Q$6,IF(NORMSDIST(Q$9*SQRT($C$11)*NORMSINV($B187)+SQRT(1-Q$9^2*$C$11)*NORMSINV(P187))&lt;Q$8,Q$5+SQRT(NORMSDIST(Q$9*SQRT($C$11)*NORMSINV($B187)+SQRT(1-Q$9^2*$C$11)*NORMSINV(P187))*(Q$7-Q$5)*(Q$6-Q$5)),Q$7-SQRT((1-NORMSDIST(Q$9*SQRT($C$11)*NORMSINV($B187)+SQRT(1-Q$9^2*$C$11)*NORMSINV(P187)))*(Q$7-Q$5)*(Q$7-Q$6))))</f>
        <v>0.0907266727275494</v>
      </c>
      <c r="R187" s="2" t="n">
        <v>0.795197359</v>
      </c>
      <c r="S187" s="2" t="n">
        <f aca="false">IF(S$7=S$5,S$6,IF(NORMSDIST(S$9*SQRT($C$11)*NORMSINV($B187)+SQRT(1-S$9^2*$C$11)*NORMSINV(R187))&lt;S$8,S$5+SQRT(NORMSDIST(S$9*SQRT($C$11)*NORMSINV($B187)+SQRT(1-S$9^2*$C$11)*NORMSINV(R187))*(S$7-S$5)*(S$6-S$5)),S$7-SQRT((1-NORMSDIST(S$9*SQRT($C$11)*NORMSINV($B187)+SQRT(1-S$9^2*$C$11)*NORMSINV(R187)))*(S$7-S$5)*(S$7-S$6))))</f>
        <v>0.760267320818352</v>
      </c>
      <c r="T187" s="2" t="n">
        <v>0.173442512</v>
      </c>
      <c r="U187" s="2" t="n">
        <f aca="false">IF(U$7=U$5,U$6,IF(NORMSDIST(U$9*SQRT($C$11)*NORMSINV($B187)+SQRT(1-U$9^2*$C$11)*NORMSINV(T187))&lt;U$8,U$5+SQRT(NORMSDIST(U$9*SQRT($C$11)*NORMSINV($B187)+SQRT(1-U$9^2*$C$11)*NORMSINV(T187))*(U$7-U$5)*(U$6-U$5)),U$7-SQRT((1-NORMSDIST(U$9*SQRT($C$11)*NORMSINV($B187)+SQRT(1-U$9^2*$C$11)*NORMSINV(T187)))*(U$7-U$5)*(U$7-U$6))))</f>
        <v>0.465727568686675</v>
      </c>
      <c r="V187" s="2" t="n">
        <v>0.417456823</v>
      </c>
      <c r="W187" s="2" t="n">
        <f aca="false">IF(W$7=W$5,W$6,IF(NORMSDIST(W$9*SQRT($C$11)*NORMSINV($B187)+SQRT(1-W$9^2*$C$11)*NORMSINV(V187))&lt;W$8,W$5+SQRT(NORMSDIST(W$9*SQRT($C$11)*NORMSINV($B187)+SQRT(1-W$9^2*$C$11)*NORMSINV(V187))*(W$7-W$5)*(W$6-W$5)),W$7-SQRT((1-NORMSDIST(W$9*SQRT($C$11)*NORMSINV($B187)+SQRT(1-W$9^2*$C$11)*NORMSINV(V187)))*(W$7-W$5)*(W$7-W$6))))</f>
        <v>10.3401324009351</v>
      </c>
      <c r="X187" s="2" t="n">
        <v>0.347568715</v>
      </c>
      <c r="Y187" s="2" t="n">
        <f aca="false">IF(Y$7=Y$5,Y$6,IF(NORMSDIST(Y$9*SQRT($C$11)*NORMSINV($B187)+SQRT(1-Y$9^2*$C$11)*NORMSINV(X187))&lt;Y$8,Y$5+SQRT(NORMSDIST(Y$9*SQRT($C$11)*NORMSINV($B187)+SQRT(1-Y$9^2*$C$11)*NORMSINV(X187))*(Y$7-Y$5)*(Y$6-Y$5)),Y$7-SQRT((1-NORMSDIST(Y$9*SQRT($C$11)*NORMSINV($B187)+SQRT(1-Y$9^2*$C$11)*NORMSINV(X187)))*(Y$7-Y$5)*(Y$7-Y$6))))</f>
        <v>0.416874510494465</v>
      </c>
      <c r="Z187" s="2" t="n">
        <v>0.205443002</v>
      </c>
      <c r="AA187" s="2" t="n">
        <f aca="false">IF(AA$7=AA$5,AA$6,IF(NORMSDIST(AA$9*SQRT($C$11)*NORMSINV($B187)+SQRT(1-AA$9^2*$C$11)*NORMSINV(Z187))&lt;AA$8,AA$5+SQRT(NORMSDIST(AA$9*SQRT($C$11)*NORMSINV($B187)+SQRT(1-AA$9^2*$C$11)*NORMSINV(Z187))*(AA$7-AA$5)*(AA$6-AA$5)),AA$7-SQRT((1-NORMSDIST(AA$9*SQRT($C$11)*NORMSINV($B187)+SQRT(1-AA$9^2*$C$11)*NORMSINV(Z187)))*(AA$7-AA$5)*(AA$7-AA$6))))</f>
        <v>0.727057150341648</v>
      </c>
      <c r="AB187" s="2" t="n">
        <v>0.708518961</v>
      </c>
      <c r="AC187" s="2" t="n">
        <f aca="false">IF(AC$7=AC$5,AC$6,IF(NORMSDIST(AC$9*SQRT($C$11)*NORMSINV($B187)+SQRT(1-AC$9^2*$C$11)*NORMSINV(AB187))&lt;AC$8,AC$5+SQRT(NORMSDIST(AC$9*SQRT($C$11)*NORMSINV($B187)+SQRT(1-AC$9^2*$C$11)*NORMSINV(AB187))*(AC$7-AC$5)*(AC$6-AC$5)),AC$7-SQRT((1-NORMSDIST(AC$9*SQRT($C$11)*NORMSINV($B187)+SQRT(1-AC$9^2*$C$11)*NORMSINV(AB187)))*(AC$7-AC$5)*(AC$7-AC$6))))</f>
        <v>10.1640420686294</v>
      </c>
      <c r="AD187" s="2" t="n">
        <f aca="false">Entrées!$C$8*(1+E187)</f>
        <v>7421.90353978108</v>
      </c>
      <c r="AE187" s="2" t="n">
        <f aca="false">I187*Hypothèses!$J$24/12/Hypothèses!$J$19</f>
        <v>97.8646412925222</v>
      </c>
      <c r="AF187" s="2" t="n">
        <f aca="false">Entrées!$C$36*S187*1000</f>
        <v>380.133660409176</v>
      </c>
      <c r="AG187" s="2" t="n">
        <f aca="false">-AF187/W187</f>
        <v>-36.7629393579911</v>
      </c>
      <c r="AH187" s="2" t="n">
        <f aca="false">AD187+AE187+AG187</f>
        <v>7483.00524171561</v>
      </c>
      <c r="AI187" s="2" t="n">
        <f aca="false">Entrées!$C$16-M187+Hypothèses!$J$22*1000-AF187+Hypothèses!$J$23</f>
        <v>22588.0818466867</v>
      </c>
      <c r="AJ187" s="2" t="n">
        <f aca="false">AI187/AH187</f>
        <v>3.01858426087485</v>
      </c>
      <c r="AK187" s="2" t="n">
        <f aca="false">AI187/(AH187+I187*(12-Hypothèses!$J$24)/12/Hypothèses!$J$19)</f>
        <v>2.99064680532612</v>
      </c>
      <c r="AL187" s="2" t="n">
        <f aca="false">(AD187+AG187+I187/Hypothèses!$J$19)*(1+G187)</f>
        <v>7928.53898824618</v>
      </c>
      <c r="AM187" s="2" t="n">
        <f aca="false">Entrées!$C$54*K187/Hypothèses!$J$19</f>
        <v>44.9973359585726</v>
      </c>
      <c r="AN187" s="2" t="n">
        <f aca="false">Y187*1000/AC187</f>
        <v>41.0146384361315</v>
      </c>
      <c r="AO187" s="2" t="n">
        <f aca="false">(Entrées!$C$36*(1-S187)+MAX(0,Entrées!$C$30-Entrées!$C$35-Entrées!$C$36)*U187)*1000</f>
        <v>771.88493575217</v>
      </c>
      <c r="AP187" s="2" t="n">
        <f aca="false">-AO187/W187</f>
        <v>-74.6494247677492</v>
      </c>
      <c r="AQ187" s="2" t="n">
        <f aca="false">AL187+AM187+AN187+AP187</f>
        <v>7939.90153787314</v>
      </c>
      <c r="AR187" s="2" t="n">
        <f aca="false">O187*AQ187-Hypothèses!$J$25/Hypothèses!$J$19</f>
        <v>1354.86122249899</v>
      </c>
      <c r="AS187" s="2" t="n">
        <f aca="false">Entrées!$C$79*(1+Q187)+Hypothèses!$J$20</f>
        <v>1493.70861332758</v>
      </c>
      <c r="AT187" s="2" t="n">
        <f aca="false">AI187-AR187+AS187+Y187*1000-AO187+Hypothèses!$J$23</f>
        <v>22371.9188122576</v>
      </c>
      <c r="AU187" s="2" t="n">
        <f aca="false">AT187/AQ187</f>
        <v>2.81765695777764</v>
      </c>
      <c r="AV187" s="2" t="n">
        <f aca="false">Hypothèses!$J$26*AQ187-AT187</f>
        <v>1447.78580136182</v>
      </c>
      <c r="AW187" s="2" t="n">
        <f aca="false">IF(AC187&gt;Hypothèses!$J$26,MAX(0,AV187)/(1-Hypothèses!$J$26/AC187),0)</f>
        <v>2054.05770240279</v>
      </c>
      <c r="AX187" s="2" t="n">
        <f aca="false">AQ187-Entrées!$C$17*1000</f>
        <v>-60.0984621268617</v>
      </c>
      <c r="AY187" s="2" t="n">
        <f aca="false">AI187+(Entrées!$C$244-Entrées!$C$13)</f>
        <v>28335.0818466867</v>
      </c>
      <c r="AZ187" s="2" t="n">
        <f aca="false">AA187*AH187</f>
        <v>5440.57246703336</v>
      </c>
      <c r="BA187" s="2" t="n">
        <f aca="false">AZ187/AY187</f>
        <v>0.192008355453878</v>
      </c>
      <c r="BB187" s="2" t="n">
        <f aca="false">AZ187/(Entrées!$C$151/100)-AY187</f>
        <v>1890.32074794306</v>
      </c>
      <c r="BC187" s="2" t="n">
        <f aca="false">AT187+(Entrées!$C$244-Entrées!$C$13)</f>
        <v>28118.9188122576</v>
      </c>
      <c r="BD187" s="2" t="n">
        <f aca="false">AA187*AQ187</f>
        <v>5772.76218611931</v>
      </c>
      <c r="BE187" s="2" t="n">
        <f aca="false">BD187/BC187</f>
        <v>0.205298156186676</v>
      </c>
      <c r="BF187" s="2" t="n">
        <f aca="false">BD187/(Entrées!$C$151/100)-BC187</f>
        <v>3951.98222173857</v>
      </c>
      <c r="BG187" s="2" t="n">
        <f aca="false">MIN(AV187,BF187)</f>
        <v>1447.78580136182</v>
      </c>
      <c r="BH187" s="2" t="n">
        <f aca="false">IF(AC187&gt;Hypothèses!$J$26,MAX(0,BG187)/(1-Hypothèses!$J$26/AC187),0)</f>
        <v>2054.05770240279</v>
      </c>
    </row>
    <row r="188" customFormat="false" ht="15" hidden="false" customHeight="false" outlineLevel="0" collapsed="false">
      <c r="A188" s="2" t="n">
        <v>173</v>
      </c>
      <c r="B188" s="2" t="n">
        <v>0.688217218</v>
      </c>
      <c r="C188" s="2"/>
      <c r="D188" s="2" t="n">
        <v>0.022133518</v>
      </c>
      <c r="E188" s="2" t="n">
        <f aca="false">IF(E$7=E$5,E$6,IF(NORMSDIST(E$9*SQRT($C$11)*NORMSINV($B188)+SQRT(1-E$9^2*$C$11)*NORMSINV(D188))&lt;E$8,E$5+SQRT(NORMSDIST(E$9*SQRT($C$11)*NORMSINV($B188)+SQRT(1-E$9^2*$C$11)*NORMSINV(D188))*(E$7-E$5)*(E$6-E$5)),E$7-SQRT((1-NORMSDIST(E$9*SQRT($C$11)*NORMSINV($B188)+SQRT(1-E$9^2*$C$11)*NORMSINV(D188)))*(E$7-E$5)*(E$7-E$6))))</f>
        <v>0.0523028758026775</v>
      </c>
      <c r="F188" s="2" t="n">
        <v>0.108998802</v>
      </c>
      <c r="G188" s="2" t="n">
        <f aca="false">IF(G$7=G$5,G$6,IF(NORMSDIST(G$9*SQRT($C$11)*NORMSINV($B188)+SQRT(1-G$9^2*$C$11)*NORMSINV(F188))&lt;G$8,G$5+SQRT(NORMSDIST(G$9*SQRT($C$11)*NORMSINV($B188)+SQRT(1-G$9^2*$C$11)*NORMSINV(F188))*(G$7-G$5)*(G$6-G$5)),G$7-SQRT((1-NORMSDIST(G$9*SQRT($C$11)*NORMSINV($B188)+SQRT(1-G$9^2*$C$11)*NORMSINV(F188)))*(G$7-G$5)*(G$7-G$6))))</f>
        <v>0.0508136458337997</v>
      </c>
      <c r="H188" s="2" t="n">
        <v>0.672318813</v>
      </c>
      <c r="I188" s="2" t="n">
        <f aca="false">IF(I$7=I$5,I$6,IF(NORMSDIST(I$9*SQRT($C$11)*NORMSINV($B188)+SQRT(1-I$9^2*$C$11)*NORMSINV(H188))&lt;I$8,I$5+SQRT(NORMSDIST(I$9*SQRT($C$11)*NORMSINV($B188)+SQRT(1-I$9^2*$C$11)*NORMSINV(H188))*(I$7-I$5)*(I$6-I$5)),I$7-SQRT((1-NORMSDIST(I$9*SQRT($C$11)*NORMSINV($B188)+SQRT(1-I$9^2*$C$11)*NORMSINV(H188)))*(I$7-I$5)*(I$7-I$6))))</f>
        <v>205.692821636079</v>
      </c>
      <c r="J188" s="2" t="n">
        <v>0.654657948</v>
      </c>
      <c r="K188" s="2" t="n">
        <f aca="false">IF(K$7=K$5,K$6,IF(NORMSDIST(K$9*SQRT($C$11)*NORMSINV($B188)+SQRT(1-K$9^2*$C$11)*NORMSINV(J188))&lt;K$8,K$5+SQRT(NORMSDIST(K$9*SQRT($C$11)*NORMSINV($B188)+SQRT(1-K$9^2*$C$11)*NORMSINV(J188))*(K$7-K$5)*(K$6-K$5)),K$7-SQRT((1-NORMSDIST(K$9*SQRT($C$11)*NORMSINV($B188)+SQRT(1-K$9^2*$C$11)*NORMSINV(J188)))*(K$7-K$5)*(K$7-K$6))))</f>
        <v>0.316944193911556</v>
      </c>
      <c r="L188" s="2" t="n">
        <v>0.210276188</v>
      </c>
      <c r="M188" s="2" t="n">
        <f aca="false">IF(M$7=M$5,M$6,IF(NORMSDIST(M$9*SQRT($C$11)*NORMSINV($B188)+SQRT(1-M$9^2*$C$11)*NORMSINV(L188))&lt;M$8,M$5+SQRT(NORMSDIST(M$9*SQRT($C$11)*NORMSINV($B188)+SQRT(1-M$9^2*$C$11)*NORMSINV(L188))*(M$7-M$5)*(M$6-M$5)),M$7-SQRT((1-NORMSDIST(M$9*SQRT($C$11)*NORMSINV($B188)+SQRT(1-M$9^2*$C$11)*NORMSINV(L188)))*(M$7-M$5)*(M$7-M$6))))</f>
        <v>1548.18487665875</v>
      </c>
      <c r="N188" s="2" t="n">
        <v>0.421410729</v>
      </c>
      <c r="O188" s="2" t="n">
        <f aca="false">IF(O$7=O$5,O$6,IF(NORMSDIST(O$9*SQRT($C$11)*NORMSINV($B188)+SQRT(1-O$9^2*$C$11)*NORMSINV(N188))&lt;O$8,O$5+SQRT(NORMSDIST(O$9*SQRT($C$11)*NORMSINV($B188)+SQRT(1-O$9^2*$C$11)*NORMSINV(N188))*(O$7-O$5)*(O$6-O$5)),O$7-SQRT((1-NORMSDIST(O$9*SQRT($C$11)*NORMSINV($B188)+SQRT(1-O$9^2*$C$11)*NORMSINV(N188)))*(O$7-O$5)*(O$7-O$6))))</f>
        <v>0.168404360220532</v>
      </c>
      <c r="P188" s="2" t="n">
        <v>0.000916065</v>
      </c>
      <c r="Q188" s="2" t="n">
        <f aca="false">IF(Q$7=Q$5,Q$6,IF(NORMSDIST(Q$9*SQRT($C$11)*NORMSINV($B188)+SQRT(1-Q$9^2*$C$11)*NORMSINV(P188))&lt;Q$8,Q$5+SQRT(NORMSDIST(Q$9*SQRT($C$11)*NORMSINV($B188)+SQRT(1-Q$9^2*$C$11)*NORMSINV(P188))*(Q$7-Q$5)*(Q$6-Q$5)),Q$7-SQRT((1-NORMSDIST(Q$9*SQRT($C$11)*NORMSINV($B188)+SQRT(1-Q$9^2*$C$11)*NORMSINV(P188)))*(Q$7-Q$5)*(Q$7-Q$6))))</f>
        <v>0.0417121355086558</v>
      </c>
      <c r="R188" s="2" t="n">
        <v>0.465847248</v>
      </c>
      <c r="S188" s="2" t="n">
        <f aca="false">IF(S$7=S$5,S$6,IF(NORMSDIST(S$9*SQRT($C$11)*NORMSINV($B188)+SQRT(1-S$9^2*$C$11)*NORMSINV(R188))&lt;S$8,S$5+SQRT(NORMSDIST(S$9*SQRT($C$11)*NORMSINV($B188)+SQRT(1-S$9^2*$C$11)*NORMSINV(R188))*(S$7-S$5)*(S$6-S$5)),S$7-SQRT((1-NORMSDIST(S$9*SQRT($C$11)*NORMSINV($B188)+SQRT(1-S$9^2*$C$11)*NORMSINV(R188)))*(S$7-S$5)*(S$7-S$6))))</f>
        <v>0.550773797122657</v>
      </c>
      <c r="T188" s="2" t="n">
        <v>0.670448019</v>
      </c>
      <c r="U188" s="2" t="n">
        <f aca="false">IF(U$7=U$5,U$6,IF(NORMSDIST(U$9*SQRT($C$11)*NORMSINV($B188)+SQRT(1-U$9^2*$C$11)*NORMSINV(T188))&lt;U$8,U$5+SQRT(NORMSDIST(U$9*SQRT($C$11)*NORMSINV($B188)+SQRT(1-U$9^2*$C$11)*NORMSINV(T188))*(U$7-U$5)*(U$6-U$5)),U$7-SQRT((1-NORMSDIST(U$9*SQRT($C$11)*NORMSINV($B188)+SQRT(1-U$9^2*$C$11)*NORMSINV(T188)))*(U$7-U$5)*(U$7-U$6))))</f>
        <v>0.641419293565785</v>
      </c>
      <c r="V188" s="2" t="n">
        <v>0.932713439</v>
      </c>
      <c r="W188" s="2" t="n">
        <f aca="false">IF(W$7=W$5,W$6,IF(NORMSDIST(W$9*SQRT($C$11)*NORMSINV($B188)+SQRT(1-W$9^2*$C$11)*NORMSINV(V188))&lt;W$8,W$5+SQRT(NORMSDIST(W$9*SQRT($C$11)*NORMSINV($B188)+SQRT(1-W$9^2*$C$11)*NORMSINV(V188))*(W$7-W$5)*(W$6-W$5)),W$7-SQRT((1-NORMSDIST(W$9*SQRT($C$11)*NORMSINV($B188)+SQRT(1-W$9^2*$C$11)*NORMSINV(V188)))*(W$7-W$5)*(W$7-W$6))))</f>
        <v>11.2471082446022</v>
      </c>
      <c r="X188" s="2" t="n">
        <v>0.935039688</v>
      </c>
      <c r="Y188" s="2" t="n">
        <f aca="false">IF(Y$7=Y$5,Y$6,IF(NORMSDIST(Y$9*SQRT($C$11)*NORMSINV($B188)+SQRT(1-Y$9^2*$C$11)*NORMSINV(X188))&lt;Y$8,Y$5+SQRT(NORMSDIST(Y$9*SQRT($C$11)*NORMSINV($B188)+SQRT(1-Y$9^2*$C$11)*NORMSINV(X188))*(Y$7-Y$5)*(Y$6-Y$5)),Y$7-SQRT((1-NORMSDIST(Y$9*SQRT($C$11)*NORMSINV($B188)+SQRT(1-Y$9^2*$C$11)*NORMSINV(X188)))*(Y$7-Y$5)*(Y$7-Y$6))))</f>
        <v>0.819777481984076</v>
      </c>
      <c r="Z188" s="2" t="n">
        <v>0.250530234</v>
      </c>
      <c r="AA188" s="2" t="n">
        <f aca="false">IF(AA$7=AA$5,AA$6,IF(NORMSDIST(AA$9*SQRT($C$11)*NORMSINV($B188)+SQRT(1-AA$9^2*$C$11)*NORMSINV(Z188))&lt;AA$8,AA$5+SQRT(NORMSDIST(AA$9*SQRT($C$11)*NORMSINV($B188)+SQRT(1-AA$9^2*$C$11)*NORMSINV(Z188))*(AA$7-AA$5)*(AA$6-AA$5)),AA$7-SQRT((1-NORMSDIST(AA$9*SQRT($C$11)*NORMSINV($B188)+SQRT(1-AA$9^2*$C$11)*NORMSINV(Z188)))*(AA$7-AA$5)*(AA$7-AA$6))))</f>
        <v>0.725194886551871</v>
      </c>
      <c r="AB188" s="2" t="n">
        <v>0.525730459</v>
      </c>
      <c r="AC188" s="2" t="n">
        <f aca="false">IF(AC$7=AC$5,AC$6,IF(NORMSDIST(AC$9*SQRT($C$11)*NORMSINV($B188)+SQRT(1-AC$9^2*$C$11)*NORMSINV(AB188))&lt;AC$8,AC$5+SQRT(NORMSDIST(AC$9*SQRT($C$11)*NORMSINV($B188)+SQRT(1-AC$9^2*$C$11)*NORMSINV(AB188))*(AC$7-AC$5)*(AC$6-AC$5)),AC$7-SQRT((1-NORMSDIST(AC$9*SQRT($C$11)*NORMSINV($B188)+SQRT(1-AC$9^2*$C$11)*NORMSINV(AB188)))*(AC$7-AC$5)*(AC$7-AC$6))))</f>
        <v>9.75284685162403</v>
      </c>
      <c r="AD188" s="2" t="n">
        <f aca="false">Entrées!$C$8*(1+E188)</f>
        <v>7418.73527440888</v>
      </c>
      <c r="AE188" s="2" t="n">
        <f aca="false">I188*Hypothèses!$J$24/12/Hypothèses!$J$19</f>
        <v>102.043550468172</v>
      </c>
      <c r="AF188" s="2" t="n">
        <f aca="false">Entrées!$C$36*S188*1000</f>
        <v>275.386898561329</v>
      </c>
      <c r="AG188" s="2" t="n">
        <f aca="false">-AF188/W188</f>
        <v>-24.4851292058557</v>
      </c>
      <c r="AH188" s="2" t="n">
        <f aca="false">AD188+AE188+AG188</f>
        <v>7496.29369567119</v>
      </c>
      <c r="AI188" s="2" t="n">
        <f aca="false">Entrées!$C$16-M188+Hypothèses!$J$22*1000-AF188+Hypothèses!$J$23</f>
        <v>22724.4282247799</v>
      </c>
      <c r="AJ188" s="2" t="n">
        <f aca="false">AI188/AH188</f>
        <v>3.03142181287566</v>
      </c>
      <c r="AK188" s="2" t="n">
        <f aca="false">AI188/(AH188+I188*(12-Hypothèses!$J$24)/12/Hypothèses!$J$19)</f>
        <v>3.00223041101186</v>
      </c>
      <c r="AL188" s="2" t="n">
        <f aca="false">(AD188+AG188+I188/Hypothèses!$J$19)*(1+G188)</f>
        <v>7953.79967666152</v>
      </c>
      <c r="AM188" s="2" t="n">
        <f aca="false">Entrées!$C$54*K188/Hypothèses!$J$19</f>
        <v>32.3454857513486</v>
      </c>
      <c r="AN188" s="2" t="n">
        <f aca="false">Y188*1000/AC188</f>
        <v>84.055198903033</v>
      </c>
      <c r="AO188" s="2" t="n">
        <f aca="false">(Entrées!$C$36*(1-S188)+MAX(0,Entrées!$C$30-Entrées!$C$35-Entrées!$C$36)*U188)*1000</f>
        <v>1122.60011243077</v>
      </c>
      <c r="AP188" s="2" t="n">
        <f aca="false">-AO188/W188</f>
        <v>-99.8123329140661</v>
      </c>
      <c r="AQ188" s="2" t="n">
        <f aca="false">AL188+AM188+AN188+AP188</f>
        <v>7970.38802840184</v>
      </c>
      <c r="AR188" s="2" t="n">
        <f aca="false">O188*AQ188-Hypothèses!$J$25/Hypothèses!$J$19</f>
        <v>1323.11293437077</v>
      </c>
      <c r="AS188" s="2" t="n">
        <f aca="false">Entrées!$C$79*(1+Q188)+Hypothèses!$J$20</f>
        <v>1439.84163692401</v>
      </c>
      <c r="AT188" s="2" t="n">
        <f aca="false">AI188-AR188+AS188+Y188*1000-AO188+Hypothèses!$J$23</f>
        <v>22538.3342968865</v>
      </c>
      <c r="AU188" s="2" t="n">
        <f aca="false">AT188/AQ188</f>
        <v>2.82775872599589</v>
      </c>
      <c r="AV188" s="2" t="n">
        <f aca="false">Hypothèses!$J$26*AQ188-AT188</f>
        <v>1372.82978831904</v>
      </c>
      <c r="AW188" s="2" t="n">
        <f aca="false">IF(AC188&gt;Hypothèses!$J$26,MAX(0,AV188)/(1-Hypothèses!$J$26/AC188),0)</f>
        <v>1982.71913653766</v>
      </c>
      <c r="AX188" s="2" t="n">
        <f aca="false">AQ188-Entrées!$C$17*1000</f>
        <v>-29.6119715981649</v>
      </c>
      <c r="AY188" s="2" t="n">
        <f aca="false">AI188+(Entrées!$C$244-Entrées!$C$13)</f>
        <v>28471.4282247799</v>
      </c>
      <c r="AZ188" s="2" t="n">
        <f aca="false">AA188*AH188</f>
        <v>5436.27385619178</v>
      </c>
      <c r="BA188" s="2" t="n">
        <f aca="false">AZ188/AY188</f>
        <v>0.190937869827702</v>
      </c>
      <c r="BB188" s="2" t="n">
        <f aca="false">AZ188/(Entrées!$C$151/100)-AY188</f>
        <v>1730.09319850774</v>
      </c>
      <c r="BC188" s="2" t="n">
        <f aca="false">AT188+(Entrées!$C$244-Entrées!$C$13)</f>
        <v>28285.3342968865</v>
      </c>
      <c r="BD188" s="2" t="n">
        <f aca="false">AA188*AQ188</f>
        <v>5780.08464203126</v>
      </c>
      <c r="BE188" s="2" t="n">
        <f aca="false">BD188/BC188</f>
        <v>0.204349171954722</v>
      </c>
      <c r="BF188" s="2" t="n">
        <f aca="false">BD188/(Entrées!$C$151/100)-BC188</f>
        <v>3826.24704773165</v>
      </c>
      <c r="BG188" s="2" t="n">
        <f aca="false">MIN(AV188,BF188)</f>
        <v>1372.82978831904</v>
      </c>
      <c r="BH188" s="2" t="n">
        <f aca="false">IF(AC188&gt;Hypothèses!$J$26,MAX(0,BG188)/(1-Hypothèses!$J$26/AC188),0)</f>
        <v>1982.71913653766</v>
      </c>
    </row>
    <row r="189" customFormat="false" ht="15" hidden="false" customHeight="false" outlineLevel="0" collapsed="false">
      <c r="A189" s="2" t="n">
        <v>174</v>
      </c>
      <c r="B189" s="2" t="n">
        <v>0.368582803</v>
      </c>
      <c r="C189" s="2"/>
      <c r="D189" s="2" t="n">
        <v>0.416854033</v>
      </c>
      <c r="E189" s="2" t="n">
        <f aca="false">IF(E$7=E$5,E$6,IF(NORMSDIST(E$9*SQRT($C$11)*NORMSINV($B189)+SQRT(1-E$9^2*$C$11)*NORMSINV(D189))&lt;E$8,E$5+SQRT(NORMSDIST(E$9*SQRT($C$11)*NORMSINV($B189)+SQRT(1-E$9^2*$C$11)*NORMSINV(D189))*(E$7-E$5)*(E$6-E$5)),E$7-SQRT((1-NORMSDIST(E$9*SQRT($C$11)*NORMSINV($B189)+SQRT(1-E$9^2*$C$11)*NORMSINV(D189)))*(E$7-E$5)*(E$7-E$6))))</f>
        <v>0.0542063862621342</v>
      </c>
      <c r="F189" s="2" t="n">
        <v>0.248698303</v>
      </c>
      <c r="G189" s="2" t="n">
        <f aca="false">IF(G$7=G$5,G$6,IF(NORMSDIST(G$9*SQRT($C$11)*NORMSINV($B189)+SQRT(1-G$9^2*$C$11)*NORMSINV(F189))&lt;G$8,G$5+SQRT(NORMSDIST(G$9*SQRT($C$11)*NORMSINV($B189)+SQRT(1-G$9^2*$C$11)*NORMSINV(F189))*(G$7-G$5)*(G$6-G$5)),G$7-SQRT((1-NORMSDIST(G$9*SQRT($C$11)*NORMSINV($B189)+SQRT(1-G$9^2*$C$11)*NORMSINV(F189)))*(G$7-G$5)*(G$7-G$6))))</f>
        <v>0.0501799025670742</v>
      </c>
      <c r="H189" s="2" t="n">
        <v>0.343801704</v>
      </c>
      <c r="I189" s="2" t="n">
        <f aca="false">IF(I$7=I$5,I$6,IF(NORMSDIST(I$9*SQRT($C$11)*NORMSINV($B189)+SQRT(1-I$9^2*$C$11)*NORMSINV(H189))&lt;I$8,I$5+SQRT(NORMSDIST(I$9*SQRT($C$11)*NORMSINV($B189)+SQRT(1-I$9^2*$C$11)*NORMSINV(H189))*(I$7-I$5)*(I$6-I$5)),I$7-SQRT((1-NORMSDIST(I$9*SQRT($C$11)*NORMSINV($B189)+SQRT(1-I$9^2*$C$11)*NORMSINV(H189)))*(I$7-I$5)*(I$7-I$6))))</f>
        <v>195.497947404416</v>
      </c>
      <c r="J189" s="2" t="n">
        <v>0.388242764</v>
      </c>
      <c r="K189" s="2" t="n">
        <f aca="false">IF(K$7=K$5,K$6,IF(NORMSDIST(K$9*SQRT($C$11)*NORMSINV($B189)+SQRT(1-K$9^2*$C$11)*NORMSINV(J189))&lt;K$8,K$5+SQRT(NORMSDIST(K$9*SQRT($C$11)*NORMSINV($B189)+SQRT(1-K$9^2*$C$11)*NORMSINV(J189))*(K$7-K$5)*(K$6-K$5)),K$7-SQRT((1-NORMSDIST(K$9*SQRT($C$11)*NORMSINV($B189)+SQRT(1-K$9^2*$C$11)*NORMSINV(J189)))*(K$7-K$5)*(K$7-K$6))))</f>
        <v>0.203963809299509</v>
      </c>
      <c r="L189" s="2" t="n">
        <v>0.76802071</v>
      </c>
      <c r="M189" s="2" t="n">
        <f aca="false">IF(M$7=M$5,M$6,IF(NORMSDIST(M$9*SQRT($C$11)*NORMSINV($B189)+SQRT(1-M$9^2*$C$11)*NORMSINV(L189))&lt;M$8,M$5+SQRT(NORMSDIST(M$9*SQRT($C$11)*NORMSINV($B189)+SQRT(1-M$9^2*$C$11)*NORMSINV(L189))*(M$7-M$5)*(M$6-M$5)),M$7-SQRT((1-NORMSDIST(M$9*SQRT($C$11)*NORMSINV($B189)+SQRT(1-M$9^2*$C$11)*NORMSINV(L189)))*(M$7-M$5)*(M$7-M$6))))</f>
        <v>1622.09568625288</v>
      </c>
      <c r="N189" s="2" t="n">
        <v>0.666794242</v>
      </c>
      <c r="O189" s="2" t="n">
        <f aca="false">IF(O$7=O$5,O$6,IF(NORMSDIST(O$9*SQRT($C$11)*NORMSINV($B189)+SQRT(1-O$9^2*$C$11)*NORMSINV(N189))&lt;O$8,O$5+SQRT(NORMSDIST(O$9*SQRT($C$11)*NORMSINV($B189)+SQRT(1-O$9^2*$C$11)*NORMSINV(N189))*(O$7-O$5)*(O$6-O$5)),O$7-SQRT((1-NORMSDIST(O$9*SQRT($C$11)*NORMSINV($B189)+SQRT(1-O$9^2*$C$11)*NORMSINV(N189)))*(O$7-O$5)*(O$7-O$6))))</f>
        <v>0.168051266793548</v>
      </c>
      <c r="P189" s="2" t="n">
        <v>0.487187085</v>
      </c>
      <c r="Q189" s="2" t="n">
        <f aca="false">IF(Q$7=Q$5,Q$6,IF(NORMSDIST(Q$9*SQRT($C$11)*NORMSINV($B189)+SQRT(1-Q$9^2*$C$11)*NORMSINV(P189))&lt;Q$8,Q$5+SQRT(NORMSDIST(Q$9*SQRT($C$11)*NORMSINV($B189)+SQRT(1-Q$9^2*$C$11)*NORMSINV(P189))*(Q$7-Q$5)*(Q$6-Q$5)),Q$7-SQRT((1-NORMSDIST(Q$9*SQRT($C$11)*NORMSINV($B189)+SQRT(1-Q$9^2*$C$11)*NORMSINV(P189)))*(Q$7-Q$5)*(Q$7-Q$6))))</f>
        <v>0.0794841572279313</v>
      </c>
      <c r="R189" s="2" t="n">
        <v>0.734899744</v>
      </c>
      <c r="S189" s="2" t="n">
        <f aca="false">IF(S$7=S$5,S$6,IF(NORMSDIST(S$9*SQRT($C$11)*NORMSINV($B189)+SQRT(1-S$9^2*$C$11)*NORMSINV(R189))&lt;S$8,S$5+SQRT(NORMSDIST(S$9*SQRT($C$11)*NORMSINV($B189)+SQRT(1-S$9^2*$C$11)*NORMSINV(R189))*(S$7-S$5)*(S$6-S$5)),S$7-SQRT((1-NORMSDIST(S$9*SQRT($C$11)*NORMSINV($B189)+SQRT(1-S$9^2*$C$11)*NORMSINV(R189)))*(S$7-S$5)*(S$7-S$6))))</f>
        <v>0.557247780165734</v>
      </c>
      <c r="T189" s="2" t="n">
        <v>0.47341869</v>
      </c>
      <c r="U189" s="2" t="n">
        <f aca="false">IF(U$7=U$5,U$6,IF(NORMSDIST(U$9*SQRT($C$11)*NORMSINV($B189)+SQRT(1-U$9^2*$C$11)*NORMSINV(T189))&lt;U$8,U$5+SQRT(NORMSDIST(U$9*SQRT($C$11)*NORMSINV($B189)+SQRT(1-U$9^2*$C$11)*NORMSINV(T189))*(U$7-U$5)*(U$6-U$5)),U$7-SQRT((1-NORMSDIST(U$9*SQRT($C$11)*NORMSINV($B189)+SQRT(1-U$9^2*$C$11)*NORMSINV(T189)))*(U$7-U$5)*(U$7-U$6))))</f>
        <v>0.444930195609449</v>
      </c>
      <c r="V189" s="2" t="n">
        <v>0.250872291</v>
      </c>
      <c r="W189" s="2" t="n">
        <f aca="false">IF(W$7=W$5,W$6,IF(NORMSDIST(W$9*SQRT($C$11)*NORMSINV($B189)+SQRT(1-W$9^2*$C$11)*NORMSINV(V189))&lt;W$8,W$5+SQRT(NORMSDIST(W$9*SQRT($C$11)*NORMSINV($B189)+SQRT(1-W$9^2*$C$11)*NORMSINV(V189))*(W$7-W$5)*(W$6-W$5)),W$7-SQRT((1-NORMSDIST(W$9*SQRT($C$11)*NORMSINV($B189)+SQRT(1-W$9^2*$C$11)*NORMSINV(V189)))*(W$7-W$5)*(W$7-W$6))))</f>
        <v>9.3620688092707</v>
      </c>
      <c r="X189" s="2" t="n">
        <v>0.462644213</v>
      </c>
      <c r="Y189" s="2" t="n">
        <f aca="false">IF(Y$7=Y$5,Y$6,IF(NORMSDIST(Y$9*SQRT($C$11)*NORMSINV($B189)+SQRT(1-Y$9^2*$C$11)*NORMSINV(X189))&lt;Y$8,Y$5+SQRT(NORMSDIST(Y$9*SQRT($C$11)*NORMSINV($B189)+SQRT(1-Y$9^2*$C$11)*NORMSINV(X189))*(Y$7-Y$5)*(Y$6-Y$5)),Y$7-SQRT((1-NORMSDIST(Y$9*SQRT($C$11)*NORMSINV($B189)+SQRT(1-Y$9^2*$C$11)*NORMSINV(X189)))*(Y$7-Y$5)*(Y$7-Y$6))))</f>
        <v>0.480959568467039</v>
      </c>
      <c r="Z189" s="2" t="n">
        <v>0.680913804</v>
      </c>
      <c r="AA189" s="2" t="n">
        <f aca="false">IF(AA$7=AA$5,AA$6,IF(NORMSDIST(AA$9*SQRT($C$11)*NORMSINV($B189)+SQRT(1-AA$9^2*$C$11)*NORMSINV(Z189))&lt;AA$8,AA$5+SQRT(NORMSDIST(AA$9*SQRT($C$11)*NORMSINV($B189)+SQRT(1-AA$9^2*$C$11)*NORMSINV(Z189))*(AA$7-AA$5)*(AA$6-AA$5)),AA$7-SQRT((1-NORMSDIST(AA$9*SQRT($C$11)*NORMSINV($B189)+SQRT(1-AA$9^2*$C$11)*NORMSINV(Z189)))*(AA$7-AA$5)*(AA$7-AA$6))))</f>
        <v>0.729972262480286</v>
      </c>
      <c r="AB189" s="2" t="n">
        <v>0.16834897</v>
      </c>
      <c r="AC189" s="2" t="n">
        <f aca="false">IF(AC$7=AC$5,AC$6,IF(NORMSDIST(AC$9*SQRT($C$11)*NORMSINV($B189)+SQRT(1-AC$9^2*$C$11)*NORMSINV(AB189))&lt;AC$8,AC$5+SQRT(NORMSDIST(AC$9*SQRT($C$11)*NORMSINV($B189)+SQRT(1-AC$9^2*$C$11)*NORMSINV(AB189))*(AC$7-AC$5)*(AC$6-AC$5)),AC$7-SQRT((1-NORMSDIST(AC$9*SQRT($C$11)*NORMSINV($B189)+SQRT(1-AC$9^2*$C$11)*NORMSINV(AB189)))*(AC$7-AC$5)*(AC$7-AC$6))))</f>
        <v>8.6099065879613</v>
      </c>
      <c r="AD189" s="2" t="n">
        <f aca="false">Entrées!$C$8*(1+E189)</f>
        <v>7432.15502314805</v>
      </c>
      <c r="AE189" s="2" t="n">
        <f aca="false">I189*Hypothèses!$J$24/12/Hypothèses!$J$19</f>
        <v>96.9859059918081</v>
      </c>
      <c r="AF189" s="2" t="n">
        <f aca="false">Entrées!$C$36*S189*1000</f>
        <v>278.623890082867</v>
      </c>
      <c r="AG189" s="2" t="n">
        <f aca="false">-AF189/W189</f>
        <v>-29.760931665762</v>
      </c>
      <c r="AH189" s="2" t="n">
        <f aca="false">AD189+AE189+AG189</f>
        <v>7499.37999747409</v>
      </c>
      <c r="AI189" s="2" t="n">
        <f aca="false">Entrées!$C$16-M189+Hypothèses!$J$22*1000-AF189+Hypothèses!$J$23</f>
        <v>22647.2804236643</v>
      </c>
      <c r="AJ189" s="2" t="n">
        <f aca="false">AI189/AH189</f>
        <v>3.01988703483384</v>
      </c>
      <c r="AK189" s="2" t="n">
        <f aca="false">AI189/(AH189+I189*(12-Hypothèses!$J$24)/12/Hypothèses!$J$19)</f>
        <v>2.99224611173705</v>
      </c>
      <c r="AL189" s="2" t="n">
        <f aca="false">(AD189+AG189+I189/Hypothèses!$J$19)*(1+G189)</f>
        <v>7948.45004742142</v>
      </c>
      <c r="AM189" s="2" t="n">
        <f aca="false">Entrées!$C$54*K189/Hypothèses!$J$19</f>
        <v>20.815363127709</v>
      </c>
      <c r="AN189" s="2" t="n">
        <f aca="false">Y189*1000/AC189</f>
        <v>55.8611831096442</v>
      </c>
      <c r="AO189" s="2" t="n">
        <f aca="false">(Entrées!$C$36*(1-S189)+MAX(0,Entrées!$C$30-Entrées!$C$35-Entrées!$C$36)*U189)*1000</f>
        <v>844.278383770361</v>
      </c>
      <c r="AP189" s="2" t="n">
        <f aca="false">-AO189/W189</f>
        <v>-90.1807496794215</v>
      </c>
      <c r="AQ189" s="2" t="n">
        <f aca="false">AL189+AM189+AN189+AP189</f>
        <v>7934.94584397935</v>
      </c>
      <c r="AR189" s="2" t="n">
        <f aca="false">O189*AQ189-Hypothèses!$J$25/Hypothèses!$J$19</f>
        <v>1314.3425387573</v>
      </c>
      <c r="AS189" s="2" t="n">
        <f aca="false">Entrées!$C$79*(1+Q189)+Hypothèses!$J$20</f>
        <v>1481.3530887935</v>
      </c>
      <c r="AT189" s="2" t="n">
        <f aca="false">AI189-AR189+AS189+Y189*1000-AO189+Hypothèses!$J$23</f>
        <v>22450.9721583971</v>
      </c>
      <c r="AU189" s="2" t="n">
        <f aca="false">AT189/AQ189</f>
        <v>2.82937938075933</v>
      </c>
      <c r="AV189" s="2" t="n">
        <f aca="false">Hypothèses!$J$26*AQ189-AT189</f>
        <v>1353.86537354093</v>
      </c>
      <c r="AW189" s="2" t="n">
        <f aca="false">IF(AC189&gt;Hypothèses!$J$26,MAX(0,AV189)/(1-Hypothèses!$J$26/AC189),0)</f>
        <v>2077.86960729036</v>
      </c>
      <c r="AX189" s="2" t="n">
        <f aca="false">AQ189-Entrées!$C$17*1000</f>
        <v>-65.0541560206484</v>
      </c>
      <c r="AY189" s="2" t="n">
        <f aca="false">AI189+(Entrées!$C$244-Entrées!$C$13)</f>
        <v>28394.2804236643</v>
      </c>
      <c r="AZ189" s="2" t="n">
        <f aca="false">AA189*AH189</f>
        <v>5474.33938395556</v>
      </c>
      <c r="BA189" s="2" t="n">
        <f aca="false">AZ189/AY189</f>
        <v>0.192797257133277</v>
      </c>
      <c r="BB189" s="2" t="n">
        <f aca="false">AZ189/(Entrées!$C$151/100)-AY189</f>
        <v>2018.71615386666</v>
      </c>
      <c r="BC189" s="2" t="n">
        <f aca="false">AT189+(Entrées!$C$244-Entrées!$C$13)</f>
        <v>28197.9721583971</v>
      </c>
      <c r="BD189" s="2" t="n">
        <f aca="false">AA189*AQ189</f>
        <v>5792.29037038815</v>
      </c>
      <c r="BE189" s="2" t="n">
        <f aca="false">BD189/BC189</f>
        <v>0.205415138998329</v>
      </c>
      <c r="BF189" s="2" t="n">
        <f aca="false">BD189/(Entrées!$C$151/100)-BC189</f>
        <v>3981.41878820369</v>
      </c>
      <c r="BG189" s="2" t="n">
        <f aca="false">MIN(AV189,BF189)</f>
        <v>1353.86537354093</v>
      </c>
      <c r="BH189" s="2" t="n">
        <f aca="false">IF(AC189&gt;Hypothèses!$J$26,MAX(0,BG189)/(1-Hypothèses!$J$26/AC189),0)</f>
        <v>2077.86960729036</v>
      </c>
    </row>
    <row r="190" customFormat="false" ht="15" hidden="false" customHeight="false" outlineLevel="0" collapsed="false">
      <c r="A190" s="2" t="n">
        <v>175</v>
      </c>
      <c r="B190" s="2" t="n">
        <v>0.622567432</v>
      </c>
      <c r="C190" s="2"/>
      <c r="D190" s="2" t="n">
        <v>0.63487101</v>
      </c>
      <c r="E190" s="2" t="n">
        <f aca="false">IF(E$7=E$5,E$6,IF(NORMSDIST(E$9*SQRT($C$11)*NORMSINV($B190)+SQRT(1-E$9^2*$C$11)*NORMSINV(D190))&lt;E$8,E$5+SQRT(NORMSDIST(E$9*SQRT($C$11)*NORMSINV($B190)+SQRT(1-E$9^2*$C$11)*NORMSINV(D190))*(E$7-E$5)*(E$6-E$5)),E$7-SQRT((1-NORMSDIST(E$9*SQRT($C$11)*NORMSINV($B190)+SQRT(1-E$9^2*$C$11)*NORMSINV(D190)))*(E$7-E$5)*(E$7-E$6))))</f>
        <v>0.0559929394881902</v>
      </c>
      <c r="F190" s="2" t="n">
        <v>0.649644976</v>
      </c>
      <c r="G190" s="2" t="n">
        <f aca="false">IF(G$7=G$5,G$6,IF(NORMSDIST(G$9*SQRT($C$11)*NORMSINV($B190)+SQRT(1-G$9^2*$C$11)*NORMSINV(F190))&lt;G$8,G$5+SQRT(NORMSDIST(G$9*SQRT($C$11)*NORMSINV($B190)+SQRT(1-G$9^2*$C$11)*NORMSINV(F190))*(G$7-G$5)*(G$6-G$5)),G$7-SQRT((1-NORMSDIST(G$9*SQRT($C$11)*NORMSINV($B190)+SQRT(1-G$9^2*$C$11)*NORMSINV(F190)))*(G$7-G$5)*(G$7-G$6))))</f>
        <v>0.058184602245249</v>
      </c>
      <c r="H190" s="2" t="n">
        <v>0.920040991</v>
      </c>
      <c r="I190" s="2" t="n">
        <f aca="false">IF(I$7=I$5,I$6,IF(NORMSDIST(I$9*SQRT($C$11)*NORMSINV($B190)+SQRT(1-I$9^2*$C$11)*NORMSINV(H190))&lt;I$8,I$5+SQRT(NORMSDIST(I$9*SQRT($C$11)*NORMSINV($B190)+SQRT(1-I$9^2*$C$11)*NORMSINV(H190))*(I$7-I$5)*(I$6-I$5)),I$7-SQRT((1-NORMSDIST(I$9*SQRT($C$11)*NORMSINV($B190)+SQRT(1-I$9^2*$C$11)*NORMSINV(H190)))*(I$7-I$5)*(I$7-I$6))))</f>
        <v>211.090997765198</v>
      </c>
      <c r="J190" s="2" t="n">
        <v>0.422860709</v>
      </c>
      <c r="K190" s="2" t="n">
        <f aca="false">IF(K$7=K$5,K$6,IF(NORMSDIST(K$9*SQRT($C$11)*NORMSINV($B190)+SQRT(1-K$9^2*$C$11)*NORMSINV(J190))&lt;K$8,K$5+SQRT(NORMSDIST(K$9*SQRT($C$11)*NORMSINV($B190)+SQRT(1-K$9^2*$C$11)*NORMSINV(J190))*(K$7-K$5)*(K$6-K$5)),K$7-SQRT((1-NORMSDIST(K$9*SQRT($C$11)*NORMSINV($B190)+SQRT(1-K$9^2*$C$11)*NORMSINV(J190)))*(K$7-K$5)*(K$7-K$6))))</f>
        <v>0.25470529221596</v>
      </c>
      <c r="L190" s="2" t="n">
        <v>0.472016892</v>
      </c>
      <c r="M190" s="2" t="n">
        <f aca="false">IF(M$7=M$5,M$6,IF(NORMSDIST(M$9*SQRT($C$11)*NORMSINV($B190)+SQRT(1-M$9^2*$C$11)*NORMSINV(L190))&lt;M$8,M$5+SQRT(NORMSDIST(M$9*SQRT($C$11)*NORMSINV($B190)+SQRT(1-M$9^2*$C$11)*NORMSINV(L190))*(M$7-M$5)*(M$6-M$5)),M$7-SQRT((1-NORMSDIST(M$9*SQRT($C$11)*NORMSINV($B190)+SQRT(1-M$9^2*$C$11)*NORMSINV(L190)))*(M$7-M$5)*(M$7-M$6))))</f>
        <v>1600.97094731107</v>
      </c>
      <c r="N190" s="2" t="n">
        <v>0.179209788</v>
      </c>
      <c r="O190" s="2" t="n">
        <f aca="false">IF(O$7=O$5,O$6,IF(NORMSDIST(O$9*SQRT($C$11)*NORMSINV($B190)+SQRT(1-O$9^2*$C$11)*NORMSINV(N190))&lt;O$8,O$5+SQRT(NORMSDIST(O$9*SQRT($C$11)*NORMSINV($B190)+SQRT(1-O$9^2*$C$11)*NORMSINV(N190))*(O$7-O$5)*(O$6-O$5)),O$7-SQRT((1-NORMSDIST(O$9*SQRT($C$11)*NORMSINV($B190)+SQRT(1-O$9^2*$C$11)*NORMSINV(N190)))*(O$7-O$5)*(O$7-O$6))))</f>
        <v>0.160873355824212</v>
      </c>
      <c r="P190" s="2" t="n">
        <v>0.476126294</v>
      </c>
      <c r="Q190" s="2" t="n">
        <f aca="false">IF(Q$7=Q$5,Q$6,IF(NORMSDIST(Q$9*SQRT($C$11)*NORMSINV($B190)+SQRT(1-Q$9^2*$C$11)*NORMSINV(P190))&lt;Q$8,Q$5+SQRT(NORMSDIST(Q$9*SQRT($C$11)*NORMSINV($B190)+SQRT(1-Q$9^2*$C$11)*NORMSINV(P190))*(Q$7-Q$5)*(Q$6-Q$5)),Q$7-SQRT((1-NORMSDIST(Q$9*SQRT($C$11)*NORMSINV($B190)+SQRT(1-Q$9^2*$C$11)*NORMSINV(P190)))*(Q$7-Q$5)*(Q$7-Q$6))))</f>
        <v>0.0790333721423092</v>
      </c>
      <c r="R190" s="2" t="n">
        <v>0.080860425</v>
      </c>
      <c r="S190" s="2" t="n">
        <f aca="false">IF(S$7=S$5,S$6,IF(NORMSDIST(S$9*SQRT($C$11)*NORMSINV($B190)+SQRT(1-S$9^2*$C$11)*NORMSINV(R190))&lt;S$8,S$5+SQRT(NORMSDIST(S$9*SQRT($C$11)*NORMSINV($B190)+SQRT(1-S$9^2*$C$11)*NORMSINV(R190))*(S$7-S$5)*(S$6-S$5)),S$7-SQRT((1-NORMSDIST(S$9*SQRT($C$11)*NORMSINV($B190)+SQRT(1-S$9^2*$C$11)*NORMSINV(R190)))*(S$7-S$5)*(S$7-S$6))))</f>
        <v>0.306344431435624</v>
      </c>
      <c r="T190" s="2" t="n">
        <v>0.015780657</v>
      </c>
      <c r="U190" s="2" t="n">
        <f aca="false">IF(U$7=U$5,U$6,IF(NORMSDIST(U$9*SQRT($C$11)*NORMSINV($B190)+SQRT(1-U$9^2*$C$11)*NORMSINV(T190))&lt;U$8,U$5+SQRT(NORMSDIST(U$9*SQRT($C$11)*NORMSINV($B190)+SQRT(1-U$9^2*$C$11)*NORMSINV(T190))*(U$7-U$5)*(U$6-U$5)),U$7-SQRT((1-NORMSDIST(U$9*SQRT($C$11)*NORMSINV($B190)+SQRT(1-U$9^2*$C$11)*NORMSINV(T190)))*(U$7-U$5)*(U$7-U$6))))</f>
        <v>0.188510406264621</v>
      </c>
      <c r="V190" s="2" t="n">
        <v>0.93618181</v>
      </c>
      <c r="W190" s="2" t="n">
        <f aca="false">IF(W$7=W$5,W$6,IF(NORMSDIST(W$9*SQRT($C$11)*NORMSINV($B190)+SQRT(1-W$9^2*$C$11)*NORMSINV(V190))&lt;W$8,W$5+SQRT(NORMSDIST(W$9*SQRT($C$11)*NORMSINV($B190)+SQRT(1-W$9^2*$C$11)*NORMSINV(V190))*(W$7-W$5)*(W$6-W$5)),W$7-SQRT((1-NORMSDIST(W$9*SQRT($C$11)*NORMSINV($B190)+SQRT(1-W$9^2*$C$11)*NORMSINV(V190)))*(W$7-W$5)*(W$7-W$6))))</f>
        <v>11.1794181179527</v>
      </c>
      <c r="X190" s="2" t="n">
        <v>0.942889259</v>
      </c>
      <c r="Y190" s="2" t="n">
        <f aca="false">IF(Y$7=Y$5,Y$6,IF(NORMSDIST(Y$9*SQRT($C$11)*NORMSINV($B190)+SQRT(1-Y$9^2*$C$11)*NORMSINV(X190))&lt;Y$8,Y$5+SQRT(NORMSDIST(Y$9*SQRT($C$11)*NORMSINV($B190)+SQRT(1-Y$9^2*$C$11)*NORMSINV(X190))*(Y$7-Y$5)*(Y$6-Y$5)),Y$7-SQRT((1-NORMSDIST(Y$9*SQRT($C$11)*NORMSINV($B190)+SQRT(1-Y$9^2*$C$11)*NORMSINV(X190)))*(Y$7-Y$5)*(Y$7-Y$6))))</f>
        <v>0.831016656146234</v>
      </c>
      <c r="Z190" s="2" t="n">
        <v>0.32705062</v>
      </c>
      <c r="AA190" s="2" t="n">
        <f aca="false">IF(AA$7=AA$5,AA$6,IF(NORMSDIST(AA$9*SQRT($C$11)*NORMSINV($B190)+SQRT(1-AA$9^2*$C$11)*NORMSINV(Z190))&lt;AA$8,AA$5+SQRT(NORMSDIST(AA$9*SQRT($C$11)*NORMSINV($B190)+SQRT(1-AA$9^2*$C$11)*NORMSINV(Z190))*(AA$7-AA$5)*(AA$6-AA$5)),AA$7-SQRT((1-NORMSDIST(AA$9*SQRT($C$11)*NORMSINV($B190)+SQRT(1-AA$9^2*$C$11)*NORMSINV(Z190)))*(AA$7-AA$5)*(AA$7-AA$6))))</f>
        <v>0.726043500433844</v>
      </c>
      <c r="AB190" s="2" t="n">
        <v>0.567870413</v>
      </c>
      <c r="AC190" s="2" t="n">
        <f aca="false">IF(AC$7=AC$5,AC$6,IF(NORMSDIST(AC$9*SQRT($C$11)*NORMSINV($B190)+SQRT(1-AC$9^2*$C$11)*NORMSINV(AB190))&lt;AC$8,AC$5+SQRT(NORMSDIST(AC$9*SQRT($C$11)*NORMSINV($B190)+SQRT(1-AC$9^2*$C$11)*NORMSINV(AB190))*(AC$7-AC$5)*(AC$6-AC$5)),AC$7-SQRT((1-NORMSDIST(AC$9*SQRT($C$11)*NORMSINV($B190)+SQRT(1-AC$9^2*$C$11)*NORMSINV(AB190)))*(AC$7-AC$5)*(AC$7-AC$6))))</f>
        <v>9.73169544865894</v>
      </c>
      <c r="AD190" s="2" t="n">
        <f aca="false">Entrées!$C$8*(1+E190)</f>
        <v>7444.75022339174</v>
      </c>
      <c r="AE190" s="2" t="n">
        <f aca="false">I190*Hypothèses!$J$24/12/Hypothèses!$J$19</f>
        <v>104.721568368293</v>
      </c>
      <c r="AF190" s="2" t="n">
        <f aca="false">Entrées!$C$36*S190*1000</f>
        <v>153.172215717812</v>
      </c>
      <c r="AG190" s="2" t="n">
        <f aca="false">-AF190/W190</f>
        <v>-13.7012690733731</v>
      </c>
      <c r="AH190" s="2" t="n">
        <f aca="false">AD190+AE190+AG190</f>
        <v>7535.77052268666</v>
      </c>
      <c r="AI190" s="2" t="n">
        <f aca="false">Entrées!$C$16-M190+Hypothèses!$J$22*1000-AF190+Hypothèses!$J$23</f>
        <v>22793.8568369711</v>
      </c>
      <c r="AJ190" s="2" t="n">
        <f aca="false">AI190/AH190</f>
        <v>3.02475463767767</v>
      </c>
      <c r="AK190" s="2" t="n">
        <f aca="false">AI190/(AH190+I190*(12-Hypothèses!$J$24)/12/Hypothèses!$J$19)</f>
        <v>2.99502559155157</v>
      </c>
      <c r="AL190" s="2" t="n">
        <f aca="false">(AD190+AG190+I190/Hypothèses!$J$19)*(1+G190)</f>
        <v>8053.38972685373</v>
      </c>
      <c r="AM190" s="2" t="n">
        <f aca="false">Entrées!$C$54*K190/Hypothèses!$J$19</f>
        <v>25.993744509052</v>
      </c>
      <c r="AN190" s="2" t="n">
        <f aca="false">Y190*1000/AC190</f>
        <v>85.3927931191837</v>
      </c>
      <c r="AO190" s="2" t="n">
        <f aca="false">(Entrées!$C$36*(1-S190)+MAX(0,Entrées!$C$30-Entrées!$C$35-Entrées!$C$36)*U190)*1000</f>
        <v>610.742353052658</v>
      </c>
      <c r="AP190" s="2" t="n">
        <f aca="false">-AO190/W190</f>
        <v>-54.6309608075115</v>
      </c>
      <c r="AQ190" s="2" t="n">
        <f aca="false">AL190+AM190+AN190+AP190</f>
        <v>8110.14530367445</v>
      </c>
      <c r="AR190" s="2" t="n">
        <f aca="false">O190*AQ190-Hypothèses!$J$25/Hypothèses!$J$19</f>
        <v>1285.57112896245</v>
      </c>
      <c r="AS190" s="2" t="n">
        <f aca="false">Entrées!$C$79*(1+Q190)+Hypothèses!$J$20</f>
        <v>1480.8576759844</v>
      </c>
      <c r="AT190" s="2" t="n">
        <f aca="false">AI190-AR190+AS190+Y190*1000-AO190+Hypothèses!$J$23</f>
        <v>23209.4176870866</v>
      </c>
      <c r="AU190" s="2" t="n">
        <f aca="false">AT190/AQ190</f>
        <v>2.86177581511039</v>
      </c>
      <c r="AV190" s="2" t="n">
        <f aca="false">Hypothèses!$J$26*AQ190-AT190</f>
        <v>1121.01822393672</v>
      </c>
      <c r="AW190" s="2" t="n">
        <f aca="false">IF(AC190&gt;Hypothèses!$J$26,MAX(0,AV190)/(1-Hypothèses!$J$26/AC190),0)</f>
        <v>1620.60331322951</v>
      </c>
      <c r="AX190" s="2" t="n">
        <f aca="false">AQ190-Entrées!$C$17*1000</f>
        <v>110.145303674452</v>
      </c>
      <c r="AY190" s="2" t="n">
        <f aca="false">AI190+(Entrées!$C$244-Entrées!$C$13)</f>
        <v>28540.8568369711</v>
      </c>
      <c r="AZ190" s="2" t="n">
        <f aca="false">AA190*AH190</f>
        <v>5471.2972087576</v>
      </c>
      <c r="BA190" s="2" t="n">
        <f aca="false">AZ190/AY190</f>
        <v>0.191700523919458</v>
      </c>
      <c r="BB190" s="2" t="n">
        <f aca="false">AZ190/(Entrées!$C$151/100)-AY190</f>
        <v>1855.23876723778</v>
      </c>
      <c r="BC190" s="2" t="n">
        <f aca="false">AT190+(Entrées!$C$244-Entrées!$C$13)</f>
        <v>28956.4176870866</v>
      </c>
      <c r="BD190" s="2" t="n">
        <f aca="false">AA190*AQ190</f>
        <v>5888.3182853069</v>
      </c>
      <c r="BE190" s="2" t="n">
        <f aca="false">BD190/BC190</f>
        <v>0.203351061893711</v>
      </c>
      <c r="BF190" s="2" t="n">
        <f aca="false">BD190/(Entrées!$C$151/100)-BC190</f>
        <v>3756.46167572948</v>
      </c>
      <c r="BG190" s="2" t="n">
        <f aca="false">MIN(AV190,BF190)</f>
        <v>1121.01822393672</v>
      </c>
      <c r="BH190" s="2" t="n">
        <f aca="false">IF(AC190&gt;Hypothèses!$J$26,MAX(0,BG190)/(1-Hypothèses!$J$26/AC190),0)</f>
        <v>1620.60331322951</v>
      </c>
    </row>
    <row r="191" customFormat="false" ht="15" hidden="false" customHeight="false" outlineLevel="0" collapsed="false">
      <c r="A191" s="2" t="n">
        <v>176</v>
      </c>
      <c r="B191" s="2" t="n">
        <v>0.526696306</v>
      </c>
      <c r="C191" s="2"/>
      <c r="D191" s="2" t="n">
        <v>0.45620277</v>
      </c>
      <c r="E191" s="2" t="n">
        <f aca="false">IF(E$7=E$5,E$6,IF(NORMSDIST(E$9*SQRT($C$11)*NORMSINV($B191)+SQRT(1-E$9^2*$C$11)*NORMSINV(D191))&lt;E$8,E$5+SQRT(NORMSDIST(E$9*SQRT($C$11)*NORMSINV($B191)+SQRT(1-E$9^2*$C$11)*NORMSINV(D191))*(E$7-E$5)*(E$6-E$5)),E$7-SQRT((1-NORMSDIST(E$9*SQRT($C$11)*NORMSINV($B191)+SQRT(1-E$9^2*$C$11)*NORMSINV(D191)))*(E$7-E$5)*(E$7-E$6))))</f>
        <v>0.0549137992183653</v>
      </c>
      <c r="F191" s="2" t="n">
        <v>0.641300591</v>
      </c>
      <c r="G191" s="2" t="n">
        <f aca="false">IF(G$7=G$5,G$6,IF(NORMSDIST(G$9*SQRT($C$11)*NORMSINV($B191)+SQRT(1-G$9^2*$C$11)*NORMSINV(F191))&lt;G$8,G$5+SQRT(NORMSDIST(G$9*SQRT($C$11)*NORMSINV($B191)+SQRT(1-G$9^2*$C$11)*NORMSINV(F191))*(G$7-G$5)*(G$6-G$5)),G$7-SQRT((1-NORMSDIST(G$9*SQRT($C$11)*NORMSINV($B191)+SQRT(1-G$9^2*$C$11)*NORMSINV(F191)))*(G$7-G$5)*(G$7-G$6))))</f>
        <v>0.0570363618682306</v>
      </c>
      <c r="H191" s="2" t="n">
        <v>0.049024196</v>
      </c>
      <c r="I191" s="2" t="n">
        <f aca="false">IF(I$7=I$5,I$6,IF(NORMSDIST(I$9*SQRT($C$11)*NORMSINV($B191)+SQRT(1-I$9^2*$C$11)*NORMSINV(H191))&lt;I$8,I$5+SQRT(NORMSDIST(I$9*SQRT($C$11)*NORMSINV($B191)+SQRT(1-I$9^2*$C$11)*NORMSINV(H191))*(I$7-I$5)*(I$6-I$5)),I$7-SQRT((1-NORMSDIST(I$9*SQRT($C$11)*NORMSINV($B191)+SQRT(1-I$9^2*$C$11)*NORMSINV(H191)))*(I$7-I$5)*(I$7-I$6))))</f>
        <v>189.280025245127</v>
      </c>
      <c r="J191" s="2" t="n">
        <v>0.003959586</v>
      </c>
      <c r="K191" s="2" t="n">
        <f aca="false">IF(K$7=K$5,K$6,IF(NORMSDIST(K$9*SQRT($C$11)*NORMSINV($B191)+SQRT(1-K$9^2*$C$11)*NORMSINV(J191))&lt;K$8,K$5+SQRT(NORMSDIST(K$9*SQRT($C$11)*NORMSINV($B191)+SQRT(1-K$9^2*$C$11)*NORMSINV(J191))*(K$7-K$5)*(K$6-K$5)),K$7-SQRT((1-NORMSDIST(K$9*SQRT($C$11)*NORMSINV($B191)+SQRT(1-K$9^2*$C$11)*NORMSINV(J191)))*(K$7-K$5)*(K$7-K$6))))</f>
        <v>0.0524095513675631</v>
      </c>
      <c r="L191" s="2" t="n">
        <v>0.587580034</v>
      </c>
      <c r="M191" s="2" t="n">
        <f aca="false">IF(M$7=M$5,M$6,IF(NORMSDIST(M$9*SQRT($C$11)*NORMSINV($B191)+SQRT(1-M$9^2*$C$11)*NORMSINV(L191))&lt;M$8,M$5+SQRT(NORMSDIST(M$9*SQRT($C$11)*NORMSINV($B191)+SQRT(1-M$9^2*$C$11)*NORMSINV(L191))*(M$7-M$5)*(M$6-M$5)),M$7-SQRT((1-NORMSDIST(M$9*SQRT($C$11)*NORMSINV($B191)+SQRT(1-M$9^2*$C$11)*NORMSINV(L191)))*(M$7-M$5)*(M$7-M$6))))</f>
        <v>1608.30044938671</v>
      </c>
      <c r="N191" s="2" t="n">
        <v>0.886718031</v>
      </c>
      <c r="O191" s="2" t="n">
        <f aca="false">IF(O$7=O$5,O$6,IF(NORMSDIST(O$9*SQRT($C$11)*NORMSINV($B191)+SQRT(1-O$9^2*$C$11)*NORMSINV(N191))&lt;O$8,O$5+SQRT(NORMSDIST(O$9*SQRT($C$11)*NORMSINV($B191)+SQRT(1-O$9^2*$C$11)*NORMSINV(N191))*(O$7-O$5)*(O$6-O$5)),O$7-SQRT((1-NORMSDIST(O$9*SQRT($C$11)*NORMSINV($B191)+SQRT(1-O$9^2*$C$11)*NORMSINV(N191)))*(O$7-O$5)*(O$7-O$6))))</f>
        <v>0.176791845715356</v>
      </c>
      <c r="P191" s="2" t="n">
        <v>0.927427224</v>
      </c>
      <c r="Q191" s="2" t="n">
        <f aca="false">IF(Q$7=Q$5,Q$6,IF(NORMSDIST(Q$9*SQRT($C$11)*NORMSINV($B191)+SQRT(1-Q$9^2*$C$11)*NORMSINV(P191))&lt;Q$8,Q$5+SQRT(NORMSDIST(Q$9*SQRT($C$11)*NORMSINV($B191)+SQRT(1-Q$9^2*$C$11)*NORMSINV(P191))*(Q$7-Q$5)*(Q$6-Q$5)),Q$7-SQRT((1-NORMSDIST(Q$9*SQRT($C$11)*NORMSINV($B191)+SQRT(1-Q$9^2*$C$11)*NORMSINV(P191)))*(Q$7-Q$5)*(Q$7-Q$6))))</f>
        <v>0.104760810940211</v>
      </c>
      <c r="R191" s="2" t="n">
        <v>0.294518452</v>
      </c>
      <c r="S191" s="2" t="n">
        <f aca="false">IF(S$7=S$5,S$6,IF(NORMSDIST(S$9*SQRT($C$11)*NORMSINV($B191)+SQRT(1-S$9^2*$C$11)*NORMSINV(R191))&lt;S$8,S$5+SQRT(NORMSDIST(S$9*SQRT($C$11)*NORMSINV($B191)+SQRT(1-S$9^2*$C$11)*NORMSINV(R191))*(S$7-S$5)*(S$6-S$5)),S$7-SQRT((1-NORMSDIST(S$9*SQRT($C$11)*NORMSINV($B191)+SQRT(1-S$9^2*$C$11)*NORMSINV(R191)))*(S$7-S$5)*(S$7-S$6))))</f>
        <v>0.420367887134365</v>
      </c>
      <c r="T191" s="2" t="n">
        <v>0.244186159</v>
      </c>
      <c r="U191" s="2" t="n">
        <f aca="false">IF(U$7=U$5,U$6,IF(NORMSDIST(U$9*SQRT($C$11)*NORMSINV($B191)+SQRT(1-U$9^2*$C$11)*NORMSINV(T191))&lt;U$8,U$5+SQRT(NORMSDIST(U$9*SQRT($C$11)*NORMSINV($B191)+SQRT(1-U$9^2*$C$11)*NORMSINV(T191))*(U$7-U$5)*(U$6-U$5)),U$7-SQRT((1-NORMSDIST(U$9*SQRT($C$11)*NORMSINV($B191)+SQRT(1-U$9^2*$C$11)*NORMSINV(T191)))*(U$7-U$5)*(U$7-U$6))))</f>
        <v>0.394033374126893</v>
      </c>
      <c r="V191" s="2" t="n">
        <v>0.122956228</v>
      </c>
      <c r="W191" s="2" t="n">
        <f aca="false">IF(W$7=W$5,W$6,IF(NORMSDIST(W$9*SQRT($C$11)*NORMSINV($B191)+SQRT(1-W$9^2*$C$11)*NORMSINV(V191))&lt;W$8,W$5+SQRT(NORMSDIST(W$9*SQRT($C$11)*NORMSINV($B191)+SQRT(1-W$9^2*$C$11)*NORMSINV(V191))*(W$7-W$5)*(W$6-W$5)),W$7-SQRT((1-NORMSDIST(W$9*SQRT($C$11)*NORMSINV($B191)+SQRT(1-W$9^2*$C$11)*NORMSINV(V191)))*(W$7-W$5)*(W$7-W$6))))</f>
        <v>9.25180803773044</v>
      </c>
      <c r="X191" s="2" t="n">
        <v>0.543929859</v>
      </c>
      <c r="Y191" s="2" t="n">
        <f aca="false">IF(Y$7=Y$5,Y$6,IF(NORMSDIST(Y$9*SQRT($C$11)*NORMSINV($B191)+SQRT(1-Y$9^2*$C$11)*NORMSINV(X191))&lt;Y$8,Y$5+SQRT(NORMSDIST(Y$9*SQRT($C$11)*NORMSINV($B191)+SQRT(1-Y$9^2*$C$11)*NORMSINV(X191))*(Y$7-Y$5)*(Y$6-Y$5)),Y$7-SQRT((1-NORMSDIST(Y$9*SQRT($C$11)*NORMSINV($B191)+SQRT(1-Y$9^2*$C$11)*NORMSINV(X191)))*(Y$7-Y$5)*(Y$7-Y$6))))</f>
        <v>0.522469822419567</v>
      </c>
      <c r="Z191" s="2" t="n">
        <v>0.847197866</v>
      </c>
      <c r="AA191" s="2" t="n">
        <f aca="false">IF(AA$7=AA$5,AA$6,IF(NORMSDIST(AA$9*SQRT($C$11)*NORMSINV($B191)+SQRT(1-AA$9^2*$C$11)*NORMSINV(Z191))&lt;AA$8,AA$5+SQRT(NORMSDIST(AA$9*SQRT($C$11)*NORMSINV($B191)+SQRT(1-AA$9^2*$C$11)*NORMSINV(Z191))*(AA$7-AA$5)*(AA$6-AA$5)),AA$7-SQRT((1-NORMSDIST(AA$9*SQRT($C$11)*NORMSINV($B191)+SQRT(1-AA$9^2*$C$11)*NORMSINV(Z191)))*(AA$7-AA$5)*(AA$7-AA$6))))</f>
        <v>0.737772876734535</v>
      </c>
      <c r="AB191" s="2" t="n">
        <v>0.238453059</v>
      </c>
      <c r="AC191" s="2" t="n">
        <f aca="false">IF(AC$7=AC$5,AC$6,IF(NORMSDIST(AC$9*SQRT($C$11)*NORMSINV($B191)+SQRT(1-AC$9^2*$C$11)*NORMSINV(AB191))&lt;AC$8,AC$5+SQRT(NORMSDIST(AC$9*SQRT($C$11)*NORMSINV($B191)+SQRT(1-AC$9^2*$C$11)*NORMSINV(AB191))*(AC$7-AC$5)*(AC$6-AC$5)),AC$7-SQRT((1-NORMSDIST(AC$9*SQRT($C$11)*NORMSINV($B191)+SQRT(1-AC$9^2*$C$11)*NORMSINV(AB191)))*(AC$7-AC$5)*(AC$7-AC$6))))</f>
        <v>9.0246970198974</v>
      </c>
      <c r="AD191" s="2" t="n">
        <f aca="false">Entrées!$C$8*(1+E191)</f>
        <v>7437.14228448948</v>
      </c>
      <c r="AE191" s="2" t="n">
        <f aca="false">I191*Hypothèses!$J$24/12/Hypothèses!$J$19</f>
        <v>93.9012147098191</v>
      </c>
      <c r="AF191" s="2" t="n">
        <f aca="false">Entrées!$C$36*S191*1000</f>
        <v>210.183943567182</v>
      </c>
      <c r="AG191" s="2" t="n">
        <f aca="false">-AF191/W191</f>
        <v>-22.7181479241697</v>
      </c>
      <c r="AH191" s="2" t="n">
        <f aca="false">AD191+AE191+AG191</f>
        <v>7508.32535127512</v>
      </c>
      <c r="AI191" s="2" t="n">
        <f aca="false">Entrées!$C$16-M191+Hypothèses!$J$22*1000-AF191+Hypothèses!$J$23</f>
        <v>22729.5156070461</v>
      </c>
      <c r="AJ191" s="2" t="n">
        <f aca="false">AI191/AH191</f>
        <v>3.02724170086556</v>
      </c>
      <c r="AK191" s="2" t="n">
        <f aca="false">AI191/(AH191+I191*(12-Hypothèses!$J$24)/12/Hypothèses!$J$19)</f>
        <v>3.00043861256022</v>
      </c>
      <c r="AL191" s="2" t="n">
        <f aca="false">(AD191+AG191+I191/Hypothèses!$J$19)*(1+G191)</f>
        <v>8007.47076901477</v>
      </c>
      <c r="AM191" s="2" t="n">
        <f aca="false">Entrées!$C$54*K191/Hypothèses!$J$19</f>
        <v>5.34861477054582</v>
      </c>
      <c r="AN191" s="2" t="n">
        <f aca="false">Y191*1000/AC191</f>
        <v>57.8933366148072</v>
      </c>
      <c r="AO191" s="2" t="n">
        <f aca="false">(Entrées!$C$36*(1-S191)+MAX(0,Entrées!$C$30-Entrées!$C$35-Entrées!$C$36)*U191)*1000</f>
        <v>841.462780210467</v>
      </c>
      <c r="AP191" s="2" t="n">
        <f aca="false">-AO191/W191</f>
        <v>-90.9511715741225</v>
      </c>
      <c r="AQ191" s="2" t="n">
        <f aca="false">AL191+AM191+AN191+AP191</f>
        <v>7979.761548826</v>
      </c>
      <c r="AR191" s="2" t="n">
        <f aca="false">O191*AQ191-Hypothèses!$J$25/Hypothèses!$J$19</f>
        <v>1391.62161032375</v>
      </c>
      <c r="AS191" s="2" t="n">
        <f aca="false">Entrées!$C$79*(1+Q191)+Hypothèses!$J$20</f>
        <v>1509.13213122329</v>
      </c>
      <c r="AT191" s="2" t="n">
        <f aca="false">AI191-AR191+AS191+Y191*1000-AO191+Hypothèses!$J$23</f>
        <v>22528.0331701547</v>
      </c>
      <c r="AU191" s="2" t="n">
        <f aca="false">AT191/AQ191</f>
        <v>2.82314615948256</v>
      </c>
      <c r="AV191" s="2" t="n">
        <f aca="false">Hypothèses!$J$26*AQ191-AT191</f>
        <v>1411.25147632327</v>
      </c>
      <c r="AW191" s="2" t="n">
        <f aca="false">IF(AC191&gt;Hypothèses!$J$26,MAX(0,AV191)/(1-Hypothèses!$J$26/AC191),0)</f>
        <v>2113.98464530874</v>
      </c>
      <c r="AX191" s="2" t="n">
        <f aca="false">AQ191-Entrées!$C$17*1000</f>
        <v>-20.2384511739965</v>
      </c>
      <c r="AY191" s="2" t="n">
        <f aca="false">AI191+(Entrées!$C$244-Entrées!$C$13)</f>
        <v>28476.5156070461</v>
      </c>
      <c r="AZ191" s="2" t="n">
        <f aca="false">AA191*AH191</f>
        <v>5539.43879386909</v>
      </c>
      <c r="BA191" s="2" t="n">
        <f aca="false">AZ191/AY191</f>
        <v>0.194526566041613</v>
      </c>
      <c r="BB191" s="2" t="n">
        <f aca="false">AZ191/(Entrées!$C$151/100)-AY191</f>
        <v>2298.14435889327</v>
      </c>
      <c r="BC191" s="2" t="n">
        <f aca="false">AT191+(Entrées!$C$244-Entrées!$C$13)</f>
        <v>28275.0331701547</v>
      </c>
      <c r="BD191" s="2" t="n">
        <f aca="false">AA191*AQ191</f>
        <v>5887.25163353299</v>
      </c>
      <c r="BE191" s="2" t="n">
        <f aca="false">BD191/BC191</f>
        <v>0.208213783450029</v>
      </c>
      <c r="BF191" s="2" t="n">
        <f aca="false">BD191/(Entrées!$C$151/100)-BC191</f>
        <v>4431.92034947298</v>
      </c>
      <c r="BG191" s="2" t="n">
        <f aca="false">MIN(AV191,BF191)</f>
        <v>1411.25147632327</v>
      </c>
      <c r="BH191" s="2" t="n">
        <f aca="false">IF(AC191&gt;Hypothèses!$J$26,MAX(0,BG191)/(1-Hypothèses!$J$26/AC191),0)</f>
        <v>2113.98464530874</v>
      </c>
    </row>
    <row r="192" customFormat="false" ht="15" hidden="false" customHeight="false" outlineLevel="0" collapsed="false">
      <c r="A192" s="2" t="n">
        <v>177</v>
      </c>
      <c r="B192" s="2" t="n">
        <v>0.254065456</v>
      </c>
      <c r="C192" s="2"/>
      <c r="D192" s="2" t="n">
        <v>0.507651102</v>
      </c>
      <c r="E192" s="2" t="n">
        <f aca="false">IF(E$7=E$5,E$6,IF(NORMSDIST(E$9*SQRT($C$11)*NORMSINV($B192)+SQRT(1-E$9^2*$C$11)*NORMSINV(D192))&lt;E$8,E$5+SQRT(NORMSDIST(E$9*SQRT($C$11)*NORMSINV($B192)+SQRT(1-E$9^2*$C$11)*NORMSINV(D192))*(E$7-E$5)*(E$6-E$5)),E$7-SQRT((1-NORMSDIST(E$9*SQRT($C$11)*NORMSINV($B192)+SQRT(1-E$9^2*$C$11)*NORMSINV(D192)))*(E$7-E$5)*(E$7-E$6))))</f>
        <v>0.05414262689424</v>
      </c>
      <c r="F192" s="2" t="n">
        <v>0.409551423</v>
      </c>
      <c r="G192" s="2" t="n">
        <f aca="false">IF(G$7=G$5,G$6,IF(NORMSDIST(G$9*SQRT($C$11)*NORMSINV($B192)+SQRT(1-G$9^2*$C$11)*NORMSINV(F192))&lt;G$8,G$5+SQRT(NORMSDIST(G$9*SQRT($C$11)*NORMSINV($B192)+SQRT(1-G$9^2*$C$11)*NORMSINV(F192))*(G$7-G$5)*(G$6-G$5)),G$7-SQRT((1-NORMSDIST(G$9*SQRT($C$11)*NORMSINV($B192)+SQRT(1-G$9^2*$C$11)*NORMSINV(F192)))*(G$7-G$5)*(G$7-G$6))))</f>
        <v>0.0511383529599139</v>
      </c>
      <c r="H192" s="2" t="n">
        <v>0.532768345</v>
      </c>
      <c r="I192" s="2" t="n">
        <f aca="false">IF(I$7=I$5,I$6,IF(NORMSDIST(I$9*SQRT($C$11)*NORMSINV($B192)+SQRT(1-I$9^2*$C$11)*NORMSINV(H192))&lt;I$8,I$5+SQRT(NORMSDIST(I$9*SQRT($C$11)*NORMSINV($B192)+SQRT(1-I$9^2*$C$11)*NORMSINV(H192))*(I$7-I$5)*(I$6-I$5)),I$7-SQRT((1-NORMSDIST(I$9*SQRT($C$11)*NORMSINV($B192)+SQRT(1-I$9^2*$C$11)*NORMSINV(H192)))*(I$7-I$5)*(I$7-I$6))))</f>
        <v>197.002530988307</v>
      </c>
      <c r="J192" s="2" t="n">
        <v>0.753112696</v>
      </c>
      <c r="K192" s="2" t="n">
        <f aca="false">IF(K$7=K$5,K$6,IF(NORMSDIST(K$9*SQRT($C$11)*NORMSINV($B192)+SQRT(1-K$9^2*$C$11)*NORMSINV(J192))&lt;K$8,K$5+SQRT(NORMSDIST(K$9*SQRT($C$11)*NORMSINV($B192)+SQRT(1-K$9^2*$C$11)*NORMSINV(J192))*(K$7-K$5)*(K$6-K$5)),K$7-SQRT((1-NORMSDIST(K$9*SQRT($C$11)*NORMSINV($B192)+SQRT(1-K$9^2*$C$11)*NORMSINV(J192)))*(K$7-K$5)*(K$7-K$6))))</f>
        <v>0.261359787461795</v>
      </c>
      <c r="L192" s="2" t="n">
        <v>0.787981937</v>
      </c>
      <c r="M192" s="2" t="n">
        <f aca="false">IF(M$7=M$5,M$6,IF(NORMSDIST(M$9*SQRT($C$11)*NORMSINV($B192)+SQRT(1-M$9^2*$C$11)*NORMSINV(L192))&lt;M$8,M$5+SQRT(NORMSDIST(M$9*SQRT($C$11)*NORMSINV($B192)+SQRT(1-M$9^2*$C$11)*NORMSINV(L192))*(M$7-M$5)*(M$6-M$5)),M$7-SQRT((1-NORMSDIST(M$9*SQRT($C$11)*NORMSINV($B192)+SQRT(1-M$9^2*$C$11)*NORMSINV(L192)))*(M$7-M$5)*(M$7-M$6))))</f>
        <v>1606.965241113</v>
      </c>
      <c r="N192" s="2" t="n">
        <v>0.31087753</v>
      </c>
      <c r="O192" s="2" t="n">
        <f aca="false">IF(O$7=O$5,O$6,IF(NORMSDIST(O$9*SQRT($C$11)*NORMSINV($B192)+SQRT(1-O$9^2*$C$11)*NORMSINV(N192))&lt;O$8,O$5+SQRT(NORMSDIST(O$9*SQRT($C$11)*NORMSINV($B192)+SQRT(1-O$9^2*$C$11)*NORMSINV(N192))*(O$7-O$5)*(O$6-O$5)),O$7-SQRT((1-NORMSDIST(O$9*SQRT($C$11)*NORMSINV($B192)+SQRT(1-O$9^2*$C$11)*NORMSINV(N192)))*(O$7-O$5)*(O$7-O$6))))</f>
        <v>0.157426667056171</v>
      </c>
      <c r="P192" s="2" t="n">
        <v>0.218832918</v>
      </c>
      <c r="Q192" s="2" t="n">
        <f aca="false">IF(Q$7=Q$5,Q$6,IF(NORMSDIST(Q$9*SQRT($C$11)*NORMSINV($B192)+SQRT(1-Q$9^2*$C$11)*NORMSINV(P192))&lt;Q$8,Q$5+SQRT(NORMSDIST(Q$9*SQRT($C$11)*NORMSINV($B192)+SQRT(1-Q$9^2*$C$11)*NORMSINV(P192))*(Q$7-Q$5)*(Q$6-Q$5)),Q$7-SQRT((1-NORMSDIST(Q$9*SQRT($C$11)*NORMSINV($B192)+SQRT(1-Q$9^2*$C$11)*NORMSINV(P192)))*(Q$7-Q$5)*(Q$7-Q$6))))</f>
        <v>0.066462527044861</v>
      </c>
      <c r="R192" s="2" t="n">
        <v>0.039587579</v>
      </c>
      <c r="S192" s="2" t="n">
        <f aca="false">IF(S$7=S$5,S$6,IF(NORMSDIST(S$9*SQRT($C$11)*NORMSINV($B192)+SQRT(1-S$9^2*$C$11)*NORMSINV(R192))&lt;S$8,S$5+SQRT(NORMSDIST(S$9*SQRT($C$11)*NORMSINV($B192)+SQRT(1-S$9^2*$C$11)*NORMSINV(R192))*(S$7-S$5)*(S$6-S$5)),S$7-SQRT((1-NORMSDIST(S$9*SQRT($C$11)*NORMSINV($B192)+SQRT(1-S$9^2*$C$11)*NORMSINV(R192)))*(S$7-S$5)*(S$7-S$6))))</f>
        <v>0.137250015397751</v>
      </c>
      <c r="T192" s="2" t="n">
        <v>0.750429104</v>
      </c>
      <c r="U192" s="2" t="n">
        <f aca="false">IF(U$7=U$5,U$6,IF(NORMSDIST(U$9*SQRT($C$11)*NORMSINV($B192)+SQRT(1-U$9^2*$C$11)*NORMSINV(T192))&lt;U$8,U$5+SQRT(NORMSDIST(U$9*SQRT($C$11)*NORMSINV($B192)+SQRT(1-U$9^2*$C$11)*NORMSINV(T192))*(U$7-U$5)*(U$6-U$5)),U$7-SQRT((1-NORMSDIST(U$9*SQRT($C$11)*NORMSINV($B192)+SQRT(1-U$9^2*$C$11)*NORMSINV(T192)))*(U$7-U$5)*(U$7-U$6))))</f>
        <v>0.521357420241999</v>
      </c>
      <c r="V192" s="2" t="n">
        <v>0.604366108</v>
      </c>
      <c r="W192" s="2" t="n">
        <f aca="false">IF(W$7=W$5,W$6,IF(NORMSDIST(W$9*SQRT($C$11)*NORMSINV($B192)+SQRT(1-W$9^2*$C$11)*NORMSINV(V192))&lt;W$8,W$5+SQRT(NORMSDIST(W$9*SQRT($C$11)*NORMSINV($B192)+SQRT(1-W$9^2*$C$11)*NORMSINV(V192))*(W$7-W$5)*(W$6-W$5)),W$7-SQRT((1-NORMSDIST(W$9*SQRT($C$11)*NORMSINV($B192)+SQRT(1-W$9^2*$C$11)*NORMSINV(V192)))*(W$7-W$5)*(W$7-W$6))))</f>
        <v>9.82309813588682</v>
      </c>
      <c r="X192" s="2" t="n">
        <v>0.244261903</v>
      </c>
      <c r="Y192" s="2" t="n">
        <f aca="false">IF(Y$7=Y$5,Y$6,IF(NORMSDIST(Y$9*SQRT($C$11)*NORMSINV($B192)+SQRT(1-Y$9^2*$C$11)*NORMSINV(X192))&lt;Y$8,Y$5+SQRT(NORMSDIST(Y$9*SQRT($C$11)*NORMSINV($B192)+SQRT(1-Y$9^2*$C$11)*NORMSINV(X192))*(Y$7-Y$5)*(Y$6-Y$5)),Y$7-SQRT((1-NORMSDIST(Y$9*SQRT($C$11)*NORMSINV($B192)+SQRT(1-Y$9^2*$C$11)*NORMSINV(X192)))*(Y$7-Y$5)*(Y$7-Y$6))))</f>
        <v>0.349472390182687</v>
      </c>
      <c r="Z192" s="2" t="n">
        <v>0.410727779</v>
      </c>
      <c r="AA192" s="2" t="n">
        <f aca="false">IF(AA$7=AA$5,AA$6,IF(NORMSDIST(AA$9*SQRT($C$11)*NORMSINV($B192)+SQRT(1-AA$9^2*$C$11)*NORMSINV(Z192))&lt;AA$8,AA$5+SQRT(NORMSDIST(AA$9*SQRT($C$11)*NORMSINV($B192)+SQRT(1-AA$9^2*$C$11)*NORMSINV(Z192))*(AA$7-AA$5)*(AA$6-AA$5)),AA$7-SQRT((1-NORMSDIST(AA$9*SQRT($C$11)*NORMSINV($B192)+SQRT(1-AA$9^2*$C$11)*NORMSINV(Z192)))*(AA$7-AA$5)*(AA$7-AA$6))))</f>
        <v>0.719659205667825</v>
      </c>
      <c r="AB192" s="2" t="n">
        <v>0.31948525</v>
      </c>
      <c r="AC192" s="2" t="n">
        <f aca="false">IF(AC$7=AC$5,AC$6,IF(NORMSDIST(AC$9*SQRT($C$11)*NORMSINV($B192)+SQRT(1-AC$9^2*$C$11)*NORMSINV(AB192))&lt;AC$8,AC$5+SQRT(NORMSDIST(AC$9*SQRT($C$11)*NORMSINV($B192)+SQRT(1-AC$9^2*$C$11)*NORMSINV(AB192))*(AC$7-AC$5)*(AC$6-AC$5)),AC$7-SQRT((1-NORMSDIST(AC$9*SQRT($C$11)*NORMSINV($B192)+SQRT(1-AC$9^2*$C$11)*NORMSINV(AB192)))*(AC$7-AC$5)*(AC$7-AC$6))))</f>
        <v>8.76967400488758</v>
      </c>
      <c r="AD192" s="2" t="n">
        <f aca="false">Entrées!$C$8*(1+E192)</f>
        <v>7431.70551960439</v>
      </c>
      <c r="AE192" s="2" t="n">
        <f aca="false">I192*Hypothèses!$J$24/12/Hypothèses!$J$19</f>
        <v>97.7323250921694</v>
      </c>
      <c r="AF192" s="2" t="n">
        <f aca="false">Entrées!$C$36*S192*1000</f>
        <v>68.6250076988754</v>
      </c>
      <c r="AG192" s="2" t="n">
        <f aca="false">-AF192/W192</f>
        <v>-6.98608593231569</v>
      </c>
      <c r="AH192" s="2" t="n">
        <f aca="false">AD192+AE192+AG192</f>
        <v>7522.45175876425</v>
      </c>
      <c r="AI192" s="2" t="n">
        <f aca="false">Entrées!$C$16-M192+Hypothèses!$J$22*1000-AF192+Hypothèses!$J$23</f>
        <v>22872.4097511881</v>
      </c>
      <c r="AJ192" s="2" t="n">
        <f aca="false">AI192/AH192</f>
        <v>3.04055253322695</v>
      </c>
      <c r="AK192" s="2" t="n">
        <f aca="false">AI192/(AH192+I192*(12-Hypothèses!$J$24)/12/Hypothèses!$J$19)</f>
        <v>3.01259546655408</v>
      </c>
      <c r="AL192" s="2" t="n">
        <f aca="false">(AD192+AG192+I192/Hypothèses!$J$19)*(1+G192)</f>
        <v>7980.51626280523</v>
      </c>
      <c r="AM192" s="2" t="n">
        <f aca="false">Entrées!$C$54*K192/Hypothèses!$J$19</f>
        <v>26.6728636893094</v>
      </c>
      <c r="AN192" s="2" t="n">
        <f aca="false">Y192*1000/AC192</f>
        <v>39.8501004698597</v>
      </c>
      <c r="AO192" s="2" t="n">
        <f aca="false">(Entrées!$C$36*(1-S192)+MAX(0,Entrées!$C$30-Entrées!$C$35-Entrées!$C$36)*U192)*1000</f>
        <v>1161.27538063992</v>
      </c>
      <c r="AP192" s="2" t="n">
        <f aca="false">-AO192/W192</f>
        <v>-118.218851585878</v>
      </c>
      <c r="AQ192" s="2" t="n">
        <f aca="false">AL192+AM192+AN192+AP192</f>
        <v>7928.82037537852</v>
      </c>
      <c r="AR192" s="2" t="n">
        <f aca="false">O192*AQ192-Hypothèses!$J$25/Hypothèses!$J$19</f>
        <v>1229.07260312127</v>
      </c>
      <c r="AS192" s="2" t="n">
        <f aca="false">Entrées!$C$79*(1+Q192)+Hypothèses!$J$20</f>
        <v>1467.0423172223</v>
      </c>
      <c r="AT192" s="2" t="n">
        <f aca="false">AI192-AR192+AS192+Y192*1000-AO192+Hypothèses!$J$23</f>
        <v>22298.5764748319</v>
      </c>
      <c r="AU192" s="2" t="n">
        <f aca="false">AT192/AQ192</f>
        <v>2.8123447649383</v>
      </c>
      <c r="AV192" s="2" t="n">
        <f aca="false">Hypothèses!$J$26*AQ192-AT192</f>
        <v>1487.88465130365</v>
      </c>
      <c r="AW192" s="2" t="n">
        <f aca="false">IF(AC192&gt;Hypothèses!$J$26,MAX(0,AV192)/(1-Hypothèses!$J$26/AC192),0)</f>
        <v>2261.52523309904</v>
      </c>
      <c r="AX192" s="2" t="n">
        <f aca="false">AQ192-Entrées!$C$17*1000</f>
        <v>-71.1796246214772</v>
      </c>
      <c r="AY192" s="2" t="n">
        <f aca="false">AI192+(Entrées!$C$244-Entrées!$C$13)</f>
        <v>28619.4097511881</v>
      </c>
      <c r="AZ192" s="2" t="n">
        <f aca="false">AA192*AH192</f>
        <v>5413.60165738681</v>
      </c>
      <c r="BA192" s="2" t="n">
        <f aca="false">AZ192/AY192</f>
        <v>0.189158396502642</v>
      </c>
      <c r="BB192" s="2" t="n">
        <f aca="false">AZ192/(Entrées!$C$151/100)-AY192</f>
        <v>1456.15501207192</v>
      </c>
      <c r="BC192" s="2" t="n">
        <f aca="false">AT192+(Entrées!$C$244-Entrées!$C$13)</f>
        <v>28045.5764748319</v>
      </c>
      <c r="BD192" s="2" t="n">
        <f aca="false">AA192*AQ192</f>
        <v>5706.04857322777</v>
      </c>
      <c r="BE192" s="2" t="n">
        <f aca="false">BD192/BC192</f>
        <v>0.203456276905143</v>
      </c>
      <c r="BF192" s="2" t="n">
        <f aca="false">BD192/(Entrées!$C$151/100)-BC192</f>
        <v>3654.69337643348</v>
      </c>
      <c r="BG192" s="2" t="n">
        <f aca="false">MIN(AV192,BF192)</f>
        <v>1487.88465130365</v>
      </c>
      <c r="BH192" s="2" t="n">
        <f aca="false">IF(AC192&gt;Hypothèses!$J$26,MAX(0,BG192)/(1-Hypothèses!$J$26/AC192),0)</f>
        <v>2261.52523309904</v>
      </c>
    </row>
    <row r="193" customFormat="false" ht="15" hidden="false" customHeight="false" outlineLevel="0" collapsed="false">
      <c r="A193" s="2" t="n">
        <v>178</v>
      </c>
      <c r="B193" s="2" t="n">
        <v>0.517271964</v>
      </c>
      <c r="C193" s="2"/>
      <c r="D193" s="2" t="n">
        <v>0.497780402</v>
      </c>
      <c r="E193" s="2" t="n">
        <f aca="false">IF(E$7=E$5,E$6,IF(NORMSDIST(E$9*SQRT($C$11)*NORMSINV($B193)+SQRT(1-E$9^2*$C$11)*NORMSINV(D193))&lt;E$8,E$5+SQRT(NORMSDIST(E$9*SQRT($C$11)*NORMSINV($B193)+SQRT(1-E$9^2*$C$11)*NORMSINV(D193))*(E$7-E$5)*(E$6-E$5)),E$7-SQRT((1-NORMSDIST(E$9*SQRT($C$11)*NORMSINV($B193)+SQRT(1-E$9^2*$C$11)*NORMSINV(D193)))*(E$7-E$5)*(E$7-E$6))))</f>
        <v>0.0550462491203824</v>
      </c>
      <c r="F193" s="2" t="n">
        <v>0.999726977</v>
      </c>
      <c r="G193" s="2" t="n">
        <f aca="false">IF(G$7=G$5,G$6,IF(NORMSDIST(G$9*SQRT($C$11)*NORMSINV($B193)+SQRT(1-G$9^2*$C$11)*NORMSINV(F193))&lt;G$8,G$5+SQRT(NORMSDIST(G$9*SQRT($C$11)*NORMSINV($B193)+SQRT(1-G$9^2*$C$11)*NORMSINV(F193))*(G$7-G$5)*(G$6-G$5)),G$7-SQRT((1-NORMSDIST(G$9*SQRT($C$11)*NORMSINV($B193)+SQRT(1-G$9^2*$C$11)*NORMSINV(F193)))*(G$7-G$5)*(G$7-G$6))))</f>
        <v>0.0687607495689178</v>
      </c>
      <c r="H193" s="2" t="n">
        <v>0.394336251</v>
      </c>
      <c r="I193" s="2" t="n">
        <f aca="false">IF(I$7=I$5,I$6,IF(NORMSDIST(I$9*SQRT($C$11)*NORMSINV($B193)+SQRT(1-I$9^2*$C$11)*NORMSINV(H193))&lt;I$8,I$5+SQRT(NORMSDIST(I$9*SQRT($C$11)*NORMSINV($B193)+SQRT(1-I$9^2*$C$11)*NORMSINV(H193))*(I$7-I$5)*(I$6-I$5)),I$7-SQRT((1-NORMSDIST(I$9*SQRT($C$11)*NORMSINV($B193)+SQRT(1-I$9^2*$C$11)*NORMSINV(H193)))*(I$7-I$5)*(I$7-I$6))))</f>
        <v>198.514568768279</v>
      </c>
      <c r="J193" s="2" t="n">
        <v>0.264697913</v>
      </c>
      <c r="K193" s="2" t="n">
        <f aca="false">IF(K$7=K$5,K$6,IF(NORMSDIST(K$9*SQRT($C$11)*NORMSINV($B193)+SQRT(1-K$9^2*$C$11)*NORMSINV(J193))&lt;K$8,K$5+SQRT(NORMSDIST(K$9*SQRT($C$11)*NORMSINV($B193)+SQRT(1-K$9^2*$C$11)*NORMSINV(J193))*(K$7-K$5)*(K$6-K$5)),K$7-SQRT((1-NORMSDIST(K$9*SQRT($C$11)*NORMSINV($B193)+SQRT(1-K$9^2*$C$11)*NORMSINV(J193)))*(K$7-K$5)*(K$7-K$6))))</f>
        <v>0.200885115856253</v>
      </c>
      <c r="L193" s="2" t="n">
        <v>0.105241904</v>
      </c>
      <c r="M193" s="2" t="n">
        <f aca="false">IF(M$7=M$5,M$6,IF(NORMSDIST(M$9*SQRT($C$11)*NORMSINV($B193)+SQRT(1-M$9^2*$C$11)*NORMSINV(L193))&lt;M$8,M$5+SQRT(NORMSDIST(M$9*SQRT($C$11)*NORMSINV($B193)+SQRT(1-M$9^2*$C$11)*NORMSINV(L193))*(M$7-M$5)*(M$6-M$5)),M$7-SQRT((1-NORMSDIST(M$9*SQRT($C$11)*NORMSINV($B193)+SQRT(1-M$9^2*$C$11)*NORMSINV(L193)))*(M$7-M$5)*(M$7-M$6))))</f>
        <v>1469.14030386255</v>
      </c>
      <c r="N193" s="2" t="n">
        <v>0.003188977</v>
      </c>
      <c r="O193" s="2" t="n">
        <f aca="false">IF(O$7=O$5,O$6,IF(NORMSDIST(O$9*SQRT($C$11)*NORMSINV($B193)+SQRT(1-O$9^2*$C$11)*NORMSINV(N193))&lt;O$8,O$5+SQRT(NORMSDIST(O$9*SQRT($C$11)*NORMSINV($B193)+SQRT(1-O$9^2*$C$11)*NORMSINV(N193))*(O$7-O$5)*(O$6-O$5)),O$7-SQRT((1-NORMSDIST(O$9*SQRT($C$11)*NORMSINV($B193)+SQRT(1-O$9^2*$C$11)*NORMSINV(N193)))*(O$7-O$5)*(O$7-O$6))))</f>
        <v>0.145153961335426</v>
      </c>
      <c r="P193" s="2" t="n">
        <v>0.63447968</v>
      </c>
      <c r="Q193" s="2" t="n">
        <f aca="false">IF(Q$7=Q$5,Q$6,IF(NORMSDIST(Q$9*SQRT($C$11)*NORMSINV($B193)+SQRT(1-Q$9^2*$C$11)*NORMSINV(P193))&lt;Q$8,Q$5+SQRT(NORMSDIST(Q$9*SQRT($C$11)*NORMSINV($B193)+SQRT(1-Q$9^2*$C$11)*NORMSINV(P193))*(Q$7-Q$5)*(Q$6-Q$5)),Q$7-SQRT((1-NORMSDIST(Q$9*SQRT($C$11)*NORMSINV($B193)+SQRT(1-Q$9^2*$C$11)*NORMSINV(P193)))*(Q$7-Q$5)*(Q$7-Q$6))))</f>
        <v>0.0857996341540036</v>
      </c>
      <c r="R193" s="2" t="n">
        <v>0.971575053</v>
      </c>
      <c r="S193" s="2" t="n">
        <f aca="false">IF(S$7=S$5,S$6,IF(NORMSDIST(S$9*SQRT($C$11)*NORMSINV($B193)+SQRT(1-S$9^2*$C$11)*NORMSINV(R193))&lt;S$8,S$5+SQRT(NORMSDIST(S$9*SQRT($C$11)*NORMSINV($B193)+SQRT(1-S$9^2*$C$11)*NORMSINV(R193))*(S$7-S$5)*(S$6-S$5)),S$7-SQRT((1-NORMSDIST(S$9*SQRT($C$11)*NORMSINV($B193)+SQRT(1-S$9^2*$C$11)*NORMSINV(R193)))*(S$7-S$5)*(S$7-S$6))))</f>
        <v>0.8176904481039</v>
      </c>
      <c r="T193" s="2" t="n">
        <v>0.426399698</v>
      </c>
      <c r="U193" s="2" t="n">
        <f aca="false">IF(U$7=U$5,U$6,IF(NORMSDIST(U$9*SQRT($C$11)*NORMSINV($B193)+SQRT(1-U$9^2*$C$11)*NORMSINV(T193))&lt;U$8,U$5+SQRT(NORMSDIST(U$9*SQRT($C$11)*NORMSINV($B193)+SQRT(1-U$9^2*$C$11)*NORMSINV(T193))*(U$7-U$5)*(U$6-U$5)),U$7-SQRT((1-NORMSDIST(U$9*SQRT($C$11)*NORMSINV($B193)+SQRT(1-U$9^2*$C$11)*NORMSINV(T193)))*(U$7-U$5)*(U$7-U$6))))</f>
        <v>0.476284460843252</v>
      </c>
      <c r="V193" s="2" t="n">
        <v>0.638084179</v>
      </c>
      <c r="W193" s="2" t="n">
        <f aca="false">IF(W$7=W$5,W$6,IF(NORMSDIST(W$9*SQRT($C$11)*NORMSINV($B193)+SQRT(1-W$9^2*$C$11)*NORMSINV(V193))&lt;W$8,W$5+SQRT(NORMSDIST(W$9*SQRT($C$11)*NORMSINV($B193)+SQRT(1-W$9^2*$C$11)*NORMSINV(V193))*(W$7-W$5)*(W$6-W$5)),W$7-SQRT((1-NORMSDIST(W$9*SQRT($C$11)*NORMSINV($B193)+SQRT(1-W$9^2*$C$11)*NORMSINV(V193)))*(W$7-W$5)*(W$7-W$6))))</f>
        <v>10.2526051895171</v>
      </c>
      <c r="X193" s="2" t="n">
        <v>0.738620962</v>
      </c>
      <c r="Y193" s="2" t="n">
        <f aca="false">IF(Y$7=Y$5,Y$6,IF(NORMSDIST(Y$9*SQRT($C$11)*NORMSINV($B193)+SQRT(1-Y$9^2*$C$11)*NORMSINV(X193))&lt;Y$8,Y$5+SQRT(NORMSDIST(Y$9*SQRT($C$11)*NORMSINV($B193)+SQRT(1-Y$9^2*$C$11)*NORMSINV(X193))*(Y$7-Y$5)*(Y$6-Y$5)),Y$7-SQRT((1-NORMSDIST(Y$9*SQRT($C$11)*NORMSINV($B193)+SQRT(1-Y$9^2*$C$11)*NORMSINV(X193)))*(Y$7-Y$5)*(Y$7-Y$6))))</f>
        <v>0.638489946197896</v>
      </c>
      <c r="Z193" s="2" t="n">
        <v>0.730352326</v>
      </c>
      <c r="AA193" s="2" t="n">
        <f aca="false">IF(AA$7=AA$5,AA$6,IF(NORMSDIST(AA$9*SQRT($C$11)*NORMSINV($B193)+SQRT(1-AA$9^2*$C$11)*NORMSINV(Z193))&lt;AA$8,AA$5+SQRT(NORMSDIST(AA$9*SQRT($C$11)*NORMSINV($B193)+SQRT(1-AA$9^2*$C$11)*NORMSINV(Z193))*(AA$7-AA$5)*(AA$6-AA$5)),AA$7-SQRT((1-NORMSDIST(AA$9*SQRT($C$11)*NORMSINV($B193)+SQRT(1-AA$9^2*$C$11)*NORMSINV(Z193)))*(AA$7-AA$5)*(AA$7-AA$6))))</f>
        <v>0.733988455130825</v>
      </c>
      <c r="AB193" s="2" t="n">
        <v>0.895182244</v>
      </c>
      <c r="AC193" s="2" t="n">
        <f aca="false">IF(AC$7=AC$5,AC$6,IF(NORMSDIST(AC$9*SQRT($C$11)*NORMSINV($B193)+SQRT(1-AC$9^2*$C$11)*NORMSINV(AB193))&lt;AC$8,AC$5+SQRT(NORMSDIST(AC$9*SQRT($C$11)*NORMSINV($B193)+SQRT(1-AC$9^2*$C$11)*NORMSINV(AB193))*(AC$7-AC$5)*(AC$6-AC$5)),AC$7-SQRT((1-NORMSDIST(AC$9*SQRT($C$11)*NORMSINV($B193)+SQRT(1-AC$9^2*$C$11)*NORMSINV(AB193)))*(AC$7-AC$5)*(AC$7-AC$6))))</f>
        <v>10.171595708003</v>
      </c>
      <c r="AD193" s="2" t="n">
        <f aca="false">Entrées!$C$8*(1+E193)</f>
        <v>7438.0760562987</v>
      </c>
      <c r="AE193" s="2" t="n">
        <f aca="false">I193*Hypothèses!$J$24/12/Hypothèses!$J$19</f>
        <v>98.4824421953484</v>
      </c>
      <c r="AF193" s="2" t="n">
        <f aca="false">Entrées!$C$36*S193*1000</f>
        <v>408.84522405195</v>
      </c>
      <c r="AG193" s="2" t="n">
        <f aca="false">-AF193/W193</f>
        <v>-39.8772035491994</v>
      </c>
      <c r="AH193" s="2" t="n">
        <f aca="false">AD193+AE193+AG193</f>
        <v>7496.68129494485</v>
      </c>
      <c r="AI193" s="2" t="n">
        <f aca="false">Entrées!$C$16-M193+Hypothèses!$J$22*1000-AF193+Hypothèses!$J$23</f>
        <v>22670.0144720855</v>
      </c>
      <c r="AJ193" s="2" t="n">
        <f aca="false">AI193/AH193</f>
        <v>3.02400670112151</v>
      </c>
      <c r="AK193" s="2" t="n">
        <f aca="false">AI193/(AH193+I193*(12-Hypothèses!$J$24)/12/Hypothèses!$J$19)</f>
        <v>2.99589492386068</v>
      </c>
      <c r="AL193" s="2" t="n">
        <f aca="false">(AD193+AG193+I193/Hypothèses!$J$19)*(1+G193)</f>
        <v>8087.34026916459</v>
      </c>
      <c r="AM193" s="2" t="n">
        <f aca="false">Entrées!$C$54*K193/Hypothèses!$J$19</f>
        <v>20.5011695352263</v>
      </c>
      <c r="AN193" s="2" t="n">
        <f aca="false">Y193*1000/AC193</f>
        <v>62.7718565038453</v>
      </c>
      <c r="AO193" s="2" t="n">
        <f aca="false">(Entrées!$C$36*(1-S193)+MAX(0,Entrées!$C$30-Entrées!$C$35-Entrées!$C$36)*U193)*1000</f>
        <v>757.953021128603</v>
      </c>
      <c r="AP193" s="2" t="n">
        <f aca="false">-AO193/W193</f>
        <v>-73.9278463491001</v>
      </c>
      <c r="AQ193" s="2" t="n">
        <f aca="false">AL193+AM193+AN193+AP193</f>
        <v>8096.68544885457</v>
      </c>
      <c r="AR193" s="2" t="n">
        <f aca="false">O193*AQ193-Hypothèses!$J$25/Hypothèses!$J$19</f>
        <v>1156.13080432652</v>
      </c>
      <c r="AS193" s="2" t="n">
        <f aca="false">Entrées!$C$79*(1+Q193)+Hypothèses!$J$20</f>
        <v>1488.29379793525</v>
      </c>
      <c r="AT193" s="2" t="n">
        <f aca="false">AI193-AR193+AS193+Y193*1000-AO193+Hypothèses!$J$23</f>
        <v>22882.7143907635</v>
      </c>
      <c r="AU193" s="2" t="n">
        <f aca="false">AT193/AQ193</f>
        <v>2.82618295292683</v>
      </c>
      <c r="AV193" s="2" t="n">
        <f aca="false">Hypothèses!$J$26*AQ193-AT193</f>
        <v>1407.34195580017</v>
      </c>
      <c r="AW193" s="2" t="n">
        <f aca="false">IF(AC193&gt;Hypothèses!$J$26,MAX(0,AV193)/(1-Hypothèses!$J$26/AC193),0)</f>
        <v>1996.05694187907</v>
      </c>
      <c r="AX193" s="2" t="n">
        <f aca="false">AQ193-Entrées!$C$17*1000</f>
        <v>96.685448854565</v>
      </c>
      <c r="AY193" s="2" t="n">
        <f aca="false">AI193+(Entrées!$C$244-Entrées!$C$13)</f>
        <v>28417.0144720855</v>
      </c>
      <c r="AZ193" s="2" t="n">
        <f aca="false">AA193*AH193</f>
        <v>5502.47752228472</v>
      </c>
      <c r="BA193" s="2" t="n">
        <f aca="false">AZ193/AY193</f>
        <v>0.193633202660677</v>
      </c>
      <c r="BB193" s="2" t="n">
        <f aca="false">AZ193/(Entrées!$C$151/100)-AY193</f>
        <v>2152.30509616295</v>
      </c>
      <c r="BC193" s="2" t="n">
        <f aca="false">AT193+(Entrées!$C$244-Entrées!$C$13)</f>
        <v>28629.7143907635</v>
      </c>
      <c r="BD193" s="2" t="n">
        <f aca="false">AA193*AQ193</f>
        <v>5942.87364428499</v>
      </c>
      <c r="BE193" s="2" t="n">
        <f aca="false">BD193/BC193</f>
        <v>0.207577119463066</v>
      </c>
      <c r="BF193" s="2" t="n">
        <f aca="false">BD193/(Entrées!$C$151/100)-BC193</f>
        <v>4386.25029970867</v>
      </c>
      <c r="BG193" s="2" t="n">
        <f aca="false">MIN(AV193,BF193)</f>
        <v>1407.34195580017</v>
      </c>
      <c r="BH193" s="2" t="n">
        <f aca="false">IF(AC193&gt;Hypothèses!$J$26,MAX(0,BG193)/(1-Hypothèses!$J$26/AC193),0)</f>
        <v>1996.05694187907</v>
      </c>
    </row>
    <row r="194" customFormat="false" ht="15" hidden="false" customHeight="false" outlineLevel="0" collapsed="false">
      <c r="A194" s="2" t="n">
        <v>179</v>
      </c>
      <c r="B194" s="2" t="n">
        <v>0.48389957</v>
      </c>
      <c r="C194" s="2"/>
      <c r="D194" s="2" t="n">
        <v>0.076363648</v>
      </c>
      <c r="E194" s="2" t="n">
        <f aca="false">IF(E$7=E$5,E$6,IF(NORMSDIST(E$9*SQRT($C$11)*NORMSINV($B194)+SQRT(1-E$9^2*$C$11)*NORMSINV(D194))&lt;E$8,E$5+SQRT(NORMSDIST(E$9*SQRT($C$11)*NORMSINV($B194)+SQRT(1-E$9^2*$C$11)*NORMSINV(D194))*(E$7-E$5)*(E$6-E$5)),E$7-SQRT((1-NORMSDIST(E$9*SQRT($C$11)*NORMSINV($B194)+SQRT(1-E$9^2*$C$11)*NORMSINV(D194)))*(E$7-E$5)*(E$7-E$6))))</f>
        <v>0.0525354484530003</v>
      </c>
      <c r="F194" s="2" t="n">
        <v>0.074190274</v>
      </c>
      <c r="G194" s="2" t="n">
        <f aca="false">IF(G$7=G$5,G$6,IF(NORMSDIST(G$9*SQRT($C$11)*NORMSINV($B194)+SQRT(1-G$9^2*$C$11)*NORMSINV(F194))&lt;G$8,G$5+SQRT(NORMSDIST(G$9*SQRT($C$11)*NORMSINV($B194)+SQRT(1-G$9^2*$C$11)*NORMSINV(F194))*(G$7-G$5)*(G$6-G$5)),G$7-SQRT((1-NORMSDIST(G$9*SQRT($C$11)*NORMSINV($B194)+SQRT(1-G$9^2*$C$11)*NORMSINV(F194)))*(G$7-G$5)*(G$7-G$6))))</f>
        <v>0.0475328359258319</v>
      </c>
      <c r="H194" s="2" t="n">
        <v>0.798666398</v>
      </c>
      <c r="I194" s="2" t="n">
        <f aca="false">IF(I$7=I$5,I$6,IF(NORMSDIST(I$9*SQRT($C$11)*NORMSINV($B194)+SQRT(1-I$9^2*$C$11)*NORMSINV(H194))&lt;I$8,I$5+SQRT(NORMSDIST(I$9*SQRT($C$11)*NORMSINV($B194)+SQRT(1-I$9^2*$C$11)*NORMSINV(H194))*(I$7-I$5)*(I$6-I$5)),I$7-SQRT((1-NORMSDIST(I$9*SQRT($C$11)*NORMSINV($B194)+SQRT(1-I$9^2*$C$11)*NORMSINV(H194)))*(I$7-I$5)*(I$7-I$6))))</f>
        <v>205.392062030125</v>
      </c>
      <c r="J194" s="2" t="n">
        <v>0.166827248</v>
      </c>
      <c r="K194" s="2" t="n">
        <f aca="false">IF(K$7=K$5,K$6,IF(NORMSDIST(K$9*SQRT($C$11)*NORMSINV($B194)+SQRT(1-K$9^2*$C$11)*NORMSINV(J194))&lt;K$8,K$5+SQRT(NORMSDIST(K$9*SQRT($C$11)*NORMSINV($B194)+SQRT(1-K$9^2*$C$11)*NORMSINV(J194))*(K$7-K$5)*(K$6-K$5)),K$7-SQRT((1-NORMSDIST(K$9*SQRT($C$11)*NORMSINV($B194)+SQRT(1-K$9^2*$C$11)*NORMSINV(J194)))*(K$7-K$5)*(K$7-K$6))))</f>
        <v>0.165585528137882</v>
      </c>
      <c r="L194" s="2" t="n">
        <v>0.143322747</v>
      </c>
      <c r="M194" s="2" t="n">
        <f aca="false">IF(M$7=M$5,M$6,IF(NORMSDIST(M$9*SQRT($C$11)*NORMSINV($B194)+SQRT(1-M$9^2*$C$11)*NORMSINV(L194))&lt;M$8,M$5+SQRT(NORMSDIST(M$9*SQRT($C$11)*NORMSINV($B194)+SQRT(1-M$9^2*$C$11)*NORMSINV(L194))*(M$7-M$5)*(M$6-M$5)),M$7-SQRT((1-NORMSDIST(M$9*SQRT($C$11)*NORMSINV($B194)+SQRT(1-M$9^2*$C$11)*NORMSINV(L194)))*(M$7-M$5)*(M$7-M$6))))</f>
        <v>1480.49345662396</v>
      </c>
      <c r="N194" s="2" t="n">
        <v>0.46744653</v>
      </c>
      <c r="O194" s="2" t="n">
        <f aca="false">IF(O$7=O$5,O$6,IF(NORMSDIST(O$9*SQRT($C$11)*NORMSINV($B194)+SQRT(1-O$9^2*$C$11)*NORMSINV(N194))&lt;O$8,O$5+SQRT(NORMSDIST(O$9*SQRT($C$11)*NORMSINV($B194)+SQRT(1-O$9^2*$C$11)*NORMSINV(N194))*(O$7-O$5)*(O$6-O$5)),O$7-SQRT((1-NORMSDIST(O$9*SQRT($C$11)*NORMSINV($B194)+SQRT(1-O$9^2*$C$11)*NORMSINV(N194)))*(O$7-O$5)*(O$7-O$6))))</f>
        <v>0.165819393156044</v>
      </c>
      <c r="P194" s="2" t="n">
        <v>0.183839577</v>
      </c>
      <c r="Q194" s="2" t="n">
        <f aca="false">IF(Q$7=Q$5,Q$6,IF(NORMSDIST(Q$9*SQRT($C$11)*NORMSINV($B194)+SQRT(1-Q$9^2*$C$11)*NORMSINV(P194))&lt;Q$8,Q$5+SQRT(NORMSDIST(Q$9*SQRT($C$11)*NORMSINV($B194)+SQRT(1-Q$9^2*$C$11)*NORMSINV(P194))*(Q$7-Q$5)*(Q$6-Q$5)),Q$7-SQRT((1-NORMSDIST(Q$9*SQRT($C$11)*NORMSINV($B194)+SQRT(1-Q$9^2*$C$11)*NORMSINV(P194)))*(Q$7-Q$5)*(Q$7-Q$6))))</f>
        <v>0.0642546211349508</v>
      </c>
      <c r="R194" s="2" t="n">
        <v>0.986333998</v>
      </c>
      <c r="S194" s="2" t="n">
        <f aca="false">IF(S$7=S$5,S$6,IF(NORMSDIST(S$9*SQRT($C$11)*NORMSINV($B194)+SQRT(1-S$9^2*$C$11)*NORMSINV(R194))&lt;S$8,S$5+SQRT(NORMSDIST(S$9*SQRT($C$11)*NORMSINV($B194)+SQRT(1-S$9^2*$C$11)*NORMSINV(R194))*(S$7-S$5)*(S$6-S$5)),S$7-SQRT((1-NORMSDIST(S$9*SQRT($C$11)*NORMSINV($B194)+SQRT(1-S$9^2*$C$11)*NORMSINV(R194)))*(S$7-S$5)*(S$7-S$6))))</f>
        <v>0.848161717319008</v>
      </c>
      <c r="T194" s="2" t="n">
        <v>0.656345307</v>
      </c>
      <c r="U194" s="2" t="n">
        <f aca="false">IF(U$7=U$5,U$6,IF(NORMSDIST(U$9*SQRT($C$11)*NORMSINV($B194)+SQRT(1-U$9^2*$C$11)*NORMSINV(T194))&lt;U$8,U$5+SQRT(NORMSDIST(U$9*SQRT($C$11)*NORMSINV($B194)+SQRT(1-U$9^2*$C$11)*NORMSINV(T194))*(U$7-U$5)*(U$6-U$5)),U$7-SQRT((1-NORMSDIST(U$9*SQRT($C$11)*NORMSINV($B194)+SQRT(1-U$9^2*$C$11)*NORMSINV(T194)))*(U$7-U$5)*(U$7-U$6))))</f>
        <v>0.559918740804848</v>
      </c>
      <c r="V194" s="2" t="n">
        <v>0.933015029</v>
      </c>
      <c r="W194" s="2" t="n">
        <f aca="false">IF(W$7=W$5,W$6,IF(NORMSDIST(W$9*SQRT($C$11)*NORMSINV($B194)+SQRT(1-W$9^2*$C$11)*NORMSINV(V194))&lt;W$8,W$5+SQRT(NORMSDIST(W$9*SQRT($C$11)*NORMSINV($B194)+SQRT(1-W$9^2*$C$11)*NORMSINV(V194))*(W$7-W$5)*(W$6-W$5)),W$7-SQRT((1-NORMSDIST(W$9*SQRT($C$11)*NORMSINV($B194)+SQRT(1-W$9^2*$C$11)*NORMSINV(V194)))*(W$7-W$5)*(W$7-W$6))))</f>
        <v>10.9875790942899</v>
      </c>
      <c r="X194" s="2" t="n">
        <v>0.998840276</v>
      </c>
      <c r="Y194" s="2" t="n">
        <f aca="false">IF(Y$7=Y$5,Y$6,IF(NORMSDIST(Y$9*SQRT($C$11)*NORMSINV($B194)+SQRT(1-Y$9^2*$C$11)*NORMSINV(X194))&lt;Y$8,Y$5+SQRT(NORMSDIST(Y$9*SQRT($C$11)*NORMSINV($B194)+SQRT(1-Y$9^2*$C$11)*NORMSINV(X194))*(Y$7-Y$5)*(Y$6-Y$5)),Y$7-SQRT((1-NORMSDIST(Y$9*SQRT($C$11)*NORMSINV($B194)+SQRT(1-Y$9^2*$C$11)*NORMSINV(X194)))*(Y$7-Y$5)*(Y$7-Y$6))))</f>
        <v>0.975919676081913</v>
      </c>
      <c r="Z194" s="2" t="n">
        <v>0.54311398</v>
      </c>
      <c r="AA194" s="2" t="n">
        <f aca="false">IF(AA$7=AA$5,AA$6,IF(NORMSDIST(AA$9*SQRT($C$11)*NORMSINV($B194)+SQRT(1-AA$9^2*$C$11)*NORMSINV(Z194))&lt;AA$8,AA$5+SQRT(NORMSDIST(AA$9*SQRT($C$11)*NORMSINV($B194)+SQRT(1-AA$9^2*$C$11)*NORMSINV(Z194))*(AA$7-AA$5)*(AA$6-AA$5)),AA$7-SQRT((1-NORMSDIST(AA$9*SQRT($C$11)*NORMSINV($B194)+SQRT(1-AA$9^2*$C$11)*NORMSINV(Z194)))*(AA$7-AA$5)*(AA$7-AA$6))))</f>
        <v>0.728804153705947</v>
      </c>
      <c r="AB194" s="2" t="n">
        <v>0.295589495</v>
      </c>
      <c r="AC194" s="2" t="n">
        <f aca="false">IF(AC$7=AC$5,AC$6,IF(NORMSDIST(AC$9*SQRT($C$11)*NORMSINV($B194)+SQRT(1-AC$9^2*$C$11)*NORMSINV(AB194))&lt;AC$8,AC$5+SQRT(NORMSDIST(AC$9*SQRT($C$11)*NORMSINV($B194)+SQRT(1-AC$9^2*$C$11)*NORMSINV(AB194))*(AC$7-AC$5)*(AC$6-AC$5)),AC$7-SQRT((1-NORMSDIST(AC$9*SQRT($C$11)*NORMSINV($B194)+SQRT(1-AC$9^2*$C$11)*NORMSINV(AB194)))*(AC$7-AC$5)*(AC$7-AC$6))))</f>
        <v>9.08699660992496</v>
      </c>
      <c r="AD194" s="2" t="n">
        <f aca="false">Entrées!$C$8*(1+E194)</f>
        <v>7420.37491159365</v>
      </c>
      <c r="AE194" s="2" t="n">
        <f aca="false">I194*Hypothèses!$J$24/12/Hypothèses!$J$19</f>
        <v>101.894344590277</v>
      </c>
      <c r="AF194" s="2" t="n">
        <f aca="false">Entrées!$C$36*S194*1000</f>
        <v>424.080858659504</v>
      </c>
      <c r="AG194" s="2" t="n">
        <f aca="false">-AF194/W194</f>
        <v>-38.5963873406739</v>
      </c>
      <c r="AH194" s="2" t="n">
        <f aca="false">AD194+AE194+AG194</f>
        <v>7483.67286884326</v>
      </c>
      <c r="AI194" s="2" t="n">
        <f aca="false">Entrées!$C$16-M194+Hypothèses!$J$22*1000-AF194+Hypothèses!$J$23</f>
        <v>22643.4256847165</v>
      </c>
      <c r="AJ194" s="2" t="n">
        <f aca="false">AI194/AH194</f>
        <v>3.02571024703496</v>
      </c>
      <c r="AK194" s="2" t="n">
        <f aca="false">AI194/(AH194+I194*(12-Hypothèses!$J$24)/12/Hypothèses!$J$19)</f>
        <v>2.99656744498551</v>
      </c>
      <c r="AL194" s="2" t="n">
        <f aca="false">(AD194+AG194+I194/Hypothèses!$J$19)*(1+G194)</f>
        <v>7915.63425755019</v>
      </c>
      <c r="AM194" s="2" t="n">
        <f aca="false">Entrées!$C$54*K194/Hypothèses!$J$19</f>
        <v>16.8986983951755</v>
      </c>
      <c r="AN194" s="2" t="n">
        <f aca="false">Y194*1000/AC194</f>
        <v>107.397385294058</v>
      </c>
      <c r="AO194" s="2" t="n">
        <f aca="false">(Entrées!$C$36*(1-S194)+MAX(0,Entrées!$C$30-Entrées!$C$35-Entrées!$C$36)*U194)*1000</f>
        <v>859.805378467283</v>
      </c>
      <c r="AP194" s="2" t="n">
        <f aca="false">-AO194/W194</f>
        <v>-78.2524859287804</v>
      </c>
      <c r="AQ194" s="2" t="n">
        <f aca="false">AL194+AM194+AN194+AP194</f>
        <v>7961.67785531065</v>
      </c>
      <c r="AR194" s="2" t="n">
        <f aca="false">O194*AQ194-Hypothèses!$J$25/Hypothèses!$J$19</f>
        <v>1301.0654282099</v>
      </c>
      <c r="AS194" s="2" t="n">
        <f aca="false">Entrées!$C$79*(1+Q194)+Hypothèses!$J$20</f>
        <v>1464.61582862731</v>
      </c>
      <c r="AT194" s="2" t="n">
        <f aca="false">AI194-AR194+AS194+Y194*1000-AO194+Hypothèses!$J$23</f>
        <v>22923.0903827486</v>
      </c>
      <c r="AU194" s="2" t="n">
        <f aca="false">AT194/AQ194</f>
        <v>2.87917833393099</v>
      </c>
      <c r="AV194" s="2" t="n">
        <f aca="false">Hypothèses!$J$26*AQ194-AT194</f>
        <v>961.94318318335</v>
      </c>
      <c r="AW194" s="2" t="n">
        <f aca="false">IF(AC194&gt;Hypothèses!$J$26,MAX(0,AV194)/(1-Hypothèses!$J$26/AC194),0)</f>
        <v>1436.04062967193</v>
      </c>
      <c r="AX194" s="2" t="n">
        <f aca="false">AQ194-Entrées!$C$17*1000</f>
        <v>-38.3221446893549</v>
      </c>
      <c r="AY194" s="2" t="n">
        <f aca="false">AI194+(Entrées!$C$244-Entrées!$C$13)</f>
        <v>28390.4256847165</v>
      </c>
      <c r="AZ194" s="2" t="n">
        <f aca="false">AA194*AH194</f>
        <v>5454.13187178947</v>
      </c>
      <c r="BA194" s="2" t="n">
        <f aca="false">AZ194/AY194</f>
        <v>0.192111662303309</v>
      </c>
      <c r="BB194" s="2" t="n">
        <f aca="false">AZ194/(Entrées!$C$151/100)-AY194</f>
        <v>1910.30693633606</v>
      </c>
      <c r="BC194" s="2" t="n">
        <f aca="false">AT194+(Entrées!$C$244-Entrées!$C$13)</f>
        <v>28670.0903827486</v>
      </c>
      <c r="BD194" s="2" t="n">
        <f aca="false">AA194*AQ194</f>
        <v>5802.50389141906</v>
      </c>
      <c r="BE194" s="2" t="n">
        <f aca="false">BD194/BC194</f>
        <v>0.202388754759927</v>
      </c>
      <c r="BF194" s="2" t="n">
        <f aca="false">BD194/(Entrées!$C$151/100)-BC194</f>
        <v>3566.04234735728</v>
      </c>
      <c r="BG194" s="2" t="n">
        <f aca="false">MIN(AV194,BF194)</f>
        <v>961.94318318335</v>
      </c>
      <c r="BH194" s="2" t="n">
        <f aca="false">IF(AC194&gt;Hypothèses!$J$26,MAX(0,BG194)/(1-Hypothèses!$J$26/AC194),0)</f>
        <v>1436.04062967193</v>
      </c>
    </row>
    <row r="195" customFormat="false" ht="15" hidden="false" customHeight="false" outlineLevel="0" collapsed="false">
      <c r="A195" s="2" t="n">
        <v>180</v>
      </c>
      <c r="B195" s="2" t="n">
        <v>0.689390155</v>
      </c>
      <c r="C195" s="2"/>
      <c r="D195" s="2" t="n">
        <v>0.500008226</v>
      </c>
      <c r="E195" s="2" t="n">
        <f aca="false">IF(E$7=E$5,E$6,IF(NORMSDIST(E$9*SQRT($C$11)*NORMSINV($B195)+SQRT(1-E$9^2*$C$11)*NORMSINV(D195))&lt;E$8,E$5+SQRT(NORMSDIST(E$9*SQRT($C$11)*NORMSINV($B195)+SQRT(1-E$9^2*$C$11)*NORMSINV(D195))*(E$7-E$5)*(E$6-E$5)),E$7-SQRT((1-NORMSDIST(E$9*SQRT($C$11)*NORMSINV($B195)+SQRT(1-E$9^2*$C$11)*NORMSINV(D195)))*(E$7-E$5)*(E$7-E$6))))</f>
        <v>0.0556564977946533</v>
      </c>
      <c r="F195" s="2" t="n">
        <v>0.996674306</v>
      </c>
      <c r="G195" s="2" t="n">
        <f aca="false">IF(G$7=G$5,G$6,IF(NORMSDIST(G$9*SQRT($C$11)*NORMSINV($B195)+SQRT(1-G$9^2*$C$11)*NORMSINV(F195))&lt;G$8,G$5+SQRT(NORMSDIST(G$9*SQRT($C$11)*NORMSINV($B195)+SQRT(1-G$9^2*$C$11)*NORMSINV(F195))*(G$7-G$5)*(G$6-G$5)),G$7-SQRT((1-NORMSDIST(G$9*SQRT($C$11)*NORMSINV($B195)+SQRT(1-G$9^2*$C$11)*NORMSINV(F195)))*(G$7-G$5)*(G$7-G$6))))</f>
        <v>0.0681174181242858</v>
      </c>
      <c r="H195" s="2" t="n">
        <v>0.535329286</v>
      </c>
      <c r="I195" s="2" t="n">
        <f aca="false">IF(I$7=I$5,I$6,IF(NORMSDIST(I$9*SQRT($C$11)*NORMSINV($B195)+SQRT(1-I$9^2*$C$11)*NORMSINV(H195))&lt;I$8,I$5+SQRT(NORMSDIST(I$9*SQRT($C$11)*NORMSINV($B195)+SQRT(1-I$9^2*$C$11)*NORMSINV(H195))*(I$7-I$5)*(I$6-I$5)),I$7-SQRT((1-NORMSDIST(I$9*SQRT($C$11)*NORMSINV($B195)+SQRT(1-I$9^2*$C$11)*NORMSINV(H195)))*(I$7-I$5)*(I$7-I$6))))</f>
        <v>203.230297174601</v>
      </c>
      <c r="J195" s="2" t="n">
        <v>0.045219889</v>
      </c>
      <c r="K195" s="2" t="n">
        <f aca="false">IF(K$7=K$5,K$6,IF(NORMSDIST(K$9*SQRT($C$11)*NORMSINV($B195)+SQRT(1-K$9^2*$C$11)*NORMSINV(J195))&lt;K$8,K$5+SQRT(NORMSDIST(K$9*SQRT($C$11)*NORMSINV($B195)+SQRT(1-K$9^2*$C$11)*NORMSINV(J195))*(K$7-K$5)*(K$6-K$5)),K$7-SQRT((1-NORMSDIST(K$9*SQRT($C$11)*NORMSINV($B195)+SQRT(1-K$9^2*$C$11)*NORMSINV(J195)))*(K$7-K$5)*(K$7-K$6))))</f>
        <v>0.140939056511637</v>
      </c>
      <c r="L195" s="2" t="n">
        <v>0.409208179</v>
      </c>
      <c r="M195" s="2" t="n">
        <f aca="false">IF(M$7=M$5,M$6,IF(NORMSDIST(M$9*SQRT($C$11)*NORMSINV($B195)+SQRT(1-M$9^2*$C$11)*NORMSINV(L195))&lt;M$8,M$5+SQRT(NORMSDIST(M$9*SQRT($C$11)*NORMSINV($B195)+SQRT(1-M$9^2*$C$11)*NORMSINV(L195))*(M$7-M$5)*(M$6-M$5)),M$7-SQRT((1-NORMSDIST(M$9*SQRT($C$11)*NORMSINV($B195)+SQRT(1-M$9^2*$C$11)*NORMSINV(L195)))*(M$7-M$5)*(M$7-M$6))))</f>
        <v>1600.08040095099</v>
      </c>
      <c r="N195" s="2" t="n">
        <v>0.720355778</v>
      </c>
      <c r="O195" s="2" t="n">
        <f aca="false">IF(O$7=O$5,O$6,IF(NORMSDIST(O$9*SQRT($C$11)*NORMSINV($B195)+SQRT(1-O$9^2*$C$11)*NORMSINV(N195))&lt;O$8,O$5+SQRT(NORMSDIST(O$9*SQRT($C$11)*NORMSINV($B195)+SQRT(1-O$9^2*$C$11)*NORMSINV(N195))*(O$7-O$5)*(O$6-O$5)),O$7-SQRT((1-NORMSDIST(O$9*SQRT($C$11)*NORMSINV($B195)+SQRT(1-O$9^2*$C$11)*NORMSINV(N195)))*(O$7-O$5)*(O$7-O$6))))</f>
        <v>0.174615607959253</v>
      </c>
      <c r="P195" s="2" t="n">
        <v>0.117091564</v>
      </c>
      <c r="Q195" s="2" t="n">
        <f aca="false">IF(Q$7=Q$5,Q$6,IF(NORMSDIST(Q$9*SQRT($C$11)*NORMSINV($B195)+SQRT(1-Q$9^2*$C$11)*NORMSINV(P195))&lt;Q$8,Q$5+SQRT(NORMSDIST(Q$9*SQRT($C$11)*NORMSINV($B195)+SQRT(1-Q$9^2*$C$11)*NORMSINV(P195))*(Q$7-Q$5)*(Q$6-Q$5)),Q$7-SQRT((1-NORMSDIST(Q$9*SQRT($C$11)*NORMSINV($B195)+SQRT(1-Q$9^2*$C$11)*NORMSINV(P195)))*(Q$7-Q$5)*(Q$7-Q$6))))</f>
        <v>0.0593569885261112</v>
      </c>
      <c r="R195" s="2" t="n">
        <v>0.501133192</v>
      </c>
      <c r="S195" s="2" t="n">
        <f aca="false">IF(S$7=S$5,S$6,IF(NORMSDIST(S$9*SQRT($C$11)*NORMSINV($B195)+SQRT(1-S$9^2*$C$11)*NORMSINV(R195))&lt;S$8,S$5+SQRT(NORMSDIST(S$9*SQRT($C$11)*NORMSINV($B195)+SQRT(1-S$9^2*$C$11)*NORMSINV(R195))*(S$7-S$5)*(S$6-S$5)),S$7-SQRT((1-NORMSDIST(S$9*SQRT($C$11)*NORMSINV($B195)+SQRT(1-S$9^2*$C$11)*NORMSINV(R195)))*(S$7-S$5)*(S$7-S$6))))</f>
        <v>0.566127524886512</v>
      </c>
      <c r="T195" s="2" t="n">
        <v>0.904985143</v>
      </c>
      <c r="U195" s="2" t="n">
        <f aca="false">IF(U$7=U$5,U$6,IF(NORMSDIST(U$9*SQRT($C$11)*NORMSINV($B195)+SQRT(1-U$9^2*$C$11)*NORMSINV(T195))&lt;U$8,U$5+SQRT(NORMSDIST(U$9*SQRT($C$11)*NORMSINV($B195)+SQRT(1-U$9^2*$C$11)*NORMSINV(T195))*(U$7-U$5)*(U$6-U$5)),U$7-SQRT((1-NORMSDIST(U$9*SQRT($C$11)*NORMSINV($B195)+SQRT(1-U$9^2*$C$11)*NORMSINV(T195)))*(U$7-U$5)*(U$7-U$6))))</f>
        <v>0.785345560687715</v>
      </c>
      <c r="V195" s="2" t="n">
        <v>0.797121401</v>
      </c>
      <c r="W195" s="2" t="n">
        <f aca="false">IF(W$7=W$5,W$6,IF(NORMSDIST(W$9*SQRT($C$11)*NORMSINV($B195)+SQRT(1-W$9^2*$C$11)*NORMSINV(V195))&lt;W$8,W$5+SQRT(NORMSDIST(W$9*SQRT($C$11)*NORMSINV($B195)+SQRT(1-W$9^2*$C$11)*NORMSINV(V195))*(W$7-W$5)*(W$6-W$5)),W$7-SQRT((1-NORMSDIST(W$9*SQRT($C$11)*NORMSINV($B195)+SQRT(1-W$9^2*$C$11)*NORMSINV(V195)))*(W$7-W$5)*(W$7-W$6))))</f>
        <v>10.8358331168188</v>
      </c>
      <c r="X195" s="2" t="n">
        <v>0.556022025</v>
      </c>
      <c r="Y195" s="2" t="n">
        <f aca="false">IF(Y$7=Y$5,Y$6,IF(NORMSDIST(Y$9*SQRT($C$11)*NORMSINV($B195)+SQRT(1-Y$9^2*$C$11)*NORMSINV(X195))&lt;Y$8,Y$5+SQRT(NORMSDIST(Y$9*SQRT($C$11)*NORMSINV($B195)+SQRT(1-Y$9^2*$C$11)*NORMSINV(X195))*(Y$7-Y$5)*(Y$6-Y$5)),Y$7-SQRT((1-NORMSDIST(Y$9*SQRT($C$11)*NORMSINV($B195)+SQRT(1-Y$9^2*$C$11)*NORMSINV(X195)))*(Y$7-Y$5)*(Y$7-Y$6))))</f>
        <v>0.528842926934127</v>
      </c>
      <c r="Z195" s="2" t="n">
        <v>0.632811988</v>
      </c>
      <c r="AA195" s="2" t="n">
        <f aca="false">IF(AA$7=AA$5,AA$6,IF(NORMSDIST(AA$9*SQRT($C$11)*NORMSINV($B195)+SQRT(1-AA$9^2*$C$11)*NORMSINV(Z195))&lt;AA$8,AA$5+SQRT(NORMSDIST(AA$9*SQRT($C$11)*NORMSINV($B195)+SQRT(1-AA$9^2*$C$11)*NORMSINV(Z195))*(AA$7-AA$5)*(AA$6-AA$5)),AA$7-SQRT((1-NORMSDIST(AA$9*SQRT($C$11)*NORMSINV($B195)+SQRT(1-AA$9^2*$C$11)*NORMSINV(Z195)))*(AA$7-AA$5)*(AA$7-AA$6))))</f>
        <v>0.734813377808081</v>
      </c>
      <c r="AB195" s="2" t="n">
        <v>0.146388436</v>
      </c>
      <c r="AC195" s="2" t="n">
        <f aca="false">IF(AC$7=AC$5,AC$6,IF(NORMSDIST(AC$9*SQRT($C$11)*NORMSINV($B195)+SQRT(1-AC$9^2*$C$11)*NORMSINV(AB195))&lt;AC$8,AC$5+SQRT(NORMSDIST(AC$9*SQRT($C$11)*NORMSINV($B195)+SQRT(1-AC$9^2*$C$11)*NORMSINV(AB195))*(AC$7-AC$5)*(AC$6-AC$5)),AC$7-SQRT((1-NORMSDIST(AC$9*SQRT($C$11)*NORMSINV($B195)+SQRT(1-AC$9^2*$C$11)*NORMSINV(AB195)))*(AC$7-AC$5)*(AC$7-AC$6))))</f>
        <v>9.03047774475499</v>
      </c>
      <c r="AD195" s="2" t="n">
        <f aca="false">Entrées!$C$8*(1+E195)</f>
        <v>7442.37830945231</v>
      </c>
      <c r="AE195" s="2" t="n">
        <f aca="false">I195*Hypothèses!$J$24/12/Hypothèses!$J$19</f>
        <v>100.821899964449</v>
      </c>
      <c r="AF195" s="2" t="n">
        <f aca="false">Entrées!$C$36*S195*1000</f>
        <v>283.063762443256</v>
      </c>
      <c r="AG195" s="2" t="n">
        <f aca="false">-AF195/W195</f>
        <v>-26.1229348395834</v>
      </c>
      <c r="AH195" s="2" t="n">
        <f aca="false">AD195+AE195+AG195</f>
        <v>7517.07727457717</v>
      </c>
      <c r="AI195" s="2" t="n">
        <f aca="false">Entrées!$C$16-M195+Hypothèses!$J$22*1000-AF195+Hypothèses!$J$23</f>
        <v>22664.8558366058</v>
      </c>
      <c r="AJ195" s="2" t="n">
        <f aca="false">AI195/AH195</f>
        <v>3.01511545095572</v>
      </c>
      <c r="AK195" s="2" t="n">
        <f aca="false">AI195/(AH195+I195*(12-Hypothèses!$J$24)/12/Hypothèses!$J$19)</f>
        <v>2.98650393179585</v>
      </c>
      <c r="AL195" s="2" t="n">
        <f aca="false">(AD195+AG195+I195/Hypothèses!$J$19)*(1+G195)</f>
        <v>8106.04233284812</v>
      </c>
      <c r="AM195" s="2" t="n">
        <f aca="false">Entrées!$C$54*K195/Hypothèses!$J$19</f>
        <v>14.3834224818701</v>
      </c>
      <c r="AN195" s="2" t="n">
        <f aca="false">Y195*1000/AC195</f>
        <v>58.5620098827313</v>
      </c>
      <c r="AO195" s="2" t="n">
        <f aca="false">(Entrées!$C$36*(1-S195)+MAX(0,Entrées!$C$30-Entrées!$C$35-Entrées!$C$36)*U195)*1000</f>
        <v>1316.42002251955</v>
      </c>
      <c r="AP195" s="2" t="n">
        <f aca="false">-AO195/W195</f>
        <v>-121.487661200344</v>
      </c>
      <c r="AQ195" s="2" t="n">
        <f aca="false">AL195+AM195+AN195+AP195</f>
        <v>8057.50010401238</v>
      </c>
      <c r="AR195" s="2" t="n">
        <f aca="false">O195*AQ195-Hypothèses!$J$25/Hypothèses!$J$19</f>
        <v>1387.83011703224</v>
      </c>
      <c r="AS195" s="2" t="n">
        <f aca="false">Entrées!$C$79*(1+Q195)+Hypothèses!$J$20</f>
        <v>1459.2333303902</v>
      </c>
      <c r="AT195" s="2" t="n">
        <f aca="false">AI195-AR195+AS195+Y195*1000-AO195+Hypothèses!$J$23</f>
        <v>21948.6819543783</v>
      </c>
      <c r="AU195" s="2" t="n">
        <f aca="false">AT195/AQ195</f>
        <v>2.72400641278907</v>
      </c>
      <c r="AV195" s="2" t="n">
        <f aca="false">Hypothèses!$J$26*AQ195-AT195</f>
        <v>2223.81835765883</v>
      </c>
      <c r="AW195" s="2" t="n">
        <f aca="false">IF(AC195&gt;Hypothèses!$J$26,MAX(0,AV195)/(1-Hypothèses!$J$26/AC195),0)</f>
        <v>3330.10800092615</v>
      </c>
      <c r="AX195" s="2" t="n">
        <f aca="false">AQ195-Entrées!$C$17*1000</f>
        <v>57.500104012378</v>
      </c>
      <c r="AY195" s="2" t="n">
        <f aca="false">AI195+(Entrées!$C$244-Entrées!$C$13)</f>
        <v>28411.8558366058</v>
      </c>
      <c r="AZ195" s="2" t="n">
        <f aca="false">AA195*AH195</f>
        <v>5523.64894337642</v>
      </c>
      <c r="BA195" s="2" t="n">
        <f aca="false">AZ195/AY195</f>
        <v>0.194413521423678</v>
      </c>
      <c r="BB195" s="2" t="n">
        <f aca="false">AZ195/(Entrées!$C$151/100)-AY195</f>
        <v>2275.08273770766</v>
      </c>
      <c r="BC195" s="2" t="n">
        <f aca="false">AT195+(Entrées!$C$244-Entrées!$C$13)</f>
        <v>27695.6819543783</v>
      </c>
      <c r="BD195" s="2" t="n">
        <f aca="false">AA195*AQ195</f>
        <v>5920.7588681183</v>
      </c>
      <c r="BE195" s="2" t="n">
        <f aca="false">BD195/BC195</f>
        <v>0.213779132713586</v>
      </c>
      <c r="BF195" s="2" t="n">
        <f aca="false">BD195/(Entrées!$C$151/100)-BC195</f>
        <v>5197.42286850115</v>
      </c>
      <c r="BG195" s="2" t="n">
        <f aca="false">MIN(AV195,BF195)</f>
        <v>2223.81835765883</v>
      </c>
      <c r="BH195" s="2" t="n">
        <f aca="false">IF(AC195&gt;Hypothèses!$J$26,MAX(0,BG195)/(1-Hypothèses!$J$26/AC195),0)</f>
        <v>3330.10800092615</v>
      </c>
    </row>
    <row r="196" customFormat="false" ht="15" hidden="false" customHeight="false" outlineLevel="0" collapsed="false">
      <c r="A196" s="2" t="n">
        <v>181</v>
      </c>
      <c r="B196" s="2" t="n">
        <v>0.45841388</v>
      </c>
      <c r="C196" s="2"/>
      <c r="D196" s="2" t="n">
        <v>0.611127082</v>
      </c>
      <c r="E196" s="2" t="n">
        <f aca="false">IF(E$7=E$5,E$6,IF(NORMSDIST(E$9*SQRT($C$11)*NORMSINV($B196)+SQRT(1-E$9^2*$C$11)*NORMSINV(D196))&lt;E$8,E$5+SQRT(NORMSDIST(E$9*SQRT($C$11)*NORMSINV($B196)+SQRT(1-E$9^2*$C$11)*NORMSINV(D196))*(E$7-E$5)*(E$6-E$5)),E$7-SQRT((1-NORMSDIST(E$9*SQRT($C$11)*NORMSINV($B196)+SQRT(1-E$9^2*$C$11)*NORMSINV(D196)))*(E$7-E$5)*(E$7-E$6))))</f>
        <v>0.0553129889076591</v>
      </c>
      <c r="F196" s="2" t="n">
        <v>0.617068382</v>
      </c>
      <c r="G196" s="2" t="n">
        <f aca="false">IF(G$7=G$5,G$6,IF(NORMSDIST(G$9*SQRT($C$11)*NORMSINV($B196)+SQRT(1-G$9^2*$C$11)*NORMSINV(F196))&lt;G$8,G$5+SQRT(NORMSDIST(G$9*SQRT($C$11)*NORMSINV($B196)+SQRT(1-G$9^2*$C$11)*NORMSINV(F196))*(G$7-G$5)*(G$6-G$5)),G$7-SQRT((1-NORMSDIST(G$9*SQRT($C$11)*NORMSINV($B196)+SQRT(1-G$9^2*$C$11)*NORMSINV(F196)))*(G$7-G$5)*(G$7-G$6))))</f>
        <v>0.0560150173166996</v>
      </c>
      <c r="H196" s="2" t="n">
        <v>0.360856021</v>
      </c>
      <c r="I196" s="2" t="n">
        <f aca="false">IF(I$7=I$5,I$6,IF(NORMSDIST(I$9*SQRT($C$11)*NORMSINV($B196)+SQRT(1-I$9^2*$C$11)*NORMSINV(H196))&lt;I$8,I$5+SQRT(NORMSDIST(I$9*SQRT($C$11)*NORMSINV($B196)+SQRT(1-I$9^2*$C$11)*NORMSINV(H196))*(I$7-I$5)*(I$6-I$5)),I$7-SQRT((1-NORMSDIST(I$9*SQRT($C$11)*NORMSINV($B196)+SQRT(1-I$9^2*$C$11)*NORMSINV(H196)))*(I$7-I$5)*(I$7-I$6))))</f>
        <v>197.116054782327</v>
      </c>
      <c r="J196" s="2" t="n">
        <v>0.947359716</v>
      </c>
      <c r="K196" s="2" t="n">
        <f aca="false">IF(K$7=K$5,K$6,IF(NORMSDIST(K$9*SQRT($C$11)*NORMSINV($B196)+SQRT(1-K$9^2*$C$11)*NORMSINV(J196))&lt;K$8,K$5+SQRT(NORMSDIST(K$9*SQRT($C$11)*NORMSINV($B196)+SQRT(1-K$9^2*$C$11)*NORMSINV(J196))*(K$7-K$5)*(K$6-K$5)),K$7-SQRT((1-NORMSDIST(K$9*SQRT($C$11)*NORMSINV($B196)+SQRT(1-K$9^2*$C$11)*NORMSINV(J196)))*(K$7-K$5)*(K$7-K$6))))</f>
        <v>0.378914464564786</v>
      </c>
      <c r="L196" s="2" t="n">
        <v>0.582236688</v>
      </c>
      <c r="M196" s="2" t="n">
        <f aca="false">IF(M$7=M$5,M$6,IF(NORMSDIST(M$9*SQRT($C$11)*NORMSINV($B196)+SQRT(1-M$9^2*$C$11)*NORMSINV(L196))&lt;M$8,M$5+SQRT(NORMSDIST(M$9*SQRT($C$11)*NORMSINV($B196)+SQRT(1-M$9^2*$C$11)*NORMSINV(L196))*(M$7-M$5)*(M$6-M$5)),M$7-SQRT((1-NORMSDIST(M$9*SQRT($C$11)*NORMSINV($B196)+SQRT(1-M$9^2*$C$11)*NORMSINV(L196)))*(M$7-M$5)*(M$7-M$6))))</f>
        <v>1595.80917270176</v>
      </c>
      <c r="N196" s="2" t="n">
        <v>0.032025535</v>
      </c>
      <c r="O196" s="2" t="n">
        <f aca="false">IF(O$7=O$5,O$6,IF(NORMSDIST(O$9*SQRT($C$11)*NORMSINV($B196)+SQRT(1-O$9^2*$C$11)*NORMSINV(N196))&lt;O$8,O$5+SQRT(NORMSDIST(O$9*SQRT($C$11)*NORMSINV($B196)+SQRT(1-O$9^2*$C$11)*NORMSINV(N196))*(O$7-O$5)*(O$6-O$5)),O$7-SQRT((1-NORMSDIST(O$9*SQRT($C$11)*NORMSINV($B196)+SQRT(1-O$9^2*$C$11)*NORMSINV(N196)))*(O$7-O$5)*(O$7-O$6))))</f>
        <v>0.149786209869339</v>
      </c>
      <c r="P196" s="2" t="n">
        <v>0.128916933</v>
      </c>
      <c r="Q196" s="2" t="n">
        <f aca="false">IF(Q$7=Q$5,Q$6,IF(NORMSDIST(Q$9*SQRT($C$11)*NORMSINV($B196)+SQRT(1-Q$9^2*$C$11)*NORMSINV(P196))&lt;Q$8,Q$5+SQRT(NORMSDIST(Q$9*SQRT($C$11)*NORMSINV($B196)+SQRT(1-Q$9^2*$C$11)*NORMSINV(P196))*(Q$7-Q$5)*(Q$6-Q$5)),Q$7-SQRT((1-NORMSDIST(Q$9*SQRT($C$11)*NORMSINV($B196)+SQRT(1-Q$9^2*$C$11)*NORMSINV(P196)))*(Q$7-Q$5)*(Q$7-Q$6))))</f>
        <v>0.0603109375854489</v>
      </c>
      <c r="R196" s="2" t="n">
        <v>0.26084257</v>
      </c>
      <c r="S196" s="2" t="n">
        <f aca="false">IF(S$7=S$5,S$6,IF(NORMSDIST(S$9*SQRT($C$11)*NORMSINV($B196)+SQRT(1-S$9^2*$C$11)*NORMSINV(R196))&lt;S$8,S$5+SQRT(NORMSDIST(S$9*SQRT($C$11)*NORMSINV($B196)+SQRT(1-S$9^2*$C$11)*NORMSINV(R196))*(S$7-S$5)*(S$6-S$5)),S$7-SQRT((1-NORMSDIST(S$9*SQRT($C$11)*NORMSINV($B196)+SQRT(1-S$9^2*$C$11)*NORMSINV(R196)))*(S$7-S$5)*(S$7-S$6))))</f>
        <v>0.378768951552636</v>
      </c>
      <c r="T196" s="2" t="n">
        <v>0.469771296</v>
      </c>
      <c r="U196" s="2" t="n">
        <f aca="false">IF(U$7=U$5,U$6,IF(NORMSDIST(U$9*SQRT($C$11)*NORMSINV($B196)+SQRT(1-U$9^2*$C$11)*NORMSINV(T196))&lt;U$8,U$5+SQRT(NORMSDIST(U$9*SQRT($C$11)*NORMSINV($B196)+SQRT(1-U$9^2*$C$11)*NORMSINV(T196))*(U$7-U$5)*(U$6-U$5)),U$7-SQRT((1-NORMSDIST(U$9*SQRT($C$11)*NORMSINV($B196)+SQRT(1-U$9^2*$C$11)*NORMSINV(T196)))*(U$7-U$5)*(U$7-U$6))))</f>
        <v>0.474521990776028</v>
      </c>
      <c r="V196" s="2" t="n">
        <v>0.474692795</v>
      </c>
      <c r="W196" s="2" t="n">
        <f aca="false">IF(W$7=W$5,W$6,IF(NORMSDIST(W$9*SQRT($C$11)*NORMSINV($B196)+SQRT(1-W$9^2*$C$11)*NORMSINV(V196))&lt;W$8,W$5+SQRT(NORMSDIST(W$9*SQRT($C$11)*NORMSINV($B196)+SQRT(1-W$9^2*$C$11)*NORMSINV(V196))*(W$7-W$5)*(W$6-W$5)),W$7-SQRT((1-NORMSDIST(W$9*SQRT($C$11)*NORMSINV($B196)+SQRT(1-W$9^2*$C$11)*NORMSINV(V196)))*(W$7-W$5)*(W$7-W$6))))</f>
        <v>9.90606666849809</v>
      </c>
      <c r="X196" s="2" t="n">
        <v>0.127786938</v>
      </c>
      <c r="Y196" s="2" t="n">
        <f aca="false">IF(Y$7=Y$5,Y$6,IF(NORMSDIST(Y$9*SQRT($C$11)*NORMSINV($B196)+SQRT(1-Y$9^2*$C$11)*NORMSINV(X196))&lt;Y$8,Y$5+SQRT(NORMSDIST(Y$9*SQRT($C$11)*NORMSINV($B196)+SQRT(1-Y$9^2*$C$11)*NORMSINV(X196))*(Y$7-Y$5)*(Y$6-Y$5)),Y$7-SQRT((1-NORMSDIST(Y$9*SQRT($C$11)*NORMSINV($B196)+SQRT(1-Y$9^2*$C$11)*NORMSINV(X196)))*(Y$7-Y$5)*(Y$7-Y$6))))</f>
        <v>0.252771574746845</v>
      </c>
      <c r="Z196" s="2" t="n">
        <v>0.183312456</v>
      </c>
      <c r="AA196" s="2" t="n">
        <f aca="false">IF(AA$7=AA$5,AA$6,IF(NORMSDIST(AA$9*SQRT($C$11)*NORMSINV($B196)+SQRT(1-AA$9^2*$C$11)*NORMSINV(Z196))&lt;AA$8,AA$5+SQRT(NORMSDIST(AA$9*SQRT($C$11)*NORMSINV($B196)+SQRT(1-AA$9^2*$C$11)*NORMSINV(Z196))*(AA$7-AA$5)*(AA$6-AA$5)),AA$7-SQRT((1-NORMSDIST(AA$9*SQRT($C$11)*NORMSINV($B196)+SQRT(1-AA$9^2*$C$11)*NORMSINV(Z196)))*(AA$7-AA$5)*(AA$7-AA$6))))</f>
        <v>0.717131069425999</v>
      </c>
      <c r="AB196" s="2" t="n">
        <v>0.61510984</v>
      </c>
      <c r="AC196" s="2" t="n">
        <f aca="false">IF(AC$7=AC$5,AC$6,IF(NORMSDIST(AC$9*SQRT($C$11)*NORMSINV($B196)+SQRT(1-AC$9^2*$C$11)*NORMSINV(AB196))&lt;AC$8,AC$5+SQRT(NORMSDIST(AC$9*SQRT($C$11)*NORMSINV($B196)+SQRT(1-AC$9^2*$C$11)*NORMSINV(AB196))*(AC$7-AC$5)*(AC$6-AC$5)),AC$7-SQRT((1-NORMSDIST(AC$9*SQRT($C$11)*NORMSINV($B196)+SQRT(1-AC$9^2*$C$11)*NORMSINV(AB196)))*(AC$7-AC$5)*(AC$7-AC$6))))</f>
        <v>9.60711518266583</v>
      </c>
      <c r="AD196" s="2" t="n">
        <f aca="false">Entrées!$C$8*(1+E196)</f>
        <v>7439.956571799</v>
      </c>
      <c r="AE196" s="2" t="n">
        <f aca="false">I196*Hypothèses!$J$24/12/Hypothèses!$J$19</f>
        <v>97.7886438830356</v>
      </c>
      <c r="AF196" s="2" t="n">
        <f aca="false">Entrées!$C$36*S196*1000</f>
        <v>189.384475776318</v>
      </c>
      <c r="AG196" s="2" t="n">
        <f aca="false">-AF196/W196</f>
        <v>-19.1180295988288</v>
      </c>
      <c r="AH196" s="2" t="n">
        <f aca="false">AD196+AE196+AG196</f>
        <v>7518.6271860832</v>
      </c>
      <c r="AI196" s="2" t="n">
        <f aca="false">Entrées!$C$16-M196+Hypothèses!$J$22*1000-AF196+Hypothèses!$J$23</f>
        <v>22762.8063515219</v>
      </c>
      <c r="AJ196" s="2" t="n">
        <f aca="false">AI196/AH196</f>
        <v>3.02752161906037</v>
      </c>
      <c r="AK196" s="2" t="n">
        <f aca="false">AI196/(AH196+I196*(12-Hypothèses!$J$24)/12/Hypothèses!$J$19)</f>
        <v>2.99965443645237</v>
      </c>
      <c r="AL196" s="2" t="n">
        <f aca="false">(AD196+AG196+I196/Hypothèses!$J$19)*(1+G196)</f>
        <v>8013.54484415483</v>
      </c>
      <c r="AM196" s="2" t="n">
        <f aca="false">Entrées!$C$54*K196/Hypothèses!$J$19</f>
        <v>38.6698120678629</v>
      </c>
      <c r="AN196" s="2" t="n">
        <f aca="false">Y196*1000/AC196</f>
        <v>26.310871675914</v>
      </c>
      <c r="AO196" s="2" t="n">
        <f aca="false">(Entrées!$C$36*(1-S196)+MAX(0,Entrées!$C$30-Entrées!$C$35-Entrées!$C$36)*U196)*1000</f>
        <v>974.946311310122</v>
      </c>
      <c r="AP196" s="2" t="n">
        <f aca="false">-AO196/W196</f>
        <v>-98.4191146633922</v>
      </c>
      <c r="AQ196" s="2" t="n">
        <f aca="false">AL196+AM196+AN196+AP196</f>
        <v>7980.10641323522</v>
      </c>
      <c r="AR196" s="2" t="n">
        <f aca="false">O196*AQ196-Hypothèses!$J$25/Hypothèses!$J$19</f>
        <v>1176.17473173088</v>
      </c>
      <c r="AS196" s="2" t="n">
        <f aca="false">Entrées!$C$79*(1+Q196)+Hypothèses!$J$20</f>
        <v>1460.28172040641</v>
      </c>
      <c r="AT196" s="2" t="n">
        <f aca="false">AI196-AR196+AS196+Y196*1000-AO196+Hypothèses!$J$23</f>
        <v>22324.7386036342</v>
      </c>
      <c r="AU196" s="2" t="n">
        <f aca="false">AT196/AQ196</f>
        <v>2.79754898588921</v>
      </c>
      <c r="AV196" s="2" t="n">
        <f aca="false">Hypothèses!$J$26*AQ196-AT196</f>
        <v>1615.58063607149</v>
      </c>
      <c r="AW196" s="2" t="n">
        <f aca="false">IF(AC196&gt;Hypothèses!$J$26,MAX(0,AV196)/(1-Hypothèses!$J$26/AC196),0)</f>
        <v>2349.14464611482</v>
      </c>
      <c r="AX196" s="2" t="n">
        <f aca="false">AQ196-Entrées!$C$17*1000</f>
        <v>-19.8935867647806</v>
      </c>
      <c r="AY196" s="2" t="n">
        <f aca="false">AI196+(Entrées!$C$244-Entrées!$C$13)</f>
        <v>28509.8063515219</v>
      </c>
      <c r="AZ196" s="2" t="n">
        <f aca="false">AA196*AH196</f>
        <v>5391.84115457124</v>
      </c>
      <c r="BA196" s="2" t="n">
        <f aca="false">AZ196/AY196</f>
        <v>0.189122335244603</v>
      </c>
      <c r="BB196" s="2" t="n">
        <f aca="false">AZ196/(Entrées!$C$151/100)-AY196</f>
        <v>1444.8667294294</v>
      </c>
      <c r="BC196" s="2" t="n">
        <f aca="false">AT196+(Entrées!$C$244-Entrées!$C$13)</f>
        <v>28071.7386036342</v>
      </c>
      <c r="BD196" s="2" t="n">
        <f aca="false">AA196*AQ196</f>
        <v>5722.78224625665</v>
      </c>
      <c r="BE196" s="2" t="n">
        <f aca="false">BD196/BC196</f>
        <v>0.203862764863298</v>
      </c>
      <c r="BF196" s="2" t="n">
        <f aca="false">BD196/(Entrées!$C$151/100)-BC196</f>
        <v>3721.49609779165</v>
      </c>
      <c r="BG196" s="2" t="n">
        <f aca="false">MIN(AV196,BF196)</f>
        <v>1615.58063607149</v>
      </c>
      <c r="BH196" s="2" t="n">
        <f aca="false">IF(AC196&gt;Hypothèses!$J$26,MAX(0,BG196)/(1-Hypothèses!$J$26/AC196),0)</f>
        <v>2349.14464611482</v>
      </c>
    </row>
    <row r="197" customFormat="false" ht="15" hidden="false" customHeight="false" outlineLevel="0" collapsed="false">
      <c r="A197" s="2" t="n">
        <v>182</v>
      </c>
      <c r="B197" s="2" t="n">
        <v>0.915525718</v>
      </c>
      <c r="C197" s="2"/>
      <c r="D197" s="2" t="n">
        <v>0.478591883</v>
      </c>
      <c r="E197" s="2" t="n">
        <f aca="false">IF(E$7=E$5,E$6,IF(NORMSDIST(E$9*SQRT($C$11)*NORMSINV($B197)+SQRT(1-E$9^2*$C$11)*NORMSINV(D197))&lt;E$8,E$5+SQRT(NORMSDIST(E$9*SQRT($C$11)*NORMSINV($B197)+SQRT(1-E$9^2*$C$11)*NORMSINV(D197))*(E$7-E$5)*(E$6-E$5)),E$7-SQRT((1-NORMSDIST(E$9*SQRT($C$11)*NORMSINV($B197)+SQRT(1-E$9^2*$C$11)*NORMSINV(D197)))*(E$7-E$5)*(E$7-E$6))))</f>
        <v>0.0568084619273461</v>
      </c>
      <c r="F197" s="2" t="n">
        <v>0.503034495</v>
      </c>
      <c r="G197" s="2" t="n">
        <f aca="false">IF(G$7=G$5,G$6,IF(NORMSDIST(G$9*SQRT($C$11)*NORMSINV($B197)+SQRT(1-G$9^2*$C$11)*NORMSINV(F197))&lt;G$8,G$5+SQRT(NORMSDIST(G$9*SQRT($C$11)*NORMSINV($B197)+SQRT(1-G$9^2*$C$11)*NORMSINV(F197))*(G$7-G$5)*(G$6-G$5)),G$7-SQRT((1-NORMSDIST(G$9*SQRT($C$11)*NORMSINV($B197)+SQRT(1-G$9^2*$C$11)*NORMSINV(F197)))*(G$7-G$5)*(G$7-G$6))))</f>
        <v>0.0607401387784094</v>
      </c>
      <c r="H197" s="2" t="n">
        <v>0.268494424</v>
      </c>
      <c r="I197" s="2" t="n">
        <f aca="false">IF(I$7=I$5,I$6,IF(NORMSDIST(I$9*SQRT($C$11)*NORMSINV($B197)+SQRT(1-I$9^2*$C$11)*NORMSINV(H197))&lt;I$8,I$5+SQRT(NORMSDIST(I$9*SQRT($C$11)*NORMSINV($B197)+SQRT(1-I$9^2*$C$11)*NORMSINV(H197))*(I$7-I$5)*(I$6-I$5)),I$7-SQRT((1-NORMSDIST(I$9*SQRT($C$11)*NORMSINV($B197)+SQRT(1-I$9^2*$C$11)*NORMSINV(H197)))*(I$7-I$5)*(I$7-I$6))))</f>
        <v>203.324061288551</v>
      </c>
      <c r="J197" s="2" t="n">
        <v>0.947430154</v>
      </c>
      <c r="K197" s="2" t="n">
        <f aca="false">IF(K$7=K$5,K$6,IF(NORMSDIST(K$9*SQRT($C$11)*NORMSINV($B197)+SQRT(1-K$9^2*$C$11)*NORMSINV(J197))&lt;K$8,K$5+SQRT(NORMSDIST(K$9*SQRT($C$11)*NORMSINV($B197)+SQRT(1-K$9^2*$C$11)*NORMSINV(J197))*(K$7-K$5)*(K$6-K$5)),K$7-SQRT((1-NORMSDIST(K$9*SQRT($C$11)*NORMSINV($B197)+SQRT(1-K$9^2*$C$11)*NORMSINV(J197)))*(K$7-K$5)*(K$7-K$6))))</f>
        <v>0.45419362583575</v>
      </c>
      <c r="L197" s="2" t="n">
        <v>0.144401136</v>
      </c>
      <c r="M197" s="2" t="n">
        <f aca="false">IF(M$7=M$5,M$6,IF(NORMSDIST(M$9*SQRT($C$11)*NORMSINV($B197)+SQRT(1-M$9^2*$C$11)*NORMSINV(L197))&lt;M$8,M$5+SQRT(NORMSDIST(M$9*SQRT($C$11)*NORMSINV($B197)+SQRT(1-M$9^2*$C$11)*NORMSINV(L197))*(M$7-M$5)*(M$6-M$5)),M$7-SQRT((1-NORMSDIST(M$9*SQRT($C$11)*NORMSINV($B197)+SQRT(1-M$9^2*$C$11)*NORMSINV(L197)))*(M$7-M$5)*(M$7-M$6))))</f>
        <v>1590.73921004741</v>
      </c>
      <c r="N197" s="2" t="n">
        <v>0.975599493</v>
      </c>
      <c r="O197" s="2" t="n">
        <f aca="false">IF(O$7=O$5,O$6,IF(NORMSDIST(O$9*SQRT($C$11)*NORMSINV($B197)+SQRT(1-O$9^2*$C$11)*NORMSINV(N197))&lt;O$8,O$5+SQRT(NORMSDIST(O$9*SQRT($C$11)*NORMSINV($B197)+SQRT(1-O$9^2*$C$11)*NORMSINV(N197))*(O$7-O$5)*(O$6-O$5)),O$7-SQRT((1-NORMSDIST(O$9*SQRT($C$11)*NORMSINV($B197)+SQRT(1-O$9^2*$C$11)*NORMSINV(N197)))*(O$7-O$5)*(O$7-O$6))))</f>
        <v>0.187029689624857</v>
      </c>
      <c r="P197" s="2" t="n">
        <v>0.699998458</v>
      </c>
      <c r="Q197" s="2" t="n">
        <f aca="false">IF(Q$7=Q$5,Q$6,IF(NORMSDIST(Q$9*SQRT($C$11)*NORMSINV($B197)+SQRT(1-Q$9^2*$C$11)*NORMSINV(P197))&lt;Q$8,Q$5+SQRT(NORMSDIST(Q$9*SQRT($C$11)*NORMSINV($B197)+SQRT(1-Q$9^2*$C$11)*NORMSINV(P197))*(Q$7-Q$5)*(Q$6-Q$5)),Q$7-SQRT((1-NORMSDIST(Q$9*SQRT($C$11)*NORMSINV($B197)+SQRT(1-Q$9^2*$C$11)*NORMSINV(P197)))*(Q$7-Q$5)*(Q$7-Q$6))))</f>
        <v>0.0890160536019054</v>
      </c>
      <c r="R197" s="2" t="n">
        <v>0.136675056</v>
      </c>
      <c r="S197" s="2" t="n">
        <f aca="false">IF(S$7=S$5,S$6,IF(NORMSDIST(S$9*SQRT($C$11)*NORMSINV($B197)+SQRT(1-S$9^2*$C$11)*NORMSINV(R197))&lt;S$8,S$5+SQRT(NORMSDIST(S$9*SQRT($C$11)*NORMSINV($B197)+SQRT(1-S$9^2*$C$11)*NORMSINV(R197))*(S$7-S$5)*(S$6-S$5)),S$7-SQRT((1-NORMSDIST(S$9*SQRT($C$11)*NORMSINV($B197)+SQRT(1-S$9^2*$C$11)*NORMSINV(R197)))*(S$7-S$5)*(S$7-S$6))))</f>
        <v>0.504311222476377</v>
      </c>
      <c r="T197" s="2" t="n">
        <v>0.725857888</v>
      </c>
      <c r="U197" s="2" t="n">
        <f aca="false">IF(U$7=U$5,U$6,IF(NORMSDIST(U$9*SQRT($C$11)*NORMSINV($B197)+SQRT(1-U$9^2*$C$11)*NORMSINV(T197))&lt;U$8,U$5+SQRT(NORMSDIST(U$9*SQRT($C$11)*NORMSINV($B197)+SQRT(1-U$9^2*$C$11)*NORMSINV(T197))*(U$7-U$5)*(U$6-U$5)),U$7-SQRT((1-NORMSDIST(U$9*SQRT($C$11)*NORMSINV($B197)+SQRT(1-U$9^2*$C$11)*NORMSINV(T197)))*(U$7-U$5)*(U$7-U$6))))</f>
        <v>0.786768187597199</v>
      </c>
      <c r="V197" s="2" t="n">
        <v>0.07690716</v>
      </c>
      <c r="W197" s="2" t="n">
        <f aca="false">IF(W$7=W$5,W$6,IF(NORMSDIST(W$9*SQRT($C$11)*NORMSINV($B197)+SQRT(1-W$9^2*$C$11)*NORMSINV(V197))&lt;W$8,W$5+SQRT(NORMSDIST(W$9*SQRT($C$11)*NORMSINV($B197)+SQRT(1-W$9^2*$C$11)*NORMSINV(V197))*(W$7-W$5)*(W$6-W$5)),W$7-SQRT((1-NORMSDIST(W$9*SQRT($C$11)*NORMSINV($B197)+SQRT(1-W$9^2*$C$11)*NORMSINV(V197)))*(W$7-W$5)*(W$7-W$6))))</f>
        <v>9.80491093420505</v>
      </c>
      <c r="X197" s="2" t="n">
        <v>0.428694966</v>
      </c>
      <c r="Y197" s="2" t="n">
        <f aca="false">IF(Y$7=Y$5,Y$6,IF(NORMSDIST(Y$9*SQRT($C$11)*NORMSINV($B197)+SQRT(1-Y$9^2*$C$11)*NORMSINV(X197))&lt;Y$8,Y$5+SQRT(NORMSDIST(Y$9*SQRT($C$11)*NORMSINV($B197)+SQRT(1-Y$9^2*$C$11)*NORMSINV(X197))*(Y$7-Y$5)*(Y$6-Y$5)),Y$7-SQRT((1-NORMSDIST(Y$9*SQRT($C$11)*NORMSINV($B197)+SQRT(1-Y$9^2*$C$11)*NORMSINV(X197)))*(Y$7-Y$5)*(Y$7-Y$6))))</f>
        <v>0.462976762915808</v>
      </c>
      <c r="Z197" s="2" t="n">
        <v>0.494534512</v>
      </c>
      <c r="AA197" s="2" t="n">
        <f aca="false">IF(AA$7=AA$5,AA$6,IF(NORMSDIST(AA$9*SQRT($C$11)*NORMSINV($B197)+SQRT(1-AA$9^2*$C$11)*NORMSINV(Z197))&lt;AA$8,AA$5+SQRT(NORMSDIST(AA$9*SQRT($C$11)*NORMSINV($B197)+SQRT(1-AA$9^2*$C$11)*NORMSINV(Z197))*(AA$7-AA$5)*(AA$6-AA$5)),AA$7-SQRT((1-NORMSDIST(AA$9*SQRT($C$11)*NORMSINV($B197)+SQRT(1-AA$9^2*$C$11)*NORMSINV(Z197)))*(AA$7-AA$5)*(AA$7-AA$6))))</f>
        <v>0.738036025318471</v>
      </c>
      <c r="AB197" s="2" t="n">
        <v>0.671184006</v>
      </c>
      <c r="AC197" s="2" t="n">
        <f aca="false">IF(AC$7=AC$5,AC$6,IF(NORMSDIST(AC$9*SQRT($C$11)*NORMSINV($B197)+SQRT(1-AC$9^2*$C$11)*NORMSINV(AB197))&lt;AC$8,AC$5+SQRT(NORMSDIST(AC$9*SQRT($C$11)*NORMSINV($B197)+SQRT(1-AC$9^2*$C$11)*NORMSINV(AB197))*(AC$7-AC$5)*(AC$6-AC$5)),AC$7-SQRT((1-NORMSDIST(AC$9*SQRT($C$11)*NORMSINV($B197)+SQRT(1-AC$9^2*$C$11)*NORMSINV(AB197)))*(AC$7-AC$5)*(AC$7-AC$6))))</f>
        <v>10.3028331136867</v>
      </c>
      <c r="AD197" s="2" t="n">
        <f aca="false">Entrées!$C$8*(1+E197)</f>
        <v>7450.49965658779</v>
      </c>
      <c r="AE197" s="2" t="n">
        <f aca="false">I197*Hypothèses!$J$24/12/Hypothèses!$J$19</f>
        <v>100.868416041276</v>
      </c>
      <c r="AF197" s="2" t="n">
        <f aca="false">Entrées!$C$36*S197*1000</f>
        <v>252.155611238188</v>
      </c>
      <c r="AG197" s="2" t="n">
        <f aca="false">-AF197/W197</f>
        <v>-25.7172770798486</v>
      </c>
      <c r="AH197" s="2" t="n">
        <f aca="false">AD197+AE197+AG197</f>
        <v>7525.65079554922</v>
      </c>
      <c r="AI197" s="2" t="n">
        <f aca="false">Entrées!$C$16-M197+Hypothèses!$J$22*1000-AF197+Hypothèses!$J$23</f>
        <v>22705.1051787144</v>
      </c>
      <c r="AJ197" s="2" t="n">
        <f aca="false">AI197/AH197</f>
        <v>3.01702879864457</v>
      </c>
      <c r="AK197" s="2" t="n">
        <f aca="false">AI197/(AH197+I197*(12-Hypothèses!$J$24)/12/Hypothèses!$J$19)</f>
        <v>2.98841836113223</v>
      </c>
      <c r="AL197" s="2" t="n">
        <f aca="false">(AD197+AG197+I197/Hypothèses!$J$19)*(1+G197)</f>
        <v>8059.18499614728</v>
      </c>
      <c r="AM197" s="2" t="n">
        <f aca="false">Entrées!$C$54*K197/Hypothèses!$J$19</f>
        <v>46.3523665523377</v>
      </c>
      <c r="AN197" s="2" t="n">
        <f aca="false">Y197*1000/AC197</f>
        <v>44.9368399747027</v>
      </c>
      <c r="AO197" s="2" t="n">
        <f aca="false">(Entrées!$C$36*(1-S197)+MAX(0,Entrées!$C$30-Entrées!$C$35-Entrées!$C$36)*U197)*1000</f>
        <v>1349.31985139789</v>
      </c>
      <c r="AP197" s="2" t="n">
        <f aca="false">-AO197/W197</f>
        <v>-137.61673720979</v>
      </c>
      <c r="AQ197" s="2" t="n">
        <f aca="false">AL197+AM197+AN197+AP197</f>
        <v>8012.85746546453</v>
      </c>
      <c r="AR197" s="2" t="n">
        <f aca="false">O197*AQ197-Hypothèses!$J$25/Hypothèses!$J$19</f>
        <v>1479.50708251243</v>
      </c>
      <c r="AS197" s="2" t="n">
        <f aca="false">Entrées!$C$79*(1+Q197)+Hypothèses!$J$20</f>
        <v>1491.82864290849</v>
      </c>
      <c r="AT197" s="2" t="n">
        <f aca="false">AI197-AR197+AS197+Y197*1000-AO197+Hypothèses!$J$23</f>
        <v>21831.0836506284</v>
      </c>
      <c r="AU197" s="2" t="n">
        <f aca="false">AT197/AQ197</f>
        <v>2.72450667501831</v>
      </c>
      <c r="AV197" s="2" t="n">
        <f aca="false">Hypothèses!$J$26*AQ197-AT197</f>
        <v>2207.4887457652</v>
      </c>
      <c r="AW197" s="2" t="n">
        <f aca="false">IF(AC197&gt;Hypothèses!$J$26,MAX(0,AV197)/(1-Hypothèses!$J$26/AC197),0)</f>
        <v>3114.32396083866</v>
      </c>
      <c r="AX197" s="2" t="n">
        <f aca="false">AQ197-Entrées!$C$17*1000</f>
        <v>12.8574654645327</v>
      </c>
      <c r="AY197" s="2" t="n">
        <f aca="false">AI197+(Entrées!$C$244-Entrées!$C$13)</f>
        <v>28452.1051787144</v>
      </c>
      <c r="AZ197" s="2" t="n">
        <f aca="false">AA197*AH197</f>
        <v>5554.20140108193</v>
      </c>
      <c r="BA197" s="2" t="n">
        <f aca="false">AZ197/AY197</f>
        <v>0.195212317900369</v>
      </c>
      <c r="BB197" s="2" t="n">
        <f aca="false">AZ197/(Entrées!$C$151/100)-AY197</f>
        <v>2404.56927174078</v>
      </c>
      <c r="BC197" s="2" t="n">
        <f aca="false">AT197+(Entrées!$C$244-Entrées!$C$13)</f>
        <v>27578.0836506284</v>
      </c>
      <c r="BD197" s="2" t="n">
        <f aca="false">AA197*AQ197</f>
        <v>5913.77747525488</v>
      </c>
      <c r="BE197" s="2" t="n">
        <f aca="false">BD197/BC197</f>
        <v>0.214437578410932</v>
      </c>
      <c r="BF197" s="2" t="n">
        <f aca="false">BD197/(Entrées!$C$151/100)-BC197</f>
        <v>5276.23565634316</v>
      </c>
      <c r="BG197" s="2" t="n">
        <f aca="false">MIN(AV197,BF197)</f>
        <v>2207.4887457652</v>
      </c>
      <c r="BH197" s="2" t="n">
        <f aca="false">IF(AC197&gt;Hypothèses!$J$26,MAX(0,BG197)/(1-Hypothèses!$J$26/AC197),0)</f>
        <v>3114.32396083866</v>
      </c>
    </row>
    <row r="198" customFormat="false" ht="15" hidden="false" customHeight="false" outlineLevel="0" collapsed="false">
      <c r="A198" s="2" t="n">
        <v>183</v>
      </c>
      <c r="B198" s="2" t="n">
        <v>0.790631082</v>
      </c>
      <c r="C198" s="2"/>
      <c r="D198" s="2" t="n">
        <v>0.494473101</v>
      </c>
      <c r="E198" s="2" t="n">
        <f aca="false">IF(E$7=E$5,E$6,IF(NORMSDIST(E$9*SQRT($C$11)*NORMSINV($B198)+SQRT(1-E$9^2*$C$11)*NORMSINV(D198))&lt;E$8,E$5+SQRT(NORMSDIST(E$9*SQRT($C$11)*NORMSINV($B198)+SQRT(1-E$9^2*$C$11)*NORMSINV(D198))*(E$7-E$5)*(E$6-E$5)),E$7-SQRT((1-NORMSDIST(E$9*SQRT($C$11)*NORMSINV($B198)+SQRT(1-E$9^2*$C$11)*NORMSINV(D198)))*(E$7-E$5)*(E$7-E$6))))</f>
        <v>0.0560738179721516</v>
      </c>
      <c r="F198" s="2" t="n">
        <v>0.346725193</v>
      </c>
      <c r="G198" s="2" t="n">
        <f aca="false">IF(G$7=G$5,G$6,IF(NORMSDIST(G$9*SQRT($C$11)*NORMSINV($B198)+SQRT(1-G$9^2*$C$11)*NORMSINV(F198))&lt;G$8,G$5+SQRT(NORMSDIST(G$9*SQRT($C$11)*NORMSINV($B198)+SQRT(1-G$9^2*$C$11)*NORMSINV(F198))*(G$7-G$5)*(G$6-G$5)),G$7-SQRT((1-NORMSDIST(G$9*SQRT($C$11)*NORMSINV($B198)+SQRT(1-G$9^2*$C$11)*NORMSINV(F198)))*(G$7-G$5)*(G$7-G$6))))</f>
        <v>0.0562790935896341</v>
      </c>
      <c r="H198" s="2" t="n">
        <v>0.976361521</v>
      </c>
      <c r="I198" s="2" t="n">
        <f aca="false">IF(I$7=I$5,I$6,IF(NORMSDIST(I$9*SQRT($C$11)*NORMSINV($B198)+SQRT(1-I$9^2*$C$11)*NORMSINV(H198))&lt;I$8,I$5+SQRT(NORMSDIST(I$9*SQRT($C$11)*NORMSINV($B198)+SQRT(1-I$9^2*$C$11)*NORMSINV(H198))*(I$7-I$5)*(I$6-I$5)),I$7-SQRT((1-NORMSDIST(I$9*SQRT($C$11)*NORMSINV($B198)+SQRT(1-I$9^2*$C$11)*NORMSINV(H198)))*(I$7-I$5)*(I$7-I$6))))</f>
        <v>215.972412574165</v>
      </c>
      <c r="J198" s="2" t="n">
        <v>0.784099373</v>
      </c>
      <c r="K198" s="2" t="n">
        <f aca="false">IF(K$7=K$5,K$6,IF(NORMSDIST(K$9*SQRT($C$11)*NORMSINV($B198)+SQRT(1-K$9^2*$C$11)*NORMSINV(J198))&lt;K$8,K$5+SQRT(NORMSDIST(K$9*SQRT($C$11)*NORMSINV($B198)+SQRT(1-K$9^2*$C$11)*NORMSINV(J198))*(K$7-K$5)*(K$6-K$5)),K$7-SQRT((1-NORMSDIST(K$9*SQRT($C$11)*NORMSINV($B198)+SQRT(1-K$9^2*$C$11)*NORMSINV(J198)))*(K$7-K$5)*(K$7-K$6))))</f>
        <v>0.371895502372385</v>
      </c>
      <c r="L198" s="2" t="n">
        <v>0.118424426</v>
      </c>
      <c r="M198" s="2" t="n">
        <f aca="false">IF(M$7=M$5,M$6,IF(NORMSDIST(M$9*SQRT($C$11)*NORMSINV($B198)+SQRT(1-M$9^2*$C$11)*NORMSINV(L198))&lt;M$8,M$5+SQRT(NORMSDIST(M$9*SQRT($C$11)*NORMSINV($B198)+SQRT(1-M$9^2*$C$11)*NORMSINV(L198))*(M$7-M$5)*(M$6-M$5)),M$7-SQRT((1-NORMSDIST(M$9*SQRT($C$11)*NORMSINV($B198)+SQRT(1-M$9^2*$C$11)*NORMSINV(L198)))*(M$7-M$5)*(M$7-M$6))))</f>
        <v>1536.82066293075</v>
      </c>
      <c r="N198" s="2" t="n">
        <v>0.121519795</v>
      </c>
      <c r="O198" s="2" t="n">
        <f aca="false">IF(O$7=O$5,O$6,IF(NORMSDIST(O$9*SQRT($C$11)*NORMSINV($B198)+SQRT(1-O$9^2*$C$11)*NORMSINV(N198))&lt;O$8,O$5+SQRT(NORMSDIST(O$9*SQRT($C$11)*NORMSINV($B198)+SQRT(1-O$9^2*$C$11)*NORMSINV(N198))*(O$7-O$5)*(O$6-O$5)),O$7-SQRT((1-NORMSDIST(O$9*SQRT($C$11)*NORMSINV($B198)+SQRT(1-O$9^2*$C$11)*NORMSINV(N198)))*(O$7-O$5)*(O$7-O$6))))</f>
        <v>0.162319943387993</v>
      </c>
      <c r="P198" s="2" t="n">
        <v>0.770431688</v>
      </c>
      <c r="Q198" s="2" t="n">
        <f aca="false">IF(Q$7=Q$5,Q$6,IF(NORMSDIST(Q$9*SQRT($C$11)*NORMSINV($B198)+SQRT(1-Q$9^2*$C$11)*NORMSINV(P198))&lt;Q$8,Q$5+SQRT(NORMSDIST(Q$9*SQRT($C$11)*NORMSINV($B198)+SQRT(1-Q$9^2*$C$11)*NORMSINV(P198))*(Q$7-Q$5)*(Q$6-Q$5)),Q$7-SQRT((1-NORMSDIST(Q$9*SQRT($C$11)*NORMSINV($B198)+SQRT(1-Q$9^2*$C$11)*NORMSINV(P198)))*(Q$7-Q$5)*(Q$7-Q$6))))</f>
        <v>0.0928961515942846</v>
      </c>
      <c r="R198" s="2" t="n">
        <v>0.621285673</v>
      </c>
      <c r="S198" s="2" t="n">
        <f aca="false">IF(S$7=S$5,S$6,IF(NORMSDIST(S$9*SQRT($C$11)*NORMSINV($B198)+SQRT(1-S$9^2*$C$11)*NORMSINV(R198))&lt;S$8,S$5+SQRT(NORMSDIST(S$9*SQRT($C$11)*NORMSINV($B198)+SQRT(1-S$9^2*$C$11)*NORMSINV(R198))*(S$7-S$5)*(S$6-S$5)),S$7-SQRT((1-NORMSDIST(S$9*SQRT($C$11)*NORMSINV($B198)+SQRT(1-S$9^2*$C$11)*NORMSINV(R198)))*(S$7-S$5)*(S$7-S$6))))</f>
        <v>0.663525068559204</v>
      </c>
      <c r="T198" s="2" t="n">
        <v>0.474782761</v>
      </c>
      <c r="U198" s="2" t="n">
        <f aca="false">IF(U$7=U$5,U$6,IF(NORMSDIST(U$9*SQRT($C$11)*NORMSINV($B198)+SQRT(1-U$9^2*$C$11)*NORMSINV(T198))&lt;U$8,U$5+SQRT(NORMSDIST(U$9*SQRT($C$11)*NORMSINV($B198)+SQRT(1-U$9^2*$C$11)*NORMSINV(T198))*(U$7-U$5)*(U$6-U$5)),U$7-SQRT((1-NORMSDIST(U$9*SQRT($C$11)*NORMSINV($B198)+SQRT(1-U$9^2*$C$11)*NORMSINV(T198)))*(U$7-U$5)*(U$7-U$6))))</f>
        <v>0.598819682721708</v>
      </c>
      <c r="V198" s="2" t="n">
        <v>0.457851047</v>
      </c>
      <c r="W198" s="2" t="n">
        <f aca="false">IF(W$7=W$5,W$6,IF(NORMSDIST(W$9*SQRT($C$11)*NORMSINV($B198)+SQRT(1-W$9^2*$C$11)*NORMSINV(V198))&lt;W$8,W$5+SQRT(NORMSDIST(W$9*SQRT($C$11)*NORMSINV($B198)+SQRT(1-W$9^2*$C$11)*NORMSINV(V198))*(W$7-W$5)*(W$6-W$5)),W$7-SQRT((1-NORMSDIST(W$9*SQRT($C$11)*NORMSINV($B198)+SQRT(1-W$9^2*$C$11)*NORMSINV(V198)))*(W$7-W$5)*(W$7-W$6))))</f>
        <v>10.3658438140629</v>
      </c>
      <c r="X198" s="2" t="n">
        <v>0.577387662</v>
      </c>
      <c r="Y198" s="2" t="n">
        <f aca="false">IF(Y$7=Y$5,Y$6,IF(NORMSDIST(Y$9*SQRT($C$11)*NORMSINV($B198)+SQRT(1-Y$9^2*$C$11)*NORMSINV(X198))&lt;Y$8,Y$5+SQRT(NORMSDIST(Y$9*SQRT($C$11)*NORMSINV($B198)+SQRT(1-Y$9^2*$C$11)*NORMSINV(X198))*(Y$7-Y$5)*(Y$6-Y$5)),Y$7-SQRT((1-NORMSDIST(Y$9*SQRT($C$11)*NORMSINV($B198)+SQRT(1-Y$9^2*$C$11)*NORMSINV(X198)))*(Y$7-Y$5)*(Y$7-Y$6))))</f>
        <v>0.540319492473305</v>
      </c>
      <c r="Z198" s="2" t="n">
        <v>0.926338098</v>
      </c>
      <c r="AA198" s="2" t="n">
        <f aca="false">IF(AA$7=AA$5,AA$6,IF(NORMSDIST(AA$9*SQRT($C$11)*NORMSINV($B198)+SQRT(1-AA$9^2*$C$11)*NORMSINV(Z198))&lt;AA$8,AA$5+SQRT(NORMSDIST(AA$9*SQRT($C$11)*NORMSINV($B198)+SQRT(1-AA$9^2*$C$11)*NORMSINV(Z198))*(AA$7-AA$5)*(AA$6-AA$5)),AA$7-SQRT((1-NORMSDIST(AA$9*SQRT($C$11)*NORMSINV($B198)+SQRT(1-AA$9^2*$C$11)*NORMSINV(Z198)))*(AA$7-AA$5)*(AA$7-AA$6))))</f>
        <v>0.745763238181849</v>
      </c>
      <c r="AB198" s="2" t="n">
        <v>0.192299552</v>
      </c>
      <c r="AC198" s="2" t="n">
        <f aca="false">IF(AC$7=AC$5,AC$6,IF(NORMSDIST(AC$9*SQRT($C$11)*NORMSINV($B198)+SQRT(1-AC$9^2*$C$11)*NORMSINV(AB198))&lt;AC$8,AC$5+SQRT(NORMSDIST(AC$9*SQRT($C$11)*NORMSINV($B198)+SQRT(1-AC$9^2*$C$11)*NORMSINV(AB198))*(AC$7-AC$5)*(AC$6-AC$5)),AC$7-SQRT((1-NORMSDIST(AC$9*SQRT($C$11)*NORMSINV($B198)+SQRT(1-AC$9^2*$C$11)*NORMSINV(AB198)))*(AC$7-AC$5)*(AC$7-AC$6))))</f>
        <v>9.34005751845015</v>
      </c>
      <c r="AD198" s="2" t="n">
        <f aca="false">Entrées!$C$8*(1+E198)</f>
        <v>7445.32041670367</v>
      </c>
      <c r="AE198" s="2" t="n">
        <f aca="false">I198*Hypothèses!$J$24/12/Hypothèses!$J$19</f>
        <v>107.143222631446</v>
      </c>
      <c r="AF198" s="2" t="n">
        <f aca="false">Entrées!$C$36*S198*1000</f>
        <v>331.762534279602</v>
      </c>
      <c r="AG198" s="2" t="n">
        <f aca="false">-AF198/W198</f>
        <v>-32.0053572319421</v>
      </c>
      <c r="AH198" s="2" t="n">
        <f aca="false">AD198+AE198+AG198</f>
        <v>7520.45828210317</v>
      </c>
      <c r="AI198" s="2" t="n">
        <f aca="false">Entrées!$C$16-M198+Hypothèses!$J$22*1000-AF198+Hypothèses!$J$23</f>
        <v>22679.4168027896</v>
      </c>
      <c r="AJ198" s="2" t="n">
        <f aca="false">AI198/AH198</f>
        <v>3.01569611213203</v>
      </c>
      <c r="AK198" s="2" t="n">
        <f aca="false">AI198/(AH198+I198*(12-Hypothèses!$J$24)/12/Hypothèses!$J$19)</f>
        <v>2.9853164640409</v>
      </c>
      <c r="AL198" s="2" t="n">
        <f aca="false">(AD198+AG198+I198/Hypothèses!$J$19)*(1+G198)</f>
        <v>8024.54081908818</v>
      </c>
      <c r="AM198" s="2" t="n">
        <f aca="false">Entrées!$C$54*K198/Hypothèses!$J$19</f>
        <v>37.9534975054106</v>
      </c>
      <c r="AN198" s="2" t="n">
        <f aca="false">Y198*1000/AC198</f>
        <v>57.8496964719938</v>
      </c>
      <c r="AO198" s="2" t="n">
        <f aca="false">(Entrées!$C$36*(1-S198)+MAX(0,Entrées!$C$30-Entrées!$C$35-Entrées!$C$36)*U198)*1000</f>
        <v>1006.58502153079</v>
      </c>
      <c r="AP198" s="2" t="n">
        <f aca="false">-AO198/W198</f>
        <v>-97.1059413576341</v>
      </c>
      <c r="AQ198" s="2" t="n">
        <f aca="false">AL198+AM198+AN198+AP198</f>
        <v>8023.23807170795</v>
      </c>
      <c r="AR198" s="2" t="n">
        <f aca="false">O198*AQ198-Hypothèses!$J$25/Hypothèses!$J$19</f>
        <v>1283.1963873264</v>
      </c>
      <c r="AS198" s="2" t="n">
        <f aca="false">Entrées!$C$79*(1+Q198)+Hypothèses!$J$20</f>
        <v>1496.09287060212</v>
      </c>
      <c r="AT198" s="2" t="n">
        <f aca="false">AI198-AR198+AS198+Y198*1000-AO198+Hypothèses!$J$23</f>
        <v>22426.0477570079</v>
      </c>
      <c r="AU198" s="2" t="n">
        <f aca="false">AT198/AQ198</f>
        <v>2.79513677103613</v>
      </c>
      <c r="AV198" s="2" t="n">
        <f aca="false">Hypothèses!$J$26*AQ198-AT198</f>
        <v>1643.66645811597</v>
      </c>
      <c r="AW198" s="2" t="n">
        <f aca="false">IF(AC198&gt;Hypothèses!$J$26,MAX(0,AV198)/(1-Hypothèses!$J$26/AC198),0)</f>
        <v>2421.41955578081</v>
      </c>
      <c r="AX198" s="2" t="n">
        <f aca="false">AQ198-Entrées!$C$17*1000</f>
        <v>23.2380717079495</v>
      </c>
      <c r="AY198" s="2" t="n">
        <f aca="false">AI198+(Entrées!$C$244-Entrées!$C$13)</f>
        <v>28426.4168027896</v>
      </c>
      <c r="AZ198" s="2" t="n">
        <f aca="false">AA198*AH198</f>
        <v>5608.48132107276</v>
      </c>
      <c r="BA198" s="2" t="n">
        <f aca="false">AZ198/AY198</f>
        <v>0.1972982159511</v>
      </c>
      <c r="BB198" s="2" t="n">
        <f aca="false">AZ198/(Entrées!$C$151/100)-AY198</f>
        <v>2731.81275872571</v>
      </c>
      <c r="BC198" s="2" t="n">
        <f aca="false">AT198+(Entrées!$C$244-Entrées!$C$13)</f>
        <v>28173.0477570079</v>
      </c>
      <c r="BD198" s="2" t="n">
        <f aca="false">AA198*AQ198</f>
        <v>5983.43600506081</v>
      </c>
      <c r="BE198" s="2" t="n">
        <f aca="false">BD198/BC198</f>
        <v>0.212381566121914</v>
      </c>
      <c r="BF198" s="2" t="n">
        <f aca="false">BD198/(Entrées!$C$151/100)-BC198</f>
        <v>5068.26338221885</v>
      </c>
      <c r="BG198" s="2" t="n">
        <f aca="false">MIN(AV198,BF198)</f>
        <v>1643.66645811597</v>
      </c>
      <c r="BH198" s="2" t="n">
        <f aca="false">IF(AC198&gt;Hypothèses!$J$26,MAX(0,BG198)/(1-Hypothèses!$J$26/AC198),0)</f>
        <v>2421.41955578081</v>
      </c>
    </row>
    <row r="199" customFormat="false" ht="15" hidden="false" customHeight="false" outlineLevel="0" collapsed="false">
      <c r="A199" s="2" t="n">
        <v>184</v>
      </c>
      <c r="B199" s="2" t="n">
        <v>0.079748344</v>
      </c>
      <c r="C199" s="2"/>
      <c r="D199" s="2" t="n">
        <v>0.13912961</v>
      </c>
      <c r="E199" s="2" t="n">
        <f aca="false">IF(E$7=E$5,E$6,IF(NORMSDIST(E$9*SQRT($C$11)*NORMSINV($B199)+SQRT(1-E$9^2*$C$11)*NORMSINV(D199))&lt;E$8,E$5+SQRT(NORMSDIST(E$9*SQRT($C$11)*NORMSINV($B199)+SQRT(1-E$9^2*$C$11)*NORMSINV(D199))*(E$7-E$5)*(E$6-E$5)),E$7-SQRT((1-NORMSDIST(E$9*SQRT($C$11)*NORMSINV($B199)+SQRT(1-E$9^2*$C$11)*NORMSINV(D199)))*(E$7-E$5)*(E$7-E$6))))</f>
        <v>0.0514466178571602</v>
      </c>
      <c r="F199" s="2" t="n">
        <v>0.997753402</v>
      </c>
      <c r="G199" s="2" t="n">
        <f aca="false">IF(G$7=G$5,G$6,IF(NORMSDIST(G$9*SQRT($C$11)*NORMSINV($B199)+SQRT(1-G$9^2*$C$11)*NORMSINV(F199))&lt;G$8,G$5+SQRT(NORMSDIST(G$9*SQRT($C$11)*NORMSINV($B199)+SQRT(1-G$9^2*$C$11)*NORMSINV(F199))*(G$7-G$5)*(G$6-G$5)),G$7-SQRT((1-NORMSDIST(G$9*SQRT($C$11)*NORMSINV($B199)+SQRT(1-G$9^2*$C$11)*NORMSINV(F199)))*(G$7-G$5)*(G$7-G$6))))</f>
        <v>0.0634648770031063</v>
      </c>
      <c r="H199" s="2" t="n">
        <v>0.080808159</v>
      </c>
      <c r="I199" s="2" t="n">
        <f aca="false">IF(I$7=I$5,I$6,IF(NORMSDIST(I$9*SQRT($C$11)*NORMSINV($B199)+SQRT(1-I$9^2*$C$11)*NORMSINV(H199))&lt;I$8,I$5+SQRT(NORMSDIST(I$9*SQRT($C$11)*NORMSINV($B199)+SQRT(1-I$9^2*$C$11)*NORMSINV(H199))*(I$7-I$5)*(I$6-I$5)),I$7-SQRT((1-NORMSDIST(I$9*SQRT($C$11)*NORMSINV($B199)+SQRT(1-I$9^2*$C$11)*NORMSINV(H199)))*(I$7-I$5)*(I$7-I$6))))</f>
        <v>184.399758758593</v>
      </c>
      <c r="J199" s="2" t="n">
        <v>0.943688073</v>
      </c>
      <c r="K199" s="2" t="n">
        <f aca="false">IF(K$7=K$5,K$6,IF(NORMSDIST(K$9*SQRT($C$11)*NORMSINV($B199)+SQRT(1-K$9^2*$C$11)*NORMSINV(J199))&lt;K$8,K$5+SQRT(NORMSDIST(K$9*SQRT($C$11)*NORMSINV($B199)+SQRT(1-K$9^2*$C$11)*NORMSINV(J199))*(K$7-K$5)*(K$6-K$5)),K$7-SQRT((1-NORMSDIST(K$9*SQRT($C$11)*NORMSINV($B199)+SQRT(1-K$9^2*$C$11)*NORMSINV(J199)))*(K$7-K$5)*(K$7-K$6))))</f>
        <v>0.285747165220614</v>
      </c>
      <c r="L199" s="2" t="n">
        <v>0.139805134</v>
      </c>
      <c r="M199" s="2" t="n">
        <f aca="false">IF(M$7=M$5,M$6,IF(NORMSDIST(M$9*SQRT($C$11)*NORMSINV($B199)+SQRT(1-M$9^2*$C$11)*NORMSINV(L199))&lt;M$8,M$5+SQRT(NORMSDIST(M$9*SQRT($C$11)*NORMSINV($B199)+SQRT(1-M$9^2*$C$11)*NORMSINV(L199))*(M$7-M$5)*(M$6-M$5)),M$7-SQRT((1-NORMSDIST(M$9*SQRT($C$11)*NORMSINV($B199)+SQRT(1-M$9^2*$C$11)*NORMSINV(L199)))*(M$7-M$5)*(M$7-M$6))))</f>
        <v>1385.03861075677</v>
      </c>
      <c r="N199" s="2" t="n">
        <v>0.415814197</v>
      </c>
      <c r="O199" s="2" t="n">
        <f aca="false">IF(O$7=O$5,O$6,IF(NORMSDIST(O$9*SQRT($C$11)*NORMSINV($B199)+SQRT(1-O$9^2*$C$11)*NORMSINV(N199))&lt;O$8,O$5+SQRT(NORMSDIST(O$9*SQRT($C$11)*NORMSINV($B199)+SQRT(1-O$9^2*$C$11)*NORMSINV(N199))*(O$7-O$5)*(O$6-O$5)),O$7-SQRT((1-NORMSDIST(O$9*SQRT($C$11)*NORMSINV($B199)+SQRT(1-O$9^2*$C$11)*NORMSINV(N199)))*(O$7-O$5)*(O$7-O$6))))</f>
        <v>0.154466023738456</v>
      </c>
      <c r="P199" s="2" t="n">
        <v>0.53460831</v>
      </c>
      <c r="Q199" s="2" t="n">
        <f aca="false">IF(Q$7=Q$5,Q$6,IF(NORMSDIST(Q$9*SQRT($C$11)*NORMSINV($B199)+SQRT(1-Q$9^2*$C$11)*NORMSINV(P199))&lt;Q$8,Q$5+SQRT(NORMSDIST(Q$9*SQRT($C$11)*NORMSINV($B199)+SQRT(1-Q$9^2*$C$11)*NORMSINV(P199))*(Q$7-Q$5)*(Q$6-Q$5)),Q$7-SQRT((1-NORMSDIST(Q$9*SQRT($C$11)*NORMSINV($B199)+SQRT(1-Q$9^2*$C$11)*NORMSINV(P199)))*(Q$7-Q$5)*(Q$7-Q$6))))</f>
        <v>0.0814091538315108</v>
      </c>
      <c r="R199" s="2" t="n">
        <v>0.544319998</v>
      </c>
      <c r="S199" s="2" t="n">
        <f aca="false">IF(S$7=S$5,S$6,IF(NORMSDIST(S$9*SQRT($C$11)*NORMSINV($B199)+SQRT(1-S$9^2*$C$11)*NORMSINV(R199))&lt;S$8,S$5+SQRT(NORMSDIST(S$9*SQRT($C$11)*NORMSINV($B199)+SQRT(1-S$9^2*$C$11)*NORMSINV(R199))*(S$7-S$5)*(S$6-S$5)),S$7-SQRT((1-NORMSDIST(S$9*SQRT($C$11)*NORMSINV($B199)+SQRT(1-S$9^2*$C$11)*NORMSINV(R199)))*(S$7-S$5)*(S$7-S$6))))</f>
        <v>0.324689692719455</v>
      </c>
      <c r="T199" s="2" t="n">
        <v>0.937181317</v>
      </c>
      <c r="U199" s="2" t="n">
        <f aca="false">IF(U$7=U$5,U$6,IF(NORMSDIST(U$9*SQRT($C$11)*NORMSINV($B199)+SQRT(1-U$9^2*$C$11)*NORMSINV(T199))&lt;U$8,U$5+SQRT(NORMSDIST(U$9*SQRT($C$11)*NORMSINV($B199)+SQRT(1-U$9^2*$C$11)*NORMSINV(T199))*(U$7-U$5)*(U$6-U$5)),U$7-SQRT((1-NORMSDIST(U$9*SQRT($C$11)*NORMSINV($B199)+SQRT(1-U$9^2*$C$11)*NORMSINV(T199)))*(U$7-U$5)*(U$7-U$6))))</f>
        <v>0.562173373439716</v>
      </c>
      <c r="V199" s="2" t="n">
        <v>0.330109288</v>
      </c>
      <c r="W199" s="2" t="n">
        <f aca="false">IF(W$7=W$5,W$6,IF(NORMSDIST(W$9*SQRT($C$11)*NORMSINV($B199)+SQRT(1-W$9^2*$C$11)*NORMSINV(V199))&lt;W$8,W$5+SQRT(NORMSDIST(W$9*SQRT($C$11)*NORMSINV($B199)+SQRT(1-W$9^2*$C$11)*NORMSINV(V199))*(W$7-W$5)*(W$6-W$5)),W$7-SQRT((1-NORMSDIST(W$9*SQRT($C$11)*NORMSINV($B199)+SQRT(1-W$9^2*$C$11)*NORMSINV(V199)))*(W$7-W$5)*(W$7-W$6))))</f>
        <v>8.93511012731031</v>
      </c>
      <c r="X199" s="2" t="n">
        <v>0.818404024</v>
      </c>
      <c r="Y199" s="2" t="n">
        <f aca="false">IF(Y$7=Y$5,Y$6,IF(NORMSDIST(Y$9*SQRT($C$11)*NORMSINV($B199)+SQRT(1-Y$9^2*$C$11)*NORMSINV(X199))&lt;Y$8,Y$5+SQRT(NORMSDIST(Y$9*SQRT($C$11)*NORMSINV($B199)+SQRT(1-Y$9^2*$C$11)*NORMSINV(X199))*(Y$7-Y$5)*(Y$6-Y$5)),Y$7-SQRT((1-NORMSDIST(Y$9*SQRT($C$11)*NORMSINV($B199)+SQRT(1-Y$9^2*$C$11)*NORMSINV(X199)))*(Y$7-Y$5)*(Y$7-Y$6))))</f>
        <v>0.698672955080365</v>
      </c>
      <c r="Z199" s="2" t="n">
        <v>0.965495157</v>
      </c>
      <c r="AA199" s="2" t="n">
        <f aca="false">IF(AA$7=AA$5,AA$6,IF(NORMSDIST(AA$9*SQRT($C$11)*NORMSINV($B199)+SQRT(1-AA$9^2*$C$11)*NORMSINV(Z199))&lt;AA$8,AA$5+SQRT(NORMSDIST(AA$9*SQRT($C$11)*NORMSINV($B199)+SQRT(1-AA$9^2*$C$11)*NORMSINV(Z199))*(AA$7-AA$5)*(AA$6-AA$5)),AA$7-SQRT((1-NORMSDIST(AA$9*SQRT($C$11)*NORMSINV($B199)+SQRT(1-AA$9^2*$C$11)*NORMSINV(Z199)))*(AA$7-AA$5)*(AA$7-AA$6))))</f>
        <v>0.734168997534334</v>
      </c>
      <c r="AB199" s="2" t="n">
        <v>0.671720329</v>
      </c>
      <c r="AC199" s="2" t="n">
        <f aca="false">IF(AC$7=AC$5,AC$6,IF(NORMSDIST(AC$9*SQRT($C$11)*NORMSINV($B199)+SQRT(1-AC$9^2*$C$11)*NORMSINV(AB199))&lt;AC$8,AC$5+SQRT(NORMSDIST(AC$9*SQRT($C$11)*NORMSINV($B199)+SQRT(1-AC$9^2*$C$11)*NORMSINV(AB199))*(AC$7-AC$5)*(AC$6-AC$5)),AC$7-SQRT((1-NORMSDIST(AC$9*SQRT($C$11)*NORMSINV($B199)+SQRT(1-AC$9^2*$C$11)*NORMSINV(AB199)))*(AC$7-AC$5)*(AC$7-AC$6))))</f>
        <v>8.99048044151594</v>
      </c>
      <c r="AD199" s="2" t="n">
        <f aca="false">Entrées!$C$8*(1+E199)</f>
        <v>7412.69865589298</v>
      </c>
      <c r="AE199" s="2" t="n">
        <f aca="false">I199*Hypothèses!$J$24/12/Hypothèses!$J$19</f>
        <v>91.4801301257503</v>
      </c>
      <c r="AF199" s="2" t="n">
        <f aca="false">Entrées!$C$36*S199*1000</f>
        <v>162.344846359727</v>
      </c>
      <c r="AG199" s="2" t="n">
        <f aca="false">-AF199/W199</f>
        <v>-18.1693167791539</v>
      </c>
      <c r="AH199" s="2" t="n">
        <f aca="false">AD199+AE199+AG199</f>
        <v>7486.00946923958</v>
      </c>
      <c r="AI199" s="2" t="n">
        <f aca="false">Entrées!$C$16-M199+Hypothèses!$J$22*1000-AF199+Hypothèses!$J$23</f>
        <v>23000.6165428835</v>
      </c>
      <c r="AJ199" s="2" t="n">
        <f aca="false">AI199/AH199</f>
        <v>3.07248028971835</v>
      </c>
      <c r="AK199" s="2" t="n">
        <f aca="false">AI199/(AH199+I199*(12-Hypothèses!$J$24)/12/Hypothèses!$J$19)</f>
        <v>3.04589367117978</v>
      </c>
      <c r="AL199" s="2" t="n">
        <f aca="false">(AD199+AG199+I199/Hypothèses!$J$19)*(1+G199)</f>
        <v>8030.59807182925</v>
      </c>
      <c r="AM199" s="2" t="n">
        <f aca="false">Entrées!$C$54*K199/Hypothèses!$J$19</f>
        <v>29.1616979855791</v>
      </c>
      <c r="AN199" s="2" t="n">
        <f aca="false">Y199*1000/AC199</f>
        <v>77.7125271141302</v>
      </c>
      <c r="AO199" s="2" t="n">
        <f aca="false">(Entrées!$C$36*(1-S199)+MAX(0,Entrées!$C$30-Entrées!$C$35-Entrées!$C$36)*U199)*1000</f>
        <v>1124.69787645587</v>
      </c>
      <c r="AP199" s="2" t="n">
        <f aca="false">-AO199/W199</f>
        <v>-125.873980334973</v>
      </c>
      <c r="AQ199" s="2" t="n">
        <f aca="false">AL199+AM199+AN199+AP199</f>
        <v>8011.59831659398</v>
      </c>
      <c r="AR199" s="2" t="n">
        <f aca="false">O199*AQ199-Hypothèses!$J$25/Hypothèses!$J$19</f>
        <v>1218.38457349236</v>
      </c>
      <c r="AS199" s="2" t="n">
        <f aca="false">Entrées!$C$79*(1+Q199)+Hypothèses!$J$20</f>
        <v>1483.46866006083</v>
      </c>
      <c r="AT199" s="2" t="n">
        <f aca="false">AI199-AR199+AS199+Y199*1000-AO199+Hypothèses!$J$23</f>
        <v>22839.6757080765</v>
      </c>
      <c r="AU199" s="2" t="n">
        <f aca="false">AT199/AQ199</f>
        <v>2.85082636516735</v>
      </c>
      <c r="AV199" s="2" t="n">
        <f aca="false">Hypothèses!$J$26*AQ199-AT199</f>
        <v>1195.11924170549</v>
      </c>
      <c r="AW199" s="2" t="n">
        <f aca="false">IF(AC199&gt;Hypothèses!$J$26,MAX(0,AV199)/(1-Hypothèses!$J$26/AC199),0)</f>
        <v>1793.6284531318</v>
      </c>
      <c r="AX199" s="2" t="n">
        <f aca="false">AQ199-Entrées!$C$17*1000</f>
        <v>11.5983165939842</v>
      </c>
      <c r="AY199" s="2" t="n">
        <f aca="false">AI199+(Entrées!$C$244-Entrées!$C$13)</f>
        <v>28747.6165428835</v>
      </c>
      <c r="AZ199" s="2" t="n">
        <f aca="false">AA199*AH199</f>
        <v>5495.99606756415</v>
      </c>
      <c r="BA199" s="2" t="n">
        <f aca="false">AZ199/AY199</f>
        <v>0.191180930056085</v>
      </c>
      <c r="BB199" s="2" t="n">
        <f aca="false">AZ199/(Entrées!$C$151/100)-AY199</f>
        <v>1785.694943584</v>
      </c>
      <c r="BC199" s="2" t="n">
        <f aca="false">AT199+(Entrées!$C$244-Entrées!$C$13)</f>
        <v>28586.6757080765</v>
      </c>
      <c r="BD199" s="2" t="n">
        <f aca="false">AA199*AQ199</f>
        <v>5881.86710474156</v>
      </c>
      <c r="BE199" s="2" t="n">
        <f aca="false">BD199/BC199</f>
        <v>0.205755547262873</v>
      </c>
      <c r="BF199" s="2" t="n">
        <f aca="false">BD199/(Entrées!$C$151/100)-BC199</f>
        <v>4090.36376270999</v>
      </c>
      <c r="BG199" s="2" t="n">
        <f aca="false">MIN(AV199,BF199)</f>
        <v>1195.11924170549</v>
      </c>
      <c r="BH199" s="2" t="n">
        <f aca="false">IF(AC199&gt;Hypothèses!$J$26,MAX(0,BG199)/(1-Hypothèses!$J$26/AC199),0)</f>
        <v>1793.6284531318</v>
      </c>
    </row>
    <row r="200" customFormat="false" ht="15" hidden="false" customHeight="false" outlineLevel="0" collapsed="false">
      <c r="A200" s="2" t="n">
        <v>185</v>
      </c>
      <c r="B200" s="2" t="n">
        <v>0.6686718</v>
      </c>
      <c r="C200" s="2"/>
      <c r="D200" s="2" t="n">
        <v>0.41937936</v>
      </c>
      <c r="E200" s="2" t="n">
        <f aca="false">IF(E$7=E$5,E$6,IF(NORMSDIST(E$9*SQRT($C$11)*NORMSINV($B200)+SQRT(1-E$9^2*$C$11)*NORMSINV(D200))&lt;E$8,E$5+SQRT(NORMSDIST(E$9*SQRT($C$11)*NORMSINV($B200)+SQRT(1-E$9^2*$C$11)*NORMSINV(D200))*(E$7-E$5)*(E$6-E$5)),E$7-SQRT((1-NORMSDIST(E$9*SQRT($C$11)*NORMSINV($B200)+SQRT(1-E$9^2*$C$11)*NORMSINV(D200)))*(E$7-E$5)*(E$7-E$6))))</f>
        <v>0.0552412278276326</v>
      </c>
      <c r="F200" s="2" t="n">
        <v>0.521340685</v>
      </c>
      <c r="G200" s="2" t="n">
        <f aca="false">IF(G$7=G$5,G$6,IF(NORMSDIST(G$9*SQRT($C$11)*NORMSINV($B200)+SQRT(1-G$9^2*$C$11)*NORMSINV(F200))&lt;G$8,G$5+SQRT(NORMSDIST(G$9*SQRT($C$11)*NORMSINV($B200)+SQRT(1-G$9^2*$C$11)*NORMSINV(F200))*(G$7-G$5)*(G$6-G$5)),G$7-SQRT((1-NORMSDIST(G$9*SQRT($C$11)*NORMSINV($B200)+SQRT(1-G$9^2*$C$11)*NORMSINV(F200)))*(G$7-G$5)*(G$7-G$6))))</f>
        <v>0.0570012384344016</v>
      </c>
      <c r="H200" s="2" t="n">
        <v>0.120834539</v>
      </c>
      <c r="I200" s="2" t="n">
        <f aca="false">IF(I$7=I$5,I$6,IF(NORMSDIST(I$9*SQRT($C$11)*NORMSINV($B200)+SQRT(1-I$9^2*$C$11)*NORMSINV(H200))&lt;I$8,I$5+SQRT(NORMSDIST(I$9*SQRT($C$11)*NORMSINV($B200)+SQRT(1-I$9^2*$C$11)*NORMSINV(H200))*(I$7-I$5)*(I$6-I$5)),I$7-SQRT((1-NORMSDIST(I$9*SQRT($C$11)*NORMSINV($B200)+SQRT(1-I$9^2*$C$11)*NORMSINV(H200)))*(I$7-I$5)*(I$7-I$6))))</f>
        <v>194.533194584276</v>
      </c>
      <c r="J200" s="2" t="n">
        <v>0.519717056</v>
      </c>
      <c r="K200" s="2" t="n">
        <f aca="false">IF(K$7=K$5,K$6,IF(NORMSDIST(K$9*SQRT($C$11)*NORMSINV($B200)+SQRT(1-K$9^2*$C$11)*NORMSINV(J200))&lt;K$8,K$5+SQRT(NORMSDIST(K$9*SQRT($C$11)*NORMSINV($B200)+SQRT(1-K$9^2*$C$11)*NORMSINV(J200))*(K$7-K$5)*(K$6-K$5)),K$7-SQRT((1-NORMSDIST(K$9*SQRT($C$11)*NORMSINV($B200)+SQRT(1-K$9^2*$C$11)*NORMSINV(J200)))*(K$7-K$5)*(K$7-K$6))))</f>
        <v>0.283008617595632</v>
      </c>
      <c r="L200" s="2" t="n">
        <v>0.606100198</v>
      </c>
      <c r="M200" s="2" t="n">
        <f aca="false">IF(M$7=M$5,M$6,IF(NORMSDIST(M$9*SQRT($C$11)*NORMSINV($B200)+SQRT(1-M$9^2*$C$11)*NORMSINV(L200))&lt;M$8,M$5+SQRT(NORMSDIST(M$9*SQRT($C$11)*NORMSINV($B200)+SQRT(1-M$9^2*$C$11)*NORMSINV(L200))*(M$7-M$5)*(M$6-M$5)),M$7-SQRT((1-NORMSDIST(M$9*SQRT($C$11)*NORMSINV($B200)+SQRT(1-M$9^2*$C$11)*NORMSINV(L200)))*(M$7-M$5)*(M$7-M$6))))</f>
        <v>1633.78228886665</v>
      </c>
      <c r="N200" s="2" t="n">
        <v>0.200636526</v>
      </c>
      <c r="O200" s="2" t="n">
        <f aca="false">IF(O$7=O$5,O$6,IF(NORMSDIST(O$9*SQRT($C$11)*NORMSINV($B200)+SQRT(1-O$9^2*$C$11)*NORMSINV(N200))&lt;O$8,O$5+SQRT(NORMSDIST(O$9*SQRT($C$11)*NORMSINV($B200)+SQRT(1-O$9^2*$C$11)*NORMSINV(N200))*(O$7-O$5)*(O$6-O$5)),O$7-SQRT((1-NORMSDIST(O$9*SQRT($C$11)*NORMSINV($B200)+SQRT(1-O$9^2*$C$11)*NORMSINV(N200)))*(O$7-O$5)*(O$7-O$6))))</f>
        <v>0.162540683716788</v>
      </c>
      <c r="P200" s="2" t="n">
        <v>0.419920076</v>
      </c>
      <c r="Q200" s="2" t="n">
        <f aca="false">IF(Q$7=Q$5,Q$6,IF(NORMSDIST(Q$9*SQRT($C$11)*NORMSINV($B200)+SQRT(1-Q$9^2*$C$11)*NORMSINV(P200))&lt;Q$8,Q$5+SQRT(NORMSDIST(Q$9*SQRT($C$11)*NORMSINV($B200)+SQRT(1-Q$9^2*$C$11)*NORMSINV(P200))*(Q$7-Q$5)*(Q$6-Q$5)),Q$7-SQRT((1-NORMSDIST(Q$9*SQRT($C$11)*NORMSINV($B200)+SQRT(1-Q$9^2*$C$11)*NORMSINV(P200)))*(Q$7-Q$5)*(Q$7-Q$6))))</f>
        <v>0.0766571172243536</v>
      </c>
      <c r="R200" s="2" t="n">
        <v>0.687142808</v>
      </c>
      <c r="S200" s="2" t="n">
        <f aca="false">IF(S$7=S$5,S$6,IF(NORMSDIST(S$9*SQRT($C$11)*NORMSINV($B200)+SQRT(1-S$9^2*$C$11)*NORMSINV(R200))&lt;S$8,S$5+SQRT(NORMSDIST(S$9*SQRT($C$11)*NORMSINV($B200)+SQRT(1-S$9^2*$C$11)*NORMSINV(R200))*(S$7-S$5)*(S$6-S$5)),S$7-SQRT((1-NORMSDIST(S$9*SQRT($C$11)*NORMSINV($B200)+SQRT(1-S$9^2*$C$11)*NORMSINV(R200)))*(S$7-S$5)*(S$7-S$6))))</f>
        <v>0.641780413323098</v>
      </c>
      <c r="T200" s="2" t="n">
        <v>0.443165619</v>
      </c>
      <c r="U200" s="2" t="n">
        <f aca="false">IF(U$7=U$5,U$6,IF(NORMSDIST(U$9*SQRT($C$11)*NORMSINV($B200)+SQRT(1-U$9^2*$C$11)*NORMSINV(T200))&lt;U$8,U$5+SQRT(NORMSDIST(U$9*SQRT($C$11)*NORMSINV($B200)+SQRT(1-U$9^2*$C$11)*NORMSINV(T200))*(U$7-U$5)*(U$6-U$5)),U$7-SQRT((1-NORMSDIST(U$9*SQRT($C$11)*NORMSINV($B200)+SQRT(1-U$9^2*$C$11)*NORMSINV(T200)))*(U$7-U$5)*(U$7-U$6))))</f>
        <v>0.533952333553359</v>
      </c>
      <c r="V200" s="2" t="n">
        <v>0.502292406</v>
      </c>
      <c r="W200" s="2" t="n">
        <f aca="false">IF(W$7=W$5,W$6,IF(NORMSDIST(W$9*SQRT($C$11)*NORMSINV($B200)+SQRT(1-W$9^2*$C$11)*NORMSINV(V200))&lt;W$8,W$5+SQRT(NORMSDIST(W$9*SQRT($C$11)*NORMSINV($B200)+SQRT(1-W$9^2*$C$11)*NORMSINV(V200))*(W$7-W$5)*(W$6-W$5)),W$7-SQRT((1-NORMSDIST(W$9*SQRT($C$11)*NORMSINV($B200)+SQRT(1-W$9^2*$C$11)*NORMSINV(V200)))*(W$7-W$5)*(W$7-W$6))))</f>
        <v>10.2345513692733</v>
      </c>
      <c r="X200" s="2" t="n">
        <v>0.746359284</v>
      </c>
      <c r="Y200" s="2" t="n">
        <f aca="false">IF(Y$7=Y$5,Y$6,IF(NORMSDIST(Y$9*SQRT($C$11)*NORMSINV($B200)+SQRT(1-Y$9^2*$C$11)*NORMSINV(X200))&lt;Y$8,Y$5+SQRT(NORMSDIST(Y$9*SQRT($C$11)*NORMSINV($B200)+SQRT(1-Y$9^2*$C$11)*NORMSINV(X200))*(Y$7-Y$5)*(Y$6-Y$5)),Y$7-SQRT((1-NORMSDIST(Y$9*SQRT($C$11)*NORMSINV($B200)+SQRT(1-Y$9^2*$C$11)*NORMSINV(X200)))*(Y$7-Y$5)*(Y$7-Y$6))))</f>
        <v>0.643881539372079</v>
      </c>
      <c r="Z200" s="2" t="n">
        <v>0.103373213</v>
      </c>
      <c r="AA200" s="2" t="n">
        <f aca="false">IF(AA$7=AA$5,AA$6,IF(NORMSDIST(AA$9*SQRT($C$11)*NORMSINV($B200)+SQRT(1-AA$9^2*$C$11)*NORMSINV(Z200))&lt;AA$8,AA$5+SQRT(NORMSDIST(AA$9*SQRT($C$11)*NORMSINV($B200)+SQRT(1-AA$9^2*$C$11)*NORMSINV(Z200))*(AA$7-AA$5)*(AA$6-AA$5)),AA$7-SQRT((1-NORMSDIST(AA$9*SQRT($C$11)*NORMSINV($B200)+SQRT(1-AA$9^2*$C$11)*NORMSINV(Z200)))*(AA$7-AA$5)*(AA$7-AA$6))))</f>
        <v>0.718058889924896</v>
      </c>
      <c r="AB200" s="2" t="n">
        <v>0.91297708</v>
      </c>
      <c r="AC200" s="2" t="n">
        <f aca="false">IF(AC$7=AC$5,AC$6,IF(NORMSDIST(AC$9*SQRT($C$11)*NORMSINV($B200)+SQRT(1-AC$9^2*$C$11)*NORMSINV(AB200))&lt;AC$8,AC$5+SQRT(NORMSDIST(AC$9*SQRT($C$11)*NORMSINV($B200)+SQRT(1-AC$9^2*$C$11)*NORMSINV(AB200))*(AC$7-AC$5)*(AC$6-AC$5)),AC$7-SQRT((1-NORMSDIST(AC$9*SQRT($C$11)*NORMSINV($B200)+SQRT(1-AC$9^2*$C$11)*NORMSINV(AB200)))*(AC$7-AC$5)*(AC$7-AC$6))))</f>
        <v>10.3697365231704</v>
      </c>
      <c r="AD200" s="2" t="n">
        <f aca="false">Entrées!$C$8*(1+E200)</f>
        <v>7439.45065618481</v>
      </c>
      <c r="AE200" s="2" t="n">
        <f aca="false">I200*Hypothèses!$J$24/12/Hypothèses!$J$19</f>
        <v>96.5072952055483</v>
      </c>
      <c r="AF200" s="2" t="n">
        <f aca="false">Entrées!$C$36*S200*1000</f>
        <v>320.890206661549</v>
      </c>
      <c r="AG200" s="2" t="n">
        <f aca="false">-AF200/W200</f>
        <v>-31.3536172796926</v>
      </c>
      <c r="AH200" s="2" t="n">
        <f aca="false">AD200+AE200+AG200</f>
        <v>7504.60433411067</v>
      </c>
      <c r="AI200" s="2" t="n">
        <f aca="false">Entrées!$C$16-M200+Hypothèses!$J$22*1000-AF200+Hypothèses!$J$23</f>
        <v>22593.3275044718</v>
      </c>
      <c r="AJ200" s="2" t="n">
        <f aca="false">AI200/AH200</f>
        <v>3.01059542896597</v>
      </c>
      <c r="AK200" s="2" t="n">
        <f aca="false">AI200/(AH200+I200*(12-Hypothèses!$J$24)/12/Hypothèses!$J$19)</f>
        <v>2.98319321263419</v>
      </c>
      <c r="AL200" s="2" t="n">
        <f aca="false">(AD200+AG200+I200/Hypothèses!$J$19)*(1+G200)</f>
        <v>8005.23916836531</v>
      </c>
      <c r="AM200" s="2" t="n">
        <f aca="false">Entrées!$C$54*K200/Hypothèses!$J$19</f>
        <v>28.8822177020313</v>
      </c>
      <c r="AN200" s="2" t="n">
        <f aca="false">Y200*1000/AC200</f>
        <v>62.0923721575156</v>
      </c>
      <c r="AO200" s="2" t="n">
        <f aca="false">(Entrées!$C$36*(1-S200)+MAX(0,Entrées!$C$30-Entrées!$C$35-Entrées!$C$36)*U200)*1000</f>
        <v>926.643060313154</v>
      </c>
      <c r="AP200" s="2" t="n">
        <f aca="false">-AO200/W200</f>
        <v>-90.5406623972956</v>
      </c>
      <c r="AQ200" s="2" t="n">
        <f aca="false">AL200+AM200+AN200+AP200</f>
        <v>8005.67309582756</v>
      </c>
      <c r="AR200" s="2" t="n">
        <f aca="false">O200*AQ200-Hypothèses!$J$25/Hypothèses!$J$19</f>
        <v>1282.11241634728</v>
      </c>
      <c r="AS200" s="2" t="n">
        <f aca="false">Entrées!$C$79*(1+Q200)+Hypothèses!$J$20</f>
        <v>1478.24617182956</v>
      </c>
      <c r="AT200" s="2" t="n">
        <f aca="false">AI200-AR200+AS200+Y200*1000-AO200+Hypothèses!$J$23</f>
        <v>22506.699739013</v>
      </c>
      <c r="AU200" s="2" t="n">
        <f aca="false">AT200/AQ200</f>
        <v>2.81134383950091</v>
      </c>
      <c r="AV200" s="2" t="n">
        <f aca="false">Hypothèses!$J$26*AQ200-AT200</f>
        <v>1510.31954846966</v>
      </c>
      <c r="AW200" s="2" t="n">
        <f aca="false">IF(AC200&gt;Hypothèses!$J$26,MAX(0,AV200)/(1-Hypothèses!$J$26/AC200),0)</f>
        <v>2125.12560444788</v>
      </c>
      <c r="AX200" s="2" t="n">
        <f aca="false">AQ200-Entrées!$C$17*1000</f>
        <v>5.67309582755843</v>
      </c>
      <c r="AY200" s="2" t="n">
        <f aca="false">AI200+(Entrées!$C$244-Entrées!$C$13)</f>
        <v>28340.3275044718</v>
      </c>
      <c r="AZ200" s="2" t="n">
        <f aca="false">AA200*AH200</f>
        <v>5388.74785747707</v>
      </c>
      <c r="BA200" s="2" t="n">
        <f aca="false">AZ200/AY200</f>
        <v>0.190144163176194</v>
      </c>
      <c r="BB200" s="2" t="n">
        <f aca="false">AZ200/(Entrées!$C$151/100)-AY200</f>
        <v>1597.16059262302</v>
      </c>
      <c r="BC200" s="2" t="n">
        <f aca="false">AT200+(Entrées!$C$244-Entrées!$C$13)</f>
        <v>28253.699739013</v>
      </c>
      <c r="BD200" s="2" t="n">
        <f aca="false">AA200*AQ200</f>
        <v>5748.54473629154</v>
      </c>
      <c r="BE200" s="2" t="n">
        <f aca="false">BD200/BC200</f>
        <v>0.203461663052711</v>
      </c>
      <c r="BF200" s="2" t="n">
        <f aca="false">BD200/(Entrées!$C$151/100)-BC200</f>
        <v>3682.65990705111</v>
      </c>
      <c r="BG200" s="2" t="n">
        <f aca="false">MIN(AV200,BF200)</f>
        <v>1510.31954846966</v>
      </c>
      <c r="BH200" s="2" t="n">
        <f aca="false">IF(AC200&gt;Hypothèses!$J$26,MAX(0,BG200)/(1-Hypothèses!$J$26/AC200),0)</f>
        <v>2125.12560444788</v>
      </c>
    </row>
    <row r="201" customFormat="false" ht="15" hidden="false" customHeight="false" outlineLevel="0" collapsed="false">
      <c r="A201" s="2" t="n">
        <v>186</v>
      </c>
      <c r="B201" s="2" t="n">
        <v>0.585558734</v>
      </c>
      <c r="C201" s="2"/>
      <c r="D201" s="2" t="n">
        <v>0.091488445</v>
      </c>
      <c r="E201" s="2" t="n">
        <f aca="false">IF(E$7=E$5,E$6,IF(NORMSDIST(E$9*SQRT($C$11)*NORMSINV($B201)+SQRT(1-E$9^2*$C$11)*NORMSINV(D201))&lt;E$8,E$5+SQRT(NORMSDIST(E$9*SQRT($C$11)*NORMSINV($B201)+SQRT(1-E$9^2*$C$11)*NORMSINV(D201))*(E$7-E$5)*(E$6-E$5)),E$7-SQRT((1-NORMSDIST(E$9*SQRT($C$11)*NORMSINV($B201)+SQRT(1-E$9^2*$C$11)*NORMSINV(D201)))*(E$7-E$5)*(E$7-E$6))))</f>
        <v>0.0530450710324017</v>
      </c>
      <c r="F201" s="2" t="n">
        <v>0.478363637</v>
      </c>
      <c r="G201" s="2" t="n">
        <f aca="false">IF(G$7=G$5,G$6,IF(NORMSDIST(G$9*SQRT($C$11)*NORMSINV($B201)+SQRT(1-G$9^2*$C$11)*NORMSINV(F201))&lt;G$8,G$5+SQRT(NORMSDIST(G$9*SQRT($C$11)*NORMSINV($B201)+SQRT(1-G$9^2*$C$11)*NORMSINV(F201))*(G$7-G$5)*(G$6-G$5)),G$7-SQRT((1-NORMSDIST(G$9*SQRT($C$11)*NORMSINV($B201)+SQRT(1-G$9^2*$C$11)*NORMSINV(F201)))*(G$7-G$5)*(G$7-G$6))))</f>
        <v>0.055576733015316</v>
      </c>
      <c r="H201" s="2" t="n">
        <v>0.575493452</v>
      </c>
      <c r="I201" s="2" t="n">
        <f aca="false">IF(I$7=I$5,I$6,IF(NORMSDIST(I$9*SQRT($C$11)*NORMSINV($B201)+SQRT(1-I$9^2*$C$11)*NORMSINV(H201))&lt;I$8,I$5+SQRT(NORMSDIST(I$9*SQRT($C$11)*NORMSINV($B201)+SQRT(1-I$9^2*$C$11)*NORMSINV(H201))*(I$7-I$5)*(I$6-I$5)),I$7-SQRT((1-NORMSDIST(I$9*SQRT($C$11)*NORMSINV($B201)+SQRT(1-I$9^2*$C$11)*NORMSINV(H201)))*(I$7-I$5)*(I$7-I$6))))</f>
        <v>202.378576560357</v>
      </c>
      <c r="J201" s="2" t="n">
        <v>0.491462953</v>
      </c>
      <c r="K201" s="2" t="n">
        <f aca="false">IF(K$7=K$5,K$6,IF(NORMSDIST(K$9*SQRT($C$11)*NORMSINV($B201)+SQRT(1-K$9^2*$C$11)*NORMSINV(J201))&lt;K$8,K$5+SQRT(NORMSDIST(K$9*SQRT($C$11)*NORMSINV($B201)+SQRT(1-K$9^2*$C$11)*NORMSINV(J201))*(K$7-K$5)*(K$6-K$5)),K$7-SQRT((1-NORMSDIST(K$9*SQRT($C$11)*NORMSINV($B201)+SQRT(1-K$9^2*$C$11)*NORMSINV(J201)))*(K$7-K$5)*(K$7-K$6))))</f>
        <v>0.262251566665619</v>
      </c>
      <c r="L201" s="2" t="n">
        <v>0.861583879</v>
      </c>
      <c r="M201" s="2" t="n">
        <f aca="false">IF(M$7=M$5,M$6,IF(NORMSDIST(M$9*SQRT($C$11)*NORMSINV($B201)+SQRT(1-M$9^2*$C$11)*NORMSINV(L201))&lt;M$8,M$5+SQRT(NORMSDIST(M$9*SQRT($C$11)*NORMSINV($B201)+SQRT(1-M$9^2*$C$11)*NORMSINV(L201))*(M$7-M$5)*(M$6-M$5)),M$7-SQRT((1-NORMSDIST(M$9*SQRT($C$11)*NORMSINV($B201)+SQRT(1-M$9^2*$C$11)*NORMSINV(L201)))*(M$7-M$5)*(M$7-M$6))))</f>
        <v>1677.71423491132</v>
      </c>
      <c r="N201" s="2" t="n">
        <v>0.501893906</v>
      </c>
      <c r="O201" s="2" t="n">
        <f aca="false">IF(O$7=O$5,O$6,IF(NORMSDIST(O$9*SQRT($C$11)*NORMSINV($B201)+SQRT(1-O$9^2*$C$11)*NORMSINV(N201))&lt;O$8,O$5+SQRT(NORMSDIST(O$9*SQRT($C$11)*NORMSINV($B201)+SQRT(1-O$9^2*$C$11)*NORMSINV(N201))*(O$7-O$5)*(O$6-O$5)),O$7-SQRT((1-NORMSDIST(O$9*SQRT($C$11)*NORMSINV($B201)+SQRT(1-O$9^2*$C$11)*NORMSINV(N201)))*(O$7-O$5)*(O$7-O$6))))</f>
        <v>0.168239987439536</v>
      </c>
      <c r="P201" s="2" t="n">
        <v>0.930647979</v>
      </c>
      <c r="Q201" s="2" t="n">
        <f aca="false">IF(Q$7=Q$5,Q$6,IF(NORMSDIST(Q$9*SQRT($C$11)*NORMSINV($B201)+SQRT(1-Q$9^2*$C$11)*NORMSINV(P201))&lt;Q$8,Q$5+SQRT(NORMSDIST(Q$9*SQRT($C$11)*NORMSINV($B201)+SQRT(1-Q$9^2*$C$11)*NORMSINV(P201))*(Q$7-Q$5)*(Q$6-Q$5)),Q$7-SQRT((1-NORMSDIST(Q$9*SQRT($C$11)*NORMSINV($B201)+SQRT(1-Q$9^2*$C$11)*NORMSINV(P201)))*(Q$7-Q$5)*(Q$7-Q$6))))</f>
        <v>0.105102803377816</v>
      </c>
      <c r="R201" s="2" t="n">
        <v>0.835576562</v>
      </c>
      <c r="S201" s="2" t="n">
        <f aca="false">IF(S$7=S$5,S$6,IF(NORMSDIST(S$9*SQRT($C$11)*NORMSINV($B201)+SQRT(1-S$9^2*$C$11)*NORMSINV(R201))&lt;S$8,S$5+SQRT(NORMSDIST(S$9*SQRT($C$11)*NORMSINV($B201)+SQRT(1-S$9^2*$C$11)*NORMSINV(R201))*(S$7-S$5)*(S$6-S$5)),S$7-SQRT((1-NORMSDIST(S$9*SQRT($C$11)*NORMSINV($B201)+SQRT(1-S$9^2*$C$11)*NORMSINV(R201)))*(S$7-S$5)*(S$7-S$6))))</f>
        <v>0.695108822071126</v>
      </c>
      <c r="T201" s="2" t="n">
        <v>0.007521891</v>
      </c>
      <c r="U201" s="2" t="n">
        <f aca="false">IF(U$7=U$5,U$6,IF(NORMSDIST(U$9*SQRT($C$11)*NORMSINV($B201)+SQRT(1-U$9^2*$C$11)*NORMSINV(T201))&lt;U$8,U$5+SQRT(NORMSDIST(U$9*SQRT($C$11)*NORMSINV($B201)+SQRT(1-U$9^2*$C$11)*NORMSINV(T201))*(U$7-U$5)*(U$6-U$5)),U$7-SQRT((1-NORMSDIST(U$9*SQRT($C$11)*NORMSINV($B201)+SQRT(1-U$9^2*$C$11)*NORMSINV(T201)))*(U$7-U$5)*(U$7-U$6))))</f>
        <v>0.142044786077182</v>
      </c>
      <c r="V201" s="2" t="n">
        <v>0.882951736</v>
      </c>
      <c r="W201" s="2" t="n">
        <f aca="false">IF(W$7=W$5,W$6,IF(NORMSDIST(W$9*SQRT($C$11)*NORMSINV($B201)+SQRT(1-W$9^2*$C$11)*NORMSINV(V201))&lt;W$8,W$5+SQRT(NORMSDIST(W$9*SQRT($C$11)*NORMSINV($B201)+SQRT(1-W$9^2*$C$11)*NORMSINV(V201))*(W$7-W$5)*(W$6-W$5)),W$7-SQRT((1-NORMSDIST(W$9*SQRT($C$11)*NORMSINV($B201)+SQRT(1-W$9^2*$C$11)*NORMSINV(V201)))*(W$7-W$5)*(W$7-W$6))))</f>
        <v>10.9231747456867</v>
      </c>
      <c r="X201" s="2" t="n">
        <v>0.828752326</v>
      </c>
      <c r="Y201" s="2" t="n">
        <f aca="false">IF(Y$7=Y$5,Y$6,IF(NORMSDIST(Y$9*SQRT($C$11)*NORMSINV($B201)+SQRT(1-Y$9^2*$C$11)*NORMSINV(X201))&lt;Y$8,Y$5+SQRT(NORMSDIST(Y$9*SQRT($C$11)*NORMSINV($B201)+SQRT(1-Y$9^2*$C$11)*NORMSINV(X201))*(Y$7-Y$5)*(Y$6-Y$5)),Y$7-SQRT((1-NORMSDIST(Y$9*SQRT($C$11)*NORMSINV($B201)+SQRT(1-Y$9^2*$C$11)*NORMSINV(X201)))*(Y$7-Y$5)*(Y$7-Y$6))))</f>
        <v>0.707384489474669</v>
      </c>
      <c r="Z201" s="2" t="n">
        <v>0.484812722</v>
      </c>
      <c r="AA201" s="2" t="n">
        <f aca="false">IF(AA$7=AA$5,AA$6,IF(NORMSDIST(AA$9*SQRT($C$11)*NORMSINV($B201)+SQRT(1-AA$9^2*$C$11)*NORMSINV(Z201))&lt;AA$8,AA$5+SQRT(NORMSDIST(AA$9*SQRT($C$11)*NORMSINV($B201)+SQRT(1-AA$9^2*$C$11)*NORMSINV(Z201))*(AA$7-AA$5)*(AA$6-AA$5)),AA$7-SQRT((1-NORMSDIST(AA$9*SQRT($C$11)*NORMSINV($B201)+SQRT(1-AA$9^2*$C$11)*NORMSINV(Z201)))*(AA$7-AA$5)*(AA$7-AA$6))))</f>
        <v>0.729419945631186</v>
      </c>
      <c r="AB201" s="2" t="n">
        <v>0.442689869</v>
      </c>
      <c r="AC201" s="2" t="n">
        <f aca="false">IF(AC$7=AC$5,AC$6,IF(NORMSDIST(AC$9*SQRT($C$11)*NORMSINV($B201)+SQRT(1-AC$9^2*$C$11)*NORMSINV(AB201))&lt;AC$8,AC$5+SQRT(NORMSDIST(AC$9*SQRT($C$11)*NORMSINV($B201)+SQRT(1-AC$9^2*$C$11)*NORMSINV(AB201))*(AC$7-AC$5)*(AC$6-AC$5)),AC$7-SQRT((1-NORMSDIST(AC$9*SQRT($C$11)*NORMSINV($B201)+SQRT(1-AC$9^2*$C$11)*NORMSINV(AB201)))*(AC$7-AC$5)*(AC$7-AC$6))))</f>
        <v>9.49911519150746</v>
      </c>
      <c r="AD201" s="2" t="n">
        <f aca="false">Entrées!$C$8*(1+E201)</f>
        <v>7423.96775077843</v>
      </c>
      <c r="AE201" s="2" t="n">
        <f aca="false">I201*Hypothèses!$J$24/12/Hypothèses!$J$19</f>
        <v>100.39936409376</v>
      </c>
      <c r="AF201" s="2" t="n">
        <f aca="false">Entrées!$C$36*S201*1000</f>
        <v>347.554411035563</v>
      </c>
      <c r="AG201" s="2" t="n">
        <f aca="false">-AF201/W201</f>
        <v>-31.8180766239965</v>
      </c>
      <c r="AH201" s="2" t="n">
        <f aca="false">AD201+AE201+AG201</f>
        <v>7492.5490382482</v>
      </c>
      <c r="AI201" s="2" t="n">
        <f aca="false">Entrées!$C$16-M201+Hypothèses!$J$22*1000-AF201+Hypothèses!$J$23</f>
        <v>22522.7313540531</v>
      </c>
      <c r="AJ201" s="2" t="n">
        <f aca="false">AI201/AH201</f>
        <v>3.00601720977446</v>
      </c>
      <c r="AK201" s="2" t="n">
        <f aca="false">AI201/(AH201+I201*(12-Hypothèses!$J$24)/12/Hypothèses!$J$19)</f>
        <v>2.97751833085306</v>
      </c>
      <c r="AL201" s="2" t="n">
        <f aca="false">(AD201+AG201+I201/Hypothèses!$J$19)*(1+G201)</f>
        <v>7984.65988771316</v>
      </c>
      <c r="AM201" s="2" t="n">
        <f aca="false">Entrées!$C$54*K201/Hypothèses!$J$19</f>
        <v>26.7638735013986</v>
      </c>
      <c r="AN201" s="2" t="n">
        <f aca="false">Y201*1000/AC201</f>
        <v>74.468461031728</v>
      </c>
      <c r="AO201" s="2" t="n">
        <f aca="false">(Entrées!$C$36*(1-S201)+MAX(0,Entrées!$C$30-Entrées!$C$35-Entrées!$C$36)*U201)*1000</f>
        <v>351.308289472492</v>
      </c>
      <c r="AP201" s="2" t="n">
        <f aca="false">-AO201/W201</f>
        <v>-32.161738473626</v>
      </c>
      <c r="AQ201" s="2" t="n">
        <f aca="false">AL201+AM201+AN201+AP201</f>
        <v>8053.73048377266</v>
      </c>
      <c r="AR201" s="2" t="n">
        <f aca="false">O201*AQ201-Hypothèses!$J$25/Hypothèses!$J$19</f>
        <v>1335.82435316969</v>
      </c>
      <c r="AS201" s="2" t="n">
        <f aca="false">Entrées!$C$79*(1+Q201)+Hypothèses!$J$20</f>
        <v>1509.50798091222</v>
      </c>
      <c r="AT201" s="2" t="n">
        <f aca="false">AI201-AR201+AS201+Y201*1000-AO201+Hypothèses!$J$23</f>
        <v>23052.4911817978</v>
      </c>
      <c r="AU201" s="2" t="n">
        <f aca="false">AT201/AQ201</f>
        <v>2.86233705339978</v>
      </c>
      <c r="AV201" s="2" t="n">
        <f aca="false">Hypothèses!$J$26*AQ201-AT201</f>
        <v>1108.70026952014</v>
      </c>
      <c r="AW201" s="2" t="n">
        <f aca="false">IF(AC201&gt;Hypothèses!$J$26,MAX(0,AV201)/(1-Hypothèses!$J$26/AC201),0)</f>
        <v>1620.47775161597</v>
      </c>
      <c r="AX201" s="2" t="n">
        <f aca="false">AQ201-Entrées!$C$17*1000</f>
        <v>53.730483772656</v>
      </c>
      <c r="AY201" s="2" t="n">
        <f aca="false">AI201+(Entrées!$C$244-Entrées!$C$13)</f>
        <v>28269.7313540531</v>
      </c>
      <c r="AZ201" s="2" t="n">
        <f aca="false">AA201*AH201</f>
        <v>5465.214712118</v>
      </c>
      <c r="BA201" s="2" t="n">
        <f aca="false">AZ201/AY201</f>
        <v>0.193323899816064</v>
      </c>
      <c r="BB201" s="2" t="n">
        <f aca="false">AZ201/(Entrées!$C$151/100)-AY201</f>
        <v>2092.57260215797</v>
      </c>
      <c r="BC201" s="2" t="n">
        <f aca="false">AT201+(Entrées!$C$244-Entrées!$C$13)</f>
        <v>28799.4911817978</v>
      </c>
      <c r="BD201" s="2" t="n">
        <f aca="false">AA201*AQ201</f>
        <v>5874.55165160168</v>
      </c>
      <c r="BE201" s="2" t="n">
        <f aca="false">BD201/BC201</f>
        <v>0.20398109169771</v>
      </c>
      <c r="BF201" s="2" t="n">
        <f aca="false">BD201/(Entrées!$C$151/100)-BC201</f>
        <v>3836.90688265595</v>
      </c>
      <c r="BG201" s="2" t="n">
        <f aca="false">MIN(AV201,BF201)</f>
        <v>1108.70026952014</v>
      </c>
      <c r="BH201" s="2" t="n">
        <f aca="false">IF(AC201&gt;Hypothèses!$J$26,MAX(0,BG201)/(1-Hypothèses!$J$26/AC201),0)</f>
        <v>1620.47775161597</v>
      </c>
    </row>
    <row r="202" customFormat="false" ht="15" hidden="false" customHeight="false" outlineLevel="0" collapsed="false">
      <c r="A202" s="2" t="n">
        <v>187</v>
      </c>
      <c r="B202" s="2" t="n">
        <v>0.366273885</v>
      </c>
      <c r="C202" s="2"/>
      <c r="D202" s="2" t="n">
        <v>0.24537984</v>
      </c>
      <c r="E202" s="2" t="n">
        <f aca="false">IF(E$7=E$5,E$6,IF(NORMSDIST(E$9*SQRT($C$11)*NORMSINV($B202)+SQRT(1-E$9^2*$C$11)*NORMSINV(D202))&lt;E$8,E$5+SQRT(NORMSDIST(E$9*SQRT($C$11)*NORMSINV($B202)+SQRT(1-E$9^2*$C$11)*NORMSINV(D202))*(E$7-E$5)*(E$6-E$5)),E$7-SQRT((1-NORMSDIST(E$9*SQRT($C$11)*NORMSINV($B202)+SQRT(1-E$9^2*$C$11)*NORMSINV(D202)))*(E$7-E$5)*(E$7-E$6))))</f>
        <v>0.0533664115916047</v>
      </c>
      <c r="F202" s="2" t="n">
        <v>0.881251946</v>
      </c>
      <c r="G202" s="2" t="n">
        <f aca="false">IF(G$7=G$5,G$6,IF(NORMSDIST(G$9*SQRT($C$11)*NORMSINV($B202)+SQRT(1-G$9^2*$C$11)*NORMSINV(F202))&lt;G$8,G$5+SQRT(NORMSDIST(G$9*SQRT($C$11)*NORMSINV($B202)+SQRT(1-G$9^2*$C$11)*NORMSINV(F202))*(G$7-G$5)*(G$6-G$5)),G$7-SQRT((1-NORMSDIST(G$9*SQRT($C$11)*NORMSINV($B202)+SQRT(1-G$9^2*$C$11)*NORMSINV(F202)))*(G$7-G$5)*(G$7-G$6))))</f>
        <v>0.0595576740087898</v>
      </c>
      <c r="H202" s="2" t="n">
        <v>0.217096801</v>
      </c>
      <c r="I202" s="2" t="n">
        <f aca="false">IF(I$7=I$5,I$6,IF(NORMSDIST(I$9*SQRT($C$11)*NORMSINV($B202)+SQRT(1-I$9^2*$C$11)*NORMSINV(H202))&lt;I$8,I$5+SQRT(NORMSDIST(I$9*SQRT($C$11)*NORMSINV($B202)+SQRT(1-I$9^2*$C$11)*NORMSINV(H202))*(I$7-I$5)*(I$6-I$5)),I$7-SQRT((1-NORMSDIST(I$9*SQRT($C$11)*NORMSINV($B202)+SQRT(1-I$9^2*$C$11)*NORMSINV(H202)))*(I$7-I$5)*(I$7-I$6))))</f>
        <v>192.823973798114</v>
      </c>
      <c r="J202" s="2" t="n">
        <v>0.029350386</v>
      </c>
      <c r="K202" s="2" t="n">
        <f aca="false">IF(K$7=K$5,K$6,IF(NORMSDIST(K$9*SQRT($C$11)*NORMSINV($B202)+SQRT(1-K$9^2*$C$11)*NORMSINV(J202))&lt;K$8,K$5+SQRT(NORMSDIST(K$9*SQRT($C$11)*NORMSINV($B202)+SQRT(1-K$9^2*$C$11)*NORMSINV(J202))*(K$7-K$5)*(K$6-K$5)),K$7-SQRT((1-NORMSDIST(K$9*SQRT($C$11)*NORMSINV($B202)+SQRT(1-K$9^2*$C$11)*NORMSINV(J202)))*(K$7-K$5)*(K$7-K$6))))</f>
        <v>0.0761860937468309</v>
      </c>
      <c r="L202" s="2" t="n">
        <v>0.011244446</v>
      </c>
      <c r="M202" s="2" t="n">
        <f aca="false">IF(M$7=M$5,M$6,IF(NORMSDIST(M$9*SQRT($C$11)*NORMSINV($B202)+SQRT(1-M$9^2*$C$11)*NORMSINV(L202))&lt;M$8,M$5+SQRT(NORMSDIST(M$9*SQRT($C$11)*NORMSINV($B202)+SQRT(1-M$9^2*$C$11)*NORMSINV(L202))*(M$7-M$5)*(M$6-M$5)),M$7-SQRT((1-NORMSDIST(M$9*SQRT($C$11)*NORMSINV($B202)+SQRT(1-M$9^2*$C$11)*NORMSINV(L202)))*(M$7-M$5)*(M$7-M$6))))</f>
        <v>1364.55180732853</v>
      </c>
      <c r="N202" s="2" t="n">
        <v>0.896037478</v>
      </c>
      <c r="O202" s="2" t="n">
        <f aca="false">IF(O$7=O$5,O$6,IF(NORMSDIST(O$9*SQRT($C$11)*NORMSINV($B202)+SQRT(1-O$9^2*$C$11)*NORMSINV(N202))&lt;O$8,O$5+SQRT(NORMSDIST(O$9*SQRT($C$11)*NORMSINV($B202)+SQRT(1-O$9^2*$C$11)*NORMSINV(N202))*(O$7-O$5)*(O$6-O$5)),O$7-SQRT((1-NORMSDIST(O$9*SQRT($C$11)*NORMSINV($B202)+SQRT(1-O$9^2*$C$11)*NORMSINV(N202)))*(O$7-O$5)*(O$7-O$6))))</f>
        <v>0.174559020342685</v>
      </c>
      <c r="P202" s="2" t="n">
        <v>0.096990976</v>
      </c>
      <c r="Q202" s="2" t="n">
        <f aca="false">IF(Q$7=Q$5,Q$6,IF(NORMSDIST(Q$9*SQRT($C$11)*NORMSINV($B202)+SQRT(1-Q$9^2*$C$11)*NORMSINV(P202))&lt;Q$8,Q$5+SQRT(NORMSDIST(Q$9*SQRT($C$11)*NORMSINV($B202)+SQRT(1-Q$9^2*$C$11)*NORMSINV(P202))*(Q$7-Q$5)*(Q$6-Q$5)),Q$7-SQRT((1-NORMSDIST(Q$9*SQRT($C$11)*NORMSINV($B202)+SQRT(1-Q$9^2*$C$11)*NORMSINV(P202)))*(Q$7-Q$5)*(Q$7-Q$6))))</f>
        <v>0.0576173528999109</v>
      </c>
      <c r="R202" s="2" t="n">
        <v>0.098280522</v>
      </c>
      <c r="S202" s="2" t="n">
        <f aca="false">IF(S$7=S$5,S$6,IF(NORMSDIST(S$9*SQRT($C$11)*NORMSINV($B202)+SQRT(1-S$9^2*$C$11)*NORMSINV(R202))&lt;S$8,S$5+SQRT(NORMSDIST(S$9*SQRT($C$11)*NORMSINV($B202)+SQRT(1-S$9^2*$C$11)*NORMSINV(R202))*(S$7-S$5)*(S$6-S$5)),S$7-SQRT((1-NORMSDIST(S$9*SQRT($C$11)*NORMSINV($B202)+SQRT(1-S$9^2*$C$11)*NORMSINV(R202)))*(S$7-S$5)*(S$7-S$6))))</f>
        <v>0.236543204246642</v>
      </c>
      <c r="T202" s="2" t="n">
        <v>0.733381707</v>
      </c>
      <c r="U202" s="2" t="n">
        <f aca="false">IF(U$7=U$5,U$6,IF(NORMSDIST(U$9*SQRT($C$11)*NORMSINV($B202)+SQRT(1-U$9^2*$C$11)*NORMSINV(T202))&lt;U$8,U$5+SQRT(NORMSDIST(U$9*SQRT($C$11)*NORMSINV($B202)+SQRT(1-U$9^2*$C$11)*NORMSINV(T202))*(U$7-U$5)*(U$6-U$5)),U$7-SQRT((1-NORMSDIST(U$9*SQRT($C$11)*NORMSINV($B202)+SQRT(1-U$9^2*$C$11)*NORMSINV(T202)))*(U$7-U$5)*(U$7-U$6))))</f>
        <v>0.555630411083647</v>
      </c>
      <c r="V202" s="2" t="n">
        <v>0.092130286</v>
      </c>
      <c r="W202" s="2" t="n">
        <f aca="false">IF(W$7=W$5,W$6,IF(NORMSDIST(W$9*SQRT($C$11)*NORMSINV($B202)+SQRT(1-W$9^2*$C$11)*NORMSINV(V202))&lt;W$8,W$5+SQRT(NORMSDIST(W$9*SQRT($C$11)*NORMSINV($B202)+SQRT(1-W$9^2*$C$11)*NORMSINV(V202))*(W$7-W$5)*(W$6-W$5)),W$7-SQRT((1-NORMSDIST(W$9*SQRT($C$11)*NORMSINV($B202)+SQRT(1-W$9^2*$C$11)*NORMSINV(V202)))*(W$7-W$5)*(W$7-W$6))))</f>
        <v>8.92363810466301</v>
      </c>
      <c r="X202" s="2" t="n">
        <v>0.114777673</v>
      </c>
      <c r="Y202" s="2" t="n">
        <f aca="false">IF(Y$7=Y$5,Y$6,IF(NORMSDIST(Y$9*SQRT($C$11)*NORMSINV($B202)+SQRT(1-Y$9^2*$C$11)*NORMSINV(X202))&lt;Y$8,Y$5+SQRT(NORMSDIST(Y$9*SQRT($C$11)*NORMSINV($B202)+SQRT(1-Y$9^2*$C$11)*NORMSINV(X202))*(Y$7-Y$5)*(Y$6-Y$5)),Y$7-SQRT((1-NORMSDIST(Y$9*SQRT($C$11)*NORMSINV($B202)+SQRT(1-Y$9^2*$C$11)*NORMSINV(X202)))*(Y$7-Y$5)*(Y$7-Y$6))))</f>
        <v>0.239559672106972</v>
      </c>
      <c r="Z202" s="2" t="n">
        <v>0.480899684</v>
      </c>
      <c r="AA202" s="2" t="n">
        <f aca="false">IF(AA$7=AA$5,AA$6,IF(NORMSDIST(AA$9*SQRT($C$11)*NORMSINV($B202)+SQRT(1-AA$9^2*$C$11)*NORMSINV(Z202))&lt;AA$8,AA$5+SQRT(NORMSDIST(AA$9*SQRT($C$11)*NORMSINV($B202)+SQRT(1-AA$9^2*$C$11)*NORMSINV(Z202))*(AA$7-AA$5)*(AA$6-AA$5)),AA$7-SQRT((1-NORMSDIST(AA$9*SQRT($C$11)*NORMSINV($B202)+SQRT(1-AA$9^2*$C$11)*NORMSINV(Z202)))*(AA$7-AA$5)*(AA$7-AA$6))))</f>
        <v>0.724597341074292</v>
      </c>
      <c r="AB202" s="2" t="n">
        <v>0.04225129</v>
      </c>
      <c r="AC202" s="2" t="n">
        <f aca="false">IF(AC$7=AC$5,AC$6,IF(NORMSDIST(AC$9*SQRT($C$11)*NORMSINV($B202)+SQRT(1-AC$9^2*$C$11)*NORMSINV(AB202))&lt;AC$8,AC$5+SQRT(NORMSDIST(AC$9*SQRT($C$11)*NORMSINV($B202)+SQRT(1-AC$9^2*$C$11)*NORMSINV(AB202))*(AC$7-AC$5)*(AC$6-AC$5)),AC$7-SQRT((1-NORMSDIST(AC$9*SQRT($C$11)*NORMSINV($B202)+SQRT(1-AC$9^2*$C$11)*NORMSINV(AB202)))*(AC$7-AC$5)*(AC$7-AC$6))))</f>
        <v>8.12168288442413</v>
      </c>
      <c r="AD202" s="2" t="n">
        <f aca="false">Entrées!$C$8*(1+E202)</f>
        <v>7426.23320172081</v>
      </c>
      <c r="AE202" s="2" t="n">
        <f aca="false">I202*Hypothèses!$J$24/12/Hypothèses!$J$19</f>
        <v>95.6593562441073</v>
      </c>
      <c r="AF202" s="2" t="n">
        <f aca="false">Entrées!$C$36*S202*1000</f>
        <v>118.271602123321</v>
      </c>
      <c r="AG202" s="2" t="n">
        <f aca="false">-AF202/W202</f>
        <v>-13.2537425583764</v>
      </c>
      <c r="AH202" s="2" t="n">
        <f aca="false">AD202+AE202+AG202</f>
        <v>7508.63881540654</v>
      </c>
      <c r="AI202" s="2" t="n">
        <f aca="false">Entrées!$C$16-M202+Hypothèses!$J$22*1000-AF202+Hypothèses!$J$23</f>
        <v>23065.1765905482</v>
      </c>
      <c r="AJ202" s="2" t="n">
        <f aca="false">AI202/AH202</f>
        <v>3.07181862886014</v>
      </c>
      <c r="AK202" s="2" t="n">
        <f aca="false">AI202/(AH202+I202*(12-Hypothèses!$J$24)/12/Hypothèses!$J$19)</f>
        <v>3.04411736420917</v>
      </c>
      <c r="AL202" s="2" t="n">
        <f aca="false">(AD202+AG202+I202/Hypothèses!$J$19)*(1+G202)</f>
        <v>8028.23345322369</v>
      </c>
      <c r="AM202" s="2" t="n">
        <f aca="false">Entrées!$C$54*K202/Hypothèses!$J$19</f>
        <v>7.7751107516003</v>
      </c>
      <c r="AN202" s="2" t="n">
        <f aca="false">Y202*1000/AC202</f>
        <v>29.4963095107299</v>
      </c>
      <c r="AO202" s="2" t="n">
        <f aca="false">(Entrées!$C$36*(1-S202)+MAX(0,Entrées!$C$30-Entrées!$C$35-Entrées!$C$36)*U202)*1000</f>
        <v>1159.61097339378</v>
      </c>
      <c r="AP202" s="2" t="n">
        <f aca="false">-AO202/W202</f>
        <v>-129.9482296114</v>
      </c>
      <c r="AQ202" s="2" t="n">
        <f aca="false">AL202+AM202+AN202+AP202</f>
        <v>7935.55664387462</v>
      </c>
      <c r="AR202" s="2" t="n">
        <f aca="false">O202*AQ202-Hypothèses!$J$25/Hypothèses!$J$19</f>
        <v>1366.08783136702</v>
      </c>
      <c r="AS202" s="2" t="n">
        <f aca="false">Entrées!$C$79*(1+Q202)+Hypothèses!$J$20</f>
        <v>1457.321470837</v>
      </c>
      <c r="AT202" s="2" t="n">
        <f aca="false">AI202-AR202+AS202+Y202*1000-AO202+Hypothèses!$J$23</f>
        <v>22236.3589287313</v>
      </c>
      <c r="AU202" s="2" t="n">
        <f aca="false">AT202/AQ202</f>
        <v>2.80211709482225</v>
      </c>
      <c r="AV202" s="2" t="n">
        <f aca="false">Hypothèses!$J$26*AQ202-AT202</f>
        <v>1570.31100289254</v>
      </c>
      <c r="AW202" s="2" t="n">
        <f aca="false">IF(AC202&gt;Hypothèses!$J$26,MAX(0,AV202)/(1-Hypothèses!$J$26/AC202),0)</f>
        <v>2490.11277800914</v>
      </c>
      <c r="AX202" s="2" t="n">
        <f aca="false">AQ202-Entrées!$C$17*1000</f>
        <v>-64.4433561253791</v>
      </c>
      <c r="AY202" s="2" t="n">
        <f aca="false">AI202+(Entrées!$C$244-Entrées!$C$13)</f>
        <v>28812.1765905482</v>
      </c>
      <c r="AZ202" s="2" t="n">
        <f aca="false">AA202*AH202</f>
        <v>5440.7397207308</v>
      </c>
      <c r="BA202" s="2" t="n">
        <f aca="false">AZ202/AY202</f>
        <v>0.188834734634927</v>
      </c>
      <c r="BB202" s="2" t="n">
        <f aca="false">AZ202/(Entrées!$C$151/100)-AY202</f>
        <v>1414.15519128964</v>
      </c>
      <c r="BC202" s="2" t="n">
        <f aca="false">AT202+(Entrées!$C$244-Entrées!$C$13)</f>
        <v>27983.3589287313</v>
      </c>
      <c r="BD202" s="2" t="n">
        <f aca="false">AA202*AQ202</f>
        <v>5750.08324409598</v>
      </c>
      <c r="BE202" s="2" t="n">
        <f aca="false">BD202/BC202</f>
        <v>0.205482238881345</v>
      </c>
      <c r="BF202" s="2" t="n">
        <f aca="false">BD202/(Entrées!$C$151/100)-BC202</f>
        <v>3961.54798291302</v>
      </c>
      <c r="BG202" s="2" t="n">
        <f aca="false">MIN(AV202,BF202)</f>
        <v>1570.31100289254</v>
      </c>
      <c r="BH202" s="2" t="n">
        <f aca="false">IF(AC202&gt;Hypothèses!$J$26,MAX(0,BG202)/(1-Hypothèses!$J$26/AC202),0)</f>
        <v>2490.11277800914</v>
      </c>
    </row>
    <row r="203" customFormat="false" ht="15" hidden="false" customHeight="false" outlineLevel="0" collapsed="false">
      <c r="A203" s="2" t="n">
        <v>188</v>
      </c>
      <c r="B203" s="2" t="n">
        <v>0.717943746</v>
      </c>
      <c r="C203" s="2"/>
      <c r="D203" s="2" t="n">
        <v>0.438590018</v>
      </c>
      <c r="E203" s="2" t="n">
        <f aca="false">IF(E$7=E$5,E$6,IF(NORMSDIST(E$9*SQRT($C$11)*NORMSINV($B203)+SQRT(1-E$9^2*$C$11)*NORMSINV(D203))&lt;E$8,E$5+SQRT(NORMSDIST(E$9*SQRT($C$11)*NORMSINV($B203)+SQRT(1-E$9^2*$C$11)*NORMSINV(D203))*(E$7-E$5)*(E$6-E$5)),E$7-SQRT((1-NORMSDIST(E$9*SQRT($C$11)*NORMSINV($B203)+SQRT(1-E$9^2*$C$11)*NORMSINV(D203)))*(E$7-E$5)*(E$7-E$6))))</f>
        <v>0.0555099721540193</v>
      </c>
      <c r="F203" s="2" t="n">
        <v>0.327005408</v>
      </c>
      <c r="G203" s="2" t="n">
        <f aca="false">IF(G$7=G$5,G$6,IF(NORMSDIST(G$9*SQRT($C$11)*NORMSINV($B203)+SQRT(1-G$9^2*$C$11)*NORMSINV(F203))&lt;G$8,G$5+SQRT(NORMSDIST(G$9*SQRT($C$11)*NORMSINV($B203)+SQRT(1-G$9^2*$C$11)*NORMSINV(F203))*(G$7-G$5)*(G$6-G$5)),G$7-SQRT((1-NORMSDIST(G$9*SQRT($C$11)*NORMSINV($B203)+SQRT(1-G$9^2*$C$11)*NORMSINV(F203)))*(G$7-G$5)*(G$7-G$6))))</f>
        <v>0.0551056437016338</v>
      </c>
      <c r="H203" s="2" t="n">
        <v>0.063901689</v>
      </c>
      <c r="I203" s="2" t="n">
        <f aca="false">IF(I$7=I$5,I$6,IF(NORMSDIST(I$9*SQRT($C$11)*NORMSINV($B203)+SQRT(1-I$9^2*$C$11)*NORMSINV(H203))&lt;I$8,I$5+SQRT(NORMSDIST(I$9*SQRT($C$11)*NORMSINV($B203)+SQRT(1-I$9^2*$C$11)*NORMSINV(H203))*(I$7-I$5)*(I$6-I$5)),I$7-SQRT((1-NORMSDIST(I$9*SQRT($C$11)*NORMSINV($B203)+SQRT(1-I$9^2*$C$11)*NORMSINV(H203)))*(I$7-I$5)*(I$7-I$6))))</f>
        <v>192.886930596517</v>
      </c>
      <c r="J203" s="2" t="n">
        <v>0.555125997</v>
      </c>
      <c r="K203" s="2" t="n">
        <f aca="false">IF(K$7=K$5,K$6,IF(NORMSDIST(K$9*SQRT($C$11)*NORMSINV($B203)+SQRT(1-K$9^2*$C$11)*NORMSINV(J203))&lt;K$8,K$5+SQRT(NORMSDIST(K$9*SQRT($C$11)*NORMSINV($B203)+SQRT(1-K$9^2*$C$11)*NORMSINV(J203))*(K$7-K$5)*(K$6-K$5)),K$7-SQRT((1-NORMSDIST(K$9*SQRT($C$11)*NORMSINV($B203)+SQRT(1-K$9^2*$C$11)*NORMSINV(J203)))*(K$7-K$5)*(K$7-K$6))))</f>
        <v>0.300496621156352</v>
      </c>
      <c r="L203" s="2" t="n">
        <v>0.516837254</v>
      </c>
      <c r="M203" s="2" t="n">
        <f aca="false">IF(M$7=M$5,M$6,IF(NORMSDIST(M$9*SQRT($C$11)*NORMSINV($B203)+SQRT(1-M$9^2*$C$11)*NORMSINV(L203))&lt;M$8,M$5+SQRT(NORMSDIST(M$9*SQRT($C$11)*NORMSINV($B203)+SQRT(1-M$9^2*$C$11)*NORMSINV(L203))*(M$7-M$5)*(M$6-M$5)),M$7-SQRT((1-NORMSDIST(M$9*SQRT($C$11)*NORMSINV($B203)+SQRT(1-M$9^2*$C$11)*NORMSINV(L203)))*(M$7-M$5)*(M$7-M$6))))</f>
        <v>1626.01046232671</v>
      </c>
      <c r="N203" s="2" t="n">
        <v>0.531640903</v>
      </c>
      <c r="O203" s="2" t="n">
        <f aca="false">IF(O$7=O$5,O$6,IF(NORMSDIST(O$9*SQRT($C$11)*NORMSINV($B203)+SQRT(1-O$9^2*$C$11)*NORMSINV(N203))&lt;O$8,O$5+SQRT(NORMSDIST(O$9*SQRT($C$11)*NORMSINV($B203)+SQRT(1-O$9^2*$C$11)*NORMSINV(N203))*(O$7-O$5)*(O$6-O$5)),O$7-SQRT((1-NORMSDIST(O$9*SQRT($C$11)*NORMSINV($B203)+SQRT(1-O$9^2*$C$11)*NORMSINV(N203)))*(O$7-O$5)*(O$7-O$6))))</f>
        <v>0.171111092857343</v>
      </c>
      <c r="P203" s="2" t="n">
        <v>0.420852844</v>
      </c>
      <c r="Q203" s="2" t="n">
        <f aca="false">IF(Q$7=Q$5,Q$6,IF(NORMSDIST(Q$9*SQRT($C$11)*NORMSINV($B203)+SQRT(1-Q$9^2*$C$11)*NORMSINV(P203))&lt;Q$8,Q$5+SQRT(NORMSDIST(Q$9*SQRT($C$11)*NORMSINV($B203)+SQRT(1-Q$9^2*$C$11)*NORMSINV(P203))*(Q$7-Q$5)*(Q$6-Q$5)),Q$7-SQRT((1-NORMSDIST(Q$9*SQRT($C$11)*NORMSINV($B203)+SQRT(1-Q$9^2*$C$11)*NORMSINV(P203)))*(Q$7-Q$5)*(Q$7-Q$6))))</f>
        <v>0.0766978078473361</v>
      </c>
      <c r="R203" s="2" t="n">
        <v>0.702053844</v>
      </c>
      <c r="S203" s="2" t="n">
        <f aca="false">IF(S$7=S$5,S$6,IF(NORMSDIST(S$9*SQRT($C$11)*NORMSINV($B203)+SQRT(1-S$9^2*$C$11)*NORMSINV(R203))&lt;S$8,S$5+SQRT(NORMSDIST(S$9*SQRT($C$11)*NORMSINV($B203)+SQRT(1-S$9^2*$C$11)*NORMSINV(R203))*(S$7-S$5)*(S$6-S$5)),S$7-SQRT((1-NORMSDIST(S$9*SQRT($C$11)*NORMSINV($B203)+SQRT(1-S$9^2*$C$11)*NORMSINV(R203)))*(S$7-S$5)*(S$7-S$6))))</f>
        <v>0.66908580080653</v>
      </c>
      <c r="T203" s="2" t="n">
        <v>0.861324448</v>
      </c>
      <c r="U203" s="2" t="n">
        <f aca="false">IF(U$7=U$5,U$6,IF(NORMSDIST(U$9*SQRT($C$11)*NORMSINV($B203)+SQRT(1-U$9^2*$C$11)*NORMSINV(T203))&lt;U$8,U$5+SQRT(NORMSDIST(U$9*SQRT($C$11)*NORMSINV($B203)+SQRT(1-U$9^2*$C$11)*NORMSINV(T203))*(U$7-U$5)*(U$6-U$5)),U$7-SQRT((1-NORMSDIST(U$9*SQRT($C$11)*NORMSINV($B203)+SQRT(1-U$9^2*$C$11)*NORMSINV(T203)))*(U$7-U$5)*(U$7-U$6))))</f>
        <v>0.761389391331942</v>
      </c>
      <c r="V203" s="2" t="n">
        <v>0.570793688</v>
      </c>
      <c r="W203" s="2" t="n">
        <f aca="false">IF(W$7=W$5,W$6,IF(NORMSDIST(W$9*SQRT($C$11)*NORMSINV($B203)+SQRT(1-W$9^2*$C$11)*NORMSINV(V203))&lt;W$8,W$5+SQRT(NORMSDIST(W$9*SQRT($C$11)*NORMSINV($B203)+SQRT(1-W$9^2*$C$11)*NORMSINV(V203))*(W$7-W$5)*(W$6-W$5)),W$7-SQRT((1-NORMSDIST(W$9*SQRT($C$11)*NORMSINV($B203)+SQRT(1-W$9^2*$C$11)*NORMSINV(V203)))*(W$7-W$5)*(W$7-W$6))))</f>
        <v>10.4315612633459</v>
      </c>
      <c r="X203" s="2" t="n">
        <v>0.917211866</v>
      </c>
      <c r="Y203" s="2" t="n">
        <f aca="false">IF(Y$7=Y$5,Y$6,IF(NORMSDIST(Y$9*SQRT($C$11)*NORMSINV($B203)+SQRT(1-Y$9^2*$C$11)*NORMSINV(X203))&lt;Y$8,Y$5+SQRT(NORMSDIST(Y$9*SQRT($C$11)*NORMSINV($B203)+SQRT(1-Y$9^2*$C$11)*NORMSINV(X203))*(Y$7-Y$5)*(Y$6-Y$5)),Y$7-SQRT((1-NORMSDIST(Y$9*SQRT($C$11)*NORMSINV($B203)+SQRT(1-Y$9^2*$C$11)*NORMSINV(X203)))*(Y$7-Y$5)*(Y$7-Y$6))))</f>
        <v>0.796544680580723</v>
      </c>
      <c r="Z203" s="2" t="n">
        <v>0.411183069</v>
      </c>
      <c r="AA203" s="2" t="n">
        <f aca="false">IF(AA$7=AA$5,AA$6,IF(NORMSDIST(AA$9*SQRT($C$11)*NORMSINV($B203)+SQRT(1-AA$9^2*$C$11)*NORMSINV(Z203))&lt;AA$8,AA$5+SQRT(NORMSDIST(AA$9*SQRT($C$11)*NORMSINV($B203)+SQRT(1-AA$9^2*$C$11)*NORMSINV(Z203))*(AA$7-AA$5)*(AA$6-AA$5)),AA$7-SQRT((1-NORMSDIST(AA$9*SQRT($C$11)*NORMSINV($B203)+SQRT(1-AA$9^2*$C$11)*NORMSINV(Z203)))*(AA$7-AA$5)*(AA$7-AA$6))))</f>
        <v>0.7304414444956</v>
      </c>
      <c r="AB203" s="2" t="n">
        <v>0.555502904</v>
      </c>
      <c r="AC203" s="2" t="n">
        <f aca="false">IF(AC$7=AC$5,AC$6,IF(NORMSDIST(AC$9*SQRT($C$11)*NORMSINV($B203)+SQRT(1-AC$9^2*$C$11)*NORMSINV(AB203))&lt;AC$8,AC$5+SQRT(NORMSDIST(AC$9*SQRT($C$11)*NORMSINV($B203)+SQRT(1-AC$9^2*$C$11)*NORMSINV(AB203))*(AC$7-AC$5)*(AC$6-AC$5)),AC$7-SQRT((1-NORMSDIST(AC$9*SQRT($C$11)*NORMSINV($B203)+SQRT(1-AC$9^2*$C$11)*NORMSINV(AB203)))*(AC$7-AC$5)*(AC$7-AC$6))))</f>
        <v>9.82765011195401</v>
      </c>
      <c r="AD203" s="2" t="n">
        <f aca="false">Entrées!$C$8*(1+E203)</f>
        <v>7441.34530368584</v>
      </c>
      <c r="AE203" s="2" t="n">
        <f aca="false">I203*Hypothèses!$J$24/12/Hypothèses!$J$19</f>
        <v>95.690588910294</v>
      </c>
      <c r="AF203" s="2" t="n">
        <f aca="false">Entrées!$C$36*S203*1000</f>
        <v>334.542900403265</v>
      </c>
      <c r="AG203" s="2" t="n">
        <f aca="false">-AF203/W203</f>
        <v>-32.0702617717226</v>
      </c>
      <c r="AH203" s="2" t="n">
        <f aca="false">AD203+AE203+AG203</f>
        <v>7504.96563082441</v>
      </c>
      <c r="AI203" s="2" t="n">
        <f aca="false">Entrées!$C$16-M203+Hypothèses!$J$22*1000-AF203+Hypothèses!$J$23</f>
        <v>22587.44663727</v>
      </c>
      <c r="AJ203" s="2" t="n">
        <f aca="false">AI203/AH203</f>
        <v>3.00966689900602</v>
      </c>
      <c r="AK203" s="2" t="n">
        <f aca="false">AI203/(AH203+I203*(12-Hypothèses!$J$24)/12/Hypothèses!$J$19)</f>
        <v>2.98250416115566</v>
      </c>
      <c r="AL203" s="2" t="n">
        <f aca="false">(AD203+AG203+I203/Hypothèses!$J$19)*(1+G203)</f>
        <v>7990.64850744704</v>
      </c>
      <c r="AM203" s="2" t="n">
        <f aca="false">Entrées!$C$54*K203/Hypothèses!$J$19</f>
        <v>30.6669418927848</v>
      </c>
      <c r="AN203" s="2" t="n">
        <f aca="false">Y203*1000/AC203</f>
        <v>81.0513878197428</v>
      </c>
      <c r="AO203" s="2" t="n">
        <f aca="false">(Entrées!$C$36*(1-S203)+MAX(0,Entrées!$C$30-Entrées!$C$35-Entrées!$C$36)*U203)*1000</f>
        <v>1231.40224746145</v>
      </c>
      <c r="AP203" s="2" t="n">
        <f aca="false">-AO203/W203</f>
        <v>-118.045824241891</v>
      </c>
      <c r="AQ203" s="2" t="n">
        <f aca="false">AL203+AM203+AN203+AP203</f>
        <v>7984.32101291768</v>
      </c>
      <c r="AR203" s="2" t="n">
        <f aca="false">O203*AQ203-Hypothèses!$J$25/Hypothèses!$J$19</f>
        <v>1347.07073198257</v>
      </c>
      <c r="AS203" s="2" t="n">
        <f aca="false">Entrées!$C$79*(1+Q203)+Hypothèses!$J$20</f>
        <v>1478.29089082422</v>
      </c>
      <c r="AT203" s="2" t="n">
        <f aca="false">AI203-AR203+AS203+Y203*1000-AO203+Hypothèses!$J$23</f>
        <v>22283.809229231</v>
      </c>
      <c r="AU203" s="2" t="n">
        <f aca="false">AT203/AQ203</f>
        <v>2.79094605454595</v>
      </c>
      <c r="AV203" s="2" t="n">
        <f aca="false">Hypothèses!$J$26*AQ203-AT203</f>
        <v>1669.15380952208</v>
      </c>
      <c r="AW203" s="2" t="n">
        <f aca="false">IF(AC203&gt;Hypothèses!$J$26,MAX(0,AV203)/(1-Hypothèses!$J$26/AC203),0)</f>
        <v>2402.56301275572</v>
      </c>
      <c r="AX203" s="2" t="n">
        <f aca="false">AQ203-Entrées!$C$17*1000</f>
        <v>-15.6789870823213</v>
      </c>
      <c r="AY203" s="2" t="n">
        <f aca="false">AI203+(Entrées!$C$244-Entrées!$C$13)</f>
        <v>28334.44663727</v>
      </c>
      <c r="AZ203" s="2" t="n">
        <f aca="false">AA203*AH203</f>
        <v>5481.93793626921</v>
      </c>
      <c r="BA203" s="2" t="n">
        <f aca="false">AZ203/AY203</f>
        <v>0.193472560323747</v>
      </c>
      <c r="BB203" s="2" t="n">
        <f aca="false">AZ203/(Entrées!$C$151/100)-AY203</f>
        <v>2120.76411978115</v>
      </c>
      <c r="BC203" s="2" t="n">
        <f aca="false">AT203+(Entrées!$C$244-Entrées!$C$13)</f>
        <v>28030.809229231</v>
      </c>
      <c r="BD203" s="2" t="n">
        <f aca="false">AA203*AQ203</f>
        <v>5832.07897399216</v>
      </c>
      <c r="BE203" s="2" t="n">
        <f aca="false">BD203/BC203</f>
        <v>0.208059600645078</v>
      </c>
      <c r="BF203" s="2" t="n">
        <f aca="false">BD203/(Entrées!$C$151/100)-BC203</f>
        <v>4369.62951516993</v>
      </c>
      <c r="BG203" s="2" t="n">
        <f aca="false">MIN(AV203,BF203)</f>
        <v>1669.15380952208</v>
      </c>
      <c r="BH203" s="2" t="n">
        <f aca="false">IF(AC203&gt;Hypothèses!$J$26,MAX(0,BG203)/(1-Hypothèses!$J$26/AC203),0)</f>
        <v>2402.56301275572</v>
      </c>
    </row>
    <row r="204" customFormat="false" ht="15" hidden="false" customHeight="false" outlineLevel="0" collapsed="false">
      <c r="A204" s="2" t="n">
        <v>189</v>
      </c>
      <c r="B204" s="2" t="n">
        <v>0.40077955</v>
      </c>
      <c r="C204" s="2"/>
      <c r="D204" s="2" t="n">
        <v>0.781631669</v>
      </c>
      <c r="E204" s="2" t="n">
        <f aca="false">IF(E$7=E$5,E$6,IF(NORMSDIST(E$9*SQRT($C$11)*NORMSINV($B204)+SQRT(1-E$9^2*$C$11)*NORMSINV(D204))&lt;E$8,E$5+SQRT(NORMSDIST(E$9*SQRT($C$11)*NORMSINV($B204)+SQRT(1-E$9^2*$C$11)*NORMSINV(D204))*(E$7-E$5)*(E$6-E$5)),E$7-SQRT((1-NORMSDIST(E$9*SQRT($C$11)*NORMSINV($B204)+SQRT(1-E$9^2*$C$11)*NORMSINV(D204)))*(E$7-E$5)*(E$7-E$6))))</f>
        <v>0.0559458899834867</v>
      </c>
      <c r="F204" s="2" t="n">
        <v>0.187060635</v>
      </c>
      <c r="G204" s="2" t="n">
        <f aca="false">IF(G$7=G$5,G$6,IF(NORMSDIST(G$9*SQRT($C$11)*NORMSINV($B204)+SQRT(1-G$9^2*$C$11)*NORMSINV(F204))&lt;G$8,G$5+SQRT(NORMSDIST(G$9*SQRT($C$11)*NORMSINV($B204)+SQRT(1-G$9^2*$C$11)*NORMSINV(F204))*(G$7-G$5)*(G$6-G$5)),G$7-SQRT((1-NORMSDIST(G$9*SQRT($C$11)*NORMSINV($B204)+SQRT(1-G$9^2*$C$11)*NORMSINV(F204)))*(G$7-G$5)*(G$7-G$6))))</f>
        <v>0.0494484714561946</v>
      </c>
      <c r="H204" s="2" t="n">
        <v>0.868539771</v>
      </c>
      <c r="I204" s="2" t="n">
        <f aca="false">IF(I$7=I$5,I$6,IF(NORMSDIST(I$9*SQRT($C$11)*NORMSINV($B204)+SQRT(1-I$9^2*$C$11)*NORMSINV(H204))&lt;I$8,I$5+SQRT(NORMSDIST(I$9*SQRT($C$11)*NORMSINV($B204)+SQRT(1-I$9^2*$C$11)*NORMSINV(H204))*(I$7-I$5)*(I$6-I$5)),I$7-SQRT((1-NORMSDIST(I$9*SQRT($C$11)*NORMSINV($B204)+SQRT(1-I$9^2*$C$11)*NORMSINV(H204)))*(I$7-I$5)*(I$7-I$6))))</f>
        <v>206.160779314105</v>
      </c>
      <c r="J204" s="2" t="n">
        <v>0.76529294</v>
      </c>
      <c r="K204" s="2" t="n">
        <f aca="false">IF(K$7=K$5,K$6,IF(NORMSDIST(K$9*SQRT($C$11)*NORMSINV($B204)+SQRT(1-K$9^2*$C$11)*NORMSINV(J204))&lt;K$8,K$5+SQRT(NORMSDIST(K$9*SQRT($C$11)*NORMSINV($B204)+SQRT(1-K$9^2*$C$11)*NORMSINV(J204))*(K$7-K$5)*(K$6-K$5)),K$7-SQRT((1-NORMSDIST(K$9*SQRT($C$11)*NORMSINV($B204)+SQRT(1-K$9^2*$C$11)*NORMSINV(J204)))*(K$7-K$5)*(K$7-K$6))))</f>
        <v>0.29261815663506</v>
      </c>
      <c r="L204" s="2" t="n">
        <v>0.87387384</v>
      </c>
      <c r="M204" s="2" t="n">
        <f aca="false">IF(M$7=M$5,M$6,IF(NORMSDIST(M$9*SQRT($C$11)*NORMSINV($B204)+SQRT(1-M$9^2*$C$11)*NORMSINV(L204))&lt;M$8,M$5+SQRT(NORMSDIST(M$9*SQRT($C$11)*NORMSINV($B204)+SQRT(1-M$9^2*$C$11)*NORMSINV(L204))*(M$7-M$5)*(M$6-M$5)),M$7-SQRT((1-NORMSDIST(M$9*SQRT($C$11)*NORMSINV($B204)+SQRT(1-M$9^2*$C$11)*NORMSINV(L204)))*(M$7-M$5)*(M$7-M$6))))</f>
        <v>1655.6048846189</v>
      </c>
      <c r="N204" s="2" t="n">
        <v>0.871907585</v>
      </c>
      <c r="O204" s="2" t="n">
        <f aca="false">IF(O$7=O$5,O$6,IF(NORMSDIST(O$9*SQRT($C$11)*NORMSINV($B204)+SQRT(1-O$9^2*$C$11)*NORMSINV(N204))&lt;O$8,O$5+SQRT(NORMSDIST(O$9*SQRT($C$11)*NORMSINV($B204)+SQRT(1-O$9^2*$C$11)*NORMSINV(N204))*(O$7-O$5)*(O$6-O$5)),O$7-SQRT((1-NORMSDIST(O$9*SQRT($C$11)*NORMSINV($B204)+SQRT(1-O$9^2*$C$11)*NORMSINV(N204)))*(O$7-O$5)*(O$7-O$6))))</f>
        <v>0.174158761441198</v>
      </c>
      <c r="P204" s="2" t="n">
        <v>0.465036934</v>
      </c>
      <c r="Q204" s="2" t="n">
        <f aca="false">IF(Q$7=Q$5,Q$6,IF(NORMSDIST(Q$9*SQRT($C$11)*NORMSINV($B204)+SQRT(1-Q$9^2*$C$11)*NORMSINV(P204))&lt;Q$8,Q$5+SQRT(NORMSDIST(Q$9*SQRT($C$11)*NORMSINV($B204)+SQRT(1-Q$9^2*$C$11)*NORMSINV(P204))*(Q$7-Q$5)*(Q$6-Q$5)),Q$7-SQRT((1-NORMSDIST(Q$9*SQRT($C$11)*NORMSINV($B204)+SQRT(1-Q$9^2*$C$11)*NORMSINV(P204)))*(Q$7-Q$5)*(Q$7-Q$6))))</f>
        <v>0.0785761349645088</v>
      </c>
      <c r="R204" s="2" t="n">
        <v>0.41055374</v>
      </c>
      <c r="S204" s="2" t="n">
        <f aca="false">IF(S$7=S$5,S$6,IF(NORMSDIST(S$9*SQRT($C$11)*NORMSINV($B204)+SQRT(1-S$9^2*$C$11)*NORMSINV(R204))&lt;S$8,S$5+SQRT(NORMSDIST(S$9*SQRT($C$11)*NORMSINV($B204)+SQRT(1-S$9^2*$C$11)*NORMSINV(R204))*(S$7-S$5)*(S$6-S$5)),S$7-SQRT((1-NORMSDIST(S$9*SQRT($C$11)*NORMSINV($B204)+SQRT(1-S$9^2*$C$11)*NORMSINV(R204)))*(S$7-S$5)*(S$7-S$6))))</f>
        <v>0.429621504118966</v>
      </c>
      <c r="T204" s="2" t="n">
        <v>0.334201861</v>
      </c>
      <c r="U204" s="2" t="n">
        <f aca="false">IF(U$7=U$5,U$6,IF(NORMSDIST(U$9*SQRT($C$11)*NORMSINV($B204)+SQRT(1-U$9^2*$C$11)*NORMSINV(T204))&lt;U$8,U$5+SQRT(NORMSDIST(U$9*SQRT($C$11)*NORMSINV($B204)+SQRT(1-U$9^2*$C$11)*NORMSINV(T204))*(U$7-U$5)*(U$6-U$5)),U$7-SQRT((1-NORMSDIST(U$9*SQRT($C$11)*NORMSINV($B204)+SQRT(1-U$9^2*$C$11)*NORMSINV(T204)))*(U$7-U$5)*(U$7-U$6))))</f>
        <v>0.394843772144467</v>
      </c>
      <c r="V204" s="2" t="n">
        <v>0.173554685</v>
      </c>
      <c r="W204" s="2" t="n">
        <f aca="false">IF(W$7=W$5,W$6,IF(NORMSDIST(W$9*SQRT($C$11)*NORMSINV($B204)+SQRT(1-W$9^2*$C$11)*NORMSINV(V204))&lt;W$8,W$5+SQRT(NORMSDIST(W$9*SQRT($C$11)*NORMSINV($B204)+SQRT(1-W$9^2*$C$11)*NORMSINV(V204))*(W$7-W$5)*(W$6-W$5)),W$7-SQRT((1-NORMSDIST(W$9*SQRT($C$11)*NORMSINV($B204)+SQRT(1-W$9^2*$C$11)*NORMSINV(V204)))*(W$7-W$5)*(W$7-W$6))))</f>
        <v>9.22466341888062</v>
      </c>
      <c r="X204" s="2" t="n">
        <v>0.42550472</v>
      </c>
      <c r="Y204" s="2" t="n">
        <f aca="false">IF(Y$7=Y$5,Y$6,IF(NORMSDIST(Y$9*SQRT($C$11)*NORMSINV($B204)+SQRT(1-Y$9^2*$C$11)*NORMSINV(X204))&lt;Y$8,Y$5+SQRT(NORMSDIST(Y$9*SQRT($C$11)*NORMSINV($B204)+SQRT(1-Y$9^2*$C$11)*NORMSINV(X204))*(Y$7-Y$5)*(Y$6-Y$5)),Y$7-SQRT((1-NORMSDIST(Y$9*SQRT($C$11)*NORMSINV($B204)+SQRT(1-Y$9^2*$C$11)*NORMSINV(X204)))*(Y$7-Y$5)*(Y$7-Y$6))))</f>
        <v>0.461250864497835</v>
      </c>
      <c r="Z204" s="2" t="n">
        <v>0.916923171</v>
      </c>
      <c r="AA204" s="2" t="n">
        <f aca="false">IF(AA$7=AA$5,AA$6,IF(NORMSDIST(AA$9*SQRT($C$11)*NORMSINV($B204)+SQRT(1-AA$9^2*$C$11)*NORMSINV(Z204))&lt;AA$8,AA$5+SQRT(NORMSDIST(AA$9*SQRT($C$11)*NORMSINV($B204)+SQRT(1-AA$9^2*$C$11)*NORMSINV(Z204))*(AA$7-AA$5)*(AA$6-AA$5)),AA$7-SQRT((1-NORMSDIST(AA$9*SQRT($C$11)*NORMSINV($B204)+SQRT(1-AA$9^2*$C$11)*NORMSINV(Z204)))*(AA$7-AA$5)*(AA$7-AA$6))))</f>
        <v>0.738640257222329</v>
      </c>
      <c r="AB204" s="2" t="n">
        <v>0.813613797</v>
      </c>
      <c r="AC204" s="2" t="n">
        <f aca="false">IF(AC$7=AC$5,AC$6,IF(NORMSDIST(AC$9*SQRT($C$11)*NORMSINV($B204)+SQRT(1-AC$9^2*$C$11)*NORMSINV(AB204))&lt;AC$8,AC$5+SQRT(NORMSDIST(AC$9*SQRT($C$11)*NORMSINV($B204)+SQRT(1-AC$9^2*$C$11)*NORMSINV(AB204))*(AC$7-AC$5)*(AC$6-AC$5)),AC$7-SQRT((1-NORMSDIST(AC$9*SQRT($C$11)*NORMSINV($B204)+SQRT(1-AC$9^2*$C$11)*NORMSINV(AB204)))*(AC$7-AC$5)*(AC$7-AC$6))))</f>
        <v>9.86622292681976</v>
      </c>
      <c r="AD204" s="2" t="n">
        <f aca="false">Entrées!$C$8*(1+E204)</f>
        <v>7444.41852438358</v>
      </c>
      <c r="AE204" s="2" t="n">
        <f aca="false">I204*Hypothèses!$J$24/12/Hypothèses!$J$19</f>
        <v>102.275702774484</v>
      </c>
      <c r="AF204" s="2" t="n">
        <f aca="false">Entrées!$C$36*S204*1000</f>
        <v>214.810752059483</v>
      </c>
      <c r="AG204" s="2" t="n">
        <f aca="false">-AF204/W204</f>
        <v>-23.2865680085214</v>
      </c>
      <c r="AH204" s="2" t="n">
        <f aca="false">AD204+AE204+AG204</f>
        <v>7523.40765914954</v>
      </c>
      <c r="AI204" s="2" t="n">
        <f aca="false">Entrées!$C$16-M204+Hypothèses!$J$22*1000-AF204+Hypothèses!$J$23</f>
        <v>22677.5843633216</v>
      </c>
      <c r="AJ204" s="2" t="n">
        <f aca="false">AI204/AH204</f>
        <v>3.01427031349849</v>
      </c>
      <c r="AK204" s="2" t="n">
        <f aca="false">AI204/(AH204+I204*(12-Hypothèses!$J$24)/12/Hypothèses!$J$19)</f>
        <v>2.98528251200439</v>
      </c>
      <c r="AL204" s="2" t="n">
        <f aca="false">(AD204+AG204+I204/Hypothèses!$J$19)*(1+G204)</f>
        <v>7972.09515371045</v>
      </c>
      <c r="AM204" s="2" t="n">
        <f aca="false">Entrées!$C$54*K204/Hypothèses!$J$19</f>
        <v>29.8629115088521</v>
      </c>
      <c r="AN204" s="2" t="n">
        <f aca="false">Y204*1000/AC204</f>
        <v>46.750500968714</v>
      </c>
      <c r="AO204" s="2" t="n">
        <f aca="false">(Entrées!$C$36*(1-S204)+MAX(0,Entrées!$C$30-Entrées!$C$35-Entrées!$C$36)*U204)*1000</f>
        <v>837.97052894277</v>
      </c>
      <c r="AP204" s="2" t="n">
        <f aca="false">-AO204/W204</f>
        <v>-90.8402280811298</v>
      </c>
      <c r="AQ204" s="2" t="n">
        <f aca="false">AL204+AM204+AN204+AP204</f>
        <v>7957.86833810689</v>
      </c>
      <c r="AR204" s="2" t="n">
        <f aca="false">O204*AQ204-Hypothèses!$J$25/Hypothèses!$J$19</f>
        <v>1366.7973312152</v>
      </c>
      <c r="AS204" s="2" t="n">
        <f aca="false">Entrées!$C$79*(1+Q204)+Hypothèses!$J$20</f>
        <v>1480.355172326</v>
      </c>
      <c r="AT204" s="2" t="n">
        <f aca="false">AI204-AR204+AS204+Y204*1000-AO204+Hypothèses!$J$23</f>
        <v>22414.4225399875</v>
      </c>
      <c r="AU204" s="2" t="n">
        <f aca="false">AT204/AQ204</f>
        <v>2.81663651466238</v>
      </c>
      <c r="AV204" s="2" t="n">
        <f aca="false">Hypothèses!$J$26*AQ204-AT204</f>
        <v>1459.18247433318</v>
      </c>
      <c r="AW204" s="2" t="n">
        <f aca="false">IF(AC204&gt;Hypothèses!$J$26,MAX(0,AV204)/(1-Hypothèses!$J$26/AC204),0)</f>
        <v>2096.7305804252</v>
      </c>
      <c r="AX204" s="2" t="n">
        <f aca="false">AQ204-Entrées!$C$17*1000</f>
        <v>-42.1316618931105</v>
      </c>
      <c r="AY204" s="2" t="n">
        <f aca="false">AI204+(Entrées!$C$244-Entrées!$C$13)</f>
        <v>28424.5843633216</v>
      </c>
      <c r="AZ204" s="2" t="n">
        <f aca="false">AA204*AH204</f>
        <v>5557.09176854266</v>
      </c>
      <c r="BA204" s="2" t="n">
        <f aca="false">AZ204/AY204</f>
        <v>0.195503008857128</v>
      </c>
      <c r="BB204" s="2" t="n">
        <f aca="false">AZ204/(Entrées!$C$151/100)-AY204</f>
        <v>2448.1476841376</v>
      </c>
      <c r="BC204" s="2" t="n">
        <f aca="false">AT204+(Entrées!$C$244-Entrées!$C$13)</f>
        <v>28161.4225399875</v>
      </c>
      <c r="BD204" s="2" t="n">
        <f aca="false">AA204*AQ204</f>
        <v>5878.0019162007</v>
      </c>
      <c r="BE204" s="2" t="n">
        <f aca="false">BD204/BC204</f>
        <v>0.20872531946333</v>
      </c>
      <c r="BF204" s="2" t="n">
        <f aca="false">BD204/(Entrées!$C$151/100)-BC204</f>
        <v>4494.14366112752</v>
      </c>
      <c r="BG204" s="2" t="n">
        <f aca="false">MIN(AV204,BF204)</f>
        <v>1459.18247433318</v>
      </c>
      <c r="BH204" s="2" t="n">
        <f aca="false">IF(AC204&gt;Hypothèses!$J$26,MAX(0,BG204)/(1-Hypothèses!$J$26/AC204),0)</f>
        <v>2096.7305804252</v>
      </c>
    </row>
    <row r="205" customFormat="false" ht="15" hidden="false" customHeight="false" outlineLevel="0" collapsed="false">
      <c r="A205" s="2" t="n">
        <v>190</v>
      </c>
      <c r="B205" s="2" t="n">
        <v>0.678924056</v>
      </c>
      <c r="C205" s="2"/>
      <c r="D205" s="2" t="n">
        <v>0.205330421</v>
      </c>
      <c r="E205" s="2" t="n">
        <f aca="false">IF(E$7=E$5,E$6,IF(NORMSDIST(E$9*SQRT($C$11)*NORMSINV($B205)+SQRT(1-E$9^2*$C$11)*NORMSINV(D205))&lt;E$8,E$5+SQRT(NORMSDIST(E$9*SQRT($C$11)*NORMSINV($B205)+SQRT(1-E$9^2*$C$11)*NORMSINV(D205))*(E$7-E$5)*(E$6-E$5)),E$7-SQRT((1-NORMSDIST(E$9*SQRT($C$11)*NORMSINV($B205)+SQRT(1-E$9^2*$C$11)*NORMSINV(D205)))*(E$7-E$5)*(E$7-E$6))))</f>
        <v>0.0542758238764596</v>
      </c>
      <c r="F205" s="2" t="n">
        <v>0.415004621</v>
      </c>
      <c r="G205" s="2" t="n">
        <f aca="false">IF(G$7=G$5,G$6,IF(NORMSDIST(G$9*SQRT($C$11)*NORMSINV($B205)+SQRT(1-G$9^2*$C$11)*NORMSINV(F205))&lt;G$8,G$5+SQRT(NORMSDIST(G$9*SQRT($C$11)*NORMSINV($B205)+SQRT(1-G$9^2*$C$11)*NORMSINV(F205))*(G$7-G$5)*(G$6-G$5)),G$7-SQRT((1-NORMSDIST(G$9*SQRT($C$11)*NORMSINV($B205)+SQRT(1-G$9^2*$C$11)*NORMSINV(F205)))*(G$7-G$5)*(G$7-G$6))))</f>
        <v>0.0557818818657706</v>
      </c>
      <c r="H205" s="2" t="n">
        <v>0.383346149</v>
      </c>
      <c r="I205" s="2" t="n">
        <f aca="false">IF(I$7=I$5,I$6,IF(NORMSDIST(I$9*SQRT($C$11)*NORMSINV($B205)+SQRT(1-I$9^2*$C$11)*NORMSINV(H205))&lt;I$8,I$5+SQRT(NORMSDIST(I$9*SQRT($C$11)*NORMSINV($B205)+SQRT(1-I$9^2*$C$11)*NORMSINV(H205))*(I$7-I$5)*(I$6-I$5)),I$7-SQRT((1-NORMSDIST(I$9*SQRT($C$11)*NORMSINV($B205)+SQRT(1-I$9^2*$C$11)*NORMSINV(H205)))*(I$7-I$5)*(I$7-I$6))))</f>
        <v>200.51755994127</v>
      </c>
      <c r="J205" s="2" t="n">
        <v>0.032025567</v>
      </c>
      <c r="K205" s="2" t="n">
        <f aca="false">IF(K$7=K$5,K$6,IF(NORMSDIST(K$9*SQRT($C$11)*NORMSINV($B205)+SQRT(1-K$9^2*$C$11)*NORMSINV(J205))&lt;K$8,K$5+SQRT(NORMSDIST(K$9*SQRT($C$11)*NORMSINV($B205)+SQRT(1-K$9^2*$C$11)*NORMSINV(J205))*(K$7-K$5)*(K$6-K$5)),K$7-SQRT((1-NORMSDIST(K$9*SQRT($C$11)*NORMSINV($B205)+SQRT(1-K$9^2*$C$11)*NORMSINV(J205)))*(K$7-K$5)*(K$7-K$6))))</f>
        <v>0.126013389977172</v>
      </c>
      <c r="L205" s="2" t="n">
        <v>0.446828187</v>
      </c>
      <c r="M205" s="2" t="n">
        <f aca="false">IF(M$7=M$5,M$6,IF(NORMSDIST(M$9*SQRT($C$11)*NORMSINV($B205)+SQRT(1-M$9^2*$C$11)*NORMSINV(L205))&lt;M$8,M$5+SQRT(NORMSDIST(M$9*SQRT($C$11)*NORMSINV($B205)+SQRT(1-M$9^2*$C$11)*NORMSINV(L205))*(M$7-M$5)*(M$6-M$5)),M$7-SQRT((1-NORMSDIST(M$9*SQRT($C$11)*NORMSINV($B205)+SQRT(1-M$9^2*$C$11)*NORMSINV(L205)))*(M$7-M$5)*(M$7-M$6))))</f>
        <v>1605.90024065948</v>
      </c>
      <c r="N205" s="2" t="n">
        <v>0.853755586</v>
      </c>
      <c r="O205" s="2" t="n">
        <f aca="false">IF(O$7=O$5,O$6,IF(NORMSDIST(O$9*SQRT($C$11)*NORMSINV($B205)+SQRT(1-O$9^2*$C$11)*NORMSINV(N205))&lt;O$8,O$5+SQRT(NORMSDIST(O$9*SQRT($C$11)*NORMSINV($B205)+SQRT(1-O$9^2*$C$11)*NORMSINV(N205))*(O$7-O$5)*(O$6-O$5)),O$7-SQRT((1-NORMSDIST(O$9*SQRT($C$11)*NORMSINV($B205)+SQRT(1-O$9^2*$C$11)*NORMSINV(N205)))*(O$7-O$5)*(O$7-O$6))))</f>
        <v>0.178068424025796</v>
      </c>
      <c r="P205" s="2" t="n">
        <v>0.133463575</v>
      </c>
      <c r="Q205" s="2" t="n">
        <f aca="false">IF(Q$7=Q$5,Q$6,IF(NORMSDIST(Q$9*SQRT($C$11)*NORMSINV($B205)+SQRT(1-Q$9^2*$C$11)*NORMSINV(P205))&lt;Q$8,Q$5+SQRT(NORMSDIST(Q$9*SQRT($C$11)*NORMSINV($B205)+SQRT(1-Q$9^2*$C$11)*NORMSINV(P205))*(Q$7-Q$5)*(Q$6-Q$5)),Q$7-SQRT((1-NORMSDIST(Q$9*SQRT($C$11)*NORMSINV($B205)+SQRT(1-Q$9^2*$C$11)*NORMSINV(P205)))*(Q$7-Q$5)*(Q$7-Q$6))))</f>
        <v>0.0606659971934577</v>
      </c>
      <c r="R205" s="2" t="n">
        <v>0.266069046</v>
      </c>
      <c r="S205" s="2" t="n">
        <f aca="false">IF(S$7=S$5,S$6,IF(NORMSDIST(S$9*SQRT($C$11)*NORMSINV($B205)+SQRT(1-S$9^2*$C$11)*NORMSINV(R205))&lt;S$8,S$5+SQRT(NORMSDIST(S$9*SQRT($C$11)*NORMSINV($B205)+SQRT(1-S$9^2*$C$11)*NORMSINV(R205))*(S$7-S$5)*(S$6-S$5)),S$7-SQRT((1-NORMSDIST(S$9*SQRT($C$11)*NORMSINV($B205)+SQRT(1-S$9^2*$C$11)*NORMSINV(R205)))*(S$7-S$5)*(S$7-S$6))))</f>
        <v>0.460783758284365</v>
      </c>
      <c r="T205" s="2" t="n">
        <v>0.038492651</v>
      </c>
      <c r="U205" s="2" t="n">
        <f aca="false">IF(U$7=U$5,U$6,IF(NORMSDIST(U$9*SQRT($C$11)*NORMSINV($B205)+SQRT(1-U$9^2*$C$11)*NORMSINV(T205))&lt;U$8,U$5+SQRT(NORMSDIST(U$9*SQRT($C$11)*NORMSINV($B205)+SQRT(1-U$9^2*$C$11)*NORMSINV(T205))*(U$7-U$5)*(U$6-U$5)),U$7-SQRT((1-NORMSDIST(U$9*SQRT($C$11)*NORMSINV($B205)+SQRT(1-U$9^2*$C$11)*NORMSINV(T205)))*(U$7-U$5)*(U$7-U$6))))</f>
        <v>0.265496708215608</v>
      </c>
      <c r="V205" s="2" t="n">
        <v>0.47421311</v>
      </c>
      <c r="W205" s="2" t="n">
        <f aca="false">IF(W$7=W$5,W$6,IF(NORMSDIST(W$9*SQRT($C$11)*NORMSINV($B205)+SQRT(1-W$9^2*$C$11)*NORMSINV(V205))&lt;W$8,W$5+SQRT(NORMSDIST(W$9*SQRT($C$11)*NORMSINV($B205)+SQRT(1-W$9^2*$C$11)*NORMSINV(V205))*(W$7-W$5)*(W$6-W$5)),W$7-SQRT((1-NORMSDIST(W$9*SQRT($C$11)*NORMSINV($B205)+SQRT(1-W$9^2*$C$11)*NORMSINV(V205)))*(W$7-W$5)*(W$7-W$6))))</f>
        <v>10.2029017142947</v>
      </c>
      <c r="X205" s="2" t="n">
        <v>0.366009874</v>
      </c>
      <c r="Y205" s="2" t="n">
        <f aca="false">IF(Y$7=Y$5,Y$6,IF(NORMSDIST(Y$9*SQRT($C$11)*NORMSINV($B205)+SQRT(1-Y$9^2*$C$11)*NORMSINV(X205))&lt;Y$8,Y$5+SQRT(NORMSDIST(Y$9*SQRT($C$11)*NORMSINV($B205)+SQRT(1-Y$9^2*$C$11)*NORMSINV(X205))*(Y$7-Y$5)*(Y$6-Y$5)),Y$7-SQRT((1-NORMSDIST(Y$9*SQRT($C$11)*NORMSINV($B205)+SQRT(1-Y$9^2*$C$11)*NORMSINV(X205)))*(Y$7-Y$5)*(Y$7-Y$6))))</f>
        <v>0.427790763107386</v>
      </c>
      <c r="Z205" s="2" t="n">
        <v>0.342350323</v>
      </c>
      <c r="AA205" s="2" t="n">
        <f aca="false">IF(AA$7=AA$5,AA$6,IF(NORMSDIST(AA$9*SQRT($C$11)*NORMSINV($B205)+SQRT(1-AA$9^2*$C$11)*NORMSINV(Z205))&lt;AA$8,AA$5+SQRT(NORMSDIST(AA$9*SQRT($C$11)*NORMSINV($B205)+SQRT(1-AA$9^2*$C$11)*NORMSINV(Z205))*(AA$7-AA$5)*(AA$6-AA$5)),AA$7-SQRT((1-NORMSDIST(AA$9*SQRT($C$11)*NORMSINV($B205)+SQRT(1-AA$9^2*$C$11)*NORMSINV(Z205)))*(AA$7-AA$5)*(AA$7-AA$6))))</f>
        <v>0.727780843730352</v>
      </c>
      <c r="AB205" s="2" t="n">
        <v>0.880516243</v>
      </c>
      <c r="AC205" s="2" t="n">
        <f aca="false">IF(AC$7=AC$5,AC$6,IF(NORMSDIST(AC$9*SQRT($C$11)*NORMSINV($B205)+SQRT(1-AC$9^2*$C$11)*NORMSINV(AB205))&lt;AC$8,AC$5+SQRT(NORMSDIST(AC$9*SQRT($C$11)*NORMSINV($B205)+SQRT(1-AC$9^2*$C$11)*NORMSINV(AB205))*(AC$7-AC$5)*(AC$6-AC$5)),AC$7-SQRT((1-NORMSDIST(AC$9*SQRT($C$11)*NORMSINV($B205)+SQRT(1-AC$9^2*$C$11)*NORMSINV(AB205)))*(AC$7-AC$5)*(AC$7-AC$6))))</f>
        <v>10.2985355140213</v>
      </c>
      <c r="AD205" s="2" t="n">
        <f aca="false">Entrées!$C$8*(1+E205)</f>
        <v>7432.64455832904</v>
      </c>
      <c r="AE205" s="2" t="n">
        <f aca="false">I205*Hypothèses!$J$24/12/Hypothèses!$J$19</f>
        <v>99.4761197054468</v>
      </c>
      <c r="AF205" s="2" t="n">
        <f aca="false">Entrées!$C$36*S205*1000</f>
        <v>230.391879142182</v>
      </c>
      <c r="AG205" s="2" t="n">
        <f aca="false">-AF205/W205</f>
        <v>-22.5810152438687</v>
      </c>
      <c r="AH205" s="2" t="n">
        <f aca="false">AD205+AE205+AG205</f>
        <v>7509.53966279062</v>
      </c>
      <c r="AI205" s="2" t="n">
        <f aca="false">Entrées!$C$16-M205+Hypothèses!$J$22*1000-AF205+Hypothèses!$J$23</f>
        <v>22711.7078801983</v>
      </c>
      <c r="AJ205" s="2" t="n">
        <f aca="false">AI205/AH205</f>
        <v>3.02438084091009</v>
      </c>
      <c r="AK205" s="2" t="n">
        <f aca="false">AI205/(AH205+I205*(12-Hypothèses!$J$24)/12/Hypothèses!$J$19)</f>
        <v>2.99603273546992</v>
      </c>
      <c r="AL205" s="2" t="n">
        <f aca="false">(AD205+AG205+I205/Hypothèses!$J$19)*(1+G205)</f>
        <v>8003.45383488624</v>
      </c>
      <c r="AM205" s="2" t="n">
        <f aca="false">Entrées!$C$54*K205/Hypothèses!$J$19</f>
        <v>12.8601955432039</v>
      </c>
      <c r="AN205" s="2" t="n">
        <f aca="false">Y205*1000/AC205</f>
        <v>41.5389899393905</v>
      </c>
      <c r="AO205" s="2" t="n">
        <f aca="false">(Entrées!$C$36*(1-S205)+MAX(0,Entrées!$C$30-Entrées!$C$35-Entrées!$C$36)*U205)*1000</f>
        <v>641.303512359669</v>
      </c>
      <c r="AP205" s="2" t="n">
        <f aca="false">-AO205/W205</f>
        <v>-62.85501226197</v>
      </c>
      <c r="AQ205" s="2" t="n">
        <f aca="false">AL205+AM205+AN205+AP205</f>
        <v>7994.99800810686</v>
      </c>
      <c r="AR205" s="2" t="n">
        <f aca="false">O205*AQ205-Hypothèses!$J$25/Hypothèses!$J$19</f>
        <v>1404.52153313134</v>
      </c>
      <c r="AS205" s="2" t="n">
        <f aca="false">Entrées!$C$79*(1+Q205)+Hypothèses!$J$20</f>
        <v>1460.67193091561</v>
      </c>
      <c r="AT205" s="2" t="n">
        <f aca="false">AI205-AR205+AS205+Y205*1000-AO205+Hypothèses!$J$23</f>
        <v>22554.3455287303</v>
      </c>
      <c r="AU205" s="2" t="n">
        <f aca="false">AT205/AQ205</f>
        <v>2.82105705415566</v>
      </c>
      <c r="AV205" s="2" t="n">
        <f aca="false">Hypothèses!$J$26*AQ205-AT205</f>
        <v>1430.64849559026</v>
      </c>
      <c r="AW205" s="2" t="n">
        <f aca="false">IF(AC205&gt;Hypothèses!$J$26,MAX(0,AV205)/(1-Hypothèses!$J$26/AC205),0)</f>
        <v>2018.70420601675</v>
      </c>
      <c r="AX205" s="2" t="n">
        <f aca="false">AQ205-Entrées!$C$17*1000</f>
        <v>-5.00199189313844</v>
      </c>
      <c r="AY205" s="2" t="n">
        <f aca="false">AI205+(Entrées!$C$244-Entrées!$C$13)</f>
        <v>28458.7078801983</v>
      </c>
      <c r="AZ205" s="2" t="n">
        <f aca="false">AA205*AH205</f>
        <v>5465.2991118123</v>
      </c>
      <c r="BA205" s="2" t="n">
        <f aca="false">AZ205/AY205</f>
        <v>0.19204312208479</v>
      </c>
      <c r="BB205" s="2" t="n">
        <f aca="false">AZ205/(Entrées!$C$151/100)-AY205</f>
        <v>1904.06496320332</v>
      </c>
      <c r="BC205" s="2" t="n">
        <f aca="false">AT205+(Entrées!$C$244-Entrées!$C$13)</f>
        <v>28301.3455287303</v>
      </c>
      <c r="BD205" s="2" t="n">
        <f aca="false">AA205*AQ205</f>
        <v>5818.60639596249</v>
      </c>
      <c r="BE205" s="2" t="n">
        <f aca="false">BD205/BC205</f>
        <v>0.205594691250834</v>
      </c>
      <c r="BF205" s="2" t="n">
        <f aca="false">BD205/(Entrées!$C$151/100)-BC205</f>
        <v>4024.2455599502</v>
      </c>
      <c r="BG205" s="2" t="n">
        <f aca="false">MIN(AV205,BF205)</f>
        <v>1430.64849559026</v>
      </c>
      <c r="BH205" s="2" t="n">
        <f aca="false">IF(AC205&gt;Hypothèses!$J$26,MAX(0,BG205)/(1-Hypothèses!$J$26/AC205),0)</f>
        <v>2018.70420601675</v>
      </c>
    </row>
    <row r="206" customFormat="false" ht="15" hidden="false" customHeight="false" outlineLevel="0" collapsed="false">
      <c r="A206" s="2" t="n">
        <v>191</v>
      </c>
      <c r="B206" s="2" t="n">
        <v>0.410098076</v>
      </c>
      <c r="C206" s="2"/>
      <c r="D206" s="2" t="n">
        <v>0.145126023</v>
      </c>
      <c r="E206" s="2" t="n">
        <f aca="false">IF(E$7=E$5,E$6,IF(NORMSDIST(E$9*SQRT($C$11)*NORMSINV($B206)+SQRT(1-E$9^2*$C$11)*NORMSINV(D206))&lt;E$8,E$5+SQRT(NORMSDIST(E$9*SQRT($C$11)*NORMSINV($B206)+SQRT(1-E$9^2*$C$11)*NORMSINV(D206))*(E$7-E$5)*(E$6-E$5)),E$7-SQRT((1-NORMSDIST(E$9*SQRT($C$11)*NORMSINV($B206)+SQRT(1-E$9^2*$C$11)*NORMSINV(D206)))*(E$7-E$5)*(E$7-E$6))))</f>
        <v>0.0528964491690634</v>
      </c>
      <c r="F206" s="2" t="n">
        <v>0.0777214</v>
      </c>
      <c r="G206" s="2" t="n">
        <f aca="false">IF(G$7=G$5,G$6,IF(NORMSDIST(G$9*SQRT($C$11)*NORMSINV($B206)+SQRT(1-G$9^2*$C$11)*NORMSINV(F206))&lt;G$8,G$5+SQRT(NORMSDIST(G$9*SQRT($C$11)*NORMSINV($B206)+SQRT(1-G$9^2*$C$11)*NORMSINV(F206))*(G$7-G$5)*(G$6-G$5)),G$7-SQRT((1-NORMSDIST(G$9*SQRT($C$11)*NORMSINV($B206)+SQRT(1-G$9^2*$C$11)*NORMSINV(F206)))*(G$7-G$5)*(G$7-G$6))))</f>
        <v>0.0469301930612932</v>
      </c>
      <c r="H206" s="2" t="n">
        <v>0.285635314</v>
      </c>
      <c r="I206" s="2" t="n">
        <f aca="false">IF(I$7=I$5,I$6,IF(NORMSDIST(I$9*SQRT($C$11)*NORMSINV($B206)+SQRT(1-I$9^2*$C$11)*NORMSINV(H206))&lt;I$8,I$5+SQRT(NORMSDIST(I$9*SQRT($C$11)*NORMSINV($B206)+SQRT(1-I$9^2*$C$11)*NORMSINV(H206))*(I$7-I$5)*(I$6-I$5)),I$7-SQRT((1-NORMSDIST(I$9*SQRT($C$11)*NORMSINV($B206)+SQRT(1-I$9^2*$C$11)*NORMSINV(H206)))*(I$7-I$5)*(I$7-I$6))))</f>
        <v>194.971370162309</v>
      </c>
      <c r="J206" s="2" t="n">
        <v>0.204641936</v>
      </c>
      <c r="K206" s="2" t="n">
        <f aca="false">IF(K$7=K$5,K$6,IF(NORMSDIST(K$9*SQRT($C$11)*NORMSINV($B206)+SQRT(1-K$9^2*$C$11)*NORMSINV(J206))&lt;K$8,K$5+SQRT(NORMSDIST(K$9*SQRT($C$11)*NORMSINV($B206)+SQRT(1-K$9^2*$C$11)*NORMSINV(J206))*(K$7-K$5)*(K$6-K$5)),K$7-SQRT((1-NORMSDIST(K$9*SQRT($C$11)*NORMSINV($B206)+SQRT(1-K$9^2*$C$11)*NORMSINV(J206)))*(K$7-K$5)*(K$7-K$6))))</f>
        <v>0.164635457809086</v>
      </c>
      <c r="L206" s="2" t="n">
        <v>0.133344315</v>
      </c>
      <c r="M206" s="2" t="n">
        <f aca="false">IF(M$7=M$5,M$6,IF(NORMSDIST(M$9*SQRT($C$11)*NORMSINV($B206)+SQRT(1-M$9^2*$C$11)*NORMSINV(L206))&lt;M$8,M$5+SQRT(NORMSDIST(M$9*SQRT($C$11)*NORMSINV($B206)+SQRT(1-M$9^2*$C$11)*NORMSINV(L206))*(M$7-M$5)*(M$6-M$5)),M$7-SQRT((1-NORMSDIST(M$9*SQRT($C$11)*NORMSINV($B206)+SQRT(1-M$9^2*$C$11)*NORMSINV(L206)))*(M$7-M$5)*(M$7-M$6))))</f>
        <v>1461.63835585656</v>
      </c>
      <c r="N206" s="2" t="n">
        <v>0.293302978</v>
      </c>
      <c r="O206" s="2" t="n">
        <f aca="false">IF(O$7=O$5,O$6,IF(NORMSDIST(O$9*SQRT($C$11)*NORMSINV($B206)+SQRT(1-O$9^2*$C$11)*NORMSINV(N206))&lt;O$8,O$5+SQRT(NORMSDIST(O$9*SQRT($C$11)*NORMSINV($B206)+SQRT(1-O$9^2*$C$11)*NORMSINV(N206))*(O$7-O$5)*(O$6-O$5)),O$7-SQRT((1-NORMSDIST(O$9*SQRT($C$11)*NORMSINV($B206)+SQRT(1-O$9^2*$C$11)*NORMSINV(N206)))*(O$7-O$5)*(O$7-O$6))))</f>
        <v>0.160259227957915</v>
      </c>
      <c r="P206" s="2" t="n">
        <v>0.976368098</v>
      </c>
      <c r="Q206" s="2" t="n">
        <f aca="false">IF(Q$7=Q$5,Q$6,IF(NORMSDIST(Q$9*SQRT($C$11)*NORMSINV($B206)+SQRT(1-Q$9^2*$C$11)*NORMSINV(P206))&lt;Q$8,Q$5+SQRT(NORMSDIST(Q$9*SQRT($C$11)*NORMSINV($B206)+SQRT(1-Q$9^2*$C$11)*NORMSINV(P206))*(Q$7-Q$5)*(Q$6-Q$5)),Q$7-SQRT((1-NORMSDIST(Q$9*SQRT($C$11)*NORMSINV($B206)+SQRT(1-Q$9^2*$C$11)*NORMSINV(P206)))*(Q$7-Q$5)*(Q$7-Q$6))))</f>
        <v>0.111303903956372</v>
      </c>
      <c r="R206" s="2" t="n">
        <v>0.604012831</v>
      </c>
      <c r="S206" s="2" t="n">
        <f aca="false">IF(S$7=S$5,S$6,IF(NORMSDIST(S$9*SQRT($C$11)*NORMSINV($B206)+SQRT(1-S$9^2*$C$11)*NORMSINV(R206))&lt;S$8,S$5+SQRT(NORMSDIST(S$9*SQRT($C$11)*NORMSINV($B206)+SQRT(1-S$9^2*$C$11)*NORMSINV(R206))*(S$7-S$5)*(S$6-S$5)),S$7-SQRT((1-NORMSDIST(S$9*SQRT($C$11)*NORMSINV($B206)+SQRT(1-S$9^2*$C$11)*NORMSINV(R206)))*(S$7-S$5)*(S$7-S$6))))</f>
        <v>0.512219023024147</v>
      </c>
      <c r="T206" s="2" t="n">
        <v>0.819462553</v>
      </c>
      <c r="U206" s="2" t="n">
        <f aca="false">IF(U$7=U$5,U$6,IF(NORMSDIST(U$9*SQRT($C$11)*NORMSINV($B206)+SQRT(1-U$9^2*$C$11)*NORMSINV(T206))&lt;U$8,U$5+SQRT(NORMSDIST(U$9*SQRT($C$11)*NORMSINV($B206)+SQRT(1-U$9^2*$C$11)*NORMSINV(T206))*(U$7-U$5)*(U$6-U$5)),U$7-SQRT((1-NORMSDIST(U$9*SQRT($C$11)*NORMSINV($B206)+SQRT(1-U$9^2*$C$11)*NORMSINV(T206)))*(U$7-U$5)*(U$7-U$6))))</f>
        <v>0.621530215045427</v>
      </c>
      <c r="V206" s="2" t="n">
        <v>0.114204433</v>
      </c>
      <c r="W206" s="2" t="n">
        <f aca="false">IF(W$7=W$5,W$6,IF(NORMSDIST(W$9*SQRT($C$11)*NORMSINV($B206)+SQRT(1-W$9^2*$C$11)*NORMSINV(V206))&lt;W$8,W$5+SQRT(NORMSDIST(W$9*SQRT($C$11)*NORMSINV($B206)+SQRT(1-W$9^2*$C$11)*NORMSINV(V206))*(W$7-W$5)*(W$6-W$5)),W$7-SQRT((1-NORMSDIST(W$9*SQRT($C$11)*NORMSINV($B206)+SQRT(1-W$9^2*$C$11)*NORMSINV(V206)))*(W$7-W$5)*(W$7-W$6))))</f>
        <v>9.06132233212673</v>
      </c>
      <c r="X206" s="2" t="n">
        <v>0.529780929</v>
      </c>
      <c r="Y206" s="2" t="n">
        <f aca="false">IF(Y$7=Y$5,Y$6,IF(NORMSDIST(Y$9*SQRT($C$11)*NORMSINV($B206)+SQRT(1-Y$9^2*$C$11)*NORMSINV(X206))&lt;Y$8,Y$5+SQRT(NORMSDIST(Y$9*SQRT($C$11)*NORMSINV($B206)+SQRT(1-Y$9^2*$C$11)*NORMSINV(X206))*(Y$7-Y$5)*(Y$6-Y$5)),Y$7-SQRT((1-NORMSDIST(Y$9*SQRT($C$11)*NORMSINV($B206)+SQRT(1-Y$9^2*$C$11)*NORMSINV(X206)))*(Y$7-Y$5)*(Y$7-Y$6))))</f>
        <v>0.515119050178294</v>
      </c>
      <c r="Z206" s="2" t="n">
        <v>0.443485088</v>
      </c>
      <c r="AA206" s="2" t="n">
        <f aca="false">IF(AA$7=AA$5,AA$6,IF(NORMSDIST(AA$9*SQRT($C$11)*NORMSINV($B206)+SQRT(1-AA$9^2*$C$11)*NORMSINV(Z206))&lt;AA$8,AA$5+SQRT(NORMSDIST(AA$9*SQRT($C$11)*NORMSINV($B206)+SQRT(1-AA$9^2*$C$11)*NORMSINV(Z206))*(AA$7-AA$5)*(AA$6-AA$5)),AA$7-SQRT((1-NORMSDIST(AA$9*SQRT($C$11)*NORMSINV($B206)+SQRT(1-AA$9^2*$C$11)*NORMSINV(Z206)))*(AA$7-AA$5)*(AA$7-AA$6))))</f>
        <v>0.724588592271914</v>
      </c>
      <c r="AB206" s="2" t="n">
        <v>0.005175745</v>
      </c>
      <c r="AC206" s="2" t="n">
        <f aca="false">IF(AC$7=AC$5,AC$6,IF(NORMSDIST(AC$9*SQRT($C$11)*NORMSINV($B206)+SQRT(1-AC$9^2*$C$11)*NORMSINV(AB206))&lt;AC$8,AC$5+SQRT(NORMSDIST(AC$9*SQRT($C$11)*NORMSINV($B206)+SQRT(1-AC$9^2*$C$11)*NORMSINV(AB206))*(AC$7-AC$5)*(AC$6-AC$5)),AC$7-SQRT((1-NORMSDIST(AC$9*SQRT($C$11)*NORMSINV($B206)+SQRT(1-AC$9^2*$C$11)*NORMSINV(AB206)))*(AC$7-AC$5)*(AC$7-AC$6))))</f>
        <v>7.7786878564403</v>
      </c>
      <c r="AD206" s="2" t="n">
        <f aca="false">Entrées!$C$8*(1+E206)</f>
        <v>7422.9199666419</v>
      </c>
      <c r="AE206" s="2" t="n">
        <f aca="false">I206*Hypothèses!$J$24/12/Hypothèses!$J$19</f>
        <v>96.7246727073748</v>
      </c>
      <c r="AF206" s="2" t="n">
        <f aca="false">Entrées!$C$36*S206*1000</f>
        <v>256.109511512074</v>
      </c>
      <c r="AG206" s="2" t="n">
        <f aca="false">-AF206/W206</f>
        <v>-28.2640327895679</v>
      </c>
      <c r="AH206" s="2" t="n">
        <f aca="false">AD206+AE206+AG206</f>
        <v>7491.3806065597</v>
      </c>
      <c r="AI206" s="2" t="n">
        <f aca="false">Entrées!$C$16-M206+Hypothèses!$J$22*1000-AF206+Hypothèses!$J$23</f>
        <v>22830.2521326314</v>
      </c>
      <c r="AJ206" s="2" t="n">
        <f aca="false">AI206/AH206</f>
        <v>3.047536005932</v>
      </c>
      <c r="AK206" s="2" t="n">
        <f aca="false">AI206/(AH206+I206*(12-Hypothèses!$J$24)/12/Hypothèses!$J$19)</f>
        <v>3.01968702526086</v>
      </c>
      <c r="AL206" s="2" t="n">
        <f aca="false">(AD206+AG206+I206/Hypothèses!$J$19)*(1+G206)</f>
        <v>7915.2839592007</v>
      </c>
      <c r="AM206" s="2" t="n">
        <f aca="false">Entrées!$C$54*K206/Hypothèses!$J$19</f>
        <v>16.8017397290344</v>
      </c>
      <c r="AN206" s="2" t="n">
        <f aca="false">Y206*1000/AC206</f>
        <v>66.221843540335</v>
      </c>
      <c r="AO206" s="2" t="n">
        <f aca="false">(Entrées!$C$36*(1-S206)+MAX(0,Entrées!$C$30-Entrées!$C$35-Entrées!$C$36)*U206)*1000</f>
        <v>1114.03278955152</v>
      </c>
      <c r="AP206" s="2" t="n">
        <f aca="false">-AO206/W206</f>
        <v>-122.943732572204</v>
      </c>
      <c r="AQ206" s="2" t="n">
        <f aca="false">AL206+AM206+AN206+AP206</f>
        <v>7875.36380989786</v>
      </c>
      <c r="AR206" s="2" t="n">
        <f aca="false">O206*AQ206-Hypothèses!$J$25/Hypothèses!$J$19</f>
        <v>1242.96456180031</v>
      </c>
      <c r="AS206" s="2" t="n">
        <f aca="false">Entrées!$C$79*(1+Q206)+Hypothèses!$J$20</f>
        <v>1516.32299044805</v>
      </c>
      <c r="AT206" s="2" t="n">
        <f aca="false">AI206-AR206+AS206+Y206*1000-AO206+Hypothèses!$J$23</f>
        <v>22504.6968219059</v>
      </c>
      <c r="AU206" s="2" t="n">
        <f aca="false">AT206/AQ206</f>
        <v>2.85760726299675</v>
      </c>
      <c r="AV206" s="2" t="n">
        <f aca="false">Hypothèses!$J$26*AQ206-AT206</f>
        <v>1121.3946077877</v>
      </c>
      <c r="AW206" s="2" t="n">
        <f aca="false">IF(AC206&gt;Hypothèses!$J$26,MAX(0,AV206)/(1-Hypothèses!$J$26/AC206),0)</f>
        <v>1825.39200716358</v>
      </c>
      <c r="AX206" s="2" t="n">
        <f aca="false">AQ206-Entrées!$C$17*1000</f>
        <v>-124.63619010214</v>
      </c>
      <c r="AY206" s="2" t="n">
        <f aca="false">AI206+(Entrées!$C$244-Entrées!$C$13)</f>
        <v>28577.2521326314</v>
      </c>
      <c r="AZ206" s="2" t="n">
        <f aca="false">AA206*AH206</f>
        <v>5428.16892788021</v>
      </c>
      <c r="BA206" s="2" t="n">
        <f aca="false">AZ206/AY206</f>
        <v>0.189947196556452</v>
      </c>
      <c r="BB206" s="2" t="n">
        <f aca="false">AZ206/(Entrées!$C$151/100)-AY206</f>
        <v>1579.2419111476</v>
      </c>
      <c r="BC206" s="2" t="n">
        <f aca="false">AT206+(Entrées!$C$244-Entrées!$C$13)</f>
        <v>28251.6968219059</v>
      </c>
      <c r="BD206" s="2" t="n">
        <f aca="false">AA206*AQ206</f>
        <v>5706.39877664307</v>
      </c>
      <c r="BE206" s="2" t="n">
        <f aca="false">BD206/BC206</f>
        <v>0.201984284788814</v>
      </c>
      <c r="BF206" s="2" t="n">
        <f aca="false">BD206/(Entrées!$C$151/100)-BC206</f>
        <v>3450.51860388895</v>
      </c>
      <c r="BG206" s="2" t="n">
        <f aca="false">MIN(AV206,BF206)</f>
        <v>1121.3946077877</v>
      </c>
      <c r="BH206" s="2" t="n">
        <f aca="false">IF(AC206&gt;Hypothèses!$J$26,MAX(0,BG206)/(1-Hypothèses!$J$26/AC206),0)</f>
        <v>1825.39200716358</v>
      </c>
    </row>
    <row r="207" customFormat="false" ht="15" hidden="false" customHeight="false" outlineLevel="0" collapsed="false">
      <c r="A207" s="2" t="n">
        <v>192</v>
      </c>
      <c r="B207" s="2" t="n">
        <v>0.651965607</v>
      </c>
      <c r="C207" s="2"/>
      <c r="D207" s="2" t="n">
        <v>0.648850165</v>
      </c>
      <c r="E207" s="2" t="n">
        <f aca="false">IF(E$7=E$5,E$6,IF(NORMSDIST(E$9*SQRT($C$11)*NORMSINV($B207)+SQRT(1-E$9^2*$C$11)*NORMSINV(D207))&lt;E$8,E$5+SQRT(NORMSDIST(E$9*SQRT($C$11)*NORMSINV($B207)+SQRT(1-E$9^2*$C$11)*NORMSINV(D207))*(E$7-E$5)*(E$6-E$5)),E$7-SQRT((1-NORMSDIST(E$9*SQRT($C$11)*NORMSINV($B207)+SQRT(1-E$9^2*$C$11)*NORMSINV(D207)))*(E$7-E$5)*(E$7-E$6))))</f>
        <v>0.0561690555629241</v>
      </c>
      <c r="F207" s="2" t="n">
        <v>0.038973383</v>
      </c>
      <c r="G207" s="2" t="n">
        <f aca="false">IF(G$7=G$5,G$6,IF(NORMSDIST(G$9*SQRT($C$11)*NORMSINV($B207)+SQRT(1-G$9^2*$C$11)*NORMSINV(F207))&lt;G$8,G$5+SQRT(NORMSDIST(G$9*SQRT($C$11)*NORMSINV($B207)+SQRT(1-G$9^2*$C$11)*NORMSINV(F207))*(G$7-G$5)*(G$6-G$5)),G$7-SQRT((1-NORMSDIST(G$9*SQRT($C$11)*NORMSINV($B207)+SQRT(1-G$9^2*$C$11)*NORMSINV(F207)))*(G$7-G$5)*(G$7-G$6))))</f>
        <v>0.0476986722932187</v>
      </c>
      <c r="H207" s="2" t="n">
        <v>0.668027264</v>
      </c>
      <c r="I207" s="2" t="n">
        <f aca="false">IF(I$7=I$5,I$6,IF(NORMSDIST(I$9*SQRT($C$11)*NORMSINV($B207)+SQRT(1-I$9^2*$C$11)*NORMSINV(H207))&lt;I$8,I$5+SQRT(NORMSDIST(I$9*SQRT($C$11)*NORMSINV($B207)+SQRT(1-I$9^2*$C$11)*NORMSINV(H207))*(I$7-I$5)*(I$6-I$5)),I$7-SQRT((1-NORMSDIST(I$9*SQRT($C$11)*NORMSINV($B207)+SQRT(1-I$9^2*$C$11)*NORMSINV(H207)))*(I$7-I$5)*(I$7-I$6))))</f>
        <v>205.040181919702</v>
      </c>
      <c r="J207" s="2" t="n">
        <v>0.24425733</v>
      </c>
      <c r="K207" s="2" t="n">
        <f aca="false">IF(K$7=K$5,K$6,IF(NORMSDIST(K$9*SQRT($C$11)*NORMSINV($B207)+SQRT(1-K$9^2*$C$11)*NORMSINV(J207))&lt;K$8,K$5+SQRT(NORMSDIST(K$9*SQRT($C$11)*NORMSINV($B207)+SQRT(1-K$9^2*$C$11)*NORMSINV(J207))*(K$7-K$5)*(K$6-K$5)),K$7-SQRT((1-NORMSDIST(K$9*SQRT($C$11)*NORMSINV($B207)+SQRT(1-K$9^2*$C$11)*NORMSINV(J207)))*(K$7-K$5)*(K$7-K$6))))</f>
        <v>0.219688783256558</v>
      </c>
      <c r="L207" s="2" t="n">
        <v>0.020074336</v>
      </c>
      <c r="M207" s="2" t="n">
        <f aca="false">IF(M$7=M$5,M$6,IF(NORMSDIST(M$9*SQRT($C$11)*NORMSINV($B207)+SQRT(1-M$9^2*$C$11)*NORMSINV(L207))&lt;M$8,M$5+SQRT(NORMSDIST(M$9*SQRT($C$11)*NORMSINV($B207)+SQRT(1-M$9^2*$C$11)*NORMSINV(L207))*(M$7-M$5)*(M$6-M$5)),M$7-SQRT((1-NORMSDIST(M$9*SQRT($C$11)*NORMSINV($B207)+SQRT(1-M$9^2*$C$11)*NORMSINV(L207)))*(M$7-M$5)*(M$7-M$6))))</f>
        <v>1422.70934682852</v>
      </c>
      <c r="N207" s="2" t="n">
        <v>0.74455349</v>
      </c>
      <c r="O207" s="2" t="n">
        <f aca="false">IF(O$7=O$5,O$6,IF(NORMSDIST(O$9*SQRT($C$11)*NORMSINV($B207)+SQRT(1-O$9^2*$C$11)*NORMSINV(N207))&lt;O$8,O$5+SQRT(NORMSDIST(O$9*SQRT($C$11)*NORMSINV($B207)+SQRT(1-O$9^2*$C$11)*NORMSINV(N207))*(O$7-O$5)*(O$6-O$5)),O$7-SQRT((1-NORMSDIST(O$9*SQRT($C$11)*NORMSINV($B207)+SQRT(1-O$9^2*$C$11)*NORMSINV(N207)))*(O$7-O$5)*(O$7-O$6))))</f>
        <v>0.17452813528181</v>
      </c>
      <c r="P207" s="2" t="n">
        <v>0.455171101</v>
      </c>
      <c r="Q207" s="2" t="n">
        <f aca="false">IF(Q$7=Q$5,Q$6,IF(NORMSDIST(Q$9*SQRT($C$11)*NORMSINV($B207)+SQRT(1-Q$9^2*$C$11)*NORMSINV(P207))&lt;Q$8,Q$5+SQRT(NORMSDIST(Q$9*SQRT($C$11)*NORMSINV($B207)+SQRT(1-Q$9^2*$C$11)*NORMSINV(P207))*(Q$7-Q$5)*(Q$6-Q$5)),Q$7-SQRT((1-NORMSDIST(Q$9*SQRT($C$11)*NORMSINV($B207)+SQRT(1-Q$9^2*$C$11)*NORMSINV(P207)))*(Q$7-Q$5)*(Q$7-Q$6))))</f>
        <v>0.0781647418856724</v>
      </c>
      <c r="R207" s="2" t="n">
        <v>0.915002651</v>
      </c>
      <c r="S207" s="2" t="n">
        <f aca="false">IF(S$7=S$5,S$6,IF(NORMSDIST(S$9*SQRT($C$11)*NORMSINV($B207)+SQRT(1-S$9^2*$C$11)*NORMSINV(R207))&lt;S$8,S$5+SQRT(NORMSDIST(S$9*SQRT($C$11)*NORMSINV($B207)+SQRT(1-S$9^2*$C$11)*NORMSINV(R207))*(S$7-S$5)*(S$6-S$5)),S$7-SQRT((1-NORMSDIST(S$9*SQRT($C$11)*NORMSINV($B207)+SQRT(1-S$9^2*$C$11)*NORMSINV(R207)))*(S$7-S$5)*(S$7-S$6))))</f>
        <v>0.781938007042301</v>
      </c>
      <c r="T207" s="2" t="n">
        <v>0.198322485</v>
      </c>
      <c r="U207" s="2" t="n">
        <f aca="false">IF(U$7=U$5,U$6,IF(NORMSDIST(U$9*SQRT($C$11)*NORMSINV($B207)+SQRT(1-U$9^2*$C$11)*NORMSINV(T207))&lt;U$8,U$5+SQRT(NORMSDIST(U$9*SQRT($C$11)*NORMSINV($B207)+SQRT(1-U$9^2*$C$11)*NORMSINV(T207))*(U$7-U$5)*(U$6-U$5)),U$7-SQRT((1-NORMSDIST(U$9*SQRT($C$11)*NORMSINV($B207)+SQRT(1-U$9^2*$C$11)*NORMSINV(T207)))*(U$7-U$5)*(U$7-U$6))))</f>
        <v>0.412966015788942</v>
      </c>
      <c r="V207" s="2" t="n">
        <v>0.266369023</v>
      </c>
      <c r="W207" s="2" t="n">
        <f aca="false">IF(W$7=W$5,W$6,IF(NORMSDIST(W$9*SQRT($C$11)*NORMSINV($B207)+SQRT(1-W$9^2*$C$11)*NORMSINV(V207))&lt;W$8,W$5+SQRT(NORMSDIST(W$9*SQRT($C$11)*NORMSINV($B207)+SQRT(1-W$9^2*$C$11)*NORMSINV(V207))*(W$7-W$5)*(W$6-W$5)),W$7-SQRT((1-NORMSDIST(W$9*SQRT($C$11)*NORMSINV($B207)+SQRT(1-W$9^2*$C$11)*NORMSINV(V207)))*(W$7-W$5)*(W$7-W$6))))</f>
        <v>9.80367215969523</v>
      </c>
      <c r="X207" s="2" t="n">
        <v>0.581478874</v>
      </c>
      <c r="Y207" s="2" t="n">
        <f aca="false">IF(Y$7=Y$5,Y$6,IF(NORMSDIST(Y$9*SQRT($C$11)*NORMSINV($B207)+SQRT(1-Y$9^2*$C$11)*NORMSINV(X207))&lt;Y$8,Y$5+SQRT(NORMSDIST(Y$9*SQRT($C$11)*NORMSINV($B207)+SQRT(1-Y$9^2*$C$11)*NORMSINV(X207))*(Y$7-Y$5)*(Y$6-Y$5)),Y$7-SQRT((1-NORMSDIST(Y$9*SQRT($C$11)*NORMSINV($B207)+SQRT(1-Y$9^2*$C$11)*NORMSINV(X207)))*(Y$7-Y$5)*(Y$7-Y$6))))</f>
        <v>0.542549933872559</v>
      </c>
      <c r="Z207" s="2" t="n">
        <v>0.715439219</v>
      </c>
      <c r="AA207" s="2" t="n">
        <f aca="false">IF(AA$7=AA$5,AA$6,IF(NORMSDIST(AA$9*SQRT($C$11)*NORMSINV($B207)+SQRT(1-AA$9^2*$C$11)*NORMSINV(Z207))&lt;AA$8,AA$5+SQRT(NORMSDIST(AA$9*SQRT($C$11)*NORMSINV($B207)+SQRT(1-AA$9^2*$C$11)*NORMSINV(Z207))*(AA$7-AA$5)*(AA$6-AA$5)),AA$7-SQRT((1-NORMSDIST(AA$9*SQRT($C$11)*NORMSINV($B207)+SQRT(1-AA$9^2*$C$11)*NORMSINV(Z207)))*(AA$7-AA$5)*(AA$7-AA$6))))</f>
        <v>0.736098866012052</v>
      </c>
      <c r="AB207" s="2" t="n">
        <v>0.41505296</v>
      </c>
      <c r="AC207" s="2" t="n">
        <f aca="false">IF(AC$7=AC$5,AC$6,IF(NORMSDIST(AC$9*SQRT($C$11)*NORMSINV($B207)+SQRT(1-AC$9^2*$C$11)*NORMSINV(AB207))&lt;AC$8,AC$5+SQRT(NORMSDIST(AC$9*SQRT($C$11)*NORMSINV($B207)+SQRT(1-AC$9^2*$C$11)*NORMSINV(AB207))*(AC$7-AC$5)*(AC$6-AC$5)),AC$7-SQRT((1-NORMSDIST(AC$9*SQRT($C$11)*NORMSINV($B207)+SQRT(1-AC$9^2*$C$11)*NORMSINV(AB207)))*(AC$7-AC$5)*(AC$7-AC$6))))</f>
        <v>9.54438701106871</v>
      </c>
      <c r="AD207" s="2" t="n">
        <f aca="false">Entrées!$C$8*(1+E207)</f>
        <v>7445.99184171862</v>
      </c>
      <c r="AE207" s="2" t="n">
        <f aca="false">I207*Hypothèses!$J$24/12/Hypothèses!$J$19</f>
        <v>101.719777993732</v>
      </c>
      <c r="AF207" s="2" t="n">
        <f aca="false">Entrées!$C$36*S207*1000</f>
        <v>390.969003521151</v>
      </c>
      <c r="AG207" s="2" t="n">
        <f aca="false">-AF207/W207</f>
        <v>-39.8798528910931</v>
      </c>
      <c r="AH207" s="2" t="n">
        <f aca="false">AD207+AE207+AG207</f>
        <v>7507.83176682125</v>
      </c>
      <c r="AI207" s="2" t="n">
        <f aca="false">Entrées!$C$16-M207+Hypothèses!$J$22*1000-AF207+Hypothèses!$J$23</f>
        <v>22734.3216496503</v>
      </c>
      <c r="AJ207" s="2" t="n">
        <f aca="false">AI207/AH207</f>
        <v>3.0280808568618</v>
      </c>
      <c r="AK207" s="2" t="n">
        <f aca="false">AI207/(AH207+I207*(12-Hypothèses!$J$24)/12/Hypothèses!$J$19)</f>
        <v>2.99905750092221</v>
      </c>
      <c r="AL207" s="2" t="n">
        <f aca="false">(AD207+AG207+I207/Hypothèses!$J$19)*(1+G207)</f>
        <v>7942.06799986376</v>
      </c>
      <c r="AM207" s="2" t="n">
        <f aca="false">Entrées!$C$54*K207/Hypothèses!$J$19</f>
        <v>22.4201627449249</v>
      </c>
      <c r="AN207" s="2" t="n">
        <f aca="false">Y207*1000/AC207</f>
        <v>56.8449218628037</v>
      </c>
      <c r="AO207" s="2" t="n">
        <f aca="false">(Entrées!$C$36*(1-S207)+MAX(0,Entrées!$C$30-Entrées!$C$35-Entrées!$C$36)*U207)*1000</f>
        <v>687.183418583368</v>
      </c>
      <c r="AP207" s="2" t="n">
        <f aca="false">-AO207/W207</f>
        <v>-70.0944918791256</v>
      </c>
      <c r="AQ207" s="2" t="n">
        <f aca="false">AL207+AM207+AN207+AP207</f>
        <v>7951.23859259236</v>
      </c>
      <c r="AR207" s="2" t="n">
        <f aca="false">O207*AQ207-Hypothèses!$J$25/Hypothèses!$J$19</f>
        <v>1368.57968248428</v>
      </c>
      <c r="AS207" s="2" t="n">
        <f aca="false">Entrées!$C$79*(1+Q207)+Hypothèses!$J$20</f>
        <v>1479.90305133235</v>
      </c>
      <c r="AT207" s="2" t="n">
        <f aca="false">AI207-AR207+AS207+Y207*1000-AO207+Hypothèses!$J$23</f>
        <v>22701.0115337876</v>
      </c>
      <c r="AU207" s="2" t="n">
        <f aca="false">AT207/AQ207</f>
        <v>2.85502834173994</v>
      </c>
      <c r="AV207" s="2" t="n">
        <f aca="false">Hypothèses!$J$26*AQ207-AT207</f>
        <v>1152.70424398949</v>
      </c>
      <c r="AW207" s="2" t="n">
        <f aca="false">IF(AC207&gt;Hypothèses!$J$26,MAX(0,AV207)/(1-Hypothèses!$J$26/AC207),0)</f>
        <v>1681.11320362463</v>
      </c>
      <c r="AX207" s="2" t="n">
        <f aca="false">AQ207-Entrées!$C$17*1000</f>
        <v>-48.7614074076373</v>
      </c>
      <c r="AY207" s="2" t="n">
        <f aca="false">AI207+(Entrées!$C$244-Entrées!$C$13)</f>
        <v>28481.3216496503</v>
      </c>
      <c r="AZ207" s="2" t="n">
        <f aca="false">AA207*AH207</f>
        <v>5526.50644976638</v>
      </c>
      <c r="BA207" s="2" t="n">
        <f aca="false">AZ207/AY207</f>
        <v>0.194039676871324</v>
      </c>
      <c r="BB207" s="2" t="n">
        <f aca="false">AZ207/(Entrées!$C$151/100)-AY207</f>
        <v>2221.49196016292</v>
      </c>
      <c r="BC207" s="2" t="n">
        <f aca="false">AT207+(Entrées!$C$244-Entrées!$C$13)</f>
        <v>28448.0115337876</v>
      </c>
      <c r="BD207" s="2" t="n">
        <f aca="false">AA207*AQ207</f>
        <v>5852.8977113985</v>
      </c>
      <c r="BE207" s="2" t="n">
        <f aca="false">BD207/BC207</f>
        <v>0.205740134225095</v>
      </c>
      <c r="BF207" s="2" t="n">
        <f aca="false">BD207/(Entrées!$C$151/100)-BC207</f>
        <v>4068.08686287075</v>
      </c>
      <c r="BG207" s="2" t="n">
        <f aca="false">MIN(AV207,BF207)</f>
        <v>1152.70424398949</v>
      </c>
      <c r="BH207" s="2" t="n">
        <f aca="false">IF(AC207&gt;Hypothèses!$J$26,MAX(0,BG207)/(1-Hypothèses!$J$26/AC207),0)</f>
        <v>1681.11320362463</v>
      </c>
    </row>
    <row r="208" customFormat="false" ht="15" hidden="false" customHeight="false" outlineLevel="0" collapsed="false">
      <c r="A208" s="2" t="n">
        <v>193</v>
      </c>
      <c r="B208" s="2" t="n">
        <v>0.514365438</v>
      </c>
      <c r="C208" s="2"/>
      <c r="D208" s="2" t="n">
        <v>0.232109345</v>
      </c>
      <c r="E208" s="2" t="n">
        <f aca="false">IF(E$7=E$5,E$6,IF(NORMSDIST(E$9*SQRT($C$11)*NORMSINV($B208)+SQRT(1-E$9^2*$C$11)*NORMSINV(D208))&lt;E$8,E$5+SQRT(NORMSDIST(E$9*SQRT($C$11)*NORMSINV($B208)+SQRT(1-E$9^2*$C$11)*NORMSINV(D208))*(E$7-E$5)*(E$6-E$5)),E$7-SQRT((1-NORMSDIST(E$9*SQRT($C$11)*NORMSINV($B208)+SQRT(1-E$9^2*$C$11)*NORMSINV(D208)))*(E$7-E$5)*(E$7-E$6))))</f>
        <v>0.0538286088243408</v>
      </c>
      <c r="F208" s="2" t="n">
        <v>0.604944686</v>
      </c>
      <c r="G208" s="2" t="n">
        <f aca="false">IF(G$7=G$5,G$6,IF(NORMSDIST(G$9*SQRT($C$11)*NORMSINV($B208)+SQRT(1-G$9^2*$C$11)*NORMSINV(F208))&lt;G$8,G$5+SQRT(NORMSDIST(G$9*SQRT($C$11)*NORMSINV($B208)+SQRT(1-G$9^2*$C$11)*NORMSINV(F208))*(G$7-G$5)*(G$6-G$5)),G$7-SQRT((1-NORMSDIST(G$9*SQRT($C$11)*NORMSINV($B208)+SQRT(1-G$9^2*$C$11)*NORMSINV(F208)))*(G$7-G$5)*(G$7-G$6))))</f>
        <v>0.0564259775231614</v>
      </c>
      <c r="H208" s="2" t="n">
        <v>0.325513967</v>
      </c>
      <c r="I208" s="2" t="n">
        <f aca="false">IF(I$7=I$5,I$6,IF(NORMSDIST(I$9*SQRT($C$11)*NORMSINV($B208)+SQRT(1-I$9^2*$C$11)*NORMSINV(H208))&lt;I$8,I$5+SQRT(NORMSDIST(I$9*SQRT($C$11)*NORMSINV($B208)+SQRT(1-I$9^2*$C$11)*NORMSINV(H208))*(I$7-I$5)*(I$6-I$5)),I$7-SQRT((1-NORMSDIST(I$9*SQRT($C$11)*NORMSINV($B208)+SQRT(1-I$9^2*$C$11)*NORMSINV(H208)))*(I$7-I$5)*(I$7-I$6))))</f>
        <v>197.241991013823</v>
      </c>
      <c r="J208" s="2" t="n">
        <v>0.143771508</v>
      </c>
      <c r="K208" s="2" t="n">
        <f aca="false">IF(K$7=K$5,K$6,IF(NORMSDIST(K$9*SQRT($C$11)*NORMSINV($B208)+SQRT(1-K$9^2*$C$11)*NORMSINV(J208))&lt;K$8,K$5+SQRT(NORMSDIST(K$9*SQRT($C$11)*NORMSINV($B208)+SQRT(1-K$9^2*$C$11)*NORMSINV(J208))*(K$7-K$5)*(K$6-K$5)),K$7-SQRT((1-NORMSDIST(K$9*SQRT($C$11)*NORMSINV($B208)+SQRT(1-K$9^2*$C$11)*NORMSINV(J208)))*(K$7-K$5)*(K$7-K$6))))</f>
        <v>0.162618577639187</v>
      </c>
      <c r="L208" s="2" t="n">
        <v>0.315113041</v>
      </c>
      <c r="M208" s="2" t="n">
        <f aca="false">IF(M$7=M$5,M$6,IF(NORMSDIST(M$9*SQRT($C$11)*NORMSINV($B208)+SQRT(1-M$9^2*$C$11)*NORMSINV(L208))&lt;M$8,M$5+SQRT(NORMSDIST(M$9*SQRT($C$11)*NORMSINV($B208)+SQRT(1-M$9^2*$C$11)*NORMSINV(L208))*(M$7-M$5)*(M$6-M$5)),M$7-SQRT((1-NORMSDIST(M$9*SQRT($C$11)*NORMSINV($B208)+SQRT(1-M$9^2*$C$11)*NORMSINV(L208)))*(M$7-M$5)*(M$7-M$6))))</f>
        <v>1543.64994466319</v>
      </c>
      <c r="N208" s="2" t="n">
        <v>0.87450626</v>
      </c>
      <c r="O208" s="2" t="n">
        <f aca="false">IF(O$7=O$5,O$6,IF(NORMSDIST(O$9*SQRT($C$11)*NORMSINV($B208)+SQRT(1-O$9^2*$C$11)*NORMSINV(N208))&lt;O$8,O$5+SQRT(NORMSDIST(O$9*SQRT($C$11)*NORMSINV($B208)+SQRT(1-O$9^2*$C$11)*NORMSINV(N208))*(O$7-O$5)*(O$6-O$5)),O$7-SQRT((1-NORMSDIST(O$9*SQRT($C$11)*NORMSINV($B208)+SQRT(1-O$9^2*$C$11)*NORMSINV(N208)))*(O$7-O$5)*(O$7-O$6))))</f>
        <v>0.176119069797271</v>
      </c>
      <c r="P208" s="2" t="n">
        <v>0.980622449</v>
      </c>
      <c r="Q208" s="2" t="n">
        <f aca="false">IF(Q$7=Q$5,Q$6,IF(NORMSDIST(Q$9*SQRT($C$11)*NORMSINV($B208)+SQRT(1-Q$9^2*$C$11)*NORMSINV(P208))&lt;Q$8,Q$5+SQRT(NORMSDIST(Q$9*SQRT($C$11)*NORMSINV($B208)+SQRT(1-Q$9^2*$C$11)*NORMSINV(P208))*(Q$7-Q$5)*(Q$6-Q$5)),Q$7-SQRT((1-NORMSDIST(Q$9*SQRT($C$11)*NORMSINV($B208)+SQRT(1-Q$9^2*$C$11)*NORMSINV(P208)))*(Q$7-Q$5)*(Q$7-Q$6))))</f>
        <v>0.112125473779331</v>
      </c>
      <c r="R208" s="2" t="n">
        <v>0.168626268</v>
      </c>
      <c r="S208" s="2" t="n">
        <f aca="false">IF(S$7=S$5,S$6,IF(NORMSDIST(S$9*SQRT($C$11)*NORMSINV($B208)+SQRT(1-S$9^2*$C$11)*NORMSINV(R208))&lt;S$8,S$5+SQRT(NORMSDIST(S$9*SQRT($C$11)*NORMSINV($B208)+SQRT(1-S$9^2*$C$11)*NORMSINV(R208))*(S$7-S$5)*(S$6-S$5)),S$7-SQRT((1-NORMSDIST(S$9*SQRT($C$11)*NORMSINV($B208)+SQRT(1-S$9^2*$C$11)*NORMSINV(R208)))*(S$7-S$5)*(S$7-S$6))))</f>
        <v>0.343219524588172</v>
      </c>
      <c r="T208" s="2" t="n">
        <v>0.096857511</v>
      </c>
      <c r="U208" s="2" t="n">
        <f aca="false">IF(U$7=U$5,U$6,IF(NORMSDIST(U$9*SQRT($C$11)*NORMSINV($B208)+SQRT(1-U$9^2*$C$11)*NORMSINV(T208))&lt;U$8,U$5+SQRT(NORMSDIST(U$9*SQRT($C$11)*NORMSINV($B208)+SQRT(1-U$9^2*$C$11)*NORMSINV(T208))*(U$7-U$5)*(U$6-U$5)),U$7-SQRT((1-NORMSDIST(U$9*SQRT($C$11)*NORMSINV($B208)+SQRT(1-U$9^2*$C$11)*NORMSINV(T208)))*(U$7-U$5)*(U$7-U$6))))</f>
        <v>0.285107643741619</v>
      </c>
      <c r="V208" s="2" t="n">
        <v>0.417836248</v>
      </c>
      <c r="W208" s="2" t="n">
        <f aca="false">IF(W$7=W$5,W$6,IF(NORMSDIST(W$9*SQRT($C$11)*NORMSINV($B208)+SQRT(1-W$9^2*$C$11)*NORMSINV(V208))&lt;W$8,W$5+SQRT(NORMSDIST(W$9*SQRT($C$11)*NORMSINV($B208)+SQRT(1-W$9^2*$C$11)*NORMSINV(V208))*(W$7-W$5)*(W$6-W$5)),W$7-SQRT((1-NORMSDIST(W$9*SQRT($C$11)*NORMSINV($B208)+SQRT(1-W$9^2*$C$11)*NORMSINV(V208)))*(W$7-W$5)*(W$7-W$6))))</f>
        <v>9.88713712698858</v>
      </c>
      <c r="X208" s="2" t="n">
        <v>0.333066004</v>
      </c>
      <c r="Y208" s="2" t="n">
        <f aca="false">IF(Y$7=Y$5,Y$6,IF(NORMSDIST(Y$9*SQRT($C$11)*NORMSINV($B208)+SQRT(1-Y$9^2*$C$11)*NORMSINV(X208))&lt;Y$8,Y$5+SQRT(NORMSDIST(Y$9*SQRT($C$11)*NORMSINV($B208)+SQRT(1-Y$9^2*$C$11)*NORMSINV(X208))*(Y$7-Y$5)*(Y$6-Y$5)),Y$7-SQRT((1-NORMSDIST(Y$9*SQRT($C$11)*NORMSINV($B208)+SQRT(1-Y$9^2*$C$11)*NORMSINV(X208)))*(Y$7-Y$5)*(Y$7-Y$6))))</f>
        <v>0.408084552513324</v>
      </c>
      <c r="Z208" s="2" t="n">
        <v>0.273133186</v>
      </c>
      <c r="AA208" s="2" t="n">
        <f aca="false">IF(AA$7=AA$5,AA$6,IF(NORMSDIST(AA$9*SQRT($C$11)*NORMSINV($B208)+SQRT(1-AA$9^2*$C$11)*NORMSINV(Z208))&lt;AA$8,AA$5+SQRT(NORMSDIST(AA$9*SQRT($C$11)*NORMSINV($B208)+SQRT(1-AA$9^2*$C$11)*NORMSINV(Z208))*(AA$7-AA$5)*(AA$6-AA$5)),AA$7-SQRT((1-NORMSDIST(AA$9*SQRT($C$11)*NORMSINV($B208)+SQRT(1-AA$9^2*$C$11)*NORMSINV(Z208)))*(AA$7-AA$5)*(AA$7-AA$6))))</f>
        <v>0.721842751738675</v>
      </c>
      <c r="AB208" s="2" t="n">
        <v>0.910909782</v>
      </c>
      <c r="AC208" s="2" t="n">
        <f aca="false">IF(AC$7=AC$5,AC$6,IF(NORMSDIST(AC$9*SQRT($C$11)*NORMSINV($B208)+SQRT(1-AC$9^2*$C$11)*NORMSINV(AB208))&lt;AC$8,AC$5+SQRT(NORMSDIST(AC$9*SQRT($C$11)*NORMSINV($B208)+SQRT(1-AC$9^2*$C$11)*NORMSINV(AB208))*(AC$7-AC$5)*(AC$6-AC$5)),AC$7-SQRT((1-NORMSDIST(AC$9*SQRT($C$11)*NORMSINV($B208)+SQRT(1-AC$9^2*$C$11)*NORMSINV(AB208)))*(AC$7-AC$5)*(AC$7-AC$6))))</f>
        <v>10.2132419357344</v>
      </c>
      <c r="AD208" s="2" t="n">
        <f aca="false">Entrées!$C$8*(1+E208)</f>
        <v>7429.4916922116</v>
      </c>
      <c r="AE208" s="2" t="n">
        <f aca="false">I208*Hypothèses!$J$24/12/Hypothèses!$J$19</f>
        <v>97.8511204444064</v>
      </c>
      <c r="AF208" s="2" t="n">
        <f aca="false">Entrées!$C$36*S208*1000</f>
        <v>171.609762294086</v>
      </c>
      <c r="AG208" s="2" t="n">
        <f aca="false">-AF208/W208</f>
        <v>-17.35687086059</v>
      </c>
      <c r="AH208" s="2" t="n">
        <f aca="false">AD208+AE208+AG208</f>
        <v>7509.98594179542</v>
      </c>
      <c r="AI208" s="2" t="n">
        <f aca="false">Entrées!$C$16-M208+Hypothèses!$J$22*1000-AF208+Hypothèses!$J$23</f>
        <v>22832.7402930427</v>
      </c>
      <c r="AJ208" s="2" t="n">
        <f aca="false">AI208/AH208</f>
        <v>3.04031731483962</v>
      </c>
      <c r="AK208" s="2" t="n">
        <f aca="false">AI208/(AH208+I208*(12-Hypothèses!$J$24)/12/Hypothèses!$J$19)</f>
        <v>3.01228271426432</v>
      </c>
      <c r="AL208" s="2" t="n">
        <f aca="false">(AD208+AG208+I208/Hypothèses!$J$19)*(1+G208)</f>
        <v>8007.58171515158</v>
      </c>
      <c r="AM208" s="2" t="n">
        <f aca="false">Entrées!$C$54*K208/Hypothèses!$J$19</f>
        <v>16.5959086393636</v>
      </c>
      <c r="AN208" s="2" t="n">
        <f aca="false">Y208*1000/AC208</f>
        <v>39.9564168832138</v>
      </c>
      <c r="AO208" s="2" t="n">
        <f aca="false">(Entrées!$C$36*(1-S208)+MAX(0,Entrées!$C$30-Entrées!$C$35-Entrées!$C$36)*U208)*1000</f>
        <v>727.540938944181</v>
      </c>
      <c r="AP208" s="2" t="n">
        <f aca="false">-AO208/W208</f>
        <v>-73.584590726292</v>
      </c>
      <c r="AQ208" s="2" t="n">
        <f aca="false">AL208+AM208+AN208+AP208</f>
        <v>7990.54944994787</v>
      </c>
      <c r="AR208" s="2" t="n">
        <f aca="false">O208*AQ208-Hypothèses!$J$25/Hypothèses!$J$19</f>
        <v>1388.15297403229</v>
      </c>
      <c r="AS208" s="2" t="n">
        <f aca="false">Entrées!$C$79*(1+Q208)+Hypothèses!$J$20</f>
        <v>1517.22589568348</v>
      </c>
      <c r="AT208" s="2" t="n">
        <f aca="false">AI208-AR208+AS208+Y208*1000-AO208+Hypothèses!$J$23</f>
        <v>22642.3568282631</v>
      </c>
      <c r="AU208" s="2" t="n">
        <f aca="false">AT208/AQ208</f>
        <v>2.83364203802165</v>
      </c>
      <c r="AV208" s="2" t="n">
        <f aca="false">Hypothèses!$J$26*AQ208-AT208</f>
        <v>1329.29152158054</v>
      </c>
      <c r="AW208" s="2" t="n">
        <f aca="false">IF(AC208&gt;Hypothèses!$J$26,MAX(0,AV208)/(1-Hypothèses!$J$26/AC208),0)</f>
        <v>1882.1462019408</v>
      </c>
      <c r="AX208" s="2" t="n">
        <f aca="false">AQ208-Entrées!$C$17*1000</f>
        <v>-9.45055005213271</v>
      </c>
      <c r="AY208" s="2" t="n">
        <f aca="false">AI208+(Entrées!$C$244-Entrées!$C$13)</f>
        <v>28579.7402930427</v>
      </c>
      <c r="AZ208" s="2" t="n">
        <f aca="false">AA208*AH208</f>
        <v>5421.02891774437</v>
      </c>
      <c r="BA208" s="2" t="n">
        <f aca="false">AZ208/AY208</f>
        <v>0.189680832021557</v>
      </c>
      <c r="BB208" s="2" t="n">
        <f aca="false">AZ208/(Entrées!$C$151/100)-AY208</f>
        <v>1537.08702775932</v>
      </c>
      <c r="BC208" s="2" t="n">
        <f aca="false">AT208+(Entrées!$C$244-Entrées!$C$13)</f>
        <v>28389.3568282631</v>
      </c>
      <c r="BD208" s="2" t="n">
        <f aca="false">AA208*AQ208</f>
        <v>5767.92020285432</v>
      </c>
      <c r="BE208" s="2" t="n">
        <f aca="false">BD208/BC208</f>
        <v>0.203171922412559</v>
      </c>
      <c r="BF208" s="2" t="n">
        <f aca="false">BD208/(Entrées!$C$151/100)-BC208</f>
        <v>3654.6442987054</v>
      </c>
      <c r="BG208" s="2" t="n">
        <f aca="false">MIN(AV208,BF208)</f>
        <v>1329.29152158054</v>
      </c>
      <c r="BH208" s="2" t="n">
        <f aca="false">IF(AC208&gt;Hypothèses!$J$26,MAX(0,BG208)/(1-Hypothèses!$J$26/AC208),0)</f>
        <v>1882.1462019408</v>
      </c>
    </row>
    <row r="209" customFormat="false" ht="15" hidden="false" customHeight="false" outlineLevel="0" collapsed="false">
      <c r="A209" s="2" t="n">
        <v>194</v>
      </c>
      <c r="B209" s="2" t="n">
        <v>0.257680697</v>
      </c>
      <c r="C209" s="2"/>
      <c r="D209" s="2" t="n">
        <v>0.612680892</v>
      </c>
      <c r="E209" s="2" t="n">
        <f aca="false">IF(E$7=E$5,E$6,IF(NORMSDIST(E$9*SQRT($C$11)*NORMSINV($B209)+SQRT(1-E$9^2*$C$11)*NORMSINV(D209))&lt;E$8,E$5+SQRT(NORMSDIST(E$9*SQRT($C$11)*NORMSINV($B209)+SQRT(1-E$9^2*$C$11)*NORMSINV(D209))*(E$7-E$5)*(E$6-E$5)),E$7-SQRT((1-NORMSDIST(E$9*SQRT($C$11)*NORMSINV($B209)+SQRT(1-E$9^2*$C$11)*NORMSINV(D209)))*(E$7-E$5)*(E$7-E$6))))</f>
        <v>0.0546086577723728</v>
      </c>
      <c r="F209" s="2" t="n">
        <v>0.661604447</v>
      </c>
      <c r="G209" s="2" t="n">
        <f aca="false">IF(G$7=G$5,G$6,IF(NORMSDIST(G$9*SQRT($C$11)*NORMSINV($B209)+SQRT(1-G$9^2*$C$11)*NORMSINV(F209))&lt;G$8,G$5+SQRT(NORMSDIST(G$9*SQRT($C$11)*NORMSINV($B209)+SQRT(1-G$9^2*$C$11)*NORMSINV(F209))*(G$7-G$5)*(G$6-G$5)),G$7-SQRT((1-NORMSDIST(G$9*SQRT($C$11)*NORMSINV($B209)+SQRT(1-G$9^2*$C$11)*NORMSINV(F209)))*(G$7-G$5)*(G$7-G$6))))</f>
        <v>0.0544612243320948</v>
      </c>
      <c r="H209" s="2" t="n">
        <v>0.790992316</v>
      </c>
      <c r="I209" s="2" t="n">
        <f aca="false">IF(I$7=I$5,I$6,IF(NORMSDIST(I$9*SQRT($C$11)*NORMSINV($B209)+SQRT(1-I$9^2*$C$11)*NORMSINV(H209))&lt;I$8,I$5+SQRT(NORMSDIST(I$9*SQRT($C$11)*NORMSINV($B209)+SQRT(1-I$9^2*$C$11)*NORMSINV(H209))*(I$7-I$5)*(I$6-I$5)),I$7-SQRT((1-NORMSDIST(I$9*SQRT($C$11)*NORMSINV($B209)+SQRT(1-I$9^2*$C$11)*NORMSINV(H209)))*(I$7-I$5)*(I$7-I$6))))</f>
        <v>201.789407294657</v>
      </c>
      <c r="J209" s="2" t="n">
        <v>0.449708523</v>
      </c>
      <c r="K209" s="2" t="n">
        <f aca="false">IF(K$7=K$5,K$6,IF(NORMSDIST(K$9*SQRT($C$11)*NORMSINV($B209)+SQRT(1-K$9^2*$C$11)*NORMSINV(J209))&lt;K$8,K$5+SQRT(NORMSDIST(K$9*SQRT($C$11)*NORMSINV($B209)+SQRT(1-K$9^2*$C$11)*NORMSINV(J209))*(K$7-K$5)*(K$6-K$5)),K$7-SQRT((1-NORMSDIST(K$9*SQRT($C$11)*NORMSINV($B209)+SQRT(1-K$9^2*$C$11)*NORMSINV(J209)))*(K$7-K$5)*(K$7-K$6))))</f>
        <v>0.195339891022204</v>
      </c>
      <c r="L209" s="2" t="n">
        <v>0.244477002</v>
      </c>
      <c r="M209" s="2" t="n">
        <f aca="false">IF(M$7=M$5,M$6,IF(NORMSDIST(M$9*SQRT($C$11)*NORMSINV($B209)+SQRT(1-M$9^2*$C$11)*NORMSINV(L209))&lt;M$8,M$5+SQRT(NORMSDIST(M$9*SQRT($C$11)*NORMSINV($B209)+SQRT(1-M$9^2*$C$11)*NORMSINV(L209))*(M$7-M$5)*(M$6-M$5)),M$7-SQRT((1-NORMSDIST(M$9*SQRT($C$11)*NORMSINV($B209)+SQRT(1-M$9^2*$C$11)*NORMSINV(L209)))*(M$7-M$5)*(M$7-M$6))))</f>
        <v>1468.54741642616</v>
      </c>
      <c r="N209" s="2" t="n">
        <v>0.526245326</v>
      </c>
      <c r="O209" s="2" t="n">
        <f aca="false">IF(O$7=O$5,O$6,IF(NORMSDIST(O$9*SQRT($C$11)*NORMSINV($B209)+SQRT(1-O$9^2*$C$11)*NORMSINV(N209))&lt;O$8,O$5+SQRT(NORMSDIST(O$9*SQRT($C$11)*NORMSINV($B209)+SQRT(1-O$9^2*$C$11)*NORMSINV(N209))*(O$7-O$5)*(O$6-O$5)),O$7-SQRT((1-NORMSDIST(O$9*SQRT($C$11)*NORMSINV($B209)+SQRT(1-O$9^2*$C$11)*NORMSINV(N209)))*(O$7-O$5)*(O$7-O$6))))</f>
        <v>0.162704177562555</v>
      </c>
      <c r="P209" s="2" t="n">
        <v>0.245965443</v>
      </c>
      <c r="Q209" s="2" t="n">
        <f aca="false">IF(Q$7=Q$5,Q$6,IF(NORMSDIST(Q$9*SQRT($C$11)*NORMSINV($B209)+SQRT(1-Q$9^2*$C$11)*NORMSINV(P209))&lt;Q$8,Q$5+SQRT(NORMSDIST(Q$9*SQRT($C$11)*NORMSINV($B209)+SQRT(1-Q$9^2*$C$11)*NORMSINV(P209))*(Q$7-Q$5)*(Q$6-Q$5)),Q$7-SQRT((1-NORMSDIST(Q$9*SQRT($C$11)*NORMSINV($B209)+SQRT(1-Q$9^2*$C$11)*NORMSINV(P209)))*(Q$7-Q$5)*(Q$7-Q$6))))</f>
        <v>0.0680551139295495</v>
      </c>
      <c r="R209" s="2" t="n">
        <v>0.093482605</v>
      </c>
      <c r="S209" s="2" t="n">
        <f aca="false">IF(S$7=S$5,S$6,IF(NORMSDIST(S$9*SQRT($C$11)*NORMSINV($B209)+SQRT(1-S$9^2*$C$11)*NORMSINV(R209))&lt;S$8,S$5+SQRT(NORMSDIST(S$9*SQRT($C$11)*NORMSINV($B209)+SQRT(1-S$9^2*$C$11)*NORMSINV(R209))*(S$7-S$5)*(S$6-S$5)),S$7-SQRT((1-NORMSDIST(S$9*SQRT($C$11)*NORMSINV($B209)+SQRT(1-S$9^2*$C$11)*NORMSINV(R209)))*(S$7-S$5)*(S$7-S$6))))</f>
        <v>0.19473734003645</v>
      </c>
      <c r="T209" s="2" t="n">
        <v>0.169884175</v>
      </c>
      <c r="U209" s="2" t="n">
        <f aca="false">IF(U$7=U$5,U$6,IF(NORMSDIST(U$9*SQRT($C$11)*NORMSINV($B209)+SQRT(1-U$9^2*$C$11)*NORMSINV(T209))&lt;U$8,U$5+SQRT(NORMSDIST(U$9*SQRT($C$11)*NORMSINV($B209)+SQRT(1-U$9^2*$C$11)*NORMSINV(T209))*(U$7-U$5)*(U$6-U$5)),U$7-SQRT((1-NORMSDIST(U$9*SQRT($C$11)*NORMSINV($B209)+SQRT(1-U$9^2*$C$11)*NORMSINV(T209)))*(U$7-U$5)*(U$7-U$6))))</f>
        <v>0.249893267192892</v>
      </c>
      <c r="V209" s="2" t="n">
        <v>0.212445231</v>
      </c>
      <c r="W209" s="2" t="n">
        <f aca="false">IF(W$7=W$5,W$6,IF(NORMSDIST(W$9*SQRT($C$11)*NORMSINV($B209)+SQRT(1-W$9^2*$C$11)*NORMSINV(V209))&lt;W$8,W$5+SQRT(NORMSDIST(W$9*SQRT($C$11)*NORMSINV($B209)+SQRT(1-W$9^2*$C$11)*NORMSINV(V209))*(W$7-W$5)*(W$6-W$5)),W$7-SQRT((1-NORMSDIST(W$9*SQRT($C$11)*NORMSINV($B209)+SQRT(1-W$9^2*$C$11)*NORMSINV(V209)))*(W$7-W$5)*(W$7-W$6))))</f>
        <v>9.10133493042818</v>
      </c>
      <c r="X209" s="2" t="n">
        <v>0.478416976</v>
      </c>
      <c r="Y209" s="2" t="n">
        <f aca="false">IF(Y$7=Y$5,Y$6,IF(NORMSDIST(Y$9*SQRT($C$11)*NORMSINV($B209)+SQRT(1-Y$9^2*$C$11)*NORMSINV(X209))&lt;Y$8,Y$5+SQRT(NORMSDIST(Y$9*SQRT($C$11)*NORMSINV($B209)+SQRT(1-Y$9^2*$C$11)*NORMSINV(X209))*(Y$7-Y$5)*(Y$6-Y$5)),Y$7-SQRT((1-NORMSDIST(Y$9*SQRT($C$11)*NORMSINV($B209)+SQRT(1-Y$9^2*$C$11)*NORMSINV(X209)))*(Y$7-Y$5)*(Y$7-Y$6))))</f>
        <v>0.489089447851822</v>
      </c>
      <c r="Z209" s="2" t="n">
        <v>0.811343613</v>
      </c>
      <c r="AA209" s="2" t="n">
        <f aca="false">IF(AA$7=AA$5,AA$6,IF(NORMSDIST(AA$9*SQRT($C$11)*NORMSINV($B209)+SQRT(1-AA$9^2*$C$11)*NORMSINV(Z209))&lt;AA$8,AA$5+SQRT(NORMSDIST(AA$9*SQRT($C$11)*NORMSINV($B209)+SQRT(1-AA$9^2*$C$11)*NORMSINV(Z209))*(AA$7-AA$5)*(AA$6-AA$5)),AA$7-SQRT((1-NORMSDIST(AA$9*SQRT($C$11)*NORMSINV($B209)+SQRT(1-AA$9^2*$C$11)*NORMSINV(Z209)))*(AA$7-AA$5)*(AA$7-AA$6))))</f>
        <v>0.731394692831995</v>
      </c>
      <c r="AB209" s="2" t="n">
        <v>0.786501158</v>
      </c>
      <c r="AC209" s="2" t="n">
        <f aca="false">IF(AC$7=AC$5,AC$6,IF(NORMSDIST(AC$9*SQRT($C$11)*NORMSINV($B209)+SQRT(1-AC$9^2*$C$11)*NORMSINV(AB209))&lt;AC$8,AC$5+SQRT(NORMSDIST(AC$9*SQRT($C$11)*NORMSINV($B209)+SQRT(1-AC$9^2*$C$11)*NORMSINV(AB209))*(AC$7-AC$5)*(AC$6-AC$5)),AC$7-SQRT((1-NORMSDIST(AC$9*SQRT($C$11)*NORMSINV($B209)+SQRT(1-AC$9^2*$C$11)*NORMSINV(AB209)))*(AC$7-AC$5)*(AC$7-AC$6))))</f>
        <v>9.64006330012694</v>
      </c>
      <c r="AD209" s="2" t="n">
        <f aca="false">Entrées!$C$8*(1+E209)</f>
        <v>7434.99103729523</v>
      </c>
      <c r="AE209" s="2" t="n">
        <f aca="false">I209*Hypothèses!$J$24/12/Hypothèses!$J$19</f>
        <v>100.107079106756</v>
      </c>
      <c r="AF209" s="2" t="n">
        <f aca="false">Entrées!$C$36*S209*1000</f>
        <v>97.368670018225</v>
      </c>
      <c r="AG209" s="2" t="n">
        <f aca="false">-AF209/W209</f>
        <v>-10.6982844563489</v>
      </c>
      <c r="AH209" s="2" t="n">
        <f aca="false">AD209+AE209+AG209</f>
        <v>7524.39983194564</v>
      </c>
      <c r="AI209" s="2" t="n">
        <f aca="false">Entrées!$C$16-M209+Hypothèses!$J$22*1000-AF209+Hypothèses!$J$23</f>
        <v>22982.0839135556</v>
      </c>
      <c r="AJ209" s="2" t="n">
        <f aca="false">AI209/AH209</f>
        <v>3.0543411337583</v>
      </c>
      <c r="AK209" s="2" t="n">
        <f aca="false">AI209/(AH209+I209*(12-Hypothèses!$J$24)/12/Hypothèses!$J$19)</f>
        <v>3.02558868904477</v>
      </c>
      <c r="AL209" s="2" t="n">
        <f aca="false">(AD209+AG209+I209/Hypothèses!$J$19)*(1+G209)</f>
        <v>8009.58716858562</v>
      </c>
      <c r="AM209" s="2" t="n">
        <f aca="false">Entrées!$C$54*K209/Hypothèses!$J$19</f>
        <v>19.9352560580171</v>
      </c>
      <c r="AN209" s="2" t="n">
        <f aca="false">Y209*1000/AC209</f>
        <v>50.7350867546048</v>
      </c>
      <c r="AO209" s="2" t="n">
        <f aca="false">(Entrées!$C$36*(1-S209)+MAX(0,Entrées!$C$30-Entrées!$C$35-Entrées!$C$36)*U209)*1000</f>
        <v>752.481904051823</v>
      </c>
      <c r="AP209" s="2" t="n">
        <f aca="false">-AO209/W209</f>
        <v>-82.678190595544</v>
      </c>
      <c r="AQ209" s="2" t="n">
        <f aca="false">AL209+AM209+AN209+AP209</f>
        <v>7997.57932080269</v>
      </c>
      <c r="AR209" s="2" t="n">
        <f aca="false">O209*AQ209-Hypothèses!$J$25/Hypothèses!$J$19</f>
        <v>1282.10440362088</v>
      </c>
      <c r="AS209" s="2" t="n">
        <f aca="false">Entrées!$C$79*(1+Q209)+Hypothèses!$J$20</f>
        <v>1468.79257020858</v>
      </c>
      <c r="AT209" s="2" t="n">
        <f aca="false">AI209-AR209+AS209+Y209*1000-AO209+Hypothèses!$J$23</f>
        <v>22905.3796239433</v>
      </c>
      <c r="AU209" s="2" t="n">
        <f aca="false">AT209/AQ209</f>
        <v>2.86403906796693</v>
      </c>
      <c r="AV209" s="2" t="n">
        <f aca="false">Hypothèses!$J$26*AQ209-AT209</f>
        <v>1087.35833846477</v>
      </c>
      <c r="AW209" s="2" t="n">
        <f aca="false">IF(AC209&gt;Hypothèses!$J$26,MAX(0,AV209)/(1-Hypothèses!$J$26/AC209),0)</f>
        <v>1578.63001283751</v>
      </c>
      <c r="AX209" s="2" t="n">
        <f aca="false">AQ209-Entrées!$C$17*1000</f>
        <v>-2.42067919730562</v>
      </c>
      <c r="AY209" s="2" t="n">
        <f aca="false">AI209+(Entrées!$C$244-Entrées!$C$13)</f>
        <v>28729.0839135556</v>
      </c>
      <c r="AZ209" s="2" t="n">
        <f aca="false">AA209*AH209</f>
        <v>5503.30610383099</v>
      </c>
      <c r="BA209" s="2" t="n">
        <f aca="false">AZ209/AY209</f>
        <v>0.191558704774234</v>
      </c>
      <c r="BB209" s="2" t="n">
        <f aca="false">AZ209/(Entrées!$C$151/100)-AY209</f>
        <v>1844.83888550546</v>
      </c>
      <c r="BC209" s="2" t="n">
        <f aca="false">AT209+(Entrées!$C$244-Entrées!$C$13)</f>
        <v>28652.3796239433</v>
      </c>
      <c r="BD209" s="2" t="n">
        <f aca="false">AA209*AQ209</f>
        <v>5849.387070738</v>
      </c>
      <c r="BE209" s="2" t="n">
        <f aca="false">BD209/BC209</f>
        <v>0.204150131595003</v>
      </c>
      <c r="BF209" s="2" t="n">
        <f aca="false">BD209/(Entrées!$C$151/100)-BC209</f>
        <v>3844.21521349004</v>
      </c>
      <c r="BG209" s="2" t="n">
        <f aca="false">MIN(AV209,BF209)</f>
        <v>1087.35833846477</v>
      </c>
      <c r="BH209" s="2" t="n">
        <f aca="false">IF(AC209&gt;Hypothèses!$J$26,MAX(0,BG209)/(1-Hypothèses!$J$26/AC209),0)</f>
        <v>1578.63001283751</v>
      </c>
    </row>
    <row r="210" customFormat="false" ht="15" hidden="false" customHeight="false" outlineLevel="0" collapsed="false">
      <c r="A210" s="2" t="n">
        <v>195</v>
      </c>
      <c r="B210" s="2" t="n">
        <v>0.809576323</v>
      </c>
      <c r="C210" s="2"/>
      <c r="D210" s="2" t="n">
        <v>0.745128461</v>
      </c>
      <c r="E210" s="2" t="n">
        <f aca="false">IF(E$7=E$5,E$6,IF(NORMSDIST(E$9*SQRT($C$11)*NORMSINV($B210)+SQRT(1-E$9^2*$C$11)*NORMSINV(D210))&lt;E$8,E$5+SQRT(NORMSDIST(E$9*SQRT($C$11)*NORMSINV($B210)+SQRT(1-E$9^2*$C$11)*NORMSINV(D210))*(E$7-E$5)*(E$6-E$5)),E$7-SQRT((1-NORMSDIST(E$9*SQRT($C$11)*NORMSINV($B210)+SQRT(1-E$9^2*$C$11)*NORMSINV(D210)))*(E$7-E$5)*(E$7-E$6))))</f>
        <v>0.0573217213305151</v>
      </c>
      <c r="F210" s="2" t="n">
        <v>0.825241667</v>
      </c>
      <c r="G210" s="2" t="n">
        <f aca="false">IF(G$7=G$5,G$6,IF(NORMSDIST(G$9*SQRT($C$11)*NORMSINV($B210)+SQRT(1-G$9^2*$C$11)*NORMSINV(F210))&lt;G$8,G$5+SQRT(NORMSDIST(G$9*SQRT($C$11)*NORMSINV($B210)+SQRT(1-G$9^2*$C$11)*NORMSINV(F210))*(G$7-G$5)*(G$6-G$5)),G$7-SQRT((1-NORMSDIST(G$9*SQRT($C$11)*NORMSINV($B210)+SQRT(1-G$9^2*$C$11)*NORMSINV(F210)))*(G$7-G$5)*(G$7-G$6))))</f>
        <v>0.0632761787741748</v>
      </c>
      <c r="H210" s="2" t="n">
        <v>0.102361166</v>
      </c>
      <c r="I210" s="2" t="n">
        <f aca="false">IF(I$7=I$5,I$6,IF(NORMSDIST(I$9*SQRT($C$11)*NORMSINV($B210)+SQRT(1-I$9^2*$C$11)*NORMSINV(H210))&lt;I$8,I$5+SQRT(NORMSDIST(I$9*SQRT($C$11)*NORMSINV($B210)+SQRT(1-I$9^2*$C$11)*NORMSINV(H210))*(I$7-I$5)*(I$6-I$5)),I$7-SQRT((1-NORMSDIST(I$9*SQRT($C$11)*NORMSINV($B210)+SQRT(1-I$9^2*$C$11)*NORMSINV(H210)))*(I$7-I$5)*(I$7-I$6))))</f>
        <v>196.353247429267</v>
      </c>
      <c r="J210" s="2" t="n">
        <v>0.417559745</v>
      </c>
      <c r="K210" s="2" t="n">
        <f aca="false">IF(K$7=K$5,K$6,IF(NORMSDIST(K$9*SQRT($C$11)*NORMSINV($B210)+SQRT(1-K$9^2*$C$11)*NORMSINV(J210))&lt;K$8,K$5+SQRT(NORMSDIST(K$9*SQRT($C$11)*NORMSINV($B210)+SQRT(1-K$9^2*$C$11)*NORMSINV(J210))*(K$7-K$5)*(K$6-K$5)),K$7-SQRT((1-NORMSDIST(K$9*SQRT($C$11)*NORMSINV($B210)+SQRT(1-K$9^2*$C$11)*NORMSINV(J210)))*(K$7-K$5)*(K$7-K$6))))</f>
        <v>0.291687504873202</v>
      </c>
      <c r="L210" s="2" t="n">
        <v>0.172147398</v>
      </c>
      <c r="M210" s="2" t="n">
        <f aca="false">IF(M$7=M$5,M$6,IF(NORMSDIST(M$9*SQRT($C$11)*NORMSINV($B210)+SQRT(1-M$9^2*$C$11)*NORMSINV(L210))&lt;M$8,M$5+SQRT(NORMSDIST(M$9*SQRT($C$11)*NORMSINV($B210)+SQRT(1-M$9^2*$C$11)*NORMSINV(L210))*(M$7-M$5)*(M$6-M$5)),M$7-SQRT((1-NORMSDIST(M$9*SQRT($C$11)*NORMSINV($B210)+SQRT(1-M$9^2*$C$11)*NORMSINV(L210)))*(M$7-M$5)*(M$7-M$6))))</f>
        <v>1564.62559602715</v>
      </c>
      <c r="N210" s="2" t="n">
        <v>0.543610243</v>
      </c>
      <c r="O210" s="2" t="n">
        <f aca="false">IF(O$7=O$5,O$6,IF(NORMSDIST(O$9*SQRT($C$11)*NORMSINV($B210)+SQRT(1-O$9^2*$C$11)*NORMSINV(N210))&lt;O$8,O$5+SQRT(NORMSDIST(O$9*SQRT($C$11)*NORMSINV($B210)+SQRT(1-O$9^2*$C$11)*NORMSINV(N210))*(O$7-O$5)*(O$6-O$5)),O$7-SQRT((1-NORMSDIST(O$9*SQRT($C$11)*NORMSINV($B210)+SQRT(1-O$9^2*$C$11)*NORMSINV(N210)))*(O$7-O$5)*(O$7-O$6))))</f>
        <v>0.173314067770621</v>
      </c>
      <c r="P210" s="2" t="n">
        <v>0.190023484</v>
      </c>
      <c r="Q210" s="2" t="n">
        <f aca="false">IF(Q$7=Q$5,Q$6,IF(NORMSDIST(Q$9*SQRT($C$11)*NORMSINV($B210)+SQRT(1-Q$9^2*$C$11)*NORMSINV(P210))&lt;Q$8,Q$5+SQRT(NORMSDIST(Q$9*SQRT($C$11)*NORMSINV($B210)+SQRT(1-Q$9^2*$C$11)*NORMSINV(P210))*(Q$7-Q$5)*(Q$6-Q$5)),Q$7-SQRT((1-NORMSDIST(Q$9*SQRT($C$11)*NORMSINV($B210)+SQRT(1-Q$9^2*$C$11)*NORMSINV(P210)))*(Q$7-Q$5)*(Q$7-Q$6))))</f>
        <v>0.0646591798079336</v>
      </c>
      <c r="R210" s="2" t="n">
        <v>0.240548862</v>
      </c>
      <c r="S210" s="2" t="n">
        <f aca="false">IF(S$7=S$5,S$6,IF(NORMSDIST(S$9*SQRT($C$11)*NORMSINV($B210)+SQRT(1-S$9^2*$C$11)*NORMSINV(R210))&lt;S$8,S$5+SQRT(NORMSDIST(S$9*SQRT($C$11)*NORMSINV($B210)+SQRT(1-S$9^2*$C$11)*NORMSINV(R210))*(S$7-S$5)*(S$6-S$5)),S$7-SQRT((1-NORMSDIST(S$9*SQRT($C$11)*NORMSINV($B210)+SQRT(1-S$9^2*$C$11)*NORMSINV(R210)))*(S$7-S$5)*(S$7-S$6))))</f>
        <v>0.501700516096882</v>
      </c>
      <c r="T210" s="2" t="n">
        <v>0.590445058</v>
      </c>
      <c r="U210" s="2" t="n">
        <f aca="false">IF(U$7=U$5,U$6,IF(NORMSDIST(U$9*SQRT($C$11)*NORMSINV($B210)+SQRT(1-U$9^2*$C$11)*NORMSINV(T210))&lt;U$8,U$5+SQRT(NORMSDIST(U$9*SQRT($C$11)*NORMSINV($B210)+SQRT(1-U$9^2*$C$11)*NORMSINV(T210))*(U$7-U$5)*(U$6-U$5)),U$7-SQRT((1-NORMSDIST(U$9*SQRT($C$11)*NORMSINV($B210)+SQRT(1-U$9^2*$C$11)*NORMSINV(T210)))*(U$7-U$5)*(U$7-U$6))))</f>
        <v>0.659212913655956</v>
      </c>
      <c r="V210" s="2" t="n">
        <v>0.452156584</v>
      </c>
      <c r="W210" s="2" t="n">
        <f aca="false">IF(W$7=W$5,W$6,IF(NORMSDIST(W$9*SQRT($C$11)*NORMSINV($B210)+SQRT(1-W$9^2*$C$11)*NORMSINV(V210))&lt;W$8,W$5+SQRT(NORMSDIST(W$9*SQRT($C$11)*NORMSINV($B210)+SQRT(1-W$9^2*$C$11)*NORMSINV(V210))*(W$7-W$5)*(W$6-W$5)),W$7-SQRT((1-NORMSDIST(W$9*SQRT($C$11)*NORMSINV($B210)+SQRT(1-W$9^2*$C$11)*NORMSINV(V210)))*(W$7-W$5)*(W$7-W$6))))</f>
        <v>10.3941253359171</v>
      </c>
      <c r="X210" s="2" t="n">
        <v>0.530626231</v>
      </c>
      <c r="Y210" s="2" t="n">
        <f aca="false">IF(Y$7=Y$5,Y$6,IF(NORMSDIST(Y$9*SQRT($C$11)*NORMSINV($B210)+SQRT(1-Y$9^2*$C$11)*NORMSINV(X210))&lt;Y$8,Y$5+SQRT(NORMSDIST(Y$9*SQRT($C$11)*NORMSINV($B210)+SQRT(1-Y$9^2*$C$11)*NORMSINV(X210))*(Y$7-Y$5)*(Y$6-Y$5)),Y$7-SQRT((1-NORMSDIST(Y$9*SQRT($C$11)*NORMSINV($B210)+SQRT(1-Y$9^2*$C$11)*NORMSINV(X210)))*(Y$7-Y$5)*(Y$7-Y$6))))</f>
        <v>0.515555075885813</v>
      </c>
      <c r="Z210" s="2" t="n">
        <v>0.78783193</v>
      </c>
      <c r="AA210" s="2" t="n">
        <f aca="false">IF(AA$7=AA$5,AA$6,IF(NORMSDIST(AA$9*SQRT($C$11)*NORMSINV($B210)+SQRT(1-AA$9^2*$C$11)*NORMSINV(Z210))&lt;AA$8,AA$5+SQRT(NORMSDIST(AA$9*SQRT($C$11)*NORMSINV($B210)+SQRT(1-AA$9^2*$C$11)*NORMSINV(Z210))*(AA$7-AA$5)*(AA$6-AA$5)),AA$7-SQRT((1-NORMSDIST(AA$9*SQRT($C$11)*NORMSINV($B210)+SQRT(1-AA$9^2*$C$11)*NORMSINV(Z210)))*(AA$7-AA$5)*(AA$7-AA$6))))</f>
        <v>0.741431639957537</v>
      </c>
      <c r="AB210" s="2" t="n">
        <v>0.887404554</v>
      </c>
      <c r="AC210" s="2" t="n">
        <f aca="false">IF(AC$7=AC$5,AC$6,IF(NORMSDIST(AC$9*SQRT($C$11)*NORMSINV($B210)+SQRT(1-AC$9^2*$C$11)*NORMSINV(AB210))&lt;AC$8,AC$5+SQRT(NORMSDIST(AC$9*SQRT($C$11)*NORMSINV($B210)+SQRT(1-AC$9^2*$C$11)*NORMSINV(AB210))*(AC$7-AC$5)*(AC$6-AC$5)),AC$7-SQRT((1-NORMSDIST(AC$9*SQRT($C$11)*NORMSINV($B210)+SQRT(1-AC$9^2*$C$11)*NORMSINV(AB210)))*(AC$7-AC$5)*(AC$7-AC$6))))</f>
        <v>10.4594950913032</v>
      </c>
      <c r="AD210" s="2" t="n">
        <f aca="false">Entrées!$C$8*(1+E210)</f>
        <v>7454.11813538013</v>
      </c>
      <c r="AE210" s="2" t="n">
        <f aca="false">I210*Hypothèses!$J$24/12/Hypothèses!$J$19</f>
        <v>97.4102175966428</v>
      </c>
      <c r="AF210" s="2" t="n">
        <f aca="false">Entrées!$C$36*S210*1000</f>
        <v>250.850258048441</v>
      </c>
      <c r="AG210" s="2" t="n">
        <f aca="false">-AF210/W210</f>
        <v>-24.1338496450127</v>
      </c>
      <c r="AH210" s="2" t="n">
        <f aca="false">AD210+AE210+AG210</f>
        <v>7527.39450333176</v>
      </c>
      <c r="AI210" s="2" t="n">
        <f aca="false">Entrées!$C$16-M210+Hypothèses!$J$22*1000-AF210+Hypothèses!$J$23</f>
        <v>22732.5241459244</v>
      </c>
      <c r="AJ210" s="2" t="n">
        <f aca="false">AI210/AH210</f>
        <v>3.0199724666832</v>
      </c>
      <c r="AK210" s="2" t="n">
        <f aca="false">AI210/(AH210+I210*(12-Hypothèses!$J$24)/12/Hypothèses!$J$19)</f>
        <v>2.99231331441276</v>
      </c>
      <c r="AL210" s="2" t="n">
        <f aca="false">(AD210+AG210+I210/Hypothèses!$J$19)*(1+G210)</f>
        <v>8077.68066644241</v>
      </c>
      <c r="AM210" s="2" t="n">
        <f aca="false">Entrées!$C$54*K210/Hypothèses!$J$19</f>
        <v>29.7679345890002</v>
      </c>
      <c r="AN210" s="2" t="n">
        <f aca="false">Y210*1000/AC210</f>
        <v>49.2906274524174</v>
      </c>
      <c r="AO210" s="2" t="n">
        <f aca="false">(Entrées!$C$36*(1-S210)+MAX(0,Entrées!$C$30-Entrées!$C$35-Entrées!$C$36)*U210)*1000</f>
        <v>1172.0478210699</v>
      </c>
      <c r="AP210" s="2" t="n">
        <f aca="false">-AO210/W210</f>
        <v>-112.760601127241</v>
      </c>
      <c r="AQ210" s="2" t="n">
        <f aca="false">AL210+AM210+AN210+AP210</f>
        <v>8043.97862735659</v>
      </c>
      <c r="AR210" s="2" t="n">
        <f aca="false">O210*AQ210-Hypothèses!$J$25/Hypothèses!$J$19</f>
        <v>1374.99949470548</v>
      </c>
      <c r="AS210" s="2" t="n">
        <f aca="false">Entrées!$C$79*(1+Q210)+Hypothèses!$J$20</f>
        <v>1465.06043860892</v>
      </c>
      <c r="AT210" s="2" t="n">
        <f aca="false">AI210-AR210+AS210+Y210*1000-AO210+Hypothèses!$J$23</f>
        <v>22166.0923446438</v>
      </c>
      <c r="AU210" s="2" t="n">
        <f aca="false">AT210/AQ210</f>
        <v>2.7556130332395</v>
      </c>
      <c r="AV210" s="2" t="n">
        <f aca="false">Hypothèses!$J$26*AQ210-AT210</f>
        <v>1965.84353742599</v>
      </c>
      <c r="AW210" s="2" t="n">
        <f aca="false">IF(AC210&gt;Hypothèses!$J$26,MAX(0,AV210)/(1-Hypothèses!$J$26/AC210),0)</f>
        <v>2756.45074878454</v>
      </c>
      <c r="AX210" s="2" t="n">
        <f aca="false">AQ210-Entrées!$C$17*1000</f>
        <v>43.9786273565851</v>
      </c>
      <c r="AY210" s="2" t="n">
        <f aca="false">AI210+(Entrées!$C$244-Entrées!$C$13)</f>
        <v>28479.5241459244</v>
      </c>
      <c r="AZ210" s="2" t="n">
        <f aca="false">AA210*AH210</f>
        <v>5581.04845121262</v>
      </c>
      <c r="BA210" s="2" t="n">
        <f aca="false">AZ210/AY210</f>
        <v>0.195967054176054</v>
      </c>
      <c r="BB210" s="2" t="n">
        <f aca="false">AZ210/(Entrées!$C$151/100)-AY210</f>
        <v>2526.30058303459</v>
      </c>
      <c r="BC210" s="2" t="n">
        <f aca="false">AT210+(Entrées!$C$244-Entrées!$C$13)</f>
        <v>27913.0923446438</v>
      </c>
      <c r="BD210" s="2" t="n">
        <f aca="false">AA210*AQ210</f>
        <v>5964.06026546437</v>
      </c>
      <c r="BE210" s="2" t="n">
        <f aca="false">BD210/BC210</f>
        <v>0.2136653363886</v>
      </c>
      <c r="BF210" s="2" t="n">
        <f aca="false">BD210/(Entrées!$C$151/100)-BC210</f>
        <v>5220.57579682497</v>
      </c>
      <c r="BG210" s="2" t="n">
        <f aca="false">MIN(AV210,BF210)</f>
        <v>1965.84353742599</v>
      </c>
      <c r="BH210" s="2" t="n">
        <f aca="false">IF(AC210&gt;Hypothèses!$J$26,MAX(0,BG210)/(1-Hypothèses!$J$26/AC210),0)</f>
        <v>2756.45074878454</v>
      </c>
    </row>
    <row r="211" customFormat="false" ht="15" hidden="false" customHeight="false" outlineLevel="0" collapsed="false">
      <c r="A211" s="2" t="n">
        <v>196</v>
      </c>
      <c r="B211" s="2" t="n">
        <v>0.012618616</v>
      </c>
      <c r="C211" s="2"/>
      <c r="D211" s="2" t="n">
        <v>0.474165498</v>
      </c>
      <c r="E211" s="2" t="n">
        <f aca="false">IF(E$7=E$5,E$6,IF(NORMSDIST(E$9*SQRT($C$11)*NORMSINV($B211)+SQRT(1-E$9^2*$C$11)*NORMSINV(D211))&lt;E$8,E$5+SQRT(NORMSDIST(E$9*SQRT($C$11)*NORMSINV($B211)+SQRT(1-E$9^2*$C$11)*NORMSINV(D211))*(E$7-E$5)*(E$6-E$5)),E$7-SQRT((1-NORMSDIST(E$9*SQRT($C$11)*NORMSINV($B211)+SQRT(1-E$9^2*$C$11)*NORMSINV(D211)))*(E$7-E$5)*(E$7-E$6))))</f>
        <v>0.0518893878305164</v>
      </c>
      <c r="F211" s="2" t="n">
        <v>0.97528533</v>
      </c>
      <c r="G211" s="2" t="n">
        <f aca="false">IF(G$7=G$5,G$6,IF(NORMSDIST(G$9*SQRT($C$11)*NORMSINV($B211)+SQRT(1-G$9^2*$C$11)*NORMSINV(F211))&lt;G$8,G$5+SQRT(NORMSDIST(G$9*SQRT($C$11)*NORMSINV($B211)+SQRT(1-G$9^2*$C$11)*NORMSINV(F211))*(G$7-G$5)*(G$6-G$5)),G$7-SQRT((1-NORMSDIST(G$9*SQRT($C$11)*NORMSINV($B211)+SQRT(1-G$9^2*$C$11)*NORMSINV(F211)))*(G$7-G$5)*(G$7-G$6))))</f>
        <v>0.0556514607639821</v>
      </c>
      <c r="H211" s="2" t="n">
        <v>0.357638684</v>
      </c>
      <c r="I211" s="2" t="n">
        <f aca="false">IF(I$7=I$5,I$6,IF(NORMSDIST(I$9*SQRT($C$11)*NORMSINV($B211)+SQRT(1-I$9^2*$C$11)*NORMSINV(H211))&lt;I$8,I$5+SQRT(NORMSDIST(I$9*SQRT($C$11)*NORMSINV($B211)+SQRT(1-I$9^2*$C$11)*NORMSINV(H211))*(I$7-I$5)*(I$6-I$5)),I$7-SQRT((1-NORMSDIST(I$9*SQRT($C$11)*NORMSINV($B211)+SQRT(1-I$9^2*$C$11)*NORMSINV(H211)))*(I$7-I$5)*(I$7-I$6))))</f>
        <v>185.984615523481</v>
      </c>
      <c r="J211" s="2" t="n">
        <v>0.515111535</v>
      </c>
      <c r="K211" s="2" t="n">
        <f aca="false">IF(K$7=K$5,K$6,IF(NORMSDIST(K$9*SQRT($C$11)*NORMSINV($B211)+SQRT(1-K$9^2*$C$11)*NORMSINV(J211))&lt;K$8,K$5+SQRT(NORMSDIST(K$9*SQRT($C$11)*NORMSINV($B211)+SQRT(1-K$9^2*$C$11)*NORMSINV(J211))*(K$7-K$5)*(K$6-K$5)),K$7-SQRT((1-NORMSDIST(K$9*SQRT($C$11)*NORMSINV($B211)+SQRT(1-K$9^2*$C$11)*NORMSINV(J211)))*(K$7-K$5)*(K$7-K$6))))</f>
        <v>0.101786564679782</v>
      </c>
      <c r="L211" s="2" t="n">
        <v>0.522034377</v>
      </c>
      <c r="M211" s="2" t="n">
        <f aca="false">IF(M$7=M$5,M$6,IF(NORMSDIST(M$9*SQRT($C$11)*NORMSINV($B211)+SQRT(1-M$9^2*$C$11)*NORMSINV(L211))&lt;M$8,M$5+SQRT(NORMSDIST(M$9*SQRT($C$11)*NORMSINV($B211)+SQRT(1-M$9^2*$C$11)*NORMSINV(L211))*(M$7-M$5)*(M$6-M$5)),M$7-SQRT((1-NORMSDIST(M$9*SQRT($C$11)*NORMSINV($B211)+SQRT(1-M$9^2*$C$11)*NORMSINV(L211)))*(M$7-M$5)*(M$7-M$6))))</f>
        <v>1419.50506310159</v>
      </c>
      <c r="N211" s="2" t="n">
        <v>0.710143107</v>
      </c>
      <c r="O211" s="2" t="n">
        <f aca="false">IF(O$7=O$5,O$6,IF(NORMSDIST(O$9*SQRT($C$11)*NORMSINV($B211)+SQRT(1-O$9^2*$C$11)*NORMSINV(N211))&lt;O$8,O$5+SQRT(NORMSDIST(O$9*SQRT($C$11)*NORMSINV($B211)+SQRT(1-O$9^2*$C$11)*NORMSINV(N211))*(O$7-O$5)*(O$6-O$5)),O$7-SQRT((1-NORMSDIST(O$9*SQRT($C$11)*NORMSINV($B211)+SQRT(1-O$9^2*$C$11)*NORMSINV(N211)))*(O$7-O$5)*(O$7-O$6))))</f>
        <v>0.155245614505511</v>
      </c>
      <c r="P211" s="2" t="n">
        <v>0.546464013</v>
      </c>
      <c r="Q211" s="2" t="n">
        <f aca="false">IF(Q$7=Q$5,Q$6,IF(NORMSDIST(Q$9*SQRT($C$11)*NORMSINV($B211)+SQRT(1-Q$9^2*$C$11)*NORMSINV(P211))&lt;Q$8,Q$5+SQRT(NORMSDIST(Q$9*SQRT($C$11)*NORMSINV($B211)+SQRT(1-Q$9^2*$C$11)*NORMSINV(P211))*(Q$7-Q$5)*(Q$6-Q$5)),Q$7-SQRT((1-NORMSDIST(Q$9*SQRT($C$11)*NORMSINV($B211)+SQRT(1-Q$9^2*$C$11)*NORMSINV(P211)))*(Q$7-Q$5)*(Q$7-Q$6))))</f>
        <v>0.0819038695088333</v>
      </c>
      <c r="R211" s="2" t="n">
        <v>0.104159613</v>
      </c>
      <c r="S211" s="2" t="n">
        <f aca="false">IF(S$7=S$5,S$6,IF(NORMSDIST(S$9*SQRT($C$11)*NORMSINV($B211)+SQRT(1-S$9^2*$C$11)*NORMSINV(R211))&lt;S$8,S$5+SQRT(NORMSDIST(S$9*SQRT($C$11)*NORMSINV($B211)+SQRT(1-S$9^2*$C$11)*NORMSINV(R211))*(S$7-S$5)*(S$6-S$5)),S$7-SQRT((1-NORMSDIST(S$9*SQRT($C$11)*NORMSINV($B211)+SQRT(1-S$9^2*$C$11)*NORMSINV(R211)))*(S$7-S$5)*(S$7-S$6))))</f>
        <v>0.0649115438510192</v>
      </c>
      <c r="T211" s="2" t="n">
        <v>0.950513632</v>
      </c>
      <c r="U211" s="2" t="n">
        <f aca="false">IF(U$7=U$5,U$6,IF(NORMSDIST(U$9*SQRT($C$11)*NORMSINV($B211)+SQRT(1-U$9^2*$C$11)*NORMSINV(T211))&lt;U$8,U$5+SQRT(NORMSDIST(U$9*SQRT($C$11)*NORMSINV($B211)+SQRT(1-U$9^2*$C$11)*NORMSINV(T211))*(U$7-U$5)*(U$6-U$5)),U$7-SQRT((1-NORMSDIST(U$9*SQRT($C$11)*NORMSINV($B211)+SQRT(1-U$9^2*$C$11)*NORMSINV(T211)))*(U$7-U$5)*(U$7-U$6))))</f>
        <v>0.471907871887251</v>
      </c>
      <c r="V211" s="2" t="n">
        <v>0.290412549</v>
      </c>
      <c r="W211" s="2" t="n">
        <f aca="false">IF(W$7=W$5,W$6,IF(NORMSDIST(W$9*SQRT($C$11)*NORMSINV($B211)+SQRT(1-W$9^2*$C$11)*NORMSINV(V211))&lt;W$8,W$5+SQRT(NORMSDIST(W$9*SQRT($C$11)*NORMSINV($B211)+SQRT(1-W$9^2*$C$11)*NORMSINV(V211))*(W$7-W$5)*(W$6-W$5)),W$7-SQRT((1-NORMSDIST(W$9*SQRT($C$11)*NORMSINV($B211)+SQRT(1-W$9^2*$C$11)*NORMSINV(V211)))*(W$7-W$5)*(W$7-W$6))))</f>
        <v>8.51119346309886</v>
      </c>
      <c r="X211" s="2" t="n">
        <v>0.983347926</v>
      </c>
      <c r="Y211" s="2" t="n">
        <f aca="false">IF(Y$7=Y$5,Y$6,IF(NORMSDIST(Y$9*SQRT($C$11)*NORMSINV($B211)+SQRT(1-Y$9^2*$C$11)*NORMSINV(X211))&lt;Y$8,Y$5+SQRT(NORMSDIST(Y$9*SQRT($C$11)*NORMSINV($B211)+SQRT(1-Y$9^2*$C$11)*NORMSINV(X211))*(Y$7-Y$5)*(Y$6-Y$5)),Y$7-SQRT((1-NORMSDIST(Y$9*SQRT($C$11)*NORMSINV($B211)+SQRT(1-Y$9^2*$C$11)*NORMSINV(X211)))*(Y$7-Y$5)*(Y$7-Y$6))))</f>
        <v>0.908752879497488</v>
      </c>
      <c r="Z211" s="2" t="n">
        <v>0.498453078</v>
      </c>
      <c r="AA211" s="2" t="n">
        <f aca="false">IF(AA$7=AA$5,AA$6,IF(NORMSDIST(AA$9*SQRT($C$11)*NORMSINV($B211)+SQRT(1-AA$9^2*$C$11)*NORMSINV(Z211))&lt;AA$8,AA$5+SQRT(NORMSDIST(AA$9*SQRT($C$11)*NORMSINV($B211)+SQRT(1-AA$9^2*$C$11)*NORMSINV(Z211))*(AA$7-AA$5)*(AA$6-AA$5)),AA$7-SQRT((1-NORMSDIST(AA$9*SQRT($C$11)*NORMSINV($B211)+SQRT(1-AA$9^2*$C$11)*NORMSINV(Z211)))*(AA$7-AA$5)*(AA$7-AA$6))))</f>
        <v>0.708251834332458</v>
      </c>
      <c r="AB211" s="2" t="n">
        <v>0.837180128</v>
      </c>
      <c r="AC211" s="2" t="n">
        <f aca="false">IF(AC$7=AC$5,AC$6,IF(NORMSDIST(AC$9*SQRT($C$11)*NORMSINV($B211)+SQRT(1-AC$9^2*$C$11)*NORMSINV(AB211))&lt;AC$8,AC$5+SQRT(NORMSDIST(AC$9*SQRT($C$11)*NORMSINV($B211)+SQRT(1-AC$9^2*$C$11)*NORMSINV(AB211))*(AC$7-AC$5)*(AC$6-AC$5)),AC$7-SQRT((1-NORMSDIST(AC$9*SQRT($C$11)*NORMSINV($B211)+SQRT(1-AC$9^2*$C$11)*NORMSINV(AB211)))*(AC$7-AC$5)*(AC$7-AC$6))))</f>
        <v>8.88893206287187</v>
      </c>
      <c r="AD211" s="2" t="n">
        <f aca="false">Entrées!$C$8*(1+E211)</f>
        <v>7415.82018420514</v>
      </c>
      <c r="AE211" s="2" t="n">
        <f aca="false">I211*Hypothèses!$J$24/12/Hypothèses!$J$19</f>
        <v>92.2663724942798</v>
      </c>
      <c r="AF211" s="2" t="n">
        <f aca="false">Entrées!$C$36*S211*1000</f>
        <v>32.4557719255096</v>
      </c>
      <c r="AG211" s="2" t="n">
        <f aca="false">-AF211/W211</f>
        <v>-3.81330445209886</v>
      </c>
      <c r="AH211" s="2" t="n">
        <f aca="false">AD211+AE211+AG211</f>
        <v>7504.27325224732</v>
      </c>
      <c r="AI211" s="2" t="n">
        <f aca="false">Entrées!$C$16-M211+Hypothèses!$J$22*1000-AF211+Hypothèses!$J$23</f>
        <v>23096.0391649729</v>
      </c>
      <c r="AJ211" s="2" t="n">
        <f aca="false">AI211/AH211</f>
        <v>3.07771830644044</v>
      </c>
      <c r="AK211" s="2" t="n">
        <f aca="false">AI211/(AH211+I211*(12-Hypothèses!$J$24)/12/Hypothèses!$J$19)</f>
        <v>3.05092426662434</v>
      </c>
      <c r="AL211" s="2" t="n">
        <f aca="false">(AD211+AG211+I211/Hypothèses!$J$19)*(1+G211)</f>
        <v>7991.46925706624</v>
      </c>
      <c r="AM211" s="2" t="n">
        <f aca="false">Entrées!$C$54*K211/Hypothèses!$J$19</f>
        <v>10.3877462997392</v>
      </c>
      <c r="AN211" s="2" t="n">
        <f aca="false">Y211*1000/AC211</f>
        <v>102.234202384475</v>
      </c>
      <c r="AO211" s="2" t="n">
        <f aca="false">(Entrées!$C$36*(1-S211)+MAX(0,Entrées!$C$30-Entrées!$C$35-Entrées!$C$36)*U211)*1000</f>
        <v>1128.21524871664</v>
      </c>
      <c r="AP211" s="2" t="n">
        <f aca="false">-AO211/W211</f>
        <v>-132.556644800536</v>
      </c>
      <c r="AQ211" s="2" t="n">
        <f aca="false">AL211+AM211+AN211+AP211</f>
        <v>7971.53456094991</v>
      </c>
      <c r="AR211" s="2" t="n">
        <f aca="false">O211*AQ211-Hypothèses!$J$25/Hypothèses!$J$19</f>
        <v>1218.41061920496</v>
      </c>
      <c r="AS211" s="2" t="n">
        <f aca="false">Entrées!$C$79*(1+Q211)+Hypothèses!$J$20</f>
        <v>1484.01235259021</v>
      </c>
      <c r="AT211" s="2" t="n">
        <f aca="false">AI211-AR211+AS211+Y211*1000-AO211+Hypothèses!$J$23</f>
        <v>23142.178529139</v>
      </c>
      <c r="AU211" s="2" t="n">
        <f aca="false">AT211/AQ211</f>
        <v>2.90310207554081</v>
      </c>
      <c r="AV211" s="2" t="n">
        <f aca="false">Hypothèses!$J$26*AQ211-AT211</f>
        <v>772.425153710752</v>
      </c>
      <c r="AW211" s="2" t="n">
        <f aca="false">IF(AC211&gt;Hypothèses!$J$26,MAX(0,AV211)/(1-Hypothèses!$J$26/AC211),0)</f>
        <v>1165.92187542402</v>
      </c>
      <c r="AX211" s="2" t="n">
        <f aca="false">AQ211-Entrées!$C$17*1000</f>
        <v>-28.4654390500864</v>
      </c>
      <c r="AY211" s="2" t="n">
        <f aca="false">AI211+(Entrées!$C$244-Entrées!$C$13)</f>
        <v>28843.0391649729</v>
      </c>
      <c r="AZ211" s="2" t="n">
        <f aca="false">AA211*AH211</f>
        <v>5314.91529623616</v>
      </c>
      <c r="BA211" s="2" t="n">
        <f aca="false">AZ211/AY211</f>
        <v>0.184270293634334</v>
      </c>
      <c r="BB211" s="2" t="n">
        <f aca="false">AZ211/(Entrées!$C$151/100)-AY211</f>
        <v>684.268036339116</v>
      </c>
      <c r="BC211" s="2" t="n">
        <f aca="false">AT211+(Entrées!$C$244-Entrées!$C$13)</f>
        <v>28889.178529139</v>
      </c>
      <c r="BD211" s="2" t="n">
        <f aca="false">AA211*AQ211</f>
        <v>5645.85397523736</v>
      </c>
      <c r="BE211" s="2" t="n">
        <f aca="false">BD211/BC211</f>
        <v>0.195431447437755</v>
      </c>
      <c r="BF211" s="2" t="n">
        <f aca="false">BD211/(Entrées!$C$151/100)-BC211</f>
        <v>2476.67688884633</v>
      </c>
      <c r="BG211" s="2" t="n">
        <f aca="false">MIN(AV211,BF211)</f>
        <v>772.425153710752</v>
      </c>
      <c r="BH211" s="2" t="n">
        <f aca="false">IF(AC211&gt;Hypothèses!$J$26,MAX(0,BG211)/(1-Hypothèses!$J$26/AC211),0)</f>
        <v>1165.92187542402</v>
      </c>
    </row>
    <row r="212" customFormat="false" ht="15" hidden="false" customHeight="false" outlineLevel="0" collapsed="false">
      <c r="A212" s="2" t="n">
        <v>197</v>
      </c>
      <c r="B212" s="2" t="n">
        <v>0.697940854</v>
      </c>
      <c r="C212" s="2"/>
      <c r="D212" s="2" t="n">
        <v>0.884431822</v>
      </c>
      <c r="E212" s="2" t="n">
        <f aca="false">IF(E$7=E$5,E$6,IF(NORMSDIST(E$9*SQRT($C$11)*NORMSINV($B212)+SQRT(1-E$9^2*$C$11)*NORMSINV(D212))&lt;E$8,E$5+SQRT(NORMSDIST(E$9*SQRT($C$11)*NORMSINV($B212)+SQRT(1-E$9^2*$C$11)*NORMSINV(D212))*(E$7-E$5)*(E$6-E$5)),E$7-SQRT((1-NORMSDIST(E$9*SQRT($C$11)*NORMSINV($B212)+SQRT(1-E$9^2*$C$11)*NORMSINV(D212)))*(E$7-E$5)*(E$7-E$6))))</f>
        <v>0.0577124511746807</v>
      </c>
      <c r="F212" s="2" t="n">
        <v>0.047831891</v>
      </c>
      <c r="G212" s="2" t="n">
        <f aca="false">IF(G$7=G$5,G$6,IF(NORMSDIST(G$9*SQRT($C$11)*NORMSINV($B212)+SQRT(1-G$9^2*$C$11)*NORMSINV(F212))&lt;G$8,G$5+SQRT(NORMSDIST(G$9*SQRT($C$11)*NORMSINV($B212)+SQRT(1-G$9^2*$C$11)*NORMSINV(F212))*(G$7-G$5)*(G$6-G$5)),G$7-SQRT((1-NORMSDIST(G$9*SQRT($C$11)*NORMSINV($B212)+SQRT(1-G$9^2*$C$11)*NORMSINV(F212)))*(G$7-G$5)*(G$7-G$6))))</f>
        <v>0.0486905880053274</v>
      </c>
      <c r="H212" s="2" t="n">
        <v>0.720418835</v>
      </c>
      <c r="I212" s="2" t="n">
        <f aca="false">IF(I$7=I$5,I$6,IF(NORMSDIST(I$9*SQRT($C$11)*NORMSINV($B212)+SQRT(1-I$9^2*$C$11)*NORMSINV(H212))&lt;I$8,I$5+SQRT(NORMSDIST(I$9*SQRT($C$11)*NORMSINV($B212)+SQRT(1-I$9^2*$C$11)*NORMSINV(H212))*(I$7-I$5)*(I$6-I$5)),I$7-SQRT((1-NORMSDIST(I$9*SQRT($C$11)*NORMSINV($B212)+SQRT(1-I$9^2*$C$11)*NORMSINV(H212)))*(I$7-I$5)*(I$7-I$6))))</f>
        <v>206.806303515066</v>
      </c>
      <c r="J212" s="2" t="n">
        <v>0.100091392</v>
      </c>
      <c r="K212" s="2" t="n">
        <f aca="false">IF(K$7=K$5,K$6,IF(NORMSDIST(K$9*SQRT($C$11)*NORMSINV($B212)+SQRT(1-K$9^2*$C$11)*NORMSINV(J212))&lt;K$8,K$5+SQRT(NORMSDIST(K$9*SQRT($C$11)*NORMSINV($B212)+SQRT(1-K$9^2*$C$11)*NORMSINV(J212))*(K$7-K$5)*(K$6-K$5)),K$7-SQRT((1-NORMSDIST(K$9*SQRT($C$11)*NORMSINV($B212)+SQRT(1-K$9^2*$C$11)*NORMSINV(J212)))*(K$7-K$5)*(K$7-K$6))))</f>
        <v>0.177914753831779</v>
      </c>
      <c r="L212" s="2" t="n">
        <v>0.708384751</v>
      </c>
      <c r="M212" s="2" t="n">
        <f aca="false">IF(M$7=M$5,M$6,IF(NORMSDIST(M$9*SQRT($C$11)*NORMSINV($B212)+SQRT(1-M$9^2*$C$11)*NORMSINV(L212))&lt;M$8,M$5+SQRT(NORMSDIST(M$9*SQRT($C$11)*NORMSINV($B212)+SQRT(1-M$9^2*$C$11)*NORMSINV(L212))*(M$7-M$5)*(M$6-M$5)),M$7-SQRT((1-NORMSDIST(M$9*SQRT($C$11)*NORMSINV($B212)+SQRT(1-M$9^2*$C$11)*NORMSINV(L212)))*(M$7-M$5)*(M$7-M$6))))</f>
        <v>1657.84139619532</v>
      </c>
      <c r="N212" s="2" t="n">
        <v>0.384592866</v>
      </c>
      <c r="O212" s="2" t="n">
        <f aca="false">IF(O$7=O$5,O$6,IF(NORMSDIST(O$9*SQRT($C$11)*NORMSINV($B212)+SQRT(1-O$9^2*$C$11)*NORMSINV(N212))&lt;O$8,O$5+SQRT(NORMSDIST(O$9*SQRT($C$11)*NORMSINV($B212)+SQRT(1-O$9^2*$C$11)*NORMSINV(N212))*(O$7-O$5)*(O$6-O$5)),O$7-SQRT((1-NORMSDIST(O$9*SQRT($C$11)*NORMSINV($B212)+SQRT(1-O$9^2*$C$11)*NORMSINV(N212)))*(O$7-O$5)*(O$7-O$6))))</f>
        <v>0.167837192859705</v>
      </c>
      <c r="P212" s="2" t="n">
        <v>0.825618893</v>
      </c>
      <c r="Q212" s="2" t="n">
        <f aca="false">IF(Q$7=Q$5,Q$6,IF(NORMSDIST(Q$9*SQRT($C$11)*NORMSINV($B212)+SQRT(1-Q$9^2*$C$11)*NORMSINV(P212))&lt;Q$8,Q$5+SQRT(NORMSDIST(Q$9*SQRT($C$11)*NORMSINV($B212)+SQRT(1-Q$9^2*$C$11)*NORMSINV(P212))*(Q$7-Q$5)*(Q$6-Q$5)),Q$7-SQRT((1-NORMSDIST(Q$9*SQRT($C$11)*NORMSINV($B212)+SQRT(1-Q$9^2*$C$11)*NORMSINV(P212)))*(Q$7-Q$5)*(Q$7-Q$6))))</f>
        <v>0.0963775627337059</v>
      </c>
      <c r="R212" s="2" t="n">
        <v>0.799768855</v>
      </c>
      <c r="S212" s="2" t="n">
        <f aca="false">IF(S$7=S$5,S$6,IF(NORMSDIST(S$9*SQRT($C$11)*NORMSINV($B212)+SQRT(1-S$9^2*$C$11)*NORMSINV(R212))&lt;S$8,S$5+SQRT(NORMSDIST(S$9*SQRT($C$11)*NORMSINV($B212)+SQRT(1-S$9^2*$C$11)*NORMSINV(R212))*(S$7-S$5)*(S$6-S$5)),S$7-SQRT((1-NORMSDIST(S$9*SQRT($C$11)*NORMSINV($B212)+SQRT(1-S$9^2*$C$11)*NORMSINV(R212)))*(S$7-S$5)*(S$7-S$6))))</f>
        <v>0.71386969084674</v>
      </c>
      <c r="T212" s="2" t="n">
        <v>0.271733849</v>
      </c>
      <c r="U212" s="2" t="n">
        <f aca="false">IF(U$7=U$5,U$6,IF(NORMSDIST(U$9*SQRT($C$11)*NORMSINV($B212)+SQRT(1-U$9^2*$C$11)*NORMSINV(T212))&lt;U$8,U$5+SQRT(NORMSDIST(U$9*SQRT($C$11)*NORMSINV($B212)+SQRT(1-U$9^2*$C$11)*NORMSINV(T212))*(U$7-U$5)*(U$6-U$5)),U$7-SQRT((1-NORMSDIST(U$9*SQRT($C$11)*NORMSINV($B212)+SQRT(1-U$9^2*$C$11)*NORMSINV(T212)))*(U$7-U$5)*(U$7-U$6))))</f>
        <v>0.470776302072809</v>
      </c>
      <c r="V212" s="2" t="n">
        <v>0.621691125</v>
      </c>
      <c r="W212" s="2" t="n">
        <f aca="false">IF(W$7=W$5,W$6,IF(NORMSDIST(W$9*SQRT($C$11)*NORMSINV($B212)+SQRT(1-W$9^2*$C$11)*NORMSINV(V212))&lt;W$8,W$5+SQRT(NORMSDIST(W$9*SQRT($C$11)*NORMSINV($B212)+SQRT(1-W$9^2*$C$11)*NORMSINV(V212))*(W$7-W$5)*(W$6-W$5)),W$7-SQRT((1-NORMSDIST(W$9*SQRT($C$11)*NORMSINV($B212)+SQRT(1-W$9^2*$C$11)*NORMSINV(V212)))*(W$7-W$5)*(W$7-W$6))))</f>
        <v>10.4899753788561</v>
      </c>
      <c r="X212" s="2" t="n">
        <v>0.986478328</v>
      </c>
      <c r="Y212" s="2" t="n">
        <f aca="false">IF(Y$7=Y$5,Y$6,IF(NORMSDIST(Y$9*SQRT($C$11)*NORMSINV($B212)+SQRT(1-Y$9^2*$C$11)*NORMSINV(X212))&lt;Y$8,Y$5+SQRT(NORMSDIST(Y$9*SQRT($C$11)*NORMSINV($B212)+SQRT(1-Y$9^2*$C$11)*NORMSINV(X212))*(Y$7-Y$5)*(Y$6-Y$5)),Y$7-SQRT((1-NORMSDIST(Y$9*SQRT($C$11)*NORMSINV($B212)+SQRT(1-Y$9^2*$C$11)*NORMSINV(X212)))*(Y$7-Y$5)*(Y$7-Y$6))))</f>
        <v>0.917775697023325</v>
      </c>
      <c r="Z212" s="2" t="n">
        <v>0.874893038</v>
      </c>
      <c r="AA212" s="2" t="n">
        <f aca="false">IF(AA$7=AA$5,AA$6,IF(NORMSDIST(AA$9*SQRT($C$11)*NORMSINV($B212)+SQRT(1-AA$9^2*$C$11)*NORMSINV(Z212))&lt;AA$8,AA$5+SQRT(NORMSDIST(AA$9*SQRT($C$11)*NORMSINV($B212)+SQRT(1-AA$9^2*$C$11)*NORMSINV(Z212))*(AA$7-AA$5)*(AA$6-AA$5)),AA$7-SQRT((1-NORMSDIST(AA$9*SQRT($C$11)*NORMSINV($B212)+SQRT(1-AA$9^2*$C$11)*NORMSINV(Z212)))*(AA$7-AA$5)*(AA$7-AA$6))))</f>
        <v>0.741899169675306</v>
      </c>
      <c r="AB212" s="2" t="n">
        <v>0.478334474</v>
      </c>
      <c r="AC212" s="2" t="n">
        <f aca="false">IF(AC$7=AC$5,AC$6,IF(NORMSDIST(AC$9*SQRT($C$11)*NORMSINV($B212)+SQRT(1-AC$9^2*$C$11)*NORMSINV(AB212))&lt;AC$8,AC$5+SQRT(NORMSDIST(AC$9*SQRT($C$11)*NORMSINV($B212)+SQRT(1-AC$9^2*$C$11)*NORMSINV(AB212))*(AC$7-AC$5)*(AC$6-AC$5)),AC$7-SQRT((1-NORMSDIST(AC$9*SQRT($C$11)*NORMSINV($B212)+SQRT(1-AC$9^2*$C$11)*NORMSINV(AB212)))*(AC$7-AC$5)*(AC$7-AC$6))))</f>
        <v>9.70042917843291</v>
      </c>
      <c r="AD212" s="2" t="n">
        <f aca="false">Entrées!$C$8*(1+E212)</f>
        <v>7456.8727807815</v>
      </c>
      <c r="AE212" s="2" t="n">
        <f aca="false">I212*Hypothèses!$J$24/12/Hypothèses!$J$19</f>
        <v>102.5959452645</v>
      </c>
      <c r="AF212" s="2" t="n">
        <f aca="false">Entrées!$C$36*S212*1000</f>
        <v>356.93484542337</v>
      </c>
      <c r="AG212" s="2" t="n">
        <f aca="false">-AF212/W212</f>
        <v>-34.0262805709551</v>
      </c>
      <c r="AH212" s="2" t="n">
        <f aca="false">AD212+AE212+AG212</f>
        <v>7525.44244547504</v>
      </c>
      <c r="AI212" s="2" t="n">
        <f aca="false">Entrées!$C$16-M212+Hypothèses!$J$22*1000-AF212+Hypothèses!$J$23</f>
        <v>22533.2237583813</v>
      </c>
      <c r="AJ212" s="2" t="n">
        <f aca="false">AI212/AH212</f>
        <v>2.9942722865325</v>
      </c>
      <c r="AK212" s="2" t="n">
        <f aca="false">AI212/(AH212+I212*(12-Hypothèses!$J$24)/12/Hypothèses!$J$19)</f>
        <v>2.96539524419387</v>
      </c>
      <c r="AL212" s="2" t="n">
        <f aca="false">(AD212+AG212+I212/Hypothèses!$J$19)*(1+G212)</f>
        <v>7968.7116646929</v>
      </c>
      <c r="AM212" s="2" t="n">
        <f aca="false">Entrées!$C$54*K212/Hypothèses!$J$19</f>
        <v>18.1569476443111</v>
      </c>
      <c r="AN212" s="2" t="n">
        <f aca="false">Y212*1000/AC212</f>
        <v>94.6118651186927</v>
      </c>
      <c r="AO212" s="2" t="n">
        <f aca="false">(Entrées!$C$36*(1-S212)+MAX(0,Entrées!$C$30-Entrées!$C$35-Entrées!$C$36)*U212)*1000</f>
        <v>802.151977478563</v>
      </c>
      <c r="AP212" s="2" t="n">
        <f aca="false">-AO212/W212</f>
        <v>-76.4684328139988</v>
      </c>
      <c r="AQ212" s="2" t="n">
        <f aca="false">AL212+AM212+AN212+AP212</f>
        <v>8005.0120446419</v>
      </c>
      <c r="AR212" s="2" t="n">
        <f aca="false">O212*AQ212-Hypothèses!$J$25/Hypothèses!$J$19</f>
        <v>1324.4035881192</v>
      </c>
      <c r="AS212" s="2" t="n">
        <f aca="false">Entrées!$C$79*(1+Q212)+Hypothèses!$J$20</f>
        <v>1499.91894144434</v>
      </c>
      <c r="AT212" s="2" t="n">
        <f aca="false">AI212-AR212+AS212+Y212*1000-AO212+Hypothèses!$J$23</f>
        <v>22824.3628312512</v>
      </c>
      <c r="AU212" s="2" t="n">
        <f aca="false">AT212/AQ212</f>
        <v>2.85125902421703</v>
      </c>
      <c r="AV212" s="2" t="n">
        <f aca="false">Hypothèses!$J$26*AQ212-AT212</f>
        <v>1190.67330267449</v>
      </c>
      <c r="AW212" s="2" t="n">
        <f aca="false">IF(AC212&gt;Hypothèses!$J$26,MAX(0,AV212)/(1-Hypothèses!$J$26/AC212),0)</f>
        <v>1723.77645366681</v>
      </c>
      <c r="AX212" s="2" t="n">
        <f aca="false">AQ212-Entrées!$C$17*1000</f>
        <v>5.01204464189959</v>
      </c>
      <c r="AY212" s="2" t="n">
        <f aca="false">AI212+(Entrées!$C$244-Entrées!$C$13)</f>
        <v>28280.2237583813</v>
      </c>
      <c r="AZ212" s="2" t="n">
        <f aca="false">AA212*AH212</f>
        <v>5583.11950173724</v>
      </c>
      <c r="BA212" s="2" t="n">
        <f aca="false">AZ212/AY212</f>
        <v>0.197421334054424</v>
      </c>
      <c r="BB212" s="2" t="n">
        <f aca="false">AZ212/(Entrées!$C$151/100)-AY212</f>
        <v>2737.10680682559</v>
      </c>
      <c r="BC212" s="2" t="n">
        <f aca="false">AT212+(Entrées!$C$244-Entrées!$C$13)</f>
        <v>28571.3628312512</v>
      </c>
      <c r="BD212" s="2" t="n">
        <f aca="false">AA212*AQ212</f>
        <v>5938.91178916065</v>
      </c>
      <c r="BE212" s="2" t="n">
        <f aca="false">BD212/BC212</f>
        <v>0.207862390892488</v>
      </c>
      <c r="BF212" s="2" t="n">
        <f aca="false">BD212/(Entrées!$C$151/100)-BC212</f>
        <v>4422.59155297463</v>
      </c>
      <c r="BG212" s="2" t="n">
        <f aca="false">MIN(AV212,BF212)</f>
        <v>1190.67330267449</v>
      </c>
      <c r="BH212" s="2" t="n">
        <f aca="false">IF(AC212&gt;Hypothèses!$J$26,MAX(0,BG212)/(1-Hypothèses!$J$26/AC212),0)</f>
        <v>1723.77645366681</v>
      </c>
    </row>
    <row r="213" customFormat="false" ht="15" hidden="false" customHeight="false" outlineLevel="0" collapsed="false">
      <c r="A213" s="2" t="n">
        <v>198</v>
      </c>
      <c r="B213" s="2" t="n">
        <v>0.856392446</v>
      </c>
      <c r="C213" s="2"/>
      <c r="D213" s="2" t="n">
        <v>0.067572098</v>
      </c>
      <c r="E213" s="2" t="n">
        <f aca="false">IF(E$7=E$5,E$6,IF(NORMSDIST(E$9*SQRT($C$11)*NORMSINV($B213)+SQRT(1-E$9^2*$C$11)*NORMSINV(D213))&lt;E$8,E$5+SQRT(NORMSDIST(E$9*SQRT($C$11)*NORMSINV($B213)+SQRT(1-E$9^2*$C$11)*NORMSINV(D213))*(E$7-E$5)*(E$6-E$5)),E$7-SQRT((1-NORMSDIST(E$9*SQRT($C$11)*NORMSINV($B213)+SQRT(1-E$9^2*$C$11)*NORMSINV(D213)))*(E$7-E$5)*(E$7-E$6))))</f>
        <v>0.0539629817649901</v>
      </c>
      <c r="F213" s="2" t="n">
        <v>0.017102775</v>
      </c>
      <c r="G213" s="2" t="n">
        <f aca="false">IF(G$7=G$5,G$6,IF(NORMSDIST(G$9*SQRT($C$11)*NORMSINV($B213)+SQRT(1-G$9^2*$C$11)*NORMSINV(F213))&lt;G$8,G$5+SQRT(NORMSDIST(G$9*SQRT($C$11)*NORMSINV($B213)+SQRT(1-G$9^2*$C$11)*NORMSINV(F213))*(G$7-G$5)*(G$6-G$5)),G$7-SQRT((1-NORMSDIST(G$9*SQRT($C$11)*NORMSINV($B213)+SQRT(1-G$9^2*$C$11)*NORMSINV(F213)))*(G$7-G$5)*(G$7-G$6))))</f>
        <v>0.0486615251075837</v>
      </c>
      <c r="H213" s="2" t="n">
        <v>0.076385294</v>
      </c>
      <c r="I213" s="2" t="n">
        <f aca="false">IF(I$7=I$5,I$6,IF(NORMSDIST(I$9*SQRT($C$11)*NORMSINV($B213)+SQRT(1-I$9^2*$C$11)*NORMSINV(H213))&lt;I$8,I$5+SQRT(NORMSDIST(I$9*SQRT($C$11)*NORMSINV($B213)+SQRT(1-I$9^2*$C$11)*NORMSINV(H213))*(I$7-I$5)*(I$6-I$5)),I$7-SQRT((1-NORMSDIST(I$9*SQRT($C$11)*NORMSINV($B213)+SQRT(1-I$9^2*$C$11)*NORMSINV(H213)))*(I$7-I$5)*(I$7-I$6))))</f>
        <v>196.296881335696</v>
      </c>
      <c r="J213" s="2" t="n">
        <v>0.486630057</v>
      </c>
      <c r="K213" s="2" t="n">
        <f aca="false">IF(K$7=K$5,K$6,IF(NORMSDIST(K$9*SQRT($C$11)*NORMSINV($B213)+SQRT(1-K$9^2*$C$11)*NORMSINV(J213))&lt;K$8,K$5+SQRT(NORMSDIST(K$9*SQRT($C$11)*NORMSINV($B213)+SQRT(1-K$9^2*$C$11)*NORMSINV(J213))*(K$7-K$5)*(K$6-K$5)),K$7-SQRT((1-NORMSDIST(K$9*SQRT($C$11)*NORMSINV($B213)+SQRT(1-K$9^2*$C$11)*NORMSINV(J213)))*(K$7-K$5)*(K$7-K$6))))</f>
        <v>0.320147673629536</v>
      </c>
      <c r="L213" s="2" t="n">
        <v>0.370970801</v>
      </c>
      <c r="M213" s="2" t="n">
        <f aca="false">IF(M$7=M$5,M$6,IF(NORMSDIST(M$9*SQRT($C$11)*NORMSINV($B213)+SQRT(1-M$9^2*$C$11)*NORMSINV(L213))&lt;M$8,M$5+SQRT(NORMSDIST(M$9*SQRT($C$11)*NORMSINV($B213)+SQRT(1-M$9^2*$C$11)*NORMSINV(L213))*(M$7-M$5)*(M$6-M$5)),M$7-SQRT((1-NORMSDIST(M$9*SQRT($C$11)*NORMSINV($B213)+SQRT(1-M$9^2*$C$11)*NORMSINV(L213)))*(M$7-M$5)*(M$7-M$6))))</f>
        <v>1627.86683294892</v>
      </c>
      <c r="N213" s="2" t="n">
        <v>0.507078667</v>
      </c>
      <c r="O213" s="2" t="n">
        <f aca="false">IF(O$7=O$5,O$6,IF(NORMSDIST(O$9*SQRT($C$11)*NORMSINV($B213)+SQRT(1-O$9^2*$C$11)*NORMSINV(N213))&lt;O$8,O$5+SQRT(NORMSDIST(O$9*SQRT($C$11)*NORMSINV($B213)+SQRT(1-O$9^2*$C$11)*NORMSINV(N213))*(O$7-O$5)*(O$6-O$5)),O$7-SQRT((1-NORMSDIST(O$9*SQRT($C$11)*NORMSINV($B213)+SQRT(1-O$9^2*$C$11)*NORMSINV(N213)))*(O$7-O$5)*(O$7-O$6))))</f>
        <v>0.173809454129028</v>
      </c>
      <c r="P213" s="2" t="n">
        <v>0.074494452</v>
      </c>
      <c r="Q213" s="2" t="n">
        <f aca="false">IF(Q$7=Q$5,Q$6,IF(NORMSDIST(Q$9*SQRT($C$11)*NORMSINV($B213)+SQRT(1-Q$9^2*$C$11)*NORMSINV(P213))&lt;Q$8,Q$5+SQRT(NORMSDIST(Q$9*SQRT($C$11)*NORMSINV($B213)+SQRT(1-Q$9^2*$C$11)*NORMSINV(P213))*(Q$7-Q$5)*(Q$6-Q$5)),Q$7-SQRT((1-NORMSDIST(Q$9*SQRT($C$11)*NORMSINV($B213)+SQRT(1-Q$9^2*$C$11)*NORMSINV(P213)))*(Q$7-Q$5)*(Q$7-Q$6))))</f>
        <v>0.0554396323272285</v>
      </c>
      <c r="R213" s="2" t="n">
        <v>0.161254729</v>
      </c>
      <c r="S213" s="2" t="n">
        <f aca="false">IF(S$7=S$5,S$6,IF(NORMSDIST(S$9*SQRT($C$11)*NORMSINV($B213)+SQRT(1-S$9^2*$C$11)*NORMSINV(R213))&lt;S$8,S$5+SQRT(NORMSDIST(S$9*SQRT($C$11)*NORMSINV($B213)+SQRT(1-S$9^2*$C$11)*NORMSINV(R213))*(S$7-S$5)*(S$6-S$5)),S$7-SQRT((1-NORMSDIST(S$9*SQRT($C$11)*NORMSINV($B213)+SQRT(1-S$9^2*$C$11)*NORMSINV(R213)))*(S$7-S$5)*(S$7-S$6))))</f>
        <v>0.481072318874439</v>
      </c>
      <c r="T213" s="2" t="n">
        <v>0.836928936</v>
      </c>
      <c r="U213" s="2" t="n">
        <f aca="false">IF(U$7=U$5,U$6,IF(NORMSDIST(U$9*SQRT($C$11)*NORMSINV($B213)+SQRT(1-U$9^2*$C$11)*NORMSINV(T213))&lt;U$8,U$5+SQRT(NORMSDIST(U$9*SQRT($C$11)*NORMSINV($B213)+SQRT(1-U$9^2*$C$11)*NORMSINV(T213))*(U$7-U$5)*(U$6-U$5)),U$7-SQRT((1-NORMSDIST(U$9*SQRT($C$11)*NORMSINV($B213)+SQRT(1-U$9^2*$C$11)*NORMSINV(T213)))*(U$7-U$5)*(U$7-U$6))))</f>
        <v>0.805279713993427</v>
      </c>
      <c r="V213" s="2" t="n">
        <v>0.695847016</v>
      </c>
      <c r="W213" s="2" t="n">
        <f aca="false">IF(W$7=W$5,W$6,IF(NORMSDIST(W$9*SQRT($C$11)*NORMSINV($B213)+SQRT(1-W$9^2*$C$11)*NORMSINV(V213))&lt;W$8,W$5+SQRT(NORMSDIST(W$9*SQRT($C$11)*NORMSINV($B213)+SQRT(1-W$9^2*$C$11)*NORMSINV(V213))*(W$7-W$5)*(W$6-W$5)),W$7-SQRT((1-NORMSDIST(W$9*SQRT($C$11)*NORMSINV($B213)+SQRT(1-W$9^2*$C$11)*NORMSINV(V213)))*(W$7-W$5)*(W$7-W$6))))</f>
        <v>10.9330618058099</v>
      </c>
      <c r="X213" s="2" t="n">
        <v>0.281262002</v>
      </c>
      <c r="Y213" s="2" t="n">
        <f aca="false">IF(Y$7=Y$5,Y$6,IF(NORMSDIST(Y$9*SQRT($C$11)*NORMSINV($B213)+SQRT(1-Y$9^2*$C$11)*NORMSINV(X213))&lt;Y$8,Y$5+SQRT(NORMSDIST(Y$9*SQRT($C$11)*NORMSINV($B213)+SQRT(1-Y$9^2*$C$11)*NORMSINV(X213))*(Y$7-Y$5)*(Y$6-Y$5)),Y$7-SQRT((1-NORMSDIST(Y$9*SQRT($C$11)*NORMSINV($B213)+SQRT(1-Y$9^2*$C$11)*NORMSINV(X213)))*(Y$7-Y$5)*(Y$7-Y$6))))</f>
        <v>0.375008001247973</v>
      </c>
      <c r="Z213" s="2" t="n">
        <v>0.867586016</v>
      </c>
      <c r="AA213" s="2" t="n">
        <f aca="false">IF(AA$7=AA$5,AA$6,IF(NORMSDIST(AA$9*SQRT($C$11)*NORMSINV($B213)+SQRT(1-AA$9^2*$C$11)*NORMSINV(Z213))&lt;AA$8,AA$5+SQRT(NORMSDIST(AA$9*SQRT($C$11)*NORMSINV($B213)+SQRT(1-AA$9^2*$C$11)*NORMSINV(Z213))*(AA$7-AA$5)*(AA$6-AA$5)),AA$7-SQRT((1-NORMSDIST(AA$9*SQRT($C$11)*NORMSINV($B213)+SQRT(1-AA$9^2*$C$11)*NORMSINV(Z213)))*(AA$7-AA$5)*(AA$7-AA$6))))</f>
        <v>0.744931927499532</v>
      </c>
      <c r="AB213" s="2" t="n">
        <v>0.36622021</v>
      </c>
      <c r="AC213" s="2" t="n">
        <f aca="false">IF(AC$7=AC$5,AC$6,IF(NORMSDIST(AC$9*SQRT($C$11)*NORMSINV($B213)+SQRT(1-AC$9^2*$C$11)*NORMSINV(AB213))&lt;AC$8,AC$5+SQRT(NORMSDIST(AC$9*SQRT($C$11)*NORMSINV($B213)+SQRT(1-AC$9^2*$C$11)*NORMSINV(AB213))*(AC$7-AC$5)*(AC$6-AC$5)),AC$7-SQRT((1-NORMSDIST(AC$9*SQRT($C$11)*NORMSINV($B213)+SQRT(1-AC$9^2*$C$11)*NORMSINV(AB213)))*(AC$7-AC$5)*(AC$7-AC$6))))</f>
        <v>9.78518728490451</v>
      </c>
      <c r="AD213" s="2" t="n">
        <f aca="false">Entrées!$C$8*(1+E213)</f>
        <v>7430.43902144318</v>
      </c>
      <c r="AE213" s="2" t="n">
        <f aca="false">I213*Hypothèses!$J$24/12/Hypothèses!$J$19</f>
        <v>97.3822545580289</v>
      </c>
      <c r="AF213" s="2" t="n">
        <f aca="false">Entrées!$C$36*S213*1000</f>
        <v>240.53615943722</v>
      </c>
      <c r="AG213" s="2" t="n">
        <f aca="false">-AF213/W213</f>
        <v>-22.0008048714585</v>
      </c>
      <c r="AH213" s="2" t="n">
        <f aca="false">AD213+AE213+AG213</f>
        <v>7505.82047112975</v>
      </c>
      <c r="AI213" s="2" t="n">
        <f aca="false">Entrées!$C$16-M213+Hypothèses!$J$22*1000-AF213+Hypothèses!$J$23</f>
        <v>22679.5970076139</v>
      </c>
      <c r="AJ213" s="2" t="n">
        <f aca="false">AI213/AH213</f>
        <v>3.02160131525238</v>
      </c>
      <c r="AK213" s="2" t="n">
        <f aca="false">AI213/(AH213+I213*(12-Hypothèses!$J$24)/12/Hypothèses!$J$19)</f>
        <v>2.99385632531863</v>
      </c>
      <c r="AL213" s="2" t="n">
        <f aca="false">(AD213+AG213+I213/Hypothèses!$J$19)*(1+G213)</f>
        <v>7944.00873071239</v>
      </c>
      <c r="AM213" s="2" t="n">
        <f aca="false">Entrées!$C$54*K213/Hypothèses!$J$19</f>
        <v>32.6724143071106</v>
      </c>
      <c r="AN213" s="2" t="n">
        <f aca="false">Y213*1000/AC213</f>
        <v>38.3240494360791</v>
      </c>
      <c r="AO213" s="2" t="n">
        <f aca="false">(Entrées!$C$36*(1-S213)+MAX(0,Entrées!$C$30-Entrées!$C$35-Entrées!$C$36)*U213)*1000</f>
        <v>1386.85544015358</v>
      </c>
      <c r="AP213" s="2" t="n">
        <f aca="false">-AO213/W213</f>
        <v>-126.849684451303</v>
      </c>
      <c r="AQ213" s="2" t="n">
        <f aca="false">AL213+AM213+AN213+AP213</f>
        <v>7888.15551000427</v>
      </c>
      <c r="AR213" s="2" t="n">
        <f aca="false">O213*AQ213-Hypothèses!$J$25/Hypothèses!$J$19</f>
        <v>1351.9008410171</v>
      </c>
      <c r="AS213" s="2" t="n">
        <f aca="false">Entrées!$C$79*(1+Q213)+Hypothèses!$J$20</f>
        <v>1454.92815592762</v>
      </c>
      <c r="AT213" s="2" t="n">
        <f aca="false">AI213-AR213+AS213+Y213*1000-AO213+Hypothèses!$J$23</f>
        <v>21770.7768836188</v>
      </c>
      <c r="AU213" s="2" t="n">
        <f aca="false">AT213/AQ213</f>
        <v>2.7599325160372</v>
      </c>
      <c r="AV213" s="2" t="n">
        <f aca="false">Hypothèses!$J$26*AQ213-AT213</f>
        <v>1893.68964639405</v>
      </c>
      <c r="AW213" s="2" t="n">
        <f aca="false">IF(AC213&gt;Hypothèses!$J$26,MAX(0,AV213)/(1-Hypothèses!$J$26/AC213),0)</f>
        <v>2730.96483138728</v>
      </c>
      <c r="AX213" s="2" t="n">
        <f aca="false">AQ213-Entrées!$C$17*1000</f>
        <v>-111.844489995727</v>
      </c>
      <c r="AY213" s="2" t="n">
        <f aca="false">AI213+(Entrées!$C$244-Entrées!$C$13)</f>
        <v>28426.5970076139</v>
      </c>
      <c r="AZ213" s="2" t="n">
        <f aca="false">AA213*AH213</f>
        <v>5591.32531102413</v>
      </c>
      <c r="BA213" s="2" t="n">
        <f aca="false">AZ213/AY213</f>
        <v>0.196693445561793</v>
      </c>
      <c r="BB213" s="2" t="n">
        <f aca="false">AZ213/(Entrées!$C$151/100)-AY213</f>
        <v>2636.32138696463</v>
      </c>
      <c r="BC213" s="2" t="n">
        <f aca="false">AT213+(Entrées!$C$244-Entrées!$C$13)</f>
        <v>27517.7768836188</v>
      </c>
      <c r="BD213" s="2" t="n">
        <f aca="false">AA213*AQ213</f>
        <v>5876.13888848354</v>
      </c>
      <c r="BE213" s="2" t="n">
        <f aca="false">BD213/BC213</f>
        <v>0.213539738814496</v>
      </c>
      <c r="BF213" s="2" t="n">
        <f aca="false">BD213/(Entrées!$C$151/100)-BC213</f>
        <v>5127.43916351198</v>
      </c>
      <c r="BG213" s="2" t="n">
        <f aca="false">MIN(AV213,BF213)</f>
        <v>1893.68964639405</v>
      </c>
      <c r="BH213" s="2" t="n">
        <f aca="false">IF(AC213&gt;Hypothèses!$J$26,MAX(0,BG213)/(1-Hypothèses!$J$26/AC213),0)</f>
        <v>2730.96483138728</v>
      </c>
    </row>
    <row r="214" customFormat="false" ht="15" hidden="false" customHeight="false" outlineLevel="0" collapsed="false">
      <c r="A214" s="2" t="n">
        <v>199</v>
      </c>
      <c r="B214" s="2" t="n">
        <v>0.02926736</v>
      </c>
      <c r="C214" s="2"/>
      <c r="D214" s="2" t="n">
        <v>0.889279954</v>
      </c>
      <c r="E214" s="2" t="n">
        <f aca="false">IF(E$7=E$5,E$6,IF(NORMSDIST(E$9*SQRT($C$11)*NORMSINV($B214)+SQRT(1-E$9^2*$C$11)*NORMSINV(D214))&lt;E$8,E$5+SQRT(NORMSDIST(E$9*SQRT($C$11)*NORMSINV($B214)+SQRT(1-E$9^2*$C$11)*NORMSINV(D214))*(E$7-E$5)*(E$6-E$5)),E$7-SQRT((1-NORMSDIST(E$9*SQRT($C$11)*NORMSINV($B214)+SQRT(1-E$9^2*$C$11)*NORMSINV(D214)))*(E$7-E$5)*(E$7-E$6))))</f>
        <v>0.0544808877162954</v>
      </c>
      <c r="F214" s="2" t="n">
        <v>0.956571192</v>
      </c>
      <c r="G214" s="2" t="n">
        <f aca="false">IF(G$7=G$5,G$6,IF(NORMSDIST(G$9*SQRT($C$11)*NORMSINV($B214)+SQRT(1-G$9^2*$C$11)*NORMSINV(F214))&lt;G$8,G$5+SQRT(NORMSDIST(G$9*SQRT($C$11)*NORMSINV($B214)+SQRT(1-G$9^2*$C$11)*NORMSINV(F214))*(G$7-G$5)*(G$6-G$5)),G$7-SQRT((1-NORMSDIST(G$9*SQRT($C$11)*NORMSINV($B214)+SQRT(1-G$9^2*$C$11)*NORMSINV(F214)))*(G$7-G$5)*(G$7-G$6))))</f>
        <v>0.055796140212898</v>
      </c>
      <c r="H214" s="2" t="n">
        <v>0.23041936</v>
      </c>
      <c r="I214" s="2" t="n">
        <f aca="false">IF(I$7=I$5,I$6,IF(NORMSDIST(I$9*SQRT($C$11)*NORMSINV($B214)+SQRT(1-I$9^2*$C$11)*NORMSINV(H214))&lt;I$8,I$5+SQRT(NORMSDIST(I$9*SQRT($C$11)*NORMSINV($B214)+SQRT(1-I$9^2*$C$11)*NORMSINV(H214))*(I$7-I$5)*(I$6-I$5)),I$7-SQRT((1-NORMSDIST(I$9*SQRT($C$11)*NORMSINV($B214)+SQRT(1-I$9^2*$C$11)*NORMSINV(H214)))*(I$7-I$5)*(I$7-I$6))))</f>
        <v>185.554153164828</v>
      </c>
      <c r="J214" s="2" t="n">
        <v>0.590743625</v>
      </c>
      <c r="K214" s="2" t="n">
        <f aca="false">IF(K$7=K$5,K$6,IF(NORMSDIST(K$9*SQRT($C$11)*NORMSINV($B214)+SQRT(1-K$9^2*$C$11)*NORMSINV(J214))&lt;K$8,K$5+SQRT(NORMSDIST(K$9*SQRT($C$11)*NORMSINV($B214)+SQRT(1-K$9^2*$C$11)*NORMSINV(J214))*(K$7-K$5)*(K$6-K$5)),K$7-SQRT((1-NORMSDIST(K$9*SQRT($C$11)*NORMSINV($B214)+SQRT(1-K$9^2*$C$11)*NORMSINV(J214)))*(K$7-K$5)*(K$7-K$6))))</f>
        <v>0.138826347995302</v>
      </c>
      <c r="L214" s="2" t="n">
        <v>0.676100977</v>
      </c>
      <c r="M214" s="2" t="n">
        <f aca="false">IF(M$7=M$5,M$6,IF(NORMSDIST(M$9*SQRT($C$11)*NORMSINV($B214)+SQRT(1-M$9^2*$C$11)*NORMSINV(L214))&lt;M$8,M$5+SQRT(NORMSDIST(M$9*SQRT($C$11)*NORMSINV($B214)+SQRT(1-M$9^2*$C$11)*NORMSINV(L214))*(M$7-M$5)*(M$6-M$5)),M$7-SQRT((1-NORMSDIST(M$9*SQRT($C$11)*NORMSINV($B214)+SQRT(1-M$9^2*$C$11)*NORMSINV(L214)))*(M$7-M$5)*(M$7-M$6))))</f>
        <v>1481.53270520428</v>
      </c>
      <c r="N214" s="2" t="n">
        <v>0.614505931</v>
      </c>
      <c r="O214" s="2" t="n">
        <f aca="false">IF(O$7=O$5,O$6,IF(NORMSDIST(O$9*SQRT($C$11)*NORMSINV($B214)+SQRT(1-O$9^2*$C$11)*NORMSINV(N214))&lt;O$8,O$5+SQRT(NORMSDIST(O$9*SQRT($C$11)*NORMSINV($B214)+SQRT(1-O$9^2*$C$11)*NORMSINV(N214))*(O$7-O$5)*(O$6-O$5)),O$7-SQRT((1-NORMSDIST(O$9*SQRT($C$11)*NORMSINV($B214)+SQRT(1-O$9^2*$C$11)*NORMSINV(N214)))*(O$7-O$5)*(O$7-O$6))))</f>
        <v>0.155423422062282</v>
      </c>
      <c r="P214" s="2" t="n">
        <v>0.881887795</v>
      </c>
      <c r="Q214" s="2" t="n">
        <f aca="false">IF(Q$7=Q$5,Q$6,IF(NORMSDIST(Q$9*SQRT($C$11)*NORMSINV($B214)+SQRT(1-Q$9^2*$C$11)*NORMSINV(P214))&lt;Q$8,Q$5+SQRT(NORMSDIST(Q$9*SQRT($C$11)*NORMSINV($B214)+SQRT(1-Q$9^2*$C$11)*NORMSINV(P214))*(Q$7-Q$5)*(Q$6-Q$5)),Q$7-SQRT((1-NORMSDIST(Q$9*SQRT($C$11)*NORMSINV($B214)+SQRT(1-Q$9^2*$C$11)*NORMSINV(P214)))*(Q$7-Q$5)*(Q$7-Q$6))))</f>
        <v>0.100558830899352</v>
      </c>
      <c r="R214" s="2" t="n">
        <v>0.181171265</v>
      </c>
      <c r="S214" s="2" t="n">
        <f aca="false">IF(S$7=S$5,S$6,IF(NORMSDIST(S$9*SQRT($C$11)*NORMSINV($B214)+SQRT(1-S$9^2*$C$11)*NORMSINV(R214))&lt;S$8,S$5+SQRT(NORMSDIST(S$9*SQRT($C$11)*NORMSINV($B214)+SQRT(1-S$9^2*$C$11)*NORMSINV(R214))*(S$7-S$5)*(S$6-S$5)),S$7-SQRT((1-NORMSDIST(S$9*SQRT($C$11)*NORMSINV($B214)+SQRT(1-S$9^2*$C$11)*NORMSINV(R214)))*(S$7-S$5)*(S$7-S$6))))</f>
        <v>0.11955428971951</v>
      </c>
      <c r="T214" s="2" t="n">
        <v>0.88998079</v>
      </c>
      <c r="U214" s="2" t="n">
        <f aca="false">IF(U$7=U$5,U$6,IF(NORMSDIST(U$9*SQRT($C$11)*NORMSINV($B214)+SQRT(1-U$9^2*$C$11)*NORMSINV(T214))&lt;U$8,U$5+SQRT(NORMSDIST(U$9*SQRT($C$11)*NORMSINV($B214)+SQRT(1-U$9^2*$C$11)*NORMSINV(T214))*(U$7-U$5)*(U$6-U$5)),U$7-SQRT((1-NORMSDIST(U$9*SQRT($C$11)*NORMSINV($B214)+SQRT(1-U$9^2*$C$11)*NORMSINV(T214)))*(U$7-U$5)*(U$7-U$6))))</f>
        <v>0.448710002977904</v>
      </c>
      <c r="V214" s="2" t="n">
        <v>0.002212571</v>
      </c>
      <c r="W214" s="2" t="n">
        <f aca="false">IF(W$7=W$5,W$6,IF(NORMSDIST(W$9*SQRT($C$11)*NORMSINV($B214)+SQRT(1-W$9^2*$C$11)*NORMSINV(V214))&lt;W$8,W$5+SQRT(NORMSDIST(W$9*SQRT($C$11)*NORMSINV($B214)+SQRT(1-W$9^2*$C$11)*NORMSINV(V214))*(W$7-W$5)*(W$6-W$5)),W$7-SQRT((1-NORMSDIST(W$9*SQRT($C$11)*NORMSINV($B214)+SQRT(1-W$9^2*$C$11)*NORMSINV(V214)))*(W$7-W$5)*(W$7-W$6))))</f>
        <v>8.05182117298989</v>
      </c>
      <c r="X214" s="2" t="n">
        <v>0.855243987</v>
      </c>
      <c r="Y214" s="2" t="n">
        <f aca="false">IF(Y$7=Y$5,Y$6,IF(NORMSDIST(Y$9*SQRT($C$11)*NORMSINV($B214)+SQRT(1-Y$9^2*$C$11)*NORMSINV(X214))&lt;Y$8,Y$5+SQRT(NORMSDIST(Y$9*SQRT($C$11)*NORMSINV($B214)+SQRT(1-Y$9^2*$C$11)*NORMSINV(X214))*(Y$7-Y$5)*(Y$6-Y$5)),Y$7-SQRT((1-NORMSDIST(Y$9*SQRT($C$11)*NORMSINV($B214)+SQRT(1-Y$9^2*$C$11)*NORMSINV(X214)))*(Y$7-Y$5)*(Y$7-Y$6))))</f>
        <v>0.730968391262291</v>
      </c>
      <c r="Z214" s="2" t="n">
        <v>0.526494727</v>
      </c>
      <c r="AA214" s="2" t="n">
        <f aca="false">IF(AA$7=AA$5,AA$6,IF(NORMSDIST(AA$9*SQRT($C$11)*NORMSINV($B214)+SQRT(1-AA$9^2*$C$11)*NORMSINV(Z214))&lt;AA$8,AA$5+SQRT(NORMSDIST(AA$9*SQRT($C$11)*NORMSINV($B214)+SQRT(1-AA$9^2*$C$11)*NORMSINV(Z214))*(AA$7-AA$5)*(AA$6-AA$5)),AA$7-SQRT((1-NORMSDIST(AA$9*SQRT($C$11)*NORMSINV($B214)+SQRT(1-AA$9^2*$C$11)*NORMSINV(Z214)))*(AA$7-AA$5)*(AA$7-AA$6))))</f>
        <v>0.711758527669656</v>
      </c>
      <c r="AB214" s="2" t="n">
        <v>0.274856485</v>
      </c>
      <c r="AC214" s="2" t="n">
        <f aca="false">IF(AC$7=AC$5,AC$6,IF(NORMSDIST(AC$9*SQRT($C$11)*NORMSINV($B214)+SQRT(1-AC$9^2*$C$11)*NORMSINV(AB214))&lt;AC$8,AC$5+SQRT(NORMSDIST(AC$9*SQRT($C$11)*NORMSINV($B214)+SQRT(1-AC$9^2*$C$11)*NORMSINV(AB214))*(AC$7-AC$5)*(AC$6-AC$5)),AC$7-SQRT((1-NORMSDIST(AC$9*SQRT($C$11)*NORMSINV($B214)+SQRT(1-AC$9^2*$C$11)*NORMSINV(AB214)))*(AC$7-AC$5)*(AC$7-AC$6))))</f>
        <v>8.04721234681915</v>
      </c>
      <c r="AD214" s="2" t="n">
        <f aca="false">Entrées!$C$8*(1+E214)</f>
        <v>7434.09025839988</v>
      </c>
      <c r="AE214" s="2" t="n">
        <f aca="false">I214*Hypothèses!$J$24/12/Hypothèses!$J$19</f>
        <v>92.0528214959002</v>
      </c>
      <c r="AF214" s="2" t="n">
        <f aca="false">Entrées!$C$36*S214*1000</f>
        <v>59.7771448597551</v>
      </c>
      <c r="AG214" s="2" t="n">
        <f aca="false">-AF214/W214</f>
        <v>-7.42405271744976</v>
      </c>
      <c r="AH214" s="2" t="n">
        <f aca="false">AD214+AE214+AG214</f>
        <v>7518.71902717833</v>
      </c>
      <c r="AI214" s="2" t="n">
        <f aca="false">Entrées!$C$16-M214+Hypothèses!$J$22*1000-AF214+Hypothèses!$J$23</f>
        <v>23006.690149936</v>
      </c>
      <c r="AJ214" s="2" t="n">
        <f aca="false">AI214/AH214</f>
        <v>3.05992151944665</v>
      </c>
      <c r="AK214" s="2" t="n">
        <f aca="false">AI214/(AH214+I214*(12-Hypothèses!$J$24)/12/Hypothèses!$J$19)</f>
        <v>3.03339415773598</v>
      </c>
      <c r="AL214" s="2" t="n">
        <f aca="false">(AD214+AG214+I214/Hypothèses!$J$19)*(1+G214)</f>
        <v>8007.65525226236</v>
      </c>
      <c r="AM214" s="2" t="n">
        <f aca="false">Entrées!$C$54*K214/Hypothèses!$J$19</f>
        <v>14.1678117070883</v>
      </c>
      <c r="AN214" s="2" t="n">
        <f aca="false">Y214*1000/AC214</f>
        <v>90.8349823217009</v>
      </c>
      <c r="AO214" s="2" t="n">
        <f aca="false">(Entrées!$C$36*(1-S214)+MAX(0,Entrées!$C$30-Entrées!$C$35-Entrées!$C$36)*U214)*1000</f>
        <v>1068.41685930931</v>
      </c>
      <c r="AP214" s="2" t="n">
        <f aca="false">-AO214/W214</f>
        <v>-132.692571823795</v>
      </c>
      <c r="AQ214" s="2" t="n">
        <f aca="false">AL214+AM214+AN214+AP214</f>
        <v>7979.96547446736</v>
      </c>
      <c r="AR214" s="2" t="n">
        <f aca="false">O214*AQ214-Hypothèses!$J$25/Hypothèses!$J$19</f>
        <v>1221.13837971895</v>
      </c>
      <c r="AS214" s="2" t="n">
        <f aca="false">Entrées!$C$79*(1+Q214)+Hypothèses!$J$20</f>
        <v>1504.51415515839</v>
      </c>
      <c r="AT214" s="2" t="n">
        <f aca="false">AI214-AR214+AS214+Y214*1000-AO214+Hypothèses!$J$23</f>
        <v>22952.6174573284</v>
      </c>
      <c r="AU214" s="2" t="n">
        <f aca="false">AT214/AQ214</f>
        <v>2.87628029604482</v>
      </c>
      <c r="AV214" s="2" t="n">
        <f aca="false">Hypothèses!$J$26*AQ214-AT214</f>
        <v>987.278966073689</v>
      </c>
      <c r="AW214" s="2" t="n">
        <f aca="false">IF(AC214&gt;Hypothèses!$J$26,MAX(0,AV214)/(1-Hypothèses!$J$26/AC214),0)</f>
        <v>1574.10525644914</v>
      </c>
      <c r="AX214" s="2" t="n">
        <f aca="false">AQ214-Entrées!$C$17*1000</f>
        <v>-20.0345255326447</v>
      </c>
      <c r="AY214" s="2" t="n">
        <f aca="false">AI214+(Entrées!$C$244-Entrées!$C$13)</f>
        <v>28753.690149936</v>
      </c>
      <c r="AZ214" s="2" t="n">
        <f aca="false">AA214*AH214</f>
        <v>5351.51238474628</v>
      </c>
      <c r="BA214" s="2" t="n">
        <f aca="false">AZ214/AY214</f>
        <v>0.186115672695951</v>
      </c>
      <c r="BB214" s="2" t="n">
        <f aca="false">AZ214/(Entrées!$C$151/100)-AY214</f>
        <v>976.934209765605</v>
      </c>
      <c r="BC214" s="2" t="n">
        <f aca="false">AT214+(Entrées!$C$244-Entrées!$C$13)</f>
        <v>28699.6174573284</v>
      </c>
      <c r="BD214" s="2" t="n">
        <f aca="false">AA214*AQ214</f>
        <v>5679.80847696158</v>
      </c>
      <c r="BE214" s="2" t="n">
        <f aca="false">BD214/BC214</f>
        <v>0.197905372272175</v>
      </c>
      <c r="BF214" s="2" t="n">
        <f aca="false">BD214/(Entrées!$C$151/100)-BC214</f>
        <v>2854.87408134704</v>
      </c>
      <c r="BG214" s="2" t="n">
        <f aca="false">MIN(AV214,BF214)</f>
        <v>987.278966073689</v>
      </c>
      <c r="BH214" s="2" t="n">
        <f aca="false">IF(AC214&gt;Hypothèses!$J$26,MAX(0,BG214)/(1-Hypothèses!$J$26/AC214),0)</f>
        <v>1574.10525644914</v>
      </c>
    </row>
    <row r="215" customFormat="false" ht="15" hidden="false" customHeight="false" outlineLevel="0" collapsed="false">
      <c r="A215" s="2" t="n">
        <v>200</v>
      </c>
      <c r="B215" s="2" t="n">
        <v>0.918039498</v>
      </c>
      <c r="C215" s="2"/>
      <c r="D215" s="2" t="n">
        <v>0.028486009</v>
      </c>
      <c r="E215" s="2" t="n">
        <f aca="false">IF(E$7=E$5,E$6,IF(NORMSDIST(E$9*SQRT($C$11)*NORMSINV($B215)+SQRT(1-E$9^2*$C$11)*NORMSINV(D215))&lt;E$8,E$5+SQRT(NORMSDIST(E$9*SQRT($C$11)*NORMSINV($B215)+SQRT(1-E$9^2*$C$11)*NORMSINV(D215))*(E$7-E$5)*(E$6-E$5)),E$7-SQRT((1-NORMSDIST(E$9*SQRT($C$11)*NORMSINV($B215)+SQRT(1-E$9^2*$C$11)*NORMSINV(D215)))*(E$7-E$5)*(E$7-E$6))))</f>
        <v>0.0537163702035268</v>
      </c>
      <c r="F215" s="2" t="n">
        <v>0.548768436</v>
      </c>
      <c r="G215" s="2" t="n">
        <f aca="false">IF(G$7=G$5,G$6,IF(NORMSDIST(G$9*SQRT($C$11)*NORMSINV($B215)+SQRT(1-G$9^2*$C$11)*NORMSINV(F215))&lt;G$8,G$5+SQRT(NORMSDIST(G$9*SQRT($C$11)*NORMSINV($B215)+SQRT(1-G$9^2*$C$11)*NORMSINV(F215))*(G$7-G$5)*(G$6-G$5)),G$7-SQRT((1-NORMSDIST(G$9*SQRT($C$11)*NORMSINV($B215)+SQRT(1-G$9^2*$C$11)*NORMSINV(F215)))*(G$7-G$5)*(G$7-G$6))))</f>
        <v>0.0613908960018525</v>
      </c>
      <c r="H215" s="2" t="n">
        <v>0.460915889</v>
      </c>
      <c r="I215" s="2" t="n">
        <f aca="false">IF(I$7=I$5,I$6,IF(NORMSDIST(I$9*SQRT($C$11)*NORMSINV($B215)+SQRT(1-I$9^2*$C$11)*NORMSINV(H215))&lt;I$8,I$5+SQRT(NORMSDIST(I$9*SQRT($C$11)*NORMSINV($B215)+SQRT(1-I$9^2*$C$11)*NORMSINV(H215))*(I$7-I$5)*(I$6-I$5)),I$7-SQRT((1-NORMSDIST(I$9*SQRT($C$11)*NORMSINV($B215)+SQRT(1-I$9^2*$C$11)*NORMSINV(H215)))*(I$7-I$5)*(I$7-I$6))))</f>
        <v>207.020294516576</v>
      </c>
      <c r="J215" s="2" t="n">
        <v>0.290794138</v>
      </c>
      <c r="K215" s="2" t="n">
        <f aca="false">IF(K$7=K$5,K$6,IF(NORMSDIST(K$9*SQRT($C$11)*NORMSINV($B215)+SQRT(1-K$9^2*$C$11)*NORMSINV(J215))&lt;K$8,K$5+SQRT(NORMSDIST(K$9*SQRT($C$11)*NORMSINV($B215)+SQRT(1-K$9^2*$C$11)*NORMSINV(J215))*(K$7-K$5)*(K$6-K$5)),K$7-SQRT((1-NORMSDIST(K$9*SQRT($C$11)*NORMSINV($B215)+SQRT(1-K$9^2*$C$11)*NORMSINV(J215)))*(K$7-K$5)*(K$7-K$6))))</f>
        <v>0.298417302440097</v>
      </c>
      <c r="L215" s="2" t="n">
        <v>0.474201444</v>
      </c>
      <c r="M215" s="2" t="n">
        <f aca="false">IF(M$7=M$5,M$6,IF(NORMSDIST(M$9*SQRT($C$11)*NORMSINV($B215)+SQRT(1-M$9^2*$C$11)*NORMSINV(L215))&lt;M$8,M$5+SQRT(NORMSDIST(M$9*SQRT($C$11)*NORMSINV($B215)+SQRT(1-M$9^2*$C$11)*NORMSINV(L215))*(M$7-M$5)*(M$6-M$5)),M$7-SQRT((1-NORMSDIST(M$9*SQRT($C$11)*NORMSINV($B215)+SQRT(1-M$9^2*$C$11)*NORMSINV(L215)))*(M$7-M$5)*(M$7-M$6))))</f>
        <v>1664.71358662594</v>
      </c>
      <c r="N215" s="2" t="n">
        <v>0.648932058</v>
      </c>
      <c r="O215" s="2" t="n">
        <f aca="false">IF(O$7=O$5,O$6,IF(NORMSDIST(O$9*SQRT($C$11)*NORMSINV($B215)+SQRT(1-O$9^2*$C$11)*NORMSINV(N215))&lt;O$8,O$5+SQRT(NORMSDIST(O$9*SQRT($C$11)*NORMSINV($B215)+SQRT(1-O$9^2*$C$11)*NORMSINV(N215))*(O$7-O$5)*(O$6-O$5)),O$7-SQRT((1-NORMSDIST(O$9*SQRT($C$11)*NORMSINV($B215)+SQRT(1-O$9^2*$C$11)*NORMSINV(N215)))*(O$7-O$5)*(O$7-O$6))))</f>
        <v>0.178709525669709</v>
      </c>
      <c r="P215" s="2" t="n">
        <v>0.802394302</v>
      </c>
      <c r="Q215" s="2" t="n">
        <f aca="false">IF(Q$7=Q$5,Q$6,IF(NORMSDIST(Q$9*SQRT($C$11)*NORMSINV($B215)+SQRT(1-Q$9^2*$C$11)*NORMSINV(P215))&lt;Q$8,Q$5+SQRT(NORMSDIST(Q$9*SQRT($C$11)*NORMSINV($B215)+SQRT(1-Q$9^2*$C$11)*NORMSINV(P215))*(Q$7-Q$5)*(Q$6-Q$5)),Q$7-SQRT((1-NORMSDIST(Q$9*SQRT($C$11)*NORMSINV($B215)+SQRT(1-Q$9^2*$C$11)*NORMSINV(P215)))*(Q$7-Q$5)*(Q$7-Q$6))))</f>
        <v>0.094853663614753</v>
      </c>
      <c r="R215" s="2" t="n">
        <v>0.922478008</v>
      </c>
      <c r="S215" s="2" t="n">
        <f aca="false">IF(S$7=S$5,S$6,IF(NORMSDIST(S$9*SQRT($C$11)*NORMSINV($B215)+SQRT(1-S$9^2*$C$11)*NORMSINV(R215))&lt;S$8,S$5+SQRT(NORMSDIST(S$9*SQRT($C$11)*NORMSINV($B215)+SQRT(1-S$9^2*$C$11)*NORMSINV(R215))*(S$7-S$5)*(S$6-S$5)),S$7-SQRT((1-NORMSDIST(S$9*SQRT($C$11)*NORMSINV($B215)+SQRT(1-S$9^2*$C$11)*NORMSINV(R215)))*(S$7-S$5)*(S$7-S$6))))</f>
        <v>0.891026962350855</v>
      </c>
      <c r="T215" s="2" t="n">
        <v>0.487405496</v>
      </c>
      <c r="U215" s="2" t="n">
        <f aca="false">IF(U$7=U$5,U$6,IF(NORMSDIST(U$9*SQRT($C$11)*NORMSINV($B215)+SQRT(1-U$9^2*$C$11)*NORMSINV(T215))&lt;U$8,U$5+SQRT(NORMSDIST(U$9*SQRT($C$11)*NORMSINV($B215)+SQRT(1-U$9^2*$C$11)*NORMSINV(T215))*(U$7-U$5)*(U$6-U$5)),U$7-SQRT((1-NORMSDIST(U$9*SQRT($C$11)*NORMSINV($B215)+SQRT(1-U$9^2*$C$11)*NORMSINV(T215)))*(U$7-U$5)*(U$7-U$6))))</f>
        <v>0.68693439255073</v>
      </c>
      <c r="V215" s="2" t="n">
        <v>0.545932662</v>
      </c>
      <c r="W215" s="2" t="n">
        <f aca="false">IF(W$7=W$5,W$6,IF(NORMSDIST(W$9*SQRT($C$11)*NORMSINV($B215)+SQRT(1-W$9^2*$C$11)*NORMSINV(V215))&lt;W$8,W$5+SQRT(NORMSDIST(W$9*SQRT($C$11)*NORMSINV($B215)+SQRT(1-W$9^2*$C$11)*NORMSINV(V215))*(W$7-W$5)*(W$6-W$5)),W$7-SQRT((1-NORMSDIST(W$9*SQRT($C$11)*NORMSINV($B215)+SQRT(1-W$9^2*$C$11)*NORMSINV(V215)))*(W$7-W$5)*(W$7-W$6))))</f>
        <v>10.8473254935078</v>
      </c>
      <c r="X215" s="2" t="n">
        <v>0.093307848</v>
      </c>
      <c r="Y215" s="2" t="n">
        <f aca="false">IF(Y$7=Y$5,Y$6,IF(NORMSDIST(Y$9*SQRT($C$11)*NORMSINV($B215)+SQRT(1-Y$9^2*$C$11)*NORMSINV(X215))&lt;Y$8,Y$5+SQRT(NORMSDIST(Y$9*SQRT($C$11)*NORMSINV($B215)+SQRT(1-Y$9^2*$C$11)*NORMSINV(X215))*(Y$7-Y$5)*(Y$6-Y$5)),Y$7-SQRT((1-NORMSDIST(Y$9*SQRT($C$11)*NORMSINV($B215)+SQRT(1-Y$9^2*$C$11)*NORMSINV(X215)))*(Y$7-Y$5)*(Y$7-Y$6))))</f>
        <v>0.215995194390986</v>
      </c>
      <c r="Z215" s="2" t="n">
        <v>0.262526922</v>
      </c>
      <c r="AA215" s="2" t="n">
        <f aca="false">IF(AA$7=AA$5,AA$6,IF(NORMSDIST(AA$9*SQRT($C$11)*NORMSINV($B215)+SQRT(1-AA$9^2*$C$11)*NORMSINV(Z215))&lt;AA$8,AA$5+SQRT(NORMSDIST(AA$9*SQRT($C$11)*NORMSINV($B215)+SQRT(1-AA$9^2*$C$11)*NORMSINV(Z215))*(AA$7-AA$5)*(AA$6-AA$5)),AA$7-SQRT((1-NORMSDIST(AA$9*SQRT($C$11)*NORMSINV($B215)+SQRT(1-AA$9^2*$C$11)*NORMSINV(Z215)))*(AA$7-AA$5)*(AA$7-AA$6))))</f>
        <v>0.732690268394829</v>
      </c>
      <c r="AB215" s="2" t="n">
        <v>0.858766569</v>
      </c>
      <c r="AC215" s="2" t="n">
        <f aca="false">IF(AC$7=AC$5,AC$6,IF(NORMSDIST(AC$9*SQRT($C$11)*NORMSINV($B215)+SQRT(1-AC$9^2*$C$11)*NORMSINV(AB215))&lt;AC$8,AC$5+SQRT(NORMSDIST(AC$9*SQRT($C$11)*NORMSINV($B215)+SQRT(1-AC$9^2*$C$11)*NORMSINV(AB215))*(AC$7-AC$5)*(AC$6-AC$5)),AC$7-SQRT((1-NORMSDIST(AC$9*SQRT($C$11)*NORMSINV($B215)+SQRT(1-AC$9^2*$C$11)*NORMSINV(AB215)))*(AC$7-AC$5)*(AC$7-AC$6))))</f>
        <v>10.5671794350802</v>
      </c>
      <c r="AD215" s="2" t="n">
        <f aca="false">Entrées!$C$8*(1+E215)</f>
        <v>7428.70040993486</v>
      </c>
      <c r="AE215" s="2" t="n">
        <f aca="false">I215*Hypothèses!$J$24/12/Hypothèses!$J$19</f>
        <v>102.702105515444</v>
      </c>
      <c r="AF215" s="2" t="n">
        <f aca="false">Entrées!$C$36*S215*1000</f>
        <v>445.513481175428</v>
      </c>
      <c r="AG215" s="2" t="n">
        <f aca="false">-AF215/W215</f>
        <v>-41.0712743378146</v>
      </c>
      <c r="AH215" s="2" t="n">
        <f aca="false">AD215+AE215+AG215</f>
        <v>7490.33124111249</v>
      </c>
      <c r="AI215" s="2" t="n">
        <f aca="false">Entrées!$C$16-M215+Hypothèses!$J$22*1000-AF215+Hypothèses!$J$23</f>
        <v>22437.7729321986</v>
      </c>
      <c r="AJ215" s="2" t="n">
        <f aca="false">AI215/AH215</f>
        <v>2.99556484352034</v>
      </c>
      <c r="AK215" s="2" t="n">
        <f aca="false">AI215/(AH215+I215*(12-Hypothèses!$J$24)/12/Hypothèses!$J$19)</f>
        <v>2.96651148641961</v>
      </c>
      <c r="AL215" s="2" t="n">
        <f aca="false">(AD215+AG215+I215/Hypothèses!$J$19)*(1+G215)</f>
        <v>8028.03158720814</v>
      </c>
      <c r="AM215" s="2" t="n">
        <f aca="false">Entrées!$C$54*K215/Hypothèses!$J$19</f>
        <v>30.4547386872958</v>
      </c>
      <c r="AN215" s="2" t="n">
        <f aca="false">Y215*1000/AC215</f>
        <v>20.4401936881984</v>
      </c>
      <c r="AO215" s="2" t="n">
        <f aca="false">(Entrées!$C$36*(1-S215)+MAX(0,Entrées!$C$30-Entrées!$C$35-Entrées!$C$36)*U215)*1000</f>
        <v>1016.19466839559</v>
      </c>
      <c r="AP215" s="2" t="n">
        <f aca="false">-AO215/W215</f>
        <v>-93.6815871344321</v>
      </c>
      <c r="AQ215" s="2" t="n">
        <f aca="false">AL215+AM215+AN215+AP215</f>
        <v>7985.2449324492</v>
      </c>
      <c r="AR215" s="2" t="n">
        <f aca="false">O215*AQ215-Hypothèses!$J$25/Hypothèses!$J$19</f>
        <v>1407.90417197282</v>
      </c>
      <c r="AS215" s="2" t="n">
        <f aca="false">Entrées!$C$79*(1+Q215)+Hypothèses!$J$20</f>
        <v>1498.24417631261</v>
      </c>
      <c r="AT215" s="2" t="n">
        <f aca="false">AI215-AR215+AS215+Y215*1000-AO215+Hypothèses!$J$23</f>
        <v>21727.9134625338</v>
      </c>
      <c r="AU215" s="2" t="n">
        <f aca="false">AT215/AQ215</f>
        <v>2.72100776448814</v>
      </c>
      <c r="AV215" s="2" t="n">
        <f aca="false">Hypothèses!$J$26*AQ215-AT215</f>
        <v>2227.82133481379</v>
      </c>
      <c r="AW215" s="2" t="n">
        <f aca="false">IF(AC215&gt;Hypothèses!$J$26,MAX(0,AV215)/(1-Hypothèses!$J$26/AC215),0)</f>
        <v>3111.038663249</v>
      </c>
      <c r="AX215" s="2" t="n">
        <f aca="false">AQ215-Entrées!$C$17*1000</f>
        <v>-14.7550675507982</v>
      </c>
      <c r="AY215" s="2" t="n">
        <f aca="false">AI215+(Entrées!$C$244-Entrées!$C$13)</f>
        <v>28184.7729321986</v>
      </c>
      <c r="AZ215" s="2" t="n">
        <f aca="false">AA215*AH215</f>
        <v>5488.09280741689</v>
      </c>
      <c r="BA215" s="2" t="n">
        <f aca="false">AZ215/AY215</f>
        <v>0.194718361599686</v>
      </c>
      <c r="BB215" s="2" t="n">
        <f aca="false">AZ215/(Entrées!$C$151/100)-AY215</f>
        <v>2304.63155345075</v>
      </c>
      <c r="BC215" s="2" t="n">
        <f aca="false">AT215+(Entrées!$C$244-Entrées!$C$13)</f>
        <v>27474.9134625338</v>
      </c>
      <c r="BD215" s="2" t="n">
        <f aca="false">AA215*AQ215</f>
        <v>5850.71125275466</v>
      </c>
      <c r="BE215" s="2" t="n">
        <f aca="false">BD215/BC215</f>
        <v>0.212947395111289</v>
      </c>
      <c r="BF215" s="2" t="n">
        <f aca="false">BD215/(Entrées!$C$151/100)-BC215</f>
        <v>5029.03794165872</v>
      </c>
      <c r="BG215" s="2" t="n">
        <f aca="false">MIN(AV215,BF215)</f>
        <v>2227.82133481379</v>
      </c>
      <c r="BH215" s="2" t="n">
        <f aca="false">IF(AC215&gt;Hypothèses!$J$26,MAX(0,BG215)/(1-Hypothèses!$J$26/AC215),0)</f>
        <v>3111.038663249</v>
      </c>
    </row>
    <row r="216" customFormat="false" ht="15" hidden="false" customHeight="false" outlineLevel="0" collapsed="false">
      <c r="A216" s="2" t="n">
        <v>201</v>
      </c>
      <c r="B216" s="2" t="n">
        <v>0.419096433</v>
      </c>
      <c r="C216" s="2"/>
      <c r="D216" s="2" t="n">
        <v>0.813017716</v>
      </c>
      <c r="E216" s="2" t="n">
        <f aca="false">IF(E$7=E$5,E$6,IF(NORMSDIST(E$9*SQRT($C$11)*NORMSINV($B216)+SQRT(1-E$9^2*$C$11)*NORMSINV(D216))&lt;E$8,E$5+SQRT(NORMSDIST(E$9*SQRT($C$11)*NORMSINV($B216)+SQRT(1-E$9^2*$C$11)*NORMSINV(D216))*(E$7-E$5)*(E$6-E$5)),E$7-SQRT((1-NORMSDIST(E$9*SQRT($C$11)*NORMSINV($B216)+SQRT(1-E$9^2*$C$11)*NORMSINV(D216)))*(E$7-E$5)*(E$7-E$6))))</f>
        <v>0.0562059052594801</v>
      </c>
      <c r="F216" s="2" t="n">
        <v>0.094164644</v>
      </c>
      <c r="G216" s="2" t="n">
        <f aca="false">IF(G$7=G$5,G$6,IF(NORMSDIST(G$9*SQRT($C$11)*NORMSINV($B216)+SQRT(1-G$9^2*$C$11)*NORMSINV(F216))&lt;G$8,G$5+SQRT(NORMSDIST(G$9*SQRT($C$11)*NORMSINV($B216)+SQRT(1-G$9^2*$C$11)*NORMSINV(F216))*(G$7-G$5)*(G$6-G$5)),G$7-SQRT((1-NORMSDIST(G$9*SQRT($C$11)*NORMSINV($B216)+SQRT(1-G$9^2*$C$11)*NORMSINV(F216)))*(G$7-G$5)*(G$7-G$6))))</f>
        <v>0.0475135133297112</v>
      </c>
      <c r="H216" s="2" t="n">
        <v>0.142074236</v>
      </c>
      <c r="I216" s="2" t="n">
        <f aca="false">IF(I$7=I$5,I$6,IF(NORMSDIST(I$9*SQRT($C$11)*NORMSINV($B216)+SQRT(1-I$9^2*$C$11)*NORMSINV(H216))&lt;I$8,I$5+SQRT(NORMSDIST(I$9*SQRT($C$11)*NORMSINV($B216)+SQRT(1-I$9^2*$C$11)*NORMSINV(H216))*(I$7-I$5)*(I$6-I$5)),I$7-SQRT((1-NORMSDIST(I$9*SQRT($C$11)*NORMSINV($B216)+SQRT(1-I$9^2*$C$11)*NORMSINV(H216)))*(I$7-I$5)*(I$7-I$6))))</f>
        <v>191.621868167753</v>
      </c>
      <c r="J216" s="2" t="n">
        <v>0.528147525</v>
      </c>
      <c r="K216" s="2" t="n">
        <f aca="false">IF(K$7=K$5,K$6,IF(NORMSDIST(K$9*SQRT($C$11)*NORMSINV($B216)+SQRT(1-K$9^2*$C$11)*NORMSINV(J216))&lt;K$8,K$5+SQRT(NORMSDIST(K$9*SQRT($C$11)*NORMSINV($B216)+SQRT(1-K$9^2*$C$11)*NORMSINV(J216))*(K$7-K$5)*(K$6-K$5)),K$7-SQRT((1-NORMSDIST(K$9*SQRT($C$11)*NORMSINV($B216)+SQRT(1-K$9^2*$C$11)*NORMSINV(J216)))*(K$7-K$5)*(K$7-K$6))))</f>
        <v>0.24246771695109</v>
      </c>
      <c r="L216" s="2" t="n">
        <v>0.812848908</v>
      </c>
      <c r="M216" s="2" t="n">
        <f aca="false">IF(M$7=M$5,M$6,IF(NORMSDIST(M$9*SQRT($C$11)*NORMSINV($B216)+SQRT(1-M$9^2*$C$11)*NORMSINV(L216))&lt;M$8,M$5+SQRT(NORMSDIST(M$9*SQRT($C$11)*NORMSINV($B216)+SQRT(1-M$9^2*$C$11)*NORMSINV(L216))*(M$7-M$5)*(M$6-M$5)),M$7-SQRT((1-NORMSDIST(M$9*SQRT($C$11)*NORMSINV($B216)+SQRT(1-M$9^2*$C$11)*NORMSINV(L216)))*(M$7-M$5)*(M$7-M$6))))</f>
        <v>1640.46368368988</v>
      </c>
      <c r="N216" s="2" t="n">
        <v>0.661048254</v>
      </c>
      <c r="O216" s="2" t="n">
        <f aca="false">IF(O$7=O$5,O$6,IF(NORMSDIST(O$9*SQRT($C$11)*NORMSINV($B216)+SQRT(1-O$9^2*$C$11)*NORMSINV(N216))&lt;O$8,O$5+SQRT(NORMSDIST(O$9*SQRT($C$11)*NORMSINV($B216)+SQRT(1-O$9^2*$C$11)*NORMSINV(N216))*(O$7-O$5)*(O$6-O$5)),O$7-SQRT((1-NORMSDIST(O$9*SQRT($C$11)*NORMSINV($B216)+SQRT(1-O$9^2*$C$11)*NORMSINV(N216)))*(O$7-O$5)*(O$7-O$6))))</f>
        <v>0.168756963614148</v>
      </c>
      <c r="P216" s="2" t="n">
        <v>0.003513463</v>
      </c>
      <c r="Q216" s="2" t="n">
        <f aca="false">IF(Q$7=Q$5,Q$6,IF(NORMSDIST(Q$9*SQRT($C$11)*NORMSINV($B216)+SQRT(1-Q$9^2*$C$11)*NORMSINV(P216))&lt;Q$8,Q$5+SQRT(NORMSDIST(Q$9*SQRT($C$11)*NORMSINV($B216)+SQRT(1-Q$9^2*$C$11)*NORMSINV(P216))*(Q$7-Q$5)*(Q$6-Q$5)),Q$7-SQRT((1-NORMSDIST(Q$9*SQRT($C$11)*NORMSINV($B216)+SQRT(1-Q$9^2*$C$11)*NORMSINV(P216)))*(Q$7-Q$5)*(Q$7-Q$6))))</f>
        <v>0.0433530704734616</v>
      </c>
      <c r="R216" s="2" t="n">
        <v>0.926722745</v>
      </c>
      <c r="S216" s="2" t="n">
        <f aca="false">IF(S$7=S$5,S$6,IF(NORMSDIST(S$9*SQRT($C$11)*NORMSINV($B216)+SQRT(1-S$9^2*$C$11)*NORMSINV(R216))&lt;S$8,S$5+SQRT(NORMSDIST(S$9*SQRT($C$11)*NORMSINV($B216)+SQRT(1-S$9^2*$C$11)*NORMSINV(R216))*(S$7-S$5)*(S$6-S$5)),S$7-SQRT((1-NORMSDIST(S$9*SQRT($C$11)*NORMSINV($B216)+SQRT(1-S$9^2*$C$11)*NORMSINV(R216)))*(S$7-S$5)*(S$7-S$6))))</f>
        <v>0.717363330459568</v>
      </c>
      <c r="T216" s="2" t="n">
        <v>0.134950656</v>
      </c>
      <c r="U216" s="2" t="n">
        <f aca="false">IF(U$7=U$5,U$6,IF(NORMSDIST(U$9*SQRT($C$11)*NORMSINV($B216)+SQRT(1-U$9^2*$C$11)*NORMSINV(T216))&lt;U$8,U$5+SQRT(NORMSDIST(U$9*SQRT($C$11)*NORMSINV($B216)+SQRT(1-U$9^2*$C$11)*NORMSINV(T216))*(U$7-U$5)*(U$6-U$5)),U$7-SQRT((1-NORMSDIST(U$9*SQRT($C$11)*NORMSINV($B216)+SQRT(1-U$9^2*$C$11)*NORMSINV(T216)))*(U$7-U$5)*(U$7-U$6))))</f>
        <v>0.285147200591211</v>
      </c>
      <c r="V216" s="2" t="n">
        <v>0.388545225</v>
      </c>
      <c r="W216" s="2" t="n">
        <f aca="false">IF(W$7=W$5,W$6,IF(NORMSDIST(W$9*SQRT($C$11)*NORMSINV($B216)+SQRT(1-W$9^2*$C$11)*NORMSINV(V216))&lt;W$8,W$5+SQRT(NORMSDIST(W$9*SQRT($C$11)*NORMSINV($B216)+SQRT(1-W$9^2*$C$11)*NORMSINV(V216))*(W$7-W$5)*(W$6-W$5)),W$7-SQRT((1-NORMSDIST(W$9*SQRT($C$11)*NORMSINV($B216)+SQRT(1-W$9^2*$C$11)*NORMSINV(V216)))*(W$7-W$5)*(W$7-W$6))))</f>
        <v>9.70587566135646</v>
      </c>
      <c r="X216" s="2" t="n">
        <v>0.928218903</v>
      </c>
      <c r="Y216" s="2" t="n">
        <f aca="false">IF(Y$7=Y$5,Y$6,IF(NORMSDIST(Y$9*SQRT($C$11)*NORMSINV($B216)+SQRT(1-Y$9^2*$C$11)*NORMSINV(X216))&lt;Y$8,Y$5+SQRT(NORMSDIST(Y$9*SQRT($C$11)*NORMSINV($B216)+SQRT(1-Y$9^2*$C$11)*NORMSINV(X216))*(Y$7-Y$5)*(Y$6-Y$5)),Y$7-SQRT((1-NORMSDIST(Y$9*SQRT($C$11)*NORMSINV($B216)+SQRT(1-Y$9^2*$C$11)*NORMSINV(X216)))*(Y$7-Y$5)*(Y$7-Y$6))))</f>
        <v>0.81055198998142</v>
      </c>
      <c r="Z216" s="2" t="n">
        <v>0.694190198</v>
      </c>
      <c r="AA216" s="2" t="n">
        <f aca="false">IF(AA$7=AA$5,AA$6,IF(NORMSDIST(AA$9*SQRT($C$11)*NORMSINV($B216)+SQRT(1-AA$9^2*$C$11)*NORMSINV(Z216))&lt;AA$8,AA$5+SQRT(NORMSDIST(AA$9*SQRT($C$11)*NORMSINV($B216)+SQRT(1-AA$9^2*$C$11)*NORMSINV(Z216))*(AA$7-AA$5)*(AA$6-AA$5)),AA$7-SQRT((1-NORMSDIST(AA$9*SQRT($C$11)*NORMSINV($B216)+SQRT(1-AA$9^2*$C$11)*NORMSINV(Z216)))*(AA$7-AA$5)*(AA$7-AA$6))))</f>
        <v>0.731299950921107</v>
      </c>
      <c r="AB216" s="2" t="n">
        <v>0.481492419</v>
      </c>
      <c r="AC216" s="2" t="n">
        <f aca="false">IF(AC$7=AC$5,AC$6,IF(NORMSDIST(AC$9*SQRT($C$11)*NORMSINV($B216)+SQRT(1-AC$9^2*$C$11)*NORMSINV(AB216))&lt;AC$8,AC$5+SQRT(NORMSDIST(AC$9*SQRT($C$11)*NORMSINV($B216)+SQRT(1-AC$9^2*$C$11)*NORMSINV(AB216))*(AC$7-AC$5)*(AC$6-AC$5)),AC$7-SQRT((1-NORMSDIST(AC$9*SQRT($C$11)*NORMSINV($B216)+SQRT(1-AC$9^2*$C$11)*NORMSINV(AB216)))*(AC$7-AC$5)*(AC$7-AC$6))))</f>
        <v>9.33739583488403</v>
      </c>
      <c r="AD216" s="2" t="n">
        <f aca="false">Entrées!$C$8*(1+E216)</f>
        <v>7446.25163207934</v>
      </c>
      <c r="AE216" s="2" t="n">
        <f aca="false">I216*Hypothèses!$J$24/12/Hypothèses!$J$19</f>
        <v>95.0629954883739</v>
      </c>
      <c r="AF216" s="2" t="n">
        <f aca="false">Entrées!$C$36*S216*1000</f>
        <v>358.681665229784</v>
      </c>
      <c r="AG216" s="2" t="n">
        <f aca="false">-AF216/W216</f>
        <v>-36.9551061382189</v>
      </c>
      <c r="AH216" s="2" t="n">
        <f aca="false">AD216+AE216+AG216</f>
        <v>7504.35952142949</v>
      </c>
      <c r="AI216" s="2" t="n">
        <f aca="false">Entrées!$C$16-M216+Hypothèses!$J$22*1000-AF216+Hypothèses!$J$23</f>
        <v>22548.8546510803</v>
      </c>
      <c r="AJ216" s="2" t="n">
        <f aca="false">AI216/AH216</f>
        <v>3.0047673737765</v>
      </c>
      <c r="AK216" s="2" t="n">
        <f aca="false">AI216/(AH216+I216*(12-Hypothèses!$J$24)/12/Hypothèses!$J$19)</f>
        <v>2.97782296232904</v>
      </c>
      <c r="AL216" s="2" t="n">
        <f aca="false">(AD216+AG216+I216/Hypothèses!$J$19)*(1+G216)</f>
        <v>7932.04641643307</v>
      </c>
      <c r="AM216" s="2" t="n">
        <f aca="false">Entrées!$C$54*K216/Hypothèses!$J$19</f>
        <v>24.7448485710139</v>
      </c>
      <c r="AN216" s="2" t="n">
        <f aca="false">Y216*1000/AC216</f>
        <v>86.8070717269198</v>
      </c>
      <c r="AO216" s="2" t="n">
        <f aca="false">(Entrées!$C$36*(1-S216)+MAX(0,Entrées!$C$30-Entrées!$C$35-Entrées!$C$36)*U216)*1000</f>
        <v>540.524415597911</v>
      </c>
      <c r="AP216" s="2" t="n">
        <f aca="false">-AO216/W216</f>
        <v>-55.6904327293195</v>
      </c>
      <c r="AQ216" s="2" t="n">
        <f aca="false">AL216+AM216+AN216+AP216</f>
        <v>7987.90790400168</v>
      </c>
      <c r="AR216" s="2" t="n">
        <f aca="false">O216*AQ216-Hypothèses!$J$25/Hypothèses!$J$19</f>
        <v>1328.87992124715</v>
      </c>
      <c r="AS216" s="2" t="n">
        <f aca="false">Entrées!$C$79*(1+Q216)+Hypothèses!$J$20</f>
        <v>1441.64502445033</v>
      </c>
      <c r="AT216" s="2" t="n">
        <f aca="false">AI216-AR216+AS216+Y216*1000-AO216+Hypothèses!$J$23</f>
        <v>22931.647328667</v>
      </c>
      <c r="AU216" s="2" t="n">
        <f aca="false">AT216/AQ216</f>
        <v>2.87079515741275</v>
      </c>
      <c r="AV216" s="2" t="n">
        <f aca="false">Hypothèses!$J$26*AQ216-AT216</f>
        <v>1032.07638333802</v>
      </c>
      <c r="AW216" s="2" t="n">
        <f aca="false">IF(AC216&gt;Hypothèses!$J$26,MAX(0,AV216)/(1-Hypothèses!$J$26/AC216),0)</f>
        <v>1520.64128139456</v>
      </c>
      <c r="AX216" s="2" t="n">
        <f aca="false">AQ216-Entrées!$C$17*1000</f>
        <v>-12.0920959983168</v>
      </c>
      <c r="AY216" s="2" t="n">
        <f aca="false">AI216+(Entrées!$C$244-Entrées!$C$13)</f>
        <v>28295.8546510803</v>
      </c>
      <c r="AZ216" s="2" t="n">
        <f aca="false">AA216*AH216</f>
        <v>5487.93774971573</v>
      </c>
      <c r="BA216" s="2" t="n">
        <f aca="false">AZ216/AY216</f>
        <v>0.19394847115905</v>
      </c>
      <c r="BB216" s="2" t="n">
        <f aca="false">AZ216/(Entrées!$C$151/100)-AY216</f>
        <v>2192.68840289593</v>
      </c>
      <c r="BC216" s="2" t="n">
        <f aca="false">AT216+(Entrées!$C$244-Entrées!$C$13)</f>
        <v>28678.647328667</v>
      </c>
      <c r="BD216" s="2" t="n">
        <f aca="false">AA216*AQ216</f>
        <v>5841.55665815875</v>
      </c>
      <c r="BE216" s="2" t="n">
        <f aca="false">BD216/BC216</f>
        <v>0.203690104041956</v>
      </c>
      <c r="BF216" s="2" t="n">
        <f aca="false">BD216/(Entrées!$C$151/100)-BC216</f>
        <v>3774.44521665937</v>
      </c>
      <c r="BG216" s="2" t="n">
        <f aca="false">MIN(AV216,BF216)</f>
        <v>1032.07638333802</v>
      </c>
      <c r="BH216" s="2" t="n">
        <f aca="false">IF(AC216&gt;Hypothèses!$J$26,MAX(0,BG216)/(1-Hypothèses!$J$26/AC216),0)</f>
        <v>1520.64128139456</v>
      </c>
    </row>
    <row r="217" customFormat="false" ht="15" hidden="false" customHeight="false" outlineLevel="0" collapsed="false">
      <c r="A217" s="2" t="n">
        <v>202</v>
      </c>
      <c r="B217" s="2" t="n">
        <v>0.715552087</v>
      </c>
      <c r="C217" s="2"/>
      <c r="D217" s="2" t="n">
        <v>0.694881711</v>
      </c>
      <c r="E217" s="2" t="n">
        <f aca="false">IF(E$7=E$5,E$6,IF(NORMSDIST(E$9*SQRT($C$11)*NORMSINV($B217)+SQRT(1-E$9^2*$C$11)*NORMSINV(D217))&lt;E$8,E$5+SQRT(NORMSDIST(E$9*SQRT($C$11)*NORMSINV($B217)+SQRT(1-E$9^2*$C$11)*NORMSINV(D217))*(E$7-E$5)*(E$6-E$5)),E$7-SQRT((1-NORMSDIST(E$9*SQRT($C$11)*NORMSINV($B217)+SQRT(1-E$9^2*$C$11)*NORMSINV(D217)))*(E$7-E$5)*(E$7-E$6))))</f>
        <v>0.0566452740929594</v>
      </c>
      <c r="F217" s="2" t="n">
        <v>0.170896089</v>
      </c>
      <c r="G217" s="2" t="n">
        <f aca="false">IF(G$7=G$5,G$6,IF(NORMSDIST(G$9*SQRT($C$11)*NORMSINV($B217)+SQRT(1-G$9^2*$C$11)*NORMSINV(F217))&lt;G$8,G$5+SQRT(NORMSDIST(G$9*SQRT($C$11)*NORMSINV($B217)+SQRT(1-G$9^2*$C$11)*NORMSINV(F217))*(G$7-G$5)*(G$6-G$5)),G$7-SQRT((1-NORMSDIST(G$9*SQRT($C$11)*NORMSINV($B217)+SQRT(1-G$9^2*$C$11)*NORMSINV(F217)))*(G$7-G$5)*(G$7-G$6))))</f>
        <v>0.0526113636021932</v>
      </c>
      <c r="H217" s="2" t="n">
        <v>0.505873002</v>
      </c>
      <c r="I217" s="2" t="n">
        <f aca="false">IF(I$7=I$5,I$6,IF(NORMSDIST(I$9*SQRT($C$11)*NORMSINV($B217)+SQRT(1-I$9^2*$C$11)*NORMSINV(H217))&lt;I$8,I$5+SQRT(NORMSDIST(I$9*SQRT($C$11)*NORMSINV($B217)+SQRT(1-I$9^2*$C$11)*NORMSINV(H217))*(I$7-I$5)*(I$6-I$5)),I$7-SQRT((1-NORMSDIST(I$9*SQRT($C$11)*NORMSINV($B217)+SQRT(1-I$9^2*$C$11)*NORMSINV(H217)))*(I$7-I$5)*(I$7-I$6))))</f>
        <v>203.146319900993</v>
      </c>
      <c r="J217" s="2" t="n">
        <v>0.511100512</v>
      </c>
      <c r="K217" s="2" t="n">
        <f aca="false">IF(K$7=K$5,K$6,IF(NORMSDIST(K$9*SQRT($C$11)*NORMSINV($B217)+SQRT(1-K$9^2*$C$11)*NORMSINV(J217))&lt;K$8,K$5+SQRT(NORMSDIST(K$9*SQRT($C$11)*NORMSINV($B217)+SQRT(1-K$9^2*$C$11)*NORMSINV(J217))*(K$7-K$5)*(K$6-K$5)),K$7-SQRT((1-NORMSDIST(K$9*SQRT($C$11)*NORMSINV($B217)+SQRT(1-K$9^2*$C$11)*NORMSINV(J217)))*(K$7-K$5)*(K$7-K$6))))</f>
        <v>0.290451217611451</v>
      </c>
      <c r="L217" s="2" t="n">
        <v>0.905960839</v>
      </c>
      <c r="M217" s="2" t="n">
        <f aca="false">IF(M$7=M$5,M$6,IF(NORMSDIST(M$9*SQRT($C$11)*NORMSINV($B217)+SQRT(1-M$9^2*$C$11)*NORMSINV(L217))&lt;M$8,M$5+SQRT(NORMSDIST(M$9*SQRT($C$11)*NORMSINV($B217)+SQRT(1-M$9^2*$C$11)*NORMSINV(L217))*(M$7-M$5)*(M$6-M$5)),M$7-SQRT((1-NORMSDIST(M$9*SQRT($C$11)*NORMSINV($B217)+SQRT(1-M$9^2*$C$11)*NORMSINV(L217)))*(M$7-M$5)*(M$7-M$6))))</f>
        <v>1710.21699203815</v>
      </c>
      <c r="N217" s="2" t="n">
        <v>0.727914055</v>
      </c>
      <c r="O217" s="2" t="n">
        <f aca="false">IF(O$7=O$5,O$6,IF(NORMSDIST(O$9*SQRT($C$11)*NORMSINV($B217)+SQRT(1-O$9^2*$C$11)*NORMSINV(N217))&lt;O$8,O$5+SQRT(NORMSDIST(O$9*SQRT($C$11)*NORMSINV($B217)+SQRT(1-O$9^2*$C$11)*NORMSINV(N217))*(O$7-O$5)*(O$6-O$5)),O$7-SQRT((1-NORMSDIST(O$9*SQRT($C$11)*NORMSINV($B217)+SQRT(1-O$9^2*$C$11)*NORMSINV(N217)))*(O$7-O$5)*(O$7-O$6))))</f>
        <v>0.17528646266857</v>
      </c>
      <c r="P217" s="2" t="n">
        <v>0.714463469</v>
      </c>
      <c r="Q217" s="2" t="n">
        <f aca="false">IF(Q$7=Q$5,Q$6,IF(NORMSDIST(Q$9*SQRT($C$11)*NORMSINV($B217)+SQRT(1-Q$9^2*$C$11)*NORMSINV(P217))&lt;Q$8,Q$5+SQRT(NORMSDIST(Q$9*SQRT($C$11)*NORMSINV($B217)+SQRT(1-Q$9^2*$C$11)*NORMSINV(P217))*(Q$7-Q$5)*(Q$6-Q$5)),Q$7-SQRT((1-NORMSDIST(Q$9*SQRT($C$11)*NORMSINV($B217)+SQRT(1-Q$9^2*$C$11)*NORMSINV(P217)))*(Q$7-Q$5)*(Q$7-Q$6))))</f>
        <v>0.0897722495180339</v>
      </c>
      <c r="R217" s="2" t="n">
        <v>0.944408886</v>
      </c>
      <c r="S217" s="2" t="n">
        <f aca="false">IF(S$7=S$5,S$6,IF(NORMSDIST(S$9*SQRT($C$11)*NORMSINV($B217)+SQRT(1-S$9^2*$C$11)*NORMSINV(R217))&lt;S$8,S$5+SQRT(NORMSDIST(S$9*SQRT($C$11)*NORMSINV($B217)+SQRT(1-S$9^2*$C$11)*NORMSINV(R217))*(S$7-S$5)*(S$6-S$5)),S$7-SQRT((1-NORMSDIST(S$9*SQRT($C$11)*NORMSINV($B217)+SQRT(1-S$9^2*$C$11)*NORMSINV(R217)))*(S$7-S$5)*(S$7-S$6))))</f>
        <v>0.83349035914197</v>
      </c>
      <c r="T217" s="2" t="n">
        <v>0.480705691</v>
      </c>
      <c r="U217" s="2" t="n">
        <f aca="false">IF(U$7=U$5,U$6,IF(NORMSDIST(U$9*SQRT($C$11)*NORMSINV($B217)+SQRT(1-U$9^2*$C$11)*NORMSINV(T217))&lt;U$8,U$5+SQRT(NORMSDIST(U$9*SQRT($C$11)*NORMSINV($B217)+SQRT(1-U$9^2*$C$11)*NORMSINV(T217))*(U$7-U$5)*(U$6-U$5)),U$7-SQRT((1-NORMSDIST(U$9*SQRT($C$11)*NORMSINV($B217)+SQRT(1-U$9^2*$C$11)*NORMSINV(T217)))*(U$7-U$5)*(U$7-U$6))))</f>
        <v>0.567902766447347</v>
      </c>
      <c r="V217" s="2" t="n">
        <v>0.878410143</v>
      </c>
      <c r="W217" s="2" t="n">
        <f aca="false">IF(W$7=W$5,W$6,IF(NORMSDIST(W$9*SQRT($C$11)*NORMSINV($B217)+SQRT(1-W$9^2*$C$11)*NORMSINV(V217))&lt;W$8,W$5+SQRT(NORMSDIST(W$9*SQRT($C$11)*NORMSINV($B217)+SQRT(1-W$9^2*$C$11)*NORMSINV(V217))*(W$7-W$5)*(W$6-W$5)),W$7-SQRT((1-NORMSDIST(W$9*SQRT($C$11)*NORMSINV($B217)+SQRT(1-W$9^2*$C$11)*NORMSINV(V217)))*(W$7-W$5)*(W$7-W$6))))</f>
        <v>11.0919933880874</v>
      </c>
      <c r="X217" s="2" t="n">
        <v>0.434690682</v>
      </c>
      <c r="Y217" s="2" t="n">
        <f aca="false">IF(Y$7=Y$5,Y$6,IF(NORMSDIST(Y$9*SQRT($C$11)*NORMSINV($B217)+SQRT(1-Y$9^2*$C$11)*NORMSINV(X217))&lt;Y$8,Y$5+SQRT(NORMSDIST(Y$9*SQRT($C$11)*NORMSINV($B217)+SQRT(1-Y$9^2*$C$11)*NORMSINV(X217))*(Y$7-Y$5)*(Y$6-Y$5)),Y$7-SQRT((1-NORMSDIST(Y$9*SQRT($C$11)*NORMSINV($B217)+SQRT(1-Y$9^2*$C$11)*NORMSINV(X217)))*(Y$7-Y$5)*(Y$7-Y$6))))</f>
        <v>0.466203111315229</v>
      </c>
      <c r="Z217" s="2" t="n">
        <v>0.348395214</v>
      </c>
      <c r="AA217" s="2" t="n">
        <f aca="false">IF(AA$7=AA$5,AA$6,IF(NORMSDIST(AA$9*SQRT($C$11)*NORMSINV($B217)+SQRT(1-AA$9^2*$C$11)*NORMSINV(Z217))&lt;AA$8,AA$5+SQRT(NORMSDIST(AA$9*SQRT($C$11)*NORMSINV($B217)+SQRT(1-AA$9^2*$C$11)*NORMSINV(Z217))*(AA$7-AA$5)*(AA$6-AA$5)),AA$7-SQRT((1-NORMSDIST(AA$9*SQRT($C$11)*NORMSINV($B217)+SQRT(1-AA$9^2*$C$11)*NORMSINV(Z217)))*(AA$7-AA$5)*(AA$7-AA$6))))</f>
        <v>0.728805760592423</v>
      </c>
      <c r="AB217" s="2" t="n">
        <v>0.811910272</v>
      </c>
      <c r="AC217" s="2" t="n">
        <f aca="false">IF(AC$7=AC$5,AC$6,IF(NORMSDIST(AC$9*SQRT($C$11)*NORMSINV($B217)+SQRT(1-AC$9^2*$C$11)*NORMSINV(AB217))&lt;AC$8,AC$5+SQRT(NORMSDIST(AC$9*SQRT($C$11)*NORMSINV($B217)+SQRT(1-AC$9^2*$C$11)*NORMSINV(AB217))*(AC$7-AC$5)*(AC$6-AC$5)),AC$7-SQRT((1-NORMSDIST(AC$9*SQRT($C$11)*NORMSINV($B217)+SQRT(1-AC$9^2*$C$11)*NORMSINV(AB217)))*(AC$7-AC$5)*(AC$7-AC$6))))</f>
        <v>10.2008568882039</v>
      </c>
      <c r="AD217" s="2" t="n">
        <f aca="false">Entrées!$C$8*(1+E217)</f>
        <v>7449.34918235536</v>
      </c>
      <c r="AE217" s="2" t="n">
        <f aca="false">I217*Hypothèses!$J$24/12/Hypothèses!$J$19</f>
        <v>100.780239107792</v>
      </c>
      <c r="AF217" s="2" t="n">
        <f aca="false">Entrées!$C$36*S217*1000</f>
        <v>416.745179570985</v>
      </c>
      <c r="AG217" s="2" t="n">
        <f aca="false">-AF217/W217</f>
        <v>-37.5717118636728</v>
      </c>
      <c r="AH217" s="2" t="n">
        <f aca="false">AD217+AE217+AG217</f>
        <v>7512.55770959948</v>
      </c>
      <c r="AI217" s="2" t="n">
        <f aca="false">Entrées!$C$16-M217+Hypothèses!$J$22*1000-AF217+Hypothèses!$J$23</f>
        <v>22421.0378283909</v>
      </c>
      <c r="AJ217" s="2" t="n">
        <f aca="false">AI217/AH217</f>
        <v>2.9844746217046</v>
      </c>
      <c r="AK217" s="2" t="n">
        <f aca="false">AI217/(AH217+I217*(12-Hypothèses!$J$24)/12/Hypothèses!$J$19)</f>
        <v>2.95614858672946</v>
      </c>
      <c r="AL217" s="2" t="n">
        <f aca="false">(AD217+AG217+I217/Hypothèses!$J$19)*(1+G217)</f>
        <v>7983.57677549269</v>
      </c>
      <c r="AM217" s="2" t="n">
        <f aca="false">Entrées!$C$54*K217/Hypothèses!$J$19</f>
        <v>29.6417662831037</v>
      </c>
      <c r="AN217" s="2" t="n">
        <f aca="false">Y217*1000/AC217</f>
        <v>45.7023479914063</v>
      </c>
      <c r="AO217" s="2" t="n">
        <f aca="false">(Entrées!$C$36*(1-S217)+MAX(0,Entrées!$C$30-Entrées!$C$35-Entrées!$C$36)*U217)*1000</f>
        <v>878.3186934553</v>
      </c>
      <c r="AP217" s="2" t="n">
        <f aca="false">-AO217/W217</f>
        <v>-79.184927607205</v>
      </c>
      <c r="AQ217" s="2" t="n">
        <f aca="false">AL217+AM217+AN217+AP217</f>
        <v>7979.73596215999</v>
      </c>
      <c r="AR217" s="2" t="n">
        <f aca="false">O217*AQ217-Hypothèses!$J$25/Hypothèses!$J$19</f>
        <v>1379.60452757458</v>
      </c>
      <c r="AS217" s="2" t="n">
        <f aca="false">Entrées!$C$79*(1+Q217)+Hypothèses!$J$20</f>
        <v>1492.65970222032</v>
      </c>
      <c r="AT217" s="2" t="n">
        <f aca="false">AI217-AR217+AS217+Y217*1000-AO217+Hypothèses!$J$23</f>
        <v>22121.9774208965</v>
      </c>
      <c r="AU217" s="2" t="n">
        <f aca="false">AT217/AQ217</f>
        <v>2.77226934898588</v>
      </c>
      <c r="AV217" s="2" t="n">
        <f aca="false">Hypothèses!$J$26*AQ217-AT217</f>
        <v>1817.23046558344</v>
      </c>
      <c r="AW217" s="2" t="n">
        <f aca="false">IF(AC217&gt;Hypothèses!$J$26,MAX(0,AV217)/(1-Hypothèses!$J$26/AC217),0)</f>
        <v>2574.31972334678</v>
      </c>
      <c r="AX217" s="2" t="n">
        <f aca="false">AQ217-Entrées!$C$17*1000</f>
        <v>-20.2640378400092</v>
      </c>
      <c r="AY217" s="2" t="n">
        <f aca="false">AI217+(Entrées!$C$244-Entrées!$C$13)</f>
        <v>28168.0378283909</v>
      </c>
      <c r="AZ217" s="2" t="n">
        <f aca="false">AA217*AH217</f>
        <v>5475.19533553913</v>
      </c>
      <c r="BA217" s="2" t="n">
        <f aca="false">AZ217/AY217</f>
        <v>0.194376170924501</v>
      </c>
      <c r="BB217" s="2" t="n">
        <f aca="false">AZ217/(Entrées!$C$151/100)-AY217</f>
        <v>2249.71403571539</v>
      </c>
      <c r="BC217" s="2" t="n">
        <f aca="false">AT217+(Entrées!$C$244-Entrées!$C$13)</f>
        <v>27868.9774208965</v>
      </c>
      <c r="BD217" s="2" t="n">
        <f aca="false">AA217*AQ217</f>
        <v>5815.67753722873</v>
      </c>
      <c r="BE217" s="2" t="n">
        <f aca="false">BD217/BC217</f>
        <v>0.208679258280501</v>
      </c>
      <c r="BF217" s="2" t="n">
        <f aca="false">BD217/(Entrées!$C$151/100)-BC217</f>
        <v>4440.34223037416</v>
      </c>
      <c r="BG217" s="2" t="n">
        <f aca="false">MIN(AV217,BF217)</f>
        <v>1817.23046558344</v>
      </c>
      <c r="BH217" s="2" t="n">
        <f aca="false">IF(AC217&gt;Hypothèses!$J$26,MAX(0,BG217)/(1-Hypothèses!$J$26/AC217),0)</f>
        <v>2574.31972334678</v>
      </c>
    </row>
    <row r="218" customFormat="false" ht="15" hidden="false" customHeight="false" outlineLevel="0" collapsed="false">
      <c r="A218" s="2" t="n">
        <v>203</v>
      </c>
      <c r="B218" s="2" t="n">
        <v>0.222714441</v>
      </c>
      <c r="C218" s="2"/>
      <c r="D218" s="2" t="n">
        <v>0.314668372</v>
      </c>
      <c r="E218" s="2" t="n">
        <f aca="false">IF(E$7=E$5,E$6,IF(NORMSDIST(E$9*SQRT($C$11)*NORMSINV($B218)+SQRT(1-E$9^2*$C$11)*NORMSINV(D218))&lt;E$8,E$5+SQRT(NORMSDIST(E$9*SQRT($C$11)*NORMSINV($B218)+SQRT(1-E$9^2*$C$11)*NORMSINV(D218))*(E$7-E$5)*(E$6-E$5)),E$7-SQRT((1-NORMSDIST(E$9*SQRT($C$11)*NORMSINV($B218)+SQRT(1-E$9^2*$C$11)*NORMSINV(D218)))*(E$7-E$5)*(E$7-E$6))))</f>
        <v>0.053129453871123</v>
      </c>
      <c r="F218" s="2" t="n">
        <v>0.167963387</v>
      </c>
      <c r="G218" s="2" t="n">
        <f aca="false">IF(G$7=G$5,G$6,IF(NORMSDIST(G$9*SQRT($C$11)*NORMSINV($B218)+SQRT(1-G$9^2*$C$11)*NORMSINV(F218))&lt;G$8,G$5+SQRT(NORMSDIST(G$9*SQRT($C$11)*NORMSINV($B218)+SQRT(1-G$9^2*$C$11)*NORMSINV(F218))*(G$7-G$5)*(G$6-G$5)),G$7-SQRT((1-NORMSDIST(G$9*SQRT($C$11)*NORMSINV($B218)+SQRT(1-G$9^2*$C$11)*NORMSINV(F218)))*(G$7-G$5)*(G$7-G$6))))</f>
        <v>0.047027065961151</v>
      </c>
      <c r="H218" s="2" t="n">
        <v>0.344030308</v>
      </c>
      <c r="I218" s="2" t="n">
        <f aca="false">IF(I$7=I$5,I$6,IF(NORMSDIST(I$9*SQRT($C$11)*NORMSINV($B218)+SQRT(1-I$9^2*$C$11)*NORMSINV(H218))&lt;I$8,I$5+SQRT(NORMSDIST(I$9*SQRT($C$11)*NORMSINV($B218)+SQRT(1-I$9^2*$C$11)*NORMSINV(H218))*(I$7-I$5)*(I$6-I$5)),I$7-SQRT((1-NORMSDIST(I$9*SQRT($C$11)*NORMSINV($B218)+SQRT(1-I$9^2*$C$11)*NORMSINV(H218)))*(I$7-I$5)*(I$7-I$6))))</f>
        <v>193.075674519877</v>
      </c>
      <c r="J218" s="2" t="n">
        <v>0.866638686</v>
      </c>
      <c r="K218" s="2" t="n">
        <f aca="false">IF(K$7=K$5,K$6,IF(NORMSDIST(K$9*SQRT($C$11)*NORMSINV($B218)+SQRT(1-K$9^2*$C$11)*NORMSINV(J218))&lt;K$8,K$5+SQRT(NORMSDIST(K$9*SQRT($C$11)*NORMSINV($B218)+SQRT(1-K$9^2*$C$11)*NORMSINV(J218))*(K$7-K$5)*(K$6-K$5)),K$7-SQRT((1-NORMSDIST(K$9*SQRT($C$11)*NORMSINV($B218)+SQRT(1-K$9^2*$C$11)*NORMSINV(J218)))*(K$7-K$5)*(K$7-K$6))))</f>
        <v>0.289991949501645</v>
      </c>
      <c r="L218" s="2" t="n">
        <v>0.447937443</v>
      </c>
      <c r="M218" s="2" t="n">
        <f aca="false">IF(M$7=M$5,M$6,IF(NORMSDIST(M$9*SQRT($C$11)*NORMSINV($B218)+SQRT(1-M$9^2*$C$11)*NORMSINV(L218))&lt;M$8,M$5+SQRT(NORMSDIST(M$9*SQRT($C$11)*NORMSINV($B218)+SQRT(1-M$9^2*$C$11)*NORMSINV(L218))*(M$7-M$5)*(M$6-M$5)),M$7-SQRT((1-NORMSDIST(M$9*SQRT($C$11)*NORMSINV($B218)+SQRT(1-M$9^2*$C$11)*NORMSINV(L218)))*(M$7-M$5)*(M$7-M$6))))</f>
        <v>1514.19868822153</v>
      </c>
      <c r="N218" s="2" t="n">
        <v>0.199481321</v>
      </c>
      <c r="O218" s="2" t="n">
        <f aca="false">IF(O$7=O$5,O$6,IF(NORMSDIST(O$9*SQRT($C$11)*NORMSINV($B218)+SQRT(1-O$9^2*$C$11)*NORMSINV(N218))&lt;O$8,O$5+SQRT(NORMSDIST(O$9*SQRT($C$11)*NORMSINV($B218)+SQRT(1-O$9^2*$C$11)*NORMSINV(N218))*(O$7-O$5)*(O$6-O$5)),O$7-SQRT((1-NORMSDIST(O$9*SQRT($C$11)*NORMSINV($B218)+SQRT(1-O$9^2*$C$11)*NORMSINV(N218)))*(O$7-O$5)*(O$7-O$6))))</f>
        <v>0.153551367848487</v>
      </c>
      <c r="P218" s="2" t="n">
        <v>0.413594005</v>
      </c>
      <c r="Q218" s="2" t="n">
        <f aca="false">IF(Q$7=Q$5,Q$6,IF(NORMSDIST(Q$9*SQRT($C$11)*NORMSINV($B218)+SQRT(1-Q$9^2*$C$11)*NORMSINV(P218))&lt;Q$8,Q$5+SQRT(NORMSDIST(Q$9*SQRT($C$11)*NORMSINV($B218)+SQRT(1-Q$9^2*$C$11)*NORMSINV(P218))*(Q$7-Q$5)*(Q$6-Q$5)),Q$7-SQRT((1-NORMSDIST(Q$9*SQRT($C$11)*NORMSINV($B218)+SQRT(1-Q$9^2*$C$11)*NORMSINV(P218)))*(Q$7-Q$5)*(Q$7-Q$6))))</f>
        <v>0.0763799507421327</v>
      </c>
      <c r="R218" s="2" t="n">
        <v>0.260272849</v>
      </c>
      <c r="S218" s="2" t="n">
        <f aca="false">IF(S$7=S$5,S$6,IF(NORMSDIST(S$9*SQRT($C$11)*NORMSINV($B218)+SQRT(1-S$9^2*$C$11)*NORMSINV(R218))&lt;S$8,S$5+SQRT(NORMSDIST(S$9*SQRT($C$11)*NORMSINV($B218)+SQRT(1-S$9^2*$C$11)*NORMSINV(R218))*(S$7-S$5)*(S$6-S$5)),S$7-SQRT((1-NORMSDIST(S$9*SQRT($C$11)*NORMSINV($B218)+SQRT(1-S$9^2*$C$11)*NORMSINV(R218)))*(S$7-S$5)*(S$7-S$6))))</f>
        <v>0.285896373431736</v>
      </c>
      <c r="T218" s="2" t="n">
        <v>0.771012051</v>
      </c>
      <c r="U218" s="2" t="n">
        <f aca="false">IF(U$7=U$5,U$6,IF(NORMSDIST(U$9*SQRT($C$11)*NORMSINV($B218)+SQRT(1-U$9^2*$C$11)*NORMSINV(T218))&lt;U$8,U$5+SQRT(NORMSDIST(U$9*SQRT($C$11)*NORMSINV($B218)+SQRT(1-U$9^2*$C$11)*NORMSINV(T218))*(U$7-U$5)*(U$6-U$5)),U$7-SQRT((1-NORMSDIST(U$9*SQRT($C$11)*NORMSINV($B218)+SQRT(1-U$9^2*$C$11)*NORMSINV(T218)))*(U$7-U$5)*(U$7-U$6))))</f>
        <v>0.518734682648148</v>
      </c>
      <c r="V218" s="2" t="n">
        <v>0.465973067</v>
      </c>
      <c r="W218" s="2" t="n">
        <f aca="false">IF(W$7=W$5,W$6,IF(NORMSDIST(W$9*SQRT($C$11)*NORMSINV($B218)+SQRT(1-W$9^2*$C$11)*NORMSINV(V218))&lt;W$8,W$5+SQRT(NORMSDIST(W$9*SQRT($C$11)*NORMSINV($B218)+SQRT(1-W$9^2*$C$11)*NORMSINV(V218))*(W$7-W$5)*(W$6-W$5)),W$7-SQRT((1-NORMSDIST(W$9*SQRT($C$11)*NORMSINV($B218)+SQRT(1-W$9^2*$C$11)*NORMSINV(V218)))*(W$7-W$5)*(W$7-W$6))))</f>
        <v>9.52732231105489</v>
      </c>
      <c r="X218" s="2" t="n">
        <v>0.164674143</v>
      </c>
      <c r="Y218" s="2" t="n">
        <f aca="false">IF(Y$7=Y$5,Y$6,IF(NORMSDIST(Y$9*SQRT($C$11)*NORMSINV($B218)+SQRT(1-Y$9^2*$C$11)*NORMSINV(X218))&lt;Y$8,Y$5+SQRT(NORMSDIST(Y$9*SQRT($C$11)*NORMSINV($B218)+SQRT(1-Y$9^2*$C$11)*NORMSINV(X218))*(Y$7-Y$5)*(Y$6-Y$5)),Y$7-SQRT((1-NORMSDIST(Y$9*SQRT($C$11)*NORMSINV($B218)+SQRT(1-Y$9^2*$C$11)*NORMSINV(X218)))*(Y$7-Y$5)*(Y$7-Y$6))))</f>
        <v>0.286944370044091</v>
      </c>
      <c r="Z218" s="2" t="n">
        <v>0.608718998</v>
      </c>
      <c r="AA218" s="2" t="n">
        <f aca="false">IF(AA$7=AA$5,AA$6,IF(NORMSDIST(AA$9*SQRT($C$11)*NORMSINV($B218)+SQRT(1-AA$9^2*$C$11)*NORMSINV(Z218))&lt;AA$8,AA$5+SQRT(NORMSDIST(AA$9*SQRT($C$11)*NORMSINV($B218)+SQRT(1-AA$9^2*$C$11)*NORMSINV(Z218))*(AA$7-AA$5)*(AA$6-AA$5)),AA$7-SQRT((1-NORMSDIST(AA$9*SQRT($C$11)*NORMSINV($B218)+SQRT(1-AA$9^2*$C$11)*NORMSINV(Z218)))*(AA$7-AA$5)*(AA$7-AA$6))))</f>
        <v>0.724376519237663</v>
      </c>
      <c r="AB218" s="2" t="n">
        <v>0.285408029</v>
      </c>
      <c r="AC218" s="2" t="n">
        <f aca="false">IF(AC$7=AC$5,AC$6,IF(NORMSDIST(AC$9*SQRT($C$11)*NORMSINV($B218)+SQRT(1-AC$9^2*$C$11)*NORMSINV(AB218))&lt;AC$8,AC$5+SQRT(NORMSDIST(AC$9*SQRT($C$11)*NORMSINV($B218)+SQRT(1-AC$9^2*$C$11)*NORMSINV(AB218))*(AC$7-AC$5)*(AC$6-AC$5)),AC$7-SQRT((1-NORMSDIST(AC$9*SQRT($C$11)*NORMSINV($B218)+SQRT(1-AC$9^2*$C$11)*NORMSINV(AB218)))*(AC$7-AC$5)*(AC$7-AC$6))))</f>
        <v>8.64133954363685</v>
      </c>
      <c r="AD218" s="2" t="n">
        <f aca="false">Entrées!$C$8*(1+E218)</f>
        <v>7424.56264979142</v>
      </c>
      <c r="AE218" s="2" t="n">
        <f aca="false">I218*Hypothèses!$J$24/12/Hypothèses!$J$19</f>
        <v>95.7842241665745</v>
      </c>
      <c r="AF218" s="2" t="n">
        <f aca="false">Entrées!$C$36*S218*1000</f>
        <v>142.948186715868</v>
      </c>
      <c r="AG218" s="2" t="n">
        <f aca="false">-AF218/W218</f>
        <v>-15.0040254804858</v>
      </c>
      <c r="AH218" s="2" t="n">
        <f aca="false">AD218+AE218+AG218</f>
        <v>7505.34284847751</v>
      </c>
      <c r="AI218" s="2" t="n">
        <f aca="false">Entrées!$C$16-M218+Hypothèses!$J$22*1000-AF218+Hypothèses!$J$23</f>
        <v>22890.8531250626</v>
      </c>
      <c r="AJ218" s="2" t="n">
        <f aca="false">AI218/AH218</f>
        <v>3.04994103363394</v>
      </c>
      <c r="AK218" s="2" t="n">
        <f aca="false">AI218/(AH218+I218*(12-Hypothèses!$J$24)/12/Hypothèses!$J$19)</f>
        <v>3.02238949574726</v>
      </c>
      <c r="AL218" s="2" t="n">
        <f aca="false">(AD218+AG218+I218/Hypothèses!$J$19)*(1+G218)</f>
        <v>7929.93186966998</v>
      </c>
      <c r="AM218" s="2" t="n">
        <f aca="false">Entrées!$C$54*K218/Hypothèses!$J$19</f>
        <v>29.5948960441558</v>
      </c>
      <c r="AN218" s="2" t="n">
        <f aca="false">Y218*1000/AC218</f>
        <v>33.2060056887112</v>
      </c>
      <c r="AO218" s="2" t="n">
        <f aca="false">(Entrées!$C$36*(1-S218)+MAX(0,Entrées!$C$30-Entrées!$C$35-Entrées!$C$36)*U218)*1000</f>
        <v>1083.28036899154</v>
      </c>
      <c r="AP218" s="2" t="n">
        <f aca="false">-AO218/W218</f>
        <v>-113.702500411324</v>
      </c>
      <c r="AQ218" s="2" t="n">
        <f aca="false">AL218+AM218+AN218+AP218</f>
        <v>7879.03027099152</v>
      </c>
      <c r="AR218" s="2" t="n">
        <f aca="false">O218*AQ218-Hypothèses!$J$25/Hypothèses!$J$19</f>
        <v>1190.70071316876</v>
      </c>
      <c r="AS218" s="2" t="n">
        <f aca="false">Entrées!$C$79*(1+Q218)+Hypothèses!$J$20</f>
        <v>1477.9415658656</v>
      </c>
      <c r="AT218" s="2" t="n">
        <f aca="false">AI218-AR218+AS218+Y218*1000-AO218+Hypothèses!$J$23</f>
        <v>22381.757978812</v>
      </c>
      <c r="AU218" s="2" t="n">
        <f aca="false">AT218/AQ218</f>
        <v>2.84067419581007</v>
      </c>
      <c r="AV218" s="2" t="n">
        <f aca="false">Hypothèses!$J$26*AQ218-AT218</f>
        <v>1255.33283416257</v>
      </c>
      <c r="AW218" s="2" t="n">
        <f aca="false">IF(AC218&gt;Hypothèses!$J$26,MAX(0,AV218)/(1-Hypothèses!$J$26/AC218),0)</f>
        <v>1922.90451166168</v>
      </c>
      <c r="AX218" s="2" t="n">
        <f aca="false">AQ218-Entrées!$C$17*1000</f>
        <v>-120.96972900848</v>
      </c>
      <c r="AY218" s="2" t="n">
        <f aca="false">AI218+(Entrées!$C$244-Entrées!$C$13)</f>
        <v>28637.8531250626</v>
      </c>
      <c r="AZ218" s="2" t="n">
        <f aca="false">AA218*AH218</f>
        <v>5436.69412826542</v>
      </c>
      <c r="BA218" s="2" t="n">
        <f aca="false">AZ218/AY218</f>
        <v>0.189842936358503</v>
      </c>
      <c r="BB218" s="2" t="n">
        <f aca="false">AZ218/(Entrées!$C$151/100)-AY218</f>
        <v>1566.00314307863</v>
      </c>
      <c r="BC218" s="2" t="n">
        <f aca="false">AT218+(Entrées!$C$244-Entrées!$C$13)</f>
        <v>28128.757978812</v>
      </c>
      <c r="BD218" s="2" t="n">
        <f aca="false">AA218*AQ218</f>
        <v>5707.38452266902</v>
      </c>
      <c r="BE218" s="2" t="n">
        <f aca="false">BD218/BC218</f>
        <v>0.202902116295647</v>
      </c>
      <c r="BF218" s="2" t="n">
        <f aca="false">BD218/(Entrées!$C$151/100)-BC218</f>
        <v>3578.93381379365</v>
      </c>
      <c r="BG218" s="2" t="n">
        <f aca="false">MIN(AV218,BF218)</f>
        <v>1255.33283416257</v>
      </c>
      <c r="BH218" s="2" t="n">
        <f aca="false">IF(AC218&gt;Hypothèses!$J$26,MAX(0,BG218)/(1-Hypothèses!$J$26/AC218),0)</f>
        <v>1922.90451166168</v>
      </c>
    </row>
    <row r="219" customFormat="false" ht="15" hidden="false" customHeight="false" outlineLevel="0" collapsed="false">
      <c r="A219" s="2" t="n">
        <v>204</v>
      </c>
      <c r="B219" s="2" t="n">
        <v>0.957351023</v>
      </c>
      <c r="C219" s="2"/>
      <c r="D219" s="2" t="n">
        <v>0.5266917</v>
      </c>
      <c r="E219" s="2" t="n">
        <f aca="false">IF(E$7=E$5,E$6,IF(NORMSDIST(E$9*SQRT($C$11)*NORMSINV($B219)+SQRT(1-E$9^2*$C$11)*NORMSINV(D219))&lt;E$8,E$5+SQRT(NORMSDIST(E$9*SQRT($C$11)*NORMSINV($B219)+SQRT(1-E$9^2*$C$11)*NORMSINV(D219))*(E$7-E$5)*(E$6-E$5)),E$7-SQRT((1-NORMSDIST(E$9*SQRT($C$11)*NORMSINV($B219)+SQRT(1-E$9^2*$C$11)*NORMSINV(D219)))*(E$7-E$5)*(E$7-E$6))))</f>
        <v>0.0574789812938721</v>
      </c>
      <c r="F219" s="2" t="n">
        <v>0.328301817</v>
      </c>
      <c r="G219" s="2" t="n">
        <f aca="false">IF(G$7=G$5,G$6,IF(NORMSDIST(G$9*SQRT($C$11)*NORMSINV($B219)+SQRT(1-G$9^2*$C$11)*NORMSINV(F219))&lt;G$8,G$5+SQRT(NORMSDIST(G$9*SQRT($C$11)*NORMSINV($B219)+SQRT(1-G$9^2*$C$11)*NORMSINV(F219))*(G$7-G$5)*(G$6-G$5)),G$7-SQRT((1-NORMSDIST(G$9*SQRT($C$11)*NORMSINV($B219)+SQRT(1-G$9^2*$C$11)*NORMSINV(F219)))*(G$7-G$5)*(G$7-G$6))))</f>
        <v>0.0598604361731026</v>
      </c>
      <c r="H219" s="2" t="n">
        <v>0.41969922</v>
      </c>
      <c r="I219" s="2" t="n">
        <f aca="false">IF(I$7=I$5,I$6,IF(NORMSDIST(I$9*SQRT($C$11)*NORMSINV($B219)+SQRT(1-I$9^2*$C$11)*NORMSINV(H219))&lt;I$8,I$5+SQRT(NORMSDIST(I$9*SQRT($C$11)*NORMSINV($B219)+SQRT(1-I$9^2*$C$11)*NORMSINV(H219))*(I$7-I$5)*(I$6-I$5)),I$7-SQRT((1-NORMSDIST(I$9*SQRT($C$11)*NORMSINV($B219)+SQRT(1-I$9^2*$C$11)*NORMSINV(H219)))*(I$7-I$5)*(I$7-I$6))))</f>
        <v>208.139251120576</v>
      </c>
      <c r="J219" s="2" t="n">
        <v>0.257470609</v>
      </c>
      <c r="K219" s="2" t="n">
        <f aca="false">IF(K$7=K$5,K$6,IF(NORMSDIST(K$9*SQRT($C$11)*NORMSINV($B219)+SQRT(1-K$9^2*$C$11)*NORMSINV(J219))&lt;K$8,K$5+SQRT(NORMSDIST(K$9*SQRT($C$11)*NORMSINV($B219)+SQRT(1-K$9^2*$C$11)*NORMSINV(J219))*(K$7-K$5)*(K$6-K$5)),K$7-SQRT((1-NORMSDIST(K$9*SQRT($C$11)*NORMSINV($B219)+SQRT(1-K$9^2*$C$11)*NORMSINV(J219)))*(K$7-K$5)*(K$7-K$6))))</f>
        <v>0.313036503662694</v>
      </c>
      <c r="L219" s="2" t="n">
        <v>0.880082622</v>
      </c>
      <c r="M219" s="2" t="n">
        <f aca="false">IF(M$7=M$5,M$6,IF(NORMSDIST(M$9*SQRT($C$11)*NORMSINV($B219)+SQRT(1-M$9^2*$C$11)*NORMSINV(L219))&lt;M$8,M$5+SQRT(NORMSDIST(M$9*SQRT($C$11)*NORMSINV($B219)+SQRT(1-M$9^2*$C$11)*NORMSINV(L219))*(M$7-M$5)*(M$6-M$5)),M$7-SQRT((1-NORMSDIST(M$9*SQRT($C$11)*NORMSINV($B219)+SQRT(1-M$9^2*$C$11)*NORMSINV(L219)))*(M$7-M$5)*(M$7-M$6))))</f>
        <v>1749.27971484031</v>
      </c>
      <c r="N219" s="2" t="n">
        <v>0.721260156</v>
      </c>
      <c r="O219" s="2" t="n">
        <f aca="false">IF(O$7=O$5,O$6,IF(NORMSDIST(O$9*SQRT($C$11)*NORMSINV($B219)+SQRT(1-O$9^2*$C$11)*NORMSINV(N219))&lt;O$8,O$5+SQRT(NORMSDIST(O$9*SQRT($C$11)*NORMSINV($B219)+SQRT(1-O$9^2*$C$11)*NORMSINV(N219))*(O$7-O$5)*(O$6-O$5)),O$7-SQRT((1-NORMSDIST(O$9*SQRT($C$11)*NORMSINV($B219)+SQRT(1-O$9^2*$C$11)*NORMSINV(N219)))*(O$7-O$5)*(O$7-O$6))))</f>
        <v>0.181909123888305</v>
      </c>
      <c r="P219" s="2" t="n">
        <v>0.870586538</v>
      </c>
      <c r="Q219" s="2" t="n">
        <f aca="false">IF(Q$7=Q$5,Q$6,IF(NORMSDIST(Q$9*SQRT($C$11)*NORMSINV($B219)+SQRT(1-Q$9^2*$C$11)*NORMSINV(P219))&lt;Q$8,Q$5+SQRT(NORMSDIST(Q$9*SQRT($C$11)*NORMSINV($B219)+SQRT(1-Q$9^2*$C$11)*NORMSINV(P219))*(Q$7-Q$5)*(Q$6-Q$5)),Q$7-SQRT((1-NORMSDIST(Q$9*SQRT($C$11)*NORMSINV($B219)+SQRT(1-Q$9^2*$C$11)*NORMSINV(P219)))*(Q$7-Q$5)*(Q$7-Q$6))))</f>
        <v>0.0996499857887028</v>
      </c>
      <c r="R219" s="2" t="n">
        <v>0.554888537</v>
      </c>
      <c r="S219" s="2" t="n">
        <f aca="false">IF(S$7=S$5,S$6,IF(NORMSDIST(S$9*SQRT($C$11)*NORMSINV($B219)+SQRT(1-S$9^2*$C$11)*NORMSINV(R219))&lt;S$8,S$5+SQRT(NORMSDIST(S$9*SQRT($C$11)*NORMSINV($B219)+SQRT(1-S$9^2*$C$11)*NORMSINV(R219))*(S$7-S$5)*(S$6-S$5)),S$7-SQRT((1-NORMSDIST(S$9*SQRT($C$11)*NORMSINV($B219)+SQRT(1-S$9^2*$C$11)*NORMSINV(R219)))*(S$7-S$5)*(S$7-S$6))))</f>
        <v>0.759164143959664</v>
      </c>
      <c r="T219" s="2" t="n">
        <v>0.536362286</v>
      </c>
      <c r="U219" s="2" t="n">
        <f aca="false">IF(U$7=U$5,U$6,IF(NORMSDIST(U$9*SQRT($C$11)*NORMSINV($B219)+SQRT(1-U$9^2*$C$11)*NORMSINV(T219))&lt;U$8,U$5+SQRT(NORMSDIST(U$9*SQRT($C$11)*NORMSINV($B219)+SQRT(1-U$9^2*$C$11)*NORMSINV(T219))*(U$7-U$5)*(U$6-U$5)),U$7-SQRT((1-NORMSDIST(U$9*SQRT($C$11)*NORMSINV($B219)+SQRT(1-U$9^2*$C$11)*NORMSINV(T219)))*(U$7-U$5)*(U$7-U$6))))</f>
        <v>0.751776536530207</v>
      </c>
      <c r="V219" s="2" t="n">
        <v>0.131284126</v>
      </c>
      <c r="W219" s="2" t="n">
        <f aca="false">IF(W$7=W$5,W$6,IF(NORMSDIST(W$9*SQRT($C$11)*NORMSINV($B219)+SQRT(1-W$9^2*$C$11)*NORMSINV(V219))&lt;W$8,W$5+SQRT(NORMSDIST(W$9*SQRT($C$11)*NORMSINV($B219)+SQRT(1-W$9^2*$C$11)*NORMSINV(V219))*(W$7-W$5)*(W$6-W$5)),W$7-SQRT((1-NORMSDIST(W$9*SQRT($C$11)*NORMSINV($B219)+SQRT(1-W$9^2*$C$11)*NORMSINV(V219)))*(W$7-W$5)*(W$7-W$6))))</f>
        <v>10.1828613896653</v>
      </c>
      <c r="X219" s="2" t="n">
        <v>0.261463899</v>
      </c>
      <c r="Y219" s="2" t="n">
        <f aca="false">IF(Y$7=Y$5,Y$6,IF(NORMSDIST(Y$9*SQRT($C$11)*NORMSINV($B219)+SQRT(1-Y$9^2*$C$11)*NORMSINV(X219))&lt;Y$8,Y$5+SQRT(NORMSDIST(Y$9*SQRT($C$11)*NORMSINV($B219)+SQRT(1-Y$9^2*$C$11)*NORMSINV(X219))*(Y$7-Y$5)*(Y$6-Y$5)),Y$7-SQRT((1-NORMSDIST(Y$9*SQRT($C$11)*NORMSINV($B219)+SQRT(1-Y$9^2*$C$11)*NORMSINV(X219)))*(Y$7-Y$5)*(Y$7-Y$6))))</f>
        <v>0.361568734129487</v>
      </c>
      <c r="Z219" s="2" t="n">
        <v>0.519816522</v>
      </c>
      <c r="AA219" s="2" t="n">
        <f aca="false">IF(AA$7=AA$5,AA$6,IF(NORMSDIST(AA$9*SQRT($C$11)*NORMSINV($B219)+SQRT(1-AA$9^2*$C$11)*NORMSINV(Z219))&lt;AA$8,AA$5+SQRT(NORMSDIST(AA$9*SQRT($C$11)*NORMSINV($B219)+SQRT(1-AA$9^2*$C$11)*NORMSINV(Z219))*(AA$7-AA$5)*(AA$6-AA$5)),AA$7-SQRT((1-NORMSDIST(AA$9*SQRT($C$11)*NORMSINV($B219)+SQRT(1-AA$9^2*$C$11)*NORMSINV(Z219)))*(AA$7-AA$5)*(AA$7-AA$6))))</f>
        <v>0.740948276524288</v>
      </c>
      <c r="AB219" s="2" t="n">
        <v>0.903213234</v>
      </c>
      <c r="AC219" s="2" t="n">
        <f aca="false">IF(AC$7=AC$5,AC$6,IF(NORMSDIST(AC$9*SQRT($C$11)*NORMSINV($B219)+SQRT(1-AC$9^2*$C$11)*NORMSINV(AB219))&lt;AC$8,AC$5+SQRT(NORMSDIST(AC$9*SQRT($C$11)*NORMSINV($B219)+SQRT(1-AC$9^2*$C$11)*NORMSINV(AB219))*(AC$7-AC$5)*(AC$6-AC$5)),AC$7-SQRT((1-NORMSDIST(AC$9*SQRT($C$11)*NORMSINV($B219)+SQRT(1-AC$9^2*$C$11)*NORMSINV(AB219)))*(AC$7-AC$5)*(AC$7-AC$6))))</f>
        <v>10.7205968648204</v>
      </c>
      <c r="AD219" s="2" t="n">
        <f aca="false">Entrées!$C$8*(1+E219)</f>
        <v>7455.2268181218</v>
      </c>
      <c r="AE219" s="2" t="n">
        <f aca="false">I219*Hypothèses!$J$24/12/Hypothèses!$J$19</f>
        <v>103.257216305329</v>
      </c>
      <c r="AF219" s="2" t="n">
        <f aca="false">Entrées!$C$36*S219*1000</f>
        <v>379.582071979832</v>
      </c>
      <c r="AG219" s="2" t="n">
        <f aca="false">-AF219/W219</f>
        <v>-37.2765627905999</v>
      </c>
      <c r="AH219" s="2" t="n">
        <f aca="false">AD219+AE219+AG219</f>
        <v>7521.20747163653</v>
      </c>
      <c r="AI219" s="2" t="n">
        <f aca="false">Entrées!$C$16-M219+Hypothèses!$J$22*1000-AF219+Hypothèses!$J$23</f>
        <v>22419.1382131799</v>
      </c>
      <c r="AJ219" s="2" t="n">
        <f aca="false">AI219/AH219</f>
        <v>2.98078975985245</v>
      </c>
      <c r="AK219" s="2" t="n">
        <f aca="false">AI219/(AH219+I219*(12-Hypothèses!$J$24)/12/Hypothèses!$J$19)</f>
        <v>2.95184312507578</v>
      </c>
      <c r="AL219" s="2" t="n">
        <f aca="false">(AD219+AG219+I219/Hypothèses!$J$19)*(1+G219)</f>
        <v>8049.60040165951</v>
      </c>
      <c r="AM219" s="2" t="n">
        <f aca="false">Entrées!$C$54*K219/Hypothèses!$J$19</f>
        <v>31.9466895541212</v>
      </c>
      <c r="AN219" s="2" t="n">
        <f aca="false">Y219*1000/AC219</f>
        <v>33.726548874902</v>
      </c>
      <c r="AO219" s="2" t="n">
        <f aca="false">(Entrées!$C$36*(1-S219)+MAX(0,Entrées!$C$30-Entrées!$C$35-Entrées!$C$36)*U219)*1000</f>
        <v>1172.90507916246</v>
      </c>
      <c r="AP219" s="2" t="n">
        <f aca="false">-AO219/W219</f>
        <v>-115.184233024409</v>
      </c>
      <c r="AQ219" s="2" t="n">
        <f aca="false">AL219+AM219+AN219+AP219</f>
        <v>8000.08940706412</v>
      </c>
      <c r="AR219" s="2" t="n">
        <f aca="false">O219*AQ219-Hypothèses!$J$25/Hypothèses!$J$19</f>
        <v>1436.15409280552</v>
      </c>
      <c r="AS219" s="2" t="n">
        <f aca="false">Entrées!$C$79*(1+Q219)+Hypothèses!$J$20</f>
        <v>1503.51533438178</v>
      </c>
      <c r="AT219" s="2" t="n">
        <f aca="false">AI219-AR219+AS219+Y219*1000-AO219+Hypothèses!$J$23</f>
        <v>21675.1631097232</v>
      </c>
      <c r="AU219" s="2" t="n">
        <f aca="false">AT219/AQ219</f>
        <v>2.70936510916789</v>
      </c>
      <c r="AV219" s="2" t="n">
        <f aca="false">Hypothèses!$J$26*AQ219-AT219</f>
        <v>2325.1051114692</v>
      </c>
      <c r="AW219" s="2" t="n">
        <f aca="false">IF(AC219&gt;Hypothèses!$J$26,MAX(0,AV219)/(1-Hypothèses!$J$26/AC219),0)</f>
        <v>3228.57351637857</v>
      </c>
      <c r="AX219" s="2" t="n">
        <f aca="false">AQ219-Entrées!$C$17*1000</f>
        <v>0.0894070641188591</v>
      </c>
      <c r="AY219" s="2" t="n">
        <f aca="false">AI219+(Entrées!$C$244-Entrées!$C$13)</f>
        <v>28166.1382131799</v>
      </c>
      <c r="AZ219" s="2" t="n">
        <f aca="false">AA219*AH219</f>
        <v>5572.82571349068</v>
      </c>
      <c r="BA219" s="2" t="n">
        <f aca="false">AZ219/AY219</f>
        <v>0.197855512577261</v>
      </c>
      <c r="BB219" s="2" t="n">
        <f aca="false">AZ219/(Entrées!$C$151/100)-AY219</f>
        <v>2794.00463954614</v>
      </c>
      <c r="BC219" s="2" t="n">
        <f aca="false">AT219+(Entrées!$C$244-Entrées!$C$13)</f>
        <v>27422.1631097232</v>
      </c>
      <c r="BD219" s="2" t="n">
        <f aca="false">AA219*AQ219</f>
        <v>5927.65245820437</v>
      </c>
      <c r="BE219" s="2" t="n">
        <f aca="false">BD219/BC219</f>
        <v>0.216162832759994</v>
      </c>
      <c r="BF219" s="2" t="n">
        <f aca="false">BD219/(Entrées!$C$151/100)-BC219</f>
        <v>5509.23943585668</v>
      </c>
      <c r="BG219" s="2" t="n">
        <f aca="false">MIN(AV219,BF219)</f>
        <v>2325.1051114692</v>
      </c>
      <c r="BH219" s="2" t="n">
        <f aca="false">IF(AC219&gt;Hypothèses!$J$26,MAX(0,BG219)/(1-Hypothèses!$J$26/AC219),0)</f>
        <v>3228.57351637857</v>
      </c>
    </row>
    <row r="220" customFormat="false" ht="15" hidden="false" customHeight="false" outlineLevel="0" collapsed="false">
      <c r="A220" s="2" t="n">
        <v>205</v>
      </c>
      <c r="B220" s="2" t="n">
        <v>0.942028788</v>
      </c>
      <c r="C220" s="2"/>
      <c r="D220" s="2" t="n">
        <v>0.077193937</v>
      </c>
      <c r="E220" s="2" t="n">
        <f aca="false">IF(E$7=E$5,E$6,IF(NORMSDIST(E$9*SQRT($C$11)*NORMSINV($B220)+SQRT(1-E$9^2*$C$11)*NORMSINV(D220))&lt;E$8,E$5+SQRT(NORMSDIST(E$9*SQRT($C$11)*NORMSINV($B220)+SQRT(1-E$9^2*$C$11)*NORMSINV(D220))*(E$7-E$5)*(E$6-E$5)),E$7-SQRT((1-NORMSDIST(E$9*SQRT($C$11)*NORMSINV($B220)+SQRT(1-E$9^2*$C$11)*NORMSINV(D220)))*(E$7-E$5)*(E$7-E$6))))</f>
        <v>0.0547782054861825</v>
      </c>
      <c r="F220" s="2" t="n">
        <v>0.83730167</v>
      </c>
      <c r="G220" s="2" t="n">
        <f aca="false">IF(G$7=G$5,G$6,IF(NORMSDIST(G$9*SQRT($C$11)*NORMSINV($B220)+SQRT(1-G$9^2*$C$11)*NORMSINV(F220))&lt;G$8,G$5+SQRT(NORMSDIST(G$9*SQRT($C$11)*NORMSINV($B220)+SQRT(1-G$9^2*$C$11)*NORMSINV(F220))*(G$7-G$5)*(G$6-G$5)),G$7-SQRT((1-NORMSDIST(G$9*SQRT($C$11)*NORMSINV($B220)+SQRT(1-G$9^2*$C$11)*NORMSINV(F220)))*(G$7-G$5)*(G$7-G$6))))</f>
        <v>0.0657816125793778</v>
      </c>
      <c r="H220" s="2" t="n">
        <v>0.977686025</v>
      </c>
      <c r="I220" s="2" t="n">
        <f aca="false">IF(I$7=I$5,I$6,IF(NORMSDIST(I$9*SQRT($C$11)*NORMSINV($B220)+SQRT(1-I$9^2*$C$11)*NORMSINV(H220))&lt;I$8,I$5+SQRT(NORMSDIST(I$9*SQRT($C$11)*NORMSINV($B220)+SQRT(1-I$9^2*$C$11)*NORMSINV(H220))*(I$7-I$5)*(I$6-I$5)),I$7-SQRT((1-NORMSDIST(I$9*SQRT($C$11)*NORMSINV($B220)+SQRT(1-I$9^2*$C$11)*NORMSINV(H220)))*(I$7-I$5)*(I$7-I$6))))</f>
        <v>217.92344537449</v>
      </c>
      <c r="J220" s="2" t="n">
        <v>0.497391702</v>
      </c>
      <c r="K220" s="2" t="n">
        <f aca="false">IF(K$7=K$5,K$6,IF(NORMSDIST(K$9*SQRT($C$11)*NORMSINV($B220)+SQRT(1-K$9^2*$C$11)*NORMSINV(J220))&lt;K$8,K$5+SQRT(NORMSDIST(K$9*SQRT($C$11)*NORMSINV($B220)+SQRT(1-K$9^2*$C$11)*NORMSINV(J220))*(K$7-K$5)*(K$6-K$5)),K$7-SQRT((1-NORMSDIST(K$9*SQRT($C$11)*NORMSINV($B220)+SQRT(1-K$9^2*$C$11)*NORMSINV(J220)))*(K$7-K$5)*(K$7-K$6))))</f>
        <v>0.358010538201197</v>
      </c>
      <c r="L220" s="2" t="n">
        <v>0.430178503</v>
      </c>
      <c r="M220" s="2" t="n">
        <f aca="false">IF(M$7=M$5,M$6,IF(NORMSDIST(M$9*SQRT($C$11)*NORMSINV($B220)+SQRT(1-M$9^2*$C$11)*NORMSINV(L220))&lt;M$8,M$5+SQRT(NORMSDIST(M$9*SQRT($C$11)*NORMSINV($B220)+SQRT(1-M$9^2*$C$11)*NORMSINV(L220))*(M$7-M$5)*(M$6-M$5)),M$7-SQRT((1-NORMSDIST(M$9*SQRT($C$11)*NORMSINV($B220)+SQRT(1-M$9^2*$C$11)*NORMSINV(L220)))*(M$7-M$5)*(M$7-M$6))))</f>
        <v>1667.1608154378</v>
      </c>
      <c r="N220" s="2" t="n">
        <v>0.639765101</v>
      </c>
      <c r="O220" s="2" t="n">
        <f aca="false">IF(O$7=O$5,O$6,IF(NORMSDIST(O$9*SQRT($C$11)*NORMSINV($B220)+SQRT(1-O$9^2*$C$11)*NORMSINV(N220))&lt;O$8,O$5+SQRT(NORMSDIST(O$9*SQRT($C$11)*NORMSINV($B220)+SQRT(1-O$9^2*$C$11)*NORMSINV(N220))*(O$7-O$5)*(O$6-O$5)),O$7-SQRT((1-NORMSDIST(O$9*SQRT($C$11)*NORMSINV($B220)+SQRT(1-O$9^2*$C$11)*NORMSINV(N220)))*(O$7-O$5)*(O$7-O$6))))</f>
        <v>0.179587265396517</v>
      </c>
      <c r="P220" s="2" t="n">
        <v>0.24381644</v>
      </c>
      <c r="Q220" s="2" t="n">
        <f aca="false">IF(Q$7=Q$5,Q$6,IF(NORMSDIST(Q$9*SQRT($C$11)*NORMSINV($B220)+SQRT(1-Q$9^2*$C$11)*NORMSINV(P220))&lt;Q$8,Q$5+SQRT(NORMSDIST(Q$9*SQRT($C$11)*NORMSINV($B220)+SQRT(1-Q$9^2*$C$11)*NORMSINV(P220))*(Q$7-Q$5)*(Q$6-Q$5)),Q$7-SQRT((1-NORMSDIST(Q$9*SQRT($C$11)*NORMSINV($B220)+SQRT(1-Q$9^2*$C$11)*NORMSINV(P220)))*(Q$7-Q$5)*(Q$7-Q$6))))</f>
        <v>0.0679322861219772</v>
      </c>
      <c r="R220" s="2" t="n">
        <v>0.469566958</v>
      </c>
      <c r="S220" s="2" t="n">
        <f aca="false">IF(S$7=S$5,S$6,IF(NORMSDIST(S$9*SQRT($C$11)*NORMSINV($B220)+SQRT(1-S$9^2*$C$11)*NORMSINV(R220))&lt;S$8,S$5+SQRT(NORMSDIST(S$9*SQRT($C$11)*NORMSINV($B220)+SQRT(1-S$9^2*$C$11)*NORMSINV(R220))*(S$7-S$5)*(S$6-S$5)),S$7-SQRT((1-NORMSDIST(S$9*SQRT($C$11)*NORMSINV($B220)+SQRT(1-S$9^2*$C$11)*NORMSINV(R220)))*(S$7-S$5)*(S$7-S$6))))</f>
        <v>0.704306233624253</v>
      </c>
      <c r="T220" s="2" t="n">
        <v>0.150961199</v>
      </c>
      <c r="U220" s="2" t="n">
        <f aca="false">IF(U$7=U$5,U$6,IF(NORMSDIST(U$9*SQRT($C$11)*NORMSINV($B220)+SQRT(1-U$9^2*$C$11)*NORMSINV(T220))&lt;U$8,U$5+SQRT(NORMSDIST(U$9*SQRT($C$11)*NORMSINV($B220)+SQRT(1-U$9^2*$C$11)*NORMSINV(T220))*(U$7-U$5)*(U$6-U$5)),U$7-SQRT((1-NORMSDIST(U$9*SQRT($C$11)*NORMSINV($B220)+SQRT(1-U$9^2*$C$11)*NORMSINV(T220)))*(U$7-U$5)*(U$7-U$6))))</f>
        <v>0.540190916882251</v>
      </c>
      <c r="V220" s="2" t="n">
        <v>0.937396922</v>
      </c>
      <c r="W220" s="2" t="n">
        <f aca="false">IF(W$7=W$5,W$6,IF(NORMSDIST(W$9*SQRT($C$11)*NORMSINV($B220)+SQRT(1-W$9^2*$C$11)*NORMSINV(V220))&lt;W$8,W$5+SQRT(NORMSDIST(W$9*SQRT($C$11)*NORMSINV($B220)+SQRT(1-W$9^2*$C$11)*NORMSINV(V220))*(W$7-W$5)*(W$6-W$5)),W$7-SQRT((1-NORMSDIST(W$9*SQRT($C$11)*NORMSINV($B220)+SQRT(1-W$9^2*$C$11)*NORMSINV(V220)))*(W$7-W$5)*(W$7-W$6))))</f>
        <v>11.6587342601109</v>
      </c>
      <c r="X220" s="2" t="n">
        <v>0.348264144</v>
      </c>
      <c r="Y220" s="2" t="n">
        <f aca="false">IF(Y$7=Y$5,Y$6,IF(NORMSDIST(Y$9*SQRT($C$11)*NORMSINV($B220)+SQRT(1-Y$9^2*$C$11)*NORMSINV(X220))&lt;Y$8,Y$5+SQRT(NORMSDIST(Y$9*SQRT($C$11)*NORMSINV($B220)+SQRT(1-Y$9^2*$C$11)*NORMSINV(X220))*(Y$7-Y$5)*(Y$6-Y$5)),Y$7-SQRT((1-NORMSDIST(Y$9*SQRT($C$11)*NORMSINV($B220)+SQRT(1-Y$9^2*$C$11)*NORMSINV(X220)))*(Y$7-Y$5)*(Y$7-Y$6))))</f>
        <v>0.41729135145603</v>
      </c>
      <c r="Z220" s="2" t="n">
        <v>0.584151559</v>
      </c>
      <c r="AA220" s="2" t="n">
        <f aca="false">IF(AA$7=AA$5,AA$6,IF(NORMSDIST(AA$9*SQRT($C$11)*NORMSINV($B220)+SQRT(1-AA$9^2*$C$11)*NORMSINV(Z220))&lt;AA$8,AA$5+SQRT(NORMSDIST(AA$9*SQRT($C$11)*NORMSINV($B220)+SQRT(1-AA$9^2*$C$11)*NORMSINV(Z220))*(AA$7-AA$5)*(AA$6-AA$5)),AA$7-SQRT((1-NORMSDIST(AA$9*SQRT($C$11)*NORMSINV($B220)+SQRT(1-AA$9^2*$C$11)*NORMSINV(Z220)))*(AA$7-AA$5)*(AA$7-AA$6))))</f>
        <v>0.741283958601017</v>
      </c>
      <c r="AB220" s="2" t="n">
        <v>0.690241668</v>
      </c>
      <c r="AC220" s="2" t="n">
        <f aca="false">IF(AC$7=AC$5,AC$6,IF(NORMSDIST(AC$9*SQRT($C$11)*NORMSINV($B220)+SQRT(1-AC$9^2*$C$11)*NORMSINV(AB220))&lt;AC$8,AC$5+SQRT(NORMSDIST(AC$9*SQRT($C$11)*NORMSINV($B220)+SQRT(1-AC$9^2*$C$11)*NORMSINV(AB220))*(AC$7-AC$5)*(AC$6-AC$5)),AC$7-SQRT((1-NORMSDIST(AC$9*SQRT($C$11)*NORMSINV($B220)+SQRT(1-AC$9^2*$C$11)*NORMSINV(AB220)))*(AC$7-AC$5)*(AC$7-AC$6))))</f>
        <v>10.3977144190907</v>
      </c>
      <c r="AD220" s="2" t="n">
        <f aca="false">Entrées!$C$8*(1+E220)</f>
        <v>7436.18634867759</v>
      </c>
      <c r="AE220" s="2" t="n">
        <f aca="false">I220*Hypothèses!$J$24/12/Hypothèses!$J$19</f>
        <v>108.111123759164</v>
      </c>
      <c r="AF220" s="2" t="n">
        <f aca="false">Entrées!$C$36*S220*1000</f>
        <v>352.153116812127</v>
      </c>
      <c r="AG220" s="2" t="n">
        <f aca="false">-AF220/W220</f>
        <v>-30.2050899313299</v>
      </c>
      <c r="AH220" s="2" t="n">
        <f aca="false">AD220+AE220+AG220</f>
        <v>7514.09238250542</v>
      </c>
      <c r="AI220" s="2" t="n">
        <f aca="false">Entrées!$C$16-M220+Hypothèses!$J$22*1000-AF220+Hypothèses!$J$23</f>
        <v>22528.6860677501</v>
      </c>
      <c r="AJ220" s="2" t="n">
        <f aca="false">AI220/AH220</f>
        <v>2.99819125463538</v>
      </c>
      <c r="AK220" s="2" t="n">
        <f aca="false">AI220/(AH220+I220*(12-Hypothèses!$J$24)/12/Hypothèses!$J$19)</f>
        <v>2.96769231865437</v>
      </c>
      <c r="AL220" s="2" t="n">
        <f aca="false">(AD220+AG220+I220/Hypothèses!$J$19)*(1+G220)</f>
        <v>8090.68353065262</v>
      </c>
      <c r="AM220" s="2" t="n">
        <f aca="false">Entrées!$C$54*K220/Hypothèses!$J$19</f>
        <v>36.5364786125437</v>
      </c>
      <c r="AN220" s="2" t="n">
        <f aca="false">Y220*1000/AC220</f>
        <v>40.132988331538</v>
      </c>
      <c r="AO220" s="2" t="n">
        <f aca="false">(Entrées!$C$36*(1-S220)+MAX(0,Entrées!$C$30-Entrées!$C$35-Entrées!$C$36)*U220)*1000</f>
        <v>904.114166823024</v>
      </c>
      <c r="AP220" s="2" t="n">
        <f aca="false">-AO220/W220</f>
        <v>-77.5482266472401</v>
      </c>
      <c r="AQ220" s="2" t="n">
        <f aca="false">AL220+AM220+AN220+AP220</f>
        <v>8089.80477094947</v>
      </c>
      <c r="AR220" s="2" t="n">
        <f aca="false">O220*AQ220-Hypothèses!$J$25/Hypothèses!$J$19</f>
        <v>1433.69075414489</v>
      </c>
      <c r="AS220" s="2" t="n">
        <f aca="false">Entrées!$C$79*(1+Q220)+Hypothèses!$J$20</f>
        <v>1468.65758244805</v>
      </c>
      <c r="AT220" s="2" t="n">
        <f aca="false">AI220-AR220+AS220+Y220*1000-AO220+Hypothèses!$J$23</f>
        <v>22076.8300806863</v>
      </c>
      <c r="AU220" s="2" t="n">
        <f aca="false">AT220/AQ220</f>
        <v>2.72896945053165</v>
      </c>
      <c r="AV220" s="2" t="n">
        <f aca="false">Hypothèses!$J$26*AQ220-AT220</f>
        <v>2192.58423216215</v>
      </c>
      <c r="AW220" s="2" t="n">
        <f aca="false">IF(AC220&gt;Hypothèses!$J$26,MAX(0,AV220)/(1-Hypothèses!$J$26/AC220),0)</f>
        <v>3081.74435971611</v>
      </c>
      <c r="AX220" s="2" t="n">
        <f aca="false">AQ220-Entrées!$C$17*1000</f>
        <v>89.8047709494658</v>
      </c>
      <c r="AY220" s="2" t="n">
        <f aca="false">AI220+(Entrées!$C$244-Entrées!$C$13)</f>
        <v>28275.6860677501</v>
      </c>
      <c r="AZ220" s="2" t="n">
        <f aca="false">AA220*AH220</f>
        <v>5570.07614659737</v>
      </c>
      <c r="BA220" s="2" t="n">
        <f aca="false">AZ220/AY220</f>
        <v>0.196991724029301</v>
      </c>
      <c r="BB220" s="2" t="n">
        <f aca="false">AZ220/(Entrées!$C$151/100)-AY220</f>
        <v>2669.1814133464</v>
      </c>
      <c r="BC220" s="2" t="n">
        <f aca="false">AT220+(Entrées!$C$244-Entrées!$C$13)</f>
        <v>27823.8300806863</v>
      </c>
      <c r="BD220" s="2" t="n">
        <f aca="false">AA220*AQ220</f>
        <v>5996.84250491881</v>
      </c>
      <c r="BE220" s="2" t="n">
        <f aca="false">BD220/BC220</f>
        <v>0.215529008318718</v>
      </c>
      <c r="BF220" s="2" t="n">
        <f aca="false">BD220/(Entrées!$C$151/100)-BC220</f>
        <v>5491.96161330715</v>
      </c>
      <c r="BG220" s="2" t="n">
        <f aca="false">MIN(AV220,BF220)</f>
        <v>2192.58423216215</v>
      </c>
      <c r="BH220" s="2" t="n">
        <f aca="false">IF(AC220&gt;Hypothèses!$J$26,MAX(0,BG220)/(1-Hypothèses!$J$26/AC220),0)</f>
        <v>3081.74435971611</v>
      </c>
    </row>
    <row r="221" customFormat="false" ht="15" hidden="false" customHeight="false" outlineLevel="0" collapsed="false">
      <c r="A221" s="2" t="n">
        <v>206</v>
      </c>
      <c r="B221" s="2" t="n">
        <v>0.04667565</v>
      </c>
      <c r="C221" s="2"/>
      <c r="D221" s="2" t="n">
        <v>0.535271705</v>
      </c>
      <c r="E221" s="2" t="n">
        <f aca="false">IF(E$7=E$5,E$6,IF(NORMSDIST(E$9*SQRT($C$11)*NORMSINV($B221)+SQRT(1-E$9^2*$C$11)*NORMSINV(D221))&lt;E$8,E$5+SQRT(NORMSDIST(E$9*SQRT($C$11)*NORMSINV($B221)+SQRT(1-E$9^2*$C$11)*NORMSINV(D221))*(E$7-E$5)*(E$6-E$5)),E$7-SQRT((1-NORMSDIST(E$9*SQRT($C$11)*NORMSINV($B221)+SQRT(1-E$9^2*$C$11)*NORMSINV(D221)))*(E$7-E$5)*(E$7-E$6))))</f>
        <v>0.0528322668058828</v>
      </c>
      <c r="F221" s="2" t="n">
        <v>0.000188763</v>
      </c>
      <c r="G221" s="2" t="n">
        <f aca="false">IF(G$7=G$5,G$6,IF(NORMSDIST(G$9*SQRT($C$11)*NORMSINV($B221)+SQRT(1-G$9^2*$C$11)*NORMSINV(F221))&lt;G$8,G$5+SQRT(NORMSDIST(G$9*SQRT($C$11)*NORMSINV($B221)+SQRT(1-G$9^2*$C$11)*NORMSINV(F221))*(G$7-G$5)*(G$6-G$5)),G$7-SQRT((1-NORMSDIST(G$9*SQRT($C$11)*NORMSINV($B221)+SQRT(1-G$9^2*$C$11)*NORMSINV(F221)))*(G$7-G$5)*(G$7-G$6))))</f>
        <v>0.0401749815971437</v>
      </c>
      <c r="H221" s="2" t="n">
        <v>0.606377942</v>
      </c>
      <c r="I221" s="2" t="n">
        <f aca="false">IF(I$7=I$5,I$6,IF(NORMSDIST(I$9*SQRT($C$11)*NORMSINV($B221)+SQRT(1-I$9^2*$C$11)*NORMSINV(H221))&lt;I$8,I$5+SQRT(NORMSDIST(I$9*SQRT($C$11)*NORMSINV($B221)+SQRT(1-I$9^2*$C$11)*NORMSINV(H221))*(I$7-I$5)*(I$6-I$5)),I$7-SQRT((1-NORMSDIST(I$9*SQRT($C$11)*NORMSINV($B221)+SQRT(1-I$9^2*$C$11)*NORMSINV(H221)))*(I$7-I$5)*(I$7-I$6))))</f>
        <v>192.555613661047</v>
      </c>
      <c r="J221" s="2" t="n">
        <v>0.644692843</v>
      </c>
      <c r="K221" s="2" t="n">
        <f aca="false">IF(K$7=K$5,K$6,IF(NORMSDIST(K$9*SQRT($C$11)*NORMSINV($B221)+SQRT(1-K$9^2*$C$11)*NORMSINV(J221))&lt;K$8,K$5+SQRT(NORMSDIST(K$9*SQRT($C$11)*NORMSINV($B221)+SQRT(1-K$9^2*$C$11)*NORMSINV(J221))*(K$7-K$5)*(K$6-K$5)),K$7-SQRT((1-NORMSDIST(K$9*SQRT($C$11)*NORMSINV($B221)+SQRT(1-K$9^2*$C$11)*NORMSINV(J221)))*(K$7-K$5)*(K$7-K$6))))</f>
        <v>0.16564667206243</v>
      </c>
      <c r="L221" s="2" t="n">
        <v>0.234035716</v>
      </c>
      <c r="M221" s="2" t="n">
        <f aca="false">IF(M$7=M$5,M$6,IF(NORMSDIST(M$9*SQRT($C$11)*NORMSINV($B221)+SQRT(1-M$9^2*$C$11)*NORMSINV(L221))&lt;M$8,M$5+SQRT(NORMSDIST(M$9*SQRT($C$11)*NORMSINV($B221)+SQRT(1-M$9^2*$C$11)*NORMSINV(L221))*(M$7-M$5)*(M$6-M$5)),M$7-SQRT((1-NORMSDIST(M$9*SQRT($C$11)*NORMSINV($B221)+SQRT(1-M$9^2*$C$11)*NORMSINV(L221)))*(M$7-M$5)*(M$7-M$6))))</f>
        <v>1394.41955605232</v>
      </c>
      <c r="N221" s="2" t="n">
        <v>0.30813581</v>
      </c>
      <c r="O221" s="2" t="n">
        <f aca="false">IF(O$7=O$5,O$6,IF(NORMSDIST(O$9*SQRT($C$11)*NORMSINV($B221)+SQRT(1-O$9^2*$C$11)*NORMSINV(N221))&lt;O$8,O$5+SQRT(NORMSDIST(O$9*SQRT($C$11)*NORMSINV($B221)+SQRT(1-O$9^2*$C$11)*NORMSINV(N221))*(O$7-O$5)*(O$6-O$5)),O$7-SQRT((1-NORMSDIST(O$9*SQRT($C$11)*NORMSINV($B221)+SQRT(1-O$9^2*$C$11)*NORMSINV(N221)))*(O$7-O$5)*(O$7-O$6))))</f>
        <v>0.1502769332484</v>
      </c>
      <c r="P221" s="2" t="n">
        <v>0.437587875</v>
      </c>
      <c r="Q221" s="2" t="n">
        <f aca="false">IF(Q$7=Q$5,Q$6,IF(NORMSDIST(Q$9*SQRT($C$11)*NORMSINV($B221)+SQRT(1-Q$9^2*$C$11)*NORMSINV(P221))&lt;Q$8,Q$5+SQRT(NORMSDIST(Q$9*SQRT($C$11)*NORMSINV($B221)+SQRT(1-Q$9^2*$C$11)*NORMSINV(P221))*(Q$7-Q$5)*(Q$6-Q$5)),Q$7-SQRT((1-NORMSDIST(Q$9*SQRT($C$11)*NORMSINV($B221)+SQRT(1-Q$9^2*$C$11)*NORMSINV(P221)))*(Q$7-Q$5)*(Q$7-Q$6))))</f>
        <v>0.0774203313721298</v>
      </c>
      <c r="R221" s="2" t="n">
        <v>0.224517975</v>
      </c>
      <c r="S221" s="2" t="n">
        <f aca="false">IF(S$7=S$5,S$6,IF(NORMSDIST(S$9*SQRT($C$11)*NORMSINV($B221)+SQRT(1-S$9^2*$C$11)*NORMSINV(R221))&lt;S$8,S$5+SQRT(NORMSDIST(S$9*SQRT($C$11)*NORMSINV($B221)+SQRT(1-S$9^2*$C$11)*NORMSINV(R221))*(S$7-S$5)*(S$6-S$5)),S$7-SQRT((1-NORMSDIST(S$9*SQRT($C$11)*NORMSINV($B221)+SQRT(1-S$9^2*$C$11)*NORMSINV(R221)))*(S$7-S$5)*(S$7-S$6))))</f>
        <v>0.157660797935695</v>
      </c>
      <c r="T221" s="2" t="n">
        <v>0.351133608</v>
      </c>
      <c r="U221" s="2" t="n">
        <f aca="false">IF(U$7=U$5,U$6,IF(NORMSDIST(U$9*SQRT($C$11)*NORMSINV($B221)+SQRT(1-U$9^2*$C$11)*NORMSINV(T221))&lt;U$8,U$5+SQRT(NORMSDIST(U$9*SQRT($C$11)*NORMSINV($B221)+SQRT(1-U$9^2*$C$11)*NORMSINV(T221))*(U$7-U$5)*(U$6-U$5)),U$7-SQRT((1-NORMSDIST(U$9*SQRT($C$11)*NORMSINV($B221)+SQRT(1-U$9^2*$C$11)*NORMSINV(T221)))*(U$7-U$5)*(U$7-U$6))))</f>
        <v>0.208968579859027</v>
      </c>
      <c r="V221" s="2" t="n">
        <v>0.539015339</v>
      </c>
      <c r="W221" s="2" t="n">
        <f aca="false">IF(W$7=W$5,W$6,IF(NORMSDIST(W$9*SQRT($C$11)*NORMSINV($B221)+SQRT(1-W$9^2*$C$11)*NORMSINV(V221))&lt;W$8,W$5+SQRT(NORMSDIST(W$9*SQRT($C$11)*NORMSINV($B221)+SQRT(1-W$9^2*$C$11)*NORMSINV(V221))*(W$7-W$5)*(W$6-W$5)),W$7-SQRT((1-NORMSDIST(W$9*SQRT($C$11)*NORMSINV($B221)+SQRT(1-W$9^2*$C$11)*NORMSINV(V221)))*(W$7-W$5)*(W$7-W$6))))</f>
        <v>9.13919475367605</v>
      </c>
      <c r="X221" s="2" t="n">
        <v>0.601556364</v>
      </c>
      <c r="Y221" s="2" t="n">
        <f aca="false">IF(Y$7=Y$5,Y$6,IF(NORMSDIST(Y$9*SQRT($C$11)*NORMSINV($B221)+SQRT(1-Y$9^2*$C$11)*NORMSINV(X221))&lt;Y$8,Y$5+SQRT(NORMSDIST(Y$9*SQRT($C$11)*NORMSINV($B221)+SQRT(1-Y$9^2*$C$11)*NORMSINV(X221))*(Y$7-Y$5)*(Y$6-Y$5)),Y$7-SQRT((1-NORMSDIST(Y$9*SQRT($C$11)*NORMSINV($B221)+SQRT(1-Y$9^2*$C$11)*NORMSINV(X221)))*(Y$7-Y$5)*(Y$7-Y$6))))</f>
        <v>0.553657286381866</v>
      </c>
      <c r="Z221" s="2" t="n">
        <v>0.752200554</v>
      </c>
      <c r="AA221" s="2" t="n">
        <f aca="false">IF(AA$7=AA$5,AA$6,IF(NORMSDIST(AA$9*SQRT($C$11)*NORMSINV($B221)+SQRT(1-AA$9^2*$C$11)*NORMSINV(Z221))&lt;AA$8,AA$5+SQRT(NORMSDIST(AA$9*SQRT($C$11)*NORMSINV($B221)+SQRT(1-AA$9^2*$C$11)*NORMSINV(Z221))*(AA$7-AA$5)*(AA$6-AA$5)),AA$7-SQRT((1-NORMSDIST(AA$9*SQRT($C$11)*NORMSINV($B221)+SQRT(1-AA$9^2*$C$11)*NORMSINV(Z221)))*(AA$7-AA$5)*(AA$7-AA$6))))</f>
        <v>0.720540981564281</v>
      </c>
      <c r="AB221" s="2" t="n">
        <v>0.592088185</v>
      </c>
      <c r="AC221" s="2" t="n">
        <f aca="false">IF(AC$7=AC$5,AC$6,IF(NORMSDIST(AC$9*SQRT($C$11)*NORMSINV($B221)+SQRT(1-AC$9^2*$C$11)*NORMSINV(AB221))&lt;AC$8,AC$5+SQRT(NORMSDIST(AC$9*SQRT($C$11)*NORMSINV($B221)+SQRT(1-AC$9^2*$C$11)*NORMSINV(AB221))*(AC$7-AC$5)*(AC$6-AC$5)),AC$7-SQRT((1-NORMSDIST(AC$9*SQRT($C$11)*NORMSINV($B221)+SQRT(1-AC$9^2*$C$11)*NORMSINV(AB221)))*(AC$7-AC$5)*(AC$7-AC$6))))</f>
        <v>8.67856779560508</v>
      </c>
      <c r="AD221" s="2" t="n">
        <f aca="false">Entrées!$C$8*(1+E221)</f>
        <v>7422.46748098148</v>
      </c>
      <c r="AE221" s="2" t="n">
        <f aca="false">I221*Hypothèses!$J$24/12/Hypothèses!$J$19</f>
        <v>95.5262236390282</v>
      </c>
      <c r="AF221" s="2" t="n">
        <f aca="false">Entrées!$C$36*S221*1000</f>
        <v>78.8303989678475</v>
      </c>
      <c r="AG221" s="2" t="n">
        <f aca="false">-AF221/W221</f>
        <v>-8.6255300486008</v>
      </c>
      <c r="AH221" s="2" t="n">
        <f aca="false">AD221+AE221+AG221</f>
        <v>7509.3681745719</v>
      </c>
      <c r="AI221" s="2" t="n">
        <f aca="false">Entrées!$C$16-M221+Hypothèses!$J$22*1000-AF221+Hypothèses!$J$23</f>
        <v>23074.7500449798</v>
      </c>
      <c r="AJ221" s="2" t="n">
        <f aca="false">AI221/AH221</f>
        <v>3.07279514182234</v>
      </c>
      <c r="AK221" s="2" t="n">
        <f aca="false">AI221/(AH221+I221*(12-Hypothèses!$J$24)/12/Hypothèses!$J$19)</f>
        <v>3.04512595239171</v>
      </c>
      <c r="AL221" s="2" t="n">
        <f aca="false">(AD221+AG221+I221/Hypothèses!$J$19)*(1+G221)</f>
        <v>7882.0311798742</v>
      </c>
      <c r="AM221" s="2" t="n">
        <f aca="false">Entrées!$C$54*K221/Hypothèses!$J$19</f>
        <v>16.9049383894023</v>
      </c>
      <c r="AN221" s="2" t="n">
        <f aca="false">Y221*1000/AC221</f>
        <v>63.7959280173214</v>
      </c>
      <c r="AO221" s="2" t="n">
        <f aca="false">(Entrées!$C$36*(1-S221)+MAX(0,Entrées!$C$30-Entrées!$C$35-Entrées!$C$36)*U221)*1000</f>
        <v>713.725612834791</v>
      </c>
      <c r="AP221" s="2" t="n">
        <f aca="false">-AO221/W221</f>
        <v>-78.0950217247214</v>
      </c>
      <c r="AQ221" s="2" t="n">
        <f aca="false">AL221+AM221+AN221+AP221</f>
        <v>7884.6370245562</v>
      </c>
      <c r="AR221" s="2" t="n">
        <f aca="false">O221*AQ221-Hypothèses!$J$25/Hypothèses!$J$19</f>
        <v>1165.74390956547</v>
      </c>
      <c r="AS221" s="2" t="n">
        <f aca="false">Entrées!$C$79*(1+Q221)+Hypothèses!$J$20</f>
        <v>1479.08494417797</v>
      </c>
      <c r="AT221" s="2" t="n">
        <f aca="false">AI221-AR221+AS221+Y221*1000-AO221+Hypothèses!$J$23</f>
        <v>23228.0227531394</v>
      </c>
      <c r="AU221" s="2" t="n">
        <f aca="false">AT221/AQ221</f>
        <v>2.94598504418114</v>
      </c>
      <c r="AV221" s="2" t="n">
        <f aca="false">Hypothèses!$J$26*AQ221-AT221</f>
        <v>425.88832052919</v>
      </c>
      <c r="AW221" s="2" t="n">
        <f aca="false">IF(AC221&gt;Hypothèses!$J$26,MAX(0,AV221)/(1-Hypothèses!$J$26/AC221),0)</f>
        <v>650.886067773911</v>
      </c>
      <c r="AX221" s="2" t="n">
        <f aca="false">AQ221-Entrées!$C$17*1000</f>
        <v>-115.362975443798</v>
      </c>
      <c r="AY221" s="2" t="n">
        <f aca="false">AI221+(Entrées!$C$244-Entrées!$C$13)</f>
        <v>28821.7500449798</v>
      </c>
      <c r="AZ221" s="2" t="n">
        <f aca="false">AA221*AH221</f>
        <v>5410.80751543361</v>
      </c>
      <c r="BA221" s="2" t="n">
        <f aca="false">AZ221/AY221</f>
        <v>0.187733482768721</v>
      </c>
      <c r="BB221" s="2" t="n">
        <f aca="false">AZ221/(Entrées!$C$151/100)-AY221</f>
        <v>1238.29170742912</v>
      </c>
      <c r="BC221" s="2" t="n">
        <f aca="false">AT221+(Entrées!$C$244-Entrées!$C$13)</f>
        <v>28975.0227531394</v>
      </c>
      <c r="BD221" s="2" t="n">
        <f aca="false">AA221*AQ221</f>
        <v>5681.2041009518</v>
      </c>
      <c r="BE221" s="2" t="n">
        <f aca="false">BD221/BC221</f>
        <v>0.196072463837366</v>
      </c>
      <c r="BF221" s="2" t="n">
        <f aca="false">BD221/(Entrées!$C$151/100)-BC221</f>
        <v>2587.22225214835</v>
      </c>
      <c r="BG221" s="2" t="n">
        <f aca="false">MIN(AV221,BF221)</f>
        <v>425.88832052919</v>
      </c>
      <c r="BH221" s="2" t="n">
        <f aca="false">IF(AC221&gt;Hypothèses!$J$26,MAX(0,BG221)/(1-Hypothèses!$J$26/AC221),0)</f>
        <v>650.886067773911</v>
      </c>
    </row>
    <row r="222" customFormat="false" ht="15" hidden="false" customHeight="false" outlineLevel="0" collapsed="false">
      <c r="A222" s="2" t="n">
        <v>207</v>
      </c>
      <c r="B222" s="2" t="n">
        <v>0.419096332</v>
      </c>
      <c r="C222" s="2"/>
      <c r="D222" s="2" t="n">
        <v>0.855408189</v>
      </c>
      <c r="E222" s="2" t="n">
        <f aca="false">IF(E$7=E$5,E$6,IF(NORMSDIST(E$9*SQRT($C$11)*NORMSINV($B222)+SQRT(1-E$9^2*$C$11)*NORMSINV(D222))&lt;E$8,E$5+SQRT(NORMSDIST(E$9*SQRT($C$11)*NORMSINV($B222)+SQRT(1-E$9^2*$C$11)*NORMSINV(D222))*(E$7-E$5)*(E$6-E$5)),E$7-SQRT((1-NORMSDIST(E$9*SQRT($C$11)*NORMSINV($B222)+SQRT(1-E$9^2*$C$11)*NORMSINV(D222)))*(E$7-E$5)*(E$7-E$6))))</f>
        <v>0.056503471592251</v>
      </c>
      <c r="F222" s="2" t="n">
        <v>0.663620541</v>
      </c>
      <c r="G222" s="2" t="n">
        <f aca="false">IF(G$7=G$5,G$6,IF(NORMSDIST(G$9*SQRT($C$11)*NORMSINV($B222)+SQRT(1-G$9^2*$C$11)*NORMSINV(F222))&lt;G$8,G$5+SQRT(NORMSDIST(G$9*SQRT($C$11)*NORMSINV($B222)+SQRT(1-G$9^2*$C$11)*NORMSINV(F222))*(G$7-G$5)*(G$6-G$5)),G$7-SQRT((1-NORMSDIST(G$9*SQRT($C$11)*NORMSINV($B222)+SQRT(1-G$9^2*$C$11)*NORMSINV(F222)))*(G$7-G$5)*(G$7-G$6))))</f>
        <v>0.0562274481607128</v>
      </c>
      <c r="H222" s="2" t="n">
        <v>0.152574687</v>
      </c>
      <c r="I222" s="2" t="n">
        <f aca="false">IF(I$7=I$5,I$6,IF(NORMSDIST(I$9*SQRT($C$11)*NORMSINV($B222)+SQRT(1-I$9^2*$C$11)*NORMSINV(H222))&lt;I$8,I$5+SQRT(NORMSDIST(I$9*SQRT($C$11)*NORMSINV($B222)+SQRT(1-I$9^2*$C$11)*NORMSINV(H222))*(I$7-I$5)*(I$6-I$5)),I$7-SQRT((1-NORMSDIST(I$9*SQRT($C$11)*NORMSINV($B222)+SQRT(1-I$9^2*$C$11)*NORMSINV(H222)))*(I$7-I$5)*(I$7-I$6))))</f>
        <v>191.929217442451</v>
      </c>
      <c r="J222" s="2" t="n">
        <v>0.479468825</v>
      </c>
      <c r="K222" s="2" t="n">
        <f aca="false">IF(K$7=K$5,K$6,IF(NORMSDIST(K$9*SQRT($C$11)*NORMSINV($B222)+SQRT(1-K$9^2*$C$11)*NORMSINV(J222))&lt;K$8,K$5+SQRT(NORMSDIST(K$9*SQRT($C$11)*NORMSINV($B222)+SQRT(1-K$9^2*$C$11)*NORMSINV(J222))*(K$7-K$5)*(K$6-K$5)),K$7-SQRT((1-NORMSDIST(K$9*SQRT($C$11)*NORMSINV($B222)+SQRT(1-K$9^2*$C$11)*NORMSINV(J222)))*(K$7-K$5)*(K$7-K$6))))</f>
        <v>0.232617043003429</v>
      </c>
      <c r="L222" s="2" t="n">
        <v>0.74008006</v>
      </c>
      <c r="M222" s="2" t="n">
        <f aca="false">IF(M$7=M$5,M$6,IF(NORMSDIST(M$9*SQRT($C$11)*NORMSINV($B222)+SQRT(1-M$9^2*$C$11)*NORMSINV(L222))&lt;M$8,M$5+SQRT(NORMSDIST(M$9*SQRT($C$11)*NORMSINV($B222)+SQRT(1-M$9^2*$C$11)*NORMSINV(L222))*(M$7-M$5)*(M$6-M$5)),M$7-SQRT((1-NORMSDIST(M$9*SQRT($C$11)*NORMSINV($B222)+SQRT(1-M$9^2*$C$11)*NORMSINV(L222)))*(M$7-M$5)*(M$7-M$6))))</f>
        <v>1623.43221304744</v>
      </c>
      <c r="N222" s="2" t="n">
        <v>0.950105191</v>
      </c>
      <c r="O222" s="2" t="n">
        <f aca="false">IF(O$7=O$5,O$6,IF(NORMSDIST(O$9*SQRT($C$11)*NORMSINV($B222)+SQRT(1-O$9^2*$C$11)*NORMSINV(N222))&lt;O$8,O$5+SQRT(NORMSDIST(O$9*SQRT($C$11)*NORMSINV($B222)+SQRT(1-O$9^2*$C$11)*NORMSINV(N222))*(O$7-O$5)*(O$6-O$5)),O$7-SQRT((1-NORMSDIST(O$9*SQRT($C$11)*NORMSINV($B222)+SQRT(1-O$9^2*$C$11)*NORMSINV(N222)))*(O$7-O$5)*(O$7-O$6))))</f>
        <v>0.178417184843603</v>
      </c>
      <c r="P222" s="2" t="n">
        <v>0.188314482</v>
      </c>
      <c r="Q222" s="2" t="n">
        <f aca="false">IF(Q$7=Q$5,Q$6,IF(NORMSDIST(Q$9*SQRT($C$11)*NORMSINV($B222)+SQRT(1-Q$9^2*$C$11)*NORMSINV(P222))&lt;Q$8,Q$5+SQRT(NORMSDIST(Q$9*SQRT($C$11)*NORMSINV($B222)+SQRT(1-Q$9^2*$C$11)*NORMSINV(P222))*(Q$7-Q$5)*(Q$6-Q$5)),Q$7-SQRT((1-NORMSDIST(Q$9*SQRT($C$11)*NORMSINV($B222)+SQRT(1-Q$9^2*$C$11)*NORMSINV(P222)))*(Q$7-Q$5)*(Q$7-Q$6))))</f>
        <v>0.0645480415186222</v>
      </c>
      <c r="R222" s="2" t="n">
        <v>0.149054351</v>
      </c>
      <c r="S222" s="2" t="n">
        <f aca="false">IF(S$7=S$5,S$6,IF(NORMSDIST(S$9*SQRT($C$11)*NORMSINV($B222)+SQRT(1-S$9^2*$C$11)*NORMSINV(R222))&lt;S$8,S$5+SQRT(NORMSDIST(S$9*SQRT($C$11)*NORMSINV($B222)+SQRT(1-S$9^2*$C$11)*NORMSINV(R222))*(S$7-S$5)*(S$6-S$5)),S$7-SQRT((1-NORMSDIST(S$9*SQRT($C$11)*NORMSINV($B222)+SQRT(1-S$9^2*$C$11)*NORMSINV(R222)))*(S$7-S$5)*(S$7-S$6))))</f>
        <v>0.295688984339186</v>
      </c>
      <c r="T222" s="2" t="n">
        <v>0.434146332</v>
      </c>
      <c r="U222" s="2" t="n">
        <f aca="false">IF(U$7=U$5,U$6,IF(NORMSDIST(U$9*SQRT($C$11)*NORMSINV($B222)+SQRT(1-U$9^2*$C$11)*NORMSINV(T222))&lt;U$8,U$5+SQRT(NORMSDIST(U$9*SQRT($C$11)*NORMSINV($B222)+SQRT(1-U$9^2*$C$11)*NORMSINV(T222))*(U$7-U$5)*(U$6-U$5)),U$7-SQRT((1-NORMSDIST(U$9*SQRT($C$11)*NORMSINV($B222)+SQRT(1-U$9^2*$C$11)*NORMSINV(T222)))*(U$7-U$5)*(U$7-U$6))))</f>
        <v>0.446294519038801</v>
      </c>
      <c r="V222" s="2" t="n">
        <v>0.952899242</v>
      </c>
      <c r="W222" s="2" t="n">
        <f aca="false">IF(W$7=W$5,W$6,IF(NORMSDIST(W$9*SQRT($C$11)*NORMSINV($B222)+SQRT(1-W$9^2*$C$11)*NORMSINV(V222))&lt;W$8,W$5+SQRT(NORMSDIST(W$9*SQRT($C$11)*NORMSINV($B222)+SQRT(1-W$9^2*$C$11)*NORMSINV(V222))*(W$7-W$5)*(W$6-W$5)),W$7-SQRT((1-NORMSDIST(W$9*SQRT($C$11)*NORMSINV($B222)+SQRT(1-W$9^2*$C$11)*NORMSINV(V222)))*(W$7-W$5)*(W$7-W$6))))</f>
        <v>11.0138727786691</v>
      </c>
      <c r="X222" s="2" t="n">
        <v>0.223264151</v>
      </c>
      <c r="Y222" s="2" t="n">
        <f aca="false">IF(Y$7=Y$5,Y$6,IF(NORMSDIST(Y$9*SQRT($C$11)*NORMSINV($B222)+SQRT(1-Y$9^2*$C$11)*NORMSINV(X222))&lt;Y$8,Y$5+SQRT(NORMSDIST(Y$9*SQRT($C$11)*NORMSINV($B222)+SQRT(1-Y$9^2*$C$11)*NORMSINV(X222))*(Y$7-Y$5)*(Y$6-Y$5)),Y$7-SQRT((1-NORMSDIST(Y$9*SQRT($C$11)*NORMSINV($B222)+SQRT(1-Y$9^2*$C$11)*NORMSINV(X222)))*(Y$7-Y$5)*(Y$7-Y$6))))</f>
        <v>0.334113866069638</v>
      </c>
      <c r="Z222" s="2" t="n">
        <v>0.430346666</v>
      </c>
      <c r="AA222" s="2" t="n">
        <f aca="false">IF(AA$7=AA$5,AA$6,IF(NORMSDIST(AA$9*SQRT($C$11)*NORMSINV($B222)+SQRT(1-AA$9^2*$C$11)*NORMSINV(Z222))&lt;AA$8,AA$5+SQRT(NORMSDIST(AA$9*SQRT($C$11)*NORMSINV($B222)+SQRT(1-AA$9^2*$C$11)*NORMSINV(Z222))*(AA$7-AA$5)*(AA$6-AA$5)),AA$7-SQRT((1-NORMSDIST(AA$9*SQRT($C$11)*NORMSINV($B222)+SQRT(1-AA$9^2*$C$11)*NORMSINV(Z222)))*(AA$7-AA$5)*(AA$7-AA$6))))</f>
        <v>0.724429548109767</v>
      </c>
      <c r="AB222" s="2" t="n">
        <v>0.650050228</v>
      </c>
      <c r="AC222" s="2" t="n">
        <f aca="false">IF(AC$7=AC$5,AC$6,IF(NORMSDIST(AC$9*SQRT($C$11)*NORMSINV($B222)+SQRT(1-AC$9^2*$C$11)*NORMSINV(AB222))&lt;AC$8,AC$5+SQRT(NORMSDIST(AC$9*SQRT($C$11)*NORMSINV($B222)+SQRT(1-AC$9^2*$C$11)*NORMSINV(AB222))*(AC$7-AC$5)*(AC$6-AC$5)),AC$7-SQRT((1-NORMSDIST(AC$9*SQRT($C$11)*NORMSINV($B222)+SQRT(1-AC$9^2*$C$11)*NORMSINV(AB222)))*(AC$7-AC$5)*(AC$7-AC$6))))</f>
        <v>9.61386360042043</v>
      </c>
      <c r="AD222" s="2" t="n">
        <f aca="false">Entrées!$C$8*(1+E222)</f>
        <v>7448.34947472537</v>
      </c>
      <c r="AE222" s="2" t="n">
        <f aca="false">I222*Hypothèses!$J$24/12/Hypothèses!$J$19</f>
        <v>95.2154704798418</v>
      </c>
      <c r="AF222" s="2" t="n">
        <f aca="false">Entrées!$C$36*S222*1000</f>
        <v>147.844492169593</v>
      </c>
      <c r="AG222" s="2" t="n">
        <f aca="false">-AF222/W222</f>
        <v>-13.4234792012423</v>
      </c>
      <c r="AH222" s="2" t="n">
        <f aca="false">AD222+AE222+AG222</f>
        <v>7530.14146600397</v>
      </c>
      <c r="AI222" s="2" t="n">
        <f aca="false">Entrées!$C$16-M222+Hypothèses!$J$22*1000-AF222+Hypothèses!$J$23</f>
        <v>22776.723294783</v>
      </c>
      <c r="AJ222" s="2" t="n">
        <f aca="false">AI222/AH222</f>
        <v>3.02474042454742</v>
      </c>
      <c r="AK222" s="2" t="n">
        <f aca="false">AI222/(AH222+I222*(12-Hypothèses!$J$24)/12/Hypothèses!$J$19)</f>
        <v>2.9976659781152</v>
      </c>
      <c r="AL222" s="2" t="n">
        <f aca="false">(AD222+AG222+I222/Hypothèses!$J$19)*(1+G222)</f>
        <v>8025.37724307679</v>
      </c>
      <c r="AM222" s="2" t="n">
        <f aca="false">Entrées!$C$54*K222/Hypothèses!$J$19</f>
        <v>23.739545934348</v>
      </c>
      <c r="AN222" s="2" t="n">
        <f aca="false">Y222*1000/AC222</f>
        <v>34.7533395475911</v>
      </c>
      <c r="AO222" s="2" t="n">
        <f aca="false">(Entrées!$C$36*(1-S222)+MAX(0,Entrées!$C$30-Entrées!$C$35-Entrées!$C$36)*U222)*1000</f>
        <v>976.967834484729</v>
      </c>
      <c r="AP222" s="2" t="n">
        <f aca="false">-AO222/W222</f>
        <v>-88.7033883646137</v>
      </c>
      <c r="AQ222" s="2" t="n">
        <f aca="false">AL222+AM222+AN222+AP222</f>
        <v>7995.16674019411</v>
      </c>
      <c r="AR222" s="2" t="n">
        <f aca="false">O222*AQ222-Hypothèses!$J$25/Hypothèses!$J$19</f>
        <v>1407.33997987901</v>
      </c>
      <c r="AS222" s="2" t="n">
        <f aca="false">Entrées!$C$79*(1+Q222)+Hypothèses!$J$20</f>
        <v>1464.93829762897</v>
      </c>
      <c r="AT222" s="2" t="n">
        <f aca="false">AI222-AR222+AS222+Y222*1000-AO222+Hypothèses!$J$23</f>
        <v>22191.4676441178</v>
      </c>
      <c r="AU222" s="2" t="n">
        <f aca="false">AT222/AQ222</f>
        <v>2.77561036126422</v>
      </c>
      <c r="AV222" s="2" t="n">
        <f aca="false">Hypothèses!$J$26*AQ222-AT222</f>
        <v>1794.0325764645</v>
      </c>
      <c r="AW222" s="2" t="n">
        <f aca="false">IF(AC222&gt;Hypothèses!$J$26,MAX(0,AV222)/(1-Hypothèses!$J$26/AC222),0)</f>
        <v>2607.79258945469</v>
      </c>
      <c r="AX222" s="2" t="n">
        <f aca="false">AQ222-Entrées!$C$17*1000</f>
        <v>-4.83325980588597</v>
      </c>
      <c r="AY222" s="2" t="n">
        <f aca="false">AI222+(Entrées!$C$244-Entrées!$C$13)</f>
        <v>28523.723294783</v>
      </c>
      <c r="AZ222" s="2" t="n">
        <f aca="false">AA222*AH222</f>
        <v>5455.05697941988</v>
      </c>
      <c r="BA222" s="2" t="n">
        <f aca="false">AZ222/AY222</f>
        <v>0.191246315322993</v>
      </c>
      <c r="BB222" s="2" t="n">
        <f aca="false">AZ222/(Entrées!$C$151/100)-AY222</f>
        <v>1782.14881310524</v>
      </c>
      <c r="BC222" s="2" t="n">
        <f aca="false">AT222+(Entrées!$C$244-Entrées!$C$13)</f>
        <v>27938.4676441178</v>
      </c>
      <c r="BD222" s="2" t="n">
        <f aca="false">AA222*AQ222</f>
        <v>5791.93502866106</v>
      </c>
      <c r="BE222" s="2" t="n">
        <f aca="false">BD222/BC222</f>
        <v>0.207310404508906</v>
      </c>
      <c r="BF222" s="2" t="n">
        <f aca="false">BD222/(Entrées!$C$151/100)-BC222</f>
        <v>4238.94918177696</v>
      </c>
      <c r="BG222" s="2" t="n">
        <f aca="false">MIN(AV222,BF222)</f>
        <v>1794.0325764645</v>
      </c>
      <c r="BH222" s="2" t="n">
        <f aca="false">IF(AC222&gt;Hypothèses!$J$26,MAX(0,BG222)/(1-Hypothèses!$J$26/AC222),0)</f>
        <v>2607.79258945469</v>
      </c>
    </row>
    <row r="223" customFormat="false" ht="15" hidden="false" customHeight="false" outlineLevel="0" collapsed="false">
      <c r="A223" s="2" t="n">
        <v>208</v>
      </c>
      <c r="B223" s="2" t="n">
        <v>0.359993106</v>
      </c>
      <c r="C223" s="2"/>
      <c r="D223" s="2" t="n">
        <v>0.56361991</v>
      </c>
      <c r="E223" s="2" t="n">
        <f aca="false">IF(E$7=E$5,E$6,IF(NORMSDIST(E$9*SQRT($C$11)*NORMSINV($B223)+SQRT(1-E$9^2*$C$11)*NORMSINV(D223))&lt;E$8,E$5+SQRT(NORMSDIST(E$9*SQRT($C$11)*NORMSINV($B223)+SQRT(1-E$9^2*$C$11)*NORMSINV(D223))*(E$7-E$5)*(E$6-E$5)),E$7-SQRT((1-NORMSDIST(E$9*SQRT($C$11)*NORMSINV($B223)+SQRT(1-E$9^2*$C$11)*NORMSINV(D223)))*(E$7-E$5)*(E$7-E$6))))</f>
        <v>0.0547912097074884</v>
      </c>
      <c r="F223" s="2" t="n">
        <v>0.256706661</v>
      </c>
      <c r="G223" s="2" t="n">
        <f aca="false">IF(G$7=G$5,G$6,IF(NORMSDIST(G$9*SQRT($C$11)*NORMSINV($B223)+SQRT(1-G$9^2*$C$11)*NORMSINV(F223))&lt;G$8,G$5+SQRT(NORMSDIST(G$9*SQRT($C$11)*NORMSINV($B223)+SQRT(1-G$9^2*$C$11)*NORMSINV(F223))*(G$7-G$5)*(G$6-G$5)),G$7-SQRT((1-NORMSDIST(G$9*SQRT($C$11)*NORMSINV($B223)+SQRT(1-G$9^2*$C$11)*NORMSINV(F223)))*(G$7-G$5)*(G$7-G$6))))</f>
        <v>0.0502131405748853</v>
      </c>
      <c r="H223" s="2" t="n">
        <v>0.803720913</v>
      </c>
      <c r="I223" s="2" t="n">
        <f aca="false">IF(I$7=I$5,I$6,IF(NORMSDIST(I$9*SQRT($C$11)*NORMSINV($B223)+SQRT(1-I$9^2*$C$11)*NORMSINV(H223))&lt;I$8,I$5+SQRT(NORMSDIST(I$9*SQRT($C$11)*NORMSINV($B223)+SQRT(1-I$9^2*$C$11)*NORMSINV(H223))*(I$7-I$5)*(I$6-I$5)),I$7-SQRT((1-NORMSDIST(I$9*SQRT($C$11)*NORMSINV($B223)+SQRT(1-I$9^2*$C$11)*NORMSINV(H223)))*(I$7-I$5)*(I$7-I$6))))</f>
        <v>203.713027592965</v>
      </c>
      <c r="J223" s="2" t="n">
        <v>0.439735985</v>
      </c>
      <c r="K223" s="2" t="n">
        <f aca="false">IF(K$7=K$5,K$6,IF(NORMSDIST(K$9*SQRT($C$11)*NORMSINV($B223)+SQRT(1-K$9^2*$C$11)*NORMSINV(J223))&lt;K$8,K$5+SQRT(NORMSDIST(K$9*SQRT($C$11)*NORMSINV($B223)+SQRT(1-K$9^2*$C$11)*NORMSINV(J223))*(K$7-K$5)*(K$6-K$5)),K$7-SQRT((1-NORMSDIST(K$9*SQRT($C$11)*NORMSINV($B223)+SQRT(1-K$9^2*$C$11)*NORMSINV(J223)))*(K$7-K$5)*(K$7-K$6))))</f>
        <v>0.21370411327108</v>
      </c>
      <c r="L223" s="2" t="n">
        <v>0.383561153</v>
      </c>
      <c r="M223" s="2" t="n">
        <f aca="false">IF(M$7=M$5,M$6,IF(NORMSDIST(M$9*SQRT($C$11)*NORMSINV($B223)+SQRT(1-M$9^2*$C$11)*NORMSINV(L223))&lt;M$8,M$5+SQRT(NORMSDIST(M$9*SQRT($C$11)*NORMSINV($B223)+SQRT(1-M$9^2*$C$11)*NORMSINV(L223))*(M$7-M$5)*(M$6-M$5)),M$7-SQRT((1-NORMSDIST(M$9*SQRT($C$11)*NORMSINV($B223)+SQRT(1-M$9^2*$C$11)*NORMSINV(L223)))*(M$7-M$5)*(M$7-M$6))))</f>
        <v>1530.38160629911</v>
      </c>
      <c r="N223" s="2" t="n">
        <v>0.039682849</v>
      </c>
      <c r="O223" s="2" t="n">
        <f aca="false">IF(O$7=O$5,O$6,IF(NORMSDIST(O$9*SQRT($C$11)*NORMSINV($B223)+SQRT(1-O$9^2*$C$11)*NORMSINV(N223))&lt;O$8,O$5+SQRT(NORMSDIST(O$9*SQRT($C$11)*NORMSINV($B223)+SQRT(1-O$9^2*$C$11)*NORMSINV(N223))*(O$7-O$5)*(O$6-O$5)),O$7-SQRT((1-NORMSDIST(O$9*SQRT($C$11)*NORMSINV($B223)+SQRT(1-O$9^2*$C$11)*NORMSINV(N223)))*(O$7-O$5)*(O$7-O$6))))</f>
        <v>0.148996450388007</v>
      </c>
      <c r="P223" s="2" t="n">
        <v>0.843513158</v>
      </c>
      <c r="Q223" s="2" t="n">
        <f aca="false">IF(Q$7=Q$5,Q$6,IF(NORMSDIST(Q$9*SQRT($C$11)*NORMSINV($B223)+SQRT(1-Q$9^2*$C$11)*NORMSINV(P223))&lt;Q$8,Q$5+SQRT(NORMSDIST(Q$9*SQRT($C$11)*NORMSINV($B223)+SQRT(1-Q$9^2*$C$11)*NORMSINV(P223))*(Q$7-Q$5)*(Q$6-Q$5)),Q$7-SQRT((1-NORMSDIST(Q$9*SQRT($C$11)*NORMSINV($B223)+SQRT(1-Q$9^2*$C$11)*NORMSINV(P223)))*(Q$7-Q$5)*(Q$7-Q$6))))</f>
        <v>0.0976223796081889</v>
      </c>
      <c r="R223" s="2" t="n">
        <v>0.552290529</v>
      </c>
      <c r="S223" s="2" t="n">
        <f aca="false">IF(S$7=S$5,S$6,IF(NORMSDIST(S$9*SQRT($C$11)*NORMSINV($B223)+SQRT(1-S$9^2*$C$11)*NORMSINV(R223))&lt;S$8,S$5+SQRT(NORMSDIST(S$9*SQRT($C$11)*NORMSINV($B223)+SQRT(1-S$9^2*$C$11)*NORMSINV(R223))*(S$7-S$5)*(S$6-S$5)),S$7-SQRT((1-NORMSDIST(S$9*SQRT($C$11)*NORMSINV($B223)+SQRT(1-S$9^2*$C$11)*NORMSINV(R223)))*(S$7-S$5)*(S$7-S$6))))</f>
        <v>0.474500498171835</v>
      </c>
      <c r="T223" s="2" t="n">
        <v>0.467900532</v>
      </c>
      <c r="U223" s="2" t="n">
        <f aca="false">IF(U$7=U$5,U$6,IF(NORMSDIST(U$9*SQRT($C$11)*NORMSINV($B223)+SQRT(1-U$9^2*$C$11)*NORMSINV(T223))&lt;U$8,U$5+SQRT(NORMSDIST(U$9*SQRT($C$11)*NORMSINV($B223)+SQRT(1-U$9^2*$C$11)*NORMSINV(T223))*(U$7-U$5)*(U$6-U$5)),U$7-SQRT((1-NORMSDIST(U$9*SQRT($C$11)*NORMSINV($B223)+SQRT(1-U$9^2*$C$11)*NORMSINV(T223)))*(U$7-U$5)*(U$7-U$6))))</f>
        <v>0.439458346123078</v>
      </c>
      <c r="V223" s="2" t="n">
        <v>0.156051864</v>
      </c>
      <c r="W223" s="2" t="n">
        <f aca="false">IF(W$7=W$5,W$6,IF(NORMSDIST(W$9*SQRT($C$11)*NORMSINV($B223)+SQRT(1-W$9^2*$C$11)*NORMSINV(V223))&lt;W$8,W$5+SQRT(NORMSDIST(W$9*SQRT($C$11)*NORMSINV($B223)+SQRT(1-W$9^2*$C$11)*NORMSINV(V223))*(W$7-W$5)*(W$6-W$5)),W$7-SQRT((1-NORMSDIST(W$9*SQRT($C$11)*NORMSINV($B223)+SQRT(1-W$9^2*$C$11)*NORMSINV(V223)))*(W$7-W$5)*(W$7-W$6))))</f>
        <v>9.11828537627003</v>
      </c>
      <c r="X223" s="2" t="n">
        <v>0.563266171</v>
      </c>
      <c r="Y223" s="2" t="n">
        <f aca="false">IF(Y$7=Y$5,Y$6,IF(NORMSDIST(Y$9*SQRT($C$11)*NORMSINV($B223)+SQRT(1-Y$9^2*$C$11)*NORMSINV(X223))&lt;Y$8,Y$5+SQRT(NORMSDIST(Y$9*SQRT($C$11)*NORMSINV($B223)+SQRT(1-Y$9^2*$C$11)*NORMSINV(X223))*(Y$7-Y$5)*(Y$6-Y$5)),Y$7-SQRT((1-NORMSDIST(Y$9*SQRT($C$11)*NORMSINV($B223)+SQRT(1-Y$9^2*$C$11)*NORMSINV(X223)))*(Y$7-Y$5)*(Y$7-Y$6))))</f>
        <v>0.532702541735995</v>
      </c>
      <c r="Z223" s="2" t="n">
        <v>0.670219015</v>
      </c>
      <c r="AA223" s="2" t="n">
        <f aca="false">IF(AA$7=AA$5,AA$6,IF(NORMSDIST(AA$9*SQRT($C$11)*NORMSINV($B223)+SQRT(1-AA$9^2*$C$11)*NORMSINV(Z223))&lt;AA$8,AA$5+SQRT(NORMSDIST(AA$9*SQRT($C$11)*NORMSINV($B223)+SQRT(1-AA$9^2*$C$11)*NORMSINV(Z223))*(AA$7-AA$5)*(AA$6-AA$5)),AA$7-SQRT((1-NORMSDIST(AA$9*SQRT($C$11)*NORMSINV($B223)+SQRT(1-AA$9^2*$C$11)*NORMSINV(Z223)))*(AA$7-AA$5)*(AA$7-AA$6))))</f>
        <v>0.729510791754242</v>
      </c>
      <c r="AB223" s="2" t="n">
        <v>0.51369393</v>
      </c>
      <c r="AC223" s="2" t="n">
        <f aca="false">IF(AC$7=AC$5,AC$6,IF(NORMSDIST(AC$9*SQRT($C$11)*NORMSINV($B223)+SQRT(1-AC$9^2*$C$11)*NORMSINV(AB223))&lt;AC$8,AC$5+SQRT(NORMSDIST(AC$9*SQRT($C$11)*NORMSINV($B223)+SQRT(1-AC$9^2*$C$11)*NORMSINV(AB223))*(AC$7-AC$5)*(AC$6-AC$5)),AC$7-SQRT((1-NORMSDIST(AC$9*SQRT($C$11)*NORMSINV($B223)+SQRT(1-AC$9^2*$C$11)*NORMSINV(AB223)))*(AC$7-AC$5)*(AC$7-AC$6))))</f>
        <v>9.30650633243091</v>
      </c>
      <c r="AD223" s="2" t="n">
        <f aca="false">Entrées!$C$8*(1+E223)</f>
        <v>7436.27802843779</v>
      </c>
      <c r="AE223" s="2" t="n">
        <f aca="false">I223*Hypothèses!$J$24/12/Hypothèses!$J$19</f>
        <v>101.06138097996</v>
      </c>
      <c r="AF223" s="2" t="n">
        <f aca="false">Entrées!$C$36*S223*1000</f>
        <v>237.250249085918</v>
      </c>
      <c r="AG223" s="2" t="n">
        <f aca="false">-AF223/W223</f>
        <v>-26.0191734844527</v>
      </c>
      <c r="AH223" s="2" t="n">
        <f aca="false">AD223+AE223+AG223</f>
        <v>7511.3202359333</v>
      </c>
      <c r="AI223" s="2" t="n">
        <f aca="false">Entrées!$C$16-M223+Hypothèses!$J$22*1000-AF223+Hypothèses!$J$23</f>
        <v>22780.368144615</v>
      </c>
      <c r="AJ223" s="2" t="n">
        <f aca="false">AI223/AH223</f>
        <v>3.03280481048275</v>
      </c>
      <c r="AK223" s="2" t="n">
        <f aca="false">AI223/(AH223+I223*(12-Hypothèses!$J$24)/12/Hypothèses!$J$19)</f>
        <v>3.00393582216837</v>
      </c>
      <c r="AL223" s="2" t="n">
        <f aca="false">(AD223+AG223+I223/Hypothèses!$J$19)*(1+G223)</f>
        <v>7964.29863649306</v>
      </c>
      <c r="AM223" s="2" t="n">
        <f aca="false">Entrées!$C$54*K223/Hypothèses!$J$19</f>
        <v>21.8094020449014</v>
      </c>
      <c r="AN223" s="2" t="n">
        <f aca="false">Y223*1000/AC223</f>
        <v>57.2397979120968</v>
      </c>
      <c r="AO223" s="2" t="n">
        <f aca="false">(Entrées!$C$36*(1-S223)+MAX(0,Entrées!$C$30-Entrées!$C$35-Entrées!$C$36)*U223)*1000</f>
        <v>877.991435486391</v>
      </c>
      <c r="AP223" s="2" t="n">
        <f aca="false">-AO223/W223</f>
        <v>-96.2890937556449</v>
      </c>
      <c r="AQ223" s="2" t="n">
        <f aca="false">AL223+AM223+AN223+AP223</f>
        <v>7947.05874269441</v>
      </c>
      <c r="AR223" s="2" t="n">
        <f aca="false">O223*AQ223-Hypothèses!$J$25/Hypothèses!$J$19</f>
        <v>1164.94838142482</v>
      </c>
      <c r="AS223" s="2" t="n">
        <f aca="false">Entrées!$C$79*(1+Q223)+Hypothèses!$J$20</f>
        <v>1501.2869951894</v>
      </c>
      <c r="AT223" s="2" t="n">
        <f aca="false">AI223-AR223+AS223+Y223*1000-AO223+Hypothèses!$J$23</f>
        <v>22771.4178646292</v>
      </c>
      <c r="AU223" s="2" t="n">
        <f aca="false">AT223/AQ223</f>
        <v>2.86538939775203</v>
      </c>
      <c r="AV223" s="2" t="n">
        <f aca="false">Hypothèses!$J$26*AQ223-AT223</f>
        <v>1069.75836345408</v>
      </c>
      <c r="AW223" s="2" t="n">
        <f aca="false">IF(AC223&gt;Hypothèses!$J$26,MAX(0,AV223)/(1-Hypothèses!$J$26/AC223),0)</f>
        <v>1578.64155823637</v>
      </c>
      <c r="AX223" s="2" t="n">
        <f aca="false">AQ223-Entrées!$C$17*1000</f>
        <v>-52.9412573055897</v>
      </c>
      <c r="AY223" s="2" t="n">
        <f aca="false">AI223+(Entrées!$C$244-Entrées!$C$13)</f>
        <v>28527.368144615</v>
      </c>
      <c r="AZ223" s="2" t="n">
        <f aca="false">AA223*AH223</f>
        <v>5479.58917243536</v>
      </c>
      <c r="BA223" s="2" t="n">
        <f aca="false">AZ223/AY223</f>
        <v>0.192081833299779</v>
      </c>
      <c r="BB223" s="2" t="n">
        <f aca="false">AZ223/(Entrées!$C$151/100)-AY223</f>
        <v>1914.79392447037</v>
      </c>
      <c r="BC223" s="2" t="n">
        <f aca="false">AT223+(Entrées!$C$244-Entrées!$C$13)</f>
        <v>28518.4178646292</v>
      </c>
      <c r="BD223" s="2" t="n">
        <f aca="false">AA223*AQ223</f>
        <v>5797.46511550047</v>
      </c>
      <c r="BE223" s="2" t="n">
        <f aca="false">BD223/BC223</f>
        <v>0.203288455307016</v>
      </c>
      <c r="BF223" s="2" t="n">
        <f aca="false">BD223/(Entrées!$C$151/100)-BC223</f>
        <v>3689.72166592901</v>
      </c>
      <c r="BG223" s="2" t="n">
        <f aca="false">MIN(AV223,BF223)</f>
        <v>1069.75836345408</v>
      </c>
      <c r="BH223" s="2" t="n">
        <f aca="false">IF(AC223&gt;Hypothèses!$J$26,MAX(0,BG223)/(1-Hypothèses!$J$26/AC223),0)</f>
        <v>1578.64155823637</v>
      </c>
    </row>
    <row r="224" customFormat="false" ht="15" hidden="false" customHeight="false" outlineLevel="0" collapsed="false">
      <c r="A224" s="2" t="n">
        <v>209</v>
      </c>
      <c r="B224" s="2" t="n">
        <v>0.644232107</v>
      </c>
      <c r="C224" s="2"/>
      <c r="D224" s="2" t="n">
        <v>0.129369609</v>
      </c>
      <c r="E224" s="2" t="n">
        <f aca="false">IF(E$7=E$5,E$6,IF(NORMSDIST(E$9*SQRT($C$11)*NORMSINV($B224)+SQRT(1-E$9^2*$C$11)*NORMSINV(D224))&lt;E$8,E$5+SQRT(NORMSDIST(E$9*SQRT($C$11)*NORMSINV($B224)+SQRT(1-E$9^2*$C$11)*NORMSINV(D224))*(E$7-E$5)*(E$6-E$5)),E$7-SQRT((1-NORMSDIST(E$9*SQRT($C$11)*NORMSINV($B224)+SQRT(1-E$9^2*$C$11)*NORMSINV(D224)))*(E$7-E$5)*(E$7-E$6))))</f>
        <v>0.0536109781419276</v>
      </c>
      <c r="F224" s="2" t="n">
        <v>0.908199551</v>
      </c>
      <c r="G224" s="2" t="n">
        <f aca="false">IF(G$7=G$5,G$6,IF(NORMSDIST(G$9*SQRT($C$11)*NORMSINV($B224)+SQRT(1-G$9^2*$C$11)*NORMSINV(F224))&lt;G$8,G$5+SQRT(NORMSDIST(G$9*SQRT($C$11)*NORMSINV($B224)+SQRT(1-G$9^2*$C$11)*NORMSINV(F224))*(G$7-G$5)*(G$6-G$5)),G$7-SQRT((1-NORMSDIST(G$9*SQRT($C$11)*NORMSINV($B224)+SQRT(1-G$9^2*$C$11)*NORMSINV(F224)))*(G$7-G$5)*(G$7-G$6))))</f>
        <v>0.0631875106104452</v>
      </c>
      <c r="H224" s="2" t="n">
        <v>0.945494711</v>
      </c>
      <c r="I224" s="2" t="n">
        <f aca="false">IF(I$7=I$5,I$6,IF(NORMSDIST(I$9*SQRT($C$11)*NORMSINV($B224)+SQRT(1-I$9^2*$C$11)*NORMSINV(H224))&lt;I$8,I$5+SQRT(NORMSDIST(I$9*SQRT($C$11)*NORMSINV($B224)+SQRT(1-I$9^2*$C$11)*NORMSINV(H224))*(I$7-I$5)*(I$6-I$5)),I$7-SQRT((1-NORMSDIST(I$9*SQRT($C$11)*NORMSINV($B224)+SQRT(1-I$9^2*$C$11)*NORMSINV(H224)))*(I$7-I$5)*(I$7-I$6))))</f>
        <v>212.513093138663</v>
      </c>
      <c r="J224" s="2" t="n">
        <v>0.871918285</v>
      </c>
      <c r="K224" s="2" t="n">
        <f aca="false">IF(K$7=K$5,K$6,IF(NORMSDIST(K$9*SQRT($C$11)*NORMSINV($B224)+SQRT(1-K$9^2*$C$11)*NORMSINV(J224))&lt;K$8,K$5+SQRT(NORMSDIST(K$9*SQRT($C$11)*NORMSINV($B224)+SQRT(1-K$9^2*$C$11)*NORMSINV(J224))*(K$7-K$5)*(K$6-K$5)),K$7-SQRT((1-NORMSDIST(K$9*SQRT($C$11)*NORMSINV($B224)+SQRT(1-K$9^2*$C$11)*NORMSINV(J224)))*(K$7-K$5)*(K$7-K$6))))</f>
        <v>0.371178276365122</v>
      </c>
      <c r="L224" s="2" t="n">
        <v>0.843058372</v>
      </c>
      <c r="M224" s="2" t="n">
        <f aca="false">IF(M$7=M$5,M$6,IF(NORMSDIST(M$9*SQRT($C$11)*NORMSINV($B224)+SQRT(1-M$9^2*$C$11)*NORMSINV(L224))&lt;M$8,M$5+SQRT(NORMSDIST(M$9*SQRT($C$11)*NORMSINV($B224)+SQRT(1-M$9^2*$C$11)*NORMSINV(L224))*(M$7-M$5)*(M$6-M$5)),M$7-SQRT((1-NORMSDIST(M$9*SQRT($C$11)*NORMSINV($B224)+SQRT(1-M$9^2*$C$11)*NORMSINV(L224)))*(M$7-M$5)*(M$7-M$6))))</f>
        <v>1680.71096894949</v>
      </c>
      <c r="N224" s="2" t="n">
        <v>0.56583848</v>
      </c>
      <c r="O224" s="2" t="n">
        <f aca="false">IF(O$7=O$5,O$6,IF(NORMSDIST(O$9*SQRT($C$11)*NORMSINV($B224)+SQRT(1-O$9^2*$C$11)*NORMSINV(N224))&lt;O$8,O$5+SQRT(NORMSDIST(O$9*SQRT($C$11)*NORMSINV($B224)+SQRT(1-O$9^2*$C$11)*NORMSINV(N224))*(O$7-O$5)*(O$6-O$5)),O$7-SQRT((1-NORMSDIST(O$9*SQRT($C$11)*NORMSINV($B224)+SQRT(1-O$9^2*$C$11)*NORMSINV(N224)))*(O$7-O$5)*(O$7-O$6))))</f>
        <v>0.170456802761896</v>
      </c>
      <c r="P224" s="2" t="n">
        <v>0.609330083</v>
      </c>
      <c r="Q224" s="2" t="n">
        <f aca="false">IF(Q$7=Q$5,Q$6,IF(NORMSDIST(Q$9*SQRT($C$11)*NORMSINV($B224)+SQRT(1-Q$9^2*$C$11)*NORMSINV(P224))&lt;Q$8,Q$5+SQRT(NORMSDIST(Q$9*SQRT($C$11)*NORMSINV($B224)+SQRT(1-Q$9^2*$C$11)*NORMSINV(P224))*(Q$7-Q$5)*(Q$6-Q$5)),Q$7-SQRT((1-NORMSDIST(Q$9*SQRT($C$11)*NORMSINV($B224)+SQRT(1-Q$9^2*$C$11)*NORMSINV(P224)))*(Q$7-Q$5)*(Q$7-Q$6))))</f>
        <v>0.0846426282877248</v>
      </c>
      <c r="R224" s="2" t="n">
        <v>0.961048095</v>
      </c>
      <c r="S224" s="2" t="n">
        <f aca="false">IF(S$7=S$5,S$6,IF(NORMSDIST(S$9*SQRT($C$11)*NORMSINV($B224)+SQRT(1-S$9^2*$C$11)*NORMSINV(R224))&lt;S$8,S$5+SQRT(NORMSDIST(S$9*SQRT($C$11)*NORMSINV($B224)+SQRT(1-S$9^2*$C$11)*NORMSINV(R224))*(S$7-S$5)*(S$6-S$5)),S$7-SQRT((1-NORMSDIST(S$9*SQRT($C$11)*NORMSINV($B224)+SQRT(1-S$9^2*$C$11)*NORMSINV(R224)))*(S$7-S$5)*(S$7-S$6))))</f>
        <v>0.834384005327951</v>
      </c>
      <c r="T224" s="2" t="n">
        <v>0.801838246</v>
      </c>
      <c r="U224" s="2" t="n">
        <f aca="false">IF(U$7=U$5,U$6,IF(NORMSDIST(U$9*SQRT($C$11)*NORMSINV($B224)+SQRT(1-U$9^2*$C$11)*NORMSINV(T224))&lt;U$8,U$5+SQRT(NORMSDIST(U$9*SQRT($C$11)*NORMSINV($B224)+SQRT(1-U$9^2*$C$11)*NORMSINV(T224))*(U$7-U$5)*(U$6-U$5)),U$7-SQRT((1-NORMSDIST(U$9*SQRT($C$11)*NORMSINV($B224)+SQRT(1-U$9^2*$C$11)*NORMSINV(T224)))*(U$7-U$5)*(U$7-U$6))))</f>
        <v>0.694637441492684</v>
      </c>
      <c r="V224" s="2" t="n">
        <v>0.334654422</v>
      </c>
      <c r="W224" s="2" t="n">
        <f aca="false">IF(W$7=W$5,W$6,IF(NORMSDIST(W$9*SQRT($C$11)*NORMSINV($B224)+SQRT(1-W$9^2*$C$11)*NORMSINV(V224))&lt;W$8,W$5+SQRT(NORMSDIST(W$9*SQRT($C$11)*NORMSINV($B224)+SQRT(1-W$9^2*$C$11)*NORMSINV(V224))*(W$7-W$5)*(W$6-W$5)),W$7-SQRT((1-NORMSDIST(W$9*SQRT($C$11)*NORMSINV($B224)+SQRT(1-W$9^2*$C$11)*NORMSINV(V224)))*(W$7-W$5)*(W$7-W$6))))</f>
        <v>9.92121487871227</v>
      </c>
      <c r="X224" s="2" t="n">
        <v>0.788938465</v>
      </c>
      <c r="Y224" s="2" t="n">
        <f aca="false">IF(Y$7=Y$5,Y$6,IF(NORMSDIST(Y$9*SQRT($C$11)*NORMSINV($B224)+SQRT(1-Y$9^2*$C$11)*NORMSINV(X224))&lt;Y$8,Y$5+SQRT(NORMSDIST(Y$9*SQRT($C$11)*NORMSINV($B224)+SQRT(1-Y$9^2*$C$11)*NORMSINV(X224))*(Y$7-Y$5)*(Y$6-Y$5)),Y$7-SQRT((1-NORMSDIST(Y$9*SQRT($C$11)*NORMSINV($B224)+SQRT(1-Y$9^2*$C$11)*NORMSINV(X224)))*(Y$7-Y$5)*(Y$7-Y$6))))</f>
        <v>0.675145005425498</v>
      </c>
      <c r="Z224" s="2" t="n">
        <v>0.896222602</v>
      </c>
      <c r="AA224" s="2" t="n">
        <f aca="false">IF(AA$7=AA$5,AA$6,IF(NORMSDIST(AA$9*SQRT($C$11)*NORMSINV($B224)+SQRT(1-AA$9^2*$C$11)*NORMSINV(Z224))&lt;AA$8,AA$5+SQRT(NORMSDIST(AA$9*SQRT($C$11)*NORMSINV($B224)+SQRT(1-AA$9^2*$C$11)*NORMSINV(Z224))*(AA$7-AA$5)*(AA$6-AA$5)),AA$7-SQRT((1-NORMSDIST(AA$9*SQRT($C$11)*NORMSINV($B224)+SQRT(1-AA$9^2*$C$11)*NORMSINV(Z224)))*(AA$7-AA$5)*(AA$7-AA$6))))</f>
        <v>0.741812809670421</v>
      </c>
      <c r="AB224" s="2" t="n">
        <v>0.748655346</v>
      </c>
      <c r="AC224" s="2" t="n">
        <f aca="false">IF(AC$7=AC$5,AC$6,IF(NORMSDIST(AC$9*SQRT($C$11)*NORMSINV($B224)+SQRT(1-AC$9^2*$C$11)*NORMSINV(AB224))&lt;AC$8,AC$5+SQRT(NORMSDIST(AC$9*SQRT($C$11)*NORMSINV($B224)+SQRT(1-AC$9^2*$C$11)*NORMSINV(AB224))*(AC$7-AC$5)*(AC$6-AC$5)),AC$7-SQRT((1-NORMSDIST(AC$9*SQRT($C$11)*NORMSINV($B224)+SQRT(1-AC$9^2*$C$11)*NORMSINV(AB224)))*(AC$7-AC$5)*(AC$7-AC$6))))</f>
        <v>10.012553737989</v>
      </c>
      <c r="AD224" s="2" t="n">
        <f aca="false">Entrées!$C$8*(1+E224)</f>
        <v>7427.95739590059</v>
      </c>
      <c r="AE224" s="2" t="n">
        <f aca="false">I224*Hypothèses!$J$24/12/Hypothèses!$J$19</f>
        <v>105.427065331476</v>
      </c>
      <c r="AF224" s="2" t="n">
        <f aca="false">Entrées!$C$36*S224*1000</f>
        <v>417.192002663976</v>
      </c>
      <c r="AG224" s="2" t="n">
        <f aca="false">-AF224/W224</f>
        <v>-42.0504956060508</v>
      </c>
      <c r="AH224" s="2" t="n">
        <f aca="false">AD224+AE224+AG224</f>
        <v>7491.33396562601</v>
      </c>
      <c r="AI224" s="2" t="n">
        <f aca="false">Entrées!$C$16-M224+Hypothèses!$J$22*1000-AF224+Hypothèses!$J$23</f>
        <v>22450.0970283865</v>
      </c>
      <c r="AJ224" s="2" t="n">
        <f aca="false">AI224/AH224</f>
        <v>2.99680899708901</v>
      </c>
      <c r="AK224" s="2" t="n">
        <f aca="false">AI224/(AH224+I224*(12-Hypothèses!$J$24)/12/Hypothèses!$J$19)</f>
        <v>2.96698401918187</v>
      </c>
      <c r="AL224" s="2" t="n">
        <f aca="false">(AD224+AG224+I224/Hypothèses!$J$19)*(1+G224)</f>
        <v>8044.75609516592</v>
      </c>
      <c r="AM224" s="2" t="n">
        <f aca="false">Entrées!$C$54*K224/Hypothèses!$J$19</f>
        <v>37.880301579932</v>
      </c>
      <c r="AN224" s="2" t="n">
        <f aca="false">Y224*1000/AC224</f>
        <v>67.4298508744983</v>
      </c>
      <c r="AO224" s="2" t="n">
        <f aca="false">(Entrées!$C$36*(1-S224)+MAX(0,Entrées!$C$30-Entrées!$C$35-Entrées!$C$36)*U224)*1000</f>
        <v>1055.30041542578</v>
      </c>
      <c r="AP224" s="2" t="n">
        <f aca="false">-AO224/W224</f>
        <v>-106.368063621938</v>
      </c>
      <c r="AQ224" s="2" t="n">
        <f aca="false">AL224+AM224+AN224+AP224</f>
        <v>8043.69818399842</v>
      </c>
      <c r="AR224" s="2" t="n">
        <f aca="false">O224*AQ224-Hypothèses!$J$25/Hypothèses!$J$19</f>
        <v>1351.96791256442</v>
      </c>
      <c r="AS224" s="2" t="n">
        <f aca="false">Entrées!$C$79*(1+Q224)+Hypothèses!$J$20</f>
        <v>1487.02224848821</v>
      </c>
      <c r="AT224" s="2" t="n">
        <f aca="false">AI224-AR224+AS224+Y224*1000-AO224+Hypothèses!$J$23</f>
        <v>22204.9959543101</v>
      </c>
      <c r="AU224" s="2" t="n">
        <f aca="false">AT224/AQ224</f>
        <v>2.76054564037263</v>
      </c>
      <c r="AV224" s="2" t="n">
        <f aca="false">Hypothèses!$J$26*AQ224-AT224</f>
        <v>1926.0985976852</v>
      </c>
      <c r="AW224" s="2" t="n">
        <f aca="false">IF(AC224&gt;Hypothèses!$J$26,MAX(0,AV224)/(1-Hypothèses!$J$26/AC224),0)</f>
        <v>2750.09168336424</v>
      </c>
      <c r="AX224" s="2" t="n">
        <f aca="false">AQ224-Entrées!$C$17*1000</f>
        <v>43.6981839984155</v>
      </c>
      <c r="AY224" s="2" t="n">
        <f aca="false">AI224+(Entrées!$C$244-Entrées!$C$13)</f>
        <v>28197.0970283865</v>
      </c>
      <c r="AZ224" s="2" t="n">
        <f aca="false">AA224*AH224</f>
        <v>5557.16749722049</v>
      </c>
      <c r="BA224" s="2" t="n">
        <f aca="false">AZ224/AY224</f>
        <v>0.197082965371435</v>
      </c>
      <c r="BB224" s="2" t="n">
        <f aca="false">AZ224/(Entrées!$C$151/100)-AY224</f>
        <v>2676.05573394953</v>
      </c>
      <c r="BC224" s="2" t="n">
        <f aca="false">AT224+(Entrées!$C$244-Entrées!$C$13)</f>
        <v>27951.9959543101</v>
      </c>
      <c r="BD224" s="2" t="n">
        <f aca="false">AA224*AQ224</f>
        <v>5966.91835001273</v>
      </c>
      <c r="BE224" s="2" t="n">
        <f aca="false">BD224/BC224</f>
        <v>0.213470206555774</v>
      </c>
      <c r="BF224" s="2" t="n">
        <f aca="false">BD224/(Entrées!$C$151/100)-BC224</f>
        <v>5197.55043464957</v>
      </c>
      <c r="BG224" s="2" t="n">
        <f aca="false">MIN(AV224,BF224)</f>
        <v>1926.0985976852</v>
      </c>
      <c r="BH224" s="2" t="n">
        <f aca="false">IF(AC224&gt;Hypothèses!$J$26,MAX(0,BG224)/(1-Hypothèses!$J$26/AC224),0)</f>
        <v>2750.09168336424</v>
      </c>
    </row>
    <row r="225" customFormat="false" ht="15" hidden="false" customHeight="false" outlineLevel="0" collapsed="false">
      <c r="A225" s="2" t="n">
        <v>210</v>
      </c>
      <c r="B225" s="2" t="n">
        <v>0.97017276</v>
      </c>
      <c r="C225" s="2"/>
      <c r="D225" s="2" t="n">
        <v>0.107267595</v>
      </c>
      <c r="E225" s="2" t="n">
        <f aca="false">IF(E$7=E$5,E$6,IF(NORMSDIST(E$9*SQRT($C$11)*NORMSINV($B225)+SQRT(1-E$9^2*$C$11)*NORMSINV(D225))&lt;E$8,E$5+SQRT(NORMSDIST(E$9*SQRT($C$11)*NORMSINV($B225)+SQRT(1-E$9^2*$C$11)*NORMSINV(D225))*(E$7-E$5)*(E$6-E$5)),E$7-SQRT((1-NORMSDIST(E$9*SQRT($C$11)*NORMSINV($B225)+SQRT(1-E$9^2*$C$11)*NORMSINV(D225)))*(E$7-E$5)*(E$7-E$6))))</f>
        <v>0.0554769463372055</v>
      </c>
      <c r="F225" s="2" t="n">
        <v>0.91369645</v>
      </c>
      <c r="G225" s="2" t="n">
        <f aca="false">IF(G$7=G$5,G$6,IF(NORMSDIST(G$9*SQRT($C$11)*NORMSINV($B225)+SQRT(1-G$9^2*$C$11)*NORMSINV(F225))&lt;G$8,G$5+SQRT(NORMSDIST(G$9*SQRT($C$11)*NORMSINV($B225)+SQRT(1-G$9^2*$C$11)*NORMSINV(F225))*(G$7-G$5)*(G$6-G$5)),G$7-SQRT((1-NORMSDIST(G$9*SQRT($C$11)*NORMSINV($B225)+SQRT(1-G$9^2*$C$11)*NORMSINV(F225)))*(G$7-G$5)*(G$7-G$6))))</f>
        <v>0.0676472009315373</v>
      </c>
      <c r="H225" s="2" t="n">
        <v>0.633102693</v>
      </c>
      <c r="I225" s="2" t="n">
        <f aca="false">IF(I$7=I$5,I$6,IF(NORMSDIST(I$9*SQRT($C$11)*NORMSINV($B225)+SQRT(1-I$9^2*$C$11)*NORMSINV(H225))&lt;I$8,I$5+SQRT(NORMSDIST(I$9*SQRT($C$11)*NORMSINV($B225)+SQRT(1-I$9^2*$C$11)*NORMSINV(H225))*(I$7-I$5)*(I$6-I$5)),I$7-SQRT((1-NORMSDIST(I$9*SQRT($C$11)*NORMSINV($B225)+SQRT(1-I$9^2*$C$11)*NORMSINV(H225)))*(I$7-I$5)*(I$7-I$6))))</f>
        <v>212.363439938775</v>
      </c>
      <c r="J225" s="2" t="n">
        <v>0.084657806</v>
      </c>
      <c r="K225" s="2" t="n">
        <f aca="false">IF(K$7=K$5,K$6,IF(NORMSDIST(K$9*SQRT($C$11)*NORMSINV($B225)+SQRT(1-K$9^2*$C$11)*NORMSINV(J225))&lt;K$8,K$5+SQRT(NORMSDIST(K$9*SQRT($C$11)*NORMSINV($B225)+SQRT(1-K$9^2*$C$11)*NORMSINV(J225))*(K$7-K$5)*(K$6-K$5)),K$7-SQRT((1-NORMSDIST(K$9*SQRT($C$11)*NORMSINV($B225)+SQRT(1-K$9^2*$C$11)*NORMSINV(J225)))*(K$7-K$5)*(K$7-K$6))))</f>
        <v>0.26291848985564</v>
      </c>
      <c r="L225" s="2" t="n">
        <v>0.755224634</v>
      </c>
      <c r="M225" s="2" t="n">
        <f aca="false">IF(M$7=M$5,M$6,IF(NORMSDIST(M$9*SQRT($C$11)*NORMSINV($B225)+SQRT(1-M$9^2*$C$11)*NORMSINV(L225))&lt;M$8,M$5+SQRT(NORMSDIST(M$9*SQRT($C$11)*NORMSINV($B225)+SQRT(1-M$9^2*$C$11)*NORMSINV(L225))*(M$7-M$5)*(M$6-M$5)),M$7-SQRT((1-NORMSDIST(M$9*SQRT($C$11)*NORMSINV($B225)+SQRT(1-M$9^2*$C$11)*NORMSINV(L225)))*(M$7-M$5)*(M$7-M$6))))</f>
        <v>1733.98103724094</v>
      </c>
      <c r="N225" s="2" t="n">
        <v>0.318398134</v>
      </c>
      <c r="O225" s="2" t="n">
        <f aca="false">IF(O$7=O$5,O$6,IF(NORMSDIST(O$9*SQRT($C$11)*NORMSINV($B225)+SQRT(1-O$9^2*$C$11)*NORMSINV(N225))&lt;O$8,O$5+SQRT(NORMSDIST(O$9*SQRT($C$11)*NORMSINV($B225)+SQRT(1-O$9^2*$C$11)*NORMSINV(N225))*(O$7-O$5)*(O$6-O$5)),O$7-SQRT((1-NORMSDIST(O$9*SQRT($C$11)*NORMSINV($B225)+SQRT(1-O$9^2*$C$11)*NORMSINV(N225)))*(O$7-O$5)*(O$7-O$6))))</f>
        <v>0.175238100040998</v>
      </c>
      <c r="P225" s="2" t="n">
        <v>0.412729019</v>
      </c>
      <c r="Q225" s="2" t="n">
        <f aca="false">IF(Q$7=Q$5,Q$6,IF(NORMSDIST(Q$9*SQRT($C$11)*NORMSINV($B225)+SQRT(1-Q$9^2*$C$11)*NORMSINV(P225))&lt;Q$8,Q$5+SQRT(NORMSDIST(Q$9*SQRT($C$11)*NORMSINV($B225)+SQRT(1-Q$9^2*$C$11)*NORMSINV(P225))*(Q$7-Q$5)*(Q$6-Q$5)),Q$7-SQRT((1-NORMSDIST(Q$9*SQRT($C$11)*NORMSINV($B225)+SQRT(1-Q$9^2*$C$11)*NORMSINV(P225)))*(Q$7-Q$5)*(Q$7-Q$6))))</f>
        <v>0.0763418885144952</v>
      </c>
      <c r="R225" s="2" t="n">
        <v>0.944772654</v>
      </c>
      <c r="S225" s="2" t="n">
        <f aca="false">IF(S$7=S$5,S$6,IF(NORMSDIST(S$9*SQRT($C$11)*NORMSINV($B225)+SQRT(1-S$9^2*$C$11)*NORMSINV(R225))&lt;S$8,S$5+SQRT(NORMSDIST(S$9*SQRT($C$11)*NORMSINV($B225)+SQRT(1-S$9^2*$C$11)*NORMSINV(R225))*(S$7-S$5)*(S$6-S$5)),S$7-SQRT((1-NORMSDIST(S$9*SQRT($C$11)*NORMSINV($B225)+SQRT(1-S$9^2*$C$11)*NORMSINV(R225)))*(S$7-S$5)*(S$7-S$6))))</f>
        <v>0.938349416227805</v>
      </c>
      <c r="T225" s="2" t="n">
        <v>0.842404964</v>
      </c>
      <c r="U225" s="2" t="n">
        <f aca="false">IF(U$7=U$5,U$6,IF(NORMSDIST(U$9*SQRT($C$11)*NORMSINV($B225)+SQRT(1-U$9^2*$C$11)*NORMSINV(T225))&lt;U$8,U$5+SQRT(NORMSDIST(U$9*SQRT($C$11)*NORMSINV($B225)+SQRT(1-U$9^2*$C$11)*NORMSINV(T225))*(U$7-U$5)*(U$6-U$5)),U$7-SQRT((1-NORMSDIST(U$9*SQRT($C$11)*NORMSINV($B225)+SQRT(1-U$9^2*$C$11)*NORMSINV(T225)))*(U$7-U$5)*(U$7-U$6))))</f>
        <v>0.889389633326741</v>
      </c>
      <c r="V225" s="2" t="n">
        <v>0.817978413</v>
      </c>
      <c r="W225" s="2" t="n">
        <f aca="false">IF(W$7=W$5,W$6,IF(NORMSDIST(W$9*SQRT($C$11)*NORMSINV($B225)+SQRT(1-W$9^2*$C$11)*NORMSINV(V225))&lt;W$8,W$5+SQRT(NORMSDIST(W$9*SQRT($C$11)*NORMSINV($B225)+SQRT(1-W$9^2*$C$11)*NORMSINV(V225))*(W$7-W$5)*(W$6-W$5)),W$7-SQRT((1-NORMSDIST(W$9*SQRT($C$11)*NORMSINV($B225)+SQRT(1-W$9^2*$C$11)*NORMSINV(V225)))*(W$7-W$5)*(W$7-W$6))))</f>
        <v>11.5175238049236</v>
      </c>
      <c r="X225" s="2" t="n">
        <v>0.320040192</v>
      </c>
      <c r="Y225" s="2" t="n">
        <f aca="false">IF(Y$7=Y$5,Y$6,IF(NORMSDIST(Y$9*SQRT($C$11)*NORMSINV($B225)+SQRT(1-Y$9^2*$C$11)*NORMSINV(X225))&lt;Y$8,Y$5+SQRT(NORMSDIST(Y$9*SQRT($C$11)*NORMSINV($B225)+SQRT(1-Y$9^2*$C$11)*NORMSINV(X225))*(Y$7-Y$5)*(Y$6-Y$5)),Y$7-SQRT((1-NORMSDIST(Y$9*SQRT($C$11)*NORMSINV($B225)+SQRT(1-Y$9^2*$C$11)*NORMSINV(X225)))*(Y$7-Y$5)*(Y$7-Y$6))))</f>
        <v>0.400025119211282</v>
      </c>
      <c r="Z225" s="2" t="n">
        <v>0.93630417</v>
      </c>
      <c r="AA225" s="2" t="n">
        <f aca="false">IF(AA$7=AA$5,AA$6,IF(NORMSDIST(AA$9*SQRT($C$11)*NORMSINV($B225)+SQRT(1-AA$9^2*$C$11)*NORMSINV(Z225))&lt;AA$8,AA$5+SQRT(NORMSDIST(AA$9*SQRT($C$11)*NORMSINV($B225)+SQRT(1-AA$9^2*$C$11)*NORMSINV(Z225))*(AA$7-AA$5)*(AA$6-AA$5)),AA$7-SQRT((1-NORMSDIST(AA$9*SQRT($C$11)*NORMSINV($B225)+SQRT(1-AA$9^2*$C$11)*NORMSINV(Z225)))*(AA$7-AA$5)*(AA$7-AA$6))))</f>
        <v>0.750499819460816</v>
      </c>
      <c r="AB225" s="2" t="n">
        <v>0.33756892</v>
      </c>
      <c r="AC225" s="2" t="n">
        <f aca="false">IF(AC$7=AC$5,AC$6,IF(NORMSDIST(AC$9*SQRT($C$11)*NORMSINV($B225)+SQRT(1-AC$9^2*$C$11)*NORMSINV(AB225))&lt;AC$8,AC$5+SQRT(NORMSDIST(AC$9*SQRT($C$11)*NORMSINV($B225)+SQRT(1-AC$9^2*$C$11)*NORMSINV(AB225))*(AC$7-AC$5)*(AC$6-AC$5)),AC$7-SQRT((1-NORMSDIST(AC$9*SQRT($C$11)*NORMSINV($B225)+SQRT(1-AC$9^2*$C$11)*NORMSINV(AB225)))*(AC$7-AC$5)*(AC$7-AC$6))))</f>
        <v>10.0866328015569</v>
      </c>
      <c r="AD225" s="2" t="n">
        <f aca="false">Entrées!$C$8*(1+E225)</f>
        <v>7441.1124716773</v>
      </c>
      <c r="AE225" s="2" t="n">
        <f aca="false">I225*Hypothèses!$J$24/12/Hypothèses!$J$19</f>
        <v>105.352822857995</v>
      </c>
      <c r="AF225" s="2" t="n">
        <f aca="false">Entrées!$C$36*S225*1000</f>
        <v>469.174708113902</v>
      </c>
      <c r="AG225" s="2" t="n">
        <f aca="false">-AF225/W225</f>
        <v>-40.7357272327353</v>
      </c>
      <c r="AH225" s="2" t="n">
        <f aca="false">AD225+AE225+AG225</f>
        <v>7505.72956730256</v>
      </c>
      <c r="AI225" s="2" t="n">
        <f aca="false">Entrées!$C$16-M225+Hypothèses!$J$22*1000-AF225+Hypothèses!$J$23</f>
        <v>22344.8442546452</v>
      </c>
      <c r="AJ225" s="2" t="n">
        <f aca="false">AI225/AH225</f>
        <v>2.97703828179298</v>
      </c>
      <c r="AK225" s="2" t="n">
        <f aca="false">AI225/(AH225+I225*(12-Hypothèses!$J$24)/12/Hypothèses!$J$19)</f>
        <v>2.94748694587208</v>
      </c>
      <c r="AL225" s="2" t="n">
        <f aca="false">(AD225+AG225+I225/Hypothèses!$J$19)*(1+G225)</f>
        <v>8093.81376807578</v>
      </c>
      <c r="AM225" s="2" t="n">
        <f aca="false">Entrées!$C$54*K225/Hypothèses!$J$19</f>
        <v>26.8319358131698</v>
      </c>
      <c r="AN225" s="2" t="n">
        <f aca="false">Y225*1000/AC225</f>
        <v>39.6589354526255</v>
      </c>
      <c r="AO225" s="2" t="n">
        <f aca="false">(Entrées!$C$36*(1-S225)+MAX(0,Entrées!$C$30-Entrées!$C$35-Entrées!$C$36)*U225)*1000</f>
        <v>1275.97077854353</v>
      </c>
      <c r="AP225" s="2" t="n">
        <f aca="false">-AO225/W225</f>
        <v>-110.785165297256</v>
      </c>
      <c r="AQ225" s="2" t="n">
        <f aca="false">AL225+AM225+AN225+AP225</f>
        <v>8049.51947404432</v>
      </c>
      <c r="AR225" s="2" t="n">
        <f aca="false">O225*AQ225-Hypothèses!$J$25/Hypothèses!$J$19</f>
        <v>1391.44733661291</v>
      </c>
      <c r="AS225" s="2" t="n">
        <f aca="false">Entrées!$C$79*(1+Q225)+Hypothèses!$J$20</f>
        <v>1477.89973547743</v>
      </c>
      <c r="AT225" s="2" t="n">
        <f aca="false">AI225-AR225+AS225+Y225*1000-AO225+Hypothèses!$J$23</f>
        <v>21555.3509941774</v>
      </c>
      <c r="AU225" s="2" t="n">
        <f aca="false">AT225/AQ225</f>
        <v>2.67784320091189</v>
      </c>
      <c r="AV225" s="2" t="n">
        <f aca="false">Hypothèses!$J$26*AQ225-AT225</f>
        <v>2593.20742795553</v>
      </c>
      <c r="AW225" s="2" t="n">
        <f aca="false">IF(AC225&gt;Hypothèses!$J$26,MAX(0,AV225)/(1-Hypothèses!$J$26/AC225),0)</f>
        <v>3690.99568674008</v>
      </c>
      <c r="AX225" s="2" t="n">
        <f aca="false">AQ225-Entrées!$C$17*1000</f>
        <v>49.5194740443185</v>
      </c>
      <c r="AY225" s="2" t="n">
        <f aca="false">AI225+(Entrées!$C$244-Entrées!$C$13)</f>
        <v>28091.8442546452</v>
      </c>
      <c r="AZ225" s="2" t="n">
        <f aca="false">AA225*AH225</f>
        <v>5633.04868518228</v>
      </c>
      <c r="BA225" s="2" t="n">
        <f aca="false">AZ225/AY225</f>
        <v>0.200522565699858</v>
      </c>
      <c r="BB225" s="2" t="n">
        <f aca="false">AZ225/(Entrées!$C$151/100)-AY225</f>
        <v>3202.87066303415</v>
      </c>
      <c r="BC225" s="2" t="n">
        <f aca="false">AT225+(Entrées!$C$244-Entrées!$C$13)</f>
        <v>27302.3509941774</v>
      </c>
      <c r="BD225" s="2" t="n">
        <f aca="false">AA225*AQ225</f>
        <v>6041.16291201658</v>
      </c>
      <c r="BE225" s="2" t="n">
        <f aca="false">BD225/BC225</f>
        <v>0.221268963735209</v>
      </c>
      <c r="BF225" s="2" t="n">
        <f aca="false">BD225/(Entrées!$C$151/100)-BC225</f>
        <v>6259.66518369247</v>
      </c>
      <c r="BG225" s="2" t="n">
        <f aca="false">MIN(AV225,BF225)</f>
        <v>2593.20742795553</v>
      </c>
      <c r="BH225" s="2" t="n">
        <f aca="false">IF(AC225&gt;Hypothèses!$J$26,MAX(0,BG225)/(1-Hypothèses!$J$26/AC225),0)</f>
        <v>3690.99568674008</v>
      </c>
    </row>
    <row r="226" customFormat="false" ht="15" hidden="false" customHeight="false" outlineLevel="0" collapsed="false">
      <c r="A226" s="2" t="n">
        <v>211</v>
      </c>
      <c r="B226" s="2" t="n">
        <v>0.069184358</v>
      </c>
      <c r="C226" s="2"/>
      <c r="D226" s="2" t="n">
        <v>0.524644722</v>
      </c>
      <c r="E226" s="2" t="n">
        <f aca="false">IF(E$7=E$5,E$6,IF(NORMSDIST(E$9*SQRT($C$11)*NORMSINV($B226)+SQRT(1-E$9^2*$C$11)*NORMSINV(D226))&lt;E$8,E$5+SQRT(NORMSDIST(E$9*SQRT($C$11)*NORMSINV($B226)+SQRT(1-E$9^2*$C$11)*NORMSINV(D226))*(E$7-E$5)*(E$6-E$5)),E$7-SQRT((1-NORMSDIST(E$9*SQRT($C$11)*NORMSINV($B226)+SQRT(1-E$9^2*$C$11)*NORMSINV(D226)))*(E$7-E$5)*(E$7-E$6))))</f>
        <v>0.0530570201056208</v>
      </c>
      <c r="F226" s="2" t="n">
        <v>0.415508595</v>
      </c>
      <c r="G226" s="2" t="n">
        <f aca="false">IF(G$7=G$5,G$6,IF(NORMSDIST(G$9*SQRT($C$11)*NORMSINV($B226)+SQRT(1-G$9^2*$C$11)*NORMSINV(F226))&lt;G$8,G$5+SQRT(NORMSDIST(G$9*SQRT($C$11)*NORMSINV($B226)+SQRT(1-G$9^2*$C$11)*NORMSINV(F226))*(G$7-G$5)*(G$6-G$5)),G$7-SQRT((1-NORMSDIST(G$9*SQRT($C$11)*NORMSINV($B226)+SQRT(1-G$9^2*$C$11)*NORMSINV(F226)))*(G$7-G$5)*(G$7-G$6))))</f>
        <v>0.0477975775441438</v>
      </c>
      <c r="H226" s="2" t="n">
        <v>0.117055525</v>
      </c>
      <c r="I226" s="2" t="n">
        <f aca="false">IF(I$7=I$5,I$6,IF(NORMSDIST(I$9*SQRT($C$11)*NORMSINV($B226)+SQRT(1-I$9^2*$C$11)*NORMSINV(H226))&lt;I$8,I$5+SQRT(NORMSDIST(I$9*SQRT($C$11)*NORMSINV($B226)+SQRT(1-I$9^2*$C$11)*NORMSINV(H226))*(I$7-I$5)*(I$6-I$5)),I$7-SQRT((1-NORMSDIST(I$9*SQRT($C$11)*NORMSINV($B226)+SQRT(1-I$9^2*$C$11)*NORMSINV(H226)))*(I$7-I$5)*(I$7-I$6))))</f>
        <v>185.02175172301</v>
      </c>
      <c r="J226" s="2" t="n">
        <v>0.843912144</v>
      </c>
      <c r="K226" s="2" t="n">
        <f aca="false">IF(K$7=K$5,K$6,IF(NORMSDIST(K$9*SQRT($C$11)*NORMSINV($B226)+SQRT(1-K$9^2*$C$11)*NORMSINV(J226))&lt;K$8,K$5+SQRT(NORMSDIST(K$9*SQRT($C$11)*NORMSINV($B226)+SQRT(1-K$9^2*$C$11)*NORMSINV(J226))*(K$7-K$5)*(K$6-K$5)),K$7-SQRT((1-NORMSDIST(K$9*SQRT($C$11)*NORMSINV($B226)+SQRT(1-K$9^2*$C$11)*NORMSINV(J226)))*(K$7-K$5)*(K$7-K$6))))</f>
        <v>0.234162922155101</v>
      </c>
      <c r="L226" s="2" t="n">
        <v>0.608007064</v>
      </c>
      <c r="M226" s="2" t="n">
        <f aca="false">IF(M$7=M$5,M$6,IF(NORMSDIST(M$9*SQRT($C$11)*NORMSINV($B226)+SQRT(1-M$9^2*$C$11)*NORMSINV(L226))&lt;M$8,M$5+SQRT(NORMSDIST(M$9*SQRT($C$11)*NORMSINV($B226)+SQRT(1-M$9^2*$C$11)*NORMSINV(L226))*(M$7-M$5)*(M$6-M$5)),M$7-SQRT((1-NORMSDIST(M$9*SQRT($C$11)*NORMSINV($B226)+SQRT(1-M$9^2*$C$11)*NORMSINV(L226)))*(M$7-M$5)*(M$7-M$6))))</f>
        <v>1496.32781925648</v>
      </c>
      <c r="N226" s="2" t="n">
        <v>0.220285876</v>
      </c>
      <c r="O226" s="2" t="n">
        <f aca="false">IF(O$7=O$5,O$6,IF(NORMSDIST(O$9*SQRT($C$11)*NORMSINV($B226)+SQRT(1-O$9^2*$C$11)*NORMSINV(N226))&lt;O$8,O$5+SQRT(NORMSDIST(O$9*SQRT($C$11)*NORMSINV($B226)+SQRT(1-O$9^2*$C$11)*NORMSINV(N226))*(O$7-O$5)*(O$6-O$5)),O$7-SQRT((1-NORMSDIST(O$9*SQRT($C$11)*NORMSINV($B226)+SQRT(1-O$9^2*$C$11)*NORMSINV(N226)))*(O$7-O$5)*(O$7-O$6))))</f>
        <v>0.149465074844034</v>
      </c>
      <c r="P226" s="2" t="n">
        <v>0.965522287</v>
      </c>
      <c r="Q226" s="2" t="n">
        <f aca="false">IF(Q$7=Q$5,Q$6,IF(NORMSDIST(Q$9*SQRT($C$11)*NORMSINV($B226)+SQRT(1-Q$9^2*$C$11)*NORMSINV(P226))&lt;Q$8,Q$5+SQRT(NORMSDIST(Q$9*SQRT($C$11)*NORMSINV($B226)+SQRT(1-Q$9^2*$C$11)*NORMSINV(P226))*(Q$7-Q$5)*(Q$6-Q$5)),Q$7-SQRT((1-NORMSDIST(Q$9*SQRT($C$11)*NORMSINV($B226)+SQRT(1-Q$9^2*$C$11)*NORMSINV(P226)))*(Q$7-Q$5)*(Q$7-Q$6))))</f>
        <v>0.109496253925385</v>
      </c>
      <c r="R226" s="2" t="n">
        <v>0.233840799</v>
      </c>
      <c r="S226" s="2" t="n">
        <f aca="false">IF(S$7=S$5,S$6,IF(NORMSDIST(S$9*SQRT($C$11)*NORMSINV($B226)+SQRT(1-S$9^2*$C$11)*NORMSINV(R226))&lt;S$8,S$5+SQRT(NORMSDIST(S$9*SQRT($C$11)*NORMSINV($B226)+SQRT(1-S$9^2*$C$11)*NORMSINV(R226))*(S$7-S$5)*(S$6-S$5)),S$7-SQRT((1-NORMSDIST(S$9*SQRT($C$11)*NORMSINV($B226)+SQRT(1-S$9^2*$C$11)*NORMSINV(R226)))*(S$7-S$5)*(S$7-S$6))))</f>
        <v>0.182804196433674</v>
      </c>
      <c r="T226" s="2" t="n">
        <v>0.78925406</v>
      </c>
      <c r="U226" s="2" t="n">
        <f aca="false">IF(U$7=U$5,U$6,IF(NORMSDIST(U$9*SQRT($C$11)*NORMSINV($B226)+SQRT(1-U$9^2*$C$11)*NORMSINV(T226))&lt;U$8,U$5+SQRT(NORMSDIST(U$9*SQRT($C$11)*NORMSINV($B226)+SQRT(1-U$9^2*$C$11)*NORMSINV(T226))*(U$7-U$5)*(U$6-U$5)),U$7-SQRT((1-NORMSDIST(U$9*SQRT($C$11)*NORMSINV($B226)+SQRT(1-U$9^2*$C$11)*NORMSINV(T226)))*(U$7-U$5)*(U$7-U$6))))</f>
        <v>0.433900393617839</v>
      </c>
      <c r="V226" s="2" t="n">
        <v>0.213709672</v>
      </c>
      <c r="W226" s="2" t="n">
        <f aca="false">IF(W$7=W$5,W$6,IF(NORMSDIST(W$9*SQRT($C$11)*NORMSINV($B226)+SQRT(1-W$9^2*$C$11)*NORMSINV(V226))&lt;W$8,W$5+SQRT(NORMSDIST(W$9*SQRT($C$11)*NORMSINV($B226)+SQRT(1-W$9^2*$C$11)*NORMSINV(V226))*(W$7-W$5)*(W$6-W$5)),W$7-SQRT((1-NORMSDIST(W$9*SQRT($C$11)*NORMSINV($B226)+SQRT(1-W$9^2*$C$11)*NORMSINV(V226)))*(W$7-W$5)*(W$7-W$6))))</f>
        <v>8.69475456414469</v>
      </c>
      <c r="X226" s="2" t="n">
        <v>0.297076908</v>
      </c>
      <c r="Y226" s="2" t="n">
        <f aca="false">IF(Y$7=Y$5,Y$6,IF(NORMSDIST(Y$9*SQRT($C$11)*NORMSINV($B226)+SQRT(1-Y$9^2*$C$11)*NORMSINV(X226))&lt;Y$8,Y$5+SQRT(NORMSDIST(Y$9*SQRT($C$11)*NORMSINV($B226)+SQRT(1-Y$9^2*$C$11)*NORMSINV(X226))*(Y$7-Y$5)*(Y$6-Y$5)),Y$7-SQRT((1-NORMSDIST(Y$9*SQRT($C$11)*NORMSINV($B226)+SQRT(1-Y$9^2*$C$11)*NORMSINV(X226)))*(Y$7-Y$5)*(Y$7-Y$6))))</f>
        <v>0.385406868127697</v>
      </c>
      <c r="Z226" s="2" t="n">
        <v>0.793776787</v>
      </c>
      <c r="AA226" s="2" t="n">
        <f aca="false">IF(AA$7=AA$5,AA$6,IF(NORMSDIST(AA$9*SQRT($C$11)*NORMSINV($B226)+SQRT(1-AA$9^2*$C$11)*NORMSINV(Z226))&lt;AA$8,AA$5+SQRT(NORMSDIST(AA$9*SQRT($C$11)*NORMSINV($B226)+SQRT(1-AA$9^2*$C$11)*NORMSINV(Z226))*(AA$7-AA$5)*(AA$6-AA$5)),AA$7-SQRT((1-NORMSDIST(AA$9*SQRT($C$11)*NORMSINV($B226)+SQRT(1-AA$9^2*$C$11)*NORMSINV(Z226)))*(AA$7-AA$5)*(AA$7-AA$6))))</f>
        <v>0.723898829039942</v>
      </c>
      <c r="AB226" s="2" t="n">
        <v>0.817359956</v>
      </c>
      <c r="AC226" s="2" t="n">
        <f aca="false">IF(AC$7=AC$5,AC$6,IF(NORMSDIST(AC$9*SQRT($C$11)*NORMSINV($B226)+SQRT(1-AC$9^2*$C$11)*NORMSINV(AB226))&lt;AC$8,AC$5+SQRT(NORMSDIST(AC$9*SQRT($C$11)*NORMSINV($B226)+SQRT(1-AC$9^2*$C$11)*NORMSINV(AB226))*(AC$7-AC$5)*(AC$6-AC$5)),AC$7-SQRT((1-NORMSDIST(AC$9*SQRT($C$11)*NORMSINV($B226)+SQRT(1-AC$9^2*$C$11)*NORMSINV(AB226)))*(AC$7-AC$5)*(AC$7-AC$6))))</f>
        <v>9.27461856610971</v>
      </c>
      <c r="AD226" s="2" t="n">
        <f aca="false">Entrées!$C$8*(1+E226)</f>
        <v>7424.05199174463</v>
      </c>
      <c r="AE226" s="2" t="n">
        <f aca="false">I226*Hypothèses!$J$24/12/Hypothèses!$J$19</f>
        <v>91.7886988446316</v>
      </c>
      <c r="AF226" s="2" t="n">
        <f aca="false">Entrées!$C$36*S226*1000</f>
        <v>91.402098216837</v>
      </c>
      <c r="AG226" s="2" t="n">
        <f aca="false">-AF226/W226</f>
        <v>-10.5123264311289</v>
      </c>
      <c r="AH226" s="2" t="n">
        <f aca="false">AD226+AE226+AG226</f>
        <v>7505.32836415813</v>
      </c>
      <c r="AI226" s="2" t="n">
        <f aca="false">Entrées!$C$16-M226+Hypothèses!$J$22*1000-AF226+Hypothèses!$J$23</f>
        <v>22960.2700825267</v>
      </c>
      <c r="AJ226" s="2" t="n">
        <f aca="false">AI226/AH226</f>
        <v>3.05919594300151</v>
      </c>
      <c r="AK226" s="2" t="n">
        <f aca="false">AI226/(AH226+I226*(12-Hypothèses!$J$24)/12/Hypothèses!$J$19)</f>
        <v>3.03270353483327</v>
      </c>
      <c r="AL226" s="2" t="n">
        <f aca="false">(AD226+AG226+I226/Hypothèses!$J$19)*(1+G226)</f>
        <v>7932.76200456348</v>
      </c>
      <c r="AM226" s="2" t="n">
        <f aca="false">Entrées!$C$54*K226/Hypothèses!$J$19</f>
        <v>23.8973093925031</v>
      </c>
      <c r="AN226" s="2" t="n">
        <f aca="false">Y226*1000/AC226</f>
        <v>41.5550100934618</v>
      </c>
      <c r="AO226" s="2" t="n">
        <f aca="false">(Entrées!$C$36*(1-S226)+MAX(0,Entrées!$C$30-Entrées!$C$35-Entrées!$C$36)*U226)*1000</f>
        <v>1016.05845284814</v>
      </c>
      <c r="AP226" s="2" t="n">
        <f aca="false">-AO226/W226</f>
        <v>-116.858784840017</v>
      </c>
      <c r="AQ226" s="2" t="n">
        <f aca="false">AL226+AM226+AN226+AP226</f>
        <v>7881.35553920943</v>
      </c>
      <c r="AR226" s="2" t="n">
        <f aca="false">O226*AQ226-Hypothèses!$J$25/Hypothèses!$J$19</f>
        <v>1158.85223327875</v>
      </c>
      <c r="AS226" s="2" t="n">
        <f aca="false">Entrées!$C$79*(1+Q226)+Hypothèses!$J$20</f>
        <v>1514.336383064</v>
      </c>
      <c r="AT226" s="2" t="n">
        <f aca="false">AI226-AR226+AS226+Y226*1000-AO226+Hypothèses!$J$23</f>
        <v>22685.1026475915</v>
      </c>
      <c r="AU226" s="2" t="n">
        <f aca="false">AT226/AQ226</f>
        <v>2.87832499558407</v>
      </c>
      <c r="AV226" s="2" t="n">
        <f aca="false">Hypothèses!$J$26*AQ226-AT226</f>
        <v>958.963970036792</v>
      </c>
      <c r="AW226" s="2" t="n">
        <f aca="false">IF(AC226&gt;Hypothèses!$J$26,MAX(0,AV226)/(1-Hypothèses!$J$26/AC226),0)</f>
        <v>1417.46067064087</v>
      </c>
      <c r="AX226" s="2" t="n">
        <f aca="false">AQ226-Entrées!$C$17*1000</f>
        <v>-118.644460790573</v>
      </c>
      <c r="AY226" s="2" t="n">
        <f aca="false">AI226+(Entrées!$C$244-Entrées!$C$13)</f>
        <v>28707.2700825267</v>
      </c>
      <c r="AZ226" s="2" t="n">
        <f aca="false">AA226*AH226</f>
        <v>5433.09841437433</v>
      </c>
      <c r="BA226" s="2" t="n">
        <f aca="false">AZ226/AY226</f>
        <v>0.189258623294916</v>
      </c>
      <c r="BB226" s="2" t="n">
        <f aca="false">AZ226/(Entrées!$C$151/100)-AY226</f>
        <v>1476.60999733071</v>
      </c>
      <c r="BC226" s="2" t="n">
        <f aca="false">AT226+(Entrées!$C$244-Entrées!$C$13)</f>
        <v>28432.1026475915</v>
      </c>
      <c r="BD226" s="2" t="n">
        <f aca="false">AA226*AQ226</f>
        <v>5705.30404608116</v>
      </c>
      <c r="BE226" s="2" t="n">
        <f aca="false">BD226/BC226</f>
        <v>0.200664161803188</v>
      </c>
      <c r="BF226" s="2" t="n">
        <f aca="false">BD226/(Entrées!$C$151/100)-BC226</f>
        <v>3264.0309417483</v>
      </c>
      <c r="BG226" s="2" t="n">
        <f aca="false">MIN(AV226,BF226)</f>
        <v>958.963970036792</v>
      </c>
      <c r="BH226" s="2" t="n">
        <f aca="false">IF(AC226&gt;Hypothèses!$J$26,MAX(0,BG226)/(1-Hypothèses!$J$26/AC226),0)</f>
        <v>1417.46067064087</v>
      </c>
    </row>
    <row r="227" customFormat="false" ht="15" hidden="false" customHeight="false" outlineLevel="0" collapsed="false">
      <c r="A227" s="2" t="n">
        <v>212</v>
      </c>
      <c r="B227" s="2" t="n">
        <v>0.495011136</v>
      </c>
      <c r="C227" s="2"/>
      <c r="D227" s="2" t="n">
        <v>0.085359132</v>
      </c>
      <c r="E227" s="2" t="n">
        <f aca="false">IF(E$7=E$5,E$6,IF(NORMSDIST(E$9*SQRT($C$11)*NORMSINV($B227)+SQRT(1-E$9^2*$C$11)*NORMSINV(D227))&lt;E$8,E$5+SQRT(NORMSDIST(E$9*SQRT($C$11)*NORMSINV($B227)+SQRT(1-E$9^2*$C$11)*NORMSINV(D227))*(E$7-E$5)*(E$6-E$5)),E$7-SQRT((1-NORMSDIST(E$9*SQRT($C$11)*NORMSINV($B227)+SQRT(1-E$9^2*$C$11)*NORMSINV(D227)))*(E$7-E$5)*(E$7-E$6))))</f>
        <v>0.0526695349814695</v>
      </c>
      <c r="F227" s="2" t="n">
        <v>0.065420465</v>
      </c>
      <c r="G227" s="2" t="n">
        <f aca="false">IF(G$7=G$5,G$6,IF(NORMSDIST(G$9*SQRT($C$11)*NORMSINV($B227)+SQRT(1-G$9^2*$C$11)*NORMSINV(F227))&lt;G$8,G$5+SQRT(NORMSDIST(G$9*SQRT($C$11)*NORMSINV($B227)+SQRT(1-G$9^2*$C$11)*NORMSINV(F227))*(G$7-G$5)*(G$6-G$5)),G$7-SQRT((1-NORMSDIST(G$9*SQRT($C$11)*NORMSINV($B227)+SQRT(1-G$9^2*$C$11)*NORMSINV(F227)))*(G$7-G$5)*(G$7-G$6))))</f>
        <v>0.0473290118750864</v>
      </c>
      <c r="H227" s="2" t="n">
        <v>0.32426077</v>
      </c>
      <c r="I227" s="2" t="n">
        <f aca="false">IF(I$7=I$5,I$6,IF(NORMSDIST(I$9*SQRT($C$11)*NORMSINV($B227)+SQRT(1-I$9^2*$C$11)*NORMSINV(H227))&lt;I$8,I$5+SQRT(NORMSDIST(I$9*SQRT($C$11)*NORMSINV($B227)+SQRT(1-I$9^2*$C$11)*NORMSINV(H227))*(I$7-I$5)*(I$6-I$5)),I$7-SQRT((1-NORMSDIST(I$9*SQRT($C$11)*NORMSINV($B227)+SQRT(1-I$9^2*$C$11)*NORMSINV(H227)))*(I$7-I$5)*(I$7-I$6))))</f>
        <v>196.948294586865</v>
      </c>
      <c r="J227" s="2" t="n">
        <v>0.087519107</v>
      </c>
      <c r="K227" s="2" t="n">
        <f aca="false">IF(K$7=K$5,K$6,IF(NORMSDIST(K$9*SQRT($C$11)*NORMSINV($B227)+SQRT(1-K$9^2*$C$11)*NORMSINV(J227))&lt;K$8,K$5+SQRT(NORMSDIST(K$9*SQRT($C$11)*NORMSINV($B227)+SQRT(1-K$9^2*$C$11)*NORMSINV(J227))*(K$7-K$5)*(K$6-K$5)),K$7-SQRT((1-NORMSDIST(K$9*SQRT($C$11)*NORMSINV($B227)+SQRT(1-K$9^2*$C$11)*NORMSINV(J227)))*(K$7-K$5)*(K$7-K$6))))</f>
        <v>0.134598533182102</v>
      </c>
      <c r="L227" s="2" t="n">
        <v>0.413641453</v>
      </c>
      <c r="M227" s="2" t="n">
        <f aca="false">IF(M$7=M$5,M$6,IF(NORMSDIST(M$9*SQRT($C$11)*NORMSINV($B227)+SQRT(1-M$9^2*$C$11)*NORMSINV(L227))&lt;M$8,M$5+SQRT(NORMSDIST(M$9*SQRT($C$11)*NORMSINV($B227)+SQRT(1-M$9^2*$C$11)*NORMSINV(L227))*(M$7-M$5)*(M$6-M$5)),M$7-SQRT((1-NORMSDIST(M$9*SQRT($C$11)*NORMSINV($B227)+SQRT(1-M$9^2*$C$11)*NORMSINV(L227)))*(M$7-M$5)*(M$7-M$6))))</f>
        <v>1564.79131119684</v>
      </c>
      <c r="N227" s="2" t="n">
        <v>0.337272071</v>
      </c>
      <c r="O227" s="2" t="n">
        <f aca="false">IF(O$7=O$5,O$6,IF(NORMSDIST(O$9*SQRT($C$11)*NORMSINV($B227)+SQRT(1-O$9^2*$C$11)*NORMSINV(N227))&lt;O$8,O$5+SQRT(NORMSDIST(O$9*SQRT($C$11)*NORMSINV($B227)+SQRT(1-O$9^2*$C$11)*NORMSINV(N227))*(O$7-O$5)*(O$6-O$5)),O$7-SQRT((1-NORMSDIST(O$9*SQRT($C$11)*NORMSINV($B227)+SQRT(1-O$9^2*$C$11)*NORMSINV(N227)))*(O$7-O$5)*(O$7-O$6))))</f>
        <v>0.163025323154504</v>
      </c>
      <c r="P227" s="2" t="n">
        <v>0.036252548</v>
      </c>
      <c r="Q227" s="2" t="n">
        <f aca="false">IF(Q$7=Q$5,Q$6,IF(NORMSDIST(Q$9*SQRT($C$11)*NORMSINV($B227)+SQRT(1-Q$9^2*$C$11)*NORMSINV(P227))&lt;Q$8,Q$5+SQRT(NORMSDIST(Q$9*SQRT($C$11)*NORMSINV($B227)+SQRT(1-Q$9^2*$C$11)*NORMSINV(P227))*(Q$7-Q$5)*(Q$6-Q$5)),Q$7-SQRT((1-NORMSDIST(Q$9*SQRT($C$11)*NORMSINV($B227)+SQRT(1-Q$9^2*$C$11)*NORMSINV(P227)))*(Q$7-Q$5)*(Q$7-Q$6))))</f>
        <v>0.0507707081289951</v>
      </c>
      <c r="R227" s="2" t="n">
        <v>0.263267877</v>
      </c>
      <c r="S227" s="2" t="n">
        <f aca="false">IF(S$7=S$5,S$6,IF(NORMSDIST(S$9*SQRT($C$11)*NORMSINV($B227)+SQRT(1-S$9^2*$C$11)*NORMSINV(R227))&lt;S$8,S$5+SQRT(NORMSDIST(S$9*SQRT($C$11)*NORMSINV($B227)+SQRT(1-S$9^2*$C$11)*NORMSINV(R227))*(S$7-S$5)*(S$6-S$5)),S$7-SQRT((1-NORMSDIST(S$9*SQRT($C$11)*NORMSINV($B227)+SQRT(1-S$9^2*$C$11)*NORMSINV(R227)))*(S$7-S$5)*(S$7-S$6))))</f>
        <v>0.39311489555047</v>
      </c>
      <c r="T227" s="2" t="n">
        <v>0.783146294</v>
      </c>
      <c r="U227" s="2" t="n">
        <f aca="false">IF(U$7=U$5,U$6,IF(NORMSDIST(U$9*SQRT($C$11)*NORMSINV($B227)+SQRT(1-U$9^2*$C$11)*NORMSINV(T227))&lt;U$8,U$5+SQRT(NORMSDIST(U$9*SQRT($C$11)*NORMSINV($B227)+SQRT(1-U$9^2*$C$11)*NORMSINV(T227))*(U$7-U$5)*(U$6-U$5)),U$7-SQRT((1-NORMSDIST(U$9*SQRT($C$11)*NORMSINV($B227)+SQRT(1-U$9^2*$C$11)*NORMSINV(T227)))*(U$7-U$5)*(U$7-U$6))))</f>
        <v>0.629355185420917</v>
      </c>
      <c r="V227" s="2" t="n">
        <v>0.070620089</v>
      </c>
      <c r="W227" s="2" t="n">
        <f aca="false">IF(W$7=W$5,W$6,IF(NORMSDIST(W$9*SQRT($C$11)*NORMSINV($B227)+SQRT(1-W$9^2*$C$11)*NORMSINV(V227))&lt;W$8,W$5+SQRT(NORMSDIST(W$9*SQRT($C$11)*NORMSINV($B227)+SQRT(1-W$9^2*$C$11)*NORMSINV(V227))*(W$7-W$5)*(W$6-W$5)),W$7-SQRT((1-NORMSDIST(W$9*SQRT($C$11)*NORMSINV($B227)+SQRT(1-W$9^2*$C$11)*NORMSINV(V227)))*(W$7-W$5)*(W$7-W$6))))</f>
        <v>9.00235816765422</v>
      </c>
      <c r="X227" s="2" t="n">
        <v>0.102167756</v>
      </c>
      <c r="Y227" s="2" t="n">
        <f aca="false">IF(Y$7=Y$5,Y$6,IF(NORMSDIST(Y$9*SQRT($C$11)*NORMSINV($B227)+SQRT(1-Y$9^2*$C$11)*NORMSINV(X227))&lt;Y$8,Y$5+SQRT(NORMSDIST(Y$9*SQRT($C$11)*NORMSINV($B227)+SQRT(1-Y$9^2*$C$11)*NORMSINV(X227))*(Y$7-Y$5)*(Y$6-Y$5)),Y$7-SQRT((1-NORMSDIST(Y$9*SQRT($C$11)*NORMSINV($B227)+SQRT(1-Y$9^2*$C$11)*NORMSINV(X227)))*(Y$7-Y$5)*(Y$7-Y$6))))</f>
        <v>0.226017428531518</v>
      </c>
      <c r="Z227" s="2" t="n">
        <v>0.385708501</v>
      </c>
      <c r="AA227" s="2" t="n">
        <f aca="false">IF(AA$7=AA$5,AA$6,IF(NORMSDIST(AA$9*SQRT($C$11)*NORMSINV($B227)+SQRT(1-AA$9^2*$C$11)*NORMSINV(Z227))&lt;AA$8,AA$5+SQRT(NORMSDIST(AA$9*SQRT($C$11)*NORMSINV($B227)+SQRT(1-AA$9^2*$C$11)*NORMSINV(Z227))*(AA$7-AA$5)*(AA$6-AA$5)),AA$7-SQRT((1-NORMSDIST(AA$9*SQRT($C$11)*NORMSINV($B227)+SQRT(1-AA$9^2*$C$11)*NORMSINV(Z227)))*(AA$7-AA$5)*(AA$7-AA$6))))</f>
        <v>0.724883490978705</v>
      </c>
      <c r="AB227" s="2" t="n">
        <v>0.841823087</v>
      </c>
      <c r="AC227" s="2" t="n">
        <f aca="false">IF(AC$7=AC$5,AC$6,IF(NORMSDIST(AC$9*SQRT($C$11)*NORMSINV($B227)+SQRT(1-AC$9^2*$C$11)*NORMSINV(AB227))&lt;AC$8,AC$5+SQRT(NORMSDIST(AC$9*SQRT($C$11)*NORMSINV($B227)+SQRT(1-AC$9^2*$C$11)*NORMSINV(AB227))*(AC$7-AC$5)*(AC$6-AC$5)),AC$7-SQRT((1-NORMSDIST(AC$9*SQRT($C$11)*NORMSINV($B227)+SQRT(1-AC$9^2*$C$11)*NORMSINV(AB227)))*(AC$7-AC$5)*(AC$7-AC$6))))</f>
        <v>10.0225084592104</v>
      </c>
      <c r="AD227" s="2" t="n">
        <f aca="false">Entrées!$C$8*(1+E227)</f>
        <v>7421.32022161936</v>
      </c>
      <c r="AE227" s="2" t="n">
        <f aca="false">I227*Hypothèses!$J$24/12/Hypothèses!$J$19</f>
        <v>97.7054185870043</v>
      </c>
      <c r="AF227" s="2" t="n">
        <f aca="false">Entrées!$C$36*S227*1000</f>
        <v>196.557447775235</v>
      </c>
      <c r="AG227" s="2" t="n">
        <f aca="false">-AF227/W227</f>
        <v>-21.833995505919</v>
      </c>
      <c r="AH227" s="2" t="n">
        <f aca="false">AD227+AE227+AG227</f>
        <v>7497.19164470044</v>
      </c>
      <c r="AI227" s="2" t="n">
        <f aca="false">Entrées!$C$16-M227+Hypothèses!$J$22*1000-AF227+Hypothèses!$J$23</f>
        <v>22786.6512410279</v>
      </c>
      <c r="AJ227" s="2" t="n">
        <f aca="false">AI227/AH227</f>
        <v>3.03935824518174</v>
      </c>
      <c r="AK227" s="2" t="n">
        <f aca="false">AI227/(AH227+I227*(12-Hypothèses!$J$24)/12/Hypothèses!$J$19)</f>
        <v>3.01132651849043</v>
      </c>
      <c r="AL227" s="2" t="n">
        <f aca="false">(AD227+AG227+I227/Hypothèses!$J$19)*(1+G227)</f>
        <v>7925.11897387053</v>
      </c>
      <c r="AM227" s="2" t="n">
        <f aca="false">Entrées!$C$54*K227/Hypothèses!$J$19</f>
        <v>13.736345453954</v>
      </c>
      <c r="AN227" s="2" t="n">
        <f aca="false">Y227*1000/AC227</f>
        <v>22.550984062659</v>
      </c>
      <c r="AO227" s="2" t="n">
        <f aca="false">(Entrées!$C$36*(1-S227)+MAX(0,Entrées!$C$30-Entrées!$C$35-Entrées!$C$36)*U227)*1000</f>
        <v>1184.53981181405</v>
      </c>
      <c r="AP227" s="2" t="n">
        <f aca="false">-AO227/W227</f>
        <v>-131.581057957696</v>
      </c>
      <c r="AQ227" s="2" t="n">
        <f aca="false">AL227+AM227+AN227+AP227</f>
        <v>7829.82524542945</v>
      </c>
      <c r="AR227" s="2" t="n">
        <f aca="false">O227*AQ227-Hypothèses!$J$25/Hypothèses!$J$19</f>
        <v>1257.32462861781</v>
      </c>
      <c r="AS227" s="2" t="n">
        <f aca="false">Entrées!$C$79*(1+Q227)+Hypothèses!$J$20</f>
        <v>1449.79700823377</v>
      </c>
      <c r="AT227" s="2" t="n">
        <f aca="false">AI227-AR227+AS227+Y227*1000-AO227+Hypothèses!$J$23</f>
        <v>22020.6012373614</v>
      </c>
      <c r="AU227" s="2" t="n">
        <f aca="false">AT227/AQ227</f>
        <v>2.81240009158769</v>
      </c>
      <c r="AV227" s="2" t="n">
        <f aca="false">Hypothèses!$J$26*AQ227-AT227</f>
        <v>1468.874498927</v>
      </c>
      <c r="AW227" s="2" t="n">
        <f aca="false">IF(AC227&gt;Hypothèses!$J$26,MAX(0,AV227)/(1-Hypothèses!$J$26/AC227),0)</f>
        <v>2096.37441898783</v>
      </c>
      <c r="AX227" s="2" t="n">
        <f aca="false">AQ227-Entrées!$C$17*1000</f>
        <v>-170.17475457055</v>
      </c>
      <c r="AY227" s="2" t="n">
        <f aca="false">AI227+(Entrées!$C$244-Entrées!$C$13)</f>
        <v>28533.6512410279</v>
      </c>
      <c r="AZ227" s="2" t="n">
        <f aca="false">AA227*AH227</f>
        <v>5434.59045194684</v>
      </c>
      <c r="BA227" s="2" t="n">
        <f aca="false">AZ227/AY227</f>
        <v>0.190462496581319</v>
      </c>
      <c r="BB227" s="2" t="n">
        <f aca="false">AZ227/(Entrées!$C$151/100)-AY227</f>
        <v>1658.51793645453</v>
      </c>
      <c r="BC227" s="2" t="n">
        <f aca="false">AT227+(Entrées!$C$244-Entrées!$C$13)</f>
        <v>27767.6012373614</v>
      </c>
      <c r="BD227" s="2" t="n">
        <f aca="false">AA227*AQ227</f>
        <v>5675.7110576601</v>
      </c>
      <c r="BE227" s="2" t="n">
        <f aca="false">BD227/BC227</f>
        <v>0.204400481307093</v>
      </c>
      <c r="BF227" s="2" t="n">
        <f aca="false">BD227/(Entrées!$C$151/100)-BC227</f>
        <v>3764.1268607503</v>
      </c>
      <c r="BG227" s="2" t="n">
        <f aca="false">MIN(AV227,BF227)</f>
        <v>1468.874498927</v>
      </c>
      <c r="BH227" s="2" t="n">
        <f aca="false">IF(AC227&gt;Hypothèses!$J$26,MAX(0,BG227)/(1-Hypothèses!$J$26/AC227),0)</f>
        <v>2096.37441898783</v>
      </c>
    </row>
    <row r="228" customFormat="false" ht="15" hidden="false" customHeight="false" outlineLevel="0" collapsed="false">
      <c r="A228" s="2" t="n">
        <v>213</v>
      </c>
      <c r="B228" s="2" t="n">
        <v>0.545195672</v>
      </c>
      <c r="C228" s="2"/>
      <c r="D228" s="2" t="n">
        <v>0.296453401</v>
      </c>
      <c r="E228" s="2" t="n">
        <f aca="false">IF(E$7=E$5,E$6,IF(NORMSDIST(E$9*SQRT($C$11)*NORMSINV($B228)+SQRT(1-E$9^2*$C$11)*NORMSINV(D228))&lt;E$8,E$5+SQRT(NORMSDIST(E$9*SQRT($C$11)*NORMSINV($B228)+SQRT(1-E$9^2*$C$11)*NORMSINV(D228))*(E$7-E$5)*(E$6-E$5)),E$7-SQRT((1-NORMSDIST(E$9*SQRT($C$11)*NORMSINV($B228)+SQRT(1-E$9^2*$C$11)*NORMSINV(D228)))*(E$7-E$5)*(E$7-E$6))))</f>
        <v>0.0542781773724692</v>
      </c>
      <c r="F228" s="2" t="n">
        <v>0.378620545</v>
      </c>
      <c r="G228" s="2" t="n">
        <f aca="false">IF(G$7=G$5,G$6,IF(NORMSDIST(G$9*SQRT($C$11)*NORMSINV($B228)+SQRT(1-G$9^2*$C$11)*NORMSINV(F228))&lt;G$8,G$5+SQRT(NORMSDIST(G$9*SQRT($C$11)*NORMSINV($B228)+SQRT(1-G$9^2*$C$11)*NORMSINV(F228))*(G$7-G$5)*(G$6-G$5)),G$7-SQRT((1-NORMSDIST(G$9*SQRT($C$11)*NORMSINV($B228)+SQRT(1-G$9^2*$C$11)*NORMSINV(F228)))*(G$7-G$5)*(G$7-G$6))))</f>
        <v>0.0539659244838641</v>
      </c>
      <c r="H228" s="2" t="n">
        <v>0.010530146</v>
      </c>
      <c r="I228" s="2" t="n">
        <f aca="false">IF(I$7=I$5,I$6,IF(NORMSDIST(I$9*SQRT($C$11)*NORMSINV($B228)+SQRT(1-I$9^2*$C$11)*NORMSINV(H228))&lt;I$8,I$5+SQRT(NORMSDIST(I$9*SQRT($C$11)*NORMSINV($B228)+SQRT(1-I$9^2*$C$11)*NORMSINV(H228))*(I$7-I$5)*(I$6-I$5)),I$7-SQRT((1-NORMSDIST(I$9*SQRT($C$11)*NORMSINV($B228)+SQRT(1-I$9^2*$C$11)*NORMSINV(H228)))*(I$7-I$5)*(I$7-I$6))))</f>
        <v>185.876197645516</v>
      </c>
      <c r="J228" s="2" t="n">
        <v>0.308319768</v>
      </c>
      <c r="K228" s="2" t="n">
        <f aca="false">IF(K$7=K$5,K$6,IF(NORMSDIST(K$9*SQRT($C$11)*NORMSINV($B228)+SQRT(1-K$9^2*$C$11)*NORMSINV(J228))&lt;K$8,K$5+SQRT(NORMSDIST(K$9*SQRT($C$11)*NORMSINV($B228)+SQRT(1-K$9^2*$C$11)*NORMSINV(J228))*(K$7-K$5)*(K$6-K$5)),K$7-SQRT((1-NORMSDIST(K$9*SQRT($C$11)*NORMSINV($B228)+SQRT(1-K$9^2*$C$11)*NORMSINV(J228)))*(K$7-K$5)*(K$7-K$6))))</f>
        <v>0.216798096426601</v>
      </c>
      <c r="L228" s="2" t="n">
        <v>0.298700617</v>
      </c>
      <c r="M228" s="2" t="n">
        <f aca="false">IF(M$7=M$5,M$6,IF(NORMSDIST(M$9*SQRT($C$11)*NORMSINV($B228)+SQRT(1-M$9^2*$C$11)*NORMSINV(L228))&lt;M$8,M$5+SQRT(NORMSDIST(M$9*SQRT($C$11)*NORMSINV($B228)+SQRT(1-M$9^2*$C$11)*NORMSINV(L228))*(M$7-M$5)*(M$6-M$5)),M$7-SQRT((1-NORMSDIST(M$9*SQRT($C$11)*NORMSINV($B228)+SQRT(1-M$9^2*$C$11)*NORMSINV(L228)))*(M$7-M$5)*(M$7-M$6))))</f>
        <v>1545.24162485112</v>
      </c>
      <c r="N228" s="2" t="n">
        <v>0.685079462</v>
      </c>
      <c r="O228" s="2" t="n">
        <f aca="false">IF(O$7=O$5,O$6,IF(NORMSDIST(O$9*SQRT($C$11)*NORMSINV($B228)+SQRT(1-O$9^2*$C$11)*NORMSINV(N228))&lt;O$8,O$5+SQRT(NORMSDIST(O$9*SQRT($C$11)*NORMSINV($B228)+SQRT(1-O$9^2*$C$11)*NORMSINV(N228))*(O$7-O$5)*(O$6-O$5)),O$7-SQRT((1-NORMSDIST(O$9*SQRT($C$11)*NORMSINV($B228)+SQRT(1-O$9^2*$C$11)*NORMSINV(N228)))*(O$7-O$5)*(O$7-O$6))))</f>
        <v>0.171304994804388</v>
      </c>
      <c r="P228" s="2" t="n">
        <v>0.644454772</v>
      </c>
      <c r="Q228" s="2" t="n">
        <f aca="false">IF(Q$7=Q$5,Q$6,IF(NORMSDIST(Q$9*SQRT($C$11)*NORMSINV($B228)+SQRT(1-Q$9^2*$C$11)*NORMSINV(P228))&lt;Q$8,Q$5+SQRT(NORMSDIST(Q$9*SQRT($C$11)*NORMSINV($B228)+SQRT(1-Q$9^2*$C$11)*NORMSINV(P228))*(Q$7-Q$5)*(Q$6-Q$5)),Q$7-SQRT((1-NORMSDIST(Q$9*SQRT($C$11)*NORMSINV($B228)+SQRT(1-Q$9^2*$C$11)*NORMSINV(P228)))*(Q$7-Q$5)*(Q$7-Q$6))))</f>
        <v>0.0862695281740679</v>
      </c>
      <c r="R228" s="2" t="n">
        <v>0.348569904</v>
      </c>
      <c r="S228" s="2" t="n">
        <f aca="false">IF(S$7=S$5,S$6,IF(NORMSDIST(S$9*SQRT($C$11)*NORMSINV($B228)+SQRT(1-S$9^2*$C$11)*NORMSINV(R228))&lt;S$8,S$5+SQRT(NORMSDIST(S$9*SQRT($C$11)*NORMSINV($B228)+SQRT(1-S$9^2*$C$11)*NORMSINV(R228))*(S$7-S$5)*(S$6-S$5)),S$7-SQRT((1-NORMSDIST(S$9*SQRT($C$11)*NORMSINV($B228)+SQRT(1-S$9^2*$C$11)*NORMSINV(R228)))*(S$7-S$5)*(S$7-S$6))))</f>
        <v>0.452315833034639</v>
      </c>
      <c r="T228" s="2" t="n">
        <v>0.942062525</v>
      </c>
      <c r="U228" s="2" t="n">
        <f aca="false">IF(U$7=U$5,U$6,IF(NORMSDIST(U$9*SQRT($C$11)*NORMSINV($B228)+SQRT(1-U$9^2*$C$11)*NORMSINV(T228))&lt;U$8,U$5+SQRT(NORMSDIST(U$9*SQRT($C$11)*NORMSINV($B228)+SQRT(1-U$9^2*$C$11)*NORMSINV(T228))*(U$7-U$5)*(U$6-U$5)),U$7-SQRT((1-NORMSDIST(U$9*SQRT($C$11)*NORMSINV($B228)+SQRT(1-U$9^2*$C$11)*NORMSINV(T228)))*(U$7-U$5)*(U$7-U$6))))</f>
        <v>0.777993809936377</v>
      </c>
      <c r="V228" s="2" t="n">
        <v>0.288274006</v>
      </c>
      <c r="W228" s="2" t="n">
        <f aca="false">IF(W$7=W$5,W$6,IF(NORMSDIST(W$9*SQRT($C$11)*NORMSINV($B228)+SQRT(1-W$9^2*$C$11)*NORMSINV(V228))&lt;W$8,W$5+SQRT(NORMSDIST(W$9*SQRT($C$11)*NORMSINV($B228)+SQRT(1-W$9^2*$C$11)*NORMSINV(V228))*(W$7-W$5)*(W$6-W$5)),W$7-SQRT((1-NORMSDIST(W$9*SQRT($C$11)*NORMSINV($B228)+SQRT(1-W$9^2*$C$11)*NORMSINV(V228)))*(W$7-W$5)*(W$7-W$6))))</f>
        <v>9.69502922730784</v>
      </c>
      <c r="X228" s="2" t="n">
        <v>0.282267521</v>
      </c>
      <c r="Y228" s="2" t="n">
        <f aca="false">IF(Y$7=Y$5,Y$6,IF(NORMSDIST(Y$9*SQRT($C$11)*NORMSINV($B228)+SQRT(1-Y$9^2*$C$11)*NORMSINV(X228))&lt;Y$8,Y$5+SQRT(NORMSDIST(Y$9*SQRT($C$11)*NORMSINV($B228)+SQRT(1-Y$9^2*$C$11)*NORMSINV(X228))*(Y$7-Y$5)*(Y$6-Y$5)),Y$7-SQRT((1-NORMSDIST(Y$9*SQRT($C$11)*NORMSINV($B228)+SQRT(1-Y$9^2*$C$11)*NORMSINV(X228)))*(Y$7-Y$5)*(Y$7-Y$6))))</f>
        <v>0.375677734900539</v>
      </c>
      <c r="Z228" s="2" t="n">
        <v>0.118775517</v>
      </c>
      <c r="AA228" s="2" t="n">
        <f aca="false">IF(AA$7=AA$5,AA$6,IF(NORMSDIST(AA$9*SQRT($C$11)*NORMSINV($B228)+SQRT(1-AA$9^2*$C$11)*NORMSINV(Z228))&lt;AA$8,AA$5+SQRT(NORMSDIST(AA$9*SQRT($C$11)*NORMSINV($B228)+SQRT(1-AA$9^2*$C$11)*NORMSINV(Z228))*(AA$7-AA$5)*(AA$6-AA$5)),AA$7-SQRT((1-NORMSDIST(AA$9*SQRT($C$11)*NORMSINV($B228)+SQRT(1-AA$9^2*$C$11)*NORMSINV(Z228)))*(AA$7-AA$5)*(AA$7-AA$6))))</f>
        <v>0.715999470923126</v>
      </c>
      <c r="AB228" s="2" t="n">
        <v>0.446651394</v>
      </c>
      <c r="AC228" s="2" t="n">
        <f aca="false">IF(AC$7=AC$5,AC$6,IF(NORMSDIST(AC$9*SQRT($C$11)*NORMSINV($B228)+SQRT(1-AC$9^2*$C$11)*NORMSINV(AB228))&lt;AC$8,AC$5+SQRT(NORMSDIST(AC$9*SQRT($C$11)*NORMSINV($B228)+SQRT(1-AC$9^2*$C$11)*NORMSINV(AB228))*(AC$7-AC$5)*(AC$6-AC$5)),AC$7-SQRT((1-NORMSDIST(AC$9*SQRT($C$11)*NORMSINV($B228)+SQRT(1-AC$9^2*$C$11)*NORMSINV(AB228)))*(AC$7-AC$5)*(AC$7-AC$6))))</f>
        <v>9.45168477293936</v>
      </c>
      <c r="AD228" s="2" t="n">
        <f aca="false">Entrées!$C$8*(1+E228)</f>
        <v>7432.66115047591</v>
      </c>
      <c r="AE228" s="2" t="n">
        <f aca="false">I228*Hypothèses!$J$24/12/Hypothèses!$J$19</f>
        <v>92.2125867320259</v>
      </c>
      <c r="AF228" s="2" t="n">
        <f aca="false">Entrées!$C$36*S228*1000</f>
        <v>226.157916517319</v>
      </c>
      <c r="AG228" s="2" t="n">
        <f aca="false">-AF228/W228</f>
        <v>-23.3272031692596</v>
      </c>
      <c r="AH228" s="2" t="n">
        <f aca="false">AD228+AE228+AG228</f>
        <v>7501.54653403867</v>
      </c>
      <c r="AI228" s="2" t="n">
        <f aca="false">Entrées!$C$16-M228+Hypothèses!$J$22*1000-AF228+Hypothèses!$J$23</f>
        <v>22776.6004586316</v>
      </c>
      <c r="AJ228" s="2" t="n">
        <f aca="false">AI228/AH228</f>
        <v>3.03625397180188</v>
      </c>
      <c r="AK228" s="2" t="n">
        <f aca="false">AI228/(AH228+I228*(12-Hypothèses!$J$24)/12/Hypothèses!$J$19)</f>
        <v>3.00982666859119</v>
      </c>
      <c r="AL228" s="2" t="n">
        <f aca="false">(AD228+AG228+I228/Hypothèses!$J$19)*(1+G228)</f>
        <v>7975.79508796685</v>
      </c>
      <c r="AM228" s="2" t="n">
        <f aca="false">Entrées!$C$54*K228/Hypothèses!$J$19</f>
        <v>22.1251560167181</v>
      </c>
      <c r="AN228" s="2" t="n">
        <f aca="false">Y228*1000/AC228</f>
        <v>39.7471714224033</v>
      </c>
      <c r="AO228" s="2" t="n">
        <f aca="false">(Entrées!$C$36*(1-S228)+MAX(0,Entrées!$C$30-Entrées!$C$35-Entrées!$C$36)*U228)*1000</f>
        <v>1363.03341739361</v>
      </c>
      <c r="AP228" s="2" t="n">
        <f aca="false">-AO228/W228</f>
        <v>-140.590954956007</v>
      </c>
      <c r="AQ228" s="2" t="n">
        <f aca="false">AL228+AM228+AN228+AP228</f>
        <v>7897.07646044996</v>
      </c>
      <c r="AR228" s="2" t="n">
        <f aca="false">O228*AQ228-Hypothèses!$J$25/Hypothèses!$J$19</f>
        <v>1333.67347976561</v>
      </c>
      <c r="AS228" s="2" t="n">
        <f aca="false">Entrées!$C$79*(1+Q228)+Hypothèses!$J$20</f>
        <v>1488.8102114633</v>
      </c>
      <c r="AT228" s="2" t="n">
        <f aca="false">AI228-AR228+AS228+Y228*1000-AO228+Hypothèses!$J$23</f>
        <v>21944.3815078362</v>
      </c>
      <c r="AU228" s="2" t="n">
        <f aca="false">AT228/AQ228</f>
        <v>2.7787981562212</v>
      </c>
      <c r="AV228" s="2" t="n">
        <f aca="false">Hypothèses!$J$26*AQ228-AT228</f>
        <v>1746.84787351371</v>
      </c>
      <c r="AW228" s="2" t="n">
        <f aca="false">IF(AC228&gt;Hypothèses!$J$26,MAX(0,AV228)/(1-Hypothèses!$J$26/AC228),0)</f>
        <v>2559.12308610962</v>
      </c>
      <c r="AX228" s="2" t="n">
        <f aca="false">AQ228-Entrées!$C$17*1000</f>
        <v>-102.923539550039</v>
      </c>
      <c r="AY228" s="2" t="n">
        <f aca="false">AI228+(Entrées!$C$244-Entrées!$C$13)</f>
        <v>28523.6004586316</v>
      </c>
      <c r="AZ228" s="2" t="n">
        <f aca="false">AA228*AH228</f>
        <v>5371.1033494769</v>
      </c>
      <c r="BA228" s="2" t="n">
        <f aca="false">AZ228/AY228</f>
        <v>0.188303834828522</v>
      </c>
      <c r="BB228" s="2" t="n">
        <f aca="false">AZ228/(Entrées!$C$151/100)-AY228</f>
        <v>1315.8625940179</v>
      </c>
      <c r="BC228" s="2" t="n">
        <f aca="false">AT228+(Entrées!$C$244-Entrées!$C$13)</f>
        <v>27691.3815078362</v>
      </c>
      <c r="BD228" s="2" t="n">
        <f aca="false">AA228*AQ228</f>
        <v>5654.30256752165</v>
      </c>
      <c r="BE228" s="2" t="n">
        <f aca="false">BD228/BC228</f>
        <v>0.204189977517791</v>
      </c>
      <c r="BF228" s="2" t="n">
        <f aca="false">BD228/(Entrées!$C$151/100)-BC228</f>
        <v>3721.41053395075</v>
      </c>
      <c r="BG228" s="2" t="n">
        <f aca="false">MIN(AV228,BF228)</f>
        <v>1746.84787351371</v>
      </c>
      <c r="BH228" s="2" t="n">
        <f aca="false">IF(AC228&gt;Hypothèses!$J$26,MAX(0,BG228)/(1-Hypothèses!$J$26/AC228),0)</f>
        <v>2559.12308610962</v>
      </c>
    </row>
    <row r="229" customFormat="false" ht="15" hidden="false" customHeight="false" outlineLevel="0" collapsed="false">
      <c r="A229" s="2" t="n">
        <v>214</v>
      </c>
      <c r="B229" s="2" t="n">
        <v>0.4004538</v>
      </c>
      <c r="C229" s="2"/>
      <c r="D229" s="2" t="n">
        <v>0.179582922</v>
      </c>
      <c r="E229" s="2" t="n">
        <f aca="false">IF(E$7=E$5,E$6,IF(NORMSDIST(E$9*SQRT($C$11)*NORMSINV($B229)+SQRT(1-E$9^2*$C$11)*NORMSINV(D229))&lt;E$8,E$5+SQRT(NORMSDIST(E$9*SQRT($C$11)*NORMSINV($B229)+SQRT(1-E$9^2*$C$11)*NORMSINV(D229))*(E$7-E$5)*(E$6-E$5)),E$7-SQRT((1-NORMSDIST(E$9*SQRT($C$11)*NORMSINV($B229)+SQRT(1-E$9^2*$C$11)*NORMSINV(D229)))*(E$7-E$5)*(E$7-E$6))))</f>
        <v>0.0531001298555936</v>
      </c>
      <c r="F229" s="2" t="n">
        <v>0.057973999</v>
      </c>
      <c r="G229" s="2" t="n">
        <f aca="false">IF(G$7=G$5,G$6,IF(NORMSDIST(G$9*SQRT($C$11)*NORMSINV($B229)+SQRT(1-G$9^2*$C$11)*NORMSINV(F229))&lt;G$8,G$5+SQRT(NORMSDIST(G$9*SQRT($C$11)*NORMSINV($B229)+SQRT(1-G$9^2*$C$11)*NORMSINV(F229))*(G$7-G$5)*(G$6-G$5)),G$7-SQRT((1-NORMSDIST(G$9*SQRT($C$11)*NORMSINV($B229)+SQRT(1-G$9^2*$C$11)*NORMSINV(F229)))*(G$7-G$5)*(G$7-G$6))))</f>
        <v>0.0461566186631029</v>
      </c>
      <c r="H229" s="2" t="n">
        <v>0.313294492</v>
      </c>
      <c r="I229" s="2" t="n">
        <f aca="false">IF(I$7=I$5,I$6,IF(NORMSDIST(I$9*SQRT($C$11)*NORMSINV($B229)+SQRT(1-I$9^2*$C$11)*NORMSINV(H229))&lt;I$8,I$5+SQRT(NORMSDIST(I$9*SQRT($C$11)*NORMSINV($B229)+SQRT(1-I$9^2*$C$11)*NORMSINV(H229))*(I$7-I$5)*(I$6-I$5)),I$7-SQRT((1-NORMSDIST(I$9*SQRT($C$11)*NORMSINV($B229)+SQRT(1-I$9^2*$C$11)*NORMSINV(H229)))*(I$7-I$5)*(I$7-I$6))))</f>
        <v>195.384577797211</v>
      </c>
      <c r="J229" s="2" t="n">
        <v>0.81312047</v>
      </c>
      <c r="K229" s="2" t="n">
        <f aca="false">IF(K$7=K$5,K$6,IF(NORMSDIST(K$9*SQRT($C$11)*NORMSINV($B229)+SQRT(1-K$9^2*$C$11)*NORMSINV(J229))&lt;K$8,K$5+SQRT(NORMSDIST(K$9*SQRT($C$11)*NORMSINV($B229)+SQRT(1-K$9^2*$C$11)*NORMSINV(J229))*(K$7-K$5)*(K$6-K$5)),K$7-SQRT((1-NORMSDIST(K$9*SQRT($C$11)*NORMSINV($B229)+SQRT(1-K$9^2*$C$11)*NORMSINV(J229)))*(K$7-K$5)*(K$7-K$6))))</f>
        <v>0.30692094106753</v>
      </c>
      <c r="L229" s="2" t="n">
        <v>0.971392821</v>
      </c>
      <c r="M229" s="2" t="n">
        <f aca="false">IF(M$7=M$5,M$6,IF(NORMSDIST(M$9*SQRT($C$11)*NORMSINV($B229)+SQRT(1-M$9^2*$C$11)*NORMSINV(L229))&lt;M$8,M$5+SQRT(NORMSDIST(M$9*SQRT($C$11)*NORMSINV($B229)+SQRT(1-M$9^2*$C$11)*NORMSINV(L229))*(M$7-M$5)*(M$6-M$5)),M$7-SQRT((1-NORMSDIST(M$9*SQRT($C$11)*NORMSINV($B229)+SQRT(1-M$9^2*$C$11)*NORMSINV(L229)))*(M$7-M$5)*(M$7-M$6))))</f>
        <v>1705.16403294257</v>
      </c>
      <c r="N229" s="2" t="n">
        <v>0.796511817</v>
      </c>
      <c r="O229" s="2" t="n">
        <f aca="false">IF(O$7=O$5,O$6,IF(NORMSDIST(O$9*SQRT($C$11)*NORMSINV($B229)+SQRT(1-O$9^2*$C$11)*NORMSINV(N229))&lt;O$8,O$5+SQRT(NORMSDIST(O$9*SQRT($C$11)*NORMSINV($B229)+SQRT(1-O$9^2*$C$11)*NORMSINV(N229))*(O$7-O$5)*(O$6-O$5)),O$7-SQRT((1-NORMSDIST(O$9*SQRT($C$11)*NORMSINV($B229)+SQRT(1-O$9^2*$C$11)*NORMSINV(N229)))*(O$7-O$5)*(O$7-O$6))))</f>
        <v>0.17169383353665</v>
      </c>
      <c r="P229" s="2" t="n">
        <v>0.198792289</v>
      </c>
      <c r="Q229" s="2" t="n">
        <f aca="false">IF(Q$7=Q$5,Q$6,IF(NORMSDIST(Q$9*SQRT($C$11)*NORMSINV($B229)+SQRT(1-Q$9^2*$C$11)*NORMSINV(P229))&lt;Q$8,Q$5+SQRT(NORMSDIST(Q$9*SQRT($C$11)*NORMSINV($B229)+SQRT(1-Q$9^2*$C$11)*NORMSINV(P229))*(Q$7-Q$5)*(Q$6-Q$5)),Q$7-SQRT((1-NORMSDIST(Q$9*SQRT($C$11)*NORMSINV($B229)+SQRT(1-Q$9^2*$C$11)*NORMSINV(P229)))*(Q$7-Q$5)*(Q$7-Q$6))))</f>
        <v>0.0652217232718147</v>
      </c>
      <c r="R229" s="2" t="n">
        <v>0.386491475</v>
      </c>
      <c r="S229" s="2" t="n">
        <f aca="false">IF(S$7=S$5,S$6,IF(NORMSDIST(S$9*SQRT($C$11)*NORMSINV($B229)+SQRT(1-S$9^2*$C$11)*NORMSINV(R229))&lt;S$8,S$5+SQRT(NORMSDIST(S$9*SQRT($C$11)*NORMSINV($B229)+SQRT(1-S$9^2*$C$11)*NORMSINV(R229))*(S$7-S$5)*(S$6-S$5)),S$7-SQRT((1-NORMSDIST(S$9*SQRT($C$11)*NORMSINV($B229)+SQRT(1-S$9^2*$C$11)*NORMSINV(R229)))*(S$7-S$5)*(S$7-S$6))))</f>
        <v>0.418856854225938</v>
      </c>
      <c r="T229" s="2" t="n">
        <v>0.547513509</v>
      </c>
      <c r="U229" s="2" t="n">
        <f aca="false">IF(U$7=U$5,U$6,IF(NORMSDIST(U$9*SQRT($C$11)*NORMSINV($B229)+SQRT(1-U$9^2*$C$11)*NORMSINV(T229))&lt;U$8,U$5+SQRT(NORMSDIST(U$9*SQRT($C$11)*NORMSINV($B229)+SQRT(1-U$9^2*$C$11)*NORMSINV(T229))*(U$7-U$5)*(U$6-U$5)),U$7-SQRT((1-NORMSDIST(U$9*SQRT($C$11)*NORMSINV($B229)+SQRT(1-U$9^2*$C$11)*NORMSINV(T229)))*(U$7-U$5)*(U$7-U$6))))</f>
        <v>0.486459011005821</v>
      </c>
      <c r="V229" s="2" t="n">
        <v>0.843587771</v>
      </c>
      <c r="W229" s="2" t="n">
        <f aca="false">IF(W$7=W$5,W$6,IF(NORMSDIST(W$9*SQRT($C$11)*NORMSINV($B229)+SQRT(1-W$9^2*$C$11)*NORMSINV(V229))&lt;W$8,W$5+SQRT(NORMSDIST(W$9*SQRT($C$11)*NORMSINV($B229)+SQRT(1-W$9^2*$C$11)*NORMSINV(V229))*(W$7-W$5)*(W$6-W$5)),W$7-SQRT((1-NORMSDIST(W$9*SQRT($C$11)*NORMSINV($B229)+SQRT(1-W$9^2*$C$11)*NORMSINV(V229)))*(W$7-W$5)*(W$7-W$6))))</f>
        <v>10.5388638077205</v>
      </c>
      <c r="X229" s="2" t="n">
        <v>0.39577256</v>
      </c>
      <c r="Y229" s="2" t="n">
        <f aca="false">IF(Y$7=Y$5,Y$6,IF(NORMSDIST(Y$9*SQRT($C$11)*NORMSINV($B229)+SQRT(1-Y$9^2*$C$11)*NORMSINV(X229))&lt;Y$8,Y$5+SQRT(NORMSDIST(Y$9*SQRT($C$11)*NORMSINV($B229)+SQRT(1-Y$9^2*$C$11)*NORMSINV(X229))*(Y$7-Y$5)*(Y$6-Y$5)),Y$7-SQRT((1-NORMSDIST(Y$9*SQRT($C$11)*NORMSINV($B229)+SQRT(1-Y$9^2*$C$11)*NORMSINV(X229)))*(Y$7-Y$5)*(Y$7-Y$6))))</f>
        <v>0.444844107525322</v>
      </c>
      <c r="Z229" s="2" t="n">
        <v>0.726702357</v>
      </c>
      <c r="AA229" s="2" t="n">
        <f aca="false">IF(AA$7=AA$5,AA$6,IF(NORMSDIST(AA$9*SQRT($C$11)*NORMSINV($B229)+SQRT(1-AA$9^2*$C$11)*NORMSINV(Z229))&lt;AA$8,AA$5+SQRT(NORMSDIST(AA$9*SQRT($C$11)*NORMSINV($B229)+SQRT(1-AA$9^2*$C$11)*NORMSINV(Z229))*(AA$7-AA$5)*(AA$6-AA$5)),AA$7-SQRT((1-NORMSDIST(AA$9*SQRT($C$11)*NORMSINV($B229)+SQRT(1-AA$9^2*$C$11)*NORMSINV(Z229)))*(AA$7-AA$5)*(AA$7-AA$6))))</f>
        <v>0.731790723240387</v>
      </c>
      <c r="AB229" s="2" t="n">
        <v>0.874742387</v>
      </c>
      <c r="AC229" s="2" t="n">
        <f aca="false">IF(AC$7=AC$5,AC$6,IF(NORMSDIST(AC$9*SQRT($C$11)*NORMSINV($B229)+SQRT(1-AC$9^2*$C$11)*NORMSINV(AB229))&lt;AC$8,AC$5+SQRT(NORMSDIST(AC$9*SQRT($C$11)*NORMSINV($B229)+SQRT(1-AC$9^2*$C$11)*NORMSINV(AB229))*(AC$7-AC$5)*(AC$6-AC$5)),AC$7-SQRT((1-NORMSDIST(AC$9*SQRT($C$11)*NORMSINV($B229)+SQRT(1-AC$9^2*$C$11)*NORMSINV(AB229)))*(AC$7-AC$5)*(AC$7-AC$6))))</f>
        <v>9.99777716575018</v>
      </c>
      <c r="AD229" s="2" t="n">
        <f aca="false">Entrées!$C$8*(1+E229)</f>
        <v>7424.35591548193</v>
      </c>
      <c r="AE229" s="2" t="n">
        <f aca="false">I229*Hypothèses!$J$24/12/Hypothèses!$J$19</f>
        <v>96.9296636925275</v>
      </c>
      <c r="AF229" s="2" t="n">
        <f aca="false">Entrées!$C$36*S229*1000</f>
        <v>209.428427112969</v>
      </c>
      <c r="AG229" s="2" t="n">
        <f aca="false">-AF229/W229</f>
        <v>-19.8720119107666</v>
      </c>
      <c r="AH229" s="2" t="n">
        <f aca="false">AD229+AE229+AG229</f>
        <v>7501.4135672637</v>
      </c>
      <c r="AI229" s="2" t="n">
        <f aca="false">Entrées!$C$16-M229+Hypothèses!$J$22*1000-AF229+Hypothèses!$J$23</f>
        <v>22633.4075399445</v>
      </c>
      <c r="AJ229" s="2" t="n">
        <f aca="false">AI229/AH229</f>
        <v>3.01721899972521</v>
      </c>
      <c r="AK229" s="2" t="n">
        <f aca="false">AI229/(AH229+I229*(12-Hypothèses!$J$24)/12/Hypothèses!$J$19)</f>
        <v>2.98962577929367</v>
      </c>
      <c r="AL229" s="2" t="n">
        <f aca="false">(AD229+AG229+I229/Hypothèses!$J$19)*(1+G229)</f>
        <v>7920.08460216263</v>
      </c>
      <c r="AM229" s="2" t="n">
        <f aca="false">Entrées!$C$54*K229/Hypothèses!$J$19</f>
        <v>31.3225707136966</v>
      </c>
      <c r="AN229" s="2" t="n">
        <f aca="false">Y229*1000/AC229</f>
        <v>44.4943010981725</v>
      </c>
      <c r="AO229" s="2" t="n">
        <f aca="false">(Entrées!$C$36*(1-S229)+MAX(0,Entrées!$C$30-Entrées!$C$35-Entrées!$C$36)*U229)*1000</f>
        <v>971.61418829518</v>
      </c>
      <c r="AP229" s="2" t="n">
        <f aca="false">-AO229/W229</f>
        <v>-92.1934476070749</v>
      </c>
      <c r="AQ229" s="2" t="n">
        <f aca="false">AL229+AM229+AN229+AP229</f>
        <v>7903.70802636742</v>
      </c>
      <c r="AR229" s="2" t="n">
        <f aca="false">O229*AQ229-Hypothèses!$J$25/Hypothèses!$J$19</f>
        <v>1337.88276793979</v>
      </c>
      <c r="AS229" s="2" t="n">
        <f aca="false">Entrées!$C$79*(1+Q229)+Hypothèses!$J$20</f>
        <v>1465.67867387572</v>
      </c>
      <c r="AT229" s="2" t="n">
        <f aca="false">AI229-AR229+AS229+Y229*1000-AO229+Hypothèses!$J$23</f>
        <v>22234.4333651105</v>
      </c>
      <c r="AU229" s="2" t="n">
        <f aca="false">AT229/AQ229</f>
        <v>2.81316481971938</v>
      </c>
      <c r="AV229" s="2" t="n">
        <f aca="false">Hypothèses!$J$26*AQ229-AT229</f>
        <v>1476.69071399173</v>
      </c>
      <c r="AW229" s="2" t="n">
        <f aca="false">IF(AC229&gt;Hypothèses!$J$26,MAX(0,AV229)/(1-Hypothèses!$J$26/AC229),0)</f>
        <v>2109.7591923162</v>
      </c>
      <c r="AX229" s="2" t="n">
        <f aca="false">AQ229-Entrées!$C$17*1000</f>
        <v>-96.2919736325757</v>
      </c>
      <c r="AY229" s="2" t="n">
        <f aca="false">AI229+(Entrées!$C$244-Entrées!$C$13)</f>
        <v>28380.4075399445</v>
      </c>
      <c r="AZ229" s="2" t="n">
        <f aca="false">AA229*AH229</f>
        <v>5489.46485971315</v>
      </c>
      <c r="BA229" s="2" t="n">
        <f aca="false">AZ229/AY229</f>
        <v>0.193424454951428</v>
      </c>
      <c r="BB229" s="2" t="n">
        <f aca="false">AZ229/(Entrées!$C$151/100)-AY229</f>
        <v>2116.61945846192</v>
      </c>
      <c r="BC229" s="2" t="n">
        <f aca="false">AT229+(Entrées!$C$244-Entrées!$C$13)</f>
        <v>27981.4333651105</v>
      </c>
      <c r="BD229" s="2" t="n">
        <f aca="false">AA229*AQ229</f>
        <v>5783.86021289627</v>
      </c>
      <c r="BE229" s="2" t="n">
        <f aca="false">BD229/BC229</f>
        <v>0.206703500046858</v>
      </c>
      <c r="BF229" s="2" t="n">
        <f aca="false">BD229/(Entrées!$C$151/100)-BC229</f>
        <v>4151.12337320206</v>
      </c>
      <c r="BG229" s="2" t="n">
        <f aca="false">MIN(AV229,BF229)</f>
        <v>1476.69071399173</v>
      </c>
      <c r="BH229" s="2" t="n">
        <f aca="false">IF(AC229&gt;Hypothèses!$J$26,MAX(0,BG229)/(1-Hypothèses!$J$26/AC229),0)</f>
        <v>2109.7591923162</v>
      </c>
    </row>
    <row r="230" customFormat="false" ht="15" hidden="false" customHeight="false" outlineLevel="0" collapsed="false">
      <c r="A230" s="2" t="n">
        <v>215</v>
      </c>
      <c r="B230" s="2" t="n">
        <v>0.541495822</v>
      </c>
      <c r="C230" s="2"/>
      <c r="D230" s="2" t="n">
        <v>0.437177318</v>
      </c>
      <c r="E230" s="2" t="n">
        <f aca="false">IF(E$7=E$5,E$6,IF(NORMSDIST(E$9*SQRT($C$11)*NORMSINV($B230)+SQRT(1-E$9^2*$C$11)*NORMSINV(D230))&lt;E$8,E$5+SQRT(NORMSDIST(E$9*SQRT($C$11)*NORMSINV($B230)+SQRT(1-E$9^2*$C$11)*NORMSINV(D230))*(E$7-E$5)*(E$6-E$5)),E$7-SQRT((1-NORMSDIST(E$9*SQRT($C$11)*NORMSINV($B230)+SQRT(1-E$9^2*$C$11)*NORMSINV(D230)))*(E$7-E$5)*(E$7-E$6))))</f>
        <v>0.0548858913244799</v>
      </c>
      <c r="F230" s="2" t="n">
        <v>0.432448792</v>
      </c>
      <c r="G230" s="2" t="n">
        <f aca="false">IF(G$7=G$5,G$6,IF(NORMSDIST(G$9*SQRT($C$11)*NORMSINV($B230)+SQRT(1-G$9^2*$C$11)*NORMSINV(F230))&lt;G$8,G$5+SQRT(NORMSDIST(G$9*SQRT($C$11)*NORMSINV($B230)+SQRT(1-G$9^2*$C$11)*NORMSINV(F230))*(G$7-G$5)*(G$6-G$5)),G$7-SQRT((1-NORMSDIST(G$9*SQRT($C$11)*NORMSINV($B230)+SQRT(1-G$9^2*$C$11)*NORMSINV(F230)))*(G$7-G$5)*(G$7-G$6))))</f>
        <v>0.0546006836919723</v>
      </c>
      <c r="H230" s="2" t="n">
        <v>0.095369871</v>
      </c>
      <c r="I230" s="2" t="n">
        <f aca="false">IF(I$7=I$5,I$6,IF(NORMSDIST(I$9*SQRT($C$11)*NORMSINV($B230)+SQRT(1-I$9^2*$C$11)*NORMSINV(H230))&lt;I$8,I$5+SQRT(NORMSDIST(I$9*SQRT($C$11)*NORMSINV($B230)+SQRT(1-I$9^2*$C$11)*NORMSINV(H230))*(I$7-I$5)*(I$6-I$5)),I$7-SQRT((1-NORMSDIST(I$9*SQRT($C$11)*NORMSINV($B230)+SQRT(1-I$9^2*$C$11)*NORMSINV(H230)))*(I$7-I$5)*(I$7-I$6))))</f>
        <v>191.719154113407</v>
      </c>
      <c r="J230" s="2" t="n">
        <v>0.863047329</v>
      </c>
      <c r="K230" s="2" t="n">
        <f aca="false">IF(K$7=K$5,K$6,IF(NORMSDIST(K$9*SQRT($C$11)*NORMSINV($B230)+SQRT(1-K$9^2*$C$11)*NORMSINV(J230))&lt;K$8,K$5+SQRT(NORMSDIST(K$9*SQRT($C$11)*NORMSINV($B230)+SQRT(1-K$9^2*$C$11)*NORMSINV(J230))*(K$7-K$5)*(K$6-K$5)),K$7-SQRT((1-NORMSDIST(K$9*SQRT($C$11)*NORMSINV($B230)+SQRT(1-K$9^2*$C$11)*NORMSINV(J230)))*(K$7-K$5)*(K$7-K$6))))</f>
        <v>0.349785122910793</v>
      </c>
      <c r="L230" s="2" t="n">
        <v>0.19549029</v>
      </c>
      <c r="M230" s="2" t="n">
        <f aca="false">IF(M$7=M$5,M$6,IF(NORMSDIST(M$9*SQRT($C$11)*NORMSINV($B230)+SQRT(1-M$9^2*$C$11)*NORMSINV(L230))&lt;M$8,M$5+SQRT(NORMSDIST(M$9*SQRT($C$11)*NORMSINV($B230)+SQRT(1-M$9^2*$C$11)*NORMSINV(L230))*(M$7-M$5)*(M$6-M$5)),M$7-SQRT((1-NORMSDIST(M$9*SQRT($C$11)*NORMSINV($B230)+SQRT(1-M$9^2*$C$11)*NORMSINV(L230)))*(M$7-M$5)*(M$7-M$6))))</f>
        <v>1512.34518238377</v>
      </c>
      <c r="N230" s="2" t="n">
        <v>0.444104275</v>
      </c>
      <c r="O230" s="2" t="n">
        <f aca="false">IF(O$7=O$5,O$6,IF(NORMSDIST(O$9*SQRT($C$11)*NORMSINV($B230)+SQRT(1-O$9^2*$C$11)*NORMSINV(N230))&lt;O$8,O$5+SQRT(NORMSDIST(O$9*SQRT($C$11)*NORMSINV($B230)+SQRT(1-O$9^2*$C$11)*NORMSINV(N230))*(O$7-O$5)*(O$6-O$5)),O$7-SQRT((1-NORMSDIST(O$9*SQRT($C$11)*NORMSINV($B230)+SQRT(1-O$9^2*$C$11)*NORMSINV(N230)))*(O$7-O$5)*(O$7-O$6))))</f>
        <v>0.166321343357327</v>
      </c>
      <c r="P230" s="2" t="n">
        <v>0.688725621</v>
      </c>
      <c r="Q230" s="2" t="n">
        <f aca="false">IF(Q$7=Q$5,Q$6,IF(NORMSDIST(Q$9*SQRT($C$11)*NORMSINV($B230)+SQRT(1-Q$9^2*$C$11)*NORMSINV(P230))&lt;Q$8,Q$5+SQRT(NORMSDIST(Q$9*SQRT($C$11)*NORMSINV($B230)+SQRT(1-Q$9^2*$C$11)*NORMSINV(P230))*(Q$7-Q$5)*(Q$6-Q$5)),Q$7-SQRT((1-NORMSDIST(Q$9*SQRT($C$11)*NORMSINV($B230)+SQRT(1-Q$9^2*$C$11)*NORMSINV(P230)))*(Q$7-Q$5)*(Q$7-Q$6))))</f>
        <v>0.0884392963830019</v>
      </c>
      <c r="R230" s="2" t="n">
        <v>0.731851497</v>
      </c>
      <c r="S230" s="2" t="n">
        <f aca="false">IF(S$7=S$5,S$6,IF(NORMSDIST(S$9*SQRT($C$11)*NORMSINV($B230)+SQRT(1-S$9^2*$C$11)*NORMSINV(R230))&lt;S$8,S$5+SQRT(NORMSDIST(S$9*SQRT($C$11)*NORMSINV($B230)+SQRT(1-S$9^2*$C$11)*NORMSINV(R230))*(S$7-S$5)*(S$6-S$5)),S$7-SQRT((1-NORMSDIST(S$9*SQRT($C$11)*NORMSINV($B230)+SQRT(1-S$9^2*$C$11)*NORMSINV(R230)))*(S$7-S$5)*(S$7-S$6))))</f>
        <v>0.617311938563772</v>
      </c>
      <c r="T230" s="2" t="n">
        <v>0.192996346</v>
      </c>
      <c r="U230" s="2" t="n">
        <f aca="false">IF(U$7=U$5,U$6,IF(NORMSDIST(U$9*SQRT($C$11)*NORMSINV($B230)+SQRT(1-U$9^2*$C$11)*NORMSINV(T230))&lt;U$8,U$5+SQRT(NORMSDIST(U$9*SQRT($C$11)*NORMSINV($B230)+SQRT(1-U$9^2*$C$11)*NORMSINV(T230))*(U$7-U$5)*(U$6-U$5)),U$7-SQRT((1-NORMSDIST(U$9*SQRT($C$11)*NORMSINV($B230)+SQRT(1-U$9^2*$C$11)*NORMSINV(T230)))*(U$7-U$5)*(U$7-U$6))))</f>
        <v>0.369046207758338</v>
      </c>
      <c r="V230" s="2" t="n">
        <v>0.229788513</v>
      </c>
      <c r="W230" s="2" t="n">
        <f aca="false">IF(W$7=W$5,W$6,IF(NORMSDIST(W$9*SQRT($C$11)*NORMSINV($B230)+SQRT(1-W$9^2*$C$11)*NORMSINV(V230))&lt;W$8,W$5+SQRT(NORMSDIST(W$9*SQRT($C$11)*NORMSINV($B230)+SQRT(1-W$9^2*$C$11)*NORMSINV(V230))*(W$7-W$5)*(W$6-W$5)),W$7-SQRT((1-NORMSDIST(W$9*SQRT($C$11)*NORMSINV($B230)+SQRT(1-W$9^2*$C$11)*NORMSINV(V230)))*(W$7-W$5)*(W$7-W$6))))</f>
        <v>9.56485645069459</v>
      </c>
      <c r="X230" s="2" t="n">
        <v>0.272838191</v>
      </c>
      <c r="Y230" s="2" t="n">
        <f aca="false">IF(Y$7=Y$5,Y$6,IF(NORMSDIST(Y$9*SQRT($C$11)*NORMSINV($B230)+SQRT(1-Y$9^2*$C$11)*NORMSINV(X230))&lt;Y$8,Y$5+SQRT(NORMSDIST(Y$9*SQRT($C$11)*NORMSINV($B230)+SQRT(1-Y$9^2*$C$11)*NORMSINV(X230))*(Y$7-Y$5)*(Y$6-Y$5)),Y$7-SQRT((1-NORMSDIST(Y$9*SQRT($C$11)*NORMSINV($B230)+SQRT(1-Y$9^2*$C$11)*NORMSINV(X230)))*(Y$7-Y$5)*(Y$7-Y$6))))</f>
        <v>0.36934955733018</v>
      </c>
      <c r="Z230" s="2" t="n">
        <v>0.764503246</v>
      </c>
      <c r="AA230" s="2" t="n">
        <f aca="false">IF(AA$7=AA$5,AA$6,IF(NORMSDIST(AA$9*SQRT($C$11)*NORMSINV($B230)+SQRT(1-AA$9^2*$C$11)*NORMSINV(Z230))&lt;AA$8,AA$5+SQRT(NORMSDIST(AA$9*SQRT($C$11)*NORMSINV($B230)+SQRT(1-AA$9^2*$C$11)*NORMSINV(Z230))*(AA$7-AA$5)*(AA$6-AA$5)),AA$7-SQRT((1-NORMSDIST(AA$9*SQRT($C$11)*NORMSINV($B230)+SQRT(1-AA$9^2*$C$11)*NORMSINV(Z230)))*(AA$7-AA$5)*(AA$7-AA$6))))</f>
        <v>0.735371669109141</v>
      </c>
      <c r="AB230" s="2" t="n">
        <v>0.423444842</v>
      </c>
      <c r="AC230" s="2" t="n">
        <f aca="false">IF(AC$7=AC$5,AC$6,IF(NORMSDIST(AC$9*SQRT($C$11)*NORMSINV($B230)+SQRT(1-AC$9^2*$C$11)*NORMSINV(AB230))&lt;AC$8,AC$5+SQRT(NORMSDIST(AC$9*SQRT($C$11)*NORMSINV($B230)+SQRT(1-AC$9^2*$C$11)*NORMSINV(AB230))*(AC$7-AC$5)*(AC$6-AC$5)),AC$7-SQRT((1-NORMSDIST(AC$9*SQRT($C$11)*NORMSINV($B230)+SQRT(1-AC$9^2*$C$11)*NORMSINV(AB230)))*(AC$7-AC$5)*(AC$7-AC$6))))</f>
        <v>9.40797528132009</v>
      </c>
      <c r="AD230" s="2" t="n">
        <f aca="false">Entrées!$C$8*(1+E230)</f>
        <v>7436.94553383758</v>
      </c>
      <c r="AE230" s="2" t="n">
        <f aca="false">I230*Hypothèses!$J$24/12/Hypothèses!$J$19</f>
        <v>95.1112587346371</v>
      </c>
      <c r="AF230" s="2" t="n">
        <f aca="false">Entrées!$C$36*S230*1000</f>
        <v>308.655969281886</v>
      </c>
      <c r="AG230" s="2" t="n">
        <f aca="false">-AF230/W230</f>
        <v>-32.2697962978286</v>
      </c>
      <c r="AH230" s="2" t="n">
        <f aca="false">AD230+AE230+AG230</f>
        <v>7499.78699627439</v>
      </c>
      <c r="AI230" s="2" t="n">
        <f aca="false">Entrées!$C$16-M230+Hypothèses!$J$22*1000-AF230+Hypothèses!$J$23</f>
        <v>22726.9988483343</v>
      </c>
      <c r="AJ230" s="2" t="n">
        <f aca="false">AI230/AH230</f>
        <v>3.03035257662974</v>
      </c>
      <c r="AK230" s="2" t="n">
        <f aca="false">AI230/(AH230+I230*(12-Hypothèses!$J$24)/12/Hypothèses!$J$19)</f>
        <v>3.00314863763459</v>
      </c>
      <c r="AL230" s="2" t="n">
        <f aca="false">(AD230+AG230+I230/Hypothèses!$J$19)*(1+G230)</f>
        <v>7980.92649273539</v>
      </c>
      <c r="AM230" s="2" t="n">
        <f aca="false">Entrées!$C$54*K230/Hypothèses!$J$19</f>
        <v>35.6970404458709</v>
      </c>
      <c r="AN230" s="2" t="n">
        <f aca="false">Y230*1000/AC230</f>
        <v>39.2591972540084</v>
      </c>
      <c r="AO230" s="2" t="n">
        <f aca="false">(Entrées!$C$36*(1-S230)+MAX(0,Entrées!$C$30-Entrées!$C$35-Entrées!$C$36)*U230)*1000</f>
        <v>708.008721579787</v>
      </c>
      <c r="AP230" s="2" t="n">
        <f aca="false">-AO230/W230</f>
        <v>-74.0218868134056</v>
      </c>
      <c r="AQ230" s="2" t="n">
        <f aca="false">AL230+AM230+AN230+AP230</f>
        <v>7981.86084362186</v>
      </c>
      <c r="AR230" s="2" t="n">
        <f aca="false">O230*AQ230-Hypothèses!$J$25/Hypothèses!$J$19</f>
        <v>1308.41865574081</v>
      </c>
      <c r="AS230" s="2" t="n">
        <f aca="false">Entrées!$C$79*(1+Q230)+Hypothèses!$J$20</f>
        <v>1491.19478672492</v>
      </c>
      <c r="AT230" s="2" t="n">
        <f aca="false">AI230-AR230+AS230+Y230*1000-AO230+Hypothèses!$J$23</f>
        <v>22571.1158150688</v>
      </c>
      <c r="AU230" s="2" t="n">
        <f aca="false">AT230/AQ230</f>
        <v>2.82780121794593</v>
      </c>
      <c r="AV230" s="2" t="n">
        <f aca="false">Hypothèses!$J$26*AQ230-AT230</f>
        <v>1374.46671579674</v>
      </c>
      <c r="AW230" s="2" t="n">
        <f aca="false">IF(AC230&gt;Hypothèses!$J$26,MAX(0,AV230)/(1-Hypothèses!$J$26/AC230),0)</f>
        <v>2017.94612487161</v>
      </c>
      <c r="AX230" s="2" t="n">
        <f aca="false">AQ230-Entrées!$C$17*1000</f>
        <v>-18.1391563781372</v>
      </c>
      <c r="AY230" s="2" t="n">
        <f aca="false">AI230+(Entrées!$C$244-Entrées!$C$13)</f>
        <v>28473.9988483343</v>
      </c>
      <c r="AZ230" s="2" t="n">
        <f aca="false">AA230*AH230</f>
        <v>5515.13088141333</v>
      </c>
      <c r="BA230" s="2" t="n">
        <f aca="false">AZ230/AY230</f>
        <v>0.193690071801627</v>
      </c>
      <c r="BB230" s="2" t="n">
        <f aca="false">AZ230/(Entrées!$C$151/100)-AY230</f>
        <v>2165.6171595175</v>
      </c>
      <c r="BC230" s="2" t="n">
        <f aca="false">AT230+(Entrées!$C$244-Entrées!$C$13)</f>
        <v>28318.1158150688</v>
      </c>
      <c r="BD230" s="2" t="n">
        <f aca="false">AA230*AQ230</f>
        <v>5869.63433117111</v>
      </c>
      <c r="BE230" s="2" t="n">
        <f aca="false">BD230/BC230</f>
        <v>0.207274889667896</v>
      </c>
      <c r="BF230" s="2" t="n">
        <f aca="false">BD230/(Entrées!$C$151/100)-BC230</f>
        <v>4290.96380254842</v>
      </c>
      <c r="BG230" s="2" t="n">
        <f aca="false">MIN(AV230,BF230)</f>
        <v>1374.46671579674</v>
      </c>
      <c r="BH230" s="2" t="n">
        <f aca="false">IF(AC230&gt;Hypothèses!$J$26,MAX(0,BG230)/(1-Hypothèses!$J$26/AC230),0)</f>
        <v>2017.94612487161</v>
      </c>
    </row>
    <row r="231" customFormat="false" ht="15" hidden="false" customHeight="false" outlineLevel="0" collapsed="false">
      <c r="A231" s="2" t="n">
        <v>216</v>
      </c>
      <c r="B231" s="2" t="n">
        <v>0.754550246</v>
      </c>
      <c r="C231" s="2"/>
      <c r="D231" s="2" t="n">
        <v>0.775875672</v>
      </c>
      <c r="E231" s="2" t="n">
        <f aca="false">IF(E$7=E$5,E$6,IF(NORMSDIST(E$9*SQRT($C$11)*NORMSINV($B231)+SQRT(1-E$9^2*$C$11)*NORMSINV(D231))&lt;E$8,E$5+SQRT(NORMSDIST(E$9*SQRT($C$11)*NORMSINV($B231)+SQRT(1-E$9^2*$C$11)*NORMSINV(D231))*(E$7-E$5)*(E$6-E$5)),E$7-SQRT((1-NORMSDIST(E$9*SQRT($C$11)*NORMSINV($B231)+SQRT(1-E$9^2*$C$11)*NORMSINV(D231)))*(E$7-E$5)*(E$7-E$6))))</f>
        <v>0.0572329408180466</v>
      </c>
      <c r="F231" s="2" t="n">
        <v>0.229537375</v>
      </c>
      <c r="G231" s="2" t="n">
        <f aca="false">IF(G$7=G$5,G$6,IF(NORMSDIST(G$9*SQRT($C$11)*NORMSINV($B231)+SQRT(1-G$9^2*$C$11)*NORMSINV(F231))&lt;G$8,G$5+SQRT(NORMSDIST(G$9*SQRT($C$11)*NORMSINV($B231)+SQRT(1-G$9^2*$C$11)*NORMSINV(F231))*(G$7-G$5)*(G$6-G$5)),G$7-SQRT((1-NORMSDIST(G$9*SQRT($C$11)*NORMSINV($B231)+SQRT(1-G$9^2*$C$11)*NORMSINV(F231)))*(G$7-G$5)*(G$7-G$6))))</f>
        <v>0.0541541149538394</v>
      </c>
      <c r="H231" s="2" t="n">
        <v>0.081452832</v>
      </c>
      <c r="I231" s="2" t="n">
        <f aca="false">IF(I$7=I$5,I$6,IF(NORMSDIST(I$9*SQRT($C$11)*NORMSINV($B231)+SQRT(1-I$9^2*$C$11)*NORMSINV(H231))&lt;I$8,I$5+SQRT(NORMSDIST(I$9*SQRT($C$11)*NORMSINV($B231)+SQRT(1-I$9^2*$C$11)*NORMSINV(H231))*(I$7-I$5)*(I$6-I$5)),I$7-SQRT((1-NORMSDIST(I$9*SQRT($C$11)*NORMSINV($B231)+SQRT(1-I$9^2*$C$11)*NORMSINV(H231)))*(I$7-I$5)*(I$7-I$6))))</f>
        <v>194.405879104914</v>
      </c>
      <c r="J231" s="2" t="n">
        <v>0.611639839</v>
      </c>
      <c r="K231" s="2" t="n">
        <f aca="false">IF(K$7=K$5,K$6,IF(NORMSDIST(K$9*SQRT($C$11)*NORMSINV($B231)+SQRT(1-K$9^2*$C$11)*NORMSINV(J231))&lt;K$8,K$5+SQRT(NORMSDIST(K$9*SQRT($C$11)*NORMSINV($B231)+SQRT(1-K$9^2*$C$11)*NORMSINV(J231))*(K$7-K$5)*(K$6-K$5)),K$7-SQRT((1-NORMSDIST(K$9*SQRT($C$11)*NORMSINV($B231)+SQRT(1-K$9^2*$C$11)*NORMSINV(J231)))*(K$7-K$5)*(K$7-K$6))))</f>
        <v>0.321073051036788</v>
      </c>
      <c r="L231" s="2" t="n">
        <v>0.662787844</v>
      </c>
      <c r="M231" s="2" t="n">
        <f aca="false">IF(M$7=M$5,M$6,IF(NORMSDIST(M$9*SQRT($C$11)*NORMSINV($B231)+SQRT(1-M$9^2*$C$11)*NORMSINV(L231))&lt;M$8,M$5+SQRT(NORMSDIST(M$9*SQRT($C$11)*NORMSINV($B231)+SQRT(1-M$9^2*$C$11)*NORMSINV(L231))*(M$7-M$5)*(M$6-M$5)),M$7-SQRT((1-NORMSDIST(M$9*SQRT($C$11)*NORMSINV($B231)+SQRT(1-M$9^2*$C$11)*NORMSINV(L231)))*(M$7-M$5)*(M$7-M$6))))</f>
        <v>1658.56922847201</v>
      </c>
      <c r="N231" s="2" t="n">
        <v>0.086191984</v>
      </c>
      <c r="O231" s="2" t="n">
        <f aca="false">IF(O$7=O$5,O$6,IF(NORMSDIST(O$9*SQRT($C$11)*NORMSINV($B231)+SQRT(1-O$9^2*$C$11)*NORMSINV(N231))&lt;O$8,O$5+SQRT(NORMSDIST(O$9*SQRT($C$11)*NORMSINV($B231)+SQRT(1-O$9^2*$C$11)*NORMSINV(N231))*(O$7-O$5)*(O$6-O$5)),O$7-SQRT((1-NORMSDIST(O$9*SQRT($C$11)*NORMSINV($B231)+SQRT(1-O$9^2*$C$11)*NORMSINV(N231)))*(O$7-O$5)*(O$7-O$6))))</f>
        <v>0.159580020065431</v>
      </c>
      <c r="P231" s="2" t="n">
        <v>0.395149561</v>
      </c>
      <c r="Q231" s="2" t="n">
        <f aca="false">IF(Q$7=Q$5,Q$6,IF(NORMSDIST(Q$9*SQRT($C$11)*NORMSINV($B231)+SQRT(1-Q$9^2*$C$11)*NORMSINV(P231))&lt;Q$8,Q$5+SQRT(NORMSDIST(Q$9*SQRT($C$11)*NORMSINV($B231)+SQRT(1-Q$9^2*$C$11)*NORMSINV(P231))*(Q$7-Q$5)*(Q$6-Q$5)),Q$7-SQRT((1-NORMSDIST(Q$9*SQRT($C$11)*NORMSINV($B231)+SQRT(1-Q$9^2*$C$11)*NORMSINV(P231)))*(Q$7-Q$5)*(Q$7-Q$6))))</f>
        <v>0.0755595078031179</v>
      </c>
      <c r="R231" s="2" t="n">
        <v>0.808702639</v>
      </c>
      <c r="S231" s="2" t="n">
        <f aca="false">IF(S$7=S$5,S$6,IF(NORMSDIST(S$9*SQRT($C$11)*NORMSINV($B231)+SQRT(1-S$9^2*$C$11)*NORMSINV(R231))&lt;S$8,S$5+SQRT(NORMSDIST(S$9*SQRT($C$11)*NORMSINV($B231)+SQRT(1-S$9^2*$C$11)*NORMSINV(R231))*(S$7-S$5)*(S$6-S$5)),S$7-SQRT((1-NORMSDIST(S$9*SQRT($C$11)*NORMSINV($B231)+SQRT(1-S$9^2*$C$11)*NORMSINV(R231)))*(S$7-S$5)*(S$7-S$6))))</f>
        <v>0.742058204311373</v>
      </c>
      <c r="T231" s="2" t="n">
        <v>0.4211925</v>
      </c>
      <c r="U231" s="2" t="n">
        <f aca="false">IF(U$7=U$5,U$6,IF(NORMSDIST(U$9*SQRT($C$11)*NORMSINV($B231)+SQRT(1-U$9^2*$C$11)*NORMSINV(T231))&lt;U$8,U$5+SQRT(NORMSDIST(U$9*SQRT($C$11)*NORMSINV($B231)+SQRT(1-U$9^2*$C$11)*NORMSINV(T231))*(U$7-U$5)*(U$6-U$5)),U$7-SQRT((1-NORMSDIST(U$9*SQRT($C$11)*NORMSINV($B231)+SQRT(1-U$9^2*$C$11)*NORMSINV(T231)))*(U$7-U$5)*(U$7-U$6))))</f>
        <v>0.558920917028665</v>
      </c>
      <c r="V231" s="2" t="n">
        <v>0.871047321</v>
      </c>
      <c r="W231" s="2" t="n">
        <f aca="false">IF(W$7=W$5,W$6,IF(NORMSDIST(W$9*SQRT($C$11)*NORMSINV($B231)+SQRT(1-W$9^2*$C$11)*NORMSINV(V231))&lt;W$8,W$5+SQRT(NORMSDIST(W$9*SQRT($C$11)*NORMSINV($B231)+SQRT(1-W$9^2*$C$11)*NORMSINV(V231))*(W$7-W$5)*(W$6-W$5)),W$7-SQRT((1-NORMSDIST(W$9*SQRT($C$11)*NORMSINV($B231)+SQRT(1-W$9^2*$C$11)*NORMSINV(V231)))*(W$7-W$5)*(W$7-W$6))))</f>
        <v>11.1293448072985</v>
      </c>
      <c r="X231" s="2" t="n">
        <v>0.093442659</v>
      </c>
      <c r="Y231" s="2" t="n">
        <f aca="false">IF(Y$7=Y$5,Y$6,IF(NORMSDIST(Y$9*SQRT($C$11)*NORMSINV($B231)+SQRT(1-Y$9^2*$C$11)*NORMSINV(X231))&lt;Y$8,Y$5+SQRT(NORMSDIST(Y$9*SQRT($C$11)*NORMSINV($B231)+SQRT(1-Y$9^2*$C$11)*NORMSINV(X231))*(Y$7-Y$5)*(Y$6-Y$5)),Y$7-SQRT((1-NORMSDIST(Y$9*SQRT($C$11)*NORMSINV($B231)+SQRT(1-Y$9^2*$C$11)*NORMSINV(X231)))*(Y$7-Y$5)*(Y$7-Y$6))))</f>
        <v>0.216151172793487</v>
      </c>
      <c r="Z231" s="2" t="n">
        <v>0.867993682</v>
      </c>
      <c r="AA231" s="2" t="n">
        <f aca="false">IF(AA$7=AA$5,AA$6,IF(NORMSDIST(AA$9*SQRT($C$11)*NORMSINV($B231)+SQRT(1-AA$9^2*$C$11)*NORMSINV(Z231))&lt;AA$8,AA$5+SQRT(NORMSDIST(AA$9*SQRT($C$11)*NORMSINV($B231)+SQRT(1-AA$9^2*$C$11)*NORMSINV(Z231))*(AA$7-AA$5)*(AA$6-AA$5)),AA$7-SQRT((1-NORMSDIST(AA$9*SQRT($C$11)*NORMSINV($B231)+SQRT(1-AA$9^2*$C$11)*NORMSINV(Z231)))*(AA$7-AA$5)*(AA$7-AA$6))))</f>
        <v>0.742725085401955</v>
      </c>
      <c r="AB231" s="2" t="n">
        <v>0.485032076</v>
      </c>
      <c r="AC231" s="2" t="n">
        <f aca="false">IF(AC$7=AC$5,AC$6,IF(NORMSDIST(AC$9*SQRT($C$11)*NORMSINV($B231)+SQRT(1-AC$9^2*$C$11)*NORMSINV(AB231))&lt;AC$8,AC$5+SQRT(NORMSDIST(AC$9*SQRT($C$11)*NORMSINV($B231)+SQRT(1-AC$9^2*$C$11)*NORMSINV(AB231))*(AC$7-AC$5)*(AC$6-AC$5)),AC$7-SQRT((1-NORMSDIST(AC$9*SQRT($C$11)*NORMSINV($B231)+SQRT(1-AC$9^2*$C$11)*NORMSINV(AB231)))*(AC$7-AC$5)*(AC$7-AC$6))))</f>
        <v>9.78408640711871</v>
      </c>
      <c r="AD231" s="2" t="n">
        <f aca="false">Entrées!$C$8*(1+E231)</f>
        <v>7453.49223276723</v>
      </c>
      <c r="AE231" s="2" t="n">
        <f aca="false">I231*Hypothèses!$J$24/12/Hypothèses!$J$19</f>
        <v>96.4441344037261</v>
      </c>
      <c r="AF231" s="2" t="n">
        <f aca="false">Entrées!$C$36*S231*1000</f>
        <v>371.029102155687</v>
      </c>
      <c r="AG231" s="2" t="n">
        <f aca="false">-AF231/W231</f>
        <v>-33.3379105940154</v>
      </c>
      <c r="AH231" s="2" t="n">
        <f aca="false">AD231+AE231+AG231</f>
        <v>7516.59845657694</v>
      </c>
      <c r="AI231" s="2" t="n">
        <f aca="false">Entrées!$C$16-M231+Hypothèses!$J$22*1000-AF231+Hypothèses!$J$23</f>
        <v>22518.4016693723</v>
      </c>
      <c r="AJ231" s="2" t="n">
        <f aca="false">AI231/AH231</f>
        <v>2.9958234165973</v>
      </c>
      <c r="AK231" s="2" t="n">
        <f aca="false">AI231/(AH231+I231*(12-Hypothèses!$J$24)/12/Hypothèses!$J$19)</f>
        <v>2.96861642518662</v>
      </c>
      <c r="AL231" s="2" t="n">
        <f aca="false">(AD231+AG231+I231/Hypothèses!$J$19)*(1+G231)</f>
        <v>7996.27246570258</v>
      </c>
      <c r="AM231" s="2" t="n">
        <f aca="false">Entrées!$C$54*K231/Hypothèses!$J$19</f>
        <v>32.7668529569294</v>
      </c>
      <c r="AN231" s="2" t="n">
        <f aca="false">Y231*1000/AC231</f>
        <v>22.0921160953996</v>
      </c>
      <c r="AO231" s="2" t="n">
        <f aca="false">(Entrées!$C$36*(1-S231)+MAX(0,Entrées!$C$30-Entrées!$C$35-Entrées!$C$36)*U231)*1000</f>
        <v>911.460181684445</v>
      </c>
      <c r="AP231" s="2" t="n">
        <f aca="false">-AO231/W231</f>
        <v>-81.8970206661871</v>
      </c>
      <c r="AQ231" s="2" t="n">
        <f aca="false">AL231+AM231+AN231+AP231</f>
        <v>7969.23441408872</v>
      </c>
      <c r="AR231" s="2" t="n">
        <f aca="false">O231*AQ231-Hypothèses!$J$25/Hypothèses!$J$19</f>
        <v>1252.59542544478</v>
      </c>
      <c r="AS231" s="2" t="n">
        <f aca="false">Entrées!$C$79*(1+Q231)+Hypothèses!$J$20</f>
        <v>1477.03989907563</v>
      </c>
      <c r="AT231" s="2" t="n">
        <f aca="false">AI231-AR231+AS231+Y231*1000-AO231+Hypothèses!$J$23</f>
        <v>22047.5371341122</v>
      </c>
      <c r="AU231" s="2" t="n">
        <f aca="false">AT231/AQ231</f>
        <v>2.76658157967277</v>
      </c>
      <c r="AV231" s="2" t="n">
        <f aca="false">Hypothèses!$J$26*AQ231-AT231</f>
        <v>1860.16610815397</v>
      </c>
      <c r="AW231" s="2" t="n">
        <f aca="false">IF(AC231&gt;Hypothèses!$J$26,MAX(0,AV231)/(1-Hypothèses!$J$26/AC231),0)</f>
        <v>2682.75267170454</v>
      </c>
      <c r="AX231" s="2" t="n">
        <f aca="false">AQ231-Entrées!$C$17*1000</f>
        <v>-30.7655859112792</v>
      </c>
      <c r="AY231" s="2" t="n">
        <f aca="false">AI231+(Entrées!$C$244-Entrées!$C$13)</f>
        <v>28265.4016693723</v>
      </c>
      <c r="AZ231" s="2" t="n">
        <f aca="false">AA231*AH231</f>
        <v>5582.76623059331</v>
      </c>
      <c r="BA231" s="2" t="n">
        <f aca="false">AZ231/AY231</f>
        <v>0.197512361433825</v>
      </c>
      <c r="BB231" s="2" t="n">
        <f aca="false">AZ231/(Entrées!$C$151/100)-AY231</f>
        <v>2749.96627836832</v>
      </c>
      <c r="BC231" s="2" t="n">
        <f aca="false">AT231+(Entrées!$C$244-Entrées!$C$13)</f>
        <v>27794.5371341122</v>
      </c>
      <c r="BD231" s="2" t="n">
        <f aca="false">AA231*AQ231</f>
        <v>5918.95031079225</v>
      </c>
      <c r="BE231" s="2" t="n">
        <f aca="false">BD231/BC231</f>
        <v>0.212953728361532</v>
      </c>
      <c r="BF231" s="2" t="n">
        <f aca="false">BD231/(Entrées!$C$151/100)-BC231</f>
        <v>5088.52014806695</v>
      </c>
      <c r="BG231" s="2" t="n">
        <f aca="false">MIN(AV231,BF231)</f>
        <v>1860.16610815397</v>
      </c>
      <c r="BH231" s="2" t="n">
        <f aca="false">IF(AC231&gt;Hypothèses!$J$26,MAX(0,BG231)/(1-Hypothèses!$J$26/AC231),0)</f>
        <v>2682.75267170454</v>
      </c>
    </row>
    <row r="232" customFormat="false" ht="15" hidden="false" customHeight="false" outlineLevel="0" collapsed="false">
      <c r="A232" s="2" t="n">
        <v>217</v>
      </c>
      <c r="B232" s="2" t="n">
        <v>0.466790312</v>
      </c>
      <c r="C232" s="2"/>
      <c r="D232" s="2" t="n">
        <v>0.034261962</v>
      </c>
      <c r="E232" s="2" t="n">
        <f aca="false">IF(E$7=E$5,E$6,IF(NORMSDIST(E$9*SQRT($C$11)*NORMSINV($B232)+SQRT(1-E$9^2*$C$11)*NORMSINV(D232))&lt;E$8,E$5+SQRT(NORMSDIST(E$9*SQRT($C$11)*NORMSINV($B232)+SQRT(1-E$9^2*$C$11)*NORMSINV(D232))*(E$7-E$5)*(E$6-E$5)),E$7-SQRT((1-NORMSDIST(E$9*SQRT($C$11)*NORMSINV($B232)+SQRT(1-E$9^2*$C$11)*NORMSINV(D232)))*(E$7-E$5)*(E$7-E$6))))</f>
        <v>0.0518926397775171</v>
      </c>
      <c r="F232" s="2" t="n">
        <v>0.109449713</v>
      </c>
      <c r="G232" s="2" t="n">
        <f aca="false">IF(G$7=G$5,G$6,IF(NORMSDIST(G$9*SQRT($C$11)*NORMSINV($B232)+SQRT(1-G$9^2*$C$11)*NORMSINV(F232))&lt;G$8,G$5+SQRT(NORMSDIST(G$9*SQRT($C$11)*NORMSINV($B232)+SQRT(1-G$9^2*$C$11)*NORMSINV(F232))*(G$7-G$5)*(G$6-G$5)),G$7-SQRT((1-NORMSDIST(G$9*SQRT($C$11)*NORMSINV($B232)+SQRT(1-G$9^2*$C$11)*NORMSINV(F232)))*(G$7-G$5)*(G$7-G$6))))</f>
        <v>0.0484170620486711</v>
      </c>
      <c r="H232" s="2" t="n">
        <v>0.200698135</v>
      </c>
      <c r="I232" s="2" t="n">
        <f aca="false">IF(I$7=I$5,I$6,IF(NORMSDIST(I$9*SQRT($C$11)*NORMSINV($B232)+SQRT(1-I$9^2*$C$11)*NORMSINV(H232))&lt;I$8,I$5+SQRT(NORMSDIST(I$9*SQRT($C$11)*NORMSINV($B232)+SQRT(1-I$9^2*$C$11)*NORMSINV(H232))*(I$7-I$5)*(I$6-I$5)),I$7-SQRT((1-NORMSDIST(I$9*SQRT($C$11)*NORMSINV($B232)+SQRT(1-I$9^2*$C$11)*NORMSINV(H232)))*(I$7-I$5)*(I$7-I$6))))</f>
        <v>193.888769073393</v>
      </c>
      <c r="J232" s="2" t="n">
        <v>0.037880765</v>
      </c>
      <c r="K232" s="2" t="n">
        <f aca="false">IF(K$7=K$5,K$6,IF(NORMSDIST(K$9*SQRT($C$11)*NORMSINV($B232)+SQRT(1-K$9^2*$C$11)*NORMSINV(J232))&lt;K$8,K$5+SQRT(NORMSDIST(K$9*SQRT($C$11)*NORMSINV($B232)+SQRT(1-K$9^2*$C$11)*NORMSINV(J232))*(K$7-K$5)*(K$6-K$5)),K$7-SQRT((1-NORMSDIST(K$9*SQRT($C$11)*NORMSINV($B232)+SQRT(1-K$9^2*$C$11)*NORMSINV(J232)))*(K$7-K$5)*(K$7-K$6))))</f>
        <v>0.0978575040491676</v>
      </c>
      <c r="L232" s="2" t="n">
        <v>0.977766933</v>
      </c>
      <c r="M232" s="2" t="n">
        <f aca="false">IF(M$7=M$5,M$6,IF(NORMSDIST(M$9*SQRT($C$11)*NORMSINV($B232)+SQRT(1-M$9^2*$C$11)*NORMSINV(L232))&lt;M$8,M$5+SQRT(NORMSDIST(M$9*SQRT($C$11)*NORMSINV($B232)+SQRT(1-M$9^2*$C$11)*NORMSINV(L232))*(M$7-M$5)*(M$6-M$5)),M$7-SQRT((1-NORMSDIST(M$9*SQRT($C$11)*NORMSINV($B232)+SQRT(1-M$9^2*$C$11)*NORMSINV(L232)))*(M$7-M$5)*(M$7-M$6))))</f>
        <v>1719.25281657034</v>
      </c>
      <c r="N232" s="2" t="n">
        <v>0.323482374</v>
      </c>
      <c r="O232" s="2" t="n">
        <f aca="false">IF(O$7=O$5,O$6,IF(NORMSDIST(O$9*SQRT($C$11)*NORMSINV($B232)+SQRT(1-O$9^2*$C$11)*NORMSINV(N232))&lt;O$8,O$5+SQRT(NORMSDIST(O$9*SQRT($C$11)*NORMSINV($B232)+SQRT(1-O$9^2*$C$11)*NORMSINV(N232))*(O$7-O$5)*(O$6-O$5)),O$7-SQRT((1-NORMSDIST(O$9*SQRT($C$11)*NORMSINV($B232)+SQRT(1-O$9^2*$C$11)*NORMSINV(N232)))*(O$7-O$5)*(O$7-O$6))))</f>
        <v>0.162146569031301</v>
      </c>
      <c r="P232" s="2" t="n">
        <v>0.023659018</v>
      </c>
      <c r="Q232" s="2" t="n">
        <f aca="false">IF(Q$7=Q$5,Q$6,IF(NORMSDIST(Q$9*SQRT($C$11)*NORMSINV($B232)+SQRT(1-Q$9^2*$C$11)*NORMSINV(P232))&lt;Q$8,Q$5+SQRT(NORMSDIST(Q$9*SQRT($C$11)*NORMSINV($B232)+SQRT(1-Q$9^2*$C$11)*NORMSINV(P232))*(Q$7-Q$5)*(Q$6-Q$5)),Q$7-SQRT((1-NORMSDIST(Q$9*SQRT($C$11)*NORMSINV($B232)+SQRT(1-Q$9^2*$C$11)*NORMSINV(P232)))*(Q$7-Q$5)*(Q$7-Q$6))))</f>
        <v>0.04870108370262</v>
      </c>
      <c r="R232" s="2" t="n">
        <v>0.674879281</v>
      </c>
      <c r="S232" s="2" t="n">
        <f aca="false">IF(S$7=S$5,S$6,IF(NORMSDIST(S$9*SQRT($C$11)*NORMSINV($B232)+SQRT(1-S$9^2*$C$11)*NORMSINV(R232))&lt;S$8,S$5+SQRT(NORMSDIST(S$9*SQRT($C$11)*NORMSINV($B232)+SQRT(1-S$9^2*$C$11)*NORMSINV(R232))*(S$7-S$5)*(S$6-S$5)),S$7-SQRT((1-NORMSDIST(S$9*SQRT($C$11)*NORMSINV($B232)+SQRT(1-S$9^2*$C$11)*NORMSINV(R232)))*(S$7-S$5)*(S$7-S$6))))</f>
        <v>0.562589665820513</v>
      </c>
      <c r="T232" s="2" t="n">
        <v>0.368039852</v>
      </c>
      <c r="U232" s="2" t="n">
        <f aca="false">IF(U$7=U$5,U$6,IF(NORMSDIST(U$9*SQRT($C$11)*NORMSINV($B232)+SQRT(1-U$9^2*$C$11)*NORMSINV(T232))&lt;U$8,U$5+SQRT(NORMSDIST(U$9*SQRT($C$11)*NORMSINV($B232)+SQRT(1-U$9^2*$C$11)*NORMSINV(T232))*(U$7-U$5)*(U$6-U$5)),U$7-SQRT((1-NORMSDIST(U$9*SQRT($C$11)*NORMSINV($B232)+SQRT(1-U$9^2*$C$11)*NORMSINV(T232)))*(U$7-U$5)*(U$7-U$6))))</f>
        <v>0.434074626315038</v>
      </c>
      <c r="V232" s="2" t="n">
        <v>0.020832896</v>
      </c>
      <c r="W232" s="2" t="n">
        <f aca="false">IF(W$7=W$5,W$6,IF(NORMSDIST(W$9*SQRT($C$11)*NORMSINV($B232)+SQRT(1-W$9^2*$C$11)*NORMSINV(V232))&lt;W$8,W$5+SQRT(NORMSDIST(W$9*SQRT($C$11)*NORMSINV($B232)+SQRT(1-W$9^2*$C$11)*NORMSINV(V232))*(W$7-W$5)*(W$6-W$5)),W$7-SQRT((1-NORMSDIST(W$9*SQRT($C$11)*NORMSINV($B232)+SQRT(1-W$9^2*$C$11)*NORMSINV(V232)))*(W$7-W$5)*(W$7-W$6))))</f>
        <v>8.64189820711137</v>
      </c>
      <c r="X232" s="2" t="n">
        <v>0.778774497</v>
      </c>
      <c r="Y232" s="2" t="n">
        <f aca="false">IF(Y$7=Y$5,Y$6,IF(NORMSDIST(Y$9*SQRT($C$11)*NORMSINV($B232)+SQRT(1-Y$9^2*$C$11)*NORMSINV(X232))&lt;Y$8,Y$5+SQRT(NORMSDIST(Y$9*SQRT($C$11)*NORMSINV($B232)+SQRT(1-Y$9^2*$C$11)*NORMSINV(X232))*(Y$7-Y$5)*(Y$6-Y$5)),Y$7-SQRT((1-NORMSDIST(Y$9*SQRT($C$11)*NORMSINV($B232)+SQRT(1-Y$9^2*$C$11)*NORMSINV(X232)))*(Y$7-Y$5)*(Y$7-Y$6))))</f>
        <v>0.667415046191203</v>
      </c>
      <c r="Z232" s="2" t="n">
        <v>0.130345422</v>
      </c>
      <c r="AA232" s="2" t="n">
        <f aca="false">IF(AA$7=AA$5,AA$6,IF(NORMSDIST(AA$9*SQRT($C$11)*NORMSINV($B232)+SQRT(1-AA$9^2*$C$11)*NORMSINV(Z232))&lt;AA$8,AA$5+SQRT(NORMSDIST(AA$9*SQRT($C$11)*NORMSINV($B232)+SQRT(1-AA$9^2*$C$11)*NORMSINV(Z232))*(AA$7-AA$5)*(AA$6-AA$5)),AA$7-SQRT((1-NORMSDIST(AA$9*SQRT($C$11)*NORMSINV($B232)+SQRT(1-AA$9^2*$C$11)*NORMSINV(Z232)))*(AA$7-AA$5)*(AA$7-AA$6))))</f>
        <v>0.714835772481316</v>
      </c>
      <c r="AB232" s="2" t="n">
        <v>0.309991283</v>
      </c>
      <c r="AC232" s="2" t="n">
        <f aca="false">IF(AC$7=AC$5,AC$6,IF(NORMSDIST(AC$9*SQRT($C$11)*NORMSINV($B232)+SQRT(1-AC$9^2*$C$11)*NORMSINV(AB232))&lt;AC$8,AC$5+SQRT(NORMSDIST(AC$9*SQRT($C$11)*NORMSINV($B232)+SQRT(1-AC$9^2*$C$11)*NORMSINV(AB232))*(AC$7-AC$5)*(AC$6-AC$5)),AC$7-SQRT((1-NORMSDIST(AC$9*SQRT($C$11)*NORMSINV($B232)+SQRT(1-AC$9^2*$C$11)*NORMSINV(AB232)))*(AC$7-AC$5)*(AC$7-AC$6))))</f>
        <v>9.09142206053743</v>
      </c>
      <c r="AD232" s="2" t="n">
        <f aca="false">Entrées!$C$8*(1+E232)</f>
        <v>7415.8431104315</v>
      </c>
      <c r="AE232" s="2" t="n">
        <f aca="false">I232*Hypothèses!$J$24/12/Hypothèses!$J$19</f>
        <v>96.1875977721636</v>
      </c>
      <c r="AF232" s="2" t="n">
        <f aca="false">Entrées!$C$36*S232*1000</f>
        <v>281.294832910257</v>
      </c>
      <c r="AG232" s="2" t="n">
        <f aca="false">-AF232/W232</f>
        <v>-32.5501210693249</v>
      </c>
      <c r="AH232" s="2" t="n">
        <f aca="false">AD232+AE232+AG232</f>
        <v>7479.48058713433</v>
      </c>
      <c r="AI232" s="2" t="n">
        <f aca="false">Entrées!$C$16-M232+Hypothèses!$J$22*1000-AF232+Hypothèses!$J$23</f>
        <v>22547.4523505194</v>
      </c>
      <c r="AJ232" s="2" t="n">
        <f aca="false">AI232/AH232</f>
        <v>3.01457462023552</v>
      </c>
      <c r="AK232" s="2" t="n">
        <f aca="false">AI232/(AH232+I232*(12-Hypothèses!$J$24)/12/Hypothèses!$J$19)</f>
        <v>2.98713522803461</v>
      </c>
      <c r="AL232" s="2" t="n">
        <f aca="false">(AD232+AG232+I232/Hypothèses!$J$19)*(1+G232)</f>
        <v>7913.64700471474</v>
      </c>
      <c r="AM232" s="2" t="n">
        <f aca="false">Entrées!$C$54*K232/Hypothèses!$J$19</f>
        <v>9.98676916532556</v>
      </c>
      <c r="AN232" s="2" t="n">
        <f aca="false">Y232*1000/AC232</f>
        <v>73.411512714629</v>
      </c>
      <c r="AO232" s="2" t="n">
        <f aca="false">(Entrées!$C$36*(1-S232)+MAX(0,Entrées!$C$30-Entrées!$C$35-Entrées!$C$36)*U232)*1000</f>
        <v>826.409643930796</v>
      </c>
      <c r="AP232" s="2" t="n">
        <f aca="false">-AO232/W232</f>
        <v>-95.6282548260923</v>
      </c>
      <c r="AQ232" s="2" t="n">
        <f aca="false">AL232+AM232+AN232+AP232</f>
        <v>7901.4170317686</v>
      </c>
      <c r="AR232" s="2" t="n">
        <f aca="false">O232*AQ232-Hypothèses!$J$25/Hypothèses!$J$19</f>
        <v>1262.05249992514</v>
      </c>
      <c r="AS232" s="2" t="n">
        <f aca="false">Entrées!$C$79*(1+Q232)+Hypothèses!$J$20</f>
        <v>1447.52249098918</v>
      </c>
      <c r="AT232" s="2" t="n">
        <f aca="false">AI232-AR232+AS232+Y232*1000-AO232+Hypothèses!$J$23</f>
        <v>22573.9277438438</v>
      </c>
      <c r="AU232" s="2" t="n">
        <f aca="false">AT232/AQ232</f>
        <v>2.8569467543711</v>
      </c>
      <c r="AV232" s="2" t="n">
        <f aca="false">Hypothèses!$J$26*AQ232-AT232</f>
        <v>1130.32335146196</v>
      </c>
      <c r="AW232" s="2" t="n">
        <f aca="false">IF(AC232&gt;Hypothèses!$J$26,MAX(0,AV232)/(1-Hypothèses!$J$26/AC232),0)</f>
        <v>1687.00289536582</v>
      </c>
      <c r="AX232" s="2" t="n">
        <f aca="false">AQ232-Entrées!$C$17*1000</f>
        <v>-98.5829682313979</v>
      </c>
      <c r="AY232" s="2" t="n">
        <f aca="false">AI232+(Entrées!$C$244-Entrées!$C$13)</f>
        <v>28294.4523505194</v>
      </c>
      <c r="AZ232" s="2" t="n">
        <f aca="false">AA232*AH232</f>
        <v>5346.60028326318</v>
      </c>
      <c r="BA232" s="2" t="n">
        <f aca="false">AZ232/AY232</f>
        <v>0.188962847452498</v>
      </c>
      <c r="BB232" s="2" t="n">
        <f aca="false">AZ232/(Entrées!$C$151/100)-AY232</f>
        <v>1408.88255649827</v>
      </c>
      <c r="BC232" s="2" t="n">
        <f aca="false">AT232+(Entrées!$C$244-Entrées!$C$13)</f>
        <v>28320.9277438438</v>
      </c>
      <c r="BD232" s="2" t="n">
        <f aca="false">AA232*AQ232</f>
        <v>5648.21554760134</v>
      </c>
      <c r="BE232" s="2" t="n">
        <f aca="false">BD232/BC232</f>
        <v>0.199436106002181</v>
      </c>
      <c r="BF232" s="2" t="n">
        <f aca="false">BD232/(Entrées!$C$151/100)-BC232</f>
        <v>3058.04752060803</v>
      </c>
      <c r="BG232" s="2" t="n">
        <f aca="false">MIN(AV232,BF232)</f>
        <v>1130.32335146196</v>
      </c>
      <c r="BH232" s="2" t="n">
        <f aca="false">IF(AC232&gt;Hypothèses!$J$26,MAX(0,BG232)/(1-Hypothèses!$J$26/AC232),0)</f>
        <v>1687.00289536582</v>
      </c>
    </row>
    <row r="233" customFormat="false" ht="15" hidden="false" customHeight="false" outlineLevel="0" collapsed="false">
      <c r="A233" s="2" t="n">
        <v>218</v>
      </c>
      <c r="B233" s="2" t="n">
        <v>0.749772541</v>
      </c>
      <c r="C233" s="2"/>
      <c r="D233" s="2" t="n">
        <v>0.317527732</v>
      </c>
      <c r="E233" s="2" t="n">
        <f aca="false">IF(E$7=E$5,E$6,IF(NORMSDIST(E$9*SQRT($C$11)*NORMSINV($B233)+SQRT(1-E$9^2*$C$11)*NORMSINV(D233))&lt;E$8,E$5+SQRT(NORMSDIST(E$9*SQRT($C$11)*NORMSINV($B233)+SQRT(1-E$9^2*$C$11)*NORMSINV(D233))*(E$7-E$5)*(E$6-E$5)),E$7-SQRT((1-NORMSDIST(E$9*SQRT($C$11)*NORMSINV($B233)+SQRT(1-E$9^2*$C$11)*NORMSINV(D233)))*(E$7-E$5)*(E$7-E$6))))</f>
        <v>0.0551179975593748</v>
      </c>
      <c r="F233" s="2" t="n">
        <v>0.849997201</v>
      </c>
      <c r="G233" s="2" t="n">
        <f aca="false">IF(G$7=G$5,G$6,IF(NORMSDIST(G$9*SQRT($C$11)*NORMSINV($B233)+SQRT(1-G$9^2*$C$11)*NORMSINV(F233))&lt;G$8,G$5+SQRT(NORMSDIST(G$9*SQRT($C$11)*NORMSINV($B233)+SQRT(1-G$9^2*$C$11)*NORMSINV(F233))*(G$7-G$5)*(G$6-G$5)),G$7-SQRT((1-NORMSDIST(G$9*SQRT($C$11)*NORMSINV($B233)+SQRT(1-G$9^2*$C$11)*NORMSINV(F233)))*(G$7-G$5)*(G$7-G$6))))</f>
        <v>0.0629788778591198</v>
      </c>
      <c r="H233" s="2" t="n">
        <v>0.892936452</v>
      </c>
      <c r="I233" s="2" t="n">
        <f aca="false">IF(I$7=I$5,I$6,IF(NORMSDIST(I$9*SQRT($C$11)*NORMSINV($B233)+SQRT(1-I$9^2*$C$11)*NORMSINV(H233))&lt;I$8,I$5+SQRT(NORMSDIST(I$9*SQRT($C$11)*NORMSINV($B233)+SQRT(1-I$9^2*$C$11)*NORMSINV(H233))*(I$7-I$5)*(I$6-I$5)),I$7-SQRT((1-NORMSDIST(I$9*SQRT($C$11)*NORMSINV($B233)+SQRT(1-I$9^2*$C$11)*NORMSINV(H233)))*(I$7-I$5)*(I$7-I$6))))</f>
        <v>211.875668707065</v>
      </c>
      <c r="J233" s="2" t="n">
        <v>0.357941557</v>
      </c>
      <c r="K233" s="2" t="n">
        <f aca="false">IF(K$7=K$5,K$6,IF(NORMSDIST(K$9*SQRT($C$11)*NORMSINV($B233)+SQRT(1-K$9^2*$C$11)*NORMSINV(J233))&lt;K$8,K$5+SQRT(NORMSDIST(K$9*SQRT($C$11)*NORMSINV($B233)+SQRT(1-K$9^2*$C$11)*NORMSINV(J233))*(K$7-K$5)*(K$6-K$5)),K$7-SQRT((1-NORMSDIST(K$9*SQRT($C$11)*NORMSINV($B233)+SQRT(1-K$9^2*$C$11)*NORMSINV(J233)))*(K$7-K$5)*(K$7-K$6))))</f>
        <v>0.264768921503543</v>
      </c>
      <c r="L233" s="2" t="n">
        <v>0.802635569</v>
      </c>
      <c r="M233" s="2" t="n">
        <f aca="false">IF(M$7=M$5,M$6,IF(NORMSDIST(M$9*SQRT($C$11)*NORMSINV($B233)+SQRT(1-M$9^2*$C$11)*NORMSINV(L233))&lt;M$8,M$5+SQRT(NORMSDIST(M$9*SQRT($C$11)*NORMSINV($B233)+SQRT(1-M$9^2*$C$11)*NORMSINV(L233))*(M$7-M$5)*(M$6-M$5)),M$7-SQRT((1-NORMSDIST(M$9*SQRT($C$11)*NORMSINV($B233)+SQRT(1-M$9^2*$C$11)*NORMSINV(L233)))*(M$7-M$5)*(M$7-M$6))))</f>
        <v>1686.7523152429</v>
      </c>
      <c r="N233" s="2" t="n">
        <v>0.852442466</v>
      </c>
      <c r="O233" s="2" t="n">
        <f aca="false">IF(O$7=O$5,O$6,IF(NORMSDIST(O$9*SQRT($C$11)*NORMSINV($B233)+SQRT(1-O$9^2*$C$11)*NORMSINV(N233))&lt;O$8,O$5+SQRT(NORMSDIST(O$9*SQRT($C$11)*NORMSINV($B233)+SQRT(1-O$9^2*$C$11)*NORMSINV(N233))*(O$7-O$5)*(O$6-O$5)),O$7-SQRT((1-NORMSDIST(O$9*SQRT($C$11)*NORMSINV($B233)+SQRT(1-O$9^2*$C$11)*NORMSINV(N233)))*(O$7-O$5)*(O$7-O$6))))</f>
        <v>0.179273188529316</v>
      </c>
      <c r="P233" s="2" t="n">
        <v>0.408391363</v>
      </c>
      <c r="Q233" s="2" t="n">
        <f aca="false">IF(Q$7=Q$5,Q$6,IF(NORMSDIST(Q$9*SQRT($C$11)*NORMSINV($B233)+SQRT(1-Q$9^2*$C$11)*NORMSINV(P233))&lt;Q$8,Q$5+SQRT(NORMSDIST(Q$9*SQRT($C$11)*NORMSINV($B233)+SQRT(1-Q$9^2*$C$11)*NORMSINV(P233))*(Q$7-Q$5)*(Q$6-Q$5)),Q$7-SQRT((1-NORMSDIST(Q$9*SQRT($C$11)*NORMSINV($B233)+SQRT(1-Q$9^2*$C$11)*NORMSINV(P233)))*(Q$7-Q$5)*(Q$7-Q$6))))</f>
        <v>0.0761504130211537</v>
      </c>
      <c r="R233" s="2" t="n">
        <v>0.554304154</v>
      </c>
      <c r="S233" s="2" t="n">
        <f aca="false">IF(S$7=S$5,S$6,IF(NORMSDIST(S$9*SQRT($C$11)*NORMSINV($B233)+SQRT(1-S$9^2*$C$11)*NORMSINV(R233))&lt;S$8,S$5+SQRT(NORMSDIST(S$9*SQRT($C$11)*NORMSINV($B233)+SQRT(1-S$9^2*$C$11)*NORMSINV(R233))*(S$7-S$5)*(S$6-S$5)),S$7-SQRT((1-NORMSDIST(S$9*SQRT($C$11)*NORMSINV($B233)+SQRT(1-S$9^2*$C$11)*NORMSINV(R233)))*(S$7-S$5)*(S$7-S$6))))</f>
        <v>0.61438475929151</v>
      </c>
      <c r="T233" s="2" t="n">
        <v>0.365384864</v>
      </c>
      <c r="U233" s="2" t="n">
        <f aca="false">IF(U$7=U$5,U$6,IF(NORMSDIST(U$9*SQRT($C$11)*NORMSINV($B233)+SQRT(1-U$9^2*$C$11)*NORMSINV(T233))&lt;U$8,U$5+SQRT(NORMSDIST(U$9*SQRT($C$11)*NORMSINV($B233)+SQRT(1-U$9^2*$C$11)*NORMSINV(T233))*(U$7-U$5)*(U$6-U$5)),U$7-SQRT((1-NORMSDIST(U$9*SQRT($C$11)*NORMSINV($B233)+SQRT(1-U$9^2*$C$11)*NORMSINV(T233)))*(U$7-U$5)*(U$7-U$6))))</f>
        <v>0.532773496054564</v>
      </c>
      <c r="V233" s="2" t="n">
        <v>0.706105707</v>
      </c>
      <c r="W233" s="2" t="n">
        <f aca="false">IF(W$7=W$5,W$6,IF(NORMSDIST(W$9*SQRT($C$11)*NORMSINV($B233)+SQRT(1-W$9^2*$C$11)*NORMSINV(V233))&lt;W$8,W$5+SQRT(NORMSDIST(W$9*SQRT($C$11)*NORMSINV($B233)+SQRT(1-W$9^2*$C$11)*NORMSINV(V233))*(W$7-W$5)*(W$6-W$5)),W$7-SQRT((1-NORMSDIST(W$9*SQRT($C$11)*NORMSINV($B233)+SQRT(1-W$9^2*$C$11)*NORMSINV(V233)))*(W$7-W$5)*(W$7-W$6))))</f>
        <v>10.738961863672</v>
      </c>
      <c r="X233" s="2" t="n">
        <v>0.041142082</v>
      </c>
      <c r="Y233" s="2" t="n">
        <f aca="false">IF(Y$7=Y$5,Y$6,IF(NORMSDIST(Y$9*SQRT($C$11)*NORMSINV($B233)+SQRT(1-Y$9^2*$C$11)*NORMSINV(X233))&lt;Y$8,Y$5+SQRT(NORMSDIST(Y$9*SQRT($C$11)*NORMSINV($B233)+SQRT(1-Y$9^2*$C$11)*NORMSINV(X233))*(Y$7-Y$5)*(Y$6-Y$5)),Y$7-SQRT((1-NORMSDIST(Y$9*SQRT($C$11)*NORMSINV($B233)+SQRT(1-Y$9^2*$C$11)*NORMSINV(X233)))*(Y$7-Y$5)*(Y$7-Y$6))))</f>
        <v>0.143426082007423</v>
      </c>
      <c r="Z233" s="2" t="n">
        <v>0.735538182</v>
      </c>
      <c r="AA233" s="2" t="n">
        <f aca="false">IF(AA$7=AA$5,AA$6,IF(NORMSDIST(AA$9*SQRT($C$11)*NORMSINV($B233)+SQRT(1-AA$9^2*$C$11)*NORMSINV(Z233))&lt;AA$8,AA$5+SQRT(NORMSDIST(AA$9*SQRT($C$11)*NORMSINV($B233)+SQRT(1-AA$9^2*$C$11)*NORMSINV(Z233))*(AA$7-AA$5)*(AA$6-AA$5)),AA$7-SQRT((1-NORMSDIST(AA$9*SQRT($C$11)*NORMSINV($B233)+SQRT(1-AA$9^2*$C$11)*NORMSINV(Z233)))*(AA$7-AA$5)*(AA$7-AA$6))))</f>
        <v>0.738643049884919</v>
      </c>
      <c r="AB233" s="2" t="n">
        <v>0.379071022</v>
      </c>
      <c r="AC233" s="2" t="n">
        <f aca="false">IF(AC$7=AC$5,AC$6,IF(NORMSDIST(AC$9*SQRT($C$11)*NORMSINV($B233)+SQRT(1-AC$9^2*$C$11)*NORMSINV(AB233))&lt;AC$8,AC$5+SQRT(NORMSDIST(AC$9*SQRT($C$11)*NORMSINV($B233)+SQRT(1-AC$9^2*$C$11)*NORMSINV(AB233))*(AC$7-AC$5)*(AC$6-AC$5)),AC$7-SQRT((1-NORMSDIST(AC$9*SQRT($C$11)*NORMSINV($B233)+SQRT(1-AC$9^2*$C$11)*NORMSINV(AB233)))*(AC$7-AC$5)*(AC$7-AC$6))))</f>
        <v>9.6277604107115</v>
      </c>
      <c r="AD233" s="2" t="n">
        <f aca="false">Entrées!$C$8*(1+E233)</f>
        <v>7438.58188279359</v>
      </c>
      <c r="AE233" s="2" t="n">
        <f aca="false">I233*Hypothèses!$J$24/12/Hypothèses!$J$19</f>
        <v>105.110841111116</v>
      </c>
      <c r="AF233" s="2" t="n">
        <f aca="false">Entrées!$C$36*S233*1000</f>
        <v>307.192379645755</v>
      </c>
      <c r="AG233" s="2" t="n">
        <f aca="false">-AF233/W233</f>
        <v>-28.6054074449162</v>
      </c>
      <c r="AH233" s="2" t="n">
        <f aca="false">AD233+AE233+AG233</f>
        <v>7515.08731645979</v>
      </c>
      <c r="AI233" s="2" t="n">
        <f aca="false">Entrées!$C$16-M233+Hypothèses!$J$22*1000-AF233+Hypothèses!$J$23</f>
        <v>22554.0553051114</v>
      </c>
      <c r="AJ233" s="2" t="n">
        <f aca="false">AI233/AH233</f>
        <v>3.00117009362123</v>
      </c>
      <c r="AK233" s="2" t="n">
        <f aca="false">AI233/(AH233+I233*(12-Hypothèses!$J$24)/12/Hypothèses!$J$19)</f>
        <v>2.97148360826374</v>
      </c>
      <c r="AL233" s="2" t="n">
        <f aca="false">(AD233+AG233+I233/Hypothèses!$J$19)*(1+G233)</f>
        <v>8068.18665690311</v>
      </c>
      <c r="AM233" s="2" t="n">
        <f aca="false">Entrées!$C$54*K233/Hypothèses!$J$19</f>
        <v>27.0207801322987</v>
      </c>
      <c r="AN233" s="2" t="n">
        <f aca="false">Y233*1000/AC233</f>
        <v>14.8971386790901</v>
      </c>
      <c r="AO233" s="2" t="n">
        <f aca="false">(Entrées!$C$36*(1-S233)+MAX(0,Entrées!$C$30-Entrées!$C$35-Entrées!$C$36)*U233)*1000</f>
        <v>938.690514830635</v>
      </c>
      <c r="AP233" s="2" t="n">
        <f aca="false">-AO233/W233</f>
        <v>-87.4098005698351</v>
      </c>
      <c r="AQ233" s="2" t="n">
        <f aca="false">AL233+AM233+AN233+AP233</f>
        <v>8022.69477514466</v>
      </c>
      <c r="AR233" s="2" t="n">
        <f aca="false">O233*AQ233-Hypothèses!$J$25/Hypothèses!$J$19</f>
        <v>1419.11891067604</v>
      </c>
      <c r="AS233" s="2" t="n">
        <f aca="false">Entrées!$C$79*(1+Q233)+Hypothèses!$J$20</f>
        <v>1477.68930391025</v>
      </c>
      <c r="AT233" s="2" t="n">
        <f aca="false">AI233-AR233+AS233+Y233*1000-AO233+Hypothèses!$J$23</f>
        <v>21817.3612655223</v>
      </c>
      <c r="AU233" s="2" t="n">
        <f aca="false">AT233/AQ233</f>
        <v>2.71945547936279</v>
      </c>
      <c r="AV233" s="2" t="n">
        <f aca="false">Hypothèses!$J$26*AQ233-AT233</f>
        <v>2250.72305991163</v>
      </c>
      <c r="AW233" s="2" t="n">
        <f aca="false">IF(AC233&gt;Hypothèses!$J$26,MAX(0,AV233)/(1-Hypothèses!$J$26/AC233),0)</f>
        <v>3269.49392085319</v>
      </c>
      <c r="AX233" s="2" t="n">
        <f aca="false">AQ233-Entrées!$C$17*1000</f>
        <v>22.6947751446596</v>
      </c>
      <c r="AY233" s="2" t="n">
        <f aca="false">AI233+(Entrées!$C$244-Entrées!$C$13)</f>
        <v>28301.0553051114</v>
      </c>
      <c r="AZ233" s="2" t="n">
        <f aca="false">AA233*AH233</f>
        <v>5550.96701558134</v>
      </c>
      <c r="BA233" s="2" t="n">
        <f aca="false">AZ233/AY233</f>
        <v>0.19613993032192</v>
      </c>
      <c r="BB233" s="2" t="n">
        <f aca="false">AZ233/(Entrées!$C$151/100)-AY233</f>
        <v>2537.65033700718</v>
      </c>
      <c r="BC233" s="2" t="n">
        <f aca="false">AT233+(Entrées!$C$244-Entrées!$C$13)</f>
        <v>27564.3612655223</v>
      </c>
      <c r="BD233" s="2" t="n">
        <f aca="false">AA233*AQ233</f>
        <v>5925.90773700866</v>
      </c>
      <c r="BE233" s="2" t="n">
        <f aca="false">BD233/BC233</f>
        <v>0.214984402501676</v>
      </c>
      <c r="BF233" s="2" t="n">
        <f aca="false">BD233/(Entrées!$C$151/100)-BC233</f>
        <v>5357.34838452576</v>
      </c>
      <c r="BG233" s="2" t="n">
        <f aca="false">MIN(AV233,BF233)</f>
        <v>2250.72305991163</v>
      </c>
      <c r="BH233" s="2" t="n">
        <f aca="false">IF(AC233&gt;Hypothèses!$J$26,MAX(0,BG233)/(1-Hypothèses!$J$26/AC233),0)</f>
        <v>3269.49392085319</v>
      </c>
    </row>
    <row r="234" customFormat="false" ht="15" hidden="false" customHeight="false" outlineLevel="0" collapsed="false">
      <c r="A234" s="2" t="n">
        <v>219</v>
      </c>
      <c r="B234" s="2" t="n">
        <v>0.480387422</v>
      </c>
      <c r="C234" s="2"/>
      <c r="D234" s="2" t="n">
        <v>0.627327688</v>
      </c>
      <c r="E234" s="2" t="n">
        <f aca="false">IF(E$7=E$5,E$6,IF(NORMSDIST(E$9*SQRT($C$11)*NORMSINV($B234)+SQRT(1-E$9^2*$C$11)*NORMSINV(D234))&lt;E$8,E$5+SQRT(NORMSDIST(E$9*SQRT($C$11)*NORMSINV($B234)+SQRT(1-E$9^2*$C$11)*NORMSINV(D234))*(E$7-E$5)*(E$6-E$5)),E$7-SQRT((1-NORMSDIST(E$9*SQRT($C$11)*NORMSINV($B234)+SQRT(1-E$9^2*$C$11)*NORMSINV(D234)))*(E$7-E$5)*(E$7-E$6))))</f>
        <v>0.0554571377154125</v>
      </c>
      <c r="F234" s="2" t="n">
        <v>0.504179395</v>
      </c>
      <c r="G234" s="2" t="n">
        <f aca="false">IF(G$7=G$5,G$6,IF(NORMSDIST(G$9*SQRT($C$11)*NORMSINV($B234)+SQRT(1-G$9^2*$C$11)*NORMSINV(F234))&lt;G$8,G$5+SQRT(NORMSDIST(G$9*SQRT($C$11)*NORMSINV($B234)+SQRT(1-G$9^2*$C$11)*NORMSINV(F234))*(G$7-G$5)*(G$6-G$5)),G$7-SQRT((1-NORMSDIST(G$9*SQRT($C$11)*NORMSINV($B234)+SQRT(1-G$9^2*$C$11)*NORMSINV(F234)))*(G$7-G$5)*(G$7-G$6))))</f>
        <v>0.0548618002871148</v>
      </c>
      <c r="H234" s="2" t="n">
        <v>0.987360062</v>
      </c>
      <c r="I234" s="2" t="n">
        <f aca="false">IF(I$7=I$5,I$6,IF(NORMSDIST(I$9*SQRT($C$11)*NORMSINV($B234)+SQRT(1-I$9^2*$C$11)*NORMSINV(H234))&lt;I$8,I$5+SQRT(NORMSDIST(I$9*SQRT($C$11)*NORMSINV($B234)+SQRT(1-I$9^2*$C$11)*NORMSINV(H234))*(I$7-I$5)*(I$6-I$5)),I$7-SQRT((1-NORMSDIST(I$9*SQRT($C$11)*NORMSINV($B234)+SQRT(1-I$9^2*$C$11)*NORMSINV(H234)))*(I$7-I$5)*(I$7-I$6))))</f>
        <v>214.040023750231</v>
      </c>
      <c r="J234" s="2" t="n">
        <v>0.834325073</v>
      </c>
      <c r="K234" s="2" t="n">
        <f aca="false">IF(K$7=K$5,K$6,IF(NORMSDIST(K$9*SQRT($C$11)*NORMSINV($B234)+SQRT(1-K$9^2*$C$11)*NORMSINV(J234))&lt;K$8,K$5+SQRT(NORMSDIST(K$9*SQRT($C$11)*NORMSINV($B234)+SQRT(1-K$9^2*$C$11)*NORMSINV(J234))*(K$7-K$5)*(K$6-K$5)),K$7-SQRT((1-NORMSDIST(K$9*SQRT($C$11)*NORMSINV($B234)+SQRT(1-K$9^2*$C$11)*NORMSINV(J234)))*(K$7-K$5)*(K$7-K$6))))</f>
        <v>0.328480663036422</v>
      </c>
      <c r="L234" s="2" t="n">
        <v>0.69234902</v>
      </c>
      <c r="M234" s="2" t="n">
        <f aca="false">IF(M$7=M$5,M$6,IF(NORMSDIST(M$9*SQRT($C$11)*NORMSINV($B234)+SQRT(1-M$9^2*$C$11)*NORMSINV(L234))&lt;M$8,M$5+SQRT(NORMSDIST(M$9*SQRT($C$11)*NORMSINV($B234)+SQRT(1-M$9^2*$C$11)*NORMSINV(L234))*(M$7-M$5)*(M$6-M$5)),M$7-SQRT((1-NORMSDIST(M$9*SQRT($C$11)*NORMSINV($B234)+SQRT(1-M$9^2*$C$11)*NORMSINV(L234)))*(M$7-M$5)*(M$7-M$6))))</f>
        <v>1622.38823874381</v>
      </c>
      <c r="N234" s="2" t="n">
        <v>0.238340678</v>
      </c>
      <c r="O234" s="2" t="n">
        <f aca="false">IF(O$7=O$5,O$6,IF(NORMSDIST(O$9*SQRT($C$11)*NORMSINV($B234)+SQRT(1-O$9^2*$C$11)*NORMSINV(N234))&lt;O$8,O$5+SQRT(NORMSDIST(O$9*SQRT($C$11)*NORMSINV($B234)+SQRT(1-O$9^2*$C$11)*NORMSINV(N234))*(O$7-O$5)*(O$6-O$5)),O$7-SQRT((1-NORMSDIST(O$9*SQRT($C$11)*NORMSINV($B234)+SQRT(1-O$9^2*$C$11)*NORMSINV(N234)))*(O$7-O$5)*(O$7-O$6))))</f>
        <v>0.160049639038377</v>
      </c>
      <c r="P234" s="2" t="n">
        <v>0.023121228</v>
      </c>
      <c r="Q234" s="2" t="n">
        <f aca="false">IF(Q$7=Q$5,Q$6,IF(NORMSDIST(Q$9*SQRT($C$11)*NORMSINV($B234)+SQRT(1-Q$9^2*$C$11)*NORMSINV(P234))&lt;Q$8,Q$5+SQRT(NORMSDIST(Q$9*SQRT($C$11)*NORMSINV($B234)+SQRT(1-Q$9^2*$C$11)*NORMSINV(P234))*(Q$7-Q$5)*(Q$6-Q$5)),Q$7-SQRT((1-NORMSDIST(Q$9*SQRT($C$11)*NORMSINV($B234)+SQRT(1-Q$9^2*$C$11)*NORMSINV(P234)))*(Q$7-Q$5)*(Q$7-Q$6))))</f>
        <v>0.0486016236606817</v>
      </c>
      <c r="R234" s="2" t="n">
        <v>0.281829119</v>
      </c>
      <c r="S234" s="2" t="n">
        <f aca="false">IF(S$7=S$5,S$6,IF(NORMSDIST(S$9*SQRT($C$11)*NORMSINV($B234)+SQRT(1-S$9^2*$C$11)*NORMSINV(R234))&lt;S$8,S$5+SQRT(NORMSDIST(S$9*SQRT($C$11)*NORMSINV($B234)+SQRT(1-S$9^2*$C$11)*NORMSINV(R234))*(S$7-S$5)*(S$6-S$5)),S$7-SQRT((1-NORMSDIST(S$9*SQRT($C$11)*NORMSINV($B234)+SQRT(1-S$9^2*$C$11)*NORMSINV(R234)))*(S$7-S$5)*(S$7-S$6))))</f>
        <v>0.397613842258728</v>
      </c>
      <c r="T234" s="2" t="n">
        <v>0.94499259</v>
      </c>
      <c r="U234" s="2" t="n">
        <f aca="false">IF(U$7=U$5,U$6,IF(NORMSDIST(U$9*SQRT($C$11)*NORMSINV($B234)+SQRT(1-U$9^2*$C$11)*NORMSINV(T234))&lt;U$8,U$5+SQRT(NORMSDIST(U$9*SQRT($C$11)*NORMSINV($B234)+SQRT(1-U$9^2*$C$11)*NORMSINV(T234))*(U$7-U$5)*(U$6-U$5)),U$7-SQRT((1-NORMSDIST(U$9*SQRT($C$11)*NORMSINV($B234)+SQRT(1-U$9^2*$C$11)*NORMSINV(T234)))*(U$7-U$5)*(U$7-U$6))))</f>
        <v>0.761510092804838</v>
      </c>
      <c r="V234" s="2" t="n">
        <v>0.768303572</v>
      </c>
      <c r="W234" s="2" t="n">
        <f aca="false">IF(W$7=W$5,W$6,IF(NORMSDIST(W$9*SQRT($C$11)*NORMSINV($B234)+SQRT(1-W$9^2*$C$11)*NORMSINV(V234))&lt;W$8,W$5+SQRT(NORMSDIST(W$9*SQRT($C$11)*NORMSINV($B234)+SQRT(1-W$9^2*$C$11)*NORMSINV(V234))*(W$7-W$5)*(W$6-W$5)),W$7-SQRT((1-NORMSDIST(W$9*SQRT($C$11)*NORMSINV($B234)+SQRT(1-W$9^2*$C$11)*NORMSINV(V234)))*(W$7-W$5)*(W$7-W$6))))</f>
        <v>10.4620178653415</v>
      </c>
      <c r="X234" s="2" t="n">
        <v>0.891981965</v>
      </c>
      <c r="Y234" s="2" t="n">
        <f aca="false">IF(Y$7=Y$5,Y$6,IF(NORMSDIST(Y$9*SQRT($C$11)*NORMSINV($B234)+SQRT(1-Y$9^2*$C$11)*NORMSINV(X234))&lt;Y$8,Y$5+SQRT(NORMSDIST(Y$9*SQRT($C$11)*NORMSINV($B234)+SQRT(1-Y$9^2*$C$11)*NORMSINV(X234))*(Y$7-Y$5)*(Y$6-Y$5)),Y$7-SQRT((1-NORMSDIST(Y$9*SQRT($C$11)*NORMSINV($B234)+SQRT(1-Y$9^2*$C$11)*NORMSINV(X234)))*(Y$7-Y$5)*(Y$7-Y$6))))</f>
        <v>0.767601597466764</v>
      </c>
      <c r="Z234" s="2" t="n">
        <v>0.445116425</v>
      </c>
      <c r="AA234" s="2" t="n">
        <f aca="false">IF(AA$7=AA$5,AA$6,IF(NORMSDIST(AA$9*SQRT($C$11)*NORMSINV($B234)+SQRT(1-AA$9^2*$C$11)*NORMSINV(Z234))&lt;AA$8,AA$5+SQRT(NORMSDIST(AA$9*SQRT($C$11)*NORMSINV($B234)+SQRT(1-AA$9^2*$C$11)*NORMSINV(Z234))*(AA$7-AA$5)*(AA$6-AA$5)),AA$7-SQRT((1-NORMSDIST(AA$9*SQRT($C$11)*NORMSINV($B234)+SQRT(1-AA$9^2*$C$11)*NORMSINV(Z234)))*(AA$7-AA$5)*(AA$7-AA$6))))</f>
        <v>0.726202750517615</v>
      </c>
      <c r="AB234" s="2" t="n">
        <v>0.460886949</v>
      </c>
      <c r="AC234" s="2" t="n">
        <f aca="false">IF(AC$7=AC$5,AC$6,IF(NORMSDIST(AC$9*SQRT($C$11)*NORMSINV($B234)+SQRT(1-AC$9^2*$C$11)*NORMSINV(AB234))&lt;AC$8,AC$5+SQRT(NORMSDIST(AC$9*SQRT($C$11)*NORMSINV($B234)+SQRT(1-AC$9^2*$C$11)*NORMSINV(AB234))*(AC$7-AC$5)*(AC$6-AC$5)),AC$7-SQRT((1-NORMSDIST(AC$9*SQRT($C$11)*NORMSINV($B234)+SQRT(1-AC$9^2*$C$11)*NORMSINV(AB234)))*(AC$7-AC$5)*(AC$7-AC$6))))</f>
        <v>9.38778921212721</v>
      </c>
      <c r="AD234" s="2" t="n">
        <f aca="false">Entrées!$C$8*(1+E234)</f>
        <v>7440.97282089366</v>
      </c>
      <c r="AE234" s="2" t="n">
        <f aca="false">I234*Hypothèses!$J$24/12/Hypothèses!$J$19</f>
        <v>106.184570720743</v>
      </c>
      <c r="AF234" s="2" t="n">
        <f aca="false">Entrées!$C$36*S234*1000</f>
        <v>198.806921129364</v>
      </c>
      <c r="AG234" s="2" t="n">
        <f aca="false">-AF234/W234</f>
        <v>-19.0027319479132</v>
      </c>
      <c r="AH234" s="2" t="n">
        <f aca="false">AD234+AE234+AG234</f>
        <v>7528.15465966649</v>
      </c>
      <c r="AI234" s="2" t="n">
        <f aca="false">Entrées!$C$16-M234+Hypothèses!$J$22*1000-AF234+Hypothèses!$J$23</f>
        <v>22726.8048401268</v>
      </c>
      <c r="AJ234" s="2" t="n">
        <f aca="false">AI234/AH234</f>
        <v>3.01890780245124</v>
      </c>
      <c r="AK234" s="2" t="n">
        <f aca="false">AI234/(AH234+I234*(12-Hypothèses!$J$24)/12/Hypothèses!$J$19)</f>
        <v>2.98879570016499</v>
      </c>
      <c r="AL234" s="2" t="n">
        <f aca="false">(AD234+AG234+I234/Hypothèses!$J$19)*(1+G234)</f>
        <v>8021.16995387362</v>
      </c>
      <c r="AM234" s="2" t="n">
        <f aca="false">Entrées!$C$54*K234/Hypothèses!$J$19</f>
        <v>33.5228308640449</v>
      </c>
      <c r="AN234" s="2" t="n">
        <f aca="false">Y234*1000/AC234</f>
        <v>81.7659600276465</v>
      </c>
      <c r="AO234" s="2" t="n">
        <f aca="false">(Entrées!$C$36*(1-S234)+MAX(0,Entrées!$C$30-Entrées!$C$35-Entrées!$C$36)*U234)*1000</f>
        <v>1367.30720879741</v>
      </c>
      <c r="AP234" s="2" t="n">
        <f aca="false">-AO234/W234</f>
        <v>-130.692494162815</v>
      </c>
      <c r="AQ234" s="2" t="n">
        <f aca="false">AL234+AM234+AN234+AP234</f>
        <v>8005.7662506025</v>
      </c>
      <c r="AR234" s="2" t="n">
        <f aca="false">O234*AQ234-Hypothèses!$J$25/Hypothèses!$J$19</f>
        <v>1262.18483637292</v>
      </c>
      <c r="AS234" s="2" t="n">
        <f aca="false">Entrées!$C$79*(1+Q234)+Hypothèses!$J$20</f>
        <v>1447.41318440309</v>
      </c>
      <c r="AT234" s="2" t="n">
        <f aca="false">AI234-AR234+AS234+Y234*1000-AO234+Hypothèses!$J$23</f>
        <v>22312.3275768264</v>
      </c>
      <c r="AU234" s="2" t="n">
        <f aca="false">AT234/AQ234</f>
        <v>2.78703210640795</v>
      </c>
      <c r="AV234" s="2" t="n">
        <f aca="false">Hypothèses!$J$26*AQ234-AT234</f>
        <v>1704.97117498115</v>
      </c>
      <c r="AW234" s="2" t="n">
        <f aca="false">IF(AC234&gt;Hypothèses!$J$26,MAX(0,AV234)/(1-Hypothèses!$J$26/AC234),0)</f>
        <v>2505.70416022631</v>
      </c>
      <c r="AX234" s="2" t="n">
        <f aca="false">AQ234-Entrées!$C$17*1000</f>
        <v>5.76625060249899</v>
      </c>
      <c r="AY234" s="2" t="n">
        <f aca="false">AI234+(Entrées!$C$244-Entrées!$C$13)</f>
        <v>28473.8048401268</v>
      </c>
      <c r="AZ234" s="2" t="n">
        <f aca="false">AA234*AH234</f>
        <v>5466.9666201718</v>
      </c>
      <c r="BA234" s="2" t="n">
        <f aca="false">AZ234/AY234</f>
        <v>0.191999862711268</v>
      </c>
      <c r="BB234" s="2" t="n">
        <f aca="false">AZ234/(Entrées!$C$151/100)-AY234</f>
        <v>1898.2319386054</v>
      </c>
      <c r="BC234" s="2" t="n">
        <f aca="false">AT234+(Entrées!$C$244-Entrées!$C$13)</f>
        <v>28059.3275768264</v>
      </c>
      <c r="BD234" s="2" t="n">
        <f aca="false">AA234*AQ234</f>
        <v>5813.80947118863</v>
      </c>
      <c r="BE234" s="2" t="n">
        <f aca="false">BD234/BC234</f>
        <v>0.207197034756818</v>
      </c>
      <c r="BF234" s="2" t="n">
        <f aca="false">BD234/(Entrées!$C$151/100)-BC234</f>
        <v>4239.61392977713</v>
      </c>
      <c r="BG234" s="2" t="n">
        <f aca="false">MIN(AV234,BF234)</f>
        <v>1704.97117498115</v>
      </c>
      <c r="BH234" s="2" t="n">
        <f aca="false">IF(AC234&gt;Hypothèses!$J$26,MAX(0,BG234)/(1-Hypothèses!$J$26/AC234),0)</f>
        <v>2505.70416022631</v>
      </c>
    </row>
    <row r="235" customFormat="false" ht="15" hidden="false" customHeight="false" outlineLevel="0" collapsed="false">
      <c r="A235" s="2" t="n">
        <v>220</v>
      </c>
      <c r="B235" s="2" t="n">
        <v>0.918918106</v>
      </c>
      <c r="C235" s="2"/>
      <c r="D235" s="2" t="n">
        <v>0.187601112</v>
      </c>
      <c r="E235" s="2" t="n">
        <f aca="false">IF(E$7=E$5,E$6,IF(NORMSDIST(E$9*SQRT($C$11)*NORMSINV($B235)+SQRT(1-E$9^2*$C$11)*NORMSINV(D235))&lt;E$8,E$5+SQRT(NORMSDIST(E$9*SQRT($C$11)*NORMSINV($B235)+SQRT(1-E$9^2*$C$11)*NORMSINV(D235))*(E$7-E$5)*(E$6-E$5)),E$7-SQRT((1-NORMSDIST(E$9*SQRT($C$11)*NORMSINV($B235)+SQRT(1-E$9^2*$C$11)*NORMSINV(D235)))*(E$7-E$5)*(E$7-E$6))))</f>
        <v>0.0554073709493769</v>
      </c>
      <c r="F235" s="2" t="n">
        <v>0.177491091</v>
      </c>
      <c r="G235" s="2" t="n">
        <f aca="false">IF(G$7=G$5,G$6,IF(NORMSDIST(G$9*SQRT($C$11)*NORMSINV($B235)+SQRT(1-G$9^2*$C$11)*NORMSINV(F235))&lt;G$8,G$5+SQRT(NORMSDIST(G$9*SQRT($C$11)*NORMSINV($B235)+SQRT(1-G$9^2*$C$11)*NORMSINV(F235))*(G$7-G$5)*(G$6-G$5)),G$7-SQRT((1-NORMSDIST(G$9*SQRT($C$11)*NORMSINV($B235)+SQRT(1-G$9^2*$C$11)*NORMSINV(F235)))*(G$7-G$5)*(G$7-G$6))))</f>
        <v>0.0560338227140295</v>
      </c>
      <c r="H235" s="2" t="n">
        <v>0.03158086</v>
      </c>
      <c r="I235" s="2" t="n">
        <f aca="false">IF(I$7=I$5,I$6,IF(NORMSDIST(I$9*SQRT($C$11)*NORMSINV($B235)+SQRT(1-I$9^2*$C$11)*NORMSINV(H235))&lt;I$8,I$5+SQRT(NORMSDIST(I$9*SQRT($C$11)*NORMSINV($B235)+SQRT(1-I$9^2*$C$11)*NORMSINV(H235))*(I$7-I$5)*(I$6-I$5)),I$7-SQRT((1-NORMSDIST(I$9*SQRT($C$11)*NORMSINV($B235)+SQRT(1-I$9^2*$C$11)*NORMSINV(H235)))*(I$7-I$5)*(I$7-I$6))))</f>
        <v>195.21545782349</v>
      </c>
      <c r="J235" s="2" t="n">
        <v>0.873871996</v>
      </c>
      <c r="K235" s="2" t="n">
        <f aca="false">IF(K$7=K$5,K$6,IF(NORMSDIST(K$9*SQRT($C$11)*NORMSINV($B235)+SQRT(1-K$9^2*$C$11)*NORMSINV(J235))&lt;K$8,K$5+SQRT(NORMSDIST(K$9*SQRT($C$11)*NORMSINV($B235)+SQRT(1-K$9^2*$C$11)*NORMSINV(J235))*(K$7-K$5)*(K$6-K$5)),K$7-SQRT((1-NORMSDIST(K$9*SQRT($C$11)*NORMSINV($B235)+SQRT(1-K$9^2*$C$11)*NORMSINV(J235)))*(K$7-K$5)*(K$7-K$6))))</f>
        <v>0.430817845418297</v>
      </c>
      <c r="L235" s="2" t="n">
        <v>0.775532857</v>
      </c>
      <c r="M235" s="2" t="n">
        <f aca="false">IF(M$7=M$5,M$6,IF(NORMSDIST(M$9*SQRT($C$11)*NORMSINV($B235)+SQRT(1-M$9^2*$C$11)*NORMSINV(L235))&lt;M$8,M$5+SQRT(NORMSDIST(M$9*SQRT($C$11)*NORMSINV($B235)+SQRT(1-M$9^2*$C$11)*NORMSINV(L235))*(M$7-M$5)*(M$6-M$5)),M$7-SQRT((1-NORMSDIST(M$9*SQRT($C$11)*NORMSINV($B235)+SQRT(1-M$9^2*$C$11)*NORMSINV(L235)))*(M$7-M$5)*(M$7-M$6))))</f>
        <v>1716.87663243864</v>
      </c>
      <c r="N235" s="2" t="n">
        <v>0.529024766</v>
      </c>
      <c r="O235" s="2" t="n">
        <f aca="false">IF(O$7=O$5,O$6,IF(NORMSDIST(O$9*SQRT($C$11)*NORMSINV($B235)+SQRT(1-O$9^2*$C$11)*NORMSINV(N235))&lt;O$8,O$5+SQRT(NORMSDIST(O$9*SQRT($C$11)*NORMSINV($B235)+SQRT(1-O$9^2*$C$11)*NORMSINV(N235))*(O$7-O$5)*(O$6-O$5)),O$7-SQRT((1-NORMSDIST(O$9*SQRT($C$11)*NORMSINV($B235)+SQRT(1-O$9^2*$C$11)*NORMSINV(N235)))*(O$7-O$5)*(O$7-O$6))))</f>
        <v>0.176406021663946</v>
      </c>
      <c r="P235" s="2" t="n">
        <v>0.567601178</v>
      </c>
      <c r="Q235" s="2" t="n">
        <f aca="false">IF(Q$7=Q$5,Q$6,IF(NORMSDIST(Q$9*SQRT($C$11)*NORMSINV($B235)+SQRT(1-Q$9^2*$C$11)*NORMSINV(P235))&lt;Q$8,Q$5+SQRT(NORMSDIST(Q$9*SQRT($C$11)*NORMSINV($B235)+SQRT(1-Q$9^2*$C$11)*NORMSINV(P235))*(Q$7-Q$5)*(Q$6-Q$5)),Q$7-SQRT((1-NORMSDIST(Q$9*SQRT($C$11)*NORMSINV($B235)+SQRT(1-Q$9^2*$C$11)*NORMSINV(P235)))*(Q$7-Q$5)*(Q$7-Q$6))))</f>
        <v>0.0828022012694299</v>
      </c>
      <c r="R235" s="2" t="n">
        <v>0.103591926</v>
      </c>
      <c r="S235" s="2" t="n">
        <f aca="false">IF(S$7=S$5,S$6,IF(NORMSDIST(S$9*SQRT($C$11)*NORMSINV($B235)+SQRT(1-S$9^2*$C$11)*NORMSINV(R235))&lt;S$8,S$5+SQRT(NORMSDIST(S$9*SQRT($C$11)*NORMSINV($B235)+SQRT(1-S$9^2*$C$11)*NORMSINV(R235))*(S$7-S$5)*(S$6-S$5)),S$7-SQRT((1-NORMSDIST(S$9*SQRT($C$11)*NORMSINV($B235)+SQRT(1-S$9^2*$C$11)*NORMSINV(R235)))*(S$7-S$5)*(S$7-S$6))))</f>
        <v>0.481125777529324</v>
      </c>
      <c r="T235" s="2" t="n">
        <v>0.661976231</v>
      </c>
      <c r="U235" s="2" t="n">
        <f aca="false">IF(U$7=U$5,U$6,IF(NORMSDIST(U$9*SQRT($C$11)*NORMSINV($B235)+SQRT(1-U$9^2*$C$11)*NORMSINV(T235))&lt;U$8,U$5+SQRT(NORMSDIST(U$9*SQRT($C$11)*NORMSINV($B235)+SQRT(1-U$9^2*$C$11)*NORMSINV(T235))*(U$7-U$5)*(U$6-U$5)),U$7-SQRT((1-NORMSDIST(U$9*SQRT($C$11)*NORMSINV($B235)+SQRT(1-U$9^2*$C$11)*NORMSINV(T235)))*(U$7-U$5)*(U$7-U$6))))</f>
        <v>0.761700353826663</v>
      </c>
      <c r="V235" s="2" t="n">
        <v>0.29533172</v>
      </c>
      <c r="W235" s="2" t="n">
        <f aca="false">IF(W$7=W$5,W$6,IF(NORMSDIST(W$9*SQRT($C$11)*NORMSINV($B235)+SQRT(1-W$9^2*$C$11)*NORMSINV(V235))&lt;W$8,W$5+SQRT(NORMSDIST(W$9*SQRT($C$11)*NORMSINV($B235)+SQRT(1-W$9^2*$C$11)*NORMSINV(V235))*(W$7-W$5)*(W$6-W$5)),W$7-SQRT((1-NORMSDIST(W$9*SQRT($C$11)*NORMSINV($B235)+SQRT(1-W$9^2*$C$11)*NORMSINV(V235)))*(W$7-W$5)*(W$7-W$6))))</f>
        <v>10.3997596363112</v>
      </c>
      <c r="X235" s="2" t="n">
        <v>0.640586562</v>
      </c>
      <c r="Y235" s="2" t="n">
        <f aca="false">IF(Y$7=Y$5,Y$6,IF(NORMSDIST(Y$9*SQRT($C$11)*NORMSINV($B235)+SQRT(1-Y$9^2*$C$11)*NORMSINV(X235))&lt;Y$8,Y$5+SQRT(NORMSDIST(Y$9*SQRT($C$11)*NORMSINV($B235)+SQRT(1-Y$9^2*$C$11)*NORMSINV(X235))*(Y$7-Y$5)*(Y$6-Y$5)),Y$7-SQRT((1-NORMSDIST(Y$9*SQRT($C$11)*NORMSINV($B235)+SQRT(1-Y$9^2*$C$11)*NORMSINV(X235)))*(Y$7-Y$5)*(Y$7-Y$6))))</f>
        <v>0.576081707165166</v>
      </c>
      <c r="Z235" s="2" t="n">
        <v>0.279713986</v>
      </c>
      <c r="AA235" s="2" t="n">
        <f aca="false">IF(AA$7=AA$5,AA$6,IF(NORMSDIST(AA$9*SQRT($C$11)*NORMSINV($B235)+SQRT(1-AA$9^2*$C$11)*NORMSINV(Z235))&lt;AA$8,AA$5+SQRT(NORMSDIST(AA$9*SQRT($C$11)*NORMSINV($B235)+SQRT(1-AA$9^2*$C$11)*NORMSINV(Z235))*(AA$7-AA$5)*(AA$6-AA$5)),AA$7-SQRT((1-NORMSDIST(AA$9*SQRT($C$11)*NORMSINV($B235)+SQRT(1-AA$9^2*$C$11)*NORMSINV(Z235)))*(AA$7-AA$5)*(AA$7-AA$6))))</f>
        <v>0.733184361315524</v>
      </c>
      <c r="AB235" s="2" t="n">
        <v>0.259330634</v>
      </c>
      <c r="AC235" s="2" t="n">
        <f aca="false">IF(AC$7=AC$5,AC$6,IF(NORMSDIST(AC$9*SQRT($C$11)*NORMSINV($B235)+SQRT(1-AC$9^2*$C$11)*NORMSINV(AB235))&lt;AC$8,AC$5+SQRT(NORMSDIST(AC$9*SQRT($C$11)*NORMSINV($B235)+SQRT(1-AC$9^2*$C$11)*NORMSINV(AB235))*(AC$7-AC$5)*(AC$6-AC$5)),AC$7-SQRT((1-NORMSDIST(AC$9*SQRT($C$11)*NORMSINV($B235)+SQRT(1-AC$9^2*$C$11)*NORMSINV(AB235)))*(AC$7-AC$5)*(AC$7-AC$6))))</f>
        <v>9.76900819718445</v>
      </c>
      <c r="AD235" s="2" t="n">
        <f aca="false">Entrées!$C$8*(1+E235)</f>
        <v>7440.62196519311</v>
      </c>
      <c r="AE235" s="2" t="n">
        <f aca="false">I235*Hypothèses!$J$24/12/Hypothèses!$J$19</f>
        <v>96.845763814854</v>
      </c>
      <c r="AF235" s="2" t="n">
        <f aca="false">Entrées!$C$36*S235*1000</f>
        <v>240.562888764662</v>
      </c>
      <c r="AG235" s="2" t="n">
        <f aca="false">-AF235/W235</f>
        <v>-23.1315816112447</v>
      </c>
      <c r="AH235" s="2" t="n">
        <f aca="false">AD235+AE235+AG235</f>
        <v>7514.33614739672</v>
      </c>
      <c r="AI235" s="2" t="n">
        <f aca="false">Entrées!$C$16-M235+Hypothèses!$J$22*1000-AF235+Hypothèses!$J$23</f>
        <v>22590.5604787967</v>
      </c>
      <c r="AJ235" s="2" t="n">
        <f aca="false">AI235/AH235</f>
        <v>3.00632817532697</v>
      </c>
      <c r="AK235" s="2" t="n">
        <f aca="false">AI235/(AH235+I235*(12-Hypothèses!$J$24)/12/Hypothèses!$J$19)</f>
        <v>2.97890494448796</v>
      </c>
      <c r="AL235" s="2" t="n">
        <f aca="false">(AD235+AG235+I235/Hypothèses!$J$19)*(1+G235)</f>
        <v>8008.4448427329</v>
      </c>
      <c r="AM235" s="2" t="n">
        <f aca="false">Entrées!$C$54*K235/Hypothèses!$J$19</f>
        <v>43.9667700121771</v>
      </c>
      <c r="AN235" s="2" t="n">
        <f aca="false">Y235*1000/AC235</f>
        <v>58.9703371659776</v>
      </c>
      <c r="AO235" s="2" t="n">
        <f aca="false">(Entrées!$C$36*(1-S235)+MAX(0,Entrées!$C$30-Entrées!$C$35-Entrées!$C$36)*U235)*1000</f>
        <v>1325.81760659267</v>
      </c>
      <c r="AP235" s="2" t="n">
        <f aca="false">-AO235/W235</f>
        <v>-127.485408601513</v>
      </c>
      <c r="AQ235" s="2" t="n">
        <f aca="false">AL235+AM235+AN235+AP235</f>
        <v>7983.89654130954</v>
      </c>
      <c r="AR235" s="2" t="n">
        <f aca="false">O235*AQ235-Hypothèses!$J$25/Hypothèses!$J$19</f>
        <v>1389.27226396733</v>
      </c>
      <c r="AS235" s="2" t="n">
        <f aca="false">Entrées!$C$79*(1+Q235)+Hypothèses!$J$20</f>
        <v>1484.9996191951</v>
      </c>
      <c r="AT235" s="2" t="n">
        <f aca="false">AI235-AR235+AS235+Y235*1000-AO235+Hypothèses!$J$23</f>
        <v>21936.551934597</v>
      </c>
      <c r="AU235" s="2" t="n">
        <f aca="false">AT235/AQ235</f>
        <v>2.74759972415661</v>
      </c>
      <c r="AV235" s="2" t="n">
        <f aca="false">Hypothèses!$J$26*AQ235-AT235</f>
        <v>2015.13768933164</v>
      </c>
      <c r="AW235" s="2" t="n">
        <f aca="false">IF(AC235&gt;Hypothèses!$J$26,MAX(0,AV235)/(1-Hypothèses!$J$26/AC235),0)</f>
        <v>2908.2394395274</v>
      </c>
      <c r="AX235" s="2" t="n">
        <f aca="false">AQ235-Entrées!$C$17*1000</f>
        <v>-16.1034586904616</v>
      </c>
      <c r="AY235" s="2" t="n">
        <f aca="false">AI235+(Entrées!$C$244-Entrées!$C$13)</f>
        <v>28337.5604787967</v>
      </c>
      <c r="AZ235" s="2" t="n">
        <f aca="false">AA235*AH235</f>
        <v>5509.39374893922</v>
      </c>
      <c r="BA235" s="2" t="n">
        <f aca="false">AZ235/AY235</f>
        <v>0.194420184936581</v>
      </c>
      <c r="BB235" s="2" t="n">
        <f aca="false">AZ235/(Entrées!$C$151/100)-AY235</f>
        <v>2270.18257086561</v>
      </c>
      <c r="BC235" s="2" t="n">
        <f aca="false">AT235+(Entrées!$C$244-Entrées!$C$13)</f>
        <v>27683.551934597</v>
      </c>
      <c r="BD235" s="2" t="n">
        <f aca="false">AA235*AQ235</f>
        <v>5853.66808644925</v>
      </c>
      <c r="BE235" s="2" t="n">
        <f aca="false">BD235/BC235</f>
        <v>0.211449314751181</v>
      </c>
      <c r="BF235" s="2" t="n">
        <f aca="false">BD235/(Entrées!$C$151/100)-BC235</f>
        <v>4836.82632345443</v>
      </c>
      <c r="BG235" s="2" t="n">
        <f aca="false">MIN(AV235,BF235)</f>
        <v>2015.13768933164</v>
      </c>
      <c r="BH235" s="2" t="n">
        <f aca="false">IF(AC235&gt;Hypothèses!$J$26,MAX(0,BG235)/(1-Hypothèses!$J$26/AC235),0)</f>
        <v>2908.2394395274</v>
      </c>
    </row>
    <row r="236" customFormat="false" ht="15" hidden="false" customHeight="false" outlineLevel="0" collapsed="false">
      <c r="A236" s="2" t="n">
        <v>221</v>
      </c>
      <c r="B236" s="2" t="n">
        <v>0.988775004</v>
      </c>
      <c r="C236" s="2"/>
      <c r="D236" s="2" t="n">
        <v>0.23300762</v>
      </c>
      <c r="E236" s="2" t="n">
        <f aca="false">IF(E$7=E$5,E$6,IF(NORMSDIST(E$9*SQRT($C$11)*NORMSINV($B236)+SQRT(1-E$9^2*$C$11)*NORMSINV(D236))&lt;E$8,E$5+SQRT(NORMSDIST(E$9*SQRT($C$11)*NORMSINV($B236)+SQRT(1-E$9^2*$C$11)*NORMSINV(D236))*(E$7-E$5)*(E$6-E$5)),E$7-SQRT((1-NORMSDIST(E$9*SQRT($C$11)*NORMSINV($B236)+SQRT(1-E$9^2*$C$11)*NORMSINV(D236)))*(E$7-E$5)*(E$7-E$6))))</f>
        <v>0.0569202695996596</v>
      </c>
      <c r="F236" s="2" t="n">
        <v>0.909944336</v>
      </c>
      <c r="G236" s="2" t="n">
        <f aca="false">IF(G$7=G$5,G$6,IF(NORMSDIST(G$9*SQRT($C$11)*NORMSINV($B236)+SQRT(1-G$9^2*$C$11)*NORMSINV(F236))&lt;G$8,G$5+SQRT(NORMSDIST(G$9*SQRT($C$11)*NORMSINV($B236)+SQRT(1-G$9^2*$C$11)*NORMSINV(F236))*(G$7-G$5)*(G$6-G$5)),G$7-SQRT((1-NORMSDIST(G$9*SQRT($C$11)*NORMSINV($B236)+SQRT(1-G$9^2*$C$11)*NORMSINV(F236)))*(G$7-G$5)*(G$7-G$6))))</f>
        <v>0.0682853985049066</v>
      </c>
      <c r="H236" s="2" t="n">
        <v>0.954598316</v>
      </c>
      <c r="I236" s="2" t="n">
        <f aca="false">IF(I$7=I$5,I$6,IF(NORMSDIST(I$9*SQRT($C$11)*NORMSINV($B236)+SQRT(1-I$9^2*$C$11)*NORMSINV(H236))&lt;I$8,I$5+SQRT(NORMSDIST(I$9*SQRT($C$11)*NORMSINV($B236)+SQRT(1-I$9^2*$C$11)*NORMSINV(H236))*(I$7-I$5)*(I$6-I$5)),I$7-SQRT((1-NORMSDIST(I$9*SQRT($C$11)*NORMSINV($B236)+SQRT(1-I$9^2*$C$11)*NORMSINV(H236)))*(I$7-I$5)*(I$7-I$6))))</f>
        <v>218.464653200125</v>
      </c>
      <c r="J236" s="2" t="n">
        <v>0.635432865</v>
      </c>
      <c r="K236" s="2" t="n">
        <f aca="false">IF(K$7=K$5,K$6,IF(NORMSDIST(K$9*SQRT($C$11)*NORMSINV($B236)+SQRT(1-K$9^2*$C$11)*NORMSINV(J236))&lt;K$8,K$5+SQRT(NORMSDIST(K$9*SQRT($C$11)*NORMSINV($B236)+SQRT(1-K$9^2*$C$11)*NORMSINV(J236))*(K$7-K$5)*(K$6-K$5)),K$7-SQRT((1-NORMSDIST(K$9*SQRT($C$11)*NORMSINV($B236)+SQRT(1-K$9^2*$C$11)*NORMSINV(J236)))*(K$7-K$5)*(K$7-K$6))))</f>
        <v>0.426297416399111</v>
      </c>
      <c r="L236" s="2" t="n">
        <v>0.430258529</v>
      </c>
      <c r="M236" s="2" t="n">
        <f aca="false">IF(M$7=M$5,M$6,IF(NORMSDIST(M$9*SQRT($C$11)*NORMSINV($B236)+SQRT(1-M$9^2*$C$11)*NORMSINV(L236))&lt;M$8,M$5+SQRT(NORMSDIST(M$9*SQRT($C$11)*NORMSINV($B236)+SQRT(1-M$9^2*$C$11)*NORMSINV(L236))*(M$7-M$5)*(M$6-M$5)),M$7-SQRT((1-NORMSDIST(M$9*SQRT($C$11)*NORMSINV($B236)+SQRT(1-M$9^2*$C$11)*NORMSINV(L236)))*(M$7-M$5)*(M$7-M$6))))</f>
        <v>1704.70275140965</v>
      </c>
      <c r="N236" s="2" t="n">
        <v>0.624324731</v>
      </c>
      <c r="O236" s="2" t="n">
        <f aca="false">IF(O$7=O$5,O$6,IF(NORMSDIST(O$9*SQRT($C$11)*NORMSINV($B236)+SQRT(1-O$9^2*$C$11)*NORMSINV(N236))&lt;O$8,O$5+SQRT(NORMSDIST(O$9*SQRT($C$11)*NORMSINV($B236)+SQRT(1-O$9^2*$C$11)*NORMSINV(N236))*(O$7-O$5)*(O$6-O$5)),O$7-SQRT((1-NORMSDIST(O$9*SQRT($C$11)*NORMSINV($B236)+SQRT(1-O$9^2*$C$11)*NORMSINV(N236)))*(O$7-O$5)*(O$7-O$6))))</f>
        <v>0.183030778414711</v>
      </c>
      <c r="P236" s="2" t="n">
        <v>0.369121893</v>
      </c>
      <c r="Q236" s="2" t="n">
        <f aca="false">IF(Q$7=Q$5,Q$6,IF(NORMSDIST(Q$9*SQRT($C$11)*NORMSINV($B236)+SQRT(1-Q$9^2*$C$11)*NORMSINV(P236))&lt;Q$8,Q$5+SQRT(NORMSDIST(Q$9*SQRT($C$11)*NORMSINV($B236)+SQRT(1-Q$9^2*$C$11)*NORMSINV(P236))*(Q$7-Q$5)*(Q$6-Q$5)),Q$7-SQRT((1-NORMSDIST(Q$9*SQRT($C$11)*NORMSINV($B236)+SQRT(1-Q$9^2*$C$11)*NORMSINV(P236)))*(Q$7-Q$5)*(Q$7-Q$6))))</f>
        <v>0.0743684456675015</v>
      </c>
      <c r="R236" s="2" t="n">
        <v>0.937816676</v>
      </c>
      <c r="S236" s="2" t="n">
        <f aca="false">IF(S$7=S$5,S$6,IF(NORMSDIST(S$9*SQRT($C$11)*NORMSINV($B236)+SQRT(1-S$9^2*$C$11)*NORMSINV(R236))&lt;S$8,S$5+SQRT(NORMSDIST(S$9*SQRT($C$11)*NORMSINV($B236)+SQRT(1-S$9^2*$C$11)*NORMSINV(R236))*(S$7-S$5)*(S$6-S$5)),S$7-SQRT((1-NORMSDIST(S$9*SQRT($C$11)*NORMSINV($B236)+SQRT(1-S$9^2*$C$11)*NORMSINV(R236)))*(S$7-S$5)*(S$7-S$6))))</f>
        <v>0.954069788952277</v>
      </c>
      <c r="T236" s="2" t="n">
        <v>0.315397172</v>
      </c>
      <c r="U236" s="2" t="n">
        <f aca="false">IF(U$7=U$5,U$6,IF(NORMSDIST(U$9*SQRT($C$11)*NORMSINV($B236)+SQRT(1-U$9^2*$C$11)*NORMSINV(T236))&lt;U$8,U$5+SQRT(NORMSDIST(U$9*SQRT($C$11)*NORMSINV($B236)+SQRT(1-U$9^2*$C$11)*NORMSINV(T236))*(U$7-U$5)*(U$6-U$5)),U$7-SQRT((1-NORMSDIST(U$9*SQRT($C$11)*NORMSINV($B236)+SQRT(1-U$9^2*$C$11)*NORMSINV(T236)))*(U$7-U$5)*(U$7-U$6))))</f>
        <v>0.73354812866561</v>
      </c>
      <c r="V236" s="2" t="n">
        <v>0.974685837</v>
      </c>
      <c r="W236" s="2" t="n">
        <f aca="false">IF(W$7=W$5,W$6,IF(NORMSDIST(W$9*SQRT($C$11)*NORMSINV($B236)+SQRT(1-W$9^2*$C$11)*NORMSINV(V236))&lt;W$8,W$5+SQRT(NORMSDIST(W$9*SQRT($C$11)*NORMSINV($B236)+SQRT(1-W$9^2*$C$11)*NORMSINV(V236))*(W$7-W$5)*(W$6-W$5)),W$7-SQRT((1-NORMSDIST(W$9*SQRT($C$11)*NORMSINV($B236)+SQRT(1-W$9^2*$C$11)*NORMSINV(V236)))*(W$7-W$5)*(W$7-W$6))))</f>
        <v>11.888659349557</v>
      </c>
      <c r="X236" s="2" t="n">
        <v>0.607343159</v>
      </c>
      <c r="Y236" s="2" t="n">
        <f aca="false">IF(Y$7=Y$5,Y$6,IF(NORMSDIST(Y$9*SQRT($C$11)*NORMSINV($B236)+SQRT(1-Y$9^2*$C$11)*NORMSINV(X236))&lt;Y$8,Y$5+SQRT(NORMSDIST(Y$9*SQRT($C$11)*NORMSINV($B236)+SQRT(1-Y$9^2*$C$11)*NORMSINV(X236))*(Y$7-Y$5)*(Y$6-Y$5)),Y$7-SQRT((1-NORMSDIST(Y$9*SQRT($C$11)*NORMSINV($B236)+SQRT(1-Y$9^2*$C$11)*NORMSINV(X236)))*(Y$7-Y$5)*(Y$7-Y$6))))</f>
        <v>0.556910369676744</v>
      </c>
      <c r="Z236" s="2" t="n">
        <v>0.797719353</v>
      </c>
      <c r="AA236" s="2" t="n">
        <f aca="false">IF(AA$7=AA$5,AA$6,IF(NORMSDIST(AA$9*SQRT($C$11)*NORMSINV($B236)+SQRT(1-AA$9^2*$C$11)*NORMSINV(Z236))&lt;AA$8,AA$5+SQRT(NORMSDIST(AA$9*SQRT($C$11)*NORMSINV($B236)+SQRT(1-AA$9^2*$C$11)*NORMSINV(Z236))*(AA$7-AA$5)*(AA$6-AA$5)),AA$7-SQRT((1-NORMSDIST(AA$9*SQRT($C$11)*NORMSINV($B236)+SQRT(1-AA$9^2*$C$11)*NORMSINV(Z236)))*(AA$7-AA$5)*(AA$7-AA$6))))</f>
        <v>0.749016517427669</v>
      </c>
      <c r="AB236" s="2" t="n">
        <v>0.427234635</v>
      </c>
      <c r="AC236" s="2" t="n">
        <f aca="false">IF(AC$7=AC$5,AC$6,IF(NORMSDIST(AC$9*SQRT($C$11)*NORMSINV($B236)+SQRT(1-AC$9^2*$C$11)*NORMSINV(AB236))&lt;AC$8,AC$5+SQRT(NORMSDIST(AC$9*SQRT($C$11)*NORMSINV($B236)+SQRT(1-AC$9^2*$C$11)*NORMSINV(AB236))*(AC$7-AC$5)*(AC$6-AC$5)),AC$7-SQRT((1-NORMSDIST(AC$9*SQRT($C$11)*NORMSINV($B236)+SQRT(1-AC$9^2*$C$11)*NORMSINV(AB236)))*(AC$7-AC$5)*(AC$7-AC$6))))</f>
        <v>10.3542541359503</v>
      </c>
      <c r="AD236" s="2" t="n">
        <f aca="false">Entrées!$C$8*(1+E236)</f>
        <v>7451.2879006776</v>
      </c>
      <c r="AE236" s="2" t="n">
        <f aca="false">I236*Hypothèses!$J$24/12/Hypothèses!$J$19</f>
        <v>108.379615229258</v>
      </c>
      <c r="AF236" s="2" t="n">
        <f aca="false">Entrées!$C$36*S236*1000</f>
        <v>477.034894476138</v>
      </c>
      <c r="AG236" s="2" t="n">
        <f aca="false">-AF236/W236</f>
        <v>-40.1252050757021</v>
      </c>
      <c r="AH236" s="2" t="n">
        <f aca="false">AD236+AE236+AG236</f>
        <v>7519.54231083116</v>
      </c>
      <c r="AI236" s="2" t="n">
        <f aca="false">Entrées!$C$16-M236+Hypothèses!$J$22*1000-AF236+Hypothèses!$J$23</f>
        <v>22366.2623541142</v>
      </c>
      <c r="AJ236" s="2" t="n">
        <f aca="false">AI236/AH236</f>
        <v>2.97441804694653</v>
      </c>
      <c r="AK236" s="2" t="n">
        <f aca="false">AI236/(AH236+I236*(12-Hypothèses!$J$24)/12/Hypothèses!$J$19)</f>
        <v>2.94410832535656</v>
      </c>
      <c r="AL236" s="2" t="n">
        <f aca="false">(AD236+AG236+I236/Hypothèses!$J$19)*(1+G236)</f>
        <v>8115.71751156148</v>
      </c>
      <c r="AM236" s="2" t="n">
        <f aca="false">Entrées!$C$54*K236/Hypothèses!$J$19</f>
        <v>43.5054412507142</v>
      </c>
      <c r="AN236" s="2" t="n">
        <f aca="false">Y236*1000/AC236</f>
        <v>53.7856577948125</v>
      </c>
      <c r="AO236" s="2" t="n">
        <f aca="false">(Entrées!$C$36*(1-S236)+MAX(0,Entrées!$C$30-Entrées!$C$35-Entrées!$C$36)*U236)*1000</f>
        <v>1049.93248565572</v>
      </c>
      <c r="AP236" s="2" t="n">
        <f aca="false">-AO236/W236</f>
        <v>-88.313783311054</v>
      </c>
      <c r="AQ236" s="2" t="n">
        <f aca="false">AL236+AM236+AN236+AP236</f>
        <v>8124.69482729595</v>
      </c>
      <c r="AR236" s="2" t="n">
        <f aca="false">O236*AQ236-Hypothèses!$J$25/Hypothèses!$J$19</f>
        <v>1467.93405636033</v>
      </c>
      <c r="AS236" s="2" t="n">
        <f aca="false">Entrées!$C$79*(1+Q236)+Hypothèses!$J$20</f>
        <v>1475.73092178858</v>
      </c>
      <c r="AT236" s="2" t="n">
        <f aca="false">AI236-AR236+AS236+Y236*1000-AO236+Hypothèses!$J$23</f>
        <v>21881.0371035635</v>
      </c>
      <c r="AU236" s="2" t="n">
        <f aca="false">AT236/AQ236</f>
        <v>2.69315187446196</v>
      </c>
      <c r="AV236" s="2" t="n">
        <f aca="false">Hypothèses!$J$26*AQ236-AT236</f>
        <v>2493.04737832436</v>
      </c>
      <c r="AW236" s="2" t="n">
        <f aca="false">IF(AC236&gt;Hypothèses!$J$26,MAX(0,AV236)/(1-Hypothèses!$J$26/AC236),0)</f>
        <v>3510.02911389049</v>
      </c>
      <c r="AX236" s="2" t="n">
        <f aca="false">AQ236-Entrées!$C$17*1000</f>
        <v>124.694827295953</v>
      </c>
      <c r="AY236" s="2" t="n">
        <f aca="false">AI236+(Entrées!$C$244-Entrées!$C$13)</f>
        <v>28113.2623541142</v>
      </c>
      <c r="AZ236" s="2" t="n">
        <f aca="false">AA236*AH236</f>
        <v>5632.26139430876</v>
      </c>
      <c r="BA236" s="2" t="n">
        <f aca="false">AZ236/AY236</f>
        <v>0.200341793256324</v>
      </c>
      <c r="BB236" s="2" t="n">
        <f aca="false">AZ236/(Entrées!$C$151/100)-AY236</f>
        <v>3177.0787253789</v>
      </c>
      <c r="BC236" s="2" t="n">
        <f aca="false">AT236+(Entrées!$C$244-Entrées!$C$13)</f>
        <v>27628.0371035635</v>
      </c>
      <c r="BD236" s="2" t="n">
        <f aca="false">AA236*AQ236</f>
        <v>6085.53062470381</v>
      </c>
      <c r="BE236" s="2" t="n">
        <f aca="false">BD236/BC236</f>
        <v>0.220266485161152</v>
      </c>
      <c r="BF236" s="2" t="n">
        <f aca="false">BD236/(Entrées!$C$151/100)-BC236</f>
        <v>6180.46636701324</v>
      </c>
      <c r="BG236" s="2" t="n">
        <f aca="false">MIN(AV236,BF236)</f>
        <v>2493.04737832436</v>
      </c>
      <c r="BH236" s="2" t="n">
        <f aca="false">IF(AC236&gt;Hypothèses!$J$26,MAX(0,BG236)/(1-Hypothèses!$J$26/AC236),0)</f>
        <v>3510.02911389049</v>
      </c>
    </row>
    <row r="237" customFormat="false" ht="15" hidden="false" customHeight="false" outlineLevel="0" collapsed="false">
      <c r="A237" s="2" t="n">
        <v>222</v>
      </c>
      <c r="B237" s="2" t="n">
        <v>0.099103154</v>
      </c>
      <c r="C237" s="2"/>
      <c r="D237" s="2" t="n">
        <v>0.832053398</v>
      </c>
      <c r="E237" s="2" t="n">
        <f aca="false">IF(E$7=E$5,E$6,IF(NORMSDIST(E$9*SQRT($C$11)*NORMSINV($B237)+SQRT(1-E$9^2*$C$11)*NORMSINV(D237))&lt;E$8,E$5+SQRT(NORMSDIST(E$9*SQRT($C$11)*NORMSINV($B237)+SQRT(1-E$9^2*$C$11)*NORMSINV(D237))*(E$7-E$5)*(E$6-E$5)),E$7-SQRT((1-NORMSDIST(E$9*SQRT($C$11)*NORMSINV($B237)+SQRT(1-E$9^2*$C$11)*NORMSINV(D237)))*(E$7-E$5)*(E$7-E$6))))</f>
        <v>0.0548618309420429</v>
      </c>
      <c r="F237" s="2" t="n">
        <v>0.91018911</v>
      </c>
      <c r="G237" s="2" t="n">
        <f aca="false">IF(G$7=G$5,G$6,IF(NORMSDIST(G$9*SQRT($C$11)*NORMSINV($B237)+SQRT(1-G$9^2*$C$11)*NORMSINV(F237))&lt;G$8,G$5+SQRT(NORMSDIST(G$9*SQRT($C$11)*NORMSINV($B237)+SQRT(1-G$9^2*$C$11)*NORMSINV(F237))*(G$7-G$5)*(G$6-G$5)),G$7-SQRT((1-NORMSDIST(G$9*SQRT($C$11)*NORMSINV($B237)+SQRT(1-G$9^2*$C$11)*NORMSINV(F237)))*(G$7-G$5)*(G$7-G$6))))</f>
        <v>0.0564049161323588</v>
      </c>
      <c r="H237" s="2" t="n">
        <v>0.558588715</v>
      </c>
      <c r="I237" s="2" t="n">
        <f aca="false">IF(I$7=I$5,I$6,IF(NORMSDIST(I$9*SQRT($C$11)*NORMSINV($B237)+SQRT(1-I$9^2*$C$11)*NORMSINV(H237))&lt;I$8,I$5+SQRT(NORMSDIST(I$9*SQRT($C$11)*NORMSINV($B237)+SQRT(1-I$9^2*$C$11)*NORMSINV(H237))*(I$7-I$5)*(I$6-I$5)),I$7-SQRT((1-NORMSDIST(I$9*SQRT($C$11)*NORMSINV($B237)+SQRT(1-I$9^2*$C$11)*NORMSINV(H237)))*(I$7-I$5)*(I$7-I$6))))</f>
        <v>193.916588845284</v>
      </c>
      <c r="J237" s="2" t="n">
        <v>0.677500739</v>
      </c>
      <c r="K237" s="2" t="n">
        <f aca="false">IF(K$7=K$5,K$6,IF(NORMSDIST(K$9*SQRT($C$11)*NORMSINV($B237)+SQRT(1-K$9^2*$C$11)*NORMSINV(J237))&lt;K$8,K$5+SQRT(NORMSDIST(K$9*SQRT($C$11)*NORMSINV($B237)+SQRT(1-K$9^2*$C$11)*NORMSINV(J237))*(K$7-K$5)*(K$6-K$5)),K$7-SQRT((1-NORMSDIST(K$9*SQRT($C$11)*NORMSINV($B237)+SQRT(1-K$9^2*$C$11)*NORMSINV(J237)))*(K$7-K$5)*(K$7-K$6))))</f>
        <v>0.20120688567121</v>
      </c>
      <c r="L237" s="2" t="n">
        <v>0.091066085</v>
      </c>
      <c r="M237" s="2" t="n">
        <f aca="false">IF(M$7=M$5,M$6,IF(NORMSDIST(M$9*SQRT($C$11)*NORMSINV($B237)+SQRT(1-M$9^2*$C$11)*NORMSINV(L237))&lt;M$8,M$5+SQRT(NORMSDIST(M$9*SQRT($C$11)*NORMSINV($B237)+SQRT(1-M$9^2*$C$11)*NORMSINV(L237))*(M$7-M$5)*(M$6-M$5)),M$7-SQRT((1-NORMSDIST(M$9*SQRT($C$11)*NORMSINV($B237)+SQRT(1-M$9^2*$C$11)*NORMSINV(L237)))*(M$7-M$5)*(M$7-M$6))))</f>
        <v>1374.97467461411</v>
      </c>
      <c r="N237" s="2" t="n">
        <v>0.297616525</v>
      </c>
      <c r="O237" s="2" t="n">
        <f aca="false">IF(O$7=O$5,O$6,IF(NORMSDIST(O$9*SQRT($C$11)*NORMSINV($B237)+SQRT(1-O$9^2*$C$11)*NORMSINV(N237))&lt;O$8,O$5+SQRT(NORMSDIST(O$9*SQRT($C$11)*NORMSINV($B237)+SQRT(1-O$9^2*$C$11)*NORMSINV(N237))*(O$7-O$5)*(O$6-O$5)),O$7-SQRT((1-NORMSDIST(O$9*SQRT($C$11)*NORMSINV($B237)+SQRT(1-O$9^2*$C$11)*NORMSINV(N237)))*(O$7-O$5)*(O$7-O$6))))</f>
        <v>0.152576387191268</v>
      </c>
      <c r="P237" s="2" t="n">
        <v>0.489582619</v>
      </c>
      <c r="Q237" s="2" t="n">
        <f aca="false">IF(Q$7=Q$5,Q$6,IF(NORMSDIST(Q$9*SQRT($C$11)*NORMSINV($B237)+SQRT(1-Q$9^2*$C$11)*NORMSINV(P237))&lt;Q$8,Q$5+SQRT(NORMSDIST(Q$9*SQRT($C$11)*NORMSINV($B237)+SQRT(1-Q$9^2*$C$11)*NORMSINV(P237))*(Q$7-Q$5)*(Q$6-Q$5)),Q$7-SQRT((1-NORMSDIST(Q$9*SQRT($C$11)*NORMSINV($B237)+SQRT(1-Q$9^2*$C$11)*NORMSINV(P237)))*(Q$7-Q$5)*(Q$7-Q$6))))</f>
        <v>0.0795811114144108</v>
      </c>
      <c r="R237" s="2" t="n">
        <v>0.438124927</v>
      </c>
      <c r="S237" s="2" t="n">
        <f aca="false">IF(S$7=S$5,S$6,IF(NORMSDIST(S$9*SQRT($C$11)*NORMSINV($B237)+SQRT(1-S$9^2*$C$11)*NORMSINV(R237))&lt;S$8,S$5+SQRT(NORMSDIST(S$9*SQRT($C$11)*NORMSINV($B237)+SQRT(1-S$9^2*$C$11)*NORMSINV(R237))*(S$7-S$5)*(S$6-S$5)),S$7-SQRT((1-NORMSDIST(S$9*SQRT($C$11)*NORMSINV($B237)+SQRT(1-S$9^2*$C$11)*NORMSINV(R237)))*(S$7-S$5)*(S$7-S$6))))</f>
        <v>0.295847178477147</v>
      </c>
      <c r="T237" s="2" t="n">
        <v>0.229479293</v>
      </c>
      <c r="U237" s="2" t="n">
        <f aca="false">IF(U$7=U$5,U$6,IF(NORMSDIST(U$9*SQRT($C$11)*NORMSINV($B237)+SQRT(1-U$9^2*$C$11)*NORMSINV(T237))&lt;U$8,U$5+SQRT(NORMSDIST(U$9*SQRT($C$11)*NORMSINV($B237)+SQRT(1-U$9^2*$C$11)*NORMSINV(T237))*(U$7-U$5)*(U$6-U$5)),U$7-SQRT((1-NORMSDIST(U$9*SQRT($C$11)*NORMSINV($B237)+SQRT(1-U$9^2*$C$11)*NORMSINV(T237)))*(U$7-U$5)*(U$7-U$6))))</f>
        <v>0.203296859161442</v>
      </c>
      <c r="V237" s="2" t="n">
        <v>0.361393904</v>
      </c>
      <c r="W237" s="2" t="n">
        <f aca="false">IF(W$7=W$5,W$6,IF(NORMSDIST(W$9*SQRT($C$11)*NORMSINV($B237)+SQRT(1-W$9^2*$C$11)*NORMSINV(V237))&lt;W$8,W$5+SQRT(NORMSDIST(W$9*SQRT($C$11)*NORMSINV($B237)+SQRT(1-W$9^2*$C$11)*NORMSINV(V237))*(W$7-W$5)*(W$6-W$5)),W$7-SQRT((1-NORMSDIST(W$9*SQRT($C$11)*NORMSINV($B237)+SQRT(1-W$9^2*$C$11)*NORMSINV(V237)))*(W$7-W$5)*(W$7-W$6))))</f>
        <v>9.05138966180331</v>
      </c>
      <c r="X237" s="2" t="n">
        <v>0.600921207</v>
      </c>
      <c r="Y237" s="2" t="n">
        <f aca="false">IF(Y$7=Y$5,Y$6,IF(NORMSDIST(Y$9*SQRT($C$11)*NORMSINV($B237)+SQRT(1-Y$9^2*$C$11)*NORMSINV(X237))&lt;Y$8,Y$5+SQRT(NORMSDIST(Y$9*SQRT($C$11)*NORMSINV($B237)+SQRT(1-Y$9^2*$C$11)*NORMSINV(X237))*(Y$7-Y$5)*(Y$6-Y$5)),Y$7-SQRT((1-NORMSDIST(Y$9*SQRT($C$11)*NORMSINV($B237)+SQRT(1-Y$9^2*$C$11)*NORMSINV(X237)))*(Y$7-Y$5)*(Y$7-Y$6))))</f>
        <v>0.553301671706732</v>
      </c>
      <c r="Z237" s="2" t="n">
        <v>0.553752933</v>
      </c>
      <c r="AA237" s="2" t="n">
        <f aca="false">IF(AA$7=AA$5,AA$6,IF(NORMSDIST(AA$9*SQRT($C$11)*NORMSINV($B237)+SQRT(1-AA$9^2*$C$11)*NORMSINV(Z237))&lt;AA$8,AA$5+SQRT(NORMSDIST(AA$9*SQRT($C$11)*NORMSINV($B237)+SQRT(1-AA$9^2*$C$11)*NORMSINV(Z237))*(AA$7-AA$5)*(AA$6-AA$5)),AA$7-SQRT((1-NORMSDIST(AA$9*SQRT($C$11)*NORMSINV($B237)+SQRT(1-AA$9^2*$C$11)*NORMSINV(Z237)))*(AA$7-AA$5)*(AA$7-AA$6))))</f>
        <v>0.717955896312485</v>
      </c>
      <c r="AB237" s="2" t="n">
        <v>0.155943221</v>
      </c>
      <c r="AC237" s="2" t="n">
        <f aca="false">IF(AC$7=AC$5,AC$6,IF(NORMSDIST(AC$9*SQRT($C$11)*NORMSINV($B237)+SQRT(1-AC$9^2*$C$11)*NORMSINV(AB237))&lt;AC$8,AC$5+SQRT(NORMSDIST(AC$9*SQRT($C$11)*NORMSINV($B237)+SQRT(1-AC$9^2*$C$11)*NORMSINV(AB237))*(AC$7-AC$5)*(AC$6-AC$5)),AC$7-SQRT((1-NORMSDIST(AC$9*SQRT($C$11)*NORMSINV($B237)+SQRT(1-AC$9^2*$C$11)*NORMSINV(AB237)))*(AC$7-AC$5)*(AC$7-AC$6))))</f>
        <v>8.09011353221252</v>
      </c>
      <c r="AD237" s="2" t="n">
        <f aca="false">Entrées!$C$8*(1+E237)</f>
        <v>7436.7759081414</v>
      </c>
      <c r="AE237" s="2" t="n">
        <f aca="false">I237*Hypothèses!$J$24/12/Hypothèses!$J$19</f>
        <v>96.201399071958</v>
      </c>
      <c r="AF237" s="2" t="n">
        <f aca="false">Entrées!$C$36*S237*1000</f>
        <v>147.923589238574</v>
      </c>
      <c r="AG237" s="2" t="n">
        <f aca="false">-AF237/W237</f>
        <v>-16.3426385080744</v>
      </c>
      <c r="AH237" s="2" t="n">
        <f aca="false">AD237+AE237+AG237</f>
        <v>7516.63466870529</v>
      </c>
      <c r="AI237" s="2" t="n">
        <f aca="false">Entrées!$C$16-M237+Hypothèses!$J$22*1000-AF237+Hypothèses!$J$23</f>
        <v>23025.1017361473</v>
      </c>
      <c r="AJ237" s="2" t="n">
        <f aca="false">AI237/AH237</f>
        <v>3.06321947932496</v>
      </c>
      <c r="AK237" s="2" t="n">
        <f aca="false">AI237/(AH237+I237*(12-Hypothèses!$J$24)/12/Hypothèses!$J$19)</f>
        <v>3.03546993566777</v>
      </c>
      <c r="AL237" s="2" t="n">
        <f aca="false">(AD237+AG237+I237/Hypothèses!$J$19)*(1+G237)</f>
        <v>8013.20098173292</v>
      </c>
      <c r="AM237" s="2" t="n">
        <f aca="false">Entrées!$C$54*K237/Hypothèses!$J$19</f>
        <v>20.5340074958668</v>
      </c>
      <c r="AN237" s="2" t="n">
        <f aca="false">Y237*1000/AC237</f>
        <v>68.3923247187624</v>
      </c>
      <c r="AO237" s="2" t="n">
        <f aca="false">(Entrées!$C$36*(1-S237)+MAX(0,Entrées!$C$30-Entrées!$C$35-Entrées!$C$36)*U237)*1000</f>
        <v>636.692013587444</v>
      </c>
      <c r="AP237" s="2" t="n">
        <f aca="false">-AO237/W237</f>
        <v>-70.3419074171862</v>
      </c>
      <c r="AQ237" s="2" t="n">
        <f aca="false">AL237+AM237+AN237+AP237</f>
        <v>8031.78540653036</v>
      </c>
      <c r="AR237" s="2" t="n">
        <f aca="false">O237*AQ237-Hypothèses!$J$25/Hypothèses!$J$19</f>
        <v>1206.32563776233</v>
      </c>
      <c r="AS237" s="2" t="n">
        <f aca="false">Entrées!$C$79*(1+Q237)+Hypothèses!$J$20</f>
        <v>1481.45964144444</v>
      </c>
      <c r="AT237" s="2" t="n">
        <f aca="false">AI237-AR237+AS237+Y237*1000-AO237+Hypothèses!$J$23</f>
        <v>23216.8453979487</v>
      </c>
      <c r="AU237" s="2" t="n">
        <f aca="false">AT237/AQ237</f>
        <v>2.89062073036363</v>
      </c>
      <c r="AV237" s="2" t="n">
        <f aca="false">Hypothèses!$J$26*AQ237-AT237</f>
        <v>878.510821642369</v>
      </c>
      <c r="AW237" s="2" t="n">
        <f aca="false">IF(AC237&gt;Hypothèses!$J$26,MAX(0,AV237)/(1-Hypothèses!$J$26/AC237),0)</f>
        <v>1396.28561158532</v>
      </c>
      <c r="AX237" s="2" t="n">
        <f aca="false">AQ237-Entrées!$C$17*1000</f>
        <v>31.7854065303627</v>
      </c>
      <c r="AY237" s="2" t="n">
        <f aca="false">AI237+(Entrées!$C$244-Entrées!$C$13)</f>
        <v>28772.1017361473</v>
      </c>
      <c r="AZ237" s="2" t="n">
        <f aca="false">AA237*AH237</f>
        <v>5396.6121808238</v>
      </c>
      <c r="BA237" s="2" t="n">
        <f aca="false">AZ237/AY237</f>
        <v>0.18756405876474</v>
      </c>
      <c r="BB237" s="2" t="n">
        <f aca="false">AZ237/(Entrées!$C$151/100)-AY237</f>
        <v>1209.07704620715</v>
      </c>
      <c r="BC237" s="2" t="n">
        <f aca="false">AT237+(Entrées!$C$244-Entrées!$C$13)</f>
        <v>28963.8453979487</v>
      </c>
      <c r="BD237" s="2" t="n">
        <f aca="false">AA237*AQ237</f>
        <v>5766.46769053505</v>
      </c>
      <c r="BE237" s="2" t="n">
        <f aca="false">BD237/BC237</f>
        <v>0.199091923441334</v>
      </c>
      <c r="BF237" s="2" t="n">
        <f aca="false">BD237/(Entrées!$C$151/100)-BC237</f>
        <v>3072.08621613487</v>
      </c>
      <c r="BG237" s="2" t="n">
        <f aca="false">MIN(AV237,BF237)</f>
        <v>878.510821642369</v>
      </c>
      <c r="BH237" s="2" t="n">
        <f aca="false">IF(AC237&gt;Hypothèses!$J$26,MAX(0,BG237)/(1-Hypothèses!$J$26/AC237),0)</f>
        <v>1396.28561158532</v>
      </c>
    </row>
    <row r="238" customFormat="false" ht="15" hidden="false" customHeight="false" outlineLevel="0" collapsed="false">
      <c r="A238" s="2" t="n">
        <v>223</v>
      </c>
      <c r="B238" s="2" t="n">
        <v>0.259570776</v>
      </c>
      <c r="C238" s="2"/>
      <c r="D238" s="2" t="n">
        <v>0.396623304</v>
      </c>
      <c r="E238" s="2" t="n">
        <f aca="false">IF(E$7=E$5,E$6,IF(NORMSDIST(E$9*SQRT($C$11)*NORMSINV($B238)+SQRT(1-E$9^2*$C$11)*NORMSINV(D238))&lt;E$8,E$5+SQRT(NORMSDIST(E$9*SQRT($C$11)*NORMSINV($B238)+SQRT(1-E$9^2*$C$11)*NORMSINV(D238))*(E$7-E$5)*(E$6-E$5)),E$7-SQRT((1-NORMSDIST(E$9*SQRT($C$11)*NORMSINV($B238)+SQRT(1-E$9^2*$C$11)*NORMSINV(D238)))*(E$7-E$5)*(E$7-E$6))))</f>
        <v>0.0536788890186652</v>
      </c>
      <c r="F238" s="2" t="n">
        <v>0.929950433</v>
      </c>
      <c r="G238" s="2" t="n">
        <f aca="false">IF(G$7=G$5,G$6,IF(NORMSDIST(G$9*SQRT($C$11)*NORMSINV($B238)+SQRT(1-G$9^2*$C$11)*NORMSINV(F238))&lt;G$8,G$5+SQRT(NORMSDIST(G$9*SQRT($C$11)*NORMSINV($B238)+SQRT(1-G$9^2*$C$11)*NORMSINV(F238))*(G$7-G$5)*(G$6-G$5)),G$7-SQRT((1-NORMSDIST(G$9*SQRT($C$11)*NORMSINV($B238)+SQRT(1-G$9^2*$C$11)*NORMSINV(F238)))*(G$7-G$5)*(G$7-G$6))))</f>
        <v>0.0598015561618041</v>
      </c>
      <c r="H238" s="2" t="n">
        <v>0.021514117</v>
      </c>
      <c r="I238" s="2" t="n">
        <f aca="false">IF(I$7=I$5,I$6,IF(NORMSDIST(I$9*SQRT($C$11)*NORMSINV($B238)+SQRT(1-I$9^2*$C$11)*NORMSINV(H238))&lt;I$8,I$5+SQRT(NORMSDIST(I$9*SQRT($C$11)*NORMSINV($B238)+SQRT(1-I$9^2*$C$11)*NORMSINV(H238))*(I$7-I$5)*(I$6-I$5)),I$7-SQRT((1-NORMSDIST(I$9*SQRT($C$11)*NORMSINV($B238)+SQRT(1-I$9^2*$C$11)*NORMSINV(H238)))*(I$7-I$5)*(I$7-I$6))))</f>
        <v>184.393634475691</v>
      </c>
      <c r="J238" s="2" t="n">
        <v>0.798081872</v>
      </c>
      <c r="K238" s="2" t="n">
        <f aca="false">IF(K$7=K$5,K$6,IF(NORMSDIST(K$9*SQRT($C$11)*NORMSINV($B238)+SQRT(1-K$9^2*$C$11)*NORMSINV(J238))&lt;K$8,K$5+SQRT(NORMSDIST(K$9*SQRT($C$11)*NORMSINV($B238)+SQRT(1-K$9^2*$C$11)*NORMSINV(J238))*(K$7-K$5)*(K$6-K$5)),K$7-SQRT((1-NORMSDIST(K$9*SQRT($C$11)*NORMSINV($B238)+SQRT(1-K$9^2*$C$11)*NORMSINV(J238)))*(K$7-K$5)*(K$7-K$6))))</f>
        <v>0.27483579221702</v>
      </c>
      <c r="L238" s="2" t="n">
        <v>0.116006899</v>
      </c>
      <c r="M238" s="2" t="n">
        <f aca="false">IF(M$7=M$5,M$6,IF(NORMSDIST(M$9*SQRT($C$11)*NORMSINV($B238)+SQRT(1-M$9^2*$C$11)*NORMSINV(L238))&lt;M$8,M$5+SQRT(NORMSDIST(M$9*SQRT($C$11)*NORMSINV($B238)+SQRT(1-M$9^2*$C$11)*NORMSINV(L238))*(M$7-M$5)*(M$6-M$5)),M$7-SQRT((1-NORMSDIST(M$9*SQRT($C$11)*NORMSINV($B238)+SQRT(1-M$9^2*$C$11)*NORMSINV(L238)))*(M$7-M$5)*(M$7-M$6))))</f>
        <v>1423.68992753488</v>
      </c>
      <c r="N238" s="2" t="n">
        <v>0.135663972</v>
      </c>
      <c r="O238" s="2" t="n">
        <f aca="false">IF(O$7=O$5,O$6,IF(NORMSDIST(O$9*SQRT($C$11)*NORMSINV($B238)+SQRT(1-O$9^2*$C$11)*NORMSINV(N238))&lt;O$8,O$5+SQRT(NORMSDIST(O$9*SQRT($C$11)*NORMSINV($B238)+SQRT(1-O$9^2*$C$11)*NORMSINV(N238))*(O$7-O$5)*(O$6-O$5)),O$7-SQRT((1-NORMSDIST(O$9*SQRT($C$11)*NORMSINV($B238)+SQRT(1-O$9^2*$C$11)*NORMSINV(N238)))*(O$7-O$5)*(O$7-O$6))))</f>
        <v>0.152208139246756</v>
      </c>
      <c r="P238" s="2" t="n">
        <v>0.778715772</v>
      </c>
      <c r="Q238" s="2" t="n">
        <f aca="false">IF(Q$7=Q$5,Q$6,IF(NORMSDIST(Q$9*SQRT($C$11)*NORMSINV($B238)+SQRT(1-Q$9^2*$C$11)*NORMSINV(P238))&lt;Q$8,Q$5+SQRT(NORMSDIST(Q$9*SQRT($C$11)*NORMSINV($B238)+SQRT(1-Q$9^2*$C$11)*NORMSINV(P238))*(Q$7-Q$5)*(Q$6-Q$5)),Q$7-SQRT((1-NORMSDIST(Q$9*SQRT($C$11)*NORMSINV($B238)+SQRT(1-Q$9^2*$C$11)*NORMSINV(P238)))*(Q$7-Q$5)*(Q$7-Q$6))))</f>
        <v>0.0933896725010758</v>
      </c>
      <c r="R238" s="2" t="n">
        <v>0.24980084</v>
      </c>
      <c r="S238" s="2" t="n">
        <f aca="false">IF(S$7=S$5,S$6,IF(NORMSDIST(S$9*SQRT($C$11)*NORMSINV($B238)+SQRT(1-S$9^2*$C$11)*NORMSINV(R238))&lt;S$8,S$5+SQRT(NORMSDIST(S$9*SQRT($C$11)*NORMSINV($B238)+SQRT(1-S$9^2*$C$11)*NORMSINV(R238))*(S$7-S$5)*(S$6-S$5)),S$7-SQRT((1-NORMSDIST(S$9*SQRT($C$11)*NORMSINV($B238)+SQRT(1-S$9^2*$C$11)*NORMSINV(R238)))*(S$7-S$5)*(S$7-S$6))))</f>
        <v>0.29665867522795</v>
      </c>
      <c r="T238" s="2" t="n">
        <v>0.993688372</v>
      </c>
      <c r="U238" s="2" t="n">
        <f aca="false">IF(U$7=U$5,U$6,IF(NORMSDIST(U$9*SQRT($C$11)*NORMSINV($B238)+SQRT(1-U$9^2*$C$11)*NORMSINV(T238))&lt;U$8,U$5+SQRT(NORMSDIST(U$9*SQRT($C$11)*NORMSINV($B238)+SQRT(1-U$9^2*$C$11)*NORMSINV(T238))*(U$7-U$5)*(U$6-U$5)),U$7-SQRT((1-NORMSDIST(U$9*SQRT($C$11)*NORMSINV($B238)+SQRT(1-U$9^2*$C$11)*NORMSINV(T238)))*(U$7-U$5)*(U$7-U$6))))</f>
        <v>0.821509537079721</v>
      </c>
      <c r="V238" s="2" t="n">
        <v>0.955856798</v>
      </c>
      <c r="W238" s="2" t="n">
        <f aca="false">IF(W$7=W$5,W$6,IF(NORMSDIST(W$9*SQRT($C$11)*NORMSINV($B238)+SQRT(1-W$9^2*$C$11)*NORMSINV(V238))&lt;W$8,W$5+SQRT(NORMSDIST(W$9*SQRT($C$11)*NORMSINV($B238)+SQRT(1-W$9^2*$C$11)*NORMSINV(V238))*(W$7-W$5)*(W$6-W$5)),W$7-SQRT((1-NORMSDIST(W$9*SQRT($C$11)*NORMSINV($B238)+SQRT(1-W$9^2*$C$11)*NORMSINV(V238)))*(W$7-W$5)*(W$7-W$6))))</f>
        <v>10.7975640791136</v>
      </c>
      <c r="X238" s="2" t="n">
        <v>0.492881098</v>
      </c>
      <c r="Y238" s="2" t="n">
        <f aca="false">IF(Y$7=Y$5,Y$6,IF(NORMSDIST(Y$9*SQRT($C$11)*NORMSINV($B238)+SQRT(1-Y$9^2*$C$11)*NORMSINV(X238))&lt;Y$8,Y$5+SQRT(NORMSDIST(Y$9*SQRT($C$11)*NORMSINV($B238)+SQRT(1-Y$9^2*$C$11)*NORMSINV(X238))*(Y$7-Y$5)*(Y$6-Y$5)),Y$7-SQRT((1-NORMSDIST(Y$9*SQRT($C$11)*NORMSINV($B238)+SQRT(1-Y$9^2*$C$11)*NORMSINV(X238)))*(Y$7-Y$5)*(Y$7-Y$6))))</f>
        <v>0.496427788303596</v>
      </c>
      <c r="Z238" s="2" t="n">
        <v>0.275998631</v>
      </c>
      <c r="AA238" s="2" t="n">
        <f aca="false">IF(AA$7=AA$5,AA$6,IF(NORMSDIST(AA$9*SQRT($C$11)*NORMSINV($B238)+SQRT(1-AA$9^2*$C$11)*NORMSINV(Z238))&lt;AA$8,AA$5+SQRT(NORMSDIST(AA$9*SQRT($C$11)*NORMSINV($B238)+SQRT(1-AA$9^2*$C$11)*NORMSINV(Z238))*(AA$7-AA$5)*(AA$6-AA$5)),AA$7-SQRT((1-NORMSDIST(AA$9*SQRT($C$11)*NORMSINV($B238)+SQRT(1-AA$9^2*$C$11)*NORMSINV(Z238)))*(AA$7-AA$5)*(AA$7-AA$6))))</f>
        <v>0.715633134950058</v>
      </c>
      <c r="AB238" s="2" t="n">
        <v>0.723549542</v>
      </c>
      <c r="AC238" s="2" t="n">
        <f aca="false">IF(AC$7=AC$5,AC$6,IF(NORMSDIST(AC$9*SQRT($C$11)*NORMSINV($B238)+SQRT(1-AC$9^2*$C$11)*NORMSINV(AB238))&lt;AC$8,AC$5+SQRT(NORMSDIST(AC$9*SQRT($C$11)*NORMSINV($B238)+SQRT(1-AC$9^2*$C$11)*NORMSINV(AB238))*(AC$7-AC$5)*(AC$6-AC$5)),AC$7-SQRT((1-NORMSDIST(AC$9*SQRT($C$11)*NORMSINV($B238)+SQRT(1-AC$9^2*$C$11)*NORMSINV(AB238)))*(AC$7-AC$5)*(AC$7-AC$6))))</f>
        <v>9.52106914836891</v>
      </c>
      <c r="AD238" s="2" t="n">
        <f aca="false">Entrées!$C$8*(1+E238)</f>
        <v>7428.43616758159</v>
      </c>
      <c r="AE238" s="2" t="n">
        <f aca="false">I238*Hypothèses!$J$24/12/Hypothèses!$J$19</f>
        <v>91.4770918886039</v>
      </c>
      <c r="AF238" s="2" t="n">
        <f aca="false">Entrées!$C$36*S238*1000</f>
        <v>148.329337613975</v>
      </c>
      <c r="AG238" s="2" t="n">
        <f aca="false">-AF238/W238</f>
        <v>-13.7372963500997</v>
      </c>
      <c r="AH238" s="2" t="n">
        <f aca="false">AD238+AE238+AG238</f>
        <v>7506.1759631201</v>
      </c>
      <c r="AI238" s="2" t="n">
        <f aca="false">Entrées!$C$16-M238+Hypothèses!$J$22*1000-AF238+Hypothèses!$J$23</f>
        <v>22975.9807348512</v>
      </c>
      <c r="AJ238" s="2" t="n">
        <f aca="false">AI238/AH238</f>
        <v>3.06094352806788</v>
      </c>
      <c r="AK238" s="2" t="n">
        <f aca="false">AI238/(AH238+I238*(12-Hypothèses!$J$24)/12/Hypothèses!$J$19)</f>
        <v>3.03452815526953</v>
      </c>
      <c r="AL238" s="2" t="n">
        <f aca="false">(AD238+AG238+I238/Hypothèses!$J$19)*(1+G238)</f>
        <v>8024.30522677951</v>
      </c>
      <c r="AM238" s="2" t="n">
        <f aca="false">Entrées!$C$54*K238/Hypothèses!$J$19</f>
        <v>28.0481465566677</v>
      </c>
      <c r="AN238" s="2" t="n">
        <f aca="false">Y238*1000/AC238</f>
        <v>52.139920482422</v>
      </c>
      <c r="AO238" s="2" t="n">
        <f aca="false">(Entrées!$C$36*(1-S238)+MAX(0,Entrées!$C$30-Entrées!$C$35-Entrées!$C$36)*U238)*1000</f>
        <v>1501.78401429763</v>
      </c>
      <c r="AP238" s="2" t="n">
        <f aca="false">-AO238/W238</f>
        <v>-139.085445874096</v>
      </c>
      <c r="AQ238" s="2" t="n">
        <f aca="false">AL238+AM238+AN238+AP238</f>
        <v>7965.4078479445</v>
      </c>
      <c r="AR238" s="2" t="n">
        <f aca="false">O238*AQ238-Hypothèses!$J$25/Hypothèses!$J$19</f>
        <v>1193.26474461552</v>
      </c>
      <c r="AS238" s="2" t="n">
        <f aca="false">Entrées!$C$79*(1+Q238)+Hypothèses!$J$20</f>
        <v>1496.63525007868</v>
      </c>
      <c r="AT238" s="2" t="n">
        <f aca="false">AI238-AR238+AS238+Y238*1000-AO238+Hypothèses!$J$23</f>
        <v>22273.9950143203</v>
      </c>
      <c r="AU238" s="2" t="n">
        <f aca="false">AT238/AQ238</f>
        <v>2.79634080759194</v>
      </c>
      <c r="AV238" s="2" t="n">
        <f aca="false">Hypothèses!$J$26*AQ238-AT238</f>
        <v>1622.22852951322</v>
      </c>
      <c r="AW238" s="2" t="n">
        <f aca="false">IF(AC238&gt;Hypothèses!$J$26,MAX(0,AV238)/(1-Hypothèses!$J$26/AC238),0)</f>
        <v>2368.53032110777</v>
      </c>
      <c r="AX238" s="2" t="n">
        <f aca="false">AQ238-Entrées!$C$17*1000</f>
        <v>-34.5921520555012</v>
      </c>
      <c r="AY238" s="2" t="n">
        <f aca="false">AI238+(Entrées!$C$244-Entrées!$C$13)</f>
        <v>28722.9807348512</v>
      </c>
      <c r="AZ238" s="2" t="n">
        <f aca="false">AA238*AH238</f>
        <v>5371.6682359744</v>
      </c>
      <c r="BA238" s="2" t="n">
        <f aca="false">AZ238/AY238</f>
        <v>0.18701639239888</v>
      </c>
      <c r="BB238" s="2" t="n">
        <f aca="false">AZ238/(Entrées!$C$151/100)-AY238</f>
        <v>1119.62057611775</v>
      </c>
      <c r="BC238" s="2" t="n">
        <f aca="false">AT238+(Entrées!$C$244-Entrées!$C$13)</f>
        <v>28020.9950143203</v>
      </c>
      <c r="BD238" s="2" t="n">
        <f aca="false">AA238*AQ238</f>
        <v>5700.30978938031</v>
      </c>
      <c r="BE238" s="2" t="n">
        <f aca="false">BD238/BC238</f>
        <v>0.203429956233429</v>
      </c>
      <c r="BF238" s="2" t="n">
        <f aca="false">BD238/(Entrées!$C$151/100)-BC238</f>
        <v>3647.39270445925</v>
      </c>
      <c r="BG238" s="2" t="n">
        <f aca="false">MIN(AV238,BF238)</f>
        <v>1622.22852951322</v>
      </c>
      <c r="BH238" s="2" t="n">
        <f aca="false">IF(AC238&gt;Hypothèses!$J$26,MAX(0,BG238)/(1-Hypothèses!$J$26/AC238),0)</f>
        <v>2368.53032110777</v>
      </c>
    </row>
    <row r="239" customFormat="false" ht="15" hidden="false" customHeight="false" outlineLevel="0" collapsed="false">
      <c r="A239" s="2" t="n">
        <v>224</v>
      </c>
      <c r="B239" s="2" t="n">
        <v>0.343277401</v>
      </c>
      <c r="C239" s="2"/>
      <c r="D239" s="2" t="n">
        <v>0.720593574</v>
      </c>
      <c r="E239" s="2" t="n">
        <f aca="false">IF(E$7=E$5,E$6,IF(NORMSDIST(E$9*SQRT($C$11)*NORMSINV($B239)+SQRT(1-E$9^2*$C$11)*NORMSINV(D239))&lt;E$8,E$5+SQRT(NORMSDIST(E$9*SQRT($C$11)*NORMSINV($B239)+SQRT(1-E$9^2*$C$11)*NORMSINV(D239))*(E$7-E$5)*(E$6-E$5)),E$7-SQRT((1-NORMSDIST(E$9*SQRT($C$11)*NORMSINV($B239)+SQRT(1-E$9^2*$C$11)*NORMSINV(D239)))*(E$7-E$5)*(E$7-E$6))))</f>
        <v>0.0554083073158724</v>
      </c>
      <c r="F239" s="2" t="n">
        <v>0.506155444</v>
      </c>
      <c r="G239" s="2" t="n">
        <f aca="false">IF(G$7=G$5,G$6,IF(NORMSDIST(G$9*SQRT($C$11)*NORMSINV($B239)+SQRT(1-G$9^2*$C$11)*NORMSINV(F239))&lt;G$8,G$5+SQRT(NORMSDIST(G$9*SQRT($C$11)*NORMSINV($B239)+SQRT(1-G$9^2*$C$11)*NORMSINV(F239))*(G$7-G$5)*(G$6-G$5)),G$7-SQRT((1-NORMSDIST(G$9*SQRT($C$11)*NORMSINV($B239)+SQRT(1-G$9^2*$C$11)*NORMSINV(F239)))*(G$7-G$5)*(G$7-G$6))))</f>
        <v>0.0534816499666366</v>
      </c>
      <c r="H239" s="2" t="n">
        <v>0.696391898</v>
      </c>
      <c r="I239" s="2" t="n">
        <f aca="false">IF(I$7=I$5,I$6,IF(NORMSDIST(I$9*SQRT($C$11)*NORMSINV($B239)+SQRT(1-I$9^2*$C$11)*NORMSINV(H239))&lt;I$8,I$5+SQRT(NORMSDIST(I$9*SQRT($C$11)*NORMSINV($B239)+SQRT(1-I$9^2*$C$11)*NORMSINV(H239))*(I$7-I$5)*(I$6-I$5)),I$7-SQRT((1-NORMSDIST(I$9*SQRT($C$11)*NORMSINV($B239)+SQRT(1-I$9^2*$C$11)*NORMSINV(H239)))*(I$7-I$5)*(I$7-I$6))))</f>
        <v>201.171104893545</v>
      </c>
      <c r="J239" s="2" t="n">
        <v>0.355540481</v>
      </c>
      <c r="K239" s="2" t="n">
        <f aca="false">IF(K$7=K$5,K$6,IF(NORMSDIST(K$9*SQRT($C$11)*NORMSINV($B239)+SQRT(1-K$9^2*$C$11)*NORMSINV(J239))&lt;K$8,K$5+SQRT(NORMSDIST(K$9*SQRT($C$11)*NORMSINV($B239)+SQRT(1-K$9^2*$C$11)*NORMSINV(J239))*(K$7-K$5)*(K$6-K$5)),K$7-SQRT((1-NORMSDIST(K$9*SQRT($C$11)*NORMSINV($B239)+SQRT(1-K$9^2*$C$11)*NORMSINV(J239)))*(K$7-K$5)*(K$7-K$6))))</f>
        <v>0.19165846940767</v>
      </c>
      <c r="L239" s="2" t="n">
        <v>0.701138251</v>
      </c>
      <c r="M239" s="2" t="n">
        <f aca="false">IF(M$7=M$5,M$6,IF(NORMSDIST(M$9*SQRT($C$11)*NORMSINV($B239)+SQRT(1-M$9^2*$C$11)*NORMSINV(L239))&lt;M$8,M$5+SQRT(NORMSDIST(M$9*SQRT($C$11)*NORMSINV($B239)+SQRT(1-M$9^2*$C$11)*NORMSINV(L239))*(M$7-M$5)*(M$6-M$5)),M$7-SQRT((1-NORMSDIST(M$9*SQRT($C$11)*NORMSINV($B239)+SQRT(1-M$9^2*$C$11)*NORMSINV(L239)))*(M$7-M$5)*(M$7-M$6))))</f>
        <v>1602.06858967117</v>
      </c>
      <c r="N239" s="2" t="n">
        <v>0.882714531</v>
      </c>
      <c r="O239" s="2" t="n">
        <f aca="false">IF(O$7=O$5,O$6,IF(NORMSDIST(O$9*SQRT($C$11)*NORMSINV($B239)+SQRT(1-O$9^2*$C$11)*NORMSINV(N239))&lt;O$8,O$5+SQRT(NORMSDIST(O$9*SQRT($C$11)*NORMSINV($B239)+SQRT(1-O$9^2*$C$11)*NORMSINV(N239))*(O$7-O$5)*(O$6-O$5)),O$7-SQRT((1-NORMSDIST(O$9*SQRT($C$11)*NORMSINV($B239)+SQRT(1-O$9^2*$C$11)*NORMSINV(N239)))*(O$7-O$5)*(O$7-O$6))))</f>
        <v>0.173588387254195</v>
      </c>
      <c r="P239" s="2" t="n">
        <v>0.354471576</v>
      </c>
      <c r="Q239" s="2" t="n">
        <f aca="false">IF(Q$7=Q$5,Q$6,IF(NORMSDIST(Q$9*SQRT($C$11)*NORMSINV($B239)+SQRT(1-Q$9^2*$C$11)*NORMSINV(P239))&lt;Q$8,Q$5+SQRT(NORMSDIST(Q$9*SQRT($C$11)*NORMSINV($B239)+SQRT(1-Q$9^2*$C$11)*NORMSINV(P239))*(Q$7-Q$5)*(Q$6-Q$5)),Q$7-SQRT((1-NORMSDIST(Q$9*SQRT($C$11)*NORMSINV($B239)+SQRT(1-Q$9^2*$C$11)*NORMSINV(P239)))*(Q$7-Q$5)*(Q$7-Q$6))))</f>
        <v>0.0736795047944592</v>
      </c>
      <c r="R239" s="2" t="n">
        <v>0.533807105</v>
      </c>
      <c r="S239" s="2" t="n">
        <f aca="false">IF(S$7=S$5,S$6,IF(NORMSDIST(S$9*SQRT($C$11)*NORMSINV($B239)+SQRT(1-S$9^2*$C$11)*NORMSINV(R239))&lt;S$8,S$5+SQRT(NORMSDIST(S$9*SQRT($C$11)*NORMSINV($B239)+SQRT(1-S$9^2*$C$11)*NORMSINV(R239))*(S$7-S$5)*(S$6-S$5)),S$7-SQRT((1-NORMSDIST(S$9*SQRT($C$11)*NORMSINV($B239)+SQRT(1-S$9^2*$C$11)*NORMSINV(R239)))*(S$7-S$5)*(S$7-S$6))))</f>
        <v>0.460896479354119</v>
      </c>
      <c r="T239" s="2" t="n">
        <v>0.172308081</v>
      </c>
      <c r="U239" s="2" t="n">
        <f aca="false">IF(U$7=U$5,U$6,IF(NORMSDIST(U$9*SQRT($C$11)*NORMSINV($B239)+SQRT(1-U$9^2*$C$11)*NORMSINV(T239))&lt;U$8,U$5+SQRT(NORMSDIST(U$9*SQRT($C$11)*NORMSINV($B239)+SQRT(1-U$9^2*$C$11)*NORMSINV(T239))*(U$7-U$5)*(U$6-U$5)),U$7-SQRT((1-NORMSDIST(U$9*SQRT($C$11)*NORMSINV($B239)+SQRT(1-U$9^2*$C$11)*NORMSINV(T239)))*(U$7-U$5)*(U$7-U$6))))</f>
        <v>0.284388423835809</v>
      </c>
      <c r="V239" s="2" t="n">
        <v>0.877291749</v>
      </c>
      <c r="W239" s="2" t="n">
        <f aca="false">IF(W$7=W$5,W$6,IF(NORMSDIST(W$9*SQRT($C$11)*NORMSINV($B239)+SQRT(1-W$9^2*$C$11)*NORMSINV(V239))&lt;W$8,W$5+SQRT(NORMSDIST(W$9*SQRT($C$11)*NORMSINV($B239)+SQRT(1-W$9^2*$C$11)*NORMSINV(V239))*(W$7-W$5)*(W$6-W$5)),W$7-SQRT((1-NORMSDIST(W$9*SQRT($C$11)*NORMSINV($B239)+SQRT(1-W$9^2*$C$11)*NORMSINV(V239)))*(W$7-W$5)*(W$7-W$6))))</f>
        <v>10.558834684383</v>
      </c>
      <c r="X239" s="2" t="n">
        <v>0.52824824</v>
      </c>
      <c r="Y239" s="2" t="n">
        <f aca="false">IF(Y$7=Y$5,Y$6,IF(NORMSDIST(Y$9*SQRT($C$11)*NORMSINV($B239)+SQRT(1-Y$9^2*$C$11)*NORMSINV(X239))&lt;Y$8,Y$5+SQRT(NORMSDIST(Y$9*SQRT($C$11)*NORMSINV($B239)+SQRT(1-Y$9^2*$C$11)*NORMSINV(X239))*(Y$7-Y$5)*(Y$6-Y$5)),Y$7-SQRT((1-NORMSDIST(Y$9*SQRT($C$11)*NORMSINV($B239)+SQRT(1-Y$9^2*$C$11)*NORMSINV(X239)))*(Y$7-Y$5)*(Y$7-Y$6))))</f>
        <v>0.514329453229867</v>
      </c>
      <c r="Z239" s="2" t="n">
        <v>0.995705169</v>
      </c>
      <c r="AA239" s="2" t="n">
        <f aca="false">IF(AA$7=AA$5,AA$6,IF(NORMSDIST(AA$9*SQRT($C$11)*NORMSINV($B239)+SQRT(1-AA$9^2*$C$11)*NORMSINV(Z239))&lt;AA$8,AA$5+SQRT(NORMSDIST(AA$9*SQRT($C$11)*NORMSINV($B239)+SQRT(1-AA$9^2*$C$11)*NORMSINV(Z239))*(AA$7-AA$5)*(AA$6-AA$5)),AA$7-SQRT((1-NORMSDIST(AA$9*SQRT($C$11)*NORMSINV($B239)+SQRT(1-AA$9^2*$C$11)*NORMSINV(Z239)))*(AA$7-AA$5)*(AA$7-AA$6))))</f>
        <v>0.746928278869325</v>
      </c>
      <c r="AB239" s="2" t="n">
        <v>0.145029014</v>
      </c>
      <c r="AC239" s="2" t="n">
        <f aca="false">IF(AC$7=AC$5,AC$6,IF(NORMSDIST(AC$9*SQRT($C$11)*NORMSINV($B239)+SQRT(1-AC$9^2*$C$11)*NORMSINV(AB239))&lt;AC$8,AC$5+SQRT(NORMSDIST(AC$9*SQRT($C$11)*NORMSINV($B239)+SQRT(1-AC$9^2*$C$11)*NORMSINV(AB239))*(AC$7-AC$5)*(AC$6-AC$5)),AC$7-SQRT((1-NORMSDIST(AC$9*SQRT($C$11)*NORMSINV($B239)+SQRT(1-AC$9^2*$C$11)*NORMSINV(AB239)))*(AC$7-AC$5)*(AC$7-AC$6))))</f>
        <v>8.50470271580959</v>
      </c>
      <c r="AD239" s="2" t="n">
        <f aca="false">Entrées!$C$8*(1+E239)</f>
        <v>7440.6285665769</v>
      </c>
      <c r="AE239" s="2" t="n">
        <f aca="false">I239*Hypothèses!$J$24/12/Hypothèses!$J$19</f>
        <v>99.8003412645182</v>
      </c>
      <c r="AF239" s="2" t="n">
        <f aca="false">Entrées!$C$36*S239*1000</f>
        <v>230.44823967706</v>
      </c>
      <c r="AG239" s="2" t="n">
        <f aca="false">-AF239/W239</f>
        <v>-21.8251584161937</v>
      </c>
      <c r="AH239" s="2" t="n">
        <f aca="false">AD239+AE239+AG239</f>
        <v>7518.60374942523</v>
      </c>
      <c r="AI239" s="2" t="n">
        <f aca="false">Entrées!$C$16-M239+Hypothèses!$J$22*1000-AF239+Hypothèses!$J$23</f>
        <v>22715.4831706518</v>
      </c>
      <c r="AJ239" s="2" t="n">
        <f aca="false">AI239/AH239</f>
        <v>3.02123691149282</v>
      </c>
      <c r="AK239" s="2" t="n">
        <f aca="false">AI239/(AH239+I239*(12-Hypothèses!$J$24)/12/Hypothèses!$J$19)</f>
        <v>2.99286077217844</v>
      </c>
      <c r="AL239" s="2" t="n">
        <f aca="false">(AD239+AG239+I239/Hypothèses!$J$19)*(1+G239)</f>
        <v>7995.80953209167</v>
      </c>
      <c r="AM239" s="2" t="n">
        <f aca="false">Entrées!$C$54*K239/Hypothèses!$J$19</f>
        <v>19.5595515249634</v>
      </c>
      <c r="AN239" s="2" t="n">
        <f aca="false">Y239*1000/AC239</f>
        <v>60.4758885073982</v>
      </c>
      <c r="AO239" s="2" t="n">
        <f aca="false">(Entrées!$C$36*(1-S239)+MAX(0,Entrées!$C$30-Entrées!$C$35-Entrées!$C$36)*U239)*1000</f>
        <v>667.695553693074</v>
      </c>
      <c r="AP239" s="2" t="n">
        <f aca="false">-AO239/W239</f>
        <v>-63.2357237944662</v>
      </c>
      <c r="AQ239" s="2" t="n">
        <f aca="false">AL239+AM239+AN239+AP239</f>
        <v>8012.60924832956</v>
      </c>
      <c r="AR239" s="2" t="n">
        <f aca="false">O239*AQ239-Hypothèses!$J$25/Hypothèses!$J$19</f>
        <v>1371.76075485395</v>
      </c>
      <c r="AS239" s="2" t="n">
        <f aca="false">Entrées!$C$79*(1+Q239)+Hypothèses!$J$20</f>
        <v>1474.97377576911</v>
      </c>
      <c r="AT239" s="2" t="n">
        <f aca="false">AI239-AR239+AS239+Y239*1000-AO239+Hypothèses!$J$23</f>
        <v>22665.3300911037</v>
      </c>
      <c r="AU239" s="2" t="n">
        <f aca="false">AT239/AQ239</f>
        <v>2.8287077765372</v>
      </c>
      <c r="AV239" s="2" t="n">
        <f aca="false">Hypothèses!$J$26*AQ239-AT239</f>
        <v>1372.49765388496</v>
      </c>
      <c r="AW239" s="2" t="n">
        <f aca="false">IF(AC239&gt;Hypothèses!$J$26,MAX(0,AV239)/(1-Hypothèses!$J$26/AC239),0)</f>
        <v>2120.49317230403</v>
      </c>
      <c r="AX239" s="2" t="n">
        <f aca="false">AQ239-Entrées!$C$17*1000</f>
        <v>12.6092483295643</v>
      </c>
      <c r="AY239" s="2" t="n">
        <f aca="false">AI239+(Entrées!$C$244-Entrées!$C$13)</f>
        <v>28462.4831706518</v>
      </c>
      <c r="AZ239" s="2" t="n">
        <f aca="false">AA239*AH239</f>
        <v>5615.85775805864</v>
      </c>
      <c r="BA239" s="2" t="n">
        <f aca="false">AZ239/AY239</f>
        <v>0.197307372107619</v>
      </c>
      <c r="BB239" s="2" t="n">
        <f aca="false">AZ239/(Entrées!$C$151/100)-AY239</f>
        <v>2736.72659634067</v>
      </c>
      <c r="BC239" s="2" t="n">
        <f aca="false">AT239+(Entrées!$C$244-Entrées!$C$13)</f>
        <v>28412.3300911037</v>
      </c>
      <c r="BD239" s="2" t="n">
        <f aca="false">AA239*AQ239</f>
        <v>5984.84443510724</v>
      </c>
      <c r="BE239" s="2" t="n">
        <f aca="false">BD239/BC239</f>
        <v>0.210642506824218</v>
      </c>
      <c r="BF239" s="2" t="n">
        <f aca="false">BD239/(Entrées!$C$151/100)-BC239</f>
        <v>4836.80565949205</v>
      </c>
      <c r="BG239" s="2" t="n">
        <f aca="false">MIN(AV239,BF239)</f>
        <v>1372.49765388496</v>
      </c>
      <c r="BH239" s="2" t="n">
        <f aca="false">IF(AC239&gt;Hypothèses!$J$26,MAX(0,BG239)/(1-Hypothèses!$J$26/AC239),0)</f>
        <v>2120.49317230403</v>
      </c>
    </row>
    <row r="240" customFormat="false" ht="15" hidden="false" customHeight="false" outlineLevel="0" collapsed="false">
      <c r="A240" s="2" t="n">
        <v>225</v>
      </c>
      <c r="B240" s="2" t="n">
        <v>0.912778671</v>
      </c>
      <c r="C240" s="2"/>
      <c r="D240" s="2" t="n">
        <v>0.269184847</v>
      </c>
      <c r="E240" s="2" t="n">
        <f aca="false">IF(E$7=E$5,E$6,IF(NORMSDIST(E$9*SQRT($C$11)*NORMSINV($B240)+SQRT(1-E$9^2*$C$11)*NORMSINV(D240))&lt;E$8,E$5+SQRT(NORMSDIST(E$9*SQRT($C$11)*NORMSINV($B240)+SQRT(1-E$9^2*$C$11)*NORMSINV(D240))*(E$7-E$5)*(E$6-E$5)),E$7-SQRT((1-NORMSDIST(E$9*SQRT($C$11)*NORMSINV($B240)+SQRT(1-E$9^2*$C$11)*NORMSINV(D240)))*(E$7-E$5)*(E$7-E$6))))</f>
        <v>0.0558100652060073</v>
      </c>
      <c r="F240" s="2" t="n">
        <v>0.6394334</v>
      </c>
      <c r="G240" s="2" t="n">
        <f aca="false">IF(G$7=G$5,G$6,IF(NORMSDIST(G$9*SQRT($C$11)*NORMSINV($B240)+SQRT(1-G$9^2*$C$11)*NORMSINV(F240))&lt;G$8,G$5+SQRT(NORMSDIST(G$9*SQRT($C$11)*NORMSINV($B240)+SQRT(1-G$9^2*$C$11)*NORMSINV(F240))*(G$7-G$5)*(G$6-G$5)),G$7-SQRT((1-NORMSDIST(G$9*SQRT($C$11)*NORMSINV($B240)+SQRT(1-G$9^2*$C$11)*NORMSINV(F240)))*(G$7-G$5)*(G$7-G$6))))</f>
        <v>0.062407483773447</v>
      </c>
      <c r="H240" s="2" t="n">
        <v>0.758998369</v>
      </c>
      <c r="I240" s="2" t="n">
        <f aca="false">IF(I$7=I$5,I$6,IF(NORMSDIST(I$9*SQRT($C$11)*NORMSINV($B240)+SQRT(1-I$9^2*$C$11)*NORMSINV(H240))&lt;I$8,I$5+SQRT(NORMSDIST(I$9*SQRT($C$11)*NORMSINV($B240)+SQRT(1-I$9^2*$C$11)*NORMSINV(H240))*(I$7-I$5)*(I$6-I$5)),I$7-SQRT((1-NORMSDIST(I$9*SQRT($C$11)*NORMSINV($B240)+SQRT(1-I$9^2*$C$11)*NORMSINV(H240)))*(I$7-I$5)*(I$7-I$6))))</f>
        <v>211.988486484867</v>
      </c>
      <c r="J240" s="2" t="n">
        <v>0.593222286</v>
      </c>
      <c r="K240" s="2" t="n">
        <f aca="false">IF(K$7=K$5,K$6,IF(NORMSDIST(K$9*SQRT($C$11)*NORMSINV($B240)+SQRT(1-K$9^2*$C$11)*NORMSINV(J240))&lt;K$8,K$5+SQRT(NORMSDIST(K$9*SQRT($C$11)*NORMSINV($B240)+SQRT(1-K$9^2*$C$11)*NORMSINV(J240))*(K$7-K$5)*(K$6-K$5)),K$7-SQRT((1-NORMSDIST(K$9*SQRT($C$11)*NORMSINV($B240)+SQRT(1-K$9^2*$C$11)*NORMSINV(J240)))*(K$7-K$5)*(K$7-K$6))))</f>
        <v>0.363618704154976</v>
      </c>
      <c r="L240" s="2" t="n">
        <v>0.881809184</v>
      </c>
      <c r="M240" s="2" t="n">
        <f aca="false">IF(M$7=M$5,M$6,IF(NORMSDIST(M$9*SQRT($C$11)*NORMSINV($B240)+SQRT(1-M$9^2*$C$11)*NORMSINV(L240))&lt;M$8,M$5+SQRT(NORMSDIST(M$9*SQRT($C$11)*NORMSINV($B240)+SQRT(1-M$9^2*$C$11)*NORMSINV(L240))*(M$7-M$5)*(M$6-M$5)),M$7-SQRT((1-NORMSDIST(M$9*SQRT($C$11)*NORMSINV($B240)+SQRT(1-M$9^2*$C$11)*NORMSINV(L240)))*(M$7-M$5)*(M$7-M$6))))</f>
        <v>1737.00136244003</v>
      </c>
      <c r="N240" s="2" t="n">
        <v>0.935216301</v>
      </c>
      <c r="O240" s="2" t="n">
        <f aca="false">IF(O$7=O$5,O$6,IF(NORMSDIST(O$9*SQRT($C$11)*NORMSINV($B240)+SQRT(1-O$9^2*$C$11)*NORMSINV(N240))&lt;O$8,O$5+SQRT(NORMSDIST(O$9*SQRT($C$11)*NORMSINV($B240)+SQRT(1-O$9^2*$C$11)*NORMSINV(N240))*(O$7-O$5)*(O$6-O$5)),O$7-SQRT((1-NORMSDIST(O$9*SQRT($C$11)*NORMSINV($B240)+SQRT(1-O$9^2*$C$11)*NORMSINV(N240)))*(O$7-O$5)*(O$7-O$6))))</f>
        <v>0.185267804473531</v>
      </c>
      <c r="P240" s="2" t="n">
        <v>0.869707463</v>
      </c>
      <c r="Q240" s="2" t="n">
        <f aca="false">IF(Q$7=Q$5,Q$6,IF(NORMSDIST(Q$9*SQRT($C$11)*NORMSINV($B240)+SQRT(1-Q$9^2*$C$11)*NORMSINV(P240))&lt;Q$8,Q$5+SQRT(NORMSDIST(Q$9*SQRT($C$11)*NORMSINV($B240)+SQRT(1-Q$9^2*$C$11)*NORMSINV(P240))*(Q$7-Q$5)*(Q$6-Q$5)),Q$7-SQRT((1-NORMSDIST(Q$9*SQRT($C$11)*NORMSINV($B240)+SQRT(1-Q$9^2*$C$11)*NORMSINV(P240)))*(Q$7-Q$5)*(Q$7-Q$6))))</f>
        <v>0.0995809863509522</v>
      </c>
      <c r="R240" s="2" t="n">
        <v>0.8153475</v>
      </c>
      <c r="S240" s="2" t="n">
        <f aca="false">IF(S$7=S$5,S$6,IF(NORMSDIST(S$9*SQRT($C$11)*NORMSINV($B240)+SQRT(1-S$9^2*$C$11)*NORMSINV(R240))&lt;S$8,S$5+SQRT(NORMSDIST(S$9*SQRT($C$11)*NORMSINV($B240)+SQRT(1-S$9^2*$C$11)*NORMSINV(R240))*(S$7-S$5)*(S$6-S$5)),S$7-SQRT((1-NORMSDIST(S$9*SQRT($C$11)*NORMSINV($B240)+SQRT(1-S$9^2*$C$11)*NORMSINV(R240)))*(S$7-S$5)*(S$7-S$6))))</f>
        <v>0.826718775443532</v>
      </c>
      <c r="T240" s="2" t="n">
        <v>0.379362784</v>
      </c>
      <c r="U240" s="2" t="n">
        <f aca="false">IF(U$7=U$5,U$6,IF(NORMSDIST(U$9*SQRT($C$11)*NORMSINV($B240)+SQRT(1-U$9^2*$C$11)*NORMSINV(T240))&lt;U$8,U$5+SQRT(NORMSDIST(U$9*SQRT($C$11)*NORMSINV($B240)+SQRT(1-U$9^2*$C$11)*NORMSINV(T240))*(U$7-U$5)*(U$6-U$5)),U$7-SQRT((1-NORMSDIST(U$9*SQRT($C$11)*NORMSINV($B240)+SQRT(1-U$9^2*$C$11)*NORMSINV(T240)))*(U$7-U$5)*(U$7-U$6))))</f>
        <v>0.634417378944542</v>
      </c>
      <c r="V240" s="2" t="n">
        <v>0.629636531</v>
      </c>
      <c r="W240" s="2" t="n">
        <f aca="false">IF(W$7=W$5,W$6,IF(NORMSDIST(W$9*SQRT($C$11)*NORMSINV($B240)+SQRT(1-W$9^2*$C$11)*NORMSINV(V240))&lt;W$8,W$5+SQRT(NORMSDIST(W$9*SQRT($C$11)*NORMSINV($B240)+SQRT(1-W$9^2*$C$11)*NORMSINV(V240))*(W$7-W$5)*(W$6-W$5)),W$7-SQRT((1-NORMSDIST(W$9*SQRT($C$11)*NORMSINV($B240)+SQRT(1-W$9^2*$C$11)*NORMSINV(V240)))*(W$7-W$5)*(W$7-W$6))))</f>
        <v>10.9709136647103</v>
      </c>
      <c r="X240" s="2" t="n">
        <v>0.02232077</v>
      </c>
      <c r="Y240" s="2" t="n">
        <f aca="false">IF(Y$7=Y$5,Y$6,IF(NORMSDIST(Y$9*SQRT($C$11)*NORMSINV($B240)+SQRT(1-Y$9^2*$C$11)*NORMSINV(X240))&lt;Y$8,Y$5+SQRT(NORMSDIST(Y$9*SQRT($C$11)*NORMSINV($B240)+SQRT(1-Y$9^2*$C$11)*NORMSINV(X240))*(Y$7-Y$5)*(Y$6-Y$5)),Y$7-SQRT((1-NORMSDIST(Y$9*SQRT($C$11)*NORMSINV($B240)+SQRT(1-Y$9^2*$C$11)*NORMSINV(X240)))*(Y$7-Y$5)*(Y$7-Y$6))))</f>
        <v>0.105642723365123</v>
      </c>
      <c r="Z240" s="2" t="n">
        <v>0.686153863</v>
      </c>
      <c r="AA240" s="2" t="n">
        <f aca="false">IF(AA$7=AA$5,AA$6,IF(NORMSDIST(AA$9*SQRT($C$11)*NORMSINV($B240)+SQRT(1-AA$9^2*$C$11)*NORMSINV(Z240))&lt;AA$8,AA$5+SQRT(NORMSDIST(AA$9*SQRT($C$11)*NORMSINV($B240)+SQRT(1-AA$9^2*$C$11)*NORMSINV(Z240))*(AA$7-AA$5)*(AA$6-AA$5)),AA$7-SQRT((1-NORMSDIST(AA$9*SQRT($C$11)*NORMSINV($B240)+SQRT(1-AA$9^2*$C$11)*NORMSINV(Z240)))*(AA$7-AA$5)*(AA$7-AA$6))))</f>
        <v>0.742061835227465</v>
      </c>
      <c r="AB240" s="2" t="n">
        <v>0.185528755</v>
      </c>
      <c r="AC240" s="2" t="n">
        <f aca="false">IF(AC$7=AC$5,AC$6,IF(NORMSDIST(AC$9*SQRT($C$11)*NORMSINV($B240)+SQRT(1-AC$9^2*$C$11)*NORMSINV(AB240))&lt;AC$8,AC$5+SQRT(NORMSDIST(AC$9*SQRT($C$11)*NORMSINV($B240)+SQRT(1-AC$9^2*$C$11)*NORMSINV(AB240))*(AC$7-AC$5)*(AC$6-AC$5)),AC$7-SQRT((1-NORMSDIST(AC$9*SQRT($C$11)*NORMSINV($B240)+SQRT(1-AC$9^2*$C$11)*NORMSINV(AB240)))*(AC$7-AC$5)*(AC$7-AC$6))))</f>
        <v>9.61126942237636</v>
      </c>
      <c r="AD240" s="2" t="n">
        <f aca="false">Entrées!$C$8*(1+E240)</f>
        <v>7443.46095970235</v>
      </c>
      <c r="AE240" s="2" t="n">
        <f aca="false">I240*Hypothèses!$J$24/12/Hypothèses!$J$19</f>
        <v>105.166809649596</v>
      </c>
      <c r="AF240" s="2" t="n">
        <f aca="false">Entrées!$C$36*S240*1000</f>
        <v>413.359387721766</v>
      </c>
      <c r="AG240" s="2" t="n">
        <f aca="false">-AF240/W240</f>
        <v>-37.6777541374156</v>
      </c>
      <c r="AH240" s="2" t="n">
        <f aca="false">AD240+AE240+AG240</f>
        <v>7510.95001521453</v>
      </c>
      <c r="AI240" s="2" t="n">
        <f aca="false">Entrées!$C$16-M240+Hypothèses!$J$22*1000-AF240+Hypothèses!$J$23</f>
        <v>22397.6392498382</v>
      </c>
      <c r="AJ240" s="2" t="n">
        <f aca="false">AI240/AH240</f>
        <v>2.98199817659131</v>
      </c>
      <c r="AK240" s="2" t="n">
        <f aca="false">AI240/(AH240+I240*(12-Hypothèses!$J$24)/12/Hypothèses!$J$19)</f>
        <v>2.95246968657763</v>
      </c>
      <c r="AL240" s="2" t="n">
        <f aca="false">(AD240+AG240+I240/Hypothèses!$J$19)*(1+G240)</f>
        <v>8059.496653281</v>
      </c>
      <c r="AM240" s="2" t="n">
        <f aca="false">Entrées!$C$54*K240/Hypothèses!$J$19</f>
        <v>37.108815495294</v>
      </c>
      <c r="AN240" s="2" t="n">
        <f aca="false">Y240*1000/AC240</f>
        <v>10.991547393227</v>
      </c>
      <c r="AO240" s="2" t="n">
        <f aca="false">(Entrées!$C$36*(1-S240)+MAX(0,Entrées!$C$30-Entrées!$C$35-Entrées!$C$36)*U240)*1000</f>
        <v>974.824942800593</v>
      </c>
      <c r="AP240" s="2" t="n">
        <f aca="false">-AO240/W240</f>
        <v>-88.8554018920299</v>
      </c>
      <c r="AQ240" s="2" t="n">
        <f aca="false">AL240+AM240+AN240+AP240</f>
        <v>8018.74161427749</v>
      </c>
      <c r="AR240" s="2" t="n">
        <f aca="false">O240*AQ240-Hypothèses!$J$25/Hypothèses!$J$19</f>
        <v>1466.4794912561</v>
      </c>
      <c r="AS240" s="2" t="n">
        <f aca="false">Entrées!$C$79*(1+Q240)+Hypothèses!$J$20</f>
        <v>1503.4395039997</v>
      </c>
      <c r="AT240" s="2" t="n">
        <f aca="false">AI240-AR240+AS240+Y240*1000-AO240+Hypothèses!$J$23</f>
        <v>21565.4170431463</v>
      </c>
      <c r="AU240" s="2" t="n">
        <f aca="false">AT240/AQ240</f>
        <v>2.68937672274522</v>
      </c>
      <c r="AV240" s="2" t="n">
        <f aca="false">Hypothèses!$J$26*AQ240-AT240</f>
        <v>2490.80779968613</v>
      </c>
      <c r="AW240" s="2" t="n">
        <f aca="false">IF(AC240&gt;Hypothèses!$J$26,MAX(0,AV240)/(1-Hypothèses!$J$26/AC240),0)</f>
        <v>3621.06326526547</v>
      </c>
      <c r="AX240" s="2" t="n">
        <f aca="false">AQ240-Entrées!$C$17*1000</f>
        <v>18.7416142774882</v>
      </c>
      <c r="AY240" s="2" t="n">
        <f aca="false">AI240+(Entrées!$C$244-Entrées!$C$13)</f>
        <v>28144.6392498382</v>
      </c>
      <c r="AZ240" s="2" t="n">
        <f aca="false">AA240*AH240</f>
        <v>5573.58935259185</v>
      </c>
      <c r="BA240" s="2" t="n">
        <f aca="false">AZ240/AY240</f>
        <v>0.198033781961653</v>
      </c>
      <c r="BB240" s="2" t="n">
        <f aca="false">AZ240/(Entrées!$C$151/100)-AY240</f>
        <v>2819.74604233874</v>
      </c>
      <c r="BC240" s="2" t="n">
        <f aca="false">AT240+(Entrées!$C$244-Entrées!$C$13)</f>
        <v>27312.4170431463</v>
      </c>
      <c r="BD240" s="2" t="n">
        <f aca="false">AA240*AQ240</f>
        <v>5950.4021185056</v>
      </c>
      <c r="BE240" s="2" t="n">
        <f aca="false">BD240/BC240</f>
        <v>0.217864354850233</v>
      </c>
      <c r="BF240" s="2" t="n">
        <f aca="false">BD240/(Entrées!$C$151/100)-BC240</f>
        <v>5745.37250410697</v>
      </c>
      <c r="BG240" s="2" t="n">
        <f aca="false">MIN(AV240,BF240)</f>
        <v>2490.80779968613</v>
      </c>
      <c r="BH240" s="2" t="n">
        <f aca="false">IF(AC240&gt;Hypothèses!$J$26,MAX(0,BG240)/(1-Hypothèses!$J$26/AC240),0)</f>
        <v>3621.06326526547</v>
      </c>
    </row>
    <row r="241" customFormat="false" ht="15" hidden="false" customHeight="false" outlineLevel="0" collapsed="false">
      <c r="A241" s="2" t="n">
        <v>226</v>
      </c>
      <c r="B241" s="2" t="n">
        <v>0.353086209</v>
      </c>
      <c r="C241" s="2"/>
      <c r="D241" s="2" t="n">
        <v>0.563547572</v>
      </c>
      <c r="E241" s="2" t="n">
        <f aca="false">IF(E$7=E$5,E$6,IF(NORMSDIST(E$9*SQRT($C$11)*NORMSINV($B241)+SQRT(1-E$9^2*$C$11)*NORMSINV(D241))&lt;E$8,E$5+SQRT(NORMSDIST(E$9*SQRT($C$11)*NORMSINV($B241)+SQRT(1-E$9^2*$C$11)*NORMSINV(D241))*(E$7-E$5)*(E$6-E$5)),E$7-SQRT((1-NORMSDIST(E$9*SQRT($C$11)*NORMSINV($B241)+SQRT(1-E$9^2*$C$11)*NORMSINV(D241)))*(E$7-E$5)*(E$7-E$6))))</f>
        <v>0.0547666075364486</v>
      </c>
      <c r="F241" s="2" t="n">
        <v>0.707590101</v>
      </c>
      <c r="G241" s="2" t="n">
        <f aca="false">IF(G$7=G$5,G$6,IF(NORMSDIST(G$9*SQRT($C$11)*NORMSINV($B241)+SQRT(1-G$9^2*$C$11)*NORMSINV(F241))&lt;G$8,G$5+SQRT(NORMSDIST(G$9*SQRT($C$11)*NORMSINV($B241)+SQRT(1-G$9^2*$C$11)*NORMSINV(F241))*(G$7-G$5)*(G$6-G$5)),G$7-SQRT((1-NORMSDIST(G$9*SQRT($C$11)*NORMSINV($B241)+SQRT(1-G$9^2*$C$11)*NORMSINV(F241)))*(G$7-G$5)*(G$7-G$6))))</f>
        <v>0.0561429783741469</v>
      </c>
      <c r="H241" s="2" t="n">
        <v>0.065735888</v>
      </c>
      <c r="I241" s="2" t="n">
        <f aca="false">IF(I$7=I$5,I$6,IF(NORMSDIST(I$9*SQRT($C$11)*NORMSINV($B241)+SQRT(1-I$9^2*$C$11)*NORMSINV(H241))&lt;I$8,I$5+SQRT(NORMSDIST(I$9*SQRT($C$11)*NORMSINV($B241)+SQRT(1-I$9^2*$C$11)*NORMSINV(H241))*(I$7-I$5)*(I$6-I$5)),I$7-SQRT((1-NORMSDIST(I$9*SQRT($C$11)*NORMSINV($B241)+SQRT(1-I$9^2*$C$11)*NORMSINV(H241)))*(I$7-I$5)*(I$7-I$6))))</f>
        <v>187.987312998754</v>
      </c>
      <c r="J241" s="2" t="n">
        <v>0.749026137</v>
      </c>
      <c r="K241" s="2" t="n">
        <f aca="false">IF(K$7=K$5,K$6,IF(NORMSDIST(K$9*SQRT($C$11)*NORMSINV($B241)+SQRT(1-K$9^2*$C$11)*NORMSINV(J241))&lt;K$8,K$5+SQRT(NORMSDIST(K$9*SQRT($C$11)*NORMSINV($B241)+SQRT(1-K$9^2*$C$11)*NORMSINV(J241))*(K$7-K$5)*(K$6-K$5)),K$7-SQRT((1-NORMSDIST(K$9*SQRT($C$11)*NORMSINV($B241)+SQRT(1-K$9^2*$C$11)*NORMSINV(J241)))*(K$7-K$5)*(K$7-K$6))))</f>
        <v>0.279459133975305</v>
      </c>
      <c r="L241" s="2" t="n">
        <v>0.130996772</v>
      </c>
      <c r="M241" s="2" t="n">
        <f aca="false">IF(M$7=M$5,M$6,IF(NORMSDIST(M$9*SQRT($C$11)*NORMSINV($B241)+SQRT(1-M$9^2*$C$11)*NORMSINV(L241))&lt;M$8,M$5+SQRT(NORMSDIST(M$9*SQRT($C$11)*NORMSINV($B241)+SQRT(1-M$9^2*$C$11)*NORMSINV(L241))*(M$7-M$5)*(M$6-M$5)),M$7-SQRT((1-NORMSDIST(M$9*SQRT($C$11)*NORMSINV($B241)+SQRT(1-M$9^2*$C$11)*NORMSINV(L241)))*(M$7-M$5)*(M$7-M$6))))</f>
        <v>1449.31128324922</v>
      </c>
      <c r="N241" s="2" t="n">
        <v>0.115926488</v>
      </c>
      <c r="O241" s="2" t="n">
        <f aca="false">IF(O$7=O$5,O$6,IF(NORMSDIST(O$9*SQRT($C$11)*NORMSINV($B241)+SQRT(1-O$9^2*$C$11)*NORMSINV(N241))&lt;O$8,O$5+SQRT(NORMSDIST(O$9*SQRT($C$11)*NORMSINV($B241)+SQRT(1-O$9^2*$C$11)*NORMSINV(N241))*(O$7-O$5)*(O$6-O$5)),O$7-SQRT((1-NORMSDIST(O$9*SQRT($C$11)*NORMSINV($B241)+SQRT(1-O$9^2*$C$11)*NORMSINV(N241)))*(O$7-O$5)*(O$7-O$6))))</f>
        <v>0.153236083867228</v>
      </c>
      <c r="P241" s="2" t="n">
        <v>0.795622758</v>
      </c>
      <c r="Q241" s="2" t="n">
        <f aca="false">IF(Q$7=Q$5,Q$6,IF(NORMSDIST(Q$9*SQRT($C$11)*NORMSINV($B241)+SQRT(1-Q$9^2*$C$11)*NORMSINV(P241))&lt;Q$8,Q$5+SQRT(NORMSDIST(Q$9*SQRT($C$11)*NORMSINV($B241)+SQRT(1-Q$9^2*$C$11)*NORMSINV(P241))*(Q$7-Q$5)*(Q$6-Q$5)),Q$7-SQRT((1-NORMSDIST(Q$9*SQRT($C$11)*NORMSINV($B241)+SQRT(1-Q$9^2*$C$11)*NORMSINV(P241)))*(Q$7-Q$5)*(Q$7-Q$6))))</f>
        <v>0.0944264360246758</v>
      </c>
      <c r="R241" s="2" t="n">
        <v>0.010283811</v>
      </c>
      <c r="S241" s="2" t="n">
        <f aca="false">IF(S$7=S$5,S$6,IF(NORMSDIST(S$9*SQRT($C$11)*NORMSINV($B241)+SQRT(1-S$9^2*$C$11)*NORMSINV(R241))&lt;S$8,S$5+SQRT(NORMSDIST(S$9*SQRT($C$11)*NORMSINV($B241)+SQRT(1-S$9^2*$C$11)*NORMSINV(R241))*(S$7-S$5)*(S$6-S$5)),S$7-SQRT((1-NORMSDIST(S$9*SQRT($C$11)*NORMSINV($B241)+SQRT(1-S$9^2*$C$11)*NORMSINV(R241)))*(S$7-S$5)*(S$7-S$6))))</f>
        <v>0.102623502810216</v>
      </c>
      <c r="T241" s="2" t="n">
        <v>0.351015927</v>
      </c>
      <c r="U241" s="2" t="n">
        <f aca="false">IF(U$7=U$5,U$6,IF(NORMSDIST(U$9*SQRT($C$11)*NORMSINV($B241)+SQRT(1-U$9^2*$C$11)*NORMSINV(T241))&lt;U$8,U$5+SQRT(NORMSDIST(U$9*SQRT($C$11)*NORMSINV($B241)+SQRT(1-U$9^2*$C$11)*NORMSINV(T241))*(U$7-U$5)*(U$6-U$5)),U$7-SQRT((1-NORMSDIST(U$9*SQRT($C$11)*NORMSINV($B241)+SQRT(1-U$9^2*$C$11)*NORMSINV(T241)))*(U$7-U$5)*(U$7-U$6))))</f>
        <v>0.384967896182079</v>
      </c>
      <c r="V241" s="2" t="n">
        <v>0.177795533</v>
      </c>
      <c r="W241" s="2" t="n">
        <f aca="false">IF(W$7=W$5,W$6,IF(NORMSDIST(W$9*SQRT($C$11)*NORMSINV($B241)+SQRT(1-W$9^2*$C$11)*NORMSINV(V241))&lt;W$8,W$5+SQRT(NORMSDIST(W$9*SQRT($C$11)*NORMSINV($B241)+SQRT(1-W$9^2*$C$11)*NORMSINV(V241))*(W$7-W$5)*(W$6-W$5)),W$7-SQRT((1-NORMSDIST(W$9*SQRT($C$11)*NORMSINV($B241)+SQRT(1-W$9^2*$C$11)*NORMSINV(V241)))*(W$7-W$5)*(W$7-W$6))))</f>
        <v>9.16632666319683</v>
      </c>
      <c r="X241" s="2" t="n">
        <v>0.892661833</v>
      </c>
      <c r="Y241" s="2" t="n">
        <f aca="false">IF(Y$7=Y$5,Y$6,IF(NORMSDIST(Y$9*SQRT($C$11)*NORMSINV($B241)+SQRT(1-Y$9^2*$C$11)*NORMSINV(X241))&lt;Y$8,Y$5+SQRT(NORMSDIST(Y$9*SQRT($C$11)*NORMSINV($B241)+SQRT(1-Y$9^2*$C$11)*NORMSINV(X241))*(Y$7-Y$5)*(Y$6-Y$5)),Y$7-SQRT((1-NORMSDIST(Y$9*SQRT($C$11)*NORMSINV($B241)+SQRT(1-Y$9^2*$C$11)*NORMSINV(X241)))*(Y$7-Y$5)*(Y$7-Y$6))))</f>
        <v>0.76833411235143</v>
      </c>
      <c r="Z241" s="2" t="n">
        <v>0.62326596</v>
      </c>
      <c r="AA241" s="2" t="n">
        <f aca="false">IF(AA$7=AA$5,AA$6,IF(NORMSDIST(AA$9*SQRT($C$11)*NORMSINV($B241)+SQRT(1-AA$9^2*$C$11)*NORMSINV(Z241))&lt;AA$8,AA$5+SQRT(NORMSDIST(AA$9*SQRT($C$11)*NORMSINV($B241)+SQRT(1-AA$9^2*$C$11)*NORMSINV(Z241))*(AA$7-AA$5)*(AA$6-AA$5)),AA$7-SQRT((1-NORMSDIST(AA$9*SQRT($C$11)*NORMSINV($B241)+SQRT(1-AA$9^2*$C$11)*NORMSINV(Z241)))*(AA$7-AA$5)*(AA$7-AA$6))))</f>
        <v>0.72811452701714</v>
      </c>
      <c r="AB241" s="2" t="n">
        <v>0.41116883</v>
      </c>
      <c r="AC241" s="2" t="n">
        <f aca="false">IF(AC$7=AC$5,AC$6,IF(NORMSDIST(AC$9*SQRT($C$11)*NORMSINV($B241)+SQRT(1-AC$9^2*$C$11)*NORMSINV(AB241))&lt;AC$8,AC$5+SQRT(NORMSDIST(AC$9*SQRT($C$11)*NORMSINV($B241)+SQRT(1-AC$9^2*$C$11)*NORMSINV(AB241))*(AC$7-AC$5)*(AC$6-AC$5)),AC$7-SQRT((1-NORMSDIST(AC$9*SQRT($C$11)*NORMSINV($B241)+SQRT(1-AC$9^2*$C$11)*NORMSINV(AB241)))*(AC$7-AC$5)*(AC$7-AC$6))))</f>
        <v>9.11403421519203</v>
      </c>
      <c r="AD241" s="2" t="n">
        <f aca="false">Entrées!$C$8*(1+E241)</f>
        <v>7436.10458313196</v>
      </c>
      <c r="AE241" s="2" t="n">
        <f aca="false">I241*Hypothèses!$J$24/12/Hypothèses!$J$19</f>
        <v>93.2599043018798</v>
      </c>
      <c r="AF241" s="2" t="n">
        <f aca="false">Entrées!$C$36*S241*1000</f>
        <v>51.311751405108</v>
      </c>
      <c r="AG241" s="2" t="n">
        <f aca="false">-AF241/W241</f>
        <v>-5.59785323941451</v>
      </c>
      <c r="AH241" s="2" t="n">
        <f aca="false">AD241+AE241+AG241</f>
        <v>7523.76663419443</v>
      </c>
      <c r="AI241" s="2" t="n">
        <f aca="false">Entrées!$C$16-M241+Hypothèses!$J$22*1000-AF241+Hypothèses!$J$23</f>
        <v>23047.3769653457</v>
      </c>
      <c r="AJ241" s="2" t="n">
        <f aca="false">AI241/AH241</f>
        <v>3.0632764260123</v>
      </c>
      <c r="AK241" s="2" t="n">
        <f aca="false">AI241/(AH241+I241*(12-Hypothèses!$J$24)/12/Hypothèses!$J$19)</f>
        <v>3.03639269439694</v>
      </c>
      <c r="AL241" s="2" t="n">
        <f aca="false">(AD241+AG241+I241/Hypothèses!$J$19)*(1+G241)</f>
        <v>8016.52743955319</v>
      </c>
      <c r="AM241" s="2" t="n">
        <f aca="false">Entrées!$C$54*K241/Hypothèses!$J$19</f>
        <v>28.5199779952583</v>
      </c>
      <c r="AN241" s="2" t="n">
        <f aca="false">Y241*1000/AC241</f>
        <v>84.302307212179</v>
      </c>
      <c r="AO241" s="2" t="n">
        <f aca="false">(Entrées!$C$36*(1-S241)+MAX(0,Entrées!$C$30-Entrées!$C$35-Entrées!$C$36)*U241)*1000</f>
        <v>987.643303249803</v>
      </c>
      <c r="AP241" s="2" t="n">
        <f aca="false">-AO241/W241</f>
        <v>-107.746902280412</v>
      </c>
      <c r="AQ241" s="2" t="n">
        <f aca="false">AL241+AM241+AN241+AP241</f>
        <v>8021.60282248021</v>
      </c>
      <c r="AR241" s="2" t="n">
        <f aca="false">O241*AQ241-Hypothèses!$J$25/Hypothèses!$J$19</f>
        <v>1210.06384059354</v>
      </c>
      <c r="AS241" s="2" t="n">
        <f aca="false">Entrées!$C$79*(1+Q241)+Hypothèses!$J$20</f>
        <v>1497.77465319112</v>
      </c>
      <c r="AT241" s="2" t="n">
        <f aca="false">AI241-AR241+AS241+Y241*1000-AO241+Hypothèses!$J$23</f>
        <v>23115.7785870449</v>
      </c>
      <c r="AU241" s="2" t="n">
        <f aca="false">AT241/AQ241</f>
        <v>2.88169074168866</v>
      </c>
      <c r="AV241" s="2" t="n">
        <f aca="false">Hypothèses!$J$26*AQ241-AT241</f>
        <v>949.029880395763</v>
      </c>
      <c r="AW241" s="2" t="n">
        <f aca="false">IF(AC241&gt;Hypothèses!$J$26,MAX(0,AV241)/(1-Hypothèses!$J$26/AC241),0)</f>
        <v>1414.69453665707</v>
      </c>
      <c r="AX241" s="2" t="n">
        <f aca="false">AQ241-Entrées!$C$17*1000</f>
        <v>21.602822480213</v>
      </c>
      <c r="AY241" s="2" t="n">
        <f aca="false">AI241+(Entrées!$C$244-Entrées!$C$13)</f>
        <v>28794.3769653457</v>
      </c>
      <c r="AZ241" s="2" t="n">
        <f aca="false">AA241*AH241</f>
        <v>5478.16378424381</v>
      </c>
      <c r="BA241" s="2" t="n">
        <f aca="false">AZ241/AY241</f>
        <v>0.190251165734089</v>
      </c>
      <c r="BB241" s="2" t="n">
        <f aca="false">AZ241/(Entrées!$C$151/100)-AY241</f>
        <v>1639.86628045328</v>
      </c>
      <c r="BC241" s="2" t="n">
        <f aca="false">AT241+(Entrées!$C$244-Entrées!$C$13)</f>
        <v>28862.7785870449</v>
      </c>
      <c r="BD241" s="2" t="n">
        <f aca="false">AA241*AQ241</f>
        <v>5840.64554500953</v>
      </c>
      <c r="BE241" s="2" t="n">
        <f aca="false">BD241/BC241</f>
        <v>0.202359087757099</v>
      </c>
      <c r="BF241" s="2" t="n">
        <f aca="false">BD241/(Entrées!$C$151/100)-BC241</f>
        <v>3585.25221856364</v>
      </c>
      <c r="BG241" s="2" t="n">
        <f aca="false">MIN(AV241,BF241)</f>
        <v>949.029880395763</v>
      </c>
      <c r="BH241" s="2" t="n">
        <f aca="false">IF(AC241&gt;Hypothèses!$J$26,MAX(0,BG241)/(1-Hypothèses!$J$26/AC241),0)</f>
        <v>1414.69453665707</v>
      </c>
    </row>
    <row r="242" customFormat="false" ht="15" hidden="false" customHeight="false" outlineLevel="0" collapsed="false">
      <c r="A242" s="2" t="n">
        <v>227</v>
      </c>
      <c r="B242" s="2" t="n">
        <v>0.140471916</v>
      </c>
      <c r="C242" s="2"/>
      <c r="D242" s="2" t="n">
        <v>0.528280598</v>
      </c>
      <c r="E242" s="2" t="n">
        <f aca="false">IF(E$7=E$5,E$6,IF(NORMSDIST(E$9*SQRT($C$11)*NORMSINV($B242)+SQRT(1-E$9^2*$C$11)*NORMSINV(D242))&lt;E$8,E$5+SQRT(NORMSDIST(E$9*SQRT($C$11)*NORMSINV($B242)+SQRT(1-E$9^2*$C$11)*NORMSINV(D242))*(E$7-E$5)*(E$6-E$5)),E$7-SQRT((1-NORMSDIST(E$9*SQRT($C$11)*NORMSINV($B242)+SQRT(1-E$9^2*$C$11)*NORMSINV(D242)))*(E$7-E$5)*(E$7-E$6))))</f>
        <v>0.0536424123089696</v>
      </c>
      <c r="F242" s="2" t="n">
        <v>0.122270355</v>
      </c>
      <c r="G242" s="2" t="n">
        <f aca="false">IF(G$7=G$5,G$6,IF(NORMSDIST(G$9*SQRT($C$11)*NORMSINV($B242)+SQRT(1-G$9^2*$C$11)*NORMSINV(F242))&lt;G$8,G$5+SQRT(NORMSDIST(G$9*SQRT($C$11)*NORMSINV($B242)+SQRT(1-G$9^2*$C$11)*NORMSINV(F242))*(G$7-G$5)*(G$6-G$5)),G$7-SQRT((1-NORMSDIST(G$9*SQRT($C$11)*NORMSINV($B242)+SQRT(1-G$9^2*$C$11)*NORMSINV(F242)))*(G$7-G$5)*(G$7-G$6))))</f>
        <v>0.0450500811137339</v>
      </c>
      <c r="H242" s="2" t="n">
        <v>0.333447964</v>
      </c>
      <c r="I242" s="2" t="n">
        <f aca="false">IF(I$7=I$5,I$6,IF(NORMSDIST(I$9*SQRT($C$11)*NORMSINV($B242)+SQRT(1-I$9^2*$C$11)*NORMSINV(H242))&lt;I$8,I$5+SQRT(NORMSDIST(I$9*SQRT($C$11)*NORMSINV($B242)+SQRT(1-I$9^2*$C$11)*NORMSINV(H242))*(I$7-I$5)*(I$6-I$5)),I$7-SQRT((1-NORMSDIST(I$9*SQRT($C$11)*NORMSINV($B242)+SQRT(1-I$9^2*$C$11)*NORMSINV(H242)))*(I$7-I$5)*(I$7-I$6))))</f>
        <v>191.13477353192</v>
      </c>
      <c r="J242" s="2" t="n">
        <v>0.295941609</v>
      </c>
      <c r="K242" s="2" t="n">
        <f aca="false">IF(K$7=K$5,K$6,IF(NORMSDIST(K$9*SQRT($C$11)*NORMSINV($B242)+SQRT(1-K$9^2*$C$11)*NORMSINV(J242))&lt;K$8,K$5+SQRT(NORMSDIST(K$9*SQRT($C$11)*NORMSINV($B242)+SQRT(1-K$9^2*$C$11)*NORMSINV(J242))*(K$7-K$5)*(K$6-K$5)),K$7-SQRT((1-NORMSDIST(K$9*SQRT($C$11)*NORMSINV($B242)+SQRT(1-K$9^2*$C$11)*NORMSINV(J242)))*(K$7-K$5)*(K$7-K$6))))</f>
        <v>0.130518558285754</v>
      </c>
      <c r="L242" s="2" t="n">
        <v>0.831833807</v>
      </c>
      <c r="M242" s="2" t="n">
        <f aca="false">IF(M$7=M$5,M$6,IF(NORMSDIST(M$9*SQRT($C$11)*NORMSINV($B242)+SQRT(1-M$9^2*$C$11)*NORMSINV(L242))&lt;M$8,M$5+SQRT(NORMSDIST(M$9*SQRT($C$11)*NORMSINV($B242)+SQRT(1-M$9^2*$C$11)*NORMSINV(L242))*(M$7-M$5)*(M$6-M$5)),M$7-SQRT((1-NORMSDIST(M$9*SQRT($C$11)*NORMSINV($B242)+SQRT(1-M$9^2*$C$11)*NORMSINV(L242)))*(M$7-M$5)*(M$7-M$6))))</f>
        <v>1592.33030378762</v>
      </c>
      <c r="N242" s="2" t="n">
        <v>0.643388025</v>
      </c>
      <c r="O242" s="2" t="n">
        <f aca="false">IF(O$7=O$5,O$6,IF(NORMSDIST(O$9*SQRT($C$11)*NORMSINV($B242)+SQRT(1-O$9^2*$C$11)*NORMSINV(N242))&lt;O$8,O$5+SQRT(NORMSDIST(O$9*SQRT($C$11)*NORMSINV($B242)+SQRT(1-O$9^2*$C$11)*NORMSINV(N242))*(O$7-O$5)*(O$6-O$5)),O$7-SQRT((1-NORMSDIST(O$9*SQRT($C$11)*NORMSINV($B242)+SQRT(1-O$9^2*$C$11)*NORMSINV(N242)))*(O$7-O$5)*(O$7-O$6))))</f>
        <v>0.162268208302594</v>
      </c>
      <c r="P242" s="2" t="n">
        <v>0.378244738</v>
      </c>
      <c r="Q242" s="2" t="n">
        <f aca="false">IF(Q$7=Q$5,Q$6,IF(NORMSDIST(Q$9*SQRT($C$11)*NORMSINV($B242)+SQRT(1-Q$9^2*$C$11)*NORMSINV(P242))&lt;Q$8,Q$5+SQRT(NORMSDIST(Q$9*SQRT($C$11)*NORMSINV($B242)+SQRT(1-Q$9^2*$C$11)*NORMSINV(P242))*(Q$7-Q$5)*(Q$6-Q$5)),Q$7-SQRT((1-NORMSDIST(Q$9*SQRT($C$11)*NORMSINV($B242)+SQRT(1-Q$9^2*$C$11)*NORMSINV(P242)))*(Q$7-Q$5)*(Q$7-Q$6))))</f>
        <v>0.074790561386675</v>
      </c>
      <c r="R242" s="2" t="n">
        <v>0.272675294</v>
      </c>
      <c r="S242" s="2" t="n">
        <f aca="false">IF(S$7=S$5,S$6,IF(NORMSDIST(S$9*SQRT($C$11)*NORMSINV($B242)+SQRT(1-S$9^2*$C$11)*NORMSINV(R242))&lt;S$8,S$5+SQRT(NORMSDIST(S$9*SQRT($C$11)*NORMSINV($B242)+SQRT(1-S$9^2*$C$11)*NORMSINV(R242))*(S$7-S$5)*(S$6-S$5)),S$7-SQRT((1-NORMSDIST(S$9*SQRT($C$11)*NORMSINV($B242)+SQRT(1-S$9^2*$C$11)*NORMSINV(R242)))*(S$7-S$5)*(S$7-S$6))))</f>
        <v>0.250000802667979</v>
      </c>
      <c r="T242" s="2" t="n">
        <v>0.324997194</v>
      </c>
      <c r="U242" s="2" t="n">
        <f aca="false">IF(U$7=U$5,U$6,IF(NORMSDIST(U$9*SQRT($C$11)*NORMSINV($B242)+SQRT(1-U$9^2*$C$11)*NORMSINV(T242))&lt;U$8,U$5+SQRT(NORMSDIST(U$9*SQRT($C$11)*NORMSINV($B242)+SQRT(1-U$9^2*$C$11)*NORMSINV(T242))*(U$7-U$5)*(U$6-U$5)),U$7-SQRT((1-NORMSDIST(U$9*SQRT($C$11)*NORMSINV($B242)+SQRT(1-U$9^2*$C$11)*NORMSINV(T242)))*(U$7-U$5)*(U$7-U$6))))</f>
        <v>0.274506480575918</v>
      </c>
      <c r="V242" s="2" t="n">
        <v>0.349707816</v>
      </c>
      <c r="W242" s="2" t="n">
        <f aca="false">IF(W$7=W$5,W$6,IF(NORMSDIST(W$9*SQRT($C$11)*NORMSINV($B242)+SQRT(1-W$9^2*$C$11)*NORMSINV(V242))&lt;W$8,W$5+SQRT(NORMSDIST(W$9*SQRT($C$11)*NORMSINV($B242)+SQRT(1-W$9^2*$C$11)*NORMSINV(V242))*(W$7-W$5)*(W$6-W$5)),W$7-SQRT((1-NORMSDIST(W$9*SQRT($C$11)*NORMSINV($B242)+SQRT(1-W$9^2*$C$11)*NORMSINV(V242)))*(W$7-W$5)*(W$7-W$6))))</f>
        <v>9.14297139442432</v>
      </c>
      <c r="X242" s="2" t="n">
        <v>0.280419882</v>
      </c>
      <c r="Y242" s="2" t="n">
        <f aca="false">IF(Y$7=Y$5,Y$6,IF(NORMSDIST(Y$9*SQRT($C$11)*NORMSINV($B242)+SQRT(1-Y$9^2*$C$11)*NORMSINV(X242))&lt;Y$8,Y$5+SQRT(NORMSDIST(Y$9*SQRT($C$11)*NORMSINV($B242)+SQRT(1-Y$9^2*$C$11)*NORMSINV(X242))*(Y$7-Y$5)*(Y$6-Y$5)),Y$7-SQRT((1-NORMSDIST(Y$9*SQRT($C$11)*NORMSINV($B242)+SQRT(1-Y$9^2*$C$11)*NORMSINV(X242)))*(Y$7-Y$5)*(Y$7-Y$6))))</f>
        <v>0.37444617904313</v>
      </c>
      <c r="Z242" s="2" t="n">
        <v>0.520867268</v>
      </c>
      <c r="AA242" s="2" t="n">
        <f aca="false">IF(AA$7=AA$5,AA$6,IF(NORMSDIST(AA$9*SQRT($C$11)*NORMSINV($B242)+SQRT(1-AA$9^2*$C$11)*NORMSINV(Z242))&lt;AA$8,AA$5+SQRT(NORMSDIST(AA$9*SQRT($C$11)*NORMSINV($B242)+SQRT(1-AA$9^2*$C$11)*NORMSINV(Z242))*(AA$7-AA$5)*(AA$6-AA$5)),AA$7-SQRT((1-NORMSDIST(AA$9*SQRT($C$11)*NORMSINV($B242)+SQRT(1-AA$9^2*$C$11)*NORMSINV(Z242)))*(AA$7-AA$5)*(AA$7-AA$6))))</f>
        <v>0.71895163895488</v>
      </c>
      <c r="AB242" s="2" t="n">
        <v>0.987059264</v>
      </c>
      <c r="AC242" s="2" t="n">
        <f aca="false">IF(AC$7=AC$5,AC$6,IF(NORMSDIST(AC$9*SQRT($C$11)*NORMSINV($B242)+SQRT(1-AC$9^2*$C$11)*NORMSINV(AB242))&lt;AC$8,AC$5+SQRT(NORMSDIST(AC$9*SQRT($C$11)*NORMSINV($B242)+SQRT(1-AC$9^2*$C$11)*NORMSINV(AB242))*(AC$7-AC$5)*(AC$6-AC$5)),AC$7-SQRT((1-NORMSDIST(AC$9*SQRT($C$11)*NORMSINV($B242)+SQRT(1-AC$9^2*$C$11)*NORMSINV(AB242)))*(AC$7-AC$5)*(AC$7-AC$6))))</f>
        <v>10.1996671790024</v>
      </c>
      <c r="AD242" s="2" t="n">
        <f aca="false">Entrées!$C$8*(1+E242)</f>
        <v>7428.17900677824</v>
      </c>
      <c r="AE242" s="2" t="n">
        <f aca="false">I242*Hypothèses!$J$24/12/Hypothèses!$J$19</f>
        <v>94.8213493985443</v>
      </c>
      <c r="AF242" s="2" t="n">
        <f aca="false">Entrées!$C$36*S242*1000</f>
        <v>125.00040133399</v>
      </c>
      <c r="AG242" s="2" t="n">
        <f aca="false">-AF242/W242</f>
        <v>-13.6717480501163</v>
      </c>
      <c r="AH242" s="2" t="n">
        <f aca="false">AD242+AE242+AG242</f>
        <v>7509.32860812666</v>
      </c>
      <c r="AI242" s="2" t="n">
        <f aca="false">Entrées!$C$16-M242+Hypothèses!$J$22*1000-AF242+Hypothèses!$J$23</f>
        <v>22830.6692948784</v>
      </c>
      <c r="AJ242" s="2" t="n">
        <f aca="false">AI242/AH242</f>
        <v>3.04030766081682</v>
      </c>
      <c r="AK242" s="2" t="n">
        <f aca="false">AI242/(AH242+I242*(12-Hypothèses!$J$24)/12/Hypothèses!$J$19)</f>
        <v>3.0131310678579</v>
      </c>
      <c r="AL242" s="2" t="n">
        <f aca="false">(AD242+AG242+I242/Hypothèses!$J$19)*(1+G242)</f>
        <v>7918.4052273755</v>
      </c>
      <c r="AM242" s="2" t="n">
        <f aca="false">Entrées!$C$54*K242/Hypothèses!$J$19</f>
        <v>13.3199668850741</v>
      </c>
      <c r="AN242" s="2" t="n">
        <f aca="false">Y242*1000/AC242</f>
        <v>36.7116075918619</v>
      </c>
      <c r="AO242" s="2" t="n">
        <f aca="false">(Entrées!$C$36*(1-S242)+MAX(0,Entrées!$C$30-Entrées!$C$35-Entrées!$C$36)*U242)*1000</f>
        <v>759.308671472295</v>
      </c>
      <c r="AP242" s="2" t="n">
        <f aca="false">-AO242/W242</f>
        <v>-83.0483481481027</v>
      </c>
      <c r="AQ242" s="2" t="n">
        <f aca="false">AL242+AM242+AN242+AP242</f>
        <v>7885.38845370433</v>
      </c>
      <c r="AR242" s="2" t="n">
        <f aca="false">O242*AQ242-Hypothèses!$J$25/Hypothèses!$J$19</f>
        <v>1260.41269389094</v>
      </c>
      <c r="AS242" s="2" t="n">
        <f aca="false">Entrées!$C$79*(1+Q242)+Hypothèses!$J$20</f>
        <v>1476.19482696396</v>
      </c>
      <c r="AT242" s="2" t="n">
        <f aca="false">AI242-AR242+AS242+Y242*1000-AO242+Hypothèses!$J$23</f>
        <v>22661.5889355223</v>
      </c>
      <c r="AU242" s="2" t="n">
        <f aca="false">AT242/AQ242</f>
        <v>2.87387096635379</v>
      </c>
      <c r="AV242" s="2" t="n">
        <f aca="false">Hypothèses!$J$26*AQ242-AT242</f>
        <v>994.576425590745</v>
      </c>
      <c r="AW242" s="2" t="n">
        <f aca="false">IF(AC242&gt;Hypothèses!$J$26,MAX(0,AV242)/(1-Hypothèses!$J$26/AC242),0)</f>
        <v>1409.0024264862</v>
      </c>
      <c r="AX242" s="2" t="n">
        <f aca="false">AQ242-Entrées!$C$17*1000</f>
        <v>-114.611546295669</v>
      </c>
      <c r="AY242" s="2" t="n">
        <f aca="false">AI242+(Entrées!$C$244-Entrées!$C$13)</f>
        <v>28577.6692948784</v>
      </c>
      <c r="AZ242" s="2" t="n">
        <f aca="false">AA242*AH242</f>
        <v>5398.84411026343</v>
      </c>
      <c r="BA242" s="2" t="n">
        <f aca="false">AZ242/AY242</f>
        <v>0.188918279323465</v>
      </c>
      <c r="BB242" s="2" t="n">
        <f aca="false">AZ242/(Entrées!$C$151/100)-AY242</f>
        <v>1415.90909547401</v>
      </c>
      <c r="BC242" s="2" t="n">
        <f aca="false">AT242+(Entrées!$C$244-Entrées!$C$13)</f>
        <v>28408.5889355223</v>
      </c>
      <c r="BD242" s="2" t="n">
        <f aca="false">AA242*AQ242</f>
        <v>5669.21295258662</v>
      </c>
      <c r="BE242" s="2" t="n">
        <f aca="false">BD242/BC242</f>
        <v>0.199559822047261</v>
      </c>
      <c r="BF242" s="2" t="n">
        <f aca="false">BD242/(Entrées!$C$151/100)-BC242</f>
        <v>3087.03857884784</v>
      </c>
      <c r="BG242" s="2" t="n">
        <f aca="false">MIN(AV242,BF242)</f>
        <v>994.576425590745</v>
      </c>
      <c r="BH242" s="2" t="n">
        <f aca="false">IF(AC242&gt;Hypothèses!$J$26,MAX(0,BG242)/(1-Hypothèses!$J$26/AC242),0)</f>
        <v>1409.0024264862</v>
      </c>
    </row>
    <row r="243" customFormat="false" ht="15" hidden="false" customHeight="false" outlineLevel="0" collapsed="false">
      <c r="A243" s="2" t="n">
        <v>228</v>
      </c>
      <c r="B243" s="2" t="n">
        <v>0.614804176</v>
      </c>
      <c r="C243" s="2"/>
      <c r="D243" s="2" t="n">
        <v>0.719030233</v>
      </c>
      <c r="E243" s="2" t="n">
        <f aca="false">IF(E$7=E$5,E$6,IF(NORMSDIST(E$9*SQRT($C$11)*NORMSINV($B243)+SQRT(1-E$9^2*$C$11)*NORMSINV(D243))&lt;E$8,E$5+SQRT(NORMSDIST(E$9*SQRT($C$11)*NORMSINV($B243)+SQRT(1-E$9^2*$C$11)*NORMSINV(D243))*(E$7-E$5)*(E$6-E$5)),E$7-SQRT((1-NORMSDIST(E$9*SQRT($C$11)*NORMSINV($B243)+SQRT(1-E$9^2*$C$11)*NORMSINV(D243)))*(E$7-E$5)*(E$7-E$6))))</f>
        <v>0.0563730407200372</v>
      </c>
      <c r="F243" s="2" t="n">
        <v>0.577233816</v>
      </c>
      <c r="G243" s="2" t="n">
        <f aca="false">IF(G$7=G$5,G$6,IF(NORMSDIST(G$9*SQRT($C$11)*NORMSINV($B243)+SQRT(1-G$9^2*$C$11)*NORMSINV(F243))&lt;G$8,G$5+SQRT(NORMSDIST(G$9*SQRT($C$11)*NORMSINV($B243)+SQRT(1-G$9^2*$C$11)*NORMSINV(F243))*(G$7-G$5)*(G$6-G$5)),G$7-SQRT((1-NORMSDIST(G$9*SQRT($C$11)*NORMSINV($B243)+SQRT(1-G$9^2*$C$11)*NORMSINV(F243)))*(G$7-G$5)*(G$7-G$6))))</f>
        <v>0.0571205188662535</v>
      </c>
      <c r="H243" s="2" t="n">
        <v>0.223807651</v>
      </c>
      <c r="I243" s="2" t="n">
        <f aca="false">IF(I$7=I$5,I$6,IF(NORMSDIST(I$9*SQRT($C$11)*NORMSINV($B243)+SQRT(1-I$9^2*$C$11)*NORMSINV(H243))&lt;I$8,I$5+SQRT(NORMSDIST(I$9*SQRT($C$11)*NORMSINV($B243)+SQRT(1-I$9^2*$C$11)*NORMSINV(H243))*(I$7-I$5)*(I$6-I$5)),I$7-SQRT((1-NORMSDIST(I$9*SQRT($C$11)*NORMSINV($B243)+SQRT(1-I$9^2*$C$11)*NORMSINV(H243)))*(I$7-I$5)*(I$7-I$6))))</f>
        <v>196.570822721543</v>
      </c>
      <c r="J243" s="2" t="n">
        <v>0.699533402</v>
      </c>
      <c r="K243" s="2" t="n">
        <f aca="false">IF(K$7=K$5,K$6,IF(NORMSDIST(K$9*SQRT($C$11)*NORMSINV($B243)+SQRT(1-K$9^2*$C$11)*NORMSINV(J243))&lt;K$8,K$5+SQRT(NORMSDIST(K$9*SQRT($C$11)*NORMSINV($B243)+SQRT(1-K$9^2*$C$11)*NORMSINV(J243))*(K$7-K$5)*(K$6-K$5)),K$7-SQRT((1-NORMSDIST(K$9*SQRT($C$11)*NORMSINV($B243)+SQRT(1-K$9^2*$C$11)*NORMSINV(J243)))*(K$7-K$5)*(K$7-K$6))))</f>
        <v>0.313694079801005</v>
      </c>
      <c r="L243" s="2" t="n">
        <v>0.501706996</v>
      </c>
      <c r="M243" s="2" t="n">
        <f aca="false">IF(M$7=M$5,M$6,IF(NORMSDIST(M$9*SQRT($C$11)*NORMSINV($B243)+SQRT(1-M$9^2*$C$11)*NORMSINV(L243))&lt;M$8,M$5+SQRT(NORMSDIST(M$9*SQRT($C$11)*NORMSINV($B243)+SQRT(1-M$9^2*$C$11)*NORMSINV(L243))*(M$7-M$5)*(M$6-M$5)),M$7-SQRT((1-NORMSDIST(M$9*SQRT($C$11)*NORMSINV($B243)+SQRT(1-M$9^2*$C$11)*NORMSINV(L243)))*(M$7-M$5)*(M$7-M$6))))</f>
        <v>1605.64811972623</v>
      </c>
      <c r="N243" s="2" t="n">
        <v>0.848205785</v>
      </c>
      <c r="O243" s="2" t="n">
        <f aca="false">IF(O$7=O$5,O$6,IF(NORMSDIST(O$9*SQRT($C$11)*NORMSINV($B243)+SQRT(1-O$9^2*$C$11)*NORMSINV(N243))&lt;O$8,O$5+SQRT(NORMSDIST(O$9*SQRT($C$11)*NORMSINV($B243)+SQRT(1-O$9^2*$C$11)*NORMSINV(N243))*(O$7-O$5)*(O$6-O$5)),O$7-SQRT((1-NORMSDIST(O$9*SQRT($C$11)*NORMSINV($B243)+SQRT(1-O$9^2*$C$11)*NORMSINV(N243)))*(O$7-O$5)*(O$7-O$6))))</f>
        <v>0.176816044632553</v>
      </c>
      <c r="P243" s="2" t="n">
        <v>0.622494028</v>
      </c>
      <c r="Q243" s="2" t="n">
        <f aca="false">IF(Q$7=Q$5,Q$6,IF(NORMSDIST(Q$9*SQRT($C$11)*NORMSINV($B243)+SQRT(1-Q$9^2*$C$11)*NORMSINV(P243))&lt;Q$8,Q$5+SQRT(NORMSDIST(Q$9*SQRT($C$11)*NORMSINV($B243)+SQRT(1-Q$9^2*$C$11)*NORMSINV(P243))*(Q$7-Q$5)*(Q$6-Q$5)),Q$7-SQRT((1-NORMSDIST(Q$9*SQRT($C$11)*NORMSINV($B243)+SQRT(1-Q$9^2*$C$11)*NORMSINV(P243)))*(Q$7-Q$5)*(Q$7-Q$6))))</f>
        <v>0.0852434306871348</v>
      </c>
      <c r="R243" s="2" t="n">
        <v>0.554084393</v>
      </c>
      <c r="S243" s="2" t="n">
        <f aca="false">IF(S$7=S$5,S$6,IF(NORMSDIST(S$9*SQRT($C$11)*NORMSINV($B243)+SQRT(1-S$9^2*$C$11)*NORMSINV(R243))&lt;S$8,S$5+SQRT(NORMSDIST(S$9*SQRT($C$11)*NORMSINV($B243)+SQRT(1-S$9^2*$C$11)*NORMSINV(R243))*(S$7-S$5)*(S$6-S$5)),S$7-SQRT((1-NORMSDIST(S$9*SQRT($C$11)*NORMSINV($B243)+SQRT(1-S$9^2*$C$11)*NORMSINV(R243)))*(S$7-S$5)*(S$7-S$6))))</f>
        <v>0.560718430410138</v>
      </c>
      <c r="T243" s="2" t="n">
        <v>0.911479932</v>
      </c>
      <c r="U243" s="2" t="n">
        <f aca="false">IF(U$7=U$5,U$6,IF(NORMSDIST(U$9*SQRT($C$11)*NORMSINV($B243)+SQRT(1-U$9^2*$C$11)*NORMSINV(T243))&lt;U$8,U$5+SQRT(NORMSDIST(U$9*SQRT($C$11)*NORMSINV($B243)+SQRT(1-U$9^2*$C$11)*NORMSINV(T243))*(U$7-U$5)*(U$6-U$5)),U$7-SQRT((1-NORMSDIST(U$9*SQRT($C$11)*NORMSINV($B243)+SQRT(1-U$9^2*$C$11)*NORMSINV(T243)))*(U$7-U$5)*(U$7-U$6))))</f>
        <v>0.766222195649347</v>
      </c>
      <c r="V243" s="2" t="n">
        <v>0.522850778</v>
      </c>
      <c r="W243" s="2" t="n">
        <f aca="false">IF(W$7=W$5,W$6,IF(NORMSDIST(W$9*SQRT($C$11)*NORMSINV($B243)+SQRT(1-W$9^2*$C$11)*NORMSINV(V243))&lt;W$8,W$5+SQRT(NORMSDIST(W$9*SQRT($C$11)*NORMSINV($B243)+SQRT(1-W$9^2*$C$11)*NORMSINV(V243))*(W$7-W$5)*(W$6-W$5)),W$7-SQRT((1-NORMSDIST(W$9*SQRT($C$11)*NORMSINV($B243)+SQRT(1-W$9^2*$C$11)*NORMSINV(V243)))*(W$7-W$5)*(W$7-W$6))))</f>
        <v>10.1901570964622</v>
      </c>
      <c r="X243" s="2" t="n">
        <v>0.316756657</v>
      </c>
      <c r="Y243" s="2" t="n">
        <f aca="false">IF(Y$7=Y$5,Y$6,IF(NORMSDIST(Y$9*SQRT($C$11)*NORMSINV($B243)+SQRT(1-Y$9^2*$C$11)*NORMSINV(X243))&lt;Y$8,Y$5+SQRT(NORMSDIST(Y$9*SQRT($C$11)*NORMSINV($B243)+SQRT(1-Y$9^2*$C$11)*NORMSINV(X243))*(Y$7-Y$5)*(Y$6-Y$5)),Y$7-SQRT((1-NORMSDIST(Y$9*SQRT($C$11)*NORMSINV($B243)+SQRT(1-Y$9^2*$C$11)*NORMSINV(X243)))*(Y$7-Y$5)*(Y$7-Y$6))))</f>
        <v>0.397967748065091</v>
      </c>
      <c r="Z243" s="2" t="n">
        <v>0.362425847</v>
      </c>
      <c r="AA243" s="2" t="n">
        <f aca="false">IF(AA$7=AA$5,AA$6,IF(NORMSDIST(AA$9*SQRT($C$11)*NORMSINV($B243)+SQRT(1-AA$9^2*$C$11)*NORMSINV(Z243))&lt;AA$8,AA$5+SQRT(NORMSDIST(AA$9*SQRT($C$11)*NORMSINV($B243)+SQRT(1-AA$9^2*$C$11)*NORMSINV(Z243))*(AA$7-AA$5)*(AA$6-AA$5)),AA$7-SQRT((1-NORMSDIST(AA$9*SQRT($C$11)*NORMSINV($B243)+SQRT(1-AA$9^2*$C$11)*NORMSINV(Z243)))*(AA$7-AA$5)*(AA$7-AA$6))))</f>
        <v>0.726882145978198</v>
      </c>
      <c r="AB243" s="2" t="n">
        <v>0.070543099</v>
      </c>
      <c r="AC243" s="2" t="n">
        <f aca="false">IF(AC$7=AC$5,AC$6,IF(NORMSDIST(AC$9*SQRT($C$11)*NORMSINV($B243)+SQRT(1-AC$9^2*$C$11)*NORMSINV(AB243))&lt;AC$8,AC$5+SQRT(NORMSDIST(AC$9*SQRT($C$11)*NORMSINV($B243)+SQRT(1-AC$9^2*$C$11)*NORMSINV(AB243))*(AC$7-AC$5)*(AC$6-AC$5)),AC$7-SQRT((1-NORMSDIST(AC$9*SQRT($C$11)*NORMSINV($B243)+SQRT(1-AC$9^2*$C$11)*NORMSINV(AB243)))*(AC$7-AC$5)*(AC$7-AC$6))))</f>
        <v>8.61080098487441</v>
      </c>
      <c r="AD243" s="2" t="n">
        <f aca="false">Entrées!$C$8*(1+E243)</f>
        <v>7447.42993707626</v>
      </c>
      <c r="AE243" s="2" t="n">
        <f aca="false">I243*Hypothèses!$J$24/12/Hypothèses!$J$19</f>
        <v>97.5181560027637</v>
      </c>
      <c r="AF243" s="2" t="n">
        <f aca="false">Entrées!$C$36*S243*1000</f>
        <v>280.359215205069</v>
      </c>
      <c r="AG243" s="2" t="n">
        <f aca="false">-AF243/W243</f>
        <v>-27.5127471098952</v>
      </c>
      <c r="AH243" s="2" t="n">
        <f aca="false">AD243+AE243+AG243</f>
        <v>7517.43534596913</v>
      </c>
      <c r="AI243" s="2" t="n">
        <f aca="false">Entrées!$C$16-M243+Hypothèses!$J$22*1000-AF243+Hypothèses!$J$23</f>
        <v>22661.9926650687</v>
      </c>
      <c r="AJ243" s="2" t="n">
        <f aca="false">AI243/AH243</f>
        <v>3.01459096382121</v>
      </c>
      <c r="AK243" s="2" t="n">
        <f aca="false">AI243/(AH243+I243*(12-Hypothèses!$J$24)/12/Hypothèses!$J$19)</f>
        <v>2.98691450415701</v>
      </c>
      <c r="AL243" s="2" t="n">
        <f aca="false">(AD243+AG243+I243/Hypothèses!$J$19)*(1+G243)</f>
        <v>8020.46975609763</v>
      </c>
      <c r="AM243" s="2" t="n">
        <f aca="false">Entrées!$C$54*K243/Hypothèses!$J$19</f>
        <v>32.0137979600196</v>
      </c>
      <c r="AN243" s="2" t="n">
        <f aca="false">Y243*1000/AC243</f>
        <v>46.2172739521161</v>
      </c>
      <c r="AO243" s="2" t="n">
        <f aca="false">(Entrées!$C$36*(1-S243)+MAX(0,Entrées!$C$30-Entrées!$C$35-Entrées!$C$36)*U243)*1000</f>
        <v>1292.35185870402</v>
      </c>
      <c r="AP243" s="2" t="n">
        <f aca="false">-AO243/W243</f>
        <v>-126.823546140686</v>
      </c>
      <c r="AQ243" s="2" t="n">
        <f aca="false">AL243+AM243+AN243+AP243</f>
        <v>7971.87728186908</v>
      </c>
      <c r="AR243" s="2" t="n">
        <f aca="false">O243*AQ243-Hypothèses!$J$25/Hypothèses!$J$19</f>
        <v>1390.42064701457</v>
      </c>
      <c r="AS243" s="2" t="n">
        <f aca="false">Entrées!$C$79*(1+Q243)+Hypothèses!$J$20</f>
        <v>1487.68253032516</v>
      </c>
      <c r="AT243" s="2" t="n">
        <f aca="false">AI243-AR243+AS243+Y243*1000-AO243+Hypothèses!$J$23</f>
        <v>21864.8704377404</v>
      </c>
      <c r="AU243" s="2" t="n">
        <f aca="false">AT243/AQ243</f>
        <v>2.74275050463571</v>
      </c>
      <c r="AV243" s="2" t="n">
        <f aca="false">Hypothèses!$J$26*AQ243-AT243</f>
        <v>2050.76140786689</v>
      </c>
      <c r="AW243" s="2" t="n">
        <f aca="false">IF(AC243&gt;Hypothèses!$J$26,MAX(0,AV243)/(1-Hypothèses!$J$26/AC243),0)</f>
        <v>3147.26870516472</v>
      </c>
      <c r="AX243" s="2" t="n">
        <f aca="false">AQ243-Entrées!$C$17*1000</f>
        <v>-28.1227181309187</v>
      </c>
      <c r="AY243" s="2" t="n">
        <f aca="false">AI243+(Entrées!$C$244-Entrées!$C$13)</f>
        <v>28408.9926650687</v>
      </c>
      <c r="AZ243" s="2" t="n">
        <f aca="false">AA243*AH243</f>
        <v>5464.2895365304</v>
      </c>
      <c r="BA243" s="2" t="n">
        <f aca="false">AZ243/AY243</f>
        <v>0.1923436568467</v>
      </c>
      <c r="BB243" s="2" t="n">
        <f aca="false">AZ243/(Entrées!$C$151/100)-AY243</f>
        <v>1948.17142676686</v>
      </c>
      <c r="BC243" s="2" t="n">
        <f aca="false">AT243+(Entrées!$C$244-Entrées!$C$13)</f>
        <v>27611.8704377404</v>
      </c>
      <c r="BD243" s="2" t="n">
        <f aca="false">AA243*AQ243</f>
        <v>5794.61526611984</v>
      </c>
      <c r="BE243" s="2" t="n">
        <f aca="false">BD243/BC243</f>
        <v>0.209859570331739</v>
      </c>
      <c r="BF243" s="2" t="n">
        <f aca="false">BD243/(Entrées!$C$151/100)-BC243</f>
        <v>4580.43659625877</v>
      </c>
      <c r="BG243" s="2" t="n">
        <f aca="false">MIN(AV243,BF243)</f>
        <v>2050.76140786689</v>
      </c>
      <c r="BH243" s="2" t="n">
        <f aca="false">IF(AC243&gt;Hypothèses!$J$26,MAX(0,BG243)/(1-Hypothèses!$J$26/AC243),0)</f>
        <v>3147.26870516472</v>
      </c>
    </row>
    <row r="244" customFormat="false" ht="15" hidden="false" customHeight="false" outlineLevel="0" collapsed="false">
      <c r="A244" s="2" t="n">
        <v>229</v>
      </c>
      <c r="B244" s="2" t="n">
        <v>0.787678024</v>
      </c>
      <c r="C244" s="2"/>
      <c r="D244" s="2" t="n">
        <v>0.713761678</v>
      </c>
      <c r="E244" s="2" t="n">
        <f aca="false">IF(E$7=E$5,E$6,IF(NORMSDIST(E$9*SQRT($C$11)*NORMSINV($B244)+SQRT(1-E$9^2*$C$11)*NORMSINV(D244))&lt;E$8,E$5+SQRT(NORMSDIST(E$9*SQRT($C$11)*NORMSINV($B244)+SQRT(1-E$9^2*$C$11)*NORMSINV(D244))*(E$7-E$5)*(E$6-E$5)),E$7-SQRT((1-NORMSDIST(E$9*SQRT($C$11)*NORMSINV($B244)+SQRT(1-E$9^2*$C$11)*NORMSINV(D244)))*(E$7-E$5)*(E$7-E$6))))</f>
        <v>0.0570583864485259</v>
      </c>
      <c r="F244" s="2" t="n">
        <v>0.390478011</v>
      </c>
      <c r="G244" s="2" t="n">
        <f aca="false">IF(G$7=G$5,G$6,IF(NORMSDIST(G$9*SQRT($C$11)*NORMSINV($B244)+SQRT(1-G$9^2*$C$11)*NORMSINV(F244))&lt;G$8,G$5+SQRT(NORMSDIST(G$9*SQRT($C$11)*NORMSINV($B244)+SQRT(1-G$9^2*$C$11)*NORMSINV(F244))*(G$7-G$5)*(G$6-G$5)),G$7-SQRT((1-NORMSDIST(G$9*SQRT($C$11)*NORMSINV($B244)+SQRT(1-G$9^2*$C$11)*NORMSINV(F244)))*(G$7-G$5)*(G$7-G$6))))</f>
        <v>0.0568191115386603</v>
      </c>
      <c r="H244" s="2" t="n">
        <v>0.03495188</v>
      </c>
      <c r="I244" s="2" t="n">
        <f aca="false">IF(I$7=I$5,I$6,IF(NORMSDIST(I$9*SQRT($C$11)*NORMSINV($B244)+SQRT(1-I$9^2*$C$11)*NORMSINV(H244))&lt;I$8,I$5+SQRT(NORMSDIST(I$9*SQRT($C$11)*NORMSINV($B244)+SQRT(1-I$9^2*$C$11)*NORMSINV(H244))*(I$7-I$5)*(I$6-I$5)),I$7-SQRT((1-NORMSDIST(I$9*SQRT($C$11)*NORMSINV($B244)+SQRT(1-I$9^2*$C$11)*NORMSINV(H244)))*(I$7-I$5)*(I$7-I$6))))</f>
        <v>192.14303736085</v>
      </c>
      <c r="J244" s="2" t="n">
        <v>0.320178629</v>
      </c>
      <c r="K244" s="2" t="n">
        <f aca="false">IF(K$7=K$5,K$6,IF(NORMSDIST(K$9*SQRT($C$11)*NORMSINV($B244)+SQRT(1-K$9^2*$C$11)*NORMSINV(J244))&lt;K$8,K$5+SQRT(NORMSDIST(K$9*SQRT($C$11)*NORMSINV($B244)+SQRT(1-K$9^2*$C$11)*NORMSINV(J244))*(K$7-K$5)*(K$6-K$5)),K$7-SQRT((1-NORMSDIST(K$9*SQRT($C$11)*NORMSINV($B244)+SQRT(1-K$9^2*$C$11)*NORMSINV(J244)))*(K$7-K$5)*(K$7-K$6))))</f>
        <v>0.264648343044786</v>
      </c>
      <c r="L244" s="2" t="n">
        <v>0.761585463</v>
      </c>
      <c r="M244" s="2" t="n">
        <f aca="false">IF(M$7=M$5,M$6,IF(NORMSDIST(M$9*SQRT($C$11)*NORMSINV($B244)+SQRT(1-M$9^2*$C$11)*NORMSINV(L244))&lt;M$8,M$5+SQRT(NORMSDIST(M$9*SQRT($C$11)*NORMSINV($B244)+SQRT(1-M$9^2*$C$11)*NORMSINV(L244))*(M$7-M$5)*(M$6-M$5)),M$7-SQRT((1-NORMSDIST(M$9*SQRT($C$11)*NORMSINV($B244)+SQRT(1-M$9^2*$C$11)*NORMSINV(L244)))*(M$7-M$5)*(M$7-M$6))))</f>
        <v>1684.2811777442</v>
      </c>
      <c r="N244" s="2" t="n">
        <v>0.268134739</v>
      </c>
      <c r="O244" s="2" t="n">
        <f aca="false">IF(O$7=O$5,O$6,IF(NORMSDIST(O$9*SQRT($C$11)*NORMSINV($B244)+SQRT(1-O$9^2*$C$11)*NORMSINV(N244))&lt;O$8,O$5+SQRT(NORMSDIST(O$9*SQRT($C$11)*NORMSINV($B244)+SQRT(1-O$9^2*$C$11)*NORMSINV(N244))*(O$7-O$5)*(O$6-O$5)),O$7-SQRT((1-NORMSDIST(O$9*SQRT($C$11)*NORMSINV($B244)+SQRT(1-O$9^2*$C$11)*NORMSINV(N244)))*(O$7-O$5)*(O$7-O$6))))</f>
        <v>0.167059656166212</v>
      </c>
      <c r="P244" s="2" t="n">
        <v>0.862695736</v>
      </c>
      <c r="Q244" s="2" t="n">
        <f aca="false">IF(Q$7=Q$5,Q$6,IF(NORMSDIST(Q$9*SQRT($C$11)*NORMSINV($B244)+SQRT(1-Q$9^2*$C$11)*NORMSINV(P244))&lt;Q$8,Q$5+SQRT(NORMSDIST(Q$9*SQRT($C$11)*NORMSINV($B244)+SQRT(1-Q$9^2*$C$11)*NORMSINV(P244))*(Q$7-Q$5)*(Q$6-Q$5)),Q$7-SQRT((1-NORMSDIST(Q$9*SQRT($C$11)*NORMSINV($B244)+SQRT(1-Q$9^2*$C$11)*NORMSINV(P244)))*(Q$7-Q$5)*(Q$7-Q$6))))</f>
        <v>0.09903875851005</v>
      </c>
      <c r="R244" s="2" t="n">
        <v>0.568150194</v>
      </c>
      <c r="S244" s="2" t="n">
        <f aca="false">IF(S$7=S$5,S$6,IF(NORMSDIST(S$9*SQRT($C$11)*NORMSINV($B244)+SQRT(1-S$9^2*$C$11)*NORMSINV(R244))&lt;S$8,S$5+SQRT(NORMSDIST(S$9*SQRT($C$11)*NORMSINV($B244)+SQRT(1-S$9^2*$C$11)*NORMSINV(R244))*(S$7-S$5)*(S$6-S$5)),S$7-SQRT((1-NORMSDIST(S$9*SQRT($C$11)*NORMSINV($B244)+SQRT(1-S$9^2*$C$11)*NORMSINV(R244)))*(S$7-S$5)*(S$7-S$6))))</f>
        <v>0.638224343681387</v>
      </c>
      <c r="T244" s="2" t="n">
        <v>0.062900849</v>
      </c>
      <c r="U244" s="2" t="n">
        <f aca="false">IF(U$7=U$5,U$6,IF(NORMSDIST(U$9*SQRT($C$11)*NORMSINV($B244)+SQRT(1-U$9^2*$C$11)*NORMSINV(T244))&lt;U$8,U$5+SQRT(NORMSDIST(U$9*SQRT($C$11)*NORMSINV($B244)+SQRT(1-U$9^2*$C$11)*NORMSINV(T244))*(U$7-U$5)*(U$6-U$5)),U$7-SQRT((1-NORMSDIST(U$9*SQRT($C$11)*NORMSINV($B244)+SQRT(1-U$9^2*$C$11)*NORMSINV(T244)))*(U$7-U$5)*(U$7-U$6))))</f>
        <v>0.352122208376747</v>
      </c>
      <c r="V244" s="2" t="n">
        <v>0.215776041</v>
      </c>
      <c r="W244" s="2" t="n">
        <f aca="false">IF(W$7=W$5,W$6,IF(NORMSDIST(W$9*SQRT($C$11)*NORMSINV($B244)+SQRT(1-W$9^2*$C$11)*NORMSINV(V244))&lt;W$8,W$5+SQRT(NORMSDIST(W$9*SQRT($C$11)*NORMSINV($B244)+SQRT(1-W$9^2*$C$11)*NORMSINV(V244))*(W$7-W$5)*(W$6-W$5)),W$7-SQRT((1-NORMSDIST(W$9*SQRT($C$11)*NORMSINV($B244)+SQRT(1-W$9^2*$C$11)*NORMSINV(V244)))*(W$7-W$5)*(W$7-W$6))))</f>
        <v>9.91512755405774</v>
      </c>
      <c r="X244" s="2" t="n">
        <v>0.898674129</v>
      </c>
      <c r="Y244" s="2" t="n">
        <f aca="false">IF(Y$7=Y$5,Y$6,IF(NORMSDIST(Y$9*SQRT($C$11)*NORMSINV($B244)+SQRT(1-Y$9^2*$C$11)*NORMSINV(X244))&lt;Y$8,Y$5+SQRT(NORMSDIST(Y$9*SQRT($C$11)*NORMSINV($B244)+SQRT(1-Y$9^2*$C$11)*NORMSINV(X244))*(Y$7-Y$5)*(Y$6-Y$5)),Y$7-SQRT((1-NORMSDIST(Y$9*SQRT($C$11)*NORMSINV($B244)+SQRT(1-Y$9^2*$C$11)*NORMSINV(X244)))*(Y$7-Y$5)*(Y$7-Y$6))))</f>
        <v>0.774915714675591</v>
      </c>
      <c r="Z244" s="2" t="n">
        <v>0.38743533</v>
      </c>
      <c r="AA244" s="2" t="n">
        <f aca="false">IF(AA$7=AA$5,AA$6,IF(NORMSDIST(AA$9*SQRT($C$11)*NORMSINV($B244)+SQRT(1-AA$9^2*$C$11)*NORMSINV(Z244))&lt;AA$8,AA$5+SQRT(NORMSDIST(AA$9*SQRT($C$11)*NORMSINV($B244)+SQRT(1-AA$9^2*$C$11)*NORMSINV(Z244))*(AA$7-AA$5)*(AA$6-AA$5)),AA$7-SQRT((1-NORMSDIST(AA$9*SQRT($C$11)*NORMSINV($B244)+SQRT(1-AA$9^2*$C$11)*NORMSINV(Z244)))*(AA$7-AA$5)*(AA$7-AA$6))))</f>
        <v>0.731519470634298</v>
      </c>
      <c r="AB244" s="2" t="n">
        <v>0.176723381</v>
      </c>
      <c r="AC244" s="2" t="n">
        <f aca="false">IF(AC$7=AC$5,AC$6,IF(NORMSDIST(AC$9*SQRT($C$11)*NORMSINV($B244)+SQRT(1-AC$9^2*$C$11)*NORMSINV(AB244))&lt;AC$8,AC$5+SQRT(NORMSDIST(AC$9*SQRT($C$11)*NORMSINV($B244)+SQRT(1-AC$9^2*$C$11)*NORMSINV(AB244))*(AC$7-AC$5)*(AC$6-AC$5)),AC$7-SQRT((1-NORMSDIST(AC$9*SQRT($C$11)*NORMSINV($B244)+SQRT(1-AC$9^2*$C$11)*NORMSINV(AB244)))*(AC$7-AC$5)*(AC$7-AC$6))))</f>
        <v>9.29435139296536</v>
      </c>
      <c r="AD244" s="2" t="n">
        <f aca="false">Entrées!$C$8*(1+E244)</f>
        <v>7452.26162446211</v>
      </c>
      <c r="AE244" s="2" t="n">
        <f aca="false">I244*Hypothèses!$J$24/12/Hypothèses!$J$19</f>
        <v>95.3215458570026</v>
      </c>
      <c r="AF244" s="2" t="n">
        <f aca="false">Entrées!$C$36*S244*1000</f>
        <v>319.112171840693</v>
      </c>
      <c r="AG244" s="2" t="n">
        <f aca="false">-AF244/W244</f>
        <v>-32.1843738369354</v>
      </c>
      <c r="AH244" s="2" t="n">
        <f aca="false">AD244+AE244+AG244</f>
        <v>7515.39879648218</v>
      </c>
      <c r="AI244" s="2" t="n">
        <f aca="false">Entrées!$C$16-M244+Hypothèses!$J$22*1000-AF244+Hypothèses!$J$23</f>
        <v>22544.6066504151</v>
      </c>
      <c r="AJ244" s="2" t="n">
        <f aca="false">AI244/AH244</f>
        <v>2.9997884691053</v>
      </c>
      <c r="AK244" s="2" t="n">
        <f aca="false">AI244/(AH244+I244*(12-Hypothèses!$J$24)/12/Hypothèses!$J$19)</f>
        <v>2.97285546450653</v>
      </c>
      <c r="AL244" s="2" t="n">
        <f aca="false">(AD244+AG244+I244/Hypothèses!$J$19)*(1+G244)</f>
        <v>8014.37252995922</v>
      </c>
      <c r="AM244" s="2" t="n">
        <f aca="false">Entrées!$C$54*K244/Hypothèses!$J$19</f>
        <v>27.0084745943063</v>
      </c>
      <c r="AN244" s="2" t="n">
        <f aca="false">Y244*1000/AC244</f>
        <v>83.3749104065619</v>
      </c>
      <c r="AO244" s="2" t="n">
        <f aca="false">(Entrées!$C$36*(1-S244)+MAX(0,Entrées!$C$30-Entrées!$C$35-Entrées!$C$36)*U244)*1000</f>
        <v>673.858919886753</v>
      </c>
      <c r="AP244" s="2" t="n">
        <f aca="false">-AO244/W244</f>
        <v>-67.9627081157396</v>
      </c>
      <c r="AQ244" s="2" t="n">
        <f aca="false">AL244+AM244+AN244+AP244</f>
        <v>8056.79320684434</v>
      </c>
      <c r="AR244" s="2" t="n">
        <f aca="false">O244*AQ244-Hypothèses!$J$25/Hypothèses!$J$19</f>
        <v>1326.82994067606</v>
      </c>
      <c r="AS244" s="2" t="n">
        <f aca="false">Entrées!$C$79*(1+Q244)+Hypothèses!$J$20</f>
        <v>1502.84359560255</v>
      </c>
      <c r="AT244" s="2" t="n">
        <f aca="false">AI244-AR244+AS244+Y244*1000-AO244+Hypothèses!$J$23</f>
        <v>22821.6771001304</v>
      </c>
      <c r="AU244" s="2" t="n">
        <f aca="false">AT244/AQ244</f>
        <v>2.83260057869465</v>
      </c>
      <c r="AV244" s="2" t="n">
        <f aca="false">Hypothèses!$J$26*AQ244-AT244</f>
        <v>1348.70252040261</v>
      </c>
      <c r="AW244" s="2" t="n">
        <f aca="false">IF(AC244&gt;Hypothèses!$J$26,MAX(0,AV244)/(1-Hypothèses!$J$26/AC244),0)</f>
        <v>1991.51816709971</v>
      </c>
      <c r="AX244" s="2" t="n">
        <f aca="false">AQ244-Entrées!$C$17*1000</f>
        <v>56.7932068443433</v>
      </c>
      <c r="AY244" s="2" t="n">
        <f aca="false">AI244+(Entrées!$C$244-Entrées!$C$13)</f>
        <v>28291.6066504151</v>
      </c>
      <c r="AZ244" s="2" t="n">
        <f aca="false">AA244*AH244</f>
        <v>5497.66054920828</v>
      </c>
      <c r="BA244" s="2" t="n">
        <f aca="false">AZ244/AY244</f>
        <v>0.194321256376142</v>
      </c>
      <c r="BB244" s="2" t="n">
        <f aca="false">AZ244/(Entrées!$C$151/100)-AY244</f>
        <v>2250.95195629757</v>
      </c>
      <c r="BC244" s="2" t="n">
        <f aca="false">AT244+(Entrées!$C$244-Entrées!$C$13)</f>
        <v>28568.6771001304</v>
      </c>
      <c r="BD244" s="2" t="n">
        <f aca="false">AA244*AQ244</f>
        <v>5893.70110168078</v>
      </c>
      <c r="BE244" s="2" t="n">
        <f aca="false">BD244/BC244</f>
        <v>0.206299405500084</v>
      </c>
      <c r="BF244" s="2" t="n">
        <f aca="false">BD244/(Entrées!$C$151/100)-BC244</f>
        <v>4174.10679809613</v>
      </c>
      <c r="BG244" s="2" t="n">
        <f aca="false">MIN(AV244,BF244)</f>
        <v>1348.70252040261</v>
      </c>
      <c r="BH244" s="2" t="n">
        <f aca="false">IF(AC244&gt;Hypothèses!$J$26,MAX(0,BG244)/(1-Hypothèses!$J$26/AC244),0)</f>
        <v>1991.51816709971</v>
      </c>
    </row>
    <row r="245" customFormat="false" ht="15" hidden="false" customHeight="false" outlineLevel="0" collapsed="false">
      <c r="A245" s="2" t="n">
        <v>230</v>
      </c>
      <c r="B245" s="2" t="n">
        <v>0.360283621</v>
      </c>
      <c r="C245" s="2"/>
      <c r="D245" s="2" t="n">
        <v>0.562501733</v>
      </c>
      <c r="E245" s="2" t="n">
        <f aca="false">IF(E$7=E$5,E$6,IF(NORMSDIST(E$9*SQRT($C$11)*NORMSINV($B245)+SQRT(1-E$9^2*$C$11)*NORMSINV(D245))&lt;E$8,E$5+SQRT(NORMSDIST(E$9*SQRT($C$11)*NORMSINV($B245)+SQRT(1-E$9^2*$C$11)*NORMSINV(D245))*(E$7-E$5)*(E$6-E$5)),E$7-SQRT((1-NORMSDIST(E$9*SQRT($C$11)*NORMSINV($B245)+SQRT(1-E$9^2*$C$11)*NORMSINV(D245)))*(E$7-E$5)*(E$7-E$6))))</f>
        <v>0.0547876729009018</v>
      </c>
      <c r="F245" s="2" t="n">
        <v>0.933858603</v>
      </c>
      <c r="G245" s="2" t="n">
        <f aca="false">IF(G$7=G$5,G$6,IF(NORMSDIST(G$9*SQRT($C$11)*NORMSINV($B245)+SQRT(1-G$9^2*$C$11)*NORMSINV(F245))&lt;G$8,G$5+SQRT(NORMSDIST(G$9*SQRT($C$11)*NORMSINV($B245)+SQRT(1-G$9^2*$C$11)*NORMSINV(F245))*(G$7-G$5)*(G$6-G$5)),G$7-SQRT((1-NORMSDIST(G$9*SQRT($C$11)*NORMSINV($B245)+SQRT(1-G$9^2*$C$11)*NORMSINV(F245)))*(G$7-G$5)*(G$7-G$6))))</f>
        <v>0.0611590212929</v>
      </c>
      <c r="H245" s="2" t="n">
        <v>0.206099129</v>
      </c>
      <c r="I245" s="2" t="n">
        <f aca="false">IF(I$7=I$5,I$6,IF(NORMSDIST(I$9*SQRT($C$11)*NORMSINV($B245)+SQRT(1-I$9^2*$C$11)*NORMSINV(H245))&lt;I$8,I$5+SQRT(NORMSDIST(I$9*SQRT($C$11)*NORMSINV($B245)+SQRT(1-I$9^2*$C$11)*NORMSINV(H245))*(I$7-I$5)*(I$6-I$5)),I$7-SQRT((1-NORMSDIST(I$9*SQRT($C$11)*NORMSINV($B245)+SQRT(1-I$9^2*$C$11)*NORMSINV(H245)))*(I$7-I$5)*(I$7-I$6))))</f>
        <v>192.474051657753</v>
      </c>
      <c r="J245" s="2" t="n">
        <v>0.689865624</v>
      </c>
      <c r="K245" s="2" t="n">
        <f aca="false">IF(K$7=K$5,K$6,IF(NORMSDIST(K$9*SQRT($C$11)*NORMSINV($B245)+SQRT(1-K$9^2*$C$11)*NORMSINV(J245))&lt;K$8,K$5+SQRT(NORMSDIST(K$9*SQRT($C$11)*NORMSINV($B245)+SQRT(1-K$9^2*$C$11)*NORMSINV(J245))*(K$7-K$5)*(K$6-K$5)),K$7-SQRT((1-NORMSDIST(K$9*SQRT($C$11)*NORMSINV($B245)+SQRT(1-K$9^2*$C$11)*NORMSINV(J245)))*(K$7-K$5)*(K$7-K$6))))</f>
        <v>0.266172582955065</v>
      </c>
      <c r="L245" s="2" t="n">
        <v>0.450734018</v>
      </c>
      <c r="M245" s="2" t="n">
        <f aca="false">IF(M$7=M$5,M$6,IF(NORMSDIST(M$9*SQRT($C$11)*NORMSINV($B245)+SQRT(1-M$9^2*$C$11)*NORMSINV(L245))&lt;M$8,M$5+SQRT(NORMSDIST(M$9*SQRT($C$11)*NORMSINV($B245)+SQRT(1-M$9^2*$C$11)*NORMSINV(L245))*(M$7-M$5)*(M$6-M$5)),M$7-SQRT((1-NORMSDIST(M$9*SQRT($C$11)*NORMSINV($B245)+SQRT(1-M$9^2*$C$11)*NORMSINV(L245)))*(M$7-M$5)*(M$7-M$6))))</f>
        <v>1547.11857270914</v>
      </c>
      <c r="N245" s="2" t="n">
        <v>0.567937543</v>
      </c>
      <c r="O245" s="2" t="n">
        <f aca="false">IF(O$7=O$5,O$6,IF(NORMSDIST(O$9*SQRT($C$11)*NORMSINV($B245)+SQRT(1-O$9^2*$C$11)*NORMSINV(N245))&lt;O$8,O$5+SQRT(NORMSDIST(O$9*SQRT($C$11)*NORMSINV($B245)+SQRT(1-O$9^2*$C$11)*NORMSINV(N245))*(O$7-O$5)*(O$6-O$5)),O$7-SQRT((1-NORMSDIST(O$9*SQRT($C$11)*NORMSINV($B245)+SQRT(1-O$9^2*$C$11)*NORMSINV(N245)))*(O$7-O$5)*(O$7-O$6))))</f>
        <v>0.16576559989686</v>
      </c>
      <c r="P245" s="2" t="n">
        <v>0.032604575</v>
      </c>
      <c r="Q245" s="2" t="n">
        <f aca="false">IF(Q$7=Q$5,Q$6,IF(NORMSDIST(Q$9*SQRT($C$11)*NORMSINV($B245)+SQRT(1-Q$9^2*$C$11)*NORMSINV(P245))&lt;Q$8,Q$5+SQRT(NORMSDIST(Q$9*SQRT($C$11)*NORMSINV($B245)+SQRT(1-Q$9^2*$C$11)*NORMSINV(P245))*(Q$7-Q$5)*(Q$6-Q$5)),Q$7-SQRT((1-NORMSDIST(Q$9*SQRT($C$11)*NORMSINV($B245)+SQRT(1-Q$9^2*$C$11)*NORMSINV(P245)))*(Q$7-Q$5)*(Q$7-Q$6))))</f>
        <v>0.0502144329260121</v>
      </c>
      <c r="R245" s="2" t="n">
        <v>0.588826486</v>
      </c>
      <c r="S245" s="2" t="n">
        <f aca="false">IF(S$7=S$5,S$6,IF(NORMSDIST(S$9*SQRT($C$11)*NORMSINV($B245)+SQRT(1-S$9^2*$C$11)*NORMSINV(R245))&lt;S$8,S$5+SQRT(NORMSDIST(S$9*SQRT($C$11)*NORMSINV($B245)+SQRT(1-S$9^2*$C$11)*NORMSINV(R245))*(S$7-S$5)*(S$6-S$5)),S$7-SQRT((1-NORMSDIST(S$9*SQRT($C$11)*NORMSINV($B245)+SQRT(1-S$9^2*$C$11)*NORMSINV(R245)))*(S$7-S$5)*(S$7-S$6))))</f>
        <v>0.489458960064826</v>
      </c>
      <c r="T245" s="2" t="n">
        <v>0.216900838</v>
      </c>
      <c r="U245" s="2" t="n">
        <f aca="false">IF(U$7=U$5,U$6,IF(NORMSDIST(U$9*SQRT($C$11)*NORMSINV($B245)+SQRT(1-U$9^2*$C$11)*NORMSINV(T245))&lt;U$8,U$5+SQRT(NORMSDIST(U$9*SQRT($C$11)*NORMSINV($B245)+SQRT(1-U$9^2*$C$11)*NORMSINV(T245))*(U$7-U$5)*(U$6-U$5)),U$7-SQRT((1-NORMSDIST(U$9*SQRT($C$11)*NORMSINV($B245)+SQRT(1-U$9^2*$C$11)*NORMSINV(T245)))*(U$7-U$5)*(U$7-U$6))))</f>
        <v>0.318245900433992</v>
      </c>
      <c r="V245" s="2" t="n">
        <v>0.524919455</v>
      </c>
      <c r="W245" s="2" t="n">
        <f aca="false">IF(W$7=W$5,W$6,IF(NORMSDIST(W$9*SQRT($C$11)*NORMSINV($B245)+SQRT(1-W$9^2*$C$11)*NORMSINV(V245))&lt;W$8,W$5+SQRT(NORMSDIST(W$9*SQRT($C$11)*NORMSINV($B245)+SQRT(1-W$9^2*$C$11)*NORMSINV(V245))*(W$7-W$5)*(W$6-W$5)),W$7-SQRT((1-NORMSDIST(W$9*SQRT($C$11)*NORMSINV($B245)+SQRT(1-W$9^2*$C$11)*NORMSINV(V245)))*(W$7-W$5)*(W$7-W$6))))</f>
        <v>9.85350370020509</v>
      </c>
      <c r="X245" s="2" t="n">
        <v>0.511949332</v>
      </c>
      <c r="Y245" s="2" t="n">
        <f aca="false">IF(Y$7=Y$5,Y$6,IF(NORMSDIST(Y$9*SQRT($C$11)*NORMSINV($B245)+SQRT(1-Y$9^2*$C$11)*NORMSINV(X245))&lt;Y$8,Y$5+SQRT(NORMSDIST(Y$9*SQRT($C$11)*NORMSINV($B245)+SQRT(1-Y$9^2*$C$11)*NORMSINV(X245))*(Y$7-Y$5)*(Y$6-Y$5)),Y$7-SQRT((1-NORMSDIST(Y$9*SQRT($C$11)*NORMSINV($B245)+SQRT(1-Y$9^2*$C$11)*NORMSINV(X245)))*(Y$7-Y$5)*(Y$7-Y$6))))</f>
        <v>0.506010795664521</v>
      </c>
      <c r="Z245" s="2" t="n">
        <v>0.145474398</v>
      </c>
      <c r="AA245" s="2" t="n">
        <f aca="false">IF(AA$7=AA$5,AA$6,IF(NORMSDIST(AA$9*SQRT($C$11)*NORMSINV($B245)+SQRT(1-AA$9^2*$C$11)*NORMSINV(Z245))&lt;AA$8,AA$5+SQRT(NORMSDIST(AA$9*SQRT($C$11)*NORMSINV($B245)+SQRT(1-AA$9^2*$C$11)*NORMSINV(Z245))*(AA$7-AA$5)*(AA$6-AA$5)),AA$7-SQRT((1-NORMSDIST(AA$9*SQRT($C$11)*NORMSINV($B245)+SQRT(1-AA$9^2*$C$11)*NORMSINV(Z245)))*(AA$7-AA$5)*(AA$7-AA$6))))</f>
        <v>0.713138708594213</v>
      </c>
      <c r="AB245" s="2" t="n">
        <v>0.02875766</v>
      </c>
      <c r="AC245" s="2" t="n">
        <f aca="false">IF(AC$7=AC$5,AC$6,IF(NORMSDIST(AC$9*SQRT($C$11)*NORMSINV($B245)+SQRT(1-AC$9^2*$C$11)*NORMSINV(AB245))&lt;AC$8,AC$5+SQRT(NORMSDIST(AC$9*SQRT($C$11)*NORMSINV($B245)+SQRT(1-AC$9^2*$C$11)*NORMSINV(AB245))*(AC$7-AC$5)*(AC$6-AC$5)),AC$7-SQRT((1-NORMSDIST(AC$9*SQRT($C$11)*NORMSINV($B245)+SQRT(1-AC$9^2*$C$11)*NORMSINV(AB245)))*(AC$7-AC$5)*(AC$7-AC$6))))</f>
        <v>8.0221726697763</v>
      </c>
      <c r="AD245" s="2" t="n">
        <f aca="false">Entrées!$C$8*(1+E245)</f>
        <v>7436.25309395136</v>
      </c>
      <c r="AE245" s="2" t="n">
        <f aca="false">I245*Hypothèses!$J$24/12/Hypothèses!$J$19</f>
        <v>95.4857609902435</v>
      </c>
      <c r="AF245" s="2" t="n">
        <f aca="false">Entrées!$C$36*S245*1000</f>
        <v>244.729480032413</v>
      </c>
      <c r="AG245" s="2" t="n">
        <f aca="false">-AF245/W245</f>
        <v>-24.8367979023866</v>
      </c>
      <c r="AH245" s="2" t="n">
        <f aca="false">AD245+AE245+AG245</f>
        <v>7506.90205703922</v>
      </c>
      <c r="AI245" s="2" t="n">
        <f aca="false">Entrées!$C$16-M245+Hypothèses!$J$22*1000-AF245+Hypothèses!$J$23</f>
        <v>22756.1519472584</v>
      </c>
      <c r="AJ245" s="2" t="n">
        <f aca="false">AI245/AH245</f>
        <v>3.03136390675565</v>
      </c>
      <c r="AK245" s="2" t="n">
        <f aca="false">AI245/(AH245+I245*(12-Hypothèses!$J$24)/12/Hypothèses!$J$19)</f>
        <v>3.00407036290469</v>
      </c>
      <c r="AL245" s="2" t="n">
        <f aca="false">(AD245+AG245+I245/Hypothèses!$J$19)*(1+G245)</f>
        <v>8038.39225170354</v>
      </c>
      <c r="AM245" s="2" t="n">
        <f aca="false">Entrées!$C$54*K245/Hypothèses!$J$19</f>
        <v>27.1640296770201</v>
      </c>
      <c r="AN245" s="2" t="n">
        <f aca="false">Y245*1000/AC245</f>
        <v>63.076527580979</v>
      </c>
      <c r="AO245" s="2" t="n">
        <f aca="false">(Entrées!$C$36*(1-S245)+MAX(0,Entrées!$C$30-Entrées!$C$35-Entrées!$C$36)*U245)*1000</f>
        <v>700.814780575176</v>
      </c>
      <c r="AP245" s="2" t="n">
        <f aca="false">-AO245/W245</f>
        <v>-71.1234096923908</v>
      </c>
      <c r="AQ245" s="2" t="n">
        <f aca="false">AL245+AM245+AN245+AP245</f>
        <v>8057.50939926915</v>
      </c>
      <c r="AR245" s="2" t="n">
        <f aca="false">O245*AQ245-Hypothèses!$J$25/Hypothèses!$J$19</f>
        <v>1316.52271698282</v>
      </c>
      <c r="AS245" s="2" t="n">
        <f aca="false">Entrées!$C$79*(1+Q245)+Hypothèses!$J$20</f>
        <v>1449.18566178569</v>
      </c>
      <c r="AT245" s="2" t="n">
        <f aca="false">AI245-AR245+AS245+Y245*1000-AO245+Hypothèses!$J$23</f>
        <v>22694.0109071507</v>
      </c>
      <c r="AU245" s="2" t="n">
        <f aca="false">AT245/AQ245</f>
        <v>2.81650442867732</v>
      </c>
      <c r="AV245" s="2" t="n">
        <f aca="false">Hypothèses!$J$26*AQ245-AT245</f>
        <v>1478.51729065679</v>
      </c>
      <c r="AW245" s="2" t="n">
        <f aca="false">IF(AC245&gt;Hypothèses!$J$26,MAX(0,AV245)/(1-Hypothèses!$J$26/AC245),0)</f>
        <v>2361.71111206078</v>
      </c>
      <c r="AX245" s="2" t="n">
        <f aca="false">AQ245-Entrées!$C$17*1000</f>
        <v>57.5093992691527</v>
      </c>
      <c r="AY245" s="2" t="n">
        <f aca="false">AI245+(Entrées!$C$244-Entrées!$C$13)</f>
        <v>28503.1519472584</v>
      </c>
      <c r="AZ245" s="2" t="n">
        <f aca="false">AA245*AH245</f>
        <v>5353.46243850019</v>
      </c>
      <c r="BA245" s="2" t="n">
        <f aca="false">AZ245/AY245</f>
        <v>0.187820015428683</v>
      </c>
      <c r="BB245" s="2" t="n">
        <f aca="false">AZ245/(Entrées!$C$151/100)-AY245</f>
        <v>1238.30604440925</v>
      </c>
      <c r="BC245" s="2" t="n">
        <f aca="false">AT245+(Entrées!$C$244-Entrées!$C$13)</f>
        <v>28441.0109071507</v>
      </c>
      <c r="BD245" s="2" t="n">
        <f aca="false">AA245*AQ245</f>
        <v>5746.12184748054</v>
      </c>
      <c r="BE245" s="2" t="n">
        <f aca="false">BD245/BC245</f>
        <v>0.20203648408418</v>
      </c>
      <c r="BF245" s="2" t="n">
        <f aca="false">BD245/(Entrées!$C$151/100)-BC245</f>
        <v>3481.88824551897</v>
      </c>
      <c r="BG245" s="2" t="n">
        <f aca="false">MIN(AV245,BF245)</f>
        <v>1478.51729065679</v>
      </c>
      <c r="BH245" s="2" t="n">
        <f aca="false">IF(AC245&gt;Hypothèses!$J$26,MAX(0,BG245)/(1-Hypothèses!$J$26/AC245),0)</f>
        <v>2361.71111206078</v>
      </c>
    </row>
    <row r="246" customFormat="false" ht="15" hidden="false" customHeight="false" outlineLevel="0" collapsed="false">
      <c r="A246" s="2" t="n">
        <v>231</v>
      </c>
      <c r="B246" s="2" t="n">
        <v>0.688966723</v>
      </c>
      <c r="C246" s="2"/>
      <c r="D246" s="2" t="n">
        <v>0.240804451</v>
      </c>
      <c r="E246" s="2" t="n">
        <f aca="false">IF(E$7=E$5,E$6,IF(NORMSDIST(E$9*SQRT($C$11)*NORMSINV($B246)+SQRT(1-E$9^2*$C$11)*NORMSINV(D246))&lt;E$8,E$5+SQRT(NORMSDIST(E$9*SQRT($C$11)*NORMSINV($B246)+SQRT(1-E$9^2*$C$11)*NORMSINV(D246))*(E$7-E$5)*(E$6-E$5)),E$7-SQRT((1-NORMSDIST(E$9*SQRT($C$11)*NORMSINV($B246)+SQRT(1-E$9^2*$C$11)*NORMSINV(D246)))*(E$7-E$5)*(E$7-E$6))))</f>
        <v>0.0545152345621206</v>
      </c>
      <c r="F246" s="2" t="n">
        <v>0.163701109</v>
      </c>
      <c r="G246" s="2" t="n">
        <f aca="false">IF(G$7=G$5,G$6,IF(NORMSDIST(G$9*SQRT($C$11)*NORMSINV($B246)+SQRT(1-G$9^2*$C$11)*NORMSINV(F246))&lt;G$8,G$5+SQRT(NORMSDIST(G$9*SQRT($C$11)*NORMSINV($B246)+SQRT(1-G$9^2*$C$11)*NORMSINV(F246))*(G$7-G$5)*(G$6-G$5)),G$7-SQRT((1-NORMSDIST(G$9*SQRT($C$11)*NORMSINV($B246)+SQRT(1-G$9^2*$C$11)*NORMSINV(F246)))*(G$7-G$5)*(G$7-G$6))))</f>
        <v>0.0521396123145449</v>
      </c>
      <c r="H246" s="2" t="n">
        <v>0.026276246</v>
      </c>
      <c r="I246" s="2" t="n">
        <f aca="false">IF(I$7=I$5,I$6,IF(NORMSDIST(I$9*SQRT($C$11)*NORMSINV($B246)+SQRT(1-I$9^2*$C$11)*NORMSINV(H246))&lt;I$8,I$5+SQRT(NORMSDIST(I$9*SQRT($C$11)*NORMSINV($B246)+SQRT(1-I$9^2*$C$11)*NORMSINV(H246))*(I$7-I$5)*(I$6-I$5)),I$7-SQRT((1-NORMSDIST(I$9*SQRT($C$11)*NORMSINV($B246)+SQRT(1-I$9^2*$C$11)*NORMSINV(H246)))*(I$7-I$5)*(I$7-I$6))))</f>
        <v>189.676761895375</v>
      </c>
      <c r="J246" s="2" t="n">
        <v>0.778669402</v>
      </c>
      <c r="K246" s="2" t="n">
        <f aca="false">IF(K$7=K$5,K$6,IF(NORMSDIST(K$9*SQRT($C$11)*NORMSINV($B246)+SQRT(1-K$9^2*$C$11)*NORMSINV(J246))&lt;K$8,K$5+SQRT(NORMSDIST(K$9*SQRT($C$11)*NORMSINV($B246)+SQRT(1-K$9^2*$C$11)*NORMSINV(J246))*(K$7-K$5)*(K$6-K$5)),K$7-SQRT((1-NORMSDIST(K$9*SQRT($C$11)*NORMSINV($B246)+SQRT(1-K$9^2*$C$11)*NORMSINV(J246)))*(K$7-K$5)*(K$7-K$6))))</f>
        <v>0.349020720502565</v>
      </c>
      <c r="L246" s="2" t="n">
        <v>0.543592615</v>
      </c>
      <c r="M246" s="2" t="n">
        <f aca="false">IF(M$7=M$5,M$6,IF(NORMSDIST(M$9*SQRT($C$11)*NORMSINV($B246)+SQRT(1-M$9^2*$C$11)*NORMSINV(L246))&lt;M$8,M$5+SQRT(NORMSDIST(M$9*SQRT($C$11)*NORMSINV($B246)+SQRT(1-M$9^2*$C$11)*NORMSINV(L246))*(M$7-M$5)*(M$6-M$5)),M$7-SQRT((1-NORMSDIST(M$9*SQRT($C$11)*NORMSINV($B246)+SQRT(1-M$9^2*$C$11)*NORMSINV(L246)))*(M$7-M$5)*(M$7-M$6))))</f>
        <v>1625.92823179779</v>
      </c>
      <c r="N246" s="2" t="n">
        <v>0.923175894</v>
      </c>
      <c r="O246" s="2" t="n">
        <f aca="false">IF(O$7=O$5,O$6,IF(NORMSDIST(O$9*SQRT($C$11)*NORMSINV($B246)+SQRT(1-O$9^2*$C$11)*NORMSINV(N246))&lt;O$8,O$5+SQRT(NORMSDIST(O$9*SQRT($C$11)*NORMSINV($B246)+SQRT(1-O$9^2*$C$11)*NORMSINV(N246))*(O$7-O$5)*(O$6-O$5)),O$7-SQRT((1-NORMSDIST(O$9*SQRT($C$11)*NORMSINV($B246)+SQRT(1-O$9^2*$C$11)*NORMSINV(N246)))*(O$7-O$5)*(O$7-O$6))))</f>
        <v>0.180870151941539</v>
      </c>
      <c r="P246" s="2" t="n">
        <v>0.986715378</v>
      </c>
      <c r="Q246" s="2" t="n">
        <f aca="false">IF(Q$7=Q$5,Q$6,IF(NORMSDIST(Q$9*SQRT($C$11)*NORMSINV($B246)+SQRT(1-Q$9^2*$C$11)*NORMSINV(P246))&lt;Q$8,Q$5+SQRT(NORMSDIST(Q$9*SQRT($C$11)*NORMSINV($B246)+SQRT(1-Q$9^2*$C$11)*NORMSINV(P246))*(Q$7-Q$5)*(Q$6-Q$5)),Q$7-SQRT((1-NORMSDIST(Q$9*SQRT($C$11)*NORMSINV($B246)+SQRT(1-Q$9^2*$C$11)*NORMSINV(P246)))*(Q$7-Q$5)*(Q$7-Q$6))))</f>
        <v>0.113479970061418</v>
      </c>
      <c r="R246" s="2" t="n">
        <v>0.953095965</v>
      </c>
      <c r="S246" s="2" t="n">
        <f aca="false">IF(S$7=S$5,S$6,IF(NORMSDIST(S$9*SQRT($C$11)*NORMSINV($B246)+SQRT(1-S$9^2*$C$11)*NORMSINV(R246))&lt;S$8,S$5+SQRT(NORMSDIST(S$9*SQRT($C$11)*NORMSINV($B246)+SQRT(1-S$9^2*$C$11)*NORMSINV(R246))*(S$7-S$5)*(S$6-S$5)),S$7-SQRT((1-NORMSDIST(S$9*SQRT($C$11)*NORMSINV($B246)+SQRT(1-S$9^2*$C$11)*NORMSINV(R246)))*(S$7-S$5)*(S$7-S$6))))</f>
        <v>0.836091979844466</v>
      </c>
      <c r="T246" s="2" t="n">
        <v>0.434558358</v>
      </c>
      <c r="U246" s="2" t="n">
        <f aca="false">IF(U$7=U$5,U$6,IF(NORMSDIST(U$9*SQRT($C$11)*NORMSINV($B246)+SQRT(1-U$9^2*$C$11)*NORMSINV(T246))&lt;U$8,U$5+SQRT(NORMSDIST(U$9*SQRT($C$11)*NORMSINV($B246)+SQRT(1-U$9^2*$C$11)*NORMSINV(T246))*(U$7-U$5)*(U$6-U$5)),U$7-SQRT((1-NORMSDIST(U$9*SQRT($C$11)*NORMSINV($B246)+SQRT(1-U$9^2*$C$11)*NORMSINV(T246)))*(U$7-U$5)*(U$7-U$6))))</f>
        <v>0.537959911738881</v>
      </c>
      <c r="V246" s="2" t="n">
        <v>0.002163073</v>
      </c>
      <c r="W246" s="2" t="n">
        <f aca="false">IF(W$7=W$5,W$6,IF(NORMSDIST(W$9*SQRT($C$11)*NORMSINV($B246)+SQRT(1-W$9^2*$C$11)*NORMSINV(V246))&lt;W$8,W$5+SQRT(NORMSDIST(W$9*SQRT($C$11)*NORMSINV($B246)+SQRT(1-W$9^2*$C$11)*NORMSINV(V246))*(W$7-W$5)*(W$6-W$5)),W$7-SQRT((1-NORMSDIST(W$9*SQRT($C$11)*NORMSINV($B246)+SQRT(1-W$9^2*$C$11)*NORMSINV(V246)))*(W$7-W$5)*(W$7-W$6))))</f>
        <v>8.48015879565326</v>
      </c>
      <c r="X246" s="2" t="n">
        <v>0.998885409</v>
      </c>
      <c r="Y246" s="2" t="n">
        <f aca="false">IF(Y$7=Y$5,Y$6,IF(NORMSDIST(Y$9*SQRT($C$11)*NORMSINV($B246)+SQRT(1-Y$9^2*$C$11)*NORMSINV(X246))&lt;Y$8,Y$5+SQRT(NORMSDIST(Y$9*SQRT($C$11)*NORMSINV($B246)+SQRT(1-Y$9^2*$C$11)*NORMSINV(X246))*(Y$7-Y$5)*(Y$6-Y$5)),Y$7-SQRT((1-NORMSDIST(Y$9*SQRT($C$11)*NORMSINV($B246)+SQRT(1-Y$9^2*$C$11)*NORMSINV(X246)))*(Y$7-Y$5)*(Y$7-Y$6))))</f>
        <v>0.976392893019262</v>
      </c>
      <c r="Z246" s="2" t="n">
        <v>0.235600454</v>
      </c>
      <c r="AA246" s="2" t="n">
        <f aca="false">IF(AA$7=AA$5,AA$6,IF(NORMSDIST(AA$9*SQRT($C$11)*NORMSINV($B246)+SQRT(1-AA$9^2*$C$11)*NORMSINV(Z246))&lt;AA$8,AA$5+SQRT(NORMSDIST(AA$9*SQRT($C$11)*NORMSINV($B246)+SQRT(1-AA$9^2*$C$11)*NORMSINV(Z246))*(AA$7-AA$5)*(AA$6-AA$5)),AA$7-SQRT((1-NORMSDIST(AA$9*SQRT($C$11)*NORMSINV($B246)+SQRT(1-AA$9^2*$C$11)*NORMSINV(Z246)))*(AA$7-AA$5)*(AA$7-AA$6))))</f>
        <v>0.724694379646795</v>
      </c>
      <c r="AB246" s="2" t="n">
        <v>0.815708001</v>
      </c>
      <c r="AC246" s="2" t="n">
        <f aca="false">IF(AC$7=AC$5,AC$6,IF(NORMSDIST(AC$9*SQRT($C$11)*NORMSINV($B246)+SQRT(1-AC$9^2*$C$11)*NORMSINV(AB246))&lt;AC$8,AC$5+SQRT(NORMSDIST(AC$9*SQRT($C$11)*NORMSINV($B246)+SQRT(1-AC$9^2*$C$11)*NORMSINV(AB246))*(AC$7-AC$5)*(AC$6-AC$5)),AC$7-SQRT((1-NORMSDIST(AC$9*SQRT($C$11)*NORMSINV($B246)+SQRT(1-AC$9^2*$C$11)*NORMSINV(AB246)))*(AC$7-AC$5)*(AC$7-AC$6))))</f>
        <v>10.1772976242751</v>
      </c>
      <c r="AD246" s="2" t="n">
        <f aca="false">Entrées!$C$8*(1+E246)</f>
        <v>7434.33240366295</v>
      </c>
      <c r="AE246" s="2" t="n">
        <f aca="false">I246*Hypothèses!$J$24/12/Hypothèses!$J$19</f>
        <v>94.0980344922021</v>
      </c>
      <c r="AF246" s="2" t="n">
        <f aca="false">Entrées!$C$36*S246*1000</f>
        <v>418.045989922233</v>
      </c>
      <c r="AG246" s="2" t="n">
        <f aca="false">-AF246/W246</f>
        <v>-49.2969530401381</v>
      </c>
      <c r="AH246" s="2" t="n">
        <f aca="false">AD246+AE246+AG246</f>
        <v>7479.13348511502</v>
      </c>
      <c r="AI246" s="2" t="n">
        <f aca="false">Entrées!$C$16-M246+Hypothèses!$J$22*1000-AF246+Hypothèses!$J$23</f>
        <v>22504.02577828</v>
      </c>
      <c r="AJ246" s="2" t="n">
        <f aca="false">AI246/AH246</f>
        <v>3.00890816069369</v>
      </c>
      <c r="AK246" s="2" t="n">
        <f aca="false">AI246/(AH246+I246*(12-Hypothèses!$J$24)/12/Hypothèses!$J$19)</f>
        <v>2.98210878273521</v>
      </c>
      <c r="AL246" s="2" t="n">
        <f aca="false">(AD246+AG246+I246/Hypothèses!$J$19)*(1+G246)</f>
        <v>7939.80994085635</v>
      </c>
      <c r="AM246" s="2" t="n">
        <f aca="false">Entrées!$C$54*K246/Hypothèses!$J$19</f>
        <v>35.619029970593</v>
      </c>
      <c r="AN246" s="2" t="n">
        <f aca="false">Y246*1000/AC246</f>
        <v>95.9383255816699</v>
      </c>
      <c r="AO246" s="2" t="n">
        <f aca="false">(Entrées!$C$36*(1-S246)+MAX(0,Entrées!$C$30-Entrées!$C$35-Entrées!$C$36)*U246)*1000</f>
        <v>835.097886512201</v>
      </c>
      <c r="AP246" s="2" t="n">
        <f aca="false">-AO246/W246</f>
        <v>-98.4766802881396</v>
      </c>
      <c r="AQ246" s="2" t="n">
        <f aca="false">AL246+AM246+AN246+AP246</f>
        <v>7972.89061612047</v>
      </c>
      <c r="AR246" s="2" t="n">
        <f aca="false">O246*AQ246-Hypothèses!$J$25/Hypothèses!$J$19</f>
        <v>1422.92277488935</v>
      </c>
      <c r="AS246" s="2" t="n">
        <f aca="false">Entrées!$C$79*(1+Q246)+Hypothèses!$J$20</f>
        <v>1518.7144870975</v>
      </c>
      <c r="AT246" s="2" t="n">
        <f aca="false">AI246-AR246+AS246+Y246*1000-AO246+Hypothèses!$J$23</f>
        <v>22741.1124969952</v>
      </c>
      <c r="AU246" s="2" t="n">
        <f aca="false">AT246/AQ246</f>
        <v>2.85230458963211</v>
      </c>
      <c r="AV246" s="2" t="n">
        <f aca="false">Hypothèses!$J$26*AQ246-AT246</f>
        <v>1177.55935136622</v>
      </c>
      <c r="AW246" s="2" t="n">
        <f aca="false">IF(AC246&gt;Hypothèses!$J$26,MAX(0,AV246)/(1-Hypothèses!$J$26/AC246),0)</f>
        <v>1669.76104607516</v>
      </c>
      <c r="AX246" s="2" t="n">
        <f aca="false">AQ246-Entrées!$C$17*1000</f>
        <v>-27.1093838795296</v>
      </c>
      <c r="AY246" s="2" t="n">
        <f aca="false">AI246+(Entrées!$C$244-Entrées!$C$13)</f>
        <v>28251.02577828</v>
      </c>
      <c r="AZ246" s="2" t="n">
        <f aca="false">AA246*AH246</f>
        <v>5420.086001291</v>
      </c>
      <c r="BA246" s="2" t="n">
        <f aca="false">AZ246/AY246</f>
        <v>0.191854484995659</v>
      </c>
      <c r="BB246" s="2" t="n">
        <f aca="false">AZ246/(Entrées!$C$151/100)-AY246</f>
        <v>1860.56311778113</v>
      </c>
      <c r="BC246" s="2" t="n">
        <f aca="false">AT246+(Entrées!$C$244-Entrées!$C$13)</f>
        <v>28488.1124969952</v>
      </c>
      <c r="BD246" s="2" t="n">
        <f aca="false">AA246*AQ246</f>
        <v>5777.90901904118</v>
      </c>
      <c r="BE246" s="2" t="n">
        <f aca="false">BD246/BC246</f>
        <v>0.202818246370328</v>
      </c>
      <c r="BF246" s="2" t="n">
        <f aca="false">BD246/(Entrées!$C$151/100)-BC246</f>
        <v>3611.38205323359</v>
      </c>
      <c r="BG246" s="2" t="n">
        <f aca="false">MIN(AV246,BF246)</f>
        <v>1177.55935136622</v>
      </c>
      <c r="BH246" s="2" t="n">
        <f aca="false">IF(AC246&gt;Hypothèses!$J$26,MAX(0,BG246)/(1-Hypothèses!$J$26/AC246),0)</f>
        <v>1669.76104607516</v>
      </c>
    </row>
    <row r="247" customFormat="false" ht="15" hidden="false" customHeight="false" outlineLevel="0" collapsed="false">
      <c r="A247" s="2" t="n">
        <v>232</v>
      </c>
      <c r="B247" s="2" t="n">
        <v>0.564279027</v>
      </c>
      <c r="C247" s="2"/>
      <c r="D247" s="2" t="n">
        <v>0.531476384</v>
      </c>
      <c r="E247" s="2" t="n">
        <f aca="false">IF(E$7=E$5,E$6,IF(NORMSDIST(E$9*SQRT($C$11)*NORMSINV($B247)+SQRT(1-E$9^2*$C$11)*NORMSINV(D247))&lt;E$8,E$5+SQRT(NORMSDIST(E$9*SQRT($C$11)*NORMSINV($B247)+SQRT(1-E$9^2*$C$11)*NORMSINV(D247))*(E$7-E$5)*(E$6-E$5)),E$7-SQRT((1-NORMSDIST(E$9*SQRT($C$11)*NORMSINV($B247)+SQRT(1-E$9^2*$C$11)*NORMSINV(D247)))*(E$7-E$5)*(E$7-E$6))))</f>
        <v>0.0553360338882577</v>
      </c>
      <c r="F247" s="2" t="n">
        <v>0.650515368</v>
      </c>
      <c r="G247" s="2" t="n">
        <f aca="false">IF(G$7=G$5,G$6,IF(NORMSDIST(G$9*SQRT($C$11)*NORMSINV($B247)+SQRT(1-G$9^2*$C$11)*NORMSINV(F247))&lt;G$8,G$5+SQRT(NORMSDIST(G$9*SQRT($C$11)*NORMSINV($B247)+SQRT(1-G$9^2*$C$11)*NORMSINV(F247))*(G$7-G$5)*(G$6-G$5)),G$7-SQRT((1-NORMSDIST(G$9*SQRT($C$11)*NORMSINV($B247)+SQRT(1-G$9^2*$C$11)*NORMSINV(F247)))*(G$7-G$5)*(G$7-G$6))))</f>
        <v>0.0575602903583604</v>
      </c>
      <c r="H247" s="2" t="n">
        <v>0.512741629</v>
      </c>
      <c r="I247" s="2" t="n">
        <f aca="false">IF(I$7=I$5,I$6,IF(NORMSDIST(I$9*SQRT($C$11)*NORMSINV($B247)+SQRT(1-I$9^2*$C$11)*NORMSINV(H247))&lt;I$8,I$5+SQRT(NORMSDIST(I$9*SQRT($C$11)*NORMSINV($B247)+SQRT(1-I$9^2*$C$11)*NORMSINV(H247))*(I$7-I$5)*(I$6-I$5)),I$7-SQRT((1-NORMSDIST(I$9*SQRT($C$11)*NORMSINV($B247)+SQRT(1-I$9^2*$C$11)*NORMSINV(H247)))*(I$7-I$5)*(I$7-I$6))))</f>
        <v>201.038276035518</v>
      </c>
      <c r="J247" s="2" t="n">
        <v>0.357153415</v>
      </c>
      <c r="K247" s="2" t="n">
        <f aca="false">IF(K$7=K$5,K$6,IF(NORMSDIST(K$9*SQRT($C$11)*NORMSINV($B247)+SQRT(1-K$9^2*$C$11)*NORMSINV(J247))&lt;K$8,K$5+SQRT(NORMSDIST(K$9*SQRT($C$11)*NORMSINV($B247)+SQRT(1-K$9^2*$C$11)*NORMSINV(J247))*(K$7-K$5)*(K$6-K$5)),K$7-SQRT((1-NORMSDIST(K$9*SQRT($C$11)*NORMSINV($B247)+SQRT(1-K$9^2*$C$11)*NORMSINV(J247)))*(K$7-K$5)*(K$7-K$6))))</f>
        <v>0.231327599643202</v>
      </c>
      <c r="L247" s="2" t="n">
        <v>0.593419463</v>
      </c>
      <c r="M247" s="2" t="n">
        <f aca="false">IF(M$7=M$5,M$6,IF(NORMSDIST(M$9*SQRT($C$11)*NORMSINV($B247)+SQRT(1-M$9^2*$C$11)*NORMSINV(L247))&lt;M$8,M$5+SQRT(NORMSDIST(M$9*SQRT($C$11)*NORMSINV($B247)+SQRT(1-M$9^2*$C$11)*NORMSINV(L247))*(M$7-M$5)*(M$6-M$5)),M$7-SQRT((1-NORMSDIST(M$9*SQRT($C$11)*NORMSINV($B247)+SQRT(1-M$9^2*$C$11)*NORMSINV(L247)))*(M$7-M$5)*(M$7-M$6))))</f>
        <v>1615.44335445141</v>
      </c>
      <c r="N247" s="2" t="n">
        <v>0.379302415</v>
      </c>
      <c r="O247" s="2" t="n">
        <f aca="false">IF(O$7=O$5,O$6,IF(NORMSDIST(O$9*SQRT($C$11)*NORMSINV($B247)+SQRT(1-O$9^2*$C$11)*NORMSINV(N247))&lt;O$8,O$5+SQRT(NORMSDIST(O$9*SQRT($C$11)*NORMSINV($B247)+SQRT(1-O$9^2*$C$11)*NORMSINV(N247))*(O$7-O$5)*(O$6-O$5)),O$7-SQRT((1-NORMSDIST(O$9*SQRT($C$11)*NORMSINV($B247)+SQRT(1-O$9^2*$C$11)*NORMSINV(N247)))*(O$7-O$5)*(O$7-O$6))))</f>
        <v>0.165297696364409</v>
      </c>
      <c r="P247" s="2" t="n">
        <v>0.130616797</v>
      </c>
      <c r="Q247" s="2" t="n">
        <f aca="false">IF(Q$7=Q$5,Q$6,IF(NORMSDIST(Q$9*SQRT($C$11)*NORMSINV($B247)+SQRT(1-Q$9^2*$C$11)*NORMSINV(P247))&lt;Q$8,Q$5+SQRT(NORMSDIST(Q$9*SQRT($C$11)*NORMSINV($B247)+SQRT(1-Q$9^2*$C$11)*NORMSINV(P247))*(Q$7-Q$5)*(Q$6-Q$5)),Q$7-SQRT((1-NORMSDIST(Q$9*SQRT($C$11)*NORMSINV($B247)+SQRT(1-Q$9^2*$C$11)*NORMSINV(P247)))*(Q$7-Q$5)*(Q$7-Q$6))))</f>
        <v>0.0604444063352302</v>
      </c>
      <c r="R247" s="2" t="n">
        <v>0.413968697</v>
      </c>
      <c r="S247" s="2" t="n">
        <f aca="false">IF(S$7=S$5,S$6,IF(NORMSDIST(S$9*SQRT($C$11)*NORMSINV($B247)+SQRT(1-S$9^2*$C$11)*NORMSINV(R247))&lt;S$8,S$5+SQRT(NORMSDIST(S$9*SQRT($C$11)*NORMSINV($B247)+SQRT(1-S$9^2*$C$11)*NORMSINV(R247))*(S$7-S$5)*(S$6-S$5)),S$7-SQRT((1-NORMSDIST(S$9*SQRT($C$11)*NORMSINV($B247)+SQRT(1-S$9^2*$C$11)*NORMSINV(R247)))*(S$7-S$5)*(S$7-S$6))))</f>
        <v>0.486664981754327</v>
      </c>
      <c r="T247" s="2" t="n">
        <v>0.593100513</v>
      </c>
      <c r="U247" s="2" t="n">
        <f aca="false">IF(U$7=U$5,U$6,IF(NORMSDIST(U$9*SQRT($C$11)*NORMSINV($B247)+SQRT(1-U$9^2*$C$11)*NORMSINV(T247))&lt;U$8,U$5+SQRT(NORMSDIST(U$9*SQRT($C$11)*NORMSINV($B247)+SQRT(1-U$9^2*$C$11)*NORMSINV(T247))*(U$7-U$5)*(U$6-U$5)),U$7-SQRT((1-NORMSDIST(U$9*SQRT($C$11)*NORMSINV($B247)+SQRT(1-U$9^2*$C$11)*NORMSINV(T247)))*(U$7-U$5)*(U$7-U$6))))</f>
        <v>0.559600518301781</v>
      </c>
      <c r="V247" s="2" t="n">
        <v>0.132399448</v>
      </c>
      <c r="W247" s="2" t="n">
        <f aca="false">IF(W$7=W$5,W$6,IF(NORMSDIST(W$9*SQRT($C$11)*NORMSINV($B247)+SQRT(1-W$9^2*$C$11)*NORMSINV(V247))&lt;W$8,W$5+SQRT(NORMSDIST(W$9*SQRT($C$11)*NORMSINV($B247)+SQRT(1-W$9^2*$C$11)*NORMSINV(V247))*(W$7-W$5)*(W$6-W$5)),W$7-SQRT((1-NORMSDIST(W$9*SQRT($C$11)*NORMSINV($B247)+SQRT(1-W$9^2*$C$11)*NORMSINV(V247)))*(W$7-W$5)*(W$7-W$6))))</f>
        <v>9.33627285515791</v>
      </c>
      <c r="X247" s="2" t="n">
        <v>0.792234275</v>
      </c>
      <c r="Y247" s="2" t="n">
        <f aca="false">IF(Y$7=Y$5,Y$6,IF(NORMSDIST(Y$9*SQRT($C$11)*NORMSINV($B247)+SQRT(1-Y$9^2*$C$11)*NORMSINV(X247))&lt;Y$8,Y$5+SQRT(NORMSDIST(Y$9*SQRT($C$11)*NORMSINV($B247)+SQRT(1-Y$9^2*$C$11)*NORMSINV(X247))*(Y$7-Y$5)*(Y$6-Y$5)),Y$7-SQRT((1-NORMSDIST(Y$9*SQRT($C$11)*NORMSINV($B247)+SQRT(1-Y$9^2*$C$11)*NORMSINV(X247)))*(Y$7-Y$5)*(Y$7-Y$6))))</f>
        <v>0.677691355219876</v>
      </c>
      <c r="Z247" s="2" t="n">
        <v>0.074276708</v>
      </c>
      <c r="AA247" s="2" t="n">
        <f aca="false">IF(AA$7=AA$5,AA$6,IF(NORMSDIST(AA$9*SQRT($C$11)*NORMSINV($B247)+SQRT(1-AA$9^2*$C$11)*NORMSINV(Z247))&lt;AA$8,AA$5+SQRT(NORMSDIST(AA$9*SQRT($C$11)*NORMSINV($B247)+SQRT(1-AA$9^2*$C$11)*NORMSINV(Z247))*(AA$7-AA$5)*(AA$6-AA$5)),AA$7-SQRT((1-NORMSDIST(AA$9*SQRT($C$11)*NORMSINV($B247)+SQRT(1-AA$9^2*$C$11)*NORMSINV(Z247)))*(AA$7-AA$5)*(AA$7-AA$6))))</f>
        <v>0.713523257970555</v>
      </c>
      <c r="AB247" s="2" t="n">
        <v>0.060347831</v>
      </c>
      <c r="AC247" s="2" t="n">
        <f aca="false">IF(AC$7=AC$5,AC$6,IF(NORMSDIST(AC$9*SQRT($C$11)*NORMSINV($B247)+SQRT(1-AC$9^2*$C$11)*NORMSINV(AB247))&lt;AC$8,AC$5+SQRT(NORMSDIST(AC$9*SQRT($C$11)*NORMSINV($B247)+SQRT(1-AC$9^2*$C$11)*NORMSINV(AB247))*(AC$7-AC$5)*(AC$6-AC$5)),AC$7-SQRT((1-NORMSDIST(AC$9*SQRT($C$11)*NORMSINV($B247)+SQRT(1-AC$9^2*$C$11)*NORMSINV(AB247)))*(AC$7-AC$5)*(AC$7-AC$6))))</f>
        <v>8.48290672126323</v>
      </c>
      <c r="AD247" s="2" t="n">
        <f aca="false">Entrées!$C$8*(1+E247)</f>
        <v>7440.11903891222</v>
      </c>
      <c r="AE247" s="2" t="n">
        <f aca="false">I247*Hypothèses!$J$24/12/Hypothèses!$J$19</f>
        <v>99.7344452931863</v>
      </c>
      <c r="AF247" s="2" t="n">
        <f aca="false">Entrées!$C$36*S247*1000</f>
        <v>243.332490877164</v>
      </c>
      <c r="AG247" s="2" t="n">
        <f aca="false">-AF247/W247</f>
        <v>-26.0631297576883</v>
      </c>
      <c r="AH247" s="2" t="n">
        <f aca="false">AD247+AE247+AG247</f>
        <v>7513.79035444771</v>
      </c>
      <c r="AI247" s="2" t="n">
        <f aca="false">Entrées!$C$16-M247+Hypothèses!$J$22*1000-AF247+Hypothèses!$J$23</f>
        <v>22689.2241546714</v>
      </c>
      <c r="AJ247" s="2" t="n">
        <f aca="false">AI247/AH247</f>
        <v>3.01967756409929</v>
      </c>
      <c r="AK247" s="2" t="n">
        <f aca="false">AI247/(AH247+I247*(12-Hypothèses!$J$24)/12/Hypothèses!$J$19)</f>
        <v>2.99131663504004</v>
      </c>
      <c r="AL247" s="2" t="n">
        <f aca="false">(AD247+AG247+I247/Hypothèses!$J$19)*(1+G247)</f>
        <v>8021.62572960085</v>
      </c>
      <c r="AM247" s="2" t="n">
        <f aca="false">Entrées!$C$54*K247/Hypothèses!$J$19</f>
        <v>23.607952825414</v>
      </c>
      <c r="AN247" s="2" t="n">
        <f aca="false">Y247*1000/AC247</f>
        <v>79.8890495307672</v>
      </c>
      <c r="AO247" s="2" t="n">
        <f aca="false">(Entrées!$C$36*(1-S247)+MAX(0,Entrées!$C$30-Entrées!$C$35-Entrées!$C$36)*U247)*1000</f>
        <v>1040.10823474533</v>
      </c>
      <c r="AP247" s="2" t="n">
        <f aca="false">-AO247/W247</f>
        <v>-111.405081115502</v>
      </c>
      <c r="AQ247" s="2" t="n">
        <f aca="false">AL247+AM247+AN247+AP247</f>
        <v>8013.71765084153</v>
      </c>
      <c r="AR247" s="2" t="n">
        <f aca="false">O247*AQ247-Hypothèses!$J$25/Hypothèses!$J$19</f>
        <v>1305.51390473728</v>
      </c>
      <c r="AS247" s="2" t="n">
        <f aca="false">Entrées!$C$79*(1+Q247)+Hypothèses!$J$20</f>
        <v>1460.42840256242</v>
      </c>
      <c r="AT247" s="2" t="n">
        <f aca="false">AI247-AR247+AS247+Y247*1000-AO247+Hypothèses!$J$23</f>
        <v>22481.7217729711</v>
      </c>
      <c r="AU247" s="2" t="n">
        <f aca="false">AT247/AQ247</f>
        <v>2.80540477622272</v>
      </c>
      <c r="AV247" s="2" t="n">
        <f aca="false">Hypothèses!$J$26*AQ247-AT247</f>
        <v>1559.43117955349</v>
      </c>
      <c r="AW247" s="2" t="n">
        <f aca="false">IF(AC247&gt;Hypothèses!$J$26,MAX(0,AV247)/(1-Hypothèses!$J$26/AC247),0)</f>
        <v>2412.6817957855</v>
      </c>
      <c r="AX247" s="2" t="n">
        <f aca="false">AQ247-Entrées!$C$17*1000</f>
        <v>13.7176508415296</v>
      </c>
      <c r="AY247" s="2" t="n">
        <f aca="false">AI247+(Entrées!$C$244-Entrées!$C$13)</f>
        <v>28436.2241546714</v>
      </c>
      <c r="AZ247" s="2" t="n">
        <f aca="false">AA247*AH247</f>
        <v>5361.26417341327</v>
      </c>
      <c r="BA247" s="2" t="n">
        <f aca="false">AZ247/AY247</f>
        <v>0.188536429599516</v>
      </c>
      <c r="BB247" s="2" t="n">
        <f aca="false">AZ247/(Entrées!$C$151/100)-AY247</f>
        <v>1348.57680873561</v>
      </c>
      <c r="BC247" s="2" t="n">
        <f aca="false">AT247+(Entrées!$C$244-Entrées!$C$13)</f>
        <v>28228.7217729711</v>
      </c>
      <c r="BD247" s="2" t="n">
        <f aca="false">AA247*AQ247</f>
        <v>5717.97392668459</v>
      </c>
      <c r="BE247" s="2" t="n">
        <f aca="false">BD247/BC247</f>
        <v>0.202558726274299</v>
      </c>
      <c r="BF247" s="2" t="n">
        <f aca="false">BD247/(Entrées!$C$151/100)-BC247</f>
        <v>3537.8000419433</v>
      </c>
      <c r="BG247" s="2" t="n">
        <f aca="false">MIN(AV247,BF247)</f>
        <v>1559.43117955349</v>
      </c>
      <c r="BH247" s="2" t="n">
        <f aca="false">IF(AC247&gt;Hypothèses!$J$26,MAX(0,BG247)/(1-Hypothèses!$J$26/AC247),0)</f>
        <v>2412.6817957855</v>
      </c>
    </row>
    <row r="248" customFormat="false" ht="15" hidden="false" customHeight="false" outlineLevel="0" collapsed="false">
      <c r="A248" s="2" t="n">
        <v>233</v>
      </c>
      <c r="B248" s="2" t="n">
        <v>0.489434434</v>
      </c>
      <c r="C248" s="2"/>
      <c r="D248" s="2" t="n">
        <v>0.669607606</v>
      </c>
      <c r="E248" s="2" t="n">
        <f aca="false">IF(E$7=E$5,E$6,IF(NORMSDIST(E$9*SQRT($C$11)*NORMSINV($B248)+SQRT(1-E$9^2*$C$11)*NORMSINV(D248))&lt;E$8,E$5+SQRT(NORMSDIST(E$9*SQRT($C$11)*NORMSINV($B248)+SQRT(1-E$9^2*$C$11)*NORMSINV(D248))*(E$7-E$5)*(E$6-E$5)),E$7-SQRT((1-NORMSDIST(E$9*SQRT($C$11)*NORMSINV($B248)+SQRT(1-E$9^2*$C$11)*NORMSINV(D248)))*(E$7-E$5)*(E$7-E$6))))</f>
        <v>0.0556797835406812</v>
      </c>
      <c r="F248" s="2" t="n">
        <v>0.643823529</v>
      </c>
      <c r="G248" s="2" t="n">
        <f aca="false">IF(G$7=G$5,G$6,IF(NORMSDIST(G$9*SQRT($C$11)*NORMSINV($B248)+SQRT(1-G$9^2*$C$11)*NORMSINV(F248))&lt;G$8,G$5+SQRT(NORMSDIST(G$9*SQRT($C$11)*NORMSINV($B248)+SQRT(1-G$9^2*$C$11)*NORMSINV(F248))*(G$7-G$5)*(G$6-G$5)),G$7-SQRT((1-NORMSDIST(G$9*SQRT($C$11)*NORMSINV($B248)+SQRT(1-G$9^2*$C$11)*NORMSINV(F248)))*(G$7-G$5)*(G$7-G$6))))</f>
        <v>0.0566841508924511</v>
      </c>
      <c r="H248" s="2" t="n">
        <v>0.999528255</v>
      </c>
      <c r="I248" s="2" t="n">
        <f aca="false">IF(I$7=I$5,I$6,IF(NORMSDIST(I$9*SQRT($C$11)*NORMSINV($B248)+SQRT(1-I$9^2*$C$11)*NORMSINV(H248))&lt;I$8,I$5+SQRT(NORMSDIST(I$9*SQRT($C$11)*NORMSINV($B248)+SQRT(1-I$9^2*$C$11)*NORMSINV(H248))*(I$7-I$5)*(I$6-I$5)),I$7-SQRT((1-NORMSDIST(I$9*SQRT($C$11)*NORMSINV($B248)+SQRT(1-I$9^2*$C$11)*NORMSINV(H248)))*(I$7-I$5)*(I$7-I$6))))</f>
        <v>217.908467648903</v>
      </c>
      <c r="J248" s="2" t="n">
        <v>0.254081232</v>
      </c>
      <c r="K248" s="2" t="n">
        <f aca="false">IF(K$7=K$5,K$6,IF(NORMSDIST(K$9*SQRT($C$11)*NORMSINV($B248)+SQRT(1-K$9^2*$C$11)*NORMSINV(J248))&lt;K$8,K$5+SQRT(NORMSDIST(K$9*SQRT($C$11)*NORMSINV($B248)+SQRT(1-K$9^2*$C$11)*NORMSINV(J248))*(K$7-K$5)*(K$6-K$5)),K$7-SQRT((1-NORMSDIST(K$9*SQRT($C$11)*NORMSINV($B248)+SQRT(1-K$9^2*$C$11)*NORMSINV(J248)))*(K$7-K$5)*(K$7-K$6))))</f>
        <v>0.193098866221741</v>
      </c>
      <c r="L248" s="2" t="n">
        <v>0.10636014</v>
      </c>
      <c r="M248" s="2" t="n">
        <f aca="false">IF(M$7=M$5,M$6,IF(NORMSDIST(M$9*SQRT($C$11)*NORMSINV($B248)+SQRT(1-M$9^2*$C$11)*NORMSINV(L248))&lt;M$8,M$5+SQRT(NORMSDIST(M$9*SQRT($C$11)*NORMSINV($B248)+SQRT(1-M$9^2*$C$11)*NORMSINV(L248))*(M$7-M$5)*(M$6-M$5)),M$7-SQRT((1-NORMSDIST(M$9*SQRT($C$11)*NORMSINV($B248)+SQRT(1-M$9^2*$C$11)*NORMSINV(L248)))*(M$7-M$5)*(M$7-M$6))))</f>
        <v>1464.32372703885</v>
      </c>
      <c r="N248" s="2" t="n">
        <v>0.567386694</v>
      </c>
      <c r="O248" s="2" t="n">
        <f aca="false">IF(O$7=O$5,O$6,IF(NORMSDIST(O$9*SQRT($C$11)*NORMSINV($B248)+SQRT(1-O$9^2*$C$11)*NORMSINV(N248))&lt;O$8,O$5+SQRT(NORMSDIST(O$9*SQRT($C$11)*NORMSINV($B248)+SQRT(1-O$9^2*$C$11)*NORMSINV(N248))*(O$7-O$5)*(O$6-O$5)),O$7-SQRT((1-NORMSDIST(O$9*SQRT($C$11)*NORMSINV($B248)+SQRT(1-O$9^2*$C$11)*NORMSINV(N248)))*(O$7-O$5)*(O$7-O$6))))</f>
        <v>0.167980888413074</v>
      </c>
      <c r="P248" s="2" t="n">
        <v>0.06575954</v>
      </c>
      <c r="Q248" s="2" t="n">
        <f aca="false">IF(Q$7=Q$5,Q$6,IF(NORMSDIST(Q$9*SQRT($C$11)*NORMSINV($B248)+SQRT(1-Q$9^2*$C$11)*NORMSINV(P248))&lt;Q$8,Q$5+SQRT(NORMSDIST(Q$9*SQRT($C$11)*NORMSINV($B248)+SQRT(1-Q$9^2*$C$11)*NORMSINV(P248))*(Q$7-Q$5)*(Q$6-Q$5)),Q$7-SQRT((1-NORMSDIST(Q$9*SQRT($C$11)*NORMSINV($B248)+SQRT(1-Q$9^2*$C$11)*NORMSINV(P248)))*(Q$7-Q$5)*(Q$7-Q$6))))</f>
        <v>0.0545062237677488</v>
      </c>
      <c r="R248" s="2" t="n">
        <v>0.51594022</v>
      </c>
      <c r="S248" s="2" t="n">
        <f aca="false">IF(S$7=S$5,S$6,IF(NORMSDIST(S$9*SQRT($C$11)*NORMSINV($B248)+SQRT(1-S$9^2*$C$11)*NORMSINV(R248))&lt;S$8,S$5+SQRT(NORMSDIST(S$9*SQRT($C$11)*NORMSINV($B248)+SQRT(1-S$9^2*$C$11)*NORMSINV(R248))*(S$7-S$5)*(S$6-S$5)),S$7-SQRT((1-NORMSDIST(S$9*SQRT($C$11)*NORMSINV($B248)+SQRT(1-S$9^2*$C$11)*NORMSINV(R248)))*(S$7-S$5)*(S$7-S$6))))</f>
        <v>0.502841728373507</v>
      </c>
      <c r="T248" s="2" t="n">
        <v>0.959806125</v>
      </c>
      <c r="U248" s="2" t="n">
        <f aca="false">IF(U$7=U$5,U$6,IF(NORMSDIST(U$9*SQRT($C$11)*NORMSINV($B248)+SQRT(1-U$9^2*$C$11)*NORMSINV(T248))&lt;U$8,U$5+SQRT(NORMSDIST(U$9*SQRT($C$11)*NORMSINV($B248)+SQRT(1-U$9^2*$C$11)*NORMSINV(T248))*(U$7-U$5)*(U$6-U$5)),U$7-SQRT((1-NORMSDIST(U$9*SQRT($C$11)*NORMSINV($B248)+SQRT(1-U$9^2*$C$11)*NORMSINV(T248)))*(U$7-U$5)*(U$7-U$6))))</f>
        <v>0.787260759545788</v>
      </c>
      <c r="V248" s="2" t="n">
        <v>0.523598517</v>
      </c>
      <c r="W248" s="2" t="n">
        <f aca="false">IF(W$7=W$5,W$6,IF(NORMSDIST(W$9*SQRT($C$11)*NORMSINV($B248)+SQRT(1-W$9^2*$C$11)*NORMSINV(V248))&lt;W$8,W$5+SQRT(NORMSDIST(W$9*SQRT($C$11)*NORMSINV($B248)+SQRT(1-W$9^2*$C$11)*NORMSINV(V248))*(W$7-W$5)*(W$6-W$5)),W$7-SQRT((1-NORMSDIST(W$9*SQRT($C$11)*NORMSINV($B248)+SQRT(1-W$9^2*$C$11)*NORMSINV(V248)))*(W$7-W$5)*(W$7-W$6))))</f>
        <v>10.0233469428356</v>
      </c>
      <c r="X248" s="2" t="n">
        <v>0.628207906</v>
      </c>
      <c r="Y248" s="2" t="n">
        <f aca="false">IF(Y$7=Y$5,Y$6,IF(NORMSDIST(Y$9*SQRT($C$11)*NORMSINV($B248)+SQRT(1-Y$9^2*$C$11)*NORMSINV(X248))&lt;Y$8,Y$5+SQRT(NORMSDIST(Y$9*SQRT($C$11)*NORMSINV($B248)+SQRT(1-Y$9^2*$C$11)*NORMSINV(X248))*(Y$7-Y$5)*(Y$6-Y$5)),Y$7-SQRT((1-NORMSDIST(Y$9*SQRT($C$11)*NORMSINV($B248)+SQRT(1-Y$9^2*$C$11)*NORMSINV(X248)))*(Y$7-Y$5)*(Y$7-Y$6))))</f>
        <v>0.568843361410264</v>
      </c>
      <c r="Z248" s="2" t="n">
        <v>0.279388599</v>
      </c>
      <c r="AA248" s="2" t="n">
        <f aca="false">IF(AA$7=AA$5,AA$6,IF(NORMSDIST(AA$9*SQRT($C$11)*NORMSINV($B248)+SQRT(1-AA$9^2*$C$11)*NORMSINV(Z248))&lt;AA$8,AA$5+SQRT(NORMSDIST(AA$9*SQRT($C$11)*NORMSINV($B248)+SQRT(1-AA$9^2*$C$11)*NORMSINV(Z248))*(AA$7-AA$5)*(AA$6-AA$5)),AA$7-SQRT((1-NORMSDIST(AA$9*SQRT($C$11)*NORMSINV($B248)+SQRT(1-AA$9^2*$C$11)*NORMSINV(Z248)))*(AA$7-AA$5)*(AA$7-AA$6))))</f>
        <v>0.721476722732647</v>
      </c>
      <c r="AB248" s="2" t="n">
        <v>0.184196993</v>
      </c>
      <c r="AC248" s="2" t="n">
        <f aca="false">IF(AC$7=AC$5,AC$6,IF(NORMSDIST(AC$9*SQRT($C$11)*NORMSINV($B248)+SQRT(1-AC$9^2*$C$11)*NORMSINV(AB248))&lt;AC$8,AC$5+SQRT(NORMSDIST(AC$9*SQRT($C$11)*NORMSINV($B248)+SQRT(1-AC$9^2*$C$11)*NORMSINV(AB248))*(AC$7-AC$5)*(AC$6-AC$5)),AC$7-SQRT((1-NORMSDIST(AC$9*SQRT($C$11)*NORMSINV($B248)+SQRT(1-AC$9^2*$C$11)*NORMSINV(AB248)))*(AC$7-AC$5)*(AC$7-AC$6))))</f>
        <v>8.83329780198864</v>
      </c>
      <c r="AD248" s="2" t="n">
        <f aca="false">Entrées!$C$8*(1+E248)</f>
        <v>7442.5424739618</v>
      </c>
      <c r="AE248" s="2" t="n">
        <f aca="false">I248*Hypothèses!$J$24/12/Hypothèses!$J$19</f>
        <v>108.103693357438</v>
      </c>
      <c r="AF248" s="2" t="n">
        <f aca="false">Entrées!$C$36*S248*1000</f>
        <v>251.420864186754</v>
      </c>
      <c r="AG248" s="2" t="n">
        <f aca="false">-AF248/W248</f>
        <v>-25.0835240584446</v>
      </c>
      <c r="AH248" s="2" t="n">
        <f aca="false">AD248+AE248+AG248</f>
        <v>7525.5626432608</v>
      </c>
      <c r="AI248" s="2" t="n">
        <f aca="false">Entrées!$C$16-M248+Hypothèses!$J$22*1000-AF248+Hypothèses!$J$23</f>
        <v>22832.2554087744</v>
      </c>
      <c r="AJ248" s="2" t="n">
        <f aca="false">AI248/AH248</f>
        <v>3.03395991650151</v>
      </c>
      <c r="AK248" s="2" t="n">
        <f aca="false">AI248/(AH248+I248*(12-Hypothèses!$J$24)/12/Hypothèses!$J$19)</f>
        <v>3.00314578468319</v>
      </c>
      <c r="AL248" s="2" t="n">
        <f aca="false">(AD248+AG248+I248/Hypothèses!$J$19)*(1+G248)</f>
        <v>8033.73667127037</v>
      </c>
      <c r="AM248" s="2" t="n">
        <f aca="false">Entrées!$C$54*K248/Hypothèses!$J$19</f>
        <v>19.7065500676748</v>
      </c>
      <c r="AN248" s="2" t="n">
        <f aca="false">Y248*1000/AC248</f>
        <v>64.3976207031309</v>
      </c>
      <c r="AO248" s="2" t="n">
        <f aca="false">(Entrées!$C$36*(1-S248)+MAX(0,Entrées!$C$30-Entrées!$C$35-Entrées!$C$36)*U248)*1000</f>
        <v>1350.74419917735</v>
      </c>
      <c r="AP248" s="2" t="n">
        <f aca="false">-AO248/W248</f>
        <v>-134.759796990049</v>
      </c>
      <c r="AQ248" s="2" t="n">
        <f aca="false">AL248+AM248+AN248+AP248</f>
        <v>7983.08104505113</v>
      </c>
      <c r="AR248" s="2" t="n">
        <f aca="false">O248*AQ248-Hypothèses!$J$25/Hypothèses!$J$19</f>
        <v>1321.86988395964</v>
      </c>
      <c r="AS248" s="2" t="n">
        <f aca="false">Entrées!$C$79*(1+Q248)+Hypothèses!$J$20</f>
        <v>1453.90233992076</v>
      </c>
      <c r="AT248" s="2" t="n">
        <f aca="false">AI248-AR248+AS248+Y248*1000-AO248+Hypothèses!$J$23</f>
        <v>22182.3870269684</v>
      </c>
      <c r="AU248" s="2" t="n">
        <f aca="false">AT248/AQ248</f>
        <v>2.77867491282952</v>
      </c>
      <c r="AV248" s="2" t="n">
        <f aca="false">Hypothèses!$J$26*AQ248-AT248</f>
        <v>1766.85610818496</v>
      </c>
      <c r="AW248" s="2" t="n">
        <f aca="false">IF(AC248&gt;Hypothèses!$J$26,MAX(0,AV248)/(1-Hypothèses!$J$26/AC248),0)</f>
        <v>2675.53049863831</v>
      </c>
      <c r="AX248" s="2" t="n">
        <f aca="false">AQ248-Entrées!$C$17*1000</f>
        <v>-16.918954948871</v>
      </c>
      <c r="AY248" s="2" t="n">
        <f aca="false">AI248+(Entrées!$C$244-Entrées!$C$13)</f>
        <v>28579.2554087744</v>
      </c>
      <c r="AZ248" s="2" t="n">
        <f aca="false">AA248*AH248</f>
        <v>5429.51827257904</v>
      </c>
      <c r="BA248" s="2" t="n">
        <f aca="false">AZ248/AY248</f>
        <v>0.189981096250397</v>
      </c>
      <c r="BB248" s="2" t="n">
        <f aca="false">AZ248/(Entrées!$C$151/100)-AY248</f>
        <v>1584.73499444248</v>
      </c>
      <c r="BC248" s="2" t="n">
        <f aca="false">AT248+(Entrées!$C$244-Entrées!$C$13)</f>
        <v>27929.3870269684</v>
      </c>
      <c r="BD248" s="2" t="n">
        <f aca="false">AA248*AQ248</f>
        <v>5759.60714969261</v>
      </c>
      <c r="BE248" s="2" t="n">
        <f aca="false">BD248/BC248</f>
        <v>0.206220320701316</v>
      </c>
      <c r="BF248" s="2" t="n">
        <f aca="false">BD248/(Entrées!$C$151/100)-BC248</f>
        <v>4068.43047132383</v>
      </c>
      <c r="BG248" s="2" t="n">
        <f aca="false">MIN(AV248,BF248)</f>
        <v>1766.85610818496</v>
      </c>
      <c r="BH248" s="2" t="n">
        <f aca="false">IF(AC248&gt;Hypothèses!$J$26,MAX(0,BG248)/(1-Hypothèses!$J$26/AC248),0)</f>
        <v>2675.53049863831</v>
      </c>
    </row>
    <row r="249" customFormat="false" ht="15" hidden="false" customHeight="false" outlineLevel="0" collapsed="false">
      <c r="A249" s="2" t="n">
        <v>234</v>
      </c>
      <c r="B249" s="2" t="n">
        <v>0.094223767</v>
      </c>
      <c r="C249" s="2"/>
      <c r="D249" s="2" t="n">
        <v>0.564658861</v>
      </c>
      <c r="E249" s="2" t="n">
        <f aca="false">IF(E$7=E$5,E$6,IF(NORMSDIST(E$9*SQRT($C$11)*NORMSINV($B249)+SQRT(1-E$9^2*$C$11)*NORMSINV(D249))&lt;E$8,E$5+SQRT(NORMSDIST(E$9*SQRT($C$11)*NORMSINV($B249)+SQRT(1-E$9^2*$C$11)*NORMSINV(D249))*(E$7-E$5)*(E$6-E$5)),E$7-SQRT((1-NORMSDIST(E$9*SQRT($C$11)*NORMSINV($B249)+SQRT(1-E$9^2*$C$11)*NORMSINV(D249)))*(E$7-E$5)*(E$7-E$6))))</f>
        <v>0.0534654572426045</v>
      </c>
      <c r="F249" s="2" t="n">
        <v>0.907019118</v>
      </c>
      <c r="G249" s="2" t="n">
        <f aca="false">IF(G$7=G$5,G$6,IF(NORMSDIST(G$9*SQRT($C$11)*NORMSINV($B249)+SQRT(1-G$9^2*$C$11)*NORMSINV(F249))&lt;G$8,G$5+SQRT(NORMSDIST(G$9*SQRT($C$11)*NORMSINV($B249)+SQRT(1-G$9^2*$C$11)*NORMSINV(F249))*(G$7-G$5)*(G$6-G$5)),G$7-SQRT((1-NORMSDIST(G$9*SQRT($C$11)*NORMSINV($B249)+SQRT(1-G$9^2*$C$11)*NORMSINV(F249)))*(G$7-G$5)*(G$7-G$6))))</f>
        <v>0.0561935336286541</v>
      </c>
      <c r="H249" s="2" t="n">
        <v>0.050527881</v>
      </c>
      <c r="I249" s="2" t="n">
        <f aca="false">IF(I$7=I$5,I$6,IF(NORMSDIST(I$9*SQRT($C$11)*NORMSINV($B249)+SQRT(1-I$9^2*$C$11)*NORMSINV(H249))&lt;I$8,I$5+SQRT(NORMSDIST(I$9*SQRT($C$11)*NORMSINV($B249)+SQRT(1-I$9^2*$C$11)*NORMSINV(H249))*(I$7-I$5)*(I$6-I$5)),I$7-SQRT((1-NORMSDIST(I$9*SQRT($C$11)*NORMSINV($B249)+SQRT(1-I$9^2*$C$11)*NORMSINV(H249)))*(I$7-I$5)*(I$7-I$6))))</f>
        <v>183.771363839192</v>
      </c>
      <c r="J249" s="2" t="n">
        <v>0.855620906</v>
      </c>
      <c r="K249" s="2" t="n">
        <f aca="false">IF(K$7=K$5,K$6,IF(NORMSDIST(K$9*SQRT($C$11)*NORMSINV($B249)+SQRT(1-K$9^2*$C$11)*NORMSINV(J249))&lt;K$8,K$5+SQRT(NORMSDIST(K$9*SQRT($C$11)*NORMSINV($B249)+SQRT(1-K$9^2*$C$11)*NORMSINV(J249))*(K$7-K$5)*(K$6-K$5)),K$7-SQRT((1-NORMSDIST(K$9*SQRT($C$11)*NORMSINV($B249)+SQRT(1-K$9^2*$C$11)*NORMSINV(J249)))*(K$7-K$5)*(K$7-K$6))))</f>
        <v>0.248994082572841</v>
      </c>
      <c r="L249" s="2" t="n">
        <v>0.724212364</v>
      </c>
      <c r="M249" s="2" t="n">
        <f aca="false">IF(M$7=M$5,M$6,IF(NORMSDIST(M$9*SQRT($C$11)*NORMSINV($B249)+SQRT(1-M$9^2*$C$11)*NORMSINV(L249))&lt;M$8,M$5+SQRT(NORMSDIST(M$9*SQRT($C$11)*NORMSINV($B249)+SQRT(1-M$9^2*$C$11)*NORMSINV(L249))*(M$7-M$5)*(M$6-M$5)),M$7-SQRT((1-NORMSDIST(M$9*SQRT($C$11)*NORMSINV($B249)+SQRT(1-M$9^2*$C$11)*NORMSINV(L249)))*(M$7-M$5)*(M$7-M$6))))</f>
        <v>1541.101225348</v>
      </c>
      <c r="N249" s="2" t="n">
        <v>0.426970023</v>
      </c>
      <c r="O249" s="2" t="n">
        <f aca="false">IF(O$7=O$5,O$6,IF(NORMSDIST(O$9*SQRT($C$11)*NORMSINV($B249)+SQRT(1-O$9^2*$C$11)*NORMSINV(N249))&lt;O$8,O$5+SQRT(NORMSDIST(O$9*SQRT($C$11)*NORMSINV($B249)+SQRT(1-O$9^2*$C$11)*NORMSINV(N249))*(O$7-O$5)*(O$6-O$5)),O$7-SQRT((1-NORMSDIST(O$9*SQRT($C$11)*NORMSINV($B249)+SQRT(1-O$9^2*$C$11)*NORMSINV(N249)))*(O$7-O$5)*(O$7-O$6))))</f>
        <v>0.155383270386547</v>
      </c>
      <c r="P249" s="2" t="n">
        <v>0.581730486</v>
      </c>
      <c r="Q249" s="2" t="n">
        <f aca="false">IF(Q$7=Q$5,Q$6,IF(NORMSDIST(Q$9*SQRT($C$11)*NORMSINV($B249)+SQRT(1-Q$9^2*$C$11)*NORMSINV(P249))&lt;Q$8,Q$5+SQRT(NORMSDIST(Q$9*SQRT($C$11)*NORMSINV($B249)+SQRT(1-Q$9^2*$C$11)*NORMSINV(P249))*(Q$7-Q$5)*(Q$6-Q$5)),Q$7-SQRT((1-NORMSDIST(Q$9*SQRT($C$11)*NORMSINV($B249)+SQRT(1-Q$9^2*$C$11)*NORMSINV(P249)))*(Q$7-Q$5)*(Q$7-Q$6))))</f>
        <v>0.0834149969960367</v>
      </c>
      <c r="R249" s="2" t="n">
        <v>0.977782436</v>
      </c>
      <c r="S249" s="2" t="n">
        <f aca="false">IF(S$7=S$5,S$6,IF(NORMSDIST(S$9*SQRT($C$11)*NORMSINV($B249)+SQRT(1-S$9^2*$C$11)*NORMSINV(R249))&lt;S$8,S$5+SQRT(NORMSDIST(S$9*SQRT($C$11)*NORMSINV($B249)+SQRT(1-S$9^2*$C$11)*NORMSINV(R249))*(S$7-S$5)*(S$6-S$5)),S$7-SQRT((1-NORMSDIST(S$9*SQRT($C$11)*NORMSINV($B249)+SQRT(1-S$9^2*$C$11)*NORMSINV(R249)))*(S$7-S$5)*(S$7-S$6))))</f>
        <v>0.657807782938379</v>
      </c>
      <c r="T249" s="2" t="n">
        <v>0.992699844</v>
      </c>
      <c r="U249" s="2" t="n">
        <f aca="false">IF(U$7=U$5,U$6,IF(NORMSDIST(U$9*SQRT($C$11)*NORMSINV($B249)+SQRT(1-U$9^2*$C$11)*NORMSINV(T249))&lt;U$8,U$5+SQRT(NORMSDIST(U$9*SQRT($C$11)*NORMSINV($B249)+SQRT(1-U$9^2*$C$11)*NORMSINV(T249))*(U$7-U$5)*(U$6-U$5)),U$7-SQRT((1-NORMSDIST(U$9*SQRT($C$11)*NORMSINV($B249)+SQRT(1-U$9^2*$C$11)*NORMSINV(T249)))*(U$7-U$5)*(U$7-U$6))))</f>
        <v>0.731113862130136</v>
      </c>
      <c r="V249" s="2" t="n">
        <v>0.009852906</v>
      </c>
      <c r="W249" s="2" t="n">
        <f aca="false">IF(W$7=W$5,W$6,IF(NORMSDIST(W$9*SQRT($C$11)*NORMSINV($B249)+SQRT(1-W$9^2*$C$11)*NORMSINV(V249))&lt;W$8,W$5+SQRT(NORMSDIST(W$9*SQRT($C$11)*NORMSINV($B249)+SQRT(1-W$9^2*$C$11)*NORMSINV(V249))*(W$7-W$5)*(W$6-W$5)),W$7-SQRT((1-NORMSDIST(W$9*SQRT($C$11)*NORMSINV($B249)+SQRT(1-W$9^2*$C$11)*NORMSINV(V249)))*(W$7-W$5)*(W$7-W$6))))</f>
        <v>8.18262179460486</v>
      </c>
      <c r="X249" s="2" t="n">
        <v>0.378214693</v>
      </c>
      <c r="Y249" s="2" t="n">
        <f aca="false">IF(Y$7=Y$5,Y$6,IF(NORMSDIST(Y$9*SQRT($C$11)*NORMSINV($B249)+SQRT(1-Y$9^2*$C$11)*NORMSINV(X249))&lt;Y$8,Y$5+SQRT(NORMSDIST(Y$9*SQRT($C$11)*NORMSINV($B249)+SQRT(1-Y$9^2*$C$11)*NORMSINV(X249))*(Y$7-Y$5)*(Y$6-Y$5)),Y$7-SQRT((1-NORMSDIST(Y$9*SQRT($C$11)*NORMSINV($B249)+SQRT(1-Y$9^2*$C$11)*NORMSINV(X249)))*(Y$7-Y$5)*(Y$7-Y$6))))</f>
        <v>0.434864745064486</v>
      </c>
      <c r="Z249" s="2" t="n">
        <v>0.058930301</v>
      </c>
      <c r="AA249" s="2" t="n">
        <f aca="false">IF(AA$7=AA$5,AA$6,IF(NORMSDIST(AA$9*SQRT($C$11)*NORMSINV($B249)+SQRT(1-AA$9^2*$C$11)*NORMSINV(Z249))&lt;AA$8,AA$5+SQRT(NORMSDIST(AA$9*SQRT($C$11)*NORMSINV($B249)+SQRT(1-AA$9^2*$C$11)*NORMSINV(Z249))*(AA$7-AA$5)*(AA$6-AA$5)),AA$7-SQRT((1-NORMSDIST(AA$9*SQRT($C$11)*NORMSINV($B249)+SQRT(1-AA$9^2*$C$11)*NORMSINV(Z249)))*(AA$7-AA$5)*(AA$7-AA$6))))</f>
        <v>0.701950168333676</v>
      </c>
      <c r="AB249" s="2" t="n">
        <v>0.551592601</v>
      </c>
      <c r="AC249" s="2" t="n">
        <f aca="false">IF(AC$7=AC$5,AC$6,IF(NORMSDIST(AC$9*SQRT($C$11)*NORMSINV($B249)+SQRT(1-AC$9^2*$C$11)*NORMSINV(AB249))&lt;AC$8,AC$5+SQRT(NORMSDIST(AC$9*SQRT($C$11)*NORMSINV($B249)+SQRT(1-AC$9^2*$C$11)*NORMSINV(AB249))*(AC$7-AC$5)*(AC$6-AC$5)),AC$7-SQRT((1-NORMSDIST(AC$9*SQRT($C$11)*NORMSINV($B249)+SQRT(1-AC$9^2*$C$11)*NORMSINV(AB249)))*(AC$7-AC$5)*(AC$7-AC$6))))</f>
        <v>8.81666637249376</v>
      </c>
      <c r="AD249" s="2" t="n">
        <f aca="false">Entrées!$C$8*(1+E249)</f>
        <v>7426.93147356036</v>
      </c>
      <c r="AE249" s="2" t="n">
        <f aca="false">I249*Hypothèses!$J$24/12/Hypothèses!$J$19</f>
        <v>91.1683854174915</v>
      </c>
      <c r="AF249" s="2" t="n">
        <f aca="false">Entrées!$C$36*S249*1000</f>
        <v>328.90389146919</v>
      </c>
      <c r="AG249" s="2" t="n">
        <f aca="false">-AF249/W249</f>
        <v>-40.1954165455929</v>
      </c>
      <c r="AH249" s="2" t="n">
        <f aca="false">AD249+AE249+AG249</f>
        <v>7477.90444243226</v>
      </c>
      <c r="AI249" s="2" t="n">
        <f aca="false">Entrées!$C$16-M249+Hypothèses!$J$22*1000-AF249+Hypothèses!$J$23</f>
        <v>22677.9948831828</v>
      </c>
      <c r="AJ249" s="2" t="n">
        <f aca="false">AI249/AH249</f>
        <v>3.03266711386413</v>
      </c>
      <c r="AK249" s="2" t="n">
        <f aca="false">AI249/(AH249+I249*(12-Hypothèses!$J$24)/12/Hypothèses!$J$19)</f>
        <v>3.00648555875422</v>
      </c>
      <c r="AL249" s="2" t="n">
        <f aca="false">(AD249+AG249+I249/Hypothèses!$J$19)*(1+G249)</f>
        <v>7966.89393086803</v>
      </c>
      <c r="AM249" s="2" t="n">
        <f aca="false">Entrées!$C$54*K249/Hypothèses!$J$19</f>
        <v>25.4108915851521</v>
      </c>
      <c r="AN249" s="2" t="n">
        <f aca="false">Y249*1000/AC249</f>
        <v>49.3230351123614</v>
      </c>
      <c r="AO249" s="2" t="n">
        <f aca="false">(Entrées!$C$36*(1-S249)+MAX(0,Entrées!$C$30-Entrées!$C$35-Entrées!$C$36)*U249)*1000</f>
        <v>1194.655515513</v>
      </c>
      <c r="AP249" s="2" t="n">
        <f aca="false">-AO249/W249</f>
        <v>-145.999111959529</v>
      </c>
      <c r="AQ249" s="2" t="n">
        <f aca="false">AL249+AM249+AN249+AP249</f>
        <v>7895.62874560601</v>
      </c>
      <c r="AR249" s="2" t="n">
        <f aca="false">O249*AQ249-Hypothèses!$J$25/Hypothèses!$J$19</f>
        <v>1207.71345398867</v>
      </c>
      <c r="AS249" s="2" t="n">
        <f aca="false">Entrées!$C$79*(1+Q249)+Hypothèses!$J$20</f>
        <v>1485.67308169864</v>
      </c>
      <c r="AT249" s="2" t="n">
        <f aca="false">AI249-AR249+AS249+Y249*1000-AO249+Hypothèses!$J$23</f>
        <v>22196.1637404443</v>
      </c>
      <c r="AU249" s="2" t="n">
        <f aca="false">AT249/AQ249</f>
        <v>2.81119648043187</v>
      </c>
      <c r="AV249" s="2" t="n">
        <f aca="false">Hypothèses!$J$26*AQ249-AT249</f>
        <v>1490.72249637375</v>
      </c>
      <c r="AW249" s="2" t="n">
        <f aca="false">IF(AC249&gt;Hypothèses!$J$26,MAX(0,AV249)/(1-Hypothèses!$J$26/AC249),0)</f>
        <v>2259.57654484893</v>
      </c>
      <c r="AX249" s="2" t="n">
        <f aca="false">AQ249-Entrées!$C$17*1000</f>
        <v>-104.371254393991</v>
      </c>
      <c r="AY249" s="2" t="n">
        <f aca="false">AI249+(Entrées!$C$244-Entrées!$C$13)</f>
        <v>28424.9948831828</v>
      </c>
      <c r="AZ249" s="2" t="n">
        <f aca="false">AA249*AH249</f>
        <v>5249.11628214847</v>
      </c>
      <c r="BA249" s="2" t="n">
        <f aca="false">AZ249/AY249</f>
        <v>0.18466551370442</v>
      </c>
      <c r="BB249" s="2" t="n">
        <f aca="false">AZ249/(Entrées!$C$151/100)-AY249</f>
        <v>736.762239864249</v>
      </c>
      <c r="BC249" s="2" t="n">
        <f aca="false">AT249+(Entrées!$C$244-Entrées!$C$13)</f>
        <v>27943.1637404443</v>
      </c>
      <c r="BD249" s="2" t="n">
        <f aca="false">AA249*AQ249</f>
        <v>5542.33792707835</v>
      </c>
      <c r="BE249" s="2" t="n">
        <f aca="false">BD249/BC249</f>
        <v>0.198343250555287</v>
      </c>
      <c r="BF249" s="2" t="n">
        <f aca="false">BD249/(Entrées!$C$151/100)-BC249</f>
        <v>2847.60252110212</v>
      </c>
      <c r="BG249" s="2" t="n">
        <f aca="false">MIN(AV249,BF249)</f>
        <v>1490.72249637375</v>
      </c>
      <c r="BH249" s="2" t="n">
        <f aca="false">IF(AC249&gt;Hypothèses!$J$26,MAX(0,BG249)/(1-Hypothèses!$J$26/AC249),0)</f>
        <v>2259.57654484893</v>
      </c>
    </row>
    <row r="250" customFormat="false" ht="15" hidden="false" customHeight="false" outlineLevel="0" collapsed="false">
      <c r="A250" s="2" t="n">
        <v>235</v>
      </c>
      <c r="B250" s="2" t="n">
        <v>0.811886475</v>
      </c>
      <c r="C250" s="2"/>
      <c r="D250" s="2" t="n">
        <v>0.612426667</v>
      </c>
      <c r="E250" s="2" t="n">
        <f aca="false">IF(E$7=E$5,E$6,IF(NORMSDIST(E$9*SQRT($C$11)*NORMSINV($B250)+SQRT(1-E$9^2*$C$11)*NORMSINV(D250))&lt;E$8,E$5+SQRT(NORMSDIST(E$9*SQRT($C$11)*NORMSINV($B250)+SQRT(1-E$9^2*$C$11)*NORMSINV(D250))*(E$7-E$5)*(E$6-E$5)),E$7-SQRT((1-NORMSDIST(E$9*SQRT($C$11)*NORMSINV($B250)+SQRT(1-E$9^2*$C$11)*NORMSINV(D250)))*(E$7-E$5)*(E$7-E$6))))</f>
        <v>0.0567028073777916</v>
      </c>
      <c r="F250" s="2" t="n">
        <v>0.454294342</v>
      </c>
      <c r="G250" s="2" t="n">
        <f aca="false">IF(G$7=G$5,G$6,IF(NORMSDIST(G$9*SQRT($C$11)*NORMSINV($B250)+SQRT(1-G$9^2*$C$11)*NORMSINV(F250))&lt;G$8,G$5+SQRT(NORMSDIST(G$9*SQRT($C$11)*NORMSINV($B250)+SQRT(1-G$9^2*$C$11)*NORMSINV(F250))*(G$7-G$5)*(G$6-G$5)),G$7-SQRT((1-NORMSDIST(G$9*SQRT($C$11)*NORMSINV($B250)+SQRT(1-G$9^2*$C$11)*NORMSINV(F250)))*(G$7-G$5)*(G$7-G$6))))</f>
        <v>0.0580201415091848</v>
      </c>
      <c r="H250" s="2" t="n">
        <v>0.210239175</v>
      </c>
      <c r="I250" s="2" t="n">
        <f aca="false">IF(I$7=I$5,I$6,IF(NORMSDIST(I$9*SQRT($C$11)*NORMSINV($B250)+SQRT(1-I$9^2*$C$11)*NORMSINV(H250))&lt;I$8,I$5+SQRT(NORMSDIST(I$9*SQRT($C$11)*NORMSINV($B250)+SQRT(1-I$9^2*$C$11)*NORMSINV(H250))*(I$7-I$5)*(I$6-I$5)),I$7-SQRT((1-NORMSDIST(I$9*SQRT($C$11)*NORMSINV($B250)+SQRT(1-I$9^2*$C$11)*NORMSINV(H250)))*(I$7-I$5)*(I$7-I$6))))</f>
        <v>199.480012229634</v>
      </c>
      <c r="J250" s="2" t="n">
        <v>0.712851906</v>
      </c>
      <c r="K250" s="2" t="n">
        <f aca="false">IF(K$7=K$5,K$6,IF(NORMSDIST(K$9*SQRT($C$11)*NORMSINV($B250)+SQRT(1-K$9^2*$C$11)*NORMSINV(J250))&lt;K$8,K$5+SQRT(NORMSDIST(K$9*SQRT($C$11)*NORMSINV($B250)+SQRT(1-K$9^2*$C$11)*NORMSINV(J250))*(K$7-K$5)*(K$6-K$5)),K$7-SQRT((1-NORMSDIST(K$9*SQRT($C$11)*NORMSINV($B250)+SQRT(1-K$9^2*$C$11)*NORMSINV(J250)))*(K$7-K$5)*(K$7-K$6))))</f>
        <v>0.358611030745705</v>
      </c>
      <c r="L250" s="2" t="n">
        <v>0.160267013</v>
      </c>
      <c r="M250" s="2" t="n">
        <f aca="false">IF(M$7=M$5,M$6,IF(NORMSDIST(M$9*SQRT($C$11)*NORMSINV($B250)+SQRT(1-M$9^2*$C$11)*NORMSINV(L250))&lt;M$8,M$5+SQRT(NORMSDIST(M$9*SQRT($C$11)*NORMSINV($B250)+SQRT(1-M$9^2*$C$11)*NORMSINV(L250))*(M$7-M$5)*(M$6-M$5)),M$7-SQRT((1-NORMSDIST(M$9*SQRT($C$11)*NORMSINV($B250)+SQRT(1-M$9^2*$C$11)*NORMSINV(L250)))*(M$7-M$5)*(M$7-M$6))))</f>
        <v>1560.84165691729</v>
      </c>
      <c r="N250" s="2" t="n">
        <v>0.676080267</v>
      </c>
      <c r="O250" s="2" t="n">
        <f aca="false">IF(O$7=O$5,O$6,IF(NORMSDIST(O$9*SQRT($C$11)*NORMSINV($B250)+SQRT(1-O$9^2*$C$11)*NORMSINV(N250))&lt;O$8,O$5+SQRT(NORMSDIST(O$9*SQRT($C$11)*NORMSINV($B250)+SQRT(1-O$9^2*$C$11)*NORMSINV(N250))*(O$7-O$5)*(O$6-O$5)),O$7-SQRT((1-NORMSDIST(O$9*SQRT($C$11)*NORMSINV($B250)+SQRT(1-O$9^2*$C$11)*NORMSINV(N250)))*(O$7-O$5)*(O$7-O$6))))</f>
        <v>0.176133907176088</v>
      </c>
      <c r="P250" s="2" t="n">
        <v>0.312380531</v>
      </c>
      <c r="Q250" s="2" t="n">
        <f aca="false">IF(Q$7=Q$5,Q$6,IF(NORMSDIST(Q$9*SQRT($C$11)*NORMSINV($B250)+SQRT(1-Q$9^2*$C$11)*NORMSINV(P250))&lt;Q$8,Q$5+SQRT(NORMSDIST(Q$9*SQRT($C$11)*NORMSINV($B250)+SQRT(1-Q$9^2*$C$11)*NORMSINV(P250))*(Q$7-Q$5)*(Q$6-Q$5)),Q$7-SQRT((1-NORMSDIST(Q$9*SQRT($C$11)*NORMSINV($B250)+SQRT(1-Q$9^2*$C$11)*NORMSINV(P250)))*(Q$7-Q$5)*(Q$7-Q$6))))</f>
        <v>0.0716167313174528</v>
      </c>
      <c r="R250" s="2" t="n">
        <v>0.559939151</v>
      </c>
      <c r="S250" s="2" t="n">
        <f aca="false">IF(S$7=S$5,S$6,IF(NORMSDIST(S$9*SQRT($C$11)*NORMSINV($B250)+SQRT(1-S$9^2*$C$11)*NORMSINV(R250))&lt;S$8,S$5+SQRT(NORMSDIST(S$9*SQRT($C$11)*NORMSINV($B250)+SQRT(1-S$9^2*$C$11)*NORMSINV(R250))*(S$7-S$5)*(S$6-S$5)),S$7-SQRT((1-NORMSDIST(S$9*SQRT($C$11)*NORMSINV($B250)+SQRT(1-S$9^2*$C$11)*NORMSINV(R250)))*(S$7-S$5)*(S$7-S$6))))</f>
        <v>0.646889609558766</v>
      </c>
      <c r="T250" s="2" t="n">
        <v>0.207370997</v>
      </c>
      <c r="U250" s="2" t="n">
        <f aca="false">IF(U$7=U$5,U$6,IF(NORMSDIST(U$9*SQRT($C$11)*NORMSINV($B250)+SQRT(1-U$9^2*$C$11)*NORMSINV(T250))&lt;U$8,U$5+SQRT(NORMSDIST(U$9*SQRT($C$11)*NORMSINV($B250)+SQRT(1-U$9^2*$C$11)*NORMSINV(T250))*(U$7-U$5)*(U$6-U$5)),U$7-SQRT((1-NORMSDIST(U$9*SQRT($C$11)*NORMSINV($B250)+SQRT(1-U$9^2*$C$11)*NORMSINV(T250)))*(U$7-U$5)*(U$7-U$6))))</f>
        <v>0.48541736980654</v>
      </c>
      <c r="V250" s="2" t="n">
        <v>0.231289087</v>
      </c>
      <c r="W250" s="2" t="n">
        <f aca="false">IF(W$7=W$5,W$6,IF(NORMSDIST(W$9*SQRT($C$11)*NORMSINV($B250)+SQRT(1-W$9^2*$C$11)*NORMSINV(V250))&lt;W$8,W$5+SQRT(NORMSDIST(W$9*SQRT($C$11)*NORMSINV($B250)+SQRT(1-W$9^2*$C$11)*NORMSINV(V250))*(W$7-W$5)*(W$6-W$5)),W$7-SQRT((1-NORMSDIST(W$9*SQRT($C$11)*NORMSINV($B250)+SQRT(1-W$9^2*$C$11)*NORMSINV(V250)))*(W$7-W$5)*(W$7-W$6))))</f>
        <v>9.99249833327311</v>
      </c>
      <c r="X250" s="2" t="n">
        <v>0.250636395</v>
      </c>
      <c r="Y250" s="2" t="n">
        <f aca="false">IF(Y$7=Y$5,Y$6,IF(NORMSDIST(Y$9*SQRT($C$11)*NORMSINV($B250)+SQRT(1-Y$9^2*$C$11)*NORMSINV(X250))&lt;Y$8,Y$5+SQRT(NORMSDIST(Y$9*SQRT($C$11)*NORMSINV($B250)+SQRT(1-Y$9^2*$C$11)*NORMSINV(X250))*(Y$7-Y$5)*(Y$6-Y$5)),Y$7-SQRT((1-NORMSDIST(Y$9*SQRT($C$11)*NORMSINV($B250)+SQRT(1-Y$9^2*$C$11)*NORMSINV(X250)))*(Y$7-Y$5)*(Y$7-Y$6))))</f>
        <v>0.354003103799953</v>
      </c>
      <c r="Z250" s="2" t="n">
        <v>0.882632809</v>
      </c>
      <c r="AA250" s="2" t="n">
        <f aca="false">IF(AA$7=AA$5,AA$6,IF(NORMSDIST(AA$9*SQRT($C$11)*NORMSINV($B250)+SQRT(1-AA$9^2*$C$11)*NORMSINV(Z250))&lt;AA$8,AA$5+SQRT(NORMSDIST(AA$9*SQRT($C$11)*NORMSINV($B250)+SQRT(1-AA$9^2*$C$11)*NORMSINV(Z250))*(AA$7-AA$5)*(AA$6-AA$5)),AA$7-SQRT((1-NORMSDIST(AA$9*SQRT($C$11)*NORMSINV($B250)+SQRT(1-AA$9^2*$C$11)*NORMSINV(Z250)))*(AA$7-AA$5)*(AA$7-AA$6))))</f>
        <v>0.744424401589302</v>
      </c>
      <c r="AB250" s="2" t="n">
        <v>0.399059972</v>
      </c>
      <c r="AC250" s="2" t="n">
        <f aca="false">IF(AC$7=AC$5,AC$6,IF(NORMSDIST(AC$9*SQRT($C$11)*NORMSINV($B250)+SQRT(1-AC$9^2*$C$11)*NORMSINV(AB250))&lt;AC$8,AC$5+SQRT(NORMSDIST(AC$9*SQRT($C$11)*NORMSINV($B250)+SQRT(1-AC$9^2*$C$11)*NORMSINV(AB250))*(AC$7-AC$5)*(AC$6-AC$5)),AC$7-SQRT((1-NORMSDIST(AC$9*SQRT($C$11)*NORMSINV($B250)+SQRT(1-AC$9^2*$C$11)*NORMSINV(AB250)))*(AC$7-AC$5)*(AC$7-AC$6))))</f>
        <v>9.7536075336057</v>
      </c>
      <c r="AD250" s="2" t="n">
        <f aca="false">Entrées!$C$8*(1+E250)</f>
        <v>7449.75479201343</v>
      </c>
      <c r="AE250" s="2" t="n">
        <f aca="false">I250*Hypothèses!$J$24/12/Hypothèses!$J$19</f>
        <v>98.9613956065048</v>
      </c>
      <c r="AF250" s="2" t="n">
        <f aca="false">Entrées!$C$36*S250*1000</f>
        <v>323.444804779383</v>
      </c>
      <c r="AG250" s="2" t="n">
        <f aca="false">-AF250/W250</f>
        <v>-32.3687624447605</v>
      </c>
      <c r="AH250" s="2" t="n">
        <f aca="false">AD250+AE250+AG250</f>
        <v>7516.34742517518</v>
      </c>
      <c r="AI250" s="2" t="n">
        <f aca="false">Entrées!$C$16-M250+Hypothèses!$J$22*1000-AF250+Hypothèses!$J$23</f>
        <v>22663.7135383033</v>
      </c>
      <c r="AJ250" s="2" t="n">
        <f aca="false">AI250/AH250</f>
        <v>3.01525624831999</v>
      </c>
      <c r="AK250" s="2" t="n">
        <f aca="false">AI250/(AH250+I250*(12-Hypothèses!$J$24)/12/Hypothèses!$J$19)</f>
        <v>2.98716377586883</v>
      </c>
      <c r="AL250" s="2" t="n">
        <f aca="false">(AD250+AG250+I250/Hypothèses!$J$19)*(1+G250)</f>
        <v>8027.23493054714</v>
      </c>
      <c r="AM250" s="2" t="n">
        <f aca="false">Entrées!$C$54*K250/Hypothèses!$J$19</f>
        <v>36.597761398016</v>
      </c>
      <c r="AN250" s="2" t="n">
        <f aca="false">Y250*1000/AC250</f>
        <v>36.2945815258865</v>
      </c>
      <c r="AO250" s="2" t="n">
        <f aca="false">(Entrées!$C$36*(1-S250)+MAX(0,Entrées!$C$30-Entrées!$C$35-Entrées!$C$36)*U250)*1000</f>
        <v>856.139512949773</v>
      </c>
      <c r="AP250" s="2" t="n">
        <f aca="false">-AO250/W250</f>
        <v>-85.6782242433799</v>
      </c>
      <c r="AQ250" s="2" t="n">
        <f aca="false">AL250+AM250+AN250+AP250</f>
        <v>8014.44904922766</v>
      </c>
      <c r="AR250" s="2" t="n">
        <f aca="false">O250*AQ250-Hypothèses!$J$25/Hypothèses!$J$19</f>
        <v>1392.48106264253</v>
      </c>
      <c r="AS250" s="2" t="n">
        <f aca="false">Entrées!$C$79*(1+Q250)+Hypothèses!$J$20</f>
        <v>1472.70678771788</v>
      </c>
      <c r="AT250" s="2" t="n">
        <f aca="false">AI250-AR250+AS250+Y250*1000-AO250+Hypothèses!$J$23</f>
        <v>22241.8028542289</v>
      </c>
      <c r="AU250" s="2" t="n">
        <f aca="false">AT250/AQ250</f>
        <v>2.77521295819733</v>
      </c>
      <c r="AV250" s="2" t="n">
        <f aca="false">Hypothèses!$J$26*AQ250-AT250</f>
        <v>1801.5442934541</v>
      </c>
      <c r="AW250" s="2" t="n">
        <f aca="false">IF(AC250&gt;Hypothèses!$J$26,MAX(0,AV250)/(1-Hypothèses!$J$26/AC250),0)</f>
        <v>2601.80294832397</v>
      </c>
      <c r="AX250" s="2" t="n">
        <f aca="false">AQ250-Entrées!$C$17*1000</f>
        <v>14.4490492276573</v>
      </c>
      <c r="AY250" s="2" t="n">
        <f aca="false">AI250+(Entrées!$C$244-Entrées!$C$13)</f>
        <v>28410.7135383033</v>
      </c>
      <c r="AZ250" s="2" t="n">
        <f aca="false">AA250*AH250</f>
        <v>5595.35243412332</v>
      </c>
      <c r="BA250" s="2" t="n">
        <f aca="false">AZ250/AY250</f>
        <v>0.196945156853582</v>
      </c>
      <c r="BB250" s="2" t="n">
        <f aca="false">AZ250/(Entrées!$C$151/100)-AY250</f>
        <v>2674.5777623818</v>
      </c>
      <c r="BC250" s="2" t="n">
        <f aca="false">AT250+(Entrées!$C$244-Entrées!$C$13)</f>
        <v>27988.8028542289</v>
      </c>
      <c r="BD250" s="2" t="n">
        <f aca="false">AA250*AQ250</f>
        <v>5966.15143753925</v>
      </c>
      <c r="BE250" s="2" t="n">
        <f aca="false">BD250/BC250</f>
        <v>0.213162080157988</v>
      </c>
      <c r="BF250" s="2" t="n">
        <f aca="false">BD250/(Entrées!$C$151/100)-BC250</f>
        <v>5156.48290987809</v>
      </c>
      <c r="BG250" s="2" t="n">
        <f aca="false">MIN(AV250,BF250)</f>
        <v>1801.5442934541</v>
      </c>
      <c r="BH250" s="2" t="n">
        <f aca="false">IF(AC250&gt;Hypothèses!$J$26,MAX(0,BG250)/(1-Hypothèses!$J$26/AC250),0)</f>
        <v>2601.80294832397</v>
      </c>
    </row>
    <row r="251" customFormat="false" ht="15" hidden="false" customHeight="false" outlineLevel="0" collapsed="false">
      <c r="A251" s="2" t="n">
        <v>236</v>
      </c>
      <c r="B251" s="2" t="n">
        <v>0.859171892</v>
      </c>
      <c r="C251" s="2"/>
      <c r="D251" s="2" t="n">
        <v>0.525260289</v>
      </c>
      <c r="E251" s="2" t="n">
        <f aca="false">IF(E$7=E$5,E$6,IF(NORMSDIST(E$9*SQRT($C$11)*NORMSINV($B251)+SQRT(1-E$9^2*$C$11)*NORMSINV(D251))&lt;E$8,E$5+SQRT(NORMSDIST(E$9*SQRT($C$11)*NORMSINV($B251)+SQRT(1-E$9^2*$C$11)*NORMSINV(D251))*(E$7-E$5)*(E$6-E$5)),E$7-SQRT((1-NORMSDIST(E$9*SQRT($C$11)*NORMSINV($B251)+SQRT(1-E$9^2*$C$11)*NORMSINV(D251)))*(E$7-E$5)*(E$7-E$6))))</f>
        <v>0.0565889894933824</v>
      </c>
      <c r="F251" s="2" t="n">
        <v>0.133761079</v>
      </c>
      <c r="G251" s="2" t="n">
        <f aca="false">IF(G$7=G$5,G$6,IF(NORMSDIST(G$9*SQRT($C$11)*NORMSINV($B251)+SQRT(1-G$9^2*$C$11)*NORMSINV(F251))&lt;G$8,G$5+SQRT(NORMSDIST(G$9*SQRT($C$11)*NORMSINV($B251)+SQRT(1-G$9^2*$C$11)*NORMSINV(F251))*(G$7-G$5)*(G$6-G$5)),G$7-SQRT((1-NORMSDIST(G$9*SQRT($C$11)*NORMSINV($B251)+SQRT(1-G$9^2*$C$11)*NORMSINV(F251)))*(G$7-G$5)*(G$7-G$6))))</f>
        <v>0.0539003693041666</v>
      </c>
      <c r="H251" s="2" t="n">
        <v>0.564052881</v>
      </c>
      <c r="I251" s="2" t="n">
        <f aca="false">IF(I$7=I$5,I$6,IF(NORMSDIST(I$9*SQRT($C$11)*NORMSINV($B251)+SQRT(1-I$9^2*$C$11)*NORMSINV(H251))&lt;I$8,I$5+SQRT(NORMSDIST(I$9*SQRT($C$11)*NORMSINV($B251)+SQRT(1-I$9^2*$C$11)*NORMSINV(H251))*(I$7-I$5)*(I$6-I$5)),I$7-SQRT((1-NORMSDIST(I$9*SQRT($C$11)*NORMSINV($B251)+SQRT(1-I$9^2*$C$11)*NORMSINV(H251)))*(I$7-I$5)*(I$7-I$6))))</f>
        <v>207.033095360643</v>
      </c>
      <c r="J251" s="2" t="n">
        <v>0.60871391</v>
      </c>
      <c r="K251" s="2" t="n">
        <f aca="false">IF(K$7=K$5,K$6,IF(NORMSDIST(K$9*SQRT($C$11)*NORMSINV($B251)+SQRT(1-K$9^2*$C$11)*NORMSINV(J251))&lt;K$8,K$5+SQRT(NORMSDIST(K$9*SQRT($C$11)*NORMSINV($B251)+SQRT(1-K$9^2*$C$11)*NORMSINV(J251))*(K$7-K$5)*(K$6-K$5)),K$7-SQRT((1-NORMSDIST(K$9*SQRT($C$11)*NORMSINV($B251)+SQRT(1-K$9^2*$C$11)*NORMSINV(J251)))*(K$7-K$5)*(K$7-K$6))))</f>
        <v>0.347733055998663</v>
      </c>
      <c r="L251" s="2" t="n">
        <v>0.189434255</v>
      </c>
      <c r="M251" s="2" t="n">
        <f aca="false">IF(M$7=M$5,M$6,IF(NORMSDIST(M$9*SQRT($C$11)*NORMSINV($B251)+SQRT(1-M$9^2*$C$11)*NORMSINV(L251))&lt;M$8,M$5+SQRT(NORMSDIST(M$9*SQRT($C$11)*NORMSINV($B251)+SQRT(1-M$9^2*$C$11)*NORMSINV(L251))*(M$7-M$5)*(M$6-M$5)),M$7-SQRT((1-NORMSDIST(M$9*SQRT($C$11)*NORMSINV($B251)+SQRT(1-M$9^2*$C$11)*NORMSINV(L251)))*(M$7-M$5)*(M$7-M$6))))</f>
        <v>1585.26930617321</v>
      </c>
      <c r="N251" s="2" t="n">
        <v>0.189462716</v>
      </c>
      <c r="O251" s="2" t="n">
        <f aca="false">IF(O$7=O$5,O$6,IF(NORMSDIST(O$9*SQRT($C$11)*NORMSINV($B251)+SQRT(1-O$9^2*$C$11)*NORMSINV(N251))&lt;O$8,O$5+SQRT(NORMSDIST(O$9*SQRT($C$11)*NORMSINV($B251)+SQRT(1-O$9^2*$C$11)*NORMSINV(N251))*(O$7-O$5)*(O$6-O$5)),O$7-SQRT((1-NORMSDIST(O$9*SQRT($C$11)*NORMSINV($B251)+SQRT(1-O$9^2*$C$11)*NORMSINV(N251)))*(O$7-O$5)*(O$7-O$6))))</f>
        <v>0.166777601316031</v>
      </c>
      <c r="P251" s="2" t="n">
        <v>0.555829588</v>
      </c>
      <c r="Q251" s="2" t="n">
        <f aca="false">IF(Q$7=Q$5,Q$6,IF(NORMSDIST(Q$9*SQRT($C$11)*NORMSINV($B251)+SQRT(1-Q$9^2*$C$11)*NORMSINV(P251))&lt;Q$8,Q$5+SQRT(NORMSDIST(Q$9*SQRT($C$11)*NORMSINV($B251)+SQRT(1-Q$9^2*$C$11)*NORMSINV(P251))*(Q$7-Q$5)*(Q$6-Q$5)),Q$7-SQRT((1-NORMSDIST(Q$9*SQRT($C$11)*NORMSINV($B251)+SQRT(1-Q$9^2*$C$11)*NORMSINV(P251)))*(Q$7-Q$5)*(Q$7-Q$6))))</f>
        <v>0.0822992663413562</v>
      </c>
      <c r="R251" s="2" t="n">
        <v>0.256747846</v>
      </c>
      <c r="S251" s="2" t="n">
        <f aca="false">IF(S$7=S$5,S$6,IF(NORMSDIST(S$9*SQRT($C$11)*NORMSINV($B251)+SQRT(1-S$9^2*$C$11)*NORMSINV(R251))&lt;S$8,S$5+SQRT(NORMSDIST(S$9*SQRT($C$11)*NORMSINV($B251)+SQRT(1-S$9^2*$C$11)*NORMSINV(R251))*(S$7-S$5)*(S$6-S$5)),S$7-SQRT((1-NORMSDIST(S$9*SQRT($C$11)*NORMSINV($B251)+SQRT(1-S$9^2*$C$11)*NORMSINV(R251)))*(S$7-S$5)*(S$7-S$6))))</f>
        <v>0.535981716306328</v>
      </c>
      <c r="T251" s="2" t="n">
        <v>0.587065101</v>
      </c>
      <c r="U251" s="2" t="n">
        <f aca="false">IF(U$7=U$5,U$6,IF(NORMSDIST(U$9*SQRT($C$11)*NORMSINV($B251)+SQRT(1-U$9^2*$C$11)*NORMSINV(T251))&lt;U$8,U$5+SQRT(NORMSDIST(U$9*SQRT($C$11)*NORMSINV($B251)+SQRT(1-U$9^2*$C$11)*NORMSINV(T251))*(U$7-U$5)*(U$6-U$5)),U$7-SQRT((1-NORMSDIST(U$9*SQRT($C$11)*NORMSINV($B251)+SQRT(1-U$9^2*$C$11)*NORMSINV(T251)))*(U$7-U$5)*(U$7-U$6))))</f>
        <v>0.685916959934905</v>
      </c>
      <c r="V251" s="2" t="n">
        <v>0.254284931</v>
      </c>
      <c r="W251" s="2" t="n">
        <f aca="false">IF(W$7=W$5,W$6,IF(NORMSDIST(W$9*SQRT($C$11)*NORMSINV($B251)+SQRT(1-W$9^2*$C$11)*NORMSINV(V251))&lt;W$8,W$5+SQRT(NORMSDIST(W$9*SQRT($C$11)*NORMSINV($B251)+SQRT(1-W$9^2*$C$11)*NORMSINV(V251))*(W$7-W$5)*(W$6-W$5)),W$7-SQRT((1-NORMSDIST(W$9*SQRT($C$11)*NORMSINV($B251)+SQRT(1-W$9^2*$C$11)*NORMSINV(V251)))*(W$7-W$5)*(W$7-W$6))))</f>
        <v>10.1389058529219</v>
      </c>
      <c r="X251" s="2" t="n">
        <v>0.558410717</v>
      </c>
      <c r="Y251" s="2" t="n">
        <f aca="false">IF(Y$7=Y$5,Y$6,IF(NORMSDIST(Y$9*SQRT($C$11)*NORMSINV($B251)+SQRT(1-Y$9^2*$C$11)*NORMSINV(X251))&lt;Y$8,Y$5+SQRT(NORMSDIST(Y$9*SQRT($C$11)*NORMSINV($B251)+SQRT(1-Y$9^2*$C$11)*NORMSINV(X251))*(Y$7-Y$5)*(Y$6-Y$5)),Y$7-SQRT((1-NORMSDIST(Y$9*SQRT($C$11)*NORMSINV($B251)+SQRT(1-Y$9^2*$C$11)*NORMSINV(X251)))*(Y$7-Y$5)*(Y$7-Y$6))))</f>
        <v>0.530112096878415</v>
      </c>
      <c r="Z251" s="2" t="n">
        <v>0.094223969</v>
      </c>
      <c r="AA251" s="2" t="n">
        <f aca="false">IF(AA$7=AA$5,AA$6,IF(NORMSDIST(AA$9*SQRT($C$11)*NORMSINV($B251)+SQRT(1-AA$9^2*$C$11)*NORMSINV(Z251))&lt;AA$8,AA$5+SQRT(NORMSDIST(AA$9*SQRT($C$11)*NORMSINV($B251)+SQRT(1-AA$9^2*$C$11)*NORMSINV(Z251))*(AA$7-AA$5)*(AA$6-AA$5)),AA$7-SQRT((1-NORMSDIST(AA$9*SQRT($C$11)*NORMSINV($B251)+SQRT(1-AA$9^2*$C$11)*NORMSINV(Z251)))*(AA$7-AA$5)*(AA$7-AA$6))))</f>
        <v>0.72339053997889</v>
      </c>
      <c r="AB251" s="2" t="n">
        <v>0.134705433</v>
      </c>
      <c r="AC251" s="2" t="n">
        <f aca="false">IF(AC$7=AC$5,AC$6,IF(NORMSDIST(AC$9*SQRT($C$11)*NORMSINV($B251)+SQRT(1-AC$9^2*$C$11)*NORMSINV(AB251))&lt;AC$8,AC$5+SQRT(NORMSDIST(AC$9*SQRT($C$11)*NORMSINV($B251)+SQRT(1-AC$9^2*$C$11)*NORMSINV(AB251))*(AC$7-AC$5)*(AC$6-AC$5)),AC$7-SQRT((1-NORMSDIST(AC$9*SQRT($C$11)*NORMSINV($B251)+SQRT(1-AC$9^2*$C$11)*NORMSINV(AB251)))*(AC$7-AC$5)*(AC$7-AC$6))))</f>
        <v>9.3290691378165</v>
      </c>
      <c r="AD251" s="2" t="n">
        <f aca="false">Entrées!$C$8*(1+E251)</f>
        <v>7448.95237592835</v>
      </c>
      <c r="AE251" s="2" t="n">
        <f aca="false">I251*Hypothèses!$J$24/12/Hypothèses!$J$19</f>
        <v>102.708455973215</v>
      </c>
      <c r="AF251" s="2" t="n">
        <f aca="false">Entrées!$C$36*S251*1000</f>
        <v>267.990858153164</v>
      </c>
      <c r="AG251" s="2" t="n">
        <f aca="false">-AF251/W251</f>
        <v>-26.4319308257441</v>
      </c>
      <c r="AH251" s="2" t="n">
        <f aca="false">AD251+AE251+AG251</f>
        <v>7525.22890107582</v>
      </c>
      <c r="AI251" s="2" t="n">
        <f aca="false">Entrées!$C$16-M251+Hypothèses!$J$22*1000-AF251+Hypothèses!$J$23</f>
        <v>22694.7398356736</v>
      </c>
      <c r="AJ251" s="2" t="n">
        <f aca="false">AI251/AH251</f>
        <v>3.01582053303776</v>
      </c>
      <c r="AK251" s="2" t="n">
        <f aca="false">AI251/(AH251+I251*(12-Hypothèses!$J$24)/12/Hypothèses!$J$19)</f>
        <v>2.98670327148081</v>
      </c>
      <c r="AL251" s="2" t="n">
        <f aca="false">(AD251+AG251+I251/Hypothèses!$J$19)*(1+G251)</f>
        <v>8008.1590034285</v>
      </c>
      <c r="AM251" s="2" t="n">
        <f aca="false">Entrées!$C$54*K251/Hypothèses!$J$19</f>
        <v>35.4876184014159</v>
      </c>
      <c r="AN251" s="2" t="n">
        <f aca="false">Y251*1000/AC251</f>
        <v>56.8236861628072</v>
      </c>
      <c r="AO251" s="2" t="n">
        <f aca="false">(Entrées!$C$36*(1-S251)+MAX(0,Entrées!$C$30-Entrées!$C$35-Entrées!$C$36)*U251)*1000</f>
        <v>1192.2928857557</v>
      </c>
      <c r="AP251" s="2" t="n">
        <f aca="false">-AO251/W251</f>
        <v>-117.595813892689</v>
      </c>
      <c r="AQ251" s="2" t="n">
        <f aca="false">AL251+AM251+AN251+AP251</f>
        <v>7982.87449410003</v>
      </c>
      <c r="AR251" s="2" t="n">
        <f aca="false">O251*AQ251-Hypothèses!$J$25/Hypothèses!$J$19</f>
        <v>1312.22949747131</v>
      </c>
      <c r="AS251" s="2" t="n">
        <f aca="false">Entrées!$C$79*(1+Q251)+Hypothèses!$J$20</f>
        <v>1484.44689370915</v>
      </c>
      <c r="AT251" s="2" t="n">
        <f aca="false">AI251-AR251+AS251+Y251*1000-AO251+Hypothèses!$J$23</f>
        <v>22204.7764430342</v>
      </c>
      <c r="AU251" s="2" t="n">
        <f aca="false">AT251/AQ251</f>
        <v>2.78155148993577</v>
      </c>
      <c r="AV251" s="2" t="n">
        <f aca="false">Hypothèses!$J$26*AQ251-AT251</f>
        <v>1743.84703926591</v>
      </c>
      <c r="AW251" s="2" t="n">
        <f aca="false">IF(AC251&gt;Hypothèses!$J$26,MAX(0,AV251)/(1-Hypothèses!$J$26/AC251),0)</f>
        <v>2570.43638501014</v>
      </c>
      <c r="AX251" s="2" t="n">
        <f aca="false">AQ251-Entrées!$C$17*1000</f>
        <v>-17.1255058999659</v>
      </c>
      <c r="AY251" s="2" t="n">
        <f aca="false">AI251+(Entrées!$C$244-Entrées!$C$13)</f>
        <v>28441.7398356736</v>
      </c>
      <c r="AZ251" s="2" t="n">
        <f aca="false">AA251*AH251</f>
        <v>5443.67939821399</v>
      </c>
      <c r="BA251" s="2" t="n">
        <f aca="false">AZ251/AY251</f>
        <v>0.19139755266962</v>
      </c>
      <c r="BB251" s="2" t="n">
        <f aca="false">AZ251/(Entrées!$C$151/100)-AY251</f>
        <v>1800.9234877374</v>
      </c>
      <c r="BC251" s="2" t="n">
        <f aca="false">AT251+(Entrées!$C$244-Entrées!$C$13)</f>
        <v>27951.7764430342</v>
      </c>
      <c r="BD251" s="2" t="n">
        <f aca="false">AA251*AQ251</f>
        <v>5774.73589087073</v>
      </c>
      <c r="BE251" s="2" t="n">
        <f aca="false">BD251/BC251</f>
        <v>0.206596382259985</v>
      </c>
      <c r="BF251" s="2" t="n">
        <f aca="false">BD251/(Entrées!$C$151/100)-BC251</f>
        <v>4130.08961735878</v>
      </c>
      <c r="BG251" s="2" t="n">
        <f aca="false">MIN(AV251,BF251)</f>
        <v>1743.84703926591</v>
      </c>
      <c r="BH251" s="2" t="n">
        <f aca="false">IF(AC251&gt;Hypothèses!$J$26,MAX(0,BG251)/(1-Hypothèses!$J$26/AC251),0)</f>
        <v>2570.43638501014</v>
      </c>
    </row>
    <row r="252" customFormat="false" ht="15" hidden="false" customHeight="false" outlineLevel="0" collapsed="false">
      <c r="A252" s="2" t="n">
        <v>237</v>
      </c>
      <c r="B252" s="2" t="n">
        <v>0.976469083</v>
      </c>
      <c r="C252" s="2"/>
      <c r="D252" s="2" t="n">
        <v>0.588124</v>
      </c>
      <c r="E252" s="2" t="n">
        <f aca="false">IF(E$7=E$5,E$6,IF(NORMSDIST(E$9*SQRT($C$11)*NORMSINV($B252)+SQRT(1-E$9^2*$C$11)*NORMSINV(D252))&lt;E$8,E$5+SQRT(NORMSDIST(E$9*SQRT($C$11)*NORMSINV($B252)+SQRT(1-E$9^2*$C$11)*NORMSINV(D252))*(E$7-E$5)*(E$6-E$5)),E$7-SQRT((1-NORMSDIST(E$9*SQRT($C$11)*NORMSINV($B252)+SQRT(1-E$9^2*$C$11)*NORMSINV(D252)))*(E$7-E$5)*(E$7-E$6))))</f>
        <v>0.0580431354773174</v>
      </c>
      <c r="F252" s="2" t="n">
        <v>0.07898264</v>
      </c>
      <c r="G252" s="2" t="n">
        <f aca="false">IF(G$7=G$5,G$6,IF(NORMSDIST(G$9*SQRT($C$11)*NORMSINV($B252)+SQRT(1-G$9^2*$C$11)*NORMSINV(F252))&lt;G$8,G$5+SQRT(NORMSDIST(G$9*SQRT($C$11)*NORMSINV($B252)+SQRT(1-G$9^2*$C$11)*NORMSINV(F252))*(G$7-G$5)*(G$6-G$5)),G$7-SQRT((1-NORMSDIST(G$9*SQRT($C$11)*NORMSINV($B252)+SQRT(1-G$9^2*$C$11)*NORMSINV(F252)))*(G$7-G$5)*(G$7-G$6))))</f>
        <v>0.055999726871076</v>
      </c>
      <c r="H252" s="2" t="n">
        <v>0.596431431</v>
      </c>
      <c r="I252" s="2" t="n">
        <f aca="false">IF(I$7=I$5,I$6,IF(NORMSDIST(I$9*SQRT($C$11)*NORMSINV($B252)+SQRT(1-I$9^2*$C$11)*NORMSINV(H252))&lt;I$8,I$5+SQRT(NORMSDIST(I$9*SQRT($C$11)*NORMSINV($B252)+SQRT(1-I$9^2*$C$11)*NORMSINV(H252))*(I$7-I$5)*(I$6-I$5)),I$7-SQRT((1-NORMSDIST(I$9*SQRT($C$11)*NORMSINV($B252)+SQRT(1-I$9^2*$C$11)*NORMSINV(H252)))*(I$7-I$5)*(I$7-I$6))))</f>
        <v>212.293877741443</v>
      </c>
      <c r="J252" s="2" t="n">
        <v>0.342065105</v>
      </c>
      <c r="K252" s="2" t="n">
        <f aca="false">IF(K$7=K$5,K$6,IF(NORMSDIST(K$9*SQRT($C$11)*NORMSINV($B252)+SQRT(1-K$9^2*$C$11)*NORMSINV(J252))&lt;K$8,K$5+SQRT(NORMSDIST(K$9*SQRT($C$11)*NORMSINV($B252)+SQRT(1-K$9^2*$C$11)*NORMSINV(J252))*(K$7-K$5)*(K$6-K$5)),K$7-SQRT((1-NORMSDIST(K$9*SQRT($C$11)*NORMSINV($B252)+SQRT(1-K$9^2*$C$11)*NORMSINV(J252)))*(K$7-K$5)*(K$7-K$6))))</f>
        <v>0.35277002709569</v>
      </c>
      <c r="L252" s="2" t="n">
        <v>0.402273334</v>
      </c>
      <c r="M252" s="2" t="n">
        <f aca="false">IF(M$7=M$5,M$6,IF(NORMSDIST(M$9*SQRT($C$11)*NORMSINV($B252)+SQRT(1-M$9^2*$C$11)*NORMSINV(L252))&lt;M$8,M$5+SQRT(NORMSDIST(M$9*SQRT($C$11)*NORMSINV($B252)+SQRT(1-M$9^2*$C$11)*NORMSINV(L252))*(M$7-M$5)*(M$6-M$5)),M$7-SQRT((1-NORMSDIST(M$9*SQRT($C$11)*NORMSINV($B252)+SQRT(1-M$9^2*$C$11)*NORMSINV(L252)))*(M$7-M$5)*(M$7-M$6))))</f>
        <v>1684.97350697299</v>
      </c>
      <c r="N252" s="2" t="n">
        <v>0.442764566</v>
      </c>
      <c r="O252" s="2" t="n">
        <f aca="false">IF(O$7=O$5,O$6,IF(NORMSDIST(O$9*SQRT($C$11)*NORMSINV($B252)+SQRT(1-O$9^2*$C$11)*NORMSINV(N252))&lt;O$8,O$5+SQRT(NORMSDIST(O$9*SQRT($C$11)*NORMSINV($B252)+SQRT(1-O$9^2*$C$11)*NORMSINV(N252))*(O$7-O$5)*(O$6-O$5)),O$7-SQRT((1-NORMSDIST(O$9*SQRT($C$11)*NORMSINV($B252)+SQRT(1-O$9^2*$C$11)*NORMSINV(N252)))*(O$7-O$5)*(O$7-O$6))))</f>
        <v>0.178404267357577</v>
      </c>
      <c r="P252" s="2" t="n">
        <v>0.478839977</v>
      </c>
      <c r="Q252" s="2" t="n">
        <f aca="false">IF(Q$7=Q$5,Q$6,IF(NORMSDIST(Q$9*SQRT($C$11)*NORMSINV($B252)+SQRT(1-Q$9^2*$C$11)*NORMSINV(P252))&lt;Q$8,Q$5+SQRT(NORMSDIST(Q$9*SQRT($C$11)*NORMSINV($B252)+SQRT(1-Q$9^2*$C$11)*NORMSINV(P252))*(Q$7-Q$5)*(Q$6-Q$5)),Q$7-SQRT((1-NORMSDIST(Q$9*SQRT($C$11)*NORMSINV($B252)+SQRT(1-Q$9^2*$C$11)*NORMSINV(P252)))*(Q$7-Q$5)*(Q$7-Q$6))))</f>
        <v>0.0791444494967039</v>
      </c>
      <c r="R252" s="2" t="n">
        <v>0.024562927</v>
      </c>
      <c r="S252" s="2" t="n">
        <f aca="false">IF(S$7=S$5,S$6,IF(NORMSDIST(S$9*SQRT($C$11)*NORMSINV($B252)+SQRT(1-S$9^2*$C$11)*NORMSINV(R252))&lt;S$8,S$5+SQRT(NORMSDIST(S$9*SQRT($C$11)*NORMSINV($B252)+SQRT(1-S$9^2*$C$11)*NORMSINV(R252))*(S$7-S$5)*(S$6-S$5)),S$7-SQRT((1-NORMSDIST(S$9*SQRT($C$11)*NORMSINV($B252)+SQRT(1-S$9^2*$C$11)*NORMSINV(R252)))*(S$7-S$5)*(S$7-S$6))))</f>
        <v>0.444017099887523</v>
      </c>
      <c r="T252" s="2" t="n">
        <v>0.634381521</v>
      </c>
      <c r="U252" s="2" t="n">
        <f aca="false">IF(U$7=U$5,U$6,IF(NORMSDIST(U$9*SQRT($C$11)*NORMSINV($B252)+SQRT(1-U$9^2*$C$11)*NORMSINV(T252))&lt;U$8,U$5+SQRT(NORMSDIST(U$9*SQRT($C$11)*NORMSINV($B252)+SQRT(1-U$9^2*$C$11)*NORMSINV(T252))*(U$7-U$5)*(U$6-U$5)),U$7-SQRT((1-NORMSDIST(U$9*SQRT($C$11)*NORMSINV($B252)+SQRT(1-U$9^2*$C$11)*NORMSINV(T252)))*(U$7-U$5)*(U$7-U$6))))</f>
        <v>0.821100029793685</v>
      </c>
      <c r="V252" s="2" t="n">
        <v>0.60042643</v>
      </c>
      <c r="W252" s="2" t="n">
        <f aca="false">IF(W$7=W$5,W$6,IF(NORMSDIST(W$9*SQRT($C$11)*NORMSINV($B252)+SQRT(1-W$9^2*$C$11)*NORMSINV(V252))&lt;W$8,W$5+SQRT(NORMSDIST(W$9*SQRT($C$11)*NORMSINV($B252)+SQRT(1-W$9^2*$C$11)*NORMSINV(V252))*(W$7-W$5)*(W$6-W$5)),W$7-SQRT((1-NORMSDIST(W$9*SQRT($C$11)*NORMSINV($B252)+SQRT(1-W$9^2*$C$11)*NORMSINV(V252)))*(W$7-W$5)*(W$7-W$6))))</f>
        <v>11.2352093527801</v>
      </c>
      <c r="X252" s="2" t="n">
        <v>0.57425086</v>
      </c>
      <c r="Y252" s="2" t="n">
        <f aca="false">IF(Y$7=Y$5,Y$6,IF(NORMSDIST(Y$9*SQRT($C$11)*NORMSINV($B252)+SQRT(1-Y$9^2*$C$11)*NORMSINV(X252))&lt;Y$8,Y$5+SQRT(NORMSDIST(Y$9*SQRT($C$11)*NORMSINV($B252)+SQRT(1-Y$9^2*$C$11)*NORMSINV(X252))*(Y$7-Y$5)*(Y$6-Y$5)),Y$7-SQRT((1-NORMSDIST(Y$9*SQRT($C$11)*NORMSINV($B252)+SQRT(1-Y$9^2*$C$11)*NORMSINV(X252)))*(Y$7-Y$5)*(Y$7-Y$6))))</f>
        <v>0.53861667780467</v>
      </c>
      <c r="Z252" s="2" t="n">
        <v>0.21323164</v>
      </c>
      <c r="AA252" s="2" t="n">
        <f aca="false">IF(AA$7=AA$5,AA$6,IF(NORMSDIST(AA$9*SQRT($C$11)*NORMSINV($B252)+SQRT(1-AA$9^2*$C$11)*NORMSINV(Z252))&lt;AA$8,AA$5+SQRT(NORMSDIST(AA$9*SQRT($C$11)*NORMSINV($B252)+SQRT(1-AA$9^2*$C$11)*NORMSINV(Z252))*(AA$7-AA$5)*(AA$6-AA$5)),AA$7-SQRT((1-NORMSDIST(AA$9*SQRT($C$11)*NORMSINV($B252)+SQRT(1-AA$9^2*$C$11)*NORMSINV(Z252)))*(AA$7-AA$5)*(AA$7-AA$6))))</f>
        <v>0.735549702275342</v>
      </c>
      <c r="AB252" s="2" t="n">
        <v>0.887026728</v>
      </c>
      <c r="AC252" s="2" t="n">
        <f aca="false">IF(AC$7=AC$5,AC$6,IF(NORMSDIST(AC$9*SQRT($C$11)*NORMSINV($B252)+SQRT(1-AC$9^2*$C$11)*NORMSINV(AB252))&lt;AC$8,AC$5+SQRT(NORMSDIST(AC$9*SQRT($C$11)*NORMSINV($B252)+SQRT(1-AC$9^2*$C$11)*NORMSINV(AB252))*(AC$7-AC$5)*(AC$6-AC$5)),AC$7-SQRT((1-NORMSDIST(AC$9*SQRT($C$11)*NORMSINV($B252)+SQRT(1-AC$9^2*$C$11)*NORMSINV(AB252)))*(AC$7-AC$5)*(AC$7-AC$6))))</f>
        <v>10.7529873129506</v>
      </c>
      <c r="AD252" s="2" t="n">
        <f aca="false">Entrées!$C$8*(1+E252)</f>
        <v>7459.20410511509</v>
      </c>
      <c r="AE252" s="2" t="n">
        <f aca="false">I252*Hypothèses!$J$24/12/Hypothèses!$J$19</f>
        <v>105.318313274541</v>
      </c>
      <c r="AF252" s="2" t="n">
        <f aca="false">Entrées!$C$36*S252*1000</f>
        <v>222.008549943762</v>
      </c>
      <c r="AG252" s="2" t="n">
        <f aca="false">-AF252/W252</f>
        <v>-19.7600723736249</v>
      </c>
      <c r="AH252" s="2" t="n">
        <f aca="false">AD252+AE252+AG252</f>
        <v>7544.762346016</v>
      </c>
      <c r="AI252" s="2" t="n">
        <f aca="false">Entrées!$C$16-M252+Hypothèses!$J$22*1000-AF252+Hypothèses!$J$23</f>
        <v>22641.0179430833</v>
      </c>
      <c r="AJ252" s="2" t="n">
        <f aca="false">AI252/AH252</f>
        <v>3.0008921294968</v>
      </c>
      <c r="AK252" s="2" t="n">
        <f aca="false">AI252/(AH252+I252*(12-Hypothèses!$J$24)/12/Hypothèses!$J$19)</f>
        <v>2.97126620860451</v>
      </c>
      <c r="AL252" s="2" t="n">
        <f aca="false">(AD252+AG252+I252/Hypothèses!$J$19)*(1+G252)</f>
        <v>8046.70705530896</v>
      </c>
      <c r="AM252" s="2" t="n">
        <f aca="false">Entrées!$C$54*K252/Hypothèses!$J$19</f>
        <v>36.0016624507425</v>
      </c>
      <c r="AN252" s="2" t="n">
        <f aca="false">Y252*1000/AC252</f>
        <v>50.0899575279863</v>
      </c>
      <c r="AO252" s="2" t="n">
        <f aca="false">(Entrées!$C$36*(1-S252)+MAX(0,Entrées!$C$30-Entrées!$C$35-Entrées!$C$36)*U252)*1000</f>
        <v>1427.5314917674</v>
      </c>
      <c r="AP252" s="2" t="n">
        <f aca="false">-AO252/W252</f>
        <v>-127.05873535095</v>
      </c>
      <c r="AQ252" s="2" t="n">
        <f aca="false">AL252+AM252+AN252+AP252</f>
        <v>8005.73993993674</v>
      </c>
      <c r="AR252" s="2" t="n">
        <f aca="false">O252*AQ252-Hypothèses!$J$25/Hypothèses!$J$19</f>
        <v>1409.12300637808</v>
      </c>
      <c r="AS252" s="2" t="n">
        <f aca="false">Entrées!$C$79*(1+Q252)+Hypothèses!$J$20</f>
        <v>1480.97974999688</v>
      </c>
      <c r="AT252" s="2" t="n">
        <f aca="false">AI252-AR252+AS252+Y252*1000-AO252+Hypothèses!$J$23</f>
        <v>21823.9598727393</v>
      </c>
      <c r="AU252" s="2" t="n">
        <f aca="false">AT252/AQ252</f>
        <v>2.72603907152544</v>
      </c>
      <c r="AV252" s="2" t="n">
        <f aca="false">Hypothèses!$J$26*AQ252-AT252</f>
        <v>2193.25994707091</v>
      </c>
      <c r="AW252" s="2" t="n">
        <f aca="false">IF(AC252&gt;Hypothèses!$J$26,MAX(0,AV252)/(1-Hypothèses!$J$26/AC252),0)</f>
        <v>3041.936666846</v>
      </c>
      <c r="AX252" s="2" t="n">
        <f aca="false">AQ252-Entrées!$C$17*1000</f>
        <v>5.7399399367423</v>
      </c>
      <c r="AY252" s="2" t="n">
        <f aca="false">AI252+(Entrées!$C$244-Entrées!$C$13)</f>
        <v>28388.0179430833</v>
      </c>
      <c r="AZ252" s="2" t="n">
        <f aca="false">AA252*AH252</f>
        <v>5549.54769735029</v>
      </c>
      <c r="BA252" s="2" t="n">
        <f aca="false">AZ252/AY252</f>
        <v>0.195489086574374</v>
      </c>
      <c r="BB252" s="2" t="n">
        <f aca="false">AZ252/(Entrées!$C$151/100)-AY252</f>
        <v>2442.80259775167</v>
      </c>
      <c r="BC252" s="2" t="n">
        <f aca="false">AT252+(Entrées!$C$244-Entrées!$C$13)</f>
        <v>27570.9598727393</v>
      </c>
      <c r="BD252" s="2" t="n">
        <f aca="false">AA252*AQ252</f>
        <v>5888.61962931429</v>
      </c>
      <c r="BE252" s="2" t="n">
        <f aca="false">BD252/BC252</f>
        <v>0.213580508494978</v>
      </c>
      <c r="BF252" s="2" t="n">
        <f aca="false">BD252/(Entrées!$C$151/100)-BC252</f>
        <v>5143.59362345117</v>
      </c>
      <c r="BG252" s="2" t="n">
        <f aca="false">MIN(AV252,BF252)</f>
        <v>2193.25994707091</v>
      </c>
      <c r="BH252" s="2" t="n">
        <f aca="false">IF(AC252&gt;Hypothèses!$J$26,MAX(0,BG252)/(1-Hypothèses!$J$26/AC252),0)</f>
        <v>3041.936666846</v>
      </c>
    </row>
    <row r="253" customFormat="false" ht="15" hidden="false" customHeight="false" outlineLevel="0" collapsed="false">
      <c r="A253" s="2" t="n">
        <v>238</v>
      </c>
      <c r="B253" s="2" t="n">
        <v>0.496710791</v>
      </c>
      <c r="C253" s="2"/>
      <c r="D253" s="2" t="n">
        <v>0.242854059</v>
      </c>
      <c r="E253" s="2" t="n">
        <f aca="false">IF(E$7=E$5,E$6,IF(NORMSDIST(E$9*SQRT($C$11)*NORMSINV($B253)+SQRT(1-E$9^2*$C$11)*NORMSINV(D253))&lt;E$8,E$5+SQRT(NORMSDIST(E$9*SQRT($C$11)*NORMSINV($B253)+SQRT(1-E$9^2*$C$11)*NORMSINV(D253))*(E$7-E$5)*(E$6-E$5)),E$7-SQRT((1-NORMSDIST(E$9*SQRT($C$11)*NORMSINV($B253)+SQRT(1-E$9^2*$C$11)*NORMSINV(D253)))*(E$7-E$5)*(E$7-E$6))))</f>
        <v>0.0538262199311431</v>
      </c>
      <c r="F253" s="2" t="n">
        <v>0.088543549</v>
      </c>
      <c r="G253" s="2" t="n">
        <f aca="false">IF(G$7=G$5,G$6,IF(NORMSDIST(G$9*SQRT($C$11)*NORMSINV($B253)+SQRT(1-G$9^2*$C$11)*NORMSINV(F253))&lt;G$8,G$5+SQRT(NORMSDIST(G$9*SQRT($C$11)*NORMSINV($B253)+SQRT(1-G$9^2*$C$11)*NORMSINV(F253))*(G$7-G$5)*(G$6-G$5)),G$7-SQRT((1-NORMSDIST(G$9*SQRT($C$11)*NORMSINV($B253)+SQRT(1-G$9^2*$C$11)*NORMSINV(F253)))*(G$7-G$5)*(G$7-G$6))))</f>
        <v>0.0481246041174446</v>
      </c>
      <c r="H253" s="2" t="n">
        <v>0.777194617</v>
      </c>
      <c r="I253" s="2" t="n">
        <f aca="false">IF(I$7=I$5,I$6,IF(NORMSDIST(I$9*SQRT($C$11)*NORMSINV($B253)+SQRT(1-I$9^2*$C$11)*NORMSINV(H253))&lt;I$8,I$5+SQRT(NORMSDIST(I$9*SQRT($C$11)*NORMSINV($B253)+SQRT(1-I$9^2*$C$11)*NORMSINV(H253))*(I$7-I$5)*(I$6-I$5)),I$7-SQRT((1-NORMSDIST(I$9*SQRT($C$11)*NORMSINV($B253)+SQRT(1-I$9^2*$C$11)*NORMSINV(H253)))*(I$7-I$5)*(I$7-I$6))))</f>
        <v>205.05829010241</v>
      </c>
      <c r="J253" s="2" t="n">
        <v>0.035457132</v>
      </c>
      <c r="K253" s="2" t="n">
        <f aca="false">IF(K$7=K$5,K$6,IF(NORMSDIST(K$9*SQRT($C$11)*NORMSINV($B253)+SQRT(1-K$9^2*$C$11)*NORMSINV(J253))&lt;K$8,K$5+SQRT(NORMSDIST(K$9*SQRT($C$11)*NORMSINV($B253)+SQRT(1-K$9^2*$C$11)*NORMSINV(J253))*(K$7-K$5)*(K$6-K$5)),K$7-SQRT((1-NORMSDIST(K$9*SQRT($C$11)*NORMSINV($B253)+SQRT(1-K$9^2*$C$11)*NORMSINV(J253)))*(K$7-K$5)*(K$7-K$6))))</f>
        <v>0.100085057529047</v>
      </c>
      <c r="L253" s="2" t="n">
        <v>0.417568976</v>
      </c>
      <c r="M253" s="2" t="n">
        <f aca="false">IF(M$7=M$5,M$6,IF(NORMSDIST(M$9*SQRT($C$11)*NORMSINV($B253)+SQRT(1-M$9^2*$C$11)*NORMSINV(L253))&lt;M$8,M$5+SQRT(NORMSDIST(M$9*SQRT($C$11)*NORMSINV($B253)+SQRT(1-M$9^2*$C$11)*NORMSINV(L253))*(M$7-M$5)*(M$6-M$5)),M$7-SQRT((1-NORMSDIST(M$9*SQRT($C$11)*NORMSINV($B253)+SQRT(1-M$9^2*$C$11)*NORMSINV(L253)))*(M$7-M$5)*(M$7-M$6))))</f>
        <v>1566.04393702839</v>
      </c>
      <c r="N253" s="2" t="n">
        <v>0.05101073</v>
      </c>
      <c r="O253" s="2" t="n">
        <f aca="false">IF(O$7=O$5,O$6,IF(NORMSDIST(O$9*SQRT($C$11)*NORMSINV($B253)+SQRT(1-O$9^2*$C$11)*NORMSINV(N253))&lt;O$8,O$5+SQRT(NORMSDIST(O$9*SQRT($C$11)*NORMSINV($B253)+SQRT(1-O$9^2*$C$11)*NORMSINV(N253))*(O$7-O$5)*(O$6-O$5)),O$7-SQRT((1-NORMSDIST(O$9*SQRT($C$11)*NORMSINV($B253)+SQRT(1-O$9^2*$C$11)*NORMSINV(N253)))*(O$7-O$5)*(O$7-O$6))))</f>
        <v>0.152081278593332</v>
      </c>
      <c r="P253" s="2" t="n">
        <v>0.709586159</v>
      </c>
      <c r="Q253" s="2" t="n">
        <f aca="false">IF(Q$7=Q$5,Q$6,IF(NORMSDIST(Q$9*SQRT($C$11)*NORMSINV($B253)+SQRT(1-Q$9^2*$C$11)*NORMSINV(P253))&lt;Q$8,Q$5+SQRT(NORMSDIST(Q$9*SQRT($C$11)*NORMSINV($B253)+SQRT(1-Q$9^2*$C$11)*NORMSINV(P253))*(Q$7-Q$5)*(Q$6-Q$5)),Q$7-SQRT((1-NORMSDIST(Q$9*SQRT($C$11)*NORMSINV($B253)+SQRT(1-Q$9^2*$C$11)*NORMSINV(P253)))*(Q$7-Q$5)*(Q$7-Q$6))))</f>
        <v>0.0895151793313459</v>
      </c>
      <c r="R253" s="2" t="n">
        <v>0.702958184</v>
      </c>
      <c r="S253" s="2" t="n">
        <f aca="false">IF(S$7=S$5,S$6,IF(NORMSDIST(S$9*SQRT($C$11)*NORMSINV($B253)+SQRT(1-S$9^2*$C$11)*NORMSINV(R253))&lt;S$8,S$5+SQRT(NORMSDIST(S$9*SQRT($C$11)*NORMSINV($B253)+SQRT(1-S$9^2*$C$11)*NORMSINV(R253))*(S$7-S$5)*(S$6-S$5)),S$7-SQRT((1-NORMSDIST(S$9*SQRT($C$11)*NORMSINV($B253)+SQRT(1-S$9^2*$C$11)*NORMSINV(R253)))*(S$7-S$5)*(S$7-S$6))))</f>
        <v>0.586606999096482</v>
      </c>
      <c r="T253" s="2" t="n">
        <v>0.578445901</v>
      </c>
      <c r="U253" s="2" t="n">
        <f aca="false">IF(U$7=U$5,U$6,IF(NORMSDIST(U$9*SQRT($C$11)*NORMSINV($B253)+SQRT(1-U$9^2*$C$11)*NORMSINV(T253))&lt;U$8,U$5+SQRT(NORMSDIST(U$9*SQRT($C$11)*NORMSINV($B253)+SQRT(1-U$9^2*$C$11)*NORMSINV(T253))*(U$7-U$5)*(U$6-U$5)),U$7-SQRT((1-NORMSDIST(U$9*SQRT($C$11)*NORMSINV($B253)+SQRT(1-U$9^2*$C$11)*NORMSINV(T253)))*(U$7-U$5)*(U$7-U$6))))</f>
        <v>0.53035404269673</v>
      </c>
      <c r="V253" s="2" t="n">
        <v>0.75200979</v>
      </c>
      <c r="W253" s="2" t="n">
        <f aca="false">IF(W$7=W$5,W$6,IF(NORMSDIST(W$9*SQRT($C$11)*NORMSINV($B253)+SQRT(1-W$9^2*$C$11)*NORMSINV(V253))&lt;W$8,W$5+SQRT(NORMSDIST(W$9*SQRT($C$11)*NORMSINV($B253)+SQRT(1-W$9^2*$C$11)*NORMSINV(V253))*(W$7-W$5)*(W$6-W$5)),W$7-SQRT((1-NORMSDIST(W$9*SQRT($C$11)*NORMSINV($B253)+SQRT(1-W$9^2*$C$11)*NORMSINV(V253)))*(W$7-W$5)*(W$7-W$6))))</f>
        <v>10.4487886133715</v>
      </c>
      <c r="X253" s="2" t="n">
        <v>0.934768995</v>
      </c>
      <c r="Y253" s="2" t="n">
        <f aca="false">IF(Y$7=Y$5,Y$6,IF(NORMSDIST(Y$9*SQRT($C$11)*NORMSINV($B253)+SQRT(1-Y$9^2*$C$11)*NORMSINV(X253))&lt;Y$8,Y$5+SQRT(NORMSDIST(Y$9*SQRT($C$11)*NORMSINV($B253)+SQRT(1-Y$9^2*$C$11)*NORMSINV(X253))*(Y$7-Y$5)*(Y$6-Y$5)),Y$7-SQRT((1-NORMSDIST(Y$9*SQRT($C$11)*NORMSINV($B253)+SQRT(1-Y$9^2*$C$11)*NORMSINV(X253)))*(Y$7-Y$5)*(Y$7-Y$6))))</f>
        <v>0.819402374046612</v>
      </c>
      <c r="Z253" s="2" t="n">
        <v>0.437967441</v>
      </c>
      <c r="AA253" s="2" t="n">
        <f aca="false">IF(AA$7=AA$5,AA$6,IF(NORMSDIST(AA$9*SQRT($C$11)*NORMSINV($B253)+SQRT(1-AA$9^2*$C$11)*NORMSINV(Z253))&lt;AA$8,AA$5+SQRT(NORMSDIST(AA$9*SQRT($C$11)*NORMSINV($B253)+SQRT(1-AA$9^2*$C$11)*NORMSINV(Z253))*(AA$7-AA$5)*(AA$6-AA$5)),AA$7-SQRT((1-NORMSDIST(AA$9*SQRT($C$11)*NORMSINV($B253)+SQRT(1-AA$9^2*$C$11)*NORMSINV(Z253)))*(AA$7-AA$5)*(AA$7-AA$6))))</f>
        <v>0.726365020675275</v>
      </c>
      <c r="AB253" s="2" t="n">
        <v>0.47272515</v>
      </c>
      <c r="AC253" s="2" t="n">
        <f aca="false">IF(AC$7=AC$5,AC$6,IF(NORMSDIST(AC$9*SQRT($C$11)*NORMSINV($B253)+SQRT(1-AC$9^2*$C$11)*NORMSINV(AB253))&lt;AC$8,AC$5+SQRT(NORMSDIST(AC$9*SQRT($C$11)*NORMSINV($B253)+SQRT(1-AC$9^2*$C$11)*NORMSINV(AB253))*(AC$7-AC$5)*(AC$6-AC$5)),AC$7-SQRT((1-NORMSDIST(AC$9*SQRT($C$11)*NORMSINV($B253)+SQRT(1-AC$9^2*$C$11)*NORMSINV(AB253)))*(AC$7-AC$5)*(AC$7-AC$6))))</f>
        <v>9.42964521004938</v>
      </c>
      <c r="AD253" s="2" t="n">
        <f aca="false">Entrées!$C$8*(1+E253)</f>
        <v>7429.47485051456</v>
      </c>
      <c r="AE253" s="2" t="n">
        <f aca="false">I253*Hypothèses!$J$24/12/Hypothèses!$J$19</f>
        <v>101.728761405216</v>
      </c>
      <c r="AF253" s="2" t="n">
        <f aca="false">Entrées!$C$36*S253*1000</f>
        <v>293.303499548241</v>
      </c>
      <c r="AG253" s="2" t="n">
        <f aca="false">-AF253/W253</f>
        <v>-28.0705745327163</v>
      </c>
      <c r="AH253" s="2" t="n">
        <f aca="false">AD253+AE253+AG253</f>
        <v>7503.13303738706</v>
      </c>
      <c r="AI253" s="2" t="n">
        <f aca="false">Entrées!$C$16-M253+Hypothèses!$J$22*1000-AF253+Hypothèses!$J$23</f>
        <v>22688.6525634234</v>
      </c>
      <c r="AJ253" s="2" t="n">
        <f aca="false">AI253/AH253</f>
        <v>3.02389048019927</v>
      </c>
      <c r="AK253" s="2" t="n">
        <f aca="false">AI253/(AH253+I253*(12-Hypothèses!$J$24)/12/Hypothèses!$J$19)</f>
        <v>2.9948867749993</v>
      </c>
      <c r="AL253" s="2" t="n">
        <f aca="false">(AD253+AG253+I253/Hypothèses!$J$19)*(1+G253)</f>
        <v>7940.37864286269</v>
      </c>
      <c r="AM253" s="2" t="n">
        <f aca="false">Entrées!$C$54*K253/Hypothèses!$J$19</f>
        <v>10.2141003508399</v>
      </c>
      <c r="AN253" s="2" t="n">
        <f aca="false">Y253*1000/AC253</f>
        <v>86.8964161210813</v>
      </c>
      <c r="AO253" s="2" t="n">
        <f aca="false">(Entrées!$C$36*(1-S253)+MAX(0,Entrées!$C$30-Entrées!$C$35-Entrées!$C$36)*U253)*1000</f>
        <v>949.192160227181</v>
      </c>
      <c r="AP253" s="2" t="n">
        <f aca="false">-AO253/W253</f>
        <v>-90.8423163056897</v>
      </c>
      <c r="AQ253" s="2" t="n">
        <f aca="false">AL253+AM253+AN253+AP253</f>
        <v>7946.64684302892</v>
      </c>
      <c r="AR253" s="2" t="n">
        <f aca="false">O253*AQ253-Hypothèses!$J$25/Hypothèses!$J$19</f>
        <v>1189.40105015588</v>
      </c>
      <c r="AS253" s="2" t="n">
        <f aca="false">Entrées!$C$79*(1+Q253)+Hypothèses!$J$20</f>
        <v>1492.37718208515</v>
      </c>
      <c r="AT253" s="2" t="n">
        <f aca="false">AI253-AR253+AS253+Y253*1000-AO253+Hypothèses!$J$23</f>
        <v>22861.8389091721</v>
      </c>
      <c r="AU253" s="2" t="n">
        <f aca="false">AT253/AQ253</f>
        <v>2.87691643541795</v>
      </c>
      <c r="AV253" s="2" t="n">
        <f aca="false">Hypothèses!$J$26*AQ253-AT253</f>
        <v>978.101619914683</v>
      </c>
      <c r="AW253" s="2" t="n">
        <f aca="false">IF(AC253&gt;Hypothèses!$J$26,MAX(0,AV253)/(1-Hypothèses!$J$26/AC253),0)</f>
        <v>1434.47281364055</v>
      </c>
      <c r="AX253" s="2" t="n">
        <f aca="false">AQ253-Entrées!$C$17*1000</f>
        <v>-53.3531569710813</v>
      </c>
      <c r="AY253" s="2" t="n">
        <f aca="false">AI253+(Entrées!$C$244-Entrées!$C$13)</f>
        <v>28435.6525634234</v>
      </c>
      <c r="AZ253" s="2" t="n">
        <f aca="false">AA253*AH253</f>
        <v>5450.01338383099</v>
      </c>
      <c r="BA253" s="2" t="n">
        <f aca="false">AZ253/AY253</f>
        <v>0.191661273525381</v>
      </c>
      <c r="BB253" s="2" t="n">
        <f aca="false">AZ253/(Entrées!$C$151/100)-AY253</f>
        <v>1842.199568971</v>
      </c>
      <c r="BC253" s="2" t="n">
        <f aca="false">AT253+(Entrées!$C$244-Entrées!$C$13)</f>
        <v>28608.8389091721</v>
      </c>
      <c r="BD253" s="2" t="n">
        <f aca="false">AA253*AQ253</f>
        <v>5772.16629843581</v>
      </c>
      <c r="BE253" s="2" t="n">
        <f aca="false">BD253/BC253</f>
        <v>0.201761641454985</v>
      </c>
      <c r="BF253" s="2" t="n">
        <f aca="false">BD253/(Entrées!$C$151/100)-BC253</f>
        <v>3458.75163769352</v>
      </c>
      <c r="BG253" s="2" t="n">
        <f aca="false">MIN(AV253,BF253)</f>
        <v>978.101619914683</v>
      </c>
      <c r="BH253" s="2" t="n">
        <f aca="false">IF(AC253&gt;Hypothèses!$J$26,MAX(0,BG253)/(1-Hypothèses!$J$26/AC253),0)</f>
        <v>1434.47281364055</v>
      </c>
    </row>
    <row r="254" customFormat="false" ht="15" hidden="false" customHeight="false" outlineLevel="0" collapsed="false">
      <c r="A254" s="2" t="n">
        <v>239</v>
      </c>
      <c r="B254" s="2" t="n">
        <v>0.832444182</v>
      </c>
      <c r="C254" s="2"/>
      <c r="D254" s="2" t="n">
        <v>0.313242488</v>
      </c>
      <c r="E254" s="2" t="n">
        <f aca="false">IF(E$7=E$5,E$6,IF(NORMSDIST(E$9*SQRT($C$11)*NORMSINV($B254)+SQRT(1-E$9^2*$C$11)*NORMSINV(D254))&lt;E$8,E$5+SQRT(NORMSDIST(E$9*SQRT($C$11)*NORMSINV($B254)+SQRT(1-E$9^2*$C$11)*NORMSINV(D254))*(E$7-E$5)*(E$6-E$5)),E$7-SQRT((1-NORMSDIST(E$9*SQRT($C$11)*NORMSINV($B254)+SQRT(1-E$9^2*$C$11)*NORMSINV(D254)))*(E$7-E$5)*(E$7-E$6))))</f>
        <v>0.0554832149973746</v>
      </c>
      <c r="F254" s="2" t="n">
        <v>0.555201425</v>
      </c>
      <c r="G254" s="2" t="n">
        <f aca="false">IF(G$7=G$5,G$6,IF(NORMSDIST(G$9*SQRT($C$11)*NORMSINV($B254)+SQRT(1-G$9^2*$C$11)*NORMSINV(F254))&lt;G$8,G$5+SQRT(NORMSDIST(G$9*SQRT($C$11)*NORMSINV($B254)+SQRT(1-G$9^2*$C$11)*NORMSINV(F254))*(G$7-G$5)*(G$6-G$5)),G$7-SQRT((1-NORMSDIST(G$9*SQRT($C$11)*NORMSINV($B254)+SQRT(1-G$9^2*$C$11)*NORMSINV(F254)))*(G$7-G$5)*(G$7-G$6))))</f>
        <v>0.0596805401808706</v>
      </c>
      <c r="H254" s="2" t="n">
        <v>0.538539238</v>
      </c>
      <c r="I254" s="2" t="n">
        <f aca="false">IF(I$7=I$5,I$6,IF(NORMSDIST(I$9*SQRT($C$11)*NORMSINV($B254)+SQRT(1-I$9^2*$C$11)*NORMSINV(H254))&lt;I$8,I$5+SQRT(NORMSDIST(I$9*SQRT($C$11)*NORMSINV($B254)+SQRT(1-I$9^2*$C$11)*NORMSINV(H254))*(I$7-I$5)*(I$6-I$5)),I$7-SQRT((1-NORMSDIST(I$9*SQRT($C$11)*NORMSINV($B254)+SQRT(1-I$9^2*$C$11)*NORMSINV(H254)))*(I$7-I$5)*(I$7-I$6))))</f>
        <v>205.948266216502</v>
      </c>
      <c r="J254" s="2" t="n">
        <v>0.607133182</v>
      </c>
      <c r="K254" s="2" t="n">
        <f aca="false">IF(K$7=K$5,K$6,IF(NORMSDIST(K$9*SQRT($C$11)*NORMSINV($B254)+SQRT(1-K$9^2*$C$11)*NORMSINV(J254))&lt;K$8,K$5+SQRT(NORMSDIST(K$9*SQRT($C$11)*NORMSINV($B254)+SQRT(1-K$9^2*$C$11)*NORMSINV(J254))*(K$7-K$5)*(K$6-K$5)),K$7-SQRT((1-NORMSDIST(K$9*SQRT($C$11)*NORMSINV($B254)+SQRT(1-K$9^2*$C$11)*NORMSINV(J254)))*(K$7-K$5)*(K$7-K$6))))</f>
        <v>0.339510065525501</v>
      </c>
      <c r="L254" s="2" t="n">
        <v>0.599085511</v>
      </c>
      <c r="M254" s="2" t="n">
        <f aca="false">IF(M$7=M$5,M$6,IF(NORMSDIST(M$9*SQRT($C$11)*NORMSINV($B254)+SQRT(1-M$9^2*$C$11)*NORMSINV(L254))&lt;M$8,M$5+SQRT(NORMSDIST(M$9*SQRT($C$11)*NORMSINV($B254)+SQRT(1-M$9^2*$C$11)*NORMSINV(L254))*(M$7-M$5)*(M$6-M$5)),M$7-SQRT((1-NORMSDIST(M$9*SQRT($C$11)*NORMSINV($B254)+SQRT(1-M$9^2*$C$11)*NORMSINV(L254)))*(M$7-M$5)*(M$7-M$6))))</f>
        <v>1662.38844485129</v>
      </c>
      <c r="N254" s="2" t="n">
        <v>0.00218845</v>
      </c>
      <c r="O254" s="2" t="n">
        <f aca="false">IF(O$7=O$5,O$6,IF(NORMSDIST(O$9*SQRT($C$11)*NORMSINV($B254)+SQRT(1-O$9^2*$C$11)*NORMSINV(N254))&lt;O$8,O$5+SQRT(NORMSDIST(O$9*SQRT($C$11)*NORMSINV($B254)+SQRT(1-O$9^2*$C$11)*NORMSINV(N254))*(O$7-O$5)*(O$6-O$5)),O$7-SQRT((1-NORMSDIST(O$9*SQRT($C$11)*NORMSINV($B254)+SQRT(1-O$9^2*$C$11)*NORMSINV(N254)))*(O$7-O$5)*(O$7-O$6))))</f>
        <v>0.148887699303715</v>
      </c>
      <c r="P254" s="2" t="n">
        <v>0.780231529</v>
      </c>
      <c r="Q254" s="2" t="n">
        <f aca="false">IF(Q$7=Q$5,Q$6,IF(NORMSDIST(Q$9*SQRT($C$11)*NORMSINV($B254)+SQRT(1-Q$9^2*$C$11)*NORMSINV(P254))&lt;Q$8,Q$5+SQRT(NORMSDIST(Q$9*SQRT($C$11)*NORMSINV($B254)+SQRT(1-Q$9^2*$C$11)*NORMSINV(P254))*(Q$7-Q$5)*(Q$6-Q$5)),Q$7-SQRT((1-NORMSDIST(Q$9*SQRT($C$11)*NORMSINV($B254)+SQRT(1-Q$9^2*$C$11)*NORMSINV(P254)))*(Q$7-Q$5)*(Q$7-Q$6))))</f>
        <v>0.0934809670764562</v>
      </c>
      <c r="R254" s="2" t="n">
        <v>0.927752445</v>
      </c>
      <c r="S254" s="2" t="n">
        <f aca="false">IF(S$7=S$5,S$6,IF(NORMSDIST(S$9*SQRT($C$11)*NORMSINV($B254)+SQRT(1-S$9^2*$C$11)*NORMSINV(R254))&lt;S$8,S$5+SQRT(NORMSDIST(S$9*SQRT($C$11)*NORMSINV($B254)+SQRT(1-S$9^2*$C$11)*NORMSINV(R254))*(S$7-S$5)*(S$6-S$5)),S$7-SQRT((1-NORMSDIST(S$9*SQRT($C$11)*NORMSINV($B254)+SQRT(1-S$9^2*$C$11)*NORMSINV(R254)))*(S$7-S$5)*(S$7-S$6))))</f>
        <v>0.856935384158497</v>
      </c>
      <c r="T254" s="2" t="n">
        <v>0.556677065</v>
      </c>
      <c r="U254" s="2" t="n">
        <f aca="false">IF(U$7=U$5,U$6,IF(NORMSDIST(U$9*SQRT($C$11)*NORMSINV($B254)+SQRT(1-U$9^2*$C$11)*NORMSINV(T254))&lt;U$8,U$5+SQRT(NORMSDIST(U$9*SQRT($C$11)*NORMSINV($B254)+SQRT(1-U$9^2*$C$11)*NORMSINV(T254))*(U$7-U$5)*(U$6-U$5)),U$7-SQRT((1-NORMSDIST(U$9*SQRT($C$11)*NORMSINV($B254)+SQRT(1-U$9^2*$C$11)*NORMSINV(T254)))*(U$7-U$5)*(U$7-U$6))))</f>
        <v>0.656666705573372</v>
      </c>
      <c r="V254" s="2" t="n">
        <v>0.124154155</v>
      </c>
      <c r="W254" s="2" t="n">
        <f aca="false">IF(W$7=W$5,W$6,IF(NORMSDIST(W$9*SQRT($C$11)*NORMSINV($B254)+SQRT(1-W$9^2*$C$11)*NORMSINV(V254))&lt;W$8,W$5+SQRT(NORMSDIST(W$9*SQRT($C$11)*NORMSINV($B254)+SQRT(1-W$9^2*$C$11)*NORMSINV(V254))*(W$7-W$5)*(W$6-W$5)),W$7-SQRT((1-NORMSDIST(W$9*SQRT($C$11)*NORMSINV($B254)+SQRT(1-W$9^2*$C$11)*NORMSINV(V254)))*(W$7-W$5)*(W$7-W$6))))</f>
        <v>9.76172386218479</v>
      </c>
      <c r="X254" s="2" t="n">
        <v>0.682274559</v>
      </c>
      <c r="Y254" s="2" t="n">
        <f aca="false">IF(Y$7=Y$5,Y$6,IF(NORMSDIST(Y$9*SQRT($C$11)*NORMSINV($B254)+SQRT(1-Y$9^2*$C$11)*NORMSINV(X254))&lt;Y$8,Y$5+SQRT(NORMSDIST(Y$9*SQRT($C$11)*NORMSINV($B254)+SQRT(1-Y$9^2*$C$11)*NORMSINV(X254))*(Y$7-Y$5)*(Y$6-Y$5)),Y$7-SQRT((1-NORMSDIST(Y$9*SQRT($C$11)*NORMSINV($B254)+SQRT(1-Y$9^2*$C$11)*NORMSINV(X254)))*(Y$7-Y$5)*(Y$7-Y$6))))</f>
        <v>0.601424134574107</v>
      </c>
      <c r="Z254" s="2" t="n">
        <v>0.536909204</v>
      </c>
      <c r="AA254" s="2" t="n">
        <f aca="false">IF(AA$7=AA$5,AA$6,IF(NORMSDIST(AA$9*SQRT($C$11)*NORMSINV($B254)+SQRT(1-AA$9^2*$C$11)*NORMSINV(Z254))&lt;AA$8,AA$5+SQRT(NORMSDIST(AA$9*SQRT($C$11)*NORMSINV($B254)+SQRT(1-AA$9^2*$C$11)*NORMSINV(Z254))*(AA$7-AA$5)*(AA$6-AA$5)),AA$7-SQRT((1-NORMSDIST(AA$9*SQRT($C$11)*NORMSINV($B254)+SQRT(1-AA$9^2*$C$11)*NORMSINV(Z254)))*(AA$7-AA$5)*(AA$7-AA$6))))</f>
        <v>0.736022552459452</v>
      </c>
      <c r="AB254" s="2" t="n">
        <v>0.625798029</v>
      </c>
      <c r="AC254" s="2" t="n">
        <f aca="false">IF(AC$7=AC$5,AC$6,IF(NORMSDIST(AC$9*SQRT($C$11)*NORMSINV($B254)+SQRT(1-AC$9^2*$C$11)*NORMSINV(AB254))&lt;AC$8,AC$5+SQRT(NORMSDIST(AC$9*SQRT($C$11)*NORMSINV($B254)+SQRT(1-AC$9^2*$C$11)*NORMSINV(AB254))*(AC$7-AC$5)*(AC$6-AC$5)),AC$7-SQRT((1-NORMSDIST(AC$9*SQRT($C$11)*NORMSINV($B254)+SQRT(1-AC$9^2*$C$11)*NORMSINV(AB254)))*(AC$7-AC$5)*(AC$7-AC$6))))</f>
        <v>10.0811606434415</v>
      </c>
      <c r="AD254" s="2" t="n">
        <f aca="false">Entrées!$C$8*(1+E254)</f>
        <v>7441.15666573149</v>
      </c>
      <c r="AE254" s="2" t="n">
        <f aca="false">I254*Hypothèses!$J$24/12/Hypothèses!$J$19</f>
        <v>102.170275706938</v>
      </c>
      <c r="AF254" s="2" t="n">
        <f aca="false">Entrées!$C$36*S254*1000</f>
        <v>428.467692079249</v>
      </c>
      <c r="AG254" s="2" t="n">
        <f aca="false">-AF254/W254</f>
        <v>-43.8926257419611</v>
      </c>
      <c r="AH254" s="2" t="n">
        <f aca="false">AD254+AE254+AG254</f>
        <v>7499.43431569647</v>
      </c>
      <c r="AI254" s="2" t="n">
        <f aca="false">Entrées!$C$16-M254+Hypothèses!$J$22*1000-AF254+Hypothèses!$J$23</f>
        <v>22457.1438630695</v>
      </c>
      <c r="AJ254" s="2" t="n">
        <f aca="false">AI254/AH254</f>
        <v>2.9945117081786</v>
      </c>
      <c r="AK254" s="2" t="n">
        <f aca="false">AI254/(AH254+I254*(12-Hypothèses!$J$24)/12/Hypothèses!$J$19)</f>
        <v>2.96565224503484</v>
      </c>
      <c r="AL254" s="2" t="n">
        <f aca="false">(AD254+AG254+I254/Hypothèses!$J$19)*(1+G254)</f>
        <v>8024.33878738787</v>
      </c>
      <c r="AM254" s="2" t="n">
        <f aca="false">Entrées!$C$54*K254/Hypothèses!$J$19</f>
        <v>34.6484276975239</v>
      </c>
      <c r="AN254" s="2" t="n">
        <f aca="false">Y254*1000/AC254</f>
        <v>59.6582234770133</v>
      </c>
      <c r="AO254" s="2" t="n">
        <f aca="false">(Entrées!$C$36*(1-S254)+MAX(0,Entrées!$C$30-Entrées!$C$35-Entrées!$C$36)*U254)*1000</f>
        <v>990.865695723473</v>
      </c>
      <c r="AP254" s="2" t="n">
        <f aca="false">-AO254/W254</f>
        <v>-101.505196183833</v>
      </c>
      <c r="AQ254" s="2" t="n">
        <f aca="false">AL254+AM254+AN254+AP254</f>
        <v>8017.14024237858</v>
      </c>
      <c r="AR254" s="2" t="n">
        <f aca="false">O254*AQ254-Hypothèses!$J$25/Hypothèses!$J$19</f>
        <v>1174.51840342135</v>
      </c>
      <c r="AS254" s="2" t="n">
        <f aca="false">Entrées!$C$79*(1+Q254)+Hypothèses!$J$20</f>
        <v>1496.73558281703</v>
      </c>
      <c r="AT254" s="2" t="n">
        <f aca="false">AI254-AR254+AS254+Y254*1000-AO254+Hypothèses!$J$23</f>
        <v>22389.9194813158</v>
      </c>
      <c r="AU254" s="2" t="n">
        <f aca="false">AT254/AQ254</f>
        <v>2.79275637002865</v>
      </c>
      <c r="AV254" s="2" t="n">
        <f aca="false">Hypothèses!$J$26*AQ254-AT254</f>
        <v>1661.50124581996</v>
      </c>
      <c r="AW254" s="2" t="n">
        <f aca="false">IF(AC254&gt;Hypothèses!$J$26,MAX(0,AV254)/(1-Hypothèses!$J$26/AC254),0)</f>
        <v>2365.41180348771</v>
      </c>
      <c r="AX254" s="2" t="n">
        <f aca="false">AQ254-Entrées!$C$17*1000</f>
        <v>17.1402423785776</v>
      </c>
      <c r="AY254" s="2" t="n">
        <f aca="false">AI254+(Entrées!$C$244-Entrées!$C$13)</f>
        <v>28204.1438630695</v>
      </c>
      <c r="AZ254" s="2" t="n">
        <f aca="false">AA254*AH254</f>
        <v>5519.75278704092</v>
      </c>
      <c r="BA254" s="2" t="n">
        <f aca="false">AZ254/AY254</f>
        <v>0.195707156148373</v>
      </c>
      <c r="BB254" s="2" t="n">
        <f aca="false">AZ254/(Entrées!$C$151/100)-AY254</f>
        <v>2461.14939826897</v>
      </c>
      <c r="BC254" s="2" t="n">
        <f aca="false">AT254+(Entrées!$C$244-Entrées!$C$13)</f>
        <v>28136.9194813158</v>
      </c>
      <c r="BD254" s="2" t="n">
        <f aca="false">AA254*AQ254</f>
        <v>5900.79602462087</v>
      </c>
      <c r="BE254" s="2" t="n">
        <f aca="false">BD254/BC254</f>
        <v>0.209717201932474</v>
      </c>
      <c r="BF254" s="2" t="n">
        <f aca="false">BD254/(Entrées!$C$151/100)-BC254</f>
        <v>4645.28065546684</v>
      </c>
      <c r="BG254" s="2" t="n">
        <f aca="false">MIN(AV254,BF254)</f>
        <v>1661.50124581996</v>
      </c>
      <c r="BH254" s="2" t="n">
        <f aca="false">IF(AC254&gt;Hypothèses!$J$26,MAX(0,BG254)/(1-Hypothèses!$J$26/AC254),0)</f>
        <v>2365.41180348771</v>
      </c>
    </row>
    <row r="255" customFormat="false" ht="15" hidden="false" customHeight="false" outlineLevel="0" collapsed="false">
      <c r="A255" s="2" t="n">
        <v>240</v>
      </c>
      <c r="B255" s="2" t="n">
        <v>0.411487359</v>
      </c>
      <c r="C255" s="2"/>
      <c r="D255" s="2" t="n">
        <v>0.998169654</v>
      </c>
      <c r="E255" s="2" t="n">
        <f aca="false">IF(E$7=E$5,E$6,IF(NORMSDIST(E$9*SQRT($C$11)*NORMSINV($B255)+SQRT(1-E$9^2*$C$11)*NORMSINV(D255))&lt;E$8,E$5+SQRT(NORMSDIST(E$9*SQRT($C$11)*NORMSINV($B255)+SQRT(1-E$9^2*$C$11)*NORMSINV(D255))*(E$7-E$5)*(E$6-E$5)),E$7-SQRT((1-NORMSDIST(E$9*SQRT($C$11)*NORMSINV($B255)+SQRT(1-E$9^2*$C$11)*NORMSINV(D255)))*(E$7-E$5)*(E$7-E$6))))</f>
        <v>0.05906589514319</v>
      </c>
      <c r="F255" s="2" t="n">
        <v>0.395102357</v>
      </c>
      <c r="G255" s="2" t="n">
        <f aca="false">IF(G$7=G$5,G$6,IF(NORMSDIST(G$9*SQRT($C$11)*NORMSINV($B255)+SQRT(1-G$9^2*$C$11)*NORMSINV(F255))&lt;G$8,G$5+SQRT(NORMSDIST(G$9*SQRT($C$11)*NORMSINV($B255)+SQRT(1-G$9^2*$C$11)*NORMSINV(F255))*(G$7-G$5)*(G$6-G$5)),G$7-SQRT((1-NORMSDIST(G$9*SQRT($C$11)*NORMSINV($B255)+SQRT(1-G$9^2*$C$11)*NORMSINV(F255)))*(G$7-G$5)*(G$7-G$6))))</f>
        <v>0.0527998664745215</v>
      </c>
      <c r="H255" s="2" t="n">
        <v>0.025821053</v>
      </c>
      <c r="I255" s="2" t="n">
        <f aca="false">IF(I$7=I$5,I$6,IF(NORMSDIST(I$9*SQRT($C$11)*NORMSINV($B255)+SQRT(1-I$9^2*$C$11)*NORMSINV(H255))&lt;I$8,I$5+SQRT(NORMSDIST(I$9*SQRT($C$11)*NORMSINV($B255)+SQRT(1-I$9^2*$C$11)*NORMSINV(H255))*(I$7-I$5)*(I$6-I$5)),I$7-SQRT((1-NORMSDIST(I$9*SQRT($C$11)*NORMSINV($B255)+SQRT(1-I$9^2*$C$11)*NORMSINV(H255)))*(I$7-I$5)*(I$7-I$6))))</f>
        <v>186.29793436527</v>
      </c>
      <c r="J255" s="2" t="n">
        <v>0.923212027</v>
      </c>
      <c r="K255" s="2" t="n">
        <f aca="false">IF(K$7=K$5,K$6,IF(NORMSDIST(K$9*SQRT($C$11)*NORMSINV($B255)+SQRT(1-K$9^2*$C$11)*NORMSINV(J255))&lt;K$8,K$5+SQRT(NORMSDIST(K$9*SQRT($C$11)*NORMSINV($B255)+SQRT(1-K$9^2*$C$11)*NORMSINV(J255))*(K$7-K$5)*(K$6-K$5)),K$7-SQRT((1-NORMSDIST(K$9*SQRT($C$11)*NORMSINV($B255)+SQRT(1-K$9^2*$C$11)*NORMSINV(J255)))*(K$7-K$5)*(K$7-K$6))))</f>
        <v>0.355277691270477</v>
      </c>
      <c r="L255" s="2" t="n">
        <v>0.263429014</v>
      </c>
      <c r="M255" s="2" t="n">
        <f aca="false">IF(M$7=M$5,M$6,IF(NORMSDIST(M$9*SQRT($C$11)*NORMSINV($B255)+SQRT(1-M$9^2*$C$11)*NORMSINV(L255))&lt;M$8,M$5+SQRT(NORMSDIST(M$9*SQRT($C$11)*NORMSINV($B255)+SQRT(1-M$9^2*$C$11)*NORMSINV(L255))*(M$7-M$5)*(M$6-M$5)),M$7-SQRT((1-NORMSDIST(M$9*SQRT($C$11)*NORMSINV($B255)+SQRT(1-M$9^2*$C$11)*NORMSINV(L255)))*(M$7-M$5)*(M$7-M$6))))</f>
        <v>1508.14454441116</v>
      </c>
      <c r="N255" s="2" t="n">
        <v>0.942685212</v>
      </c>
      <c r="O255" s="2" t="n">
        <f aca="false">IF(O$7=O$5,O$6,IF(NORMSDIST(O$9*SQRT($C$11)*NORMSINV($B255)+SQRT(1-O$9^2*$C$11)*NORMSINV(N255))&lt;O$8,O$5+SQRT(NORMSDIST(O$9*SQRT($C$11)*NORMSINV($B255)+SQRT(1-O$9^2*$C$11)*NORMSINV(N255))*(O$7-O$5)*(O$6-O$5)),O$7-SQRT((1-NORMSDIST(O$9*SQRT($C$11)*NORMSINV($B255)+SQRT(1-O$9^2*$C$11)*NORMSINV(N255)))*(O$7-O$5)*(O$7-O$6))))</f>
        <v>0.17779107573266</v>
      </c>
      <c r="P255" s="2" t="n">
        <v>0.580951508</v>
      </c>
      <c r="Q255" s="2" t="n">
        <f aca="false">IF(Q$7=Q$5,Q$6,IF(NORMSDIST(Q$9*SQRT($C$11)*NORMSINV($B255)+SQRT(1-Q$9^2*$C$11)*NORMSINV(P255))&lt;Q$8,Q$5+SQRT(NORMSDIST(Q$9*SQRT($C$11)*NORMSINV($B255)+SQRT(1-Q$9^2*$C$11)*NORMSINV(P255))*(Q$7-Q$5)*(Q$6-Q$5)),Q$7-SQRT((1-NORMSDIST(Q$9*SQRT($C$11)*NORMSINV($B255)+SQRT(1-Q$9^2*$C$11)*NORMSINV(P255)))*(Q$7-Q$5)*(Q$7-Q$6))))</f>
        <v>0.0833809452006199</v>
      </c>
      <c r="R255" s="2" t="n">
        <v>0.117067157</v>
      </c>
      <c r="S255" s="2" t="n">
        <f aca="false">IF(S$7=S$5,S$6,IF(NORMSDIST(S$9*SQRT($C$11)*NORMSINV($B255)+SQRT(1-S$9^2*$C$11)*NORMSINV(R255))&lt;S$8,S$5+SQRT(NORMSDIST(S$9*SQRT($C$11)*NORMSINV($B255)+SQRT(1-S$9^2*$C$11)*NORMSINV(R255))*(S$7-S$5)*(S$6-S$5)),S$7-SQRT((1-NORMSDIST(S$9*SQRT($C$11)*NORMSINV($B255)+SQRT(1-S$9^2*$C$11)*NORMSINV(R255)))*(S$7-S$5)*(S$7-S$6))))</f>
        <v>0.268207516316791</v>
      </c>
      <c r="T255" s="2" t="n">
        <v>0.882931424</v>
      </c>
      <c r="U255" s="2" t="n">
        <f aca="false">IF(U$7=U$5,U$6,IF(NORMSDIST(U$9*SQRT($C$11)*NORMSINV($B255)+SQRT(1-U$9^2*$C$11)*NORMSINV(T255))&lt;U$8,U$5+SQRT(NORMSDIST(U$9*SQRT($C$11)*NORMSINV($B255)+SQRT(1-U$9^2*$C$11)*NORMSINV(T255))*(U$7-U$5)*(U$6-U$5)),U$7-SQRT((1-NORMSDIST(U$9*SQRT($C$11)*NORMSINV($B255)+SQRT(1-U$9^2*$C$11)*NORMSINV(T255)))*(U$7-U$5)*(U$7-U$6))))</f>
        <v>0.670101048179954</v>
      </c>
      <c r="V255" s="2" t="n">
        <v>0.878608793</v>
      </c>
      <c r="W255" s="2" t="n">
        <f aca="false">IF(W$7=W$5,W$6,IF(NORMSDIST(W$9*SQRT($C$11)*NORMSINV($B255)+SQRT(1-W$9^2*$C$11)*NORMSINV(V255))&lt;W$8,W$5+SQRT(NORMSDIST(W$9*SQRT($C$11)*NORMSINV($B255)+SQRT(1-W$9^2*$C$11)*NORMSINV(V255))*(W$7-W$5)*(W$6-W$5)),W$7-SQRT((1-NORMSDIST(W$9*SQRT($C$11)*NORMSINV($B255)+SQRT(1-W$9^2*$C$11)*NORMSINV(V255)))*(W$7-W$5)*(W$7-W$6))))</f>
        <v>10.6653913985936</v>
      </c>
      <c r="X255" s="2" t="n">
        <v>0.18078203</v>
      </c>
      <c r="Y255" s="2" t="n">
        <f aca="false">IF(Y$7=Y$5,Y$6,IF(NORMSDIST(Y$9*SQRT($C$11)*NORMSINV($B255)+SQRT(1-Y$9^2*$C$11)*NORMSINV(X255))&lt;Y$8,Y$5+SQRT(NORMSDIST(Y$9*SQRT($C$11)*NORMSINV($B255)+SQRT(1-Y$9^2*$C$11)*NORMSINV(X255))*(Y$7-Y$5)*(Y$6-Y$5)),Y$7-SQRT((1-NORMSDIST(Y$9*SQRT($C$11)*NORMSINV($B255)+SQRT(1-Y$9^2*$C$11)*NORMSINV(X255)))*(Y$7-Y$5)*(Y$7-Y$6))))</f>
        <v>0.300650985363428</v>
      </c>
      <c r="Z255" s="2" t="n">
        <v>0.721974654</v>
      </c>
      <c r="AA255" s="2" t="n">
        <f aca="false">IF(AA$7=AA$5,AA$6,IF(NORMSDIST(AA$9*SQRT($C$11)*NORMSINV($B255)+SQRT(1-AA$9^2*$C$11)*NORMSINV(Z255))&lt;AA$8,AA$5+SQRT(NORMSDIST(AA$9*SQRT($C$11)*NORMSINV($B255)+SQRT(1-AA$9^2*$C$11)*NORMSINV(Z255))*(AA$7-AA$5)*(AA$6-AA$5)),AA$7-SQRT((1-NORMSDIST(AA$9*SQRT($C$11)*NORMSINV($B255)+SQRT(1-AA$9^2*$C$11)*NORMSINV(Z255)))*(AA$7-AA$5)*(AA$7-AA$6))))</f>
        <v>0.731869163934324</v>
      </c>
      <c r="AB255" s="2" t="n">
        <v>0.067996687</v>
      </c>
      <c r="AC255" s="2" t="n">
        <f aca="false">IF(AC$7=AC$5,AC$6,IF(NORMSDIST(AC$9*SQRT($C$11)*NORMSINV($B255)+SQRT(1-AC$9^2*$C$11)*NORMSINV(AB255))&lt;AC$8,AC$5+SQRT(NORMSDIST(AC$9*SQRT($C$11)*NORMSINV($B255)+SQRT(1-AC$9^2*$C$11)*NORMSINV(AB255))*(AC$7-AC$5)*(AC$6-AC$5)),AC$7-SQRT((1-NORMSDIST(AC$9*SQRT($C$11)*NORMSINV($B255)+SQRT(1-AC$9^2*$C$11)*NORMSINV(AB255)))*(AC$7-AC$5)*(AC$7-AC$6))))</f>
        <v>8.31750399821378</v>
      </c>
      <c r="AD255" s="2" t="n">
        <f aca="false">Entrées!$C$8*(1+E255)</f>
        <v>7466.41456075949</v>
      </c>
      <c r="AE255" s="2" t="n">
        <f aca="false">I255*Hypothèses!$J$24/12/Hypothèses!$J$19</f>
        <v>92.4218089688751</v>
      </c>
      <c r="AF255" s="2" t="n">
        <f aca="false">Entrées!$C$36*S255*1000</f>
        <v>134.103758158395</v>
      </c>
      <c r="AG255" s="2" t="n">
        <f aca="false">-AF255/W255</f>
        <v>-12.5737305970861</v>
      </c>
      <c r="AH255" s="2" t="n">
        <f aca="false">AD255+AE255+AG255</f>
        <v>7546.26263913128</v>
      </c>
      <c r="AI255" s="2" t="n">
        <f aca="false">Entrées!$C$16-M255+Hypothèses!$J$22*1000-AF255+Hypothèses!$J$23</f>
        <v>22905.7516974304</v>
      </c>
      <c r="AJ255" s="2" t="n">
        <f aca="false">AI255/AH255</f>
        <v>3.03537695317577</v>
      </c>
      <c r="AK255" s="2" t="n">
        <f aca="false">AI255/(AH255+I255*(12-Hypothèses!$J$24)/12/Hypothèses!$J$19)</f>
        <v>3.00905340616404</v>
      </c>
      <c r="AL255" s="2" t="n">
        <f aca="false">(AD255+AG255+I255/Hypothèses!$J$19)*(1+G255)</f>
        <v>8014.20549038891</v>
      </c>
      <c r="AM255" s="2" t="n">
        <f aca="false">Entrées!$C$54*K255/Hypothèses!$J$19</f>
        <v>36.257580108781</v>
      </c>
      <c r="AN255" s="2" t="n">
        <f aca="false">Y255*1000/AC255</f>
        <v>36.1467797824917</v>
      </c>
      <c r="AO255" s="2" t="n">
        <f aca="false">(Entrées!$C$36*(1-S255)+MAX(0,Entrées!$C$30-Entrées!$C$35-Entrées!$C$36)*U255)*1000</f>
        <v>1304.03770929354</v>
      </c>
      <c r="AP255" s="2" t="n">
        <f aca="false">-AO255/W255</f>
        <v>-122.26815318428</v>
      </c>
      <c r="AQ255" s="2" t="n">
        <f aca="false">AL255+AM255+AN255+AP255</f>
        <v>7964.3416970959</v>
      </c>
      <c r="AR255" s="2" t="n">
        <f aca="false">O255*AQ255-Hypothèses!$J$25/Hypothèses!$J$19</f>
        <v>1396.85371556754</v>
      </c>
      <c r="AS255" s="2" t="n">
        <f aca="false">Entrées!$C$79*(1+Q255)+Hypothèses!$J$20</f>
        <v>1485.63565877548</v>
      </c>
      <c r="AT255" s="2" t="n">
        <f aca="false">AI255-AR255+AS255+Y255*1000-AO255+Hypothèses!$J$23</f>
        <v>21991.1469167083</v>
      </c>
      <c r="AU255" s="2" t="n">
        <f aca="false">AT255/AQ255</f>
        <v>2.76120083154231</v>
      </c>
      <c r="AV255" s="2" t="n">
        <f aca="false">Hypothèses!$J$26*AQ255-AT255</f>
        <v>1901.87817457944</v>
      </c>
      <c r="AW255" s="2" t="n">
        <f aca="false">IF(AC255&gt;Hypothèses!$J$26,MAX(0,AV255)/(1-Hypothèses!$J$26/AC255),0)</f>
        <v>2974.86928575771</v>
      </c>
      <c r="AX255" s="2" t="n">
        <f aca="false">AQ255-Entrées!$C$17*1000</f>
        <v>-35.6583029040958</v>
      </c>
      <c r="AY255" s="2" t="n">
        <f aca="false">AI255+(Entrées!$C$244-Entrées!$C$13)</f>
        <v>28652.7516974304</v>
      </c>
      <c r="AZ255" s="2" t="n">
        <f aca="false">AA255*AH255</f>
        <v>5522.87692852984</v>
      </c>
      <c r="BA255" s="2" t="n">
        <f aca="false">AZ255/AY255</f>
        <v>0.192752060494948</v>
      </c>
      <c r="BB255" s="2" t="n">
        <f aca="false">AZ255/(Entrées!$C$151/100)-AY255</f>
        <v>2029.89790551308</v>
      </c>
      <c r="BC255" s="2" t="n">
        <f aca="false">AT255+(Entrées!$C$244-Entrées!$C$13)</f>
        <v>27738.1469167083</v>
      </c>
      <c r="BD255" s="2" t="n">
        <f aca="false">AA255*AQ255</f>
        <v>5828.85609914086</v>
      </c>
      <c r="BE255" s="2" t="n">
        <f aca="false">BD255/BC255</f>
        <v>0.210138626658935</v>
      </c>
      <c r="BF255" s="2" t="n">
        <f aca="false">BD255/(Entrées!$C$151/100)-BC255</f>
        <v>4644.38696740759</v>
      </c>
      <c r="BG255" s="2" t="n">
        <f aca="false">MIN(AV255,BF255)</f>
        <v>1901.87817457944</v>
      </c>
      <c r="BH255" s="2" t="n">
        <f aca="false">IF(AC255&gt;Hypothèses!$J$26,MAX(0,BG255)/(1-Hypothèses!$J$26/AC255),0)</f>
        <v>2974.86928575771</v>
      </c>
    </row>
    <row r="256" customFormat="false" ht="15" hidden="false" customHeight="false" outlineLevel="0" collapsed="false">
      <c r="A256" s="2" t="n">
        <v>241</v>
      </c>
      <c r="B256" s="2" t="n">
        <v>0.972775293</v>
      </c>
      <c r="C256" s="2"/>
      <c r="D256" s="2" t="n">
        <v>0.476725658</v>
      </c>
      <c r="E256" s="2" t="n">
        <f aca="false">IF(E$7=E$5,E$6,IF(NORMSDIST(E$9*SQRT($C$11)*NORMSINV($B256)+SQRT(1-E$9^2*$C$11)*NORMSINV(D256))&lt;E$8,E$5+SQRT(NORMSDIST(E$9*SQRT($C$11)*NORMSINV($B256)+SQRT(1-E$9^2*$C$11)*NORMSINV(D256))*(E$7-E$5)*(E$6-E$5)),E$7-SQRT((1-NORMSDIST(E$9*SQRT($C$11)*NORMSINV($B256)+SQRT(1-E$9^2*$C$11)*NORMSINV(D256)))*(E$7-E$5)*(E$7-E$6))))</f>
        <v>0.0575426729068901</v>
      </c>
      <c r="F256" s="2" t="n">
        <v>0.972187404</v>
      </c>
      <c r="G256" s="2" t="n">
        <f aca="false">IF(G$7=G$5,G$6,IF(NORMSDIST(G$9*SQRT($C$11)*NORMSINV($B256)+SQRT(1-G$9^2*$C$11)*NORMSINV(F256))&lt;G$8,G$5+SQRT(NORMSDIST(G$9*SQRT($C$11)*NORMSINV($B256)+SQRT(1-G$9^2*$C$11)*NORMSINV(F256))*(G$7-G$5)*(G$6-G$5)),G$7-SQRT((1-NORMSDIST(G$9*SQRT($C$11)*NORMSINV($B256)+SQRT(1-G$9^2*$C$11)*NORMSINV(F256)))*(G$7-G$5)*(G$7-G$6))))</f>
        <v>0.0687489047483233</v>
      </c>
      <c r="H256" s="2" t="n">
        <v>0.485029314</v>
      </c>
      <c r="I256" s="2" t="n">
        <f aca="false">IF(I$7=I$5,I$6,IF(NORMSDIST(I$9*SQRT($C$11)*NORMSINV($B256)+SQRT(1-I$9^2*$C$11)*NORMSINV(H256))&lt;I$8,I$5+SQRT(NORMSDIST(I$9*SQRT($C$11)*NORMSINV($B256)+SQRT(1-I$9^2*$C$11)*NORMSINV(H256))*(I$7-I$5)*(I$6-I$5)),I$7-SQRT((1-NORMSDIST(I$9*SQRT($C$11)*NORMSINV($B256)+SQRT(1-I$9^2*$C$11)*NORMSINV(H256)))*(I$7-I$5)*(I$7-I$6))))</f>
        <v>210.302320709391</v>
      </c>
      <c r="J256" s="2" t="n">
        <v>0.758720624</v>
      </c>
      <c r="K256" s="2" t="n">
        <f aca="false">IF(K$7=K$5,K$6,IF(NORMSDIST(K$9*SQRT($C$11)*NORMSINV($B256)+SQRT(1-K$9^2*$C$11)*NORMSINV(J256))&lt;K$8,K$5+SQRT(NORMSDIST(K$9*SQRT($C$11)*NORMSINV($B256)+SQRT(1-K$9^2*$C$11)*NORMSINV(J256))*(K$7-K$5)*(K$6-K$5)),K$7-SQRT((1-NORMSDIST(K$9*SQRT($C$11)*NORMSINV($B256)+SQRT(1-K$9^2*$C$11)*NORMSINV(J256)))*(K$7-K$5)*(K$7-K$6))))</f>
        <v>0.430017913212867</v>
      </c>
      <c r="L256" s="2" t="n">
        <v>0.319369916</v>
      </c>
      <c r="M256" s="2" t="n">
        <f aca="false">IF(M$7=M$5,M$6,IF(NORMSDIST(M$9*SQRT($C$11)*NORMSINV($B256)+SQRT(1-M$9^2*$C$11)*NORMSINV(L256))&lt;M$8,M$5+SQRT(NORMSDIST(M$9*SQRT($C$11)*NORMSINV($B256)+SQRT(1-M$9^2*$C$11)*NORMSINV(L256))*(M$7-M$5)*(M$6-M$5)),M$7-SQRT((1-NORMSDIST(M$9*SQRT($C$11)*NORMSINV($B256)+SQRT(1-M$9^2*$C$11)*NORMSINV(L256)))*(M$7-M$5)*(M$7-M$6))))</f>
        <v>1666.69787723767</v>
      </c>
      <c r="N256" s="2" t="n">
        <v>0.525497415</v>
      </c>
      <c r="O256" s="2" t="n">
        <f aca="false">IF(O$7=O$5,O$6,IF(NORMSDIST(O$9*SQRT($C$11)*NORMSINV($B256)+SQRT(1-O$9^2*$C$11)*NORMSINV(N256))&lt;O$8,O$5+SQRT(NORMSDIST(O$9*SQRT($C$11)*NORMSINV($B256)+SQRT(1-O$9^2*$C$11)*NORMSINV(N256))*(O$7-O$5)*(O$6-O$5)),O$7-SQRT((1-NORMSDIST(O$9*SQRT($C$11)*NORMSINV($B256)+SQRT(1-O$9^2*$C$11)*NORMSINV(N256)))*(O$7-O$5)*(O$7-O$6))))</f>
        <v>0.17953710248466</v>
      </c>
      <c r="P256" s="2" t="n">
        <v>0.347512593</v>
      </c>
      <c r="Q256" s="2" t="n">
        <f aca="false">IF(Q$7=Q$5,Q$6,IF(NORMSDIST(Q$9*SQRT($C$11)*NORMSINV($B256)+SQRT(1-Q$9^2*$C$11)*NORMSINV(P256))&lt;Q$8,Q$5+SQRT(NORMSDIST(Q$9*SQRT($C$11)*NORMSINV($B256)+SQRT(1-Q$9^2*$C$11)*NORMSINV(P256))*(Q$7-Q$5)*(Q$6-Q$5)),Q$7-SQRT((1-NORMSDIST(Q$9*SQRT($C$11)*NORMSINV($B256)+SQRT(1-Q$9^2*$C$11)*NORMSINV(P256)))*(Q$7-Q$5)*(Q$7-Q$6))))</f>
        <v>0.0733472682179515</v>
      </c>
      <c r="R256" s="2" t="n">
        <v>0.747992335</v>
      </c>
      <c r="S256" s="2" t="n">
        <f aca="false">IF(S$7=S$5,S$6,IF(NORMSDIST(S$9*SQRT($C$11)*NORMSINV($B256)+SQRT(1-S$9^2*$C$11)*NORMSINV(R256))&lt;S$8,S$5+SQRT(NORMSDIST(S$9*SQRT($C$11)*NORMSINV($B256)+SQRT(1-S$9^2*$C$11)*NORMSINV(R256))*(S$7-S$5)*(S$6-S$5)),S$7-SQRT((1-NORMSDIST(S$9*SQRT($C$11)*NORMSINV($B256)+SQRT(1-S$9^2*$C$11)*NORMSINV(R256)))*(S$7-S$5)*(S$7-S$6))))</f>
        <v>0.856013317622514</v>
      </c>
      <c r="T256" s="2" t="n">
        <v>0.54991031</v>
      </c>
      <c r="U256" s="2" t="n">
        <f aca="false">IF(U$7=U$5,U$6,IF(NORMSDIST(U$9*SQRT($C$11)*NORMSINV($B256)+SQRT(1-U$9^2*$C$11)*NORMSINV(T256))&lt;U$8,U$5+SQRT(NORMSDIST(U$9*SQRT($C$11)*NORMSINV($B256)+SQRT(1-U$9^2*$C$11)*NORMSINV(T256))*(U$7-U$5)*(U$6-U$5)),U$7-SQRT((1-NORMSDIST(U$9*SQRT($C$11)*NORMSINV($B256)+SQRT(1-U$9^2*$C$11)*NORMSINV(T256)))*(U$7-U$5)*(U$7-U$6))))</f>
        <v>0.782626351692322</v>
      </c>
      <c r="V256" s="2" t="n">
        <v>0.110771679</v>
      </c>
      <c r="W256" s="2" t="n">
        <f aca="false">IF(W$7=W$5,W$6,IF(NORMSDIST(W$9*SQRT($C$11)*NORMSINV($B256)+SQRT(1-W$9^2*$C$11)*NORMSINV(V256))&lt;W$8,W$5+SQRT(NORMSDIST(W$9*SQRT($C$11)*NORMSINV($B256)+SQRT(1-W$9^2*$C$11)*NORMSINV(V256))*(W$7-W$5)*(W$6-W$5)),W$7-SQRT((1-NORMSDIST(W$9*SQRT($C$11)*NORMSINV($B256)+SQRT(1-W$9^2*$C$11)*NORMSINV(V256)))*(W$7-W$5)*(W$7-W$6))))</f>
        <v>10.2251016751783</v>
      </c>
      <c r="X256" s="2" t="n">
        <v>0.350179277</v>
      </c>
      <c r="Y256" s="2" t="n">
        <f aca="false">IF(Y$7=Y$5,Y$6,IF(NORMSDIST(Y$9*SQRT($C$11)*NORMSINV($B256)+SQRT(1-Y$9^2*$C$11)*NORMSINV(X256))&lt;Y$8,Y$5+SQRT(NORMSDIST(Y$9*SQRT($C$11)*NORMSINV($B256)+SQRT(1-Y$9^2*$C$11)*NORMSINV(X256))*(Y$7-Y$5)*(Y$6-Y$5)),Y$7-SQRT((1-NORMSDIST(Y$9*SQRT($C$11)*NORMSINV($B256)+SQRT(1-Y$9^2*$C$11)*NORMSINV(X256)))*(Y$7-Y$5)*(Y$7-Y$6))))</f>
        <v>0.418437138050628</v>
      </c>
      <c r="Z256" s="2" t="n">
        <v>0.27102723</v>
      </c>
      <c r="AA256" s="2" t="n">
        <f aca="false">IF(AA$7=AA$5,AA$6,IF(NORMSDIST(AA$9*SQRT($C$11)*NORMSINV($B256)+SQRT(1-AA$9^2*$C$11)*NORMSINV(Z256))&lt;AA$8,AA$5+SQRT(NORMSDIST(AA$9*SQRT($C$11)*NORMSINV($B256)+SQRT(1-AA$9^2*$C$11)*NORMSINV(Z256))*(AA$7-AA$5)*(AA$6-AA$5)),AA$7-SQRT((1-NORMSDIST(AA$9*SQRT($C$11)*NORMSINV($B256)+SQRT(1-AA$9^2*$C$11)*NORMSINV(Z256)))*(AA$7-AA$5)*(AA$7-AA$6))))</f>
        <v>0.736735710452272</v>
      </c>
      <c r="AB256" s="2" t="n">
        <v>0.09011638</v>
      </c>
      <c r="AC256" s="2" t="n">
        <f aca="false">IF(AC$7=AC$5,AC$6,IF(NORMSDIST(AC$9*SQRT($C$11)*NORMSINV($B256)+SQRT(1-AC$9^2*$C$11)*NORMSINV(AB256))&lt;AC$8,AC$5+SQRT(NORMSDIST(AC$9*SQRT($C$11)*NORMSINV($B256)+SQRT(1-AC$9^2*$C$11)*NORMSINV(AB256))*(AC$7-AC$5)*(AC$6-AC$5)),AC$7-SQRT((1-NORMSDIST(AC$9*SQRT($C$11)*NORMSINV($B256)+SQRT(1-AC$9^2*$C$11)*NORMSINV(AB256)))*(AC$7-AC$5)*(AC$7-AC$6))))</f>
        <v>9.62071948085139</v>
      </c>
      <c r="AD256" s="2" t="n">
        <f aca="false">Entrées!$C$8*(1+E256)</f>
        <v>7455.67584399358</v>
      </c>
      <c r="AE256" s="2" t="n">
        <f aca="false">I256*Hypothèses!$J$24/12/Hypothèses!$J$19</f>
        <v>104.330308205166</v>
      </c>
      <c r="AF256" s="2" t="n">
        <f aca="false">Entrées!$C$36*S256*1000</f>
        <v>428.006658811257</v>
      </c>
      <c r="AG256" s="2" t="n">
        <f aca="false">-AF256/W256</f>
        <v>-41.858425706441</v>
      </c>
      <c r="AH256" s="2" t="n">
        <f aca="false">AD256+AE256+AG256</f>
        <v>7518.1477264923</v>
      </c>
      <c r="AI256" s="2" t="n">
        <f aca="false">Entrées!$C$16-M256+Hypothèses!$J$22*1000-AF256+Hypothèses!$J$23</f>
        <v>22453.2954639511</v>
      </c>
      <c r="AJ256" s="2" t="n">
        <f aca="false">AI256/AH256</f>
        <v>2.98654619206678</v>
      </c>
      <c r="AK256" s="2" t="n">
        <f aca="false">AI256/(AH256+I256*(12-Hypothèses!$J$24)/12/Hypothèses!$J$19)</f>
        <v>2.95723339900195</v>
      </c>
      <c r="AL256" s="2" t="n">
        <f aca="false">(AD256+AG256+I256/Hypothèses!$J$19)*(1+G256)</f>
        <v>8114.65707887212</v>
      </c>
      <c r="AM256" s="2" t="n">
        <f aca="false">Entrées!$C$54*K256/Hypothèses!$J$19</f>
        <v>43.8851335719147</v>
      </c>
      <c r="AN256" s="2" t="n">
        <f aca="false">Y256*1000/AC256</f>
        <v>43.4933311259584</v>
      </c>
      <c r="AO256" s="2" t="n">
        <f aca="false">(Entrées!$C$36*(1-S256)+MAX(0,Entrées!$C$30-Entrées!$C$35-Entrées!$C$36)*U256)*1000</f>
        <v>1167.67023355799</v>
      </c>
      <c r="AP256" s="2" t="n">
        <f aca="false">-AO256/W256</f>
        <v>-114.196442309473</v>
      </c>
      <c r="AQ256" s="2" t="n">
        <f aca="false">AL256+AM256+AN256+AP256</f>
        <v>8087.83910126052</v>
      </c>
      <c r="AR256" s="2" t="n">
        <f aca="false">O256*AQ256-Hypothèses!$J$25/Hypothèses!$J$19</f>
        <v>1432.93203534082</v>
      </c>
      <c r="AS256" s="2" t="n">
        <f aca="false">Entrées!$C$79*(1+Q256)+Hypothèses!$J$20</f>
        <v>1474.60864777153</v>
      </c>
      <c r="AT256" s="2" t="n">
        <f aca="false">AI256-AR256+AS256+Y256*1000-AO256+Hypothèses!$J$23</f>
        <v>21745.7389808744</v>
      </c>
      <c r="AU256" s="2" t="n">
        <f aca="false">AT256/AQ256</f>
        <v>2.68869579483663</v>
      </c>
      <c r="AV256" s="2" t="n">
        <f aca="false">Hypothèses!$J$26*AQ256-AT256</f>
        <v>2517.77832290715</v>
      </c>
      <c r="AW256" s="2" t="n">
        <f aca="false">IF(AC256&gt;Hypothèses!$J$26,MAX(0,AV256)/(1-Hypothèses!$J$26/AC256),0)</f>
        <v>3658.64148597687</v>
      </c>
      <c r="AX256" s="2" t="n">
        <f aca="false">AQ256-Entrées!$C$17*1000</f>
        <v>87.8391012605207</v>
      </c>
      <c r="AY256" s="2" t="n">
        <f aca="false">AI256+(Entrées!$C$244-Entrées!$C$13)</f>
        <v>28200.2954639511</v>
      </c>
      <c r="AZ256" s="2" t="n">
        <f aca="false">AA256*AH256</f>
        <v>5538.88790656244</v>
      </c>
      <c r="BA256" s="2" t="n">
        <f aca="false">AZ256/AY256</f>
        <v>0.196412406871513</v>
      </c>
      <c r="BB256" s="2" t="n">
        <f aca="false">AZ256/(Entrées!$C$151/100)-AY256</f>
        <v>2571.30401695137</v>
      </c>
      <c r="BC256" s="2" t="n">
        <f aca="false">AT256+(Entrées!$C$244-Entrées!$C$13)</f>
        <v>27492.7389808744</v>
      </c>
      <c r="BD256" s="2" t="n">
        <f aca="false">AA256*AQ256</f>
        <v>5958.59988629084</v>
      </c>
      <c r="BE256" s="2" t="n">
        <f aca="false">BD256/BC256</f>
        <v>0.216733585199932</v>
      </c>
      <c r="BF256" s="2" t="n">
        <f aca="false">BD256/(Entrées!$C$151/100)-BC256</f>
        <v>5610.59372074134</v>
      </c>
      <c r="BG256" s="2" t="n">
        <f aca="false">MIN(AV256,BF256)</f>
        <v>2517.77832290715</v>
      </c>
      <c r="BH256" s="2" t="n">
        <f aca="false">IF(AC256&gt;Hypothèses!$J$26,MAX(0,BG256)/(1-Hypothèses!$J$26/AC256),0)</f>
        <v>3658.64148597687</v>
      </c>
    </row>
    <row r="257" customFormat="false" ht="15" hidden="false" customHeight="false" outlineLevel="0" collapsed="false">
      <c r="A257" s="2" t="n">
        <v>242</v>
      </c>
      <c r="B257" s="2" t="n">
        <v>0.94127072</v>
      </c>
      <c r="C257" s="2"/>
      <c r="D257" s="2" t="n">
        <v>0.475221206</v>
      </c>
      <c r="E257" s="2" t="n">
        <f aca="false">IF(E$7=E$5,E$6,IF(NORMSDIST(E$9*SQRT($C$11)*NORMSINV($B257)+SQRT(1-E$9^2*$C$11)*NORMSINV(D257))&lt;E$8,E$5+SQRT(NORMSDIST(E$9*SQRT($C$11)*NORMSINV($B257)+SQRT(1-E$9^2*$C$11)*NORMSINV(D257))*(E$7-E$5)*(E$6-E$5)),E$7-SQRT((1-NORMSDIST(E$9*SQRT($C$11)*NORMSINV($B257)+SQRT(1-E$9^2*$C$11)*NORMSINV(D257)))*(E$7-E$5)*(E$7-E$6))))</f>
        <v>0.0570580634038636</v>
      </c>
      <c r="F257" s="2" t="n">
        <v>0.326817303</v>
      </c>
      <c r="G257" s="2" t="n">
        <f aca="false">IF(G$7=G$5,G$6,IF(NORMSDIST(G$9*SQRT($C$11)*NORMSINV($B257)+SQRT(1-G$9^2*$C$11)*NORMSINV(F257))&lt;G$8,G$5+SQRT(NORMSDIST(G$9*SQRT($C$11)*NORMSINV($B257)+SQRT(1-G$9^2*$C$11)*NORMSINV(F257))*(G$7-G$5)*(G$6-G$5)),G$7-SQRT((1-NORMSDIST(G$9*SQRT($C$11)*NORMSINV($B257)+SQRT(1-G$9^2*$C$11)*NORMSINV(F257)))*(G$7-G$5)*(G$7-G$6))))</f>
        <v>0.0591779959686273</v>
      </c>
      <c r="H257" s="2" t="n">
        <v>0.268506907</v>
      </c>
      <c r="I257" s="2" t="n">
        <f aca="false">IF(I$7=I$5,I$6,IF(NORMSDIST(I$9*SQRT($C$11)*NORMSINV($B257)+SQRT(1-I$9^2*$C$11)*NORMSINV(H257))&lt;I$8,I$5+SQRT(NORMSDIST(I$9*SQRT($C$11)*NORMSINV($B257)+SQRT(1-I$9^2*$C$11)*NORMSINV(H257))*(I$7-I$5)*(I$6-I$5)),I$7-SQRT((1-NORMSDIST(I$9*SQRT($C$11)*NORMSINV($B257)+SQRT(1-I$9^2*$C$11)*NORMSINV(H257)))*(I$7-I$5)*(I$7-I$6))))</f>
        <v>204.396269625594</v>
      </c>
      <c r="J257" s="2" t="n">
        <v>0.111433568</v>
      </c>
      <c r="K257" s="2" t="n">
        <f aca="false">IF(K$7=K$5,K$6,IF(NORMSDIST(K$9*SQRT($C$11)*NORMSINV($B257)+SQRT(1-K$9^2*$C$11)*NORMSINV(J257))&lt;K$8,K$5+SQRT(NORMSDIST(K$9*SQRT($C$11)*NORMSINV($B257)+SQRT(1-K$9^2*$C$11)*NORMSINV(J257))*(K$7-K$5)*(K$6-K$5)),K$7-SQRT((1-NORMSDIST(K$9*SQRT($C$11)*NORMSINV($B257)+SQRT(1-K$9^2*$C$11)*NORMSINV(J257)))*(K$7-K$5)*(K$7-K$6))))</f>
        <v>0.254623181761617</v>
      </c>
      <c r="L257" s="2" t="n">
        <v>0.52156277</v>
      </c>
      <c r="M257" s="2" t="n">
        <f aca="false">IF(M$7=M$5,M$6,IF(NORMSDIST(M$9*SQRT($C$11)*NORMSINV($B257)+SQRT(1-M$9^2*$C$11)*NORMSINV(L257))&lt;M$8,M$5+SQRT(NORMSDIST(M$9*SQRT($C$11)*NORMSINV($B257)+SQRT(1-M$9^2*$C$11)*NORMSINV(L257))*(M$7-M$5)*(M$6-M$5)),M$7-SQRT((1-NORMSDIST(M$9*SQRT($C$11)*NORMSINV($B257)+SQRT(1-M$9^2*$C$11)*NORMSINV(L257)))*(M$7-M$5)*(M$7-M$6))))</f>
        <v>1682.24795181754</v>
      </c>
      <c r="N257" s="2" t="n">
        <v>0.392121929</v>
      </c>
      <c r="O257" s="2" t="n">
        <f aca="false">IF(O$7=O$5,O$6,IF(NORMSDIST(O$9*SQRT($C$11)*NORMSINV($B257)+SQRT(1-O$9^2*$C$11)*NORMSINV(N257))&lt;O$8,O$5+SQRT(NORMSDIST(O$9*SQRT($C$11)*NORMSINV($B257)+SQRT(1-O$9^2*$C$11)*NORMSINV(N257))*(O$7-O$5)*(O$6-O$5)),O$7-SQRT((1-NORMSDIST(O$9*SQRT($C$11)*NORMSINV($B257)+SQRT(1-O$9^2*$C$11)*NORMSINV(N257)))*(O$7-O$5)*(O$7-O$6))))</f>
        <v>0.174752142856806</v>
      </c>
      <c r="P257" s="2" t="n">
        <v>0.655170777</v>
      </c>
      <c r="Q257" s="2" t="n">
        <f aca="false">IF(Q$7=Q$5,Q$6,IF(NORMSDIST(Q$9*SQRT($C$11)*NORMSINV($B257)+SQRT(1-Q$9^2*$C$11)*NORMSINV(P257))&lt;Q$8,Q$5+SQRT(NORMSDIST(Q$9*SQRT($C$11)*NORMSINV($B257)+SQRT(1-Q$9^2*$C$11)*NORMSINV(P257))*(Q$7-Q$5)*(Q$6-Q$5)),Q$7-SQRT((1-NORMSDIST(Q$9*SQRT($C$11)*NORMSINV($B257)+SQRT(1-Q$9^2*$C$11)*NORMSINV(P257)))*(Q$7-Q$5)*(Q$7-Q$6))))</f>
        <v>0.0867817292202017</v>
      </c>
      <c r="R257" s="2" t="n">
        <v>0.939681432</v>
      </c>
      <c r="S257" s="2" t="n">
        <f aca="false">IF(S$7=S$5,S$6,IF(NORMSDIST(S$9*SQRT($C$11)*NORMSINV($B257)+SQRT(1-S$9^2*$C$11)*NORMSINV(R257))&lt;S$8,S$5+SQRT(NORMSDIST(S$9*SQRT($C$11)*NORMSINV($B257)+SQRT(1-S$9^2*$C$11)*NORMSINV(R257))*(S$7-S$5)*(S$6-S$5)),S$7-SQRT((1-NORMSDIST(S$9*SQRT($C$11)*NORMSINV($B257)+SQRT(1-S$9^2*$C$11)*NORMSINV(R257)))*(S$7-S$5)*(S$7-S$6))))</f>
        <v>0.915810018530096</v>
      </c>
      <c r="T257" s="2" t="n">
        <v>0.885602932</v>
      </c>
      <c r="U257" s="2" t="n">
        <f aca="false">IF(U$7=U$5,U$6,IF(NORMSDIST(U$9*SQRT($C$11)*NORMSINV($B257)+SQRT(1-U$9^2*$C$11)*NORMSINV(T257))&lt;U$8,U$5+SQRT(NORMSDIST(U$9*SQRT($C$11)*NORMSINV($B257)+SQRT(1-U$9^2*$C$11)*NORMSINV(T257))*(U$7-U$5)*(U$6-U$5)),U$7-SQRT((1-NORMSDIST(U$9*SQRT($C$11)*NORMSINV($B257)+SQRT(1-U$9^2*$C$11)*NORMSINV(T257)))*(U$7-U$5)*(U$7-U$6))))</f>
        <v>0.883205450903671</v>
      </c>
      <c r="V257" s="2" t="n">
        <v>0.543628739</v>
      </c>
      <c r="W257" s="2" t="n">
        <f aca="false">IF(W$7=W$5,W$6,IF(NORMSDIST(W$9*SQRT($C$11)*NORMSINV($B257)+SQRT(1-W$9^2*$C$11)*NORMSINV(V257))&lt;W$8,W$5+SQRT(NORMSDIST(W$9*SQRT($C$11)*NORMSINV($B257)+SQRT(1-W$9^2*$C$11)*NORMSINV(V257))*(W$7-W$5)*(W$6-W$5)),W$7-SQRT((1-NORMSDIST(W$9*SQRT($C$11)*NORMSINV($B257)+SQRT(1-W$9^2*$C$11)*NORMSINV(V257)))*(W$7-W$5)*(W$7-W$6))))</f>
        <v>10.9372284760886</v>
      </c>
      <c r="X257" s="2" t="n">
        <v>0.215100617</v>
      </c>
      <c r="Y257" s="2" t="n">
        <f aca="false">IF(Y$7=Y$5,Y$6,IF(NORMSDIST(Y$9*SQRT($C$11)*NORMSINV($B257)+SQRT(1-Y$9^2*$C$11)*NORMSINV(X257))&lt;Y$8,Y$5+SQRT(NORMSDIST(Y$9*SQRT($C$11)*NORMSINV($B257)+SQRT(1-Y$9^2*$C$11)*NORMSINV(X257))*(Y$7-Y$5)*(Y$6-Y$5)),Y$7-SQRT((1-NORMSDIST(Y$9*SQRT($C$11)*NORMSINV($B257)+SQRT(1-Y$9^2*$C$11)*NORMSINV(X257)))*(Y$7-Y$5)*(Y$7-Y$6))))</f>
        <v>0.327948636984513</v>
      </c>
      <c r="Z257" s="2" t="n">
        <v>0.466831889</v>
      </c>
      <c r="AA257" s="2" t="n">
        <f aca="false">IF(AA$7=AA$5,AA$6,IF(NORMSDIST(AA$9*SQRT($C$11)*NORMSINV($B257)+SQRT(1-AA$9^2*$C$11)*NORMSINV(Z257))&lt;AA$8,AA$5+SQRT(NORMSDIST(AA$9*SQRT($C$11)*NORMSINV($B257)+SQRT(1-AA$9^2*$C$11)*NORMSINV(Z257))*(AA$7-AA$5)*(AA$6-AA$5)),AA$7-SQRT((1-NORMSDIST(AA$9*SQRT($C$11)*NORMSINV($B257)+SQRT(1-AA$9^2*$C$11)*NORMSINV(Z257)))*(AA$7-AA$5)*(AA$7-AA$6))))</f>
        <v>0.738773750919873</v>
      </c>
      <c r="AB257" s="2" t="n">
        <v>0.772225608</v>
      </c>
      <c r="AC257" s="2" t="n">
        <f aca="false">IF(AC$7=AC$5,AC$6,IF(NORMSDIST(AC$9*SQRT($C$11)*NORMSINV($B257)+SQRT(1-AC$9^2*$C$11)*NORMSINV(AB257))&lt;AC$8,AC$5+SQRT(NORMSDIST(AC$9*SQRT($C$11)*NORMSINV($B257)+SQRT(1-AC$9^2*$C$11)*NORMSINV(AB257))*(AC$7-AC$5)*(AC$6-AC$5)),AC$7-SQRT((1-NORMSDIST(AC$9*SQRT($C$11)*NORMSINV($B257)+SQRT(1-AC$9^2*$C$11)*NORMSINV(AB257)))*(AC$7-AC$5)*(AC$7-AC$6))))</f>
        <v>10.4976078511041</v>
      </c>
      <c r="AD257" s="2" t="n">
        <f aca="false">Entrées!$C$8*(1+E257)</f>
        <v>7452.25934699724</v>
      </c>
      <c r="AE257" s="2" t="n">
        <f aca="false">I257*Hypothèses!$J$24/12/Hypothèses!$J$19</f>
        <v>101.400335165547</v>
      </c>
      <c r="AF257" s="2" t="n">
        <f aca="false">Entrées!$C$36*S257*1000</f>
        <v>457.905009265048</v>
      </c>
      <c r="AG257" s="2" t="n">
        <f aca="false">-AF257/W257</f>
        <v>-41.8666401882467</v>
      </c>
      <c r="AH257" s="2" t="n">
        <f aca="false">AD257+AE257+AG257</f>
        <v>7511.79304197454</v>
      </c>
      <c r="AI257" s="2" t="n">
        <f aca="false">Entrées!$C$16-M257+Hypothèses!$J$22*1000-AF257+Hypothèses!$J$23</f>
        <v>22407.8470389174</v>
      </c>
      <c r="AJ257" s="2" t="n">
        <f aca="false">AI257/AH257</f>
        <v>2.98302241737844</v>
      </c>
      <c r="AK257" s="2" t="n">
        <f aca="false">AI257/(AH257+I257*(12-Hypothèses!$J$24)/12/Hypothèses!$J$19)</f>
        <v>2.95453475304442</v>
      </c>
      <c r="AL257" s="2" t="n">
        <f aca="false">(AD257+AG257+I257/Hypothèses!$J$19)*(1+G257)</f>
        <v>8033.04090303766</v>
      </c>
      <c r="AM257" s="2" t="n">
        <f aca="false">Entrées!$C$54*K257/Hypothèses!$J$19</f>
        <v>25.9853647924268</v>
      </c>
      <c r="AN257" s="2" t="n">
        <f aca="false">Y257*1000/AC257</f>
        <v>31.2403208079467</v>
      </c>
      <c r="AO257" s="2" t="n">
        <f aca="false">(Entrées!$C$36*(1-S257)+MAX(0,Entrées!$C$30-Entrées!$C$35-Entrées!$C$36)*U257)*1000</f>
        <v>1278.58262200009</v>
      </c>
      <c r="AP257" s="2" t="n">
        <f aca="false">-AO257/W257</f>
        <v>-116.901884677218</v>
      </c>
      <c r="AQ257" s="2" t="n">
        <f aca="false">AL257+AM257+AN257+AP257</f>
        <v>7973.36470396082</v>
      </c>
      <c r="AR257" s="2" t="n">
        <f aca="false">O257*AQ257-Hypothèses!$J$25/Hypothèses!$J$19</f>
        <v>1374.22740553435</v>
      </c>
      <c r="AS257" s="2" t="n">
        <f aca="false">Entrées!$C$79*(1+Q257)+Hypothèses!$J$20</f>
        <v>1489.373120413</v>
      </c>
      <c r="AT257" s="2" t="n">
        <f aca="false">AI257-AR257+AS257+Y257*1000-AO257+Hypothèses!$J$23</f>
        <v>21572.3587687805</v>
      </c>
      <c r="AU257" s="2" t="n">
        <f aca="false">AT257/AQ257</f>
        <v>2.70555274588961</v>
      </c>
      <c r="AV257" s="2" t="n">
        <f aca="false">Hypothèses!$J$26*AQ257-AT257</f>
        <v>2347.73534310198</v>
      </c>
      <c r="AW257" s="2" t="n">
        <f aca="false">IF(AC257&gt;Hypothèses!$J$26,MAX(0,AV257)/(1-Hypothèses!$J$26/AC257),0)</f>
        <v>3287.1291029755</v>
      </c>
      <c r="AX257" s="2" t="n">
        <f aca="false">AQ257-Entrées!$C$17*1000</f>
        <v>-26.6352960391805</v>
      </c>
      <c r="AY257" s="2" t="n">
        <f aca="false">AI257+(Entrées!$C$244-Entrées!$C$13)</f>
        <v>28154.8470389174</v>
      </c>
      <c r="AZ257" s="2" t="n">
        <f aca="false">AA257*AH257</f>
        <v>5549.51552175333</v>
      </c>
      <c r="BA257" s="2" t="n">
        <f aca="false">AZ257/AY257</f>
        <v>0.197106932034915</v>
      </c>
      <c r="BB257" s="2" t="n">
        <f aca="false">AZ257/(Entrées!$C$151/100)-AY257</f>
        <v>2675.79474860109</v>
      </c>
      <c r="BC257" s="2" t="n">
        <f aca="false">AT257+(Entrées!$C$244-Entrées!$C$13)</f>
        <v>27319.3587687805</v>
      </c>
      <c r="BD257" s="2" t="n">
        <f aca="false">AA257*AQ257</f>
        <v>5890.51254979726</v>
      </c>
      <c r="BE257" s="2" t="n">
        <f aca="false">BD257/BC257</f>
        <v>0.215616793924487</v>
      </c>
      <c r="BF257" s="2" t="n">
        <f aca="false">BD257/(Entrées!$C$151/100)-BC257</f>
        <v>5405.71095231538</v>
      </c>
      <c r="BG257" s="2" t="n">
        <f aca="false">MIN(AV257,BF257)</f>
        <v>2347.73534310198</v>
      </c>
      <c r="BH257" s="2" t="n">
        <f aca="false">IF(AC257&gt;Hypothèses!$J$26,MAX(0,BG257)/(1-Hypothèses!$J$26/AC257),0)</f>
        <v>3287.1291029755</v>
      </c>
    </row>
    <row r="258" customFormat="false" ht="15" hidden="false" customHeight="false" outlineLevel="0" collapsed="false">
      <c r="A258" s="2" t="n">
        <v>243</v>
      </c>
      <c r="B258" s="2" t="n">
        <v>0.036118747</v>
      </c>
      <c r="C258" s="2"/>
      <c r="D258" s="2" t="n">
        <v>0.77464148</v>
      </c>
      <c r="E258" s="2" t="n">
        <f aca="false">IF(E$7=E$5,E$6,IF(NORMSDIST(E$9*SQRT($C$11)*NORMSINV($B258)+SQRT(1-E$9^2*$C$11)*NORMSINV(D258))&lt;E$8,E$5+SQRT(NORMSDIST(E$9*SQRT($C$11)*NORMSINV($B258)+SQRT(1-E$9^2*$C$11)*NORMSINV(D258))*(E$7-E$5)*(E$6-E$5)),E$7-SQRT((1-NORMSDIST(E$9*SQRT($C$11)*NORMSINV($B258)+SQRT(1-E$9^2*$C$11)*NORMSINV(D258)))*(E$7-E$5)*(E$7-E$6))))</f>
        <v>0.0538094313712426</v>
      </c>
      <c r="F258" s="2" t="n">
        <v>0.019786316</v>
      </c>
      <c r="G258" s="2" t="n">
        <f aca="false">IF(G$7=G$5,G$6,IF(NORMSDIST(G$9*SQRT($C$11)*NORMSINV($B258)+SQRT(1-G$9^2*$C$11)*NORMSINV(F258))&lt;G$8,G$5+SQRT(NORMSDIST(G$9*SQRT($C$11)*NORMSINV($B258)+SQRT(1-G$9^2*$C$11)*NORMSINV(F258))*(G$7-G$5)*(G$6-G$5)),G$7-SQRT((1-NORMSDIST(G$9*SQRT($C$11)*NORMSINV($B258)+SQRT(1-G$9^2*$C$11)*NORMSINV(F258)))*(G$7-G$5)*(G$7-G$6))))</f>
        <v>0.0411916172762435</v>
      </c>
      <c r="H258" s="2" t="n">
        <v>0.377073471</v>
      </c>
      <c r="I258" s="2" t="n">
        <f aca="false">IF(I$7=I$5,I$6,IF(NORMSDIST(I$9*SQRT($C$11)*NORMSINV($B258)+SQRT(1-I$9^2*$C$11)*NORMSINV(H258))&lt;I$8,I$5+SQRT(NORMSDIST(I$9*SQRT($C$11)*NORMSINV($B258)+SQRT(1-I$9^2*$C$11)*NORMSINV(H258))*(I$7-I$5)*(I$6-I$5)),I$7-SQRT((1-NORMSDIST(I$9*SQRT($C$11)*NORMSINV($B258)+SQRT(1-I$9^2*$C$11)*NORMSINV(H258)))*(I$7-I$5)*(I$7-I$6))))</f>
        <v>188.191239437776</v>
      </c>
      <c r="J258" s="2" t="n">
        <v>0.414230249</v>
      </c>
      <c r="K258" s="2" t="n">
        <f aca="false">IF(K$7=K$5,K$6,IF(NORMSDIST(K$9*SQRT($C$11)*NORMSINV($B258)+SQRT(1-K$9^2*$C$11)*NORMSINV(J258))&lt;K$8,K$5+SQRT(NORMSDIST(K$9*SQRT($C$11)*NORMSINV($B258)+SQRT(1-K$9^2*$C$11)*NORMSINV(J258))*(K$7-K$5)*(K$6-K$5)),K$7-SQRT((1-NORMSDIST(K$9*SQRT($C$11)*NORMSINV($B258)+SQRT(1-K$9^2*$C$11)*NORMSINV(J258)))*(K$7-K$5)*(K$7-K$6))))</f>
        <v>0.109538175274368</v>
      </c>
      <c r="L258" s="2" t="n">
        <v>0.815840789</v>
      </c>
      <c r="M258" s="2" t="n">
        <f aca="false">IF(M$7=M$5,M$6,IF(NORMSDIST(M$9*SQRT($C$11)*NORMSINV($B258)+SQRT(1-M$9^2*$C$11)*NORMSINV(L258))&lt;M$8,M$5+SQRT(NORMSDIST(M$9*SQRT($C$11)*NORMSINV($B258)+SQRT(1-M$9^2*$C$11)*NORMSINV(L258))*(M$7-M$5)*(M$6-M$5)),M$7-SQRT((1-NORMSDIST(M$9*SQRT($C$11)*NORMSINV($B258)+SQRT(1-M$9^2*$C$11)*NORMSINV(L258)))*(M$7-M$5)*(M$7-M$6))))</f>
        <v>1532.40150543152</v>
      </c>
      <c r="N258" s="2" t="n">
        <v>0.399710571</v>
      </c>
      <c r="O258" s="2" t="n">
        <f aca="false">IF(O$7=O$5,O$6,IF(NORMSDIST(O$9*SQRT($C$11)*NORMSINV($B258)+SQRT(1-O$9^2*$C$11)*NORMSINV(N258))&lt;O$8,O$5+SQRT(NORMSDIST(O$9*SQRT($C$11)*NORMSINV($B258)+SQRT(1-O$9^2*$C$11)*NORMSINV(N258))*(O$7-O$5)*(O$6-O$5)),O$7-SQRT((1-NORMSDIST(O$9*SQRT($C$11)*NORMSINV($B258)+SQRT(1-O$9^2*$C$11)*NORMSINV(N258)))*(O$7-O$5)*(O$7-O$6))))</f>
        <v>0.151435769016919</v>
      </c>
      <c r="P258" s="2" t="n">
        <v>0.044549362</v>
      </c>
      <c r="Q258" s="2" t="n">
        <f aca="false">IF(Q$7=Q$5,Q$6,IF(NORMSDIST(Q$9*SQRT($C$11)*NORMSINV($B258)+SQRT(1-Q$9^2*$C$11)*NORMSINV(P258))&lt;Q$8,Q$5+SQRT(NORMSDIST(Q$9*SQRT($C$11)*NORMSINV($B258)+SQRT(1-Q$9^2*$C$11)*NORMSINV(P258))*(Q$7-Q$5)*(Q$6-Q$5)),Q$7-SQRT((1-NORMSDIST(Q$9*SQRT($C$11)*NORMSINV($B258)+SQRT(1-Q$9^2*$C$11)*NORMSINV(P258)))*(Q$7-Q$5)*(Q$7-Q$6))))</f>
        <v>0.0519397637497565</v>
      </c>
      <c r="R258" s="2" t="n">
        <v>0.775123484</v>
      </c>
      <c r="S258" s="2" t="n">
        <f aca="false">IF(S$7=S$5,S$6,IF(NORMSDIST(S$9*SQRT($C$11)*NORMSINV($B258)+SQRT(1-S$9^2*$C$11)*NORMSINV(R258))&lt;S$8,S$5+SQRT(NORMSDIST(S$9*SQRT($C$11)*NORMSINV($B258)+SQRT(1-S$9^2*$C$11)*NORMSINV(R258))*(S$7-S$5)*(S$6-S$5)),S$7-SQRT((1-NORMSDIST(S$9*SQRT($C$11)*NORMSINV($B258)+SQRT(1-S$9^2*$C$11)*NORMSINV(R258)))*(S$7-S$5)*(S$7-S$6))))</f>
        <v>0.381222809880944</v>
      </c>
      <c r="T258" s="2" t="n">
        <v>0.220467495</v>
      </c>
      <c r="U258" s="2" t="n">
        <f aca="false">IF(U$7=U$5,U$6,IF(NORMSDIST(U$9*SQRT($C$11)*NORMSINV($B258)+SQRT(1-U$9^2*$C$11)*NORMSINV(T258))&lt;U$8,U$5+SQRT(NORMSDIST(U$9*SQRT($C$11)*NORMSINV($B258)+SQRT(1-U$9^2*$C$11)*NORMSINV(T258))*(U$7-U$5)*(U$6-U$5)),U$7-SQRT((1-NORMSDIST(U$9*SQRT($C$11)*NORMSINV($B258)+SQRT(1-U$9^2*$C$11)*NORMSINV(T258)))*(U$7-U$5)*(U$7-U$6))))</f>
        <v>0.144003725259228</v>
      </c>
      <c r="V258" s="2" t="n">
        <v>0.148446268</v>
      </c>
      <c r="W258" s="2" t="n">
        <f aca="false">IF(W$7=W$5,W$6,IF(NORMSDIST(W$9*SQRT($C$11)*NORMSINV($B258)+SQRT(1-W$9^2*$C$11)*NORMSINV(V258))&lt;W$8,W$5+SQRT(NORMSDIST(W$9*SQRT($C$11)*NORMSINV($B258)+SQRT(1-W$9^2*$C$11)*NORMSINV(V258))*(W$7-W$5)*(W$6-W$5)),W$7-SQRT((1-NORMSDIST(W$9*SQRT($C$11)*NORMSINV($B258)+SQRT(1-W$9^2*$C$11)*NORMSINV(V258)))*(W$7-W$5)*(W$7-W$6))))</f>
        <v>8.45512922767117</v>
      </c>
      <c r="X258" s="2" t="n">
        <v>0.355766226</v>
      </c>
      <c r="Y258" s="2" t="n">
        <f aca="false">IF(Y$7=Y$5,Y$6,IF(NORMSDIST(Y$9*SQRT($C$11)*NORMSINV($B258)+SQRT(1-Y$9^2*$C$11)*NORMSINV(X258))&lt;Y$8,Y$5+SQRT(NORMSDIST(Y$9*SQRT($C$11)*NORMSINV($B258)+SQRT(1-Y$9^2*$C$11)*NORMSINV(X258))*(Y$7-Y$5)*(Y$6-Y$5)),Y$7-SQRT((1-NORMSDIST(Y$9*SQRT($C$11)*NORMSINV($B258)+SQRT(1-Y$9^2*$C$11)*NORMSINV(X258)))*(Y$7-Y$5)*(Y$7-Y$6))))</f>
        <v>0.421761915065834</v>
      </c>
      <c r="Z258" s="2" t="n">
        <v>0.390707627</v>
      </c>
      <c r="AA258" s="2" t="n">
        <f aca="false">IF(AA$7=AA$5,AA$6,IF(NORMSDIST(AA$9*SQRT($C$11)*NORMSINV($B258)+SQRT(1-AA$9^2*$C$11)*NORMSINV(Z258))&lt;AA$8,AA$5+SQRT(NORMSDIST(AA$9*SQRT($C$11)*NORMSINV($B258)+SQRT(1-AA$9^2*$C$11)*NORMSINV(Z258))*(AA$7-AA$5)*(AA$6-AA$5)),AA$7-SQRT((1-NORMSDIST(AA$9*SQRT($C$11)*NORMSINV($B258)+SQRT(1-AA$9^2*$C$11)*NORMSINV(Z258)))*(AA$7-AA$5)*(AA$7-AA$6))))</f>
        <v>0.709067654548691</v>
      </c>
      <c r="AB258" s="2" t="n">
        <v>0.214701023</v>
      </c>
      <c r="AC258" s="2" t="n">
        <f aca="false">IF(AC$7=AC$5,AC$6,IF(NORMSDIST(AC$9*SQRT($C$11)*NORMSINV($B258)+SQRT(1-AC$9^2*$C$11)*NORMSINV(AB258))&lt;AC$8,AC$5+SQRT(NORMSDIST(AC$9*SQRT($C$11)*NORMSINV($B258)+SQRT(1-AC$9^2*$C$11)*NORMSINV(AB258))*(AC$7-AC$5)*(AC$6-AC$5)),AC$7-SQRT((1-NORMSDIST(AC$9*SQRT($C$11)*NORMSINV($B258)+SQRT(1-AC$9^2*$C$11)*NORMSINV(AB258)))*(AC$7-AC$5)*(AC$7-AC$6))))</f>
        <v>7.98893832133607</v>
      </c>
      <c r="AD258" s="2" t="n">
        <f aca="false">Entrées!$C$8*(1+E258)</f>
        <v>7429.35649116726</v>
      </c>
      <c r="AE258" s="2" t="n">
        <f aca="false">I258*Hypothèses!$J$24/12/Hypothèses!$J$19</f>
        <v>93.3610715555865</v>
      </c>
      <c r="AF258" s="2" t="n">
        <f aca="false">Entrées!$C$36*S258*1000</f>
        <v>190.611404940472</v>
      </c>
      <c r="AG258" s="2" t="n">
        <f aca="false">-AF258/W258</f>
        <v>-22.543878373456</v>
      </c>
      <c r="AH258" s="2" t="n">
        <f aca="false">AD258+AE258+AG258</f>
        <v>7500.17368434939</v>
      </c>
      <c r="AI258" s="2" t="n">
        <f aca="false">Entrées!$C$16-M258+Hypothèses!$J$22*1000-AF258+Hypothèses!$J$23</f>
        <v>22824.987089628</v>
      </c>
      <c r="AJ258" s="2" t="n">
        <f aca="false">AI258/AH258</f>
        <v>3.043261136373</v>
      </c>
      <c r="AK258" s="2" t="n">
        <f aca="false">AI258/(AH258+I258*(12-Hypothèses!$J$24)/12/Hypothèses!$J$19)</f>
        <v>3.01644098012059</v>
      </c>
      <c r="AL258" s="2" t="n">
        <f aca="false">(AD258+AG258+I258/Hypothèses!$J$19)*(1+G258)</f>
        <v>7878.55137189161</v>
      </c>
      <c r="AM258" s="2" t="n">
        <f aca="false">Entrées!$C$54*K258/Hypothèses!$J$19</f>
        <v>11.1788307078264</v>
      </c>
      <c r="AN258" s="2" t="n">
        <f aca="false">Y258*1000/AC258</f>
        <v>52.7932371112985</v>
      </c>
      <c r="AO258" s="2" t="n">
        <f aca="false">(Entrées!$C$36*(1-S258)+MAX(0,Entrées!$C$30-Entrées!$C$35-Entrées!$C$36)*U258)*1000</f>
        <v>510.993810422447</v>
      </c>
      <c r="AP258" s="2" t="n">
        <f aca="false">-AO258/W258</f>
        <v>-60.4359551064121</v>
      </c>
      <c r="AQ258" s="2" t="n">
        <f aca="false">AL258+AM258+AN258+AP258</f>
        <v>7882.08748460432</v>
      </c>
      <c r="AR258" s="2" t="n">
        <f aca="false">O258*AQ258-Hypothèses!$J$25/Hypothèses!$J$19</f>
        <v>1174.49481742806</v>
      </c>
      <c r="AS258" s="2" t="n">
        <f aca="false">Entrées!$C$79*(1+Q258)+Hypothèses!$J$20</f>
        <v>1451.08180036098</v>
      </c>
      <c r="AT258" s="2" t="n">
        <f aca="false">AI258-AR258+AS258+Y258*1000-AO258+Hypothèses!$J$23</f>
        <v>23012.3421772043</v>
      </c>
      <c r="AU258" s="2" t="n">
        <f aca="false">AT258/AQ258</f>
        <v>2.91957456982724</v>
      </c>
      <c r="AV258" s="2" t="n">
        <f aca="false">Hypothèses!$J$26*AQ258-AT258</f>
        <v>633.920276608656</v>
      </c>
      <c r="AW258" s="2" t="n">
        <f aca="false">IF(AC258&gt;Hypothèses!$J$26,MAX(0,AV258)/(1-Hypothèses!$J$26/AC258),0)</f>
        <v>1015.11577499611</v>
      </c>
      <c r="AX258" s="2" t="n">
        <f aca="false">AQ258-Entrées!$C$17*1000</f>
        <v>-117.912515395677</v>
      </c>
      <c r="AY258" s="2" t="n">
        <f aca="false">AI258+(Entrées!$C$244-Entrées!$C$13)</f>
        <v>28571.987089628</v>
      </c>
      <c r="AZ258" s="2" t="n">
        <f aca="false">AA258*AH258</f>
        <v>5318.13056306944</v>
      </c>
      <c r="BA258" s="2" t="n">
        <f aca="false">AZ258/AY258</f>
        <v>0.186130931194491</v>
      </c>
      <c r="BB258" s="2" t="n">
        <f aca="false">AZ258/(Entrées!$C$151/100)-AY258</f>
        <v>973.182705202209</v>
      </c>
      <c r="BC258" s="2" t="n">
        <f aca="false">AT258+(Entrées!$C$244-Entrées!$C$13)</f>
        <v>28759.3421772043</v>
      </c>
      <c r="BD258" s="2" t="n">
        <f aca="false">AA258*AQ258</f>
        <v>5588.93328565598</v>
      </c>
      <c r="BE258" s="2" t="n">
        <f aca="false">BD258/BC258</f>
        <v>0.194334531409622</v>
      </c>
      <c r="BF258" s="2" t="n">
        <f aca="false">BD258/(Entrées!$C$151/100)-BC258</f>
        <v>2290.28718755113</v>
      </c>
      <c r="BG258" s="2" t="n">
        <f aca="false">MIN(AV258,BF258)</f>
        <v>633.920276608656</v>
      </c>
      <c r="BH258" s="2" t="n">
        <f aca="false">IF(AC258&gt;Hypothèses!$J$26,MAX(0,BG258)/(1-Hypothèses!$J$26/AC258),0)</f>
        <v>1015.11577499611</v>
      </c>
    </row>
    <row r="259" customFormat="false" ht="15" hidden="false" customHeight="false" outlineLevel="0" collapsed="false">
      <c r="A259" s="2" t="n">
        <v>244</v>
      </c>
      <c r="B259" s="2" t="n">
        <v>0.475812237</v>
      </c>
      <c r="C259" s="2"/>
      <c r="D259" s="2" t="n">
        <v>0.555515338</v>
      </c>
      <c r="E259" s="2" t="n">
        <f aca="false">IF(E$7=E$5,E$6,IF(NORMSDIST(E$9*SQRT($C$11)*NORMSINV($B259)+SQRT(1-E$9^2*$C$11)*NORMSINV(D259))&lt;E$8,E$5+SQRT(NORMSDIST(E$9*SQRT($C$11)*NORMSINV($B259)+SQRT(1-E$9^2*$C$11)*NORMSINV(D259))*(E$7-E$5)*(E$6-E$5)),E$7-SQRT((1-NORMSDIST(E$9*SQRT($C$11)*NORMSINV($B259)+SQRT(1-E$9^2*$C$11)*NORMSINV(D259)))*(E$7-E$5)*(E$7-E$6))))</f>
        <v>0.0551410499798772</v>
      </c>
      <c r="F259" s="2" t="n">
        <v>0.018711029</v>
      </c>
      <c r="G259" s="2" t="n">
        <f aca="false">IF(G$7=G$5,G$6,IF(NORMSDIST(G$9*SQRT($C$11)*NORMSINV($B259)+SQRT(1-G$9^2*$C$11)*NORMSINV(F259))&lt;G$8,G$5+SQRT(NORMSDIST(G$9*SQRT($C$11)*NORMSINV($B259)+SQRT(1-G$9^2*$C$11)*NORMSINV(F259))*(G$7-G$5)*(G$6-G$5)),G$7-SQRT((1-NORMSDIST(G$9*SQRT($C$11)*NORMSINV($B259)+SQRT(1-G$9^2*$C$11)*NORMSINV(F259)))*(G$7-G$5)*(G$7-G$6))))</f>
        <v>0.0447163042102013</v>
      </c>
      <c r="H259" s="2" t="n">
        <v>0.510163505</v>
      </c>
      <c r="I259" s="2" t="n">
        <f aca="false">IF(I$7=I$5,I$6,IF(NORMSDIST(I$9*SQRT($C$11)*NORMSINV($B259)+SQRT(1-I$9^2*$C$11)*NORMSINV(H259))&lt;I$8,I$5+SQRT(NORMSDIST(I$9*SQRT($C$11)*NORMSINV($B259)+SQRT(1-I$9^2*$C$11)*NORMSINV(H259))*(I$7-I$5)*(I$6-I$5)),I$7-SQRT((1-NORMSDIST(I$9*SQRT($C$11)*NORMSINV($B259)+SQRT(1-I$9^2*$C$11)*NORMSINV(H259)))*(I$7-I$5)*(I$7-I$6))))</f>
        <v>199.850779937561</v>
      </c>
      <c r="J259" s="2" t="n">
        <v>0.789010949</v>
      </c>
      <c r="K259" s="2" t="n">
        <f aca="false">IF(K$7=K$5,K$6,IF(NORMSDIST(K$9*SQRT($C$11)*NORMSINV($B259)+SQRT(1-K$9^2*$C$11)*NORMSINV(J259))&lt;K$8,K$5+SQRT(NORMSDIST(K$9*SQRT($C$11)*NORMSINV($B259)+SQRT(1-K$9^2*$C$11)*NORMSINV(J259))*(K$7-K$5)*(K$6-K$5)),K$7-SQRT((1-NORMSDIST(K$9*SQRT($C$11)*NORMSINV($B259)+SQRT(1-K$9^2*$C$11)*NORMSINV(J259)))*(K$7-K$5)*(K$7-K$6))))</f>
        <v>0.313005520282727</v>
      </c>
      <c r="L259" s="2" t="n">
        <v>0.440512815</v>
      </c>
      <c r="M259" s="2" t="n">
        <f aca="false">IF(M$7=M$5,M$6,IF(NORMSDIST(M$9*SQRT($C$11)*NORMSINV($B259)+SQRT(1-M$9^2*$C$11)*NORMSINV(L259))&lt;M$8,M$5+SQRT(NORMSDIST(M$9*SQRT($C$11)*NORMSINV($B259)+SQRT(1-M$9^2*$C$11)*NORMSINV(L259))*(M$7-M$5)*(M$6-M$5)),M$7-SQRT((1-NORMSDIST(M$9*SQRT($C$11)*NORMSINV($B259)+SQRT(1-M$9^2*$C$11)*NORMSINV(L259)))*(M$7-M$5)*(M$7-M$6))))</f>
        <v>1567.48555689213</v>
      </c>
      <c r="N259" s="2" t="n">
        <v>0.384522992</v>
      </c>
      <c r="O259" s="2" t="n">
        <f aca="false">IF(O$7=O$5,O$6,IF(NORMSDIST(O$9*SQRT($C$11)*NORMSINV($B259)+SQRT(1-O$9^2*$C$11)*NORMSINV(N259))&lt;O$8,O$5+SQRT(NORMSDIST(O$9*SQRT($C$11)*NORMSINV($B259)+SQRT(1-O$9^2*$C$11)*NORMSINV(N259))*(O$7-O$5)*(O$6-O$5)),O$7-SQRT((1-NORMSDIST(O$9*SQRT($C$11)*NORMSINV($B259)+SQRT(1-O$9^2*$C$11)*NORMSINV(N259)))*(O$7-O$5)*(O$7-O$6))))</f>
        <v>0.16381240419082</v>
      </c>
      <c r="P259" s="2" t="n">
        <v>0.847982603</v>
      </c>
      <c r="Q259" s="2" t="n">
        <f aca="false">IF(Q$7=Q$5,Q$6,IF(NORMSDIST(Q$9*SQRT($C$11)*NORMSINV($B259)+SQRT(1-Q$9^2*$C$11)*NORMSINV(P259))&lt;Q$8,Q$5+SQRT(NORMSDIST(Q$9*SQRT($C$11)*NORMSINV($B259)+SQRT(1-Q$9^2*$C$11)*NORMSINV(P259))*(Q$7-Q$5)*(Q$6-Q$5)),Q$7-SQRT((1-NORMSDIST(Q$9*SQRT($C$11)*NORMSINV($B259)+SQRT(1-Q$9^2*$C$11)*NORMSINV(P259)))*(Q$7-Q$5)*(Q$7-Q$6))))</f>
        <v>0.0979442599217347</v>
      </c>
      <c r="R259" s="2" t="n">
        <v>0.398641536</v>
      </c>
      <c r="S259" s="2" t="n">
        <f aca="false">IF(S$7=S$5,S$6,IF(NORMSDIST(S$9*SQRT($C$11)*NORMSINV($B259)+SQRT(1-S$9^2*$C$11)*NORMSINV(R259))&lt;S$8,S$5+SQRT(NORMSDIST(S$9*SQRT($C$11)*NORMSINV($B259)+SQRT(1-S$9^2*$C$11)*NORMSINV(R259))*(S$7-S$5)*(S$6-S$5)),S$7-SQRT((1-NORMSDIST(S$9*SQRT($C$11)*NORMSINV($B259)+SQRT(1-S$9^2*$C$11)*NORMSINV(R259)))*(S$7-S$5)*(S$7-S$6))))</f>
        <v>0.450665139857096</v>
      </c>
      <c r="T259" s="2" t="n">
        <v>0.911251119</v>
      </c>
      <c r="U259" s="2" t="n">
        <f aca="false">IF(U$7=U$5,U$6,IF(NORMSDIST(U$9*SQRT($C$11)*NORMSINV($B259)+SQRT(1-U$9^2*$C$11)*NORMSINV(T259))&lt;U$8,U$5+SQRT(NORMSDIST(U$9*SQRT($C$11)*NORMSINV($B259)+SQRT(1-U$9^2*$C$11)*NORMSINV(T259))*(U$7-U$5)*(U$6-U$5)),U$7-SQRT((1-NORMSDIST(U$9*SQRT($C$11)*NORMSINV($B259)+SQRT(1-U$9^2*$C$11)*NORMSINV(T259)))*(U$7-U$5)*(U$7-U$6))))</f>
        <v>0.719673488644103</v>
      </c>
      <c r="V259" s="2" t="n">
        <v>0.422509796</v>
      </c>
      <c r="W259" s="2" t="n">
        <f aca="false">IF(W$7=W$5,W$6,IF(NORMSDIST(W$9*SQRT($C$11)*NORMSINV($B259)+SQRT(1-W$9^2*$C$11)*NORMSINV(V259))&lt;W$8,W$5+SQRT(NORMSDIST(W$9*SQRT($C$11)*NORMSINV($B259)+SQRT(1-W$9^2*$C$11)*NORMSINV(V259))*(W$7-W$5)*(W$6-W$5)),W$7-SQRT((1-NORMSDIST(W$9*SQRT($C$11)*NORMSINV($B259)+SQRT(1-W$9^2*$C$11)*NORMSINV(V259)))*(W$7-W$5)*(W$7-W$6))))</f>
        <v>9.84334226571551</v>
      </c>
      <c r="X259" s="2" t="n">
        <v>0.280317071</v>
      </c>
      <c r="Y259" s="2" t="n">
        <f aca="false">IF(Y$7=Y$5,Y$6,IF(NORMSDIST(Y$9*SQRT($C$11)*NORMSINV($B259)+SQRT(1-Y$9^2*$C$11)*NORMSINV(X259))&lt;Y$8,Y$5+SQRT(NORMSDIST(Y$9*SQRT($C$11)*NORMSINV($B259)+SQRT(1-Y$9^2*$C$11)*NORMSINV(X259))*(Y$7-Y$5)*(Y$6-Y$5)),Y$7-SQRT((1-NORMSDIST(Y$9*SQRT($C$11)*NORMSINV($B259)+SQRT(1-Y$9^2*$C$11)*NORMSINV(X259)))*(Y$7-Y$5)*(Y$7-Y$6))))</f>
        <v>0.374377530709309</v>
      </c>
      <c r="Z259" s="2" t="n">
        <v>0.369382741</v>
      </c>
      <c r="AA259" s="2" t="n">
        <f aca="false">IF(AA$7=AA$5,AA$6,IF(NORMSDIST(AA$9*SQRT($C$11)*NORMSINV($B259)+SQRT(1-AA$9^2*$C$11)*NORMSINV(Z259))&lt;AA$8,AA$5+SQRT(NORMSDIST(AA$9*SQRT($C$11)*NORMSINV($B259)+SQRT(1-AA$9^2*$C$11)*NORMSINV(Z259))*(AA$7-AA$5)*(AA$6-AA$5)),AA$7-SQRT((1-NORMSDIST(AA$9*SQRT($C$11)*NORMSINV($B259)+SQRT(1-AA$9^2*$C$11)*NORMSINV(Z259)))*(AA$7-AA$5)*(AA$7-AA$6))))</f>
        <v>0.723980033200472</v>
      </c>
      <c r="AB259" s="2" t="n">
        <v>0.102416402</v>
      </c>
      <c r="AC259" s="2" t="n">
        <f aca="false">IF(AC$7=AC$5,AC$6,IF(NORMSDIST(AC$9*SQRT($C$11)*NORMSINV($B259)+SQRT(1-AC$9^2*$C$11)*NORMSINV(AB259))&lt;AC$8,AC$5+SQRT(NORMSDIST(AC$9*SQRT($C$11)*NORMSINV($B259)+SQRT(1-AC$9^2*$C$11)*NORMSINV(AB259))*(AC$7-AC$5)*(AC$6-AC$5)),AC$7-SQRT((1-NORMSDIST(AC$9*SQRT($C$11)*NORMSINV($B259)+SQRT(1-AC$9^2*$C$11)*NORMSINV(AB259)))*(AC$7-AC$5)*(AC$7-AC$6))))</f>
        <v>8.55256211478836</v>
      </c>
      <c r="AD259" s="2" t="n">
        <f aca="false">Entrées!$C$8*(1+E259)</f>
        <v>7438.74440235814</v>
      </c>
      <c r="AE259" s="2" t="n">
        <f aca="false">I259*Hypothèses!$J$24/12/Hypothèses!$J$19</f>
        <v>99.145332279719</v>
      </c>
      <c r="AF259" s="2" t="n">
        <f aca="false">Entrées!$C$36*S259*1000</f>
        <v>225.332569928548</v>
      </c>
      <c r="AG259" s="2" t="n">
        <f aca="false">-AF259/W259</f>
        <v>-22.8918759345984</v>
      </c>
      <c r="AH259" s="2" t="n">
        <f aca="false">AD259+AE259+AG259</f>
        <v>7514.99785870326</v>
      </c>
      <c r="AI259" s="2" t="n">
        <f aca="false">Entrées!$C$16-M259+Hypothèses!$J$22*1000-AF259+Hypothèses!$J$23</f>
        <v>22755.1818731793</v>
      </c>
      <c r="AJ259" s="2" t="n">
        <f aca="false">AI259/AH259</f>
        <v>3.0279691759095</v>
      </c>
      <c r="AK259" s="2" t="n">
        <f aca="false">AI259/(AH259+I259*(12-Hypothèses!$J$24)/12/Hypothèses!$J$19)</f>
        <v>2.9997012864007</v>
      </c>
      <c r="AL259" s="2" t="n">
        <f aca="false">(AD259+AG259+I259/Hypothèses!$J$19)*(1+G259)</f>
        <v>7925.02560703416</v>
      </c>
      <c r="AM259" s="2" t="n">
        <f aca="false">Entrées!$C$54*K259/Hypothèses!$J$19</f>
        <v>31.9435275701047</v>
      </c>
      <c r="AN259" s="2" t="n">
        <f aca="false">Y259*1000/AC259</f>
        <v>43.7737283500073</v>
      </c>
      <c r="AO259" s="2" t="n">
        <f aca="false">(Entrées!$C$36*(1-S259)+MAX(0,Entrées!$C$30-Entrées!$C$35-Entrées!$C$36)*U259)*1000</f>
        <v>1282.2103141732</v>
      </c>
      <c r="AP259" s="2" t="n">
        <f aca="false">-AO259/W259</f>
        <v>-130.261681404613</v>
      </c>
      <c r="AQ259" s="2" t="n">
        <f aca="false">AL259+AM259+AN259+AP259</f>
        <v>7870.48118154965</v>
      </c>
      <c r="AR259" s="2" t="n">
        <f aca="false">O259*AQ259-Hypothèses!$J$25/Hypothèses!$J$19</f>
        <v>1270.14728222663</v>
      </c>
      <c r="AS259" s="2" t="n">
        <f aca="false">Entrées!$C$79*(1+Q259)+Hypothèses!$J$20</f>
        <v>1501.64074165399</v>
      </c>
      <c r="AT259" s="2" t="n">
        <f aca="false">AI259-AR259+AS259+Y259*1000-AO259+Hypothèses!$J$23</f>
        <v>22078.8425491428</v>
      </c>
      <c r="AU259" s="2" t="n">
        <f aca="false">AT259/AQ259</f>
        <v>2.80527226224758</v>
      </c>
      <c r="AV259" s="2" t="n">
        <f aca="false">Hypothèses!$J$26*AQ259-AT259</f>
        <v>1532.60099550616</v>
      </c>
      <c r="AW259" s="2" t="n">
        <f aca="false">IF(AC259&gt;Hypothèses!$J$26,MAX(0,AV259)/(1-Hypothèses!$J$26/AC259),0)</f>
        <v>2360.65170281351</v>
      </c>
      <c r="AX259" s="2" t="n">
        <f aca="false">AQ259-Entrées!$C$17*1000</f>
        <v>-129.518818450346</v>
      </c>
      <c r="AY259" s="2" t="n">
        <f aca="false">AI259+(Entrées!$C$244-Entrées!$C$13)</f>
        <v>28502.1818731793</v>
      </c>
      <c r="AZ259" s="2" t="n">
        <f aca="false">AA259*AH259</f>
        <v>5440.70839924546</v>
      </c>
      <c r="BA259" s="2" t="n">
        <f aca="false">AZ259/AY259</f>
        <v>0.190887435335791</v>
      </c>
      <c r="BB259" s="2" t="n">
        <f aca="false">AZ259/(Entrées!$C$151/100)-AY259</f>
        <v>1723.97590040657</v>
      </c>
      <c r="BC259" s="2" t="n">
        <f aca="false">AT259+(Entrées!$C$244-Entrées!$C$13)</f>
        <v>27825.8425491428</v>
      </c>
      <c r="BD259" s="2" t="n">
        <f aca="false">AA259*AQ259</f>
        <v>5698.07122712201</v>
      </c>
      <c r="BE259" s="2" t="n">
        <f aca="false">BD259/BC259</f>
        <v>0.204776233354255</v>
      </c>
      <c r="BF259" s="2" t="n">
        <f aca="false">BD259/(Entrées!$C$151/100)-BC259</f>
        <v>3830.10871264616</v>
      </c>
      <c r="BG259" s="2" t="n">
        <f aca="false">MIN(AV259,BF259)</f>
        <v>1532.60099550616</v>
      </c>
      <c r="BH259" s="2" t="n">
        <f aca="false">IF(AC259&gt;Hypothèses!$J$26,MAX(0,BG259)/(1-Hypothèses!$J$26/AC259),0)</f>
        <v>2360.65170281351</v>
      </c>
    </row>
    <row r="260" customFormat="false" ht="15" hidden="false" customHeight="false" outlineLevel="0" collapsed="false">
      <c r="A260" s="2" t="n">
        <v>245</v>
      </c>
      <c r="B260" s="2" t="n">
        <v>0.09821762</v>
      </c>
      <c r="C260" s="2"/>
      <c r="D260" s="2" t="n">
        <v>0.585136016</v>
      </c>
      <c r="E260" s="2" t="n">
        <f aca="false">IF(E$7=E$5,E$6,IF(NORMSDIST(E$9*SQRT($C$11)*NORMSINV($B260)+SQRT(1-E$9^2*$C$11)*NORMSINV(D260))&lt;E$8,E$5+SQRT(NORMSDIST(E$9*SQRT($C$11)*NORMSINV($B260)+SQRT(1-E$9^2*$C$11)*NORMSINV(D260))*(E$7-E$5)*(E$6-E$5)),E$7-SQRT((1-NORMSDIST(E$9*SQRT($C$11)*NORMSINV($B260)+SQRT(1-E$9^2*$C$11)*NORMSINV(D260)))*(E$7-E$5)*(E$7-E$6))))</f>
        <v>0.0535896579330783</v>
      </c>
      <c r="F260" s="2" t="n">
        <v>0.754704072</v>
      </c>
      <c r="G260" s="2" t="n">
        <f aca="false">IF(G$7=G$5,G$6,IF(NORMSDIST(G$9*SQRT($C$11)*NORMSINV($B260)+SQRT(1-G$9^2*$C$11)*NORMSINV(F260))&lt;G$8,G$5+SQRT(NORMSDIST(G$9*SQRT($C$11)*NORMSINV($B260)+SQRT(1-G$9^2*$C$11)*NORMSINV(F260))*(G$7-G$5)*(G$6-G$5)),G$7-SQRT((1-NORMSDIST(G$9*SQRT($C$11)*NORMSINV($B260)+SQRT(1-G$9^2*$C$11)*NORMSINV(F260)))*(G$7-G$5)*(G$7-G$6))))</f>
        <v>0.0532235931308414</v>
      </c>
      <c r="H260" s="2" t="n">
        <v>0.644402894</v>
      </c>
      <c r="I260" s="2" t="n">
        <f aca="false">IF(I$7=I$5,I$6,IF(NORMSDIST(I$9*SQRT($C$11)*NORMSINV($B260)+SQRT(1-I$9^2*$C$11)*NORMSINV(H260))&lt;I$8,I$5+SQRT(NORMSDIST(I$9*SQRT($C$11)*NORMSINV($B260)+SQRT(1-I$9^2*$C$11)*NORMSINV(H260))*(I$7-I$5)*(I$6-I$5)),I$7-SQRT((1-NORMSDIST(I$9*SQRT($C$11)*NORMSINV($B260)+SQRT(1-I$9^2*$C$11)*NORMSINV(H260)))*(I$7-I$5)*(I$7-I$6))))</f>
        <v>195.439919978161</v>
      </c>
      <c r="J260" s="2" t="n">
        <v>0.705327744</v>
      </c>
      <c r="K260" s="2" t="n">
        <f aca="false">IF(K$7=K$5,K$6,IF(NORMSDIST(K$9*SQRT($C$11)*NORMSINV($B260)+SQRT(1-K$9^2*$C$11)*NORMSINV(J260))&lt;K$8,K$5+SQRT(NORMSDIST(K$9*SQRT($C$11)*NORMSINV($B260)+SQRT(1-K$9^2*$C$11)*NORMSINV(J260))*(K$7-K$5)*(K$6-K$5)),K$7-SQRT((1-NORMSDIST(K$9*SQRT($C$11)*NORMSINV($B260)+SQRT(1-K$9^2*$C$11)*NORMSINV(J260)))*(K$7-K$5)*(K$7-K$6))))</f>
        <v>0.207663565514972</v>
      </c>
      <c r="L260" s="2" t="n">
        <v>0.373117924</v>
      </c>
      <c r="M260" s="2" t="n">
        <f aca="false">IF(M$7=M$5,M$6,IF(NORMSDIST(M$9*SQRT($C$11)*NORMSINV($B260)+SQRT(1-M$9^2*$C$11)*NORMSINV(L260))&lt;M$8,M$5+SQRT(NORMSDIST(M$9*SQRT($C$11)*NORMSINV($B260)+SQRT(1-M$9^2*$C$11)*NORMSINV(L260))*(M$7-M$5)*(M$6-M$5)),M$7-SQRT((1-NORMSDIST(M$9*SQRT($C$11)*NORMSINV($B260)+SQRT(1-M$9^2*$C$11)*NORMSINV(L260)))*(M$7-M$5)*(M$7-M$6))))</f>
        <v>1454.00608229198</v>
      </c>
      <c r="N260" s="2" t="n">
        <v>0.713523716</v>
      </c>
      <c r="O260" s="2" t="n">
        <f aca="false">IF(O$7=O$5,O$6,IF(NORMSDIST(O$9*SQRT($C$11)*NORMSINV($B260)+SQRT(1-O$9^2*$C$11)*NORMSINV(N260))&lt;O$8,O$5+SQRT(NORMSDIST(O$9*SQRT($C$11)*NORMSINV($B260)+SQRT(1-O$9^2*$C$11)*NORMSINV(N260))*(O$7-O$5)*(O$6-O$5)),O$7-SQRT((1-NORMSDIST(O$9*SQRT($C$11)*NORMSINV($B260)+SQRT(1-O$9^2*$C$11)*NORMSINV(N260)))*(O$7-O$5)*(O$7-O$6))))</f>
        <v>0.162468512814044</v>
      </c>
      <c r="P260" s="2" t="n">
        <v>0.684889027</v>
      </c>
      <c r="Q260" s="2" t="n">
        <f aca="false">IF(Q$7=Q$5,Q$6,IF(NORMSDIST(Q$9*SQRT($C$11)*NORMSINV($B260)+SQRT(1-Q$9^2*$C$11)*NORMSINV(P260))&lt;Q$8,Q$5+SQRT(NORMSDIST(Q$9*SQRT($C$11)*NORMSINV($B260)+SQRT(1-Q$9^2*$C$11)*NORMSINV(P260))*(Q$7-Q$5)*(Q$6-Q$5)),Q$7-SQRT((1-NORMSDIST(Q$9*SQRT($C$11)*NORMSINV($B260)+SQRT(1-Q$9^2*$C$11)*NORMSINV(P260)))*(Q$7-Q$5)*(Q$7-Q$6))))</f>
        <v>0.0882453922461637</v>
      </c>
      <c r="R260" s="2" t="n">
        <v>0.021733044</v>
      </c>
      <c r="S260" s="2" t="n">
        <f aca="false">IF(S$7=S$5,S$6,IF(NORMSDIST(S$9*SQRT($C$11)*NORMSINV($B260)+SQRT(1-S$9^2*$C$11)*NORMSINV(R260))&lt;S$8,S$5+SQRT(NORMSDIST(S$9*SQRT($C$11)*NORMSINV($B260)+SQRT(1-S$9^2*$C$11)*NORMSINV(R260))*(S$7-S$5)*(S$6-S$5)),S$7-SQRT((1-NORMSDIST(S$9*SQRT($C$11)*NORMSINV($B260)+SQRT(1-S$9^2*$C$11)*NORMSINV(R260)))*(S$7-S$5)*(S$7-S$6))))</f>
        <v>0.0656943439092696</v>
      </c>
      <c r="T260" s="2" t="n">
        <v>0.412057962</v>
      </c>
      <c r="U260" s="2" t="n">
        <f aca="false">IF(U$7=U$5,U$6,IF(NORMSDIST(U$9*SQRT($C$11)*NORMSINV($B260)+SQRT(1-U$9^2*$C$11)*NORMSINV(T260))&lt;U$8,U$5+SQRT(NORMSDIST(U$9*SQRT($C$11)*NORMSINV($B260)+SQRT(1-U$9^2*$C$11)*NORMSINV(T260))*(U$7-U$5)*(U$6-U$5)),U$7-SQRT((1-NORMSDIST(U$9*SQRT($C$11)*NORMSINV($B260)+SQRT(1-U$9^2*$C$11)*NORMSINV(T260)))*(U$7-U$5)*(U$7-U$6))))</f>
        <v>0.283985490750535</v>
      </c>
      <c r="V260" s="2" t="n">
        <v>0.359050607</v>
      </c>
      <c r="W260" s="2" t="n">
        <f aca="false">IF(W$7=W$5,W$6,IF(NORMSDIST(W$9*SQRT($C$11)*NORMSINV($B260)+SQRT(1-W$9^2*$C$11)*NORMSINV(V260))&lt;W$8,W$5+SQRT(NORMSDIST(W$9*SQRT($C$11)*NORMSINV($B260)+SQRT(1-W$9^2*$C$11)*NORMSINV(V260))*(W$7-W$5)*(W$6-W$5)),W$7-SQRT((1-NORMSDIST(W$9*SQRT($C$11)*NORMSINV($B260)+SQRT(1-W$9^2*$C$11)*NORMSINV(V260)))*(W$7-W$5)*(W$7-W$6))))</f>
        <v>9.0446217100838</v>
      </c>
      <c r="X260" s="2" t="n">
        <v>0.941168166</v>
      </c>
      <c r="Y260" s="2" t="n">
        <f aca="false">IF(Y$7=Y$5,Y$6,IF(NORMSDIST(Y$9*SQRT($C$11)*NORMSINV($B260)+SQRT(1-Y$9^2*$C$11)*NORMSINV(X260))&lt;Y$8,Y$5+SQRT(NORMSDIST(Y$9*SQRT($C$11)*NORMSINV($B260)+SQRT(1-Y$9^2*$C$11)*NORMSINV(X260))*(Y$7-Y$5)*(Y$6-Y$5)),Y$7-SQRT((1-NORMSDIST(Y$9*SQRT($C$11)*NORMSINV($B260)+SQRT(1-Y$9^2*$C$11)*NORMSINV(X260)))*(Y$7-Y$5)*(Y$7-Y$6))))</f>
        <v>0.828489309371107</v>
      </c>
      <c r="Z260" s="2" t="n">
        <v>0.05622821</v>
      </c>
      <c r="AA260" s="2" t="n">
        <f aca="false">IF(AA$7=AA$5,AA$6,IF(NORMSDIST(AA$9*SQRT($C$11)*NORMSINV($B260)+SQRT(1-AA$9^2*$C$11)*NORMSINV(Z260))&lt;AA$8,AA$5+SQRT(NORMSDIST(AA$9*SQRT($C$11)*NORMSINV($B260)+SQRT(1-AA$9^2*$C$11)*NORMSINV(Z260))*(AA$7-AA$5)*(AA$6-AA$5)),AA$7-SQRT((1-NORMSDIST(AA$9*SQRT($C$11)*NORMSINV($B260)+SQRT(1-AA$9^2*$C$11)*NORMSINV(Z260)))*(AA$7-AA$5)*(AA$7-AA$6))))</f>
        <v>0.701923473582824</v>
      </c>
      <c r="AB260" s="2" t="n">
        <v>0.304974706</v>
      </c>
      <c r="AC260" s="2" t="n">
        <f aca="false">IF(AC$7=AC$5,AC$6,IF(NORMSDIST(AC$9*SQRT($C$11)*NORMSINV($B260)+SQRT(1-AC$9^2*$C$11)*NORMSINV(AB260))&lt;AC$8,AC$5+SQRT(NORMSDIST(AC$9*SQRT($C$11)*NORMSINV($B260)+SQRT(1-AC$9^2*$C$11)*NORMSINV(AB260))*(AC$7-AC$5)*(AC$6-AC$5)),AC$7-SQRT((1-NORMSDIST(AC$9*SQRT($C$11)*NORMSINV($B260)+SQRT(1-AC$9^2*$C$11)*NORMSINV(AB260)))*(AC$7-AC$5)*(AC$7-AC$6))))</f>
        <v>8.38689932823649</v>
      </c>
      <c r="AD260" s="2" t="n">
        <f aca="false">Entrées!$C$8*(1+E260)</f>
        <v>7427.8070884282</v>
      </c>
      <c r="AE260" s="2" t="n">
        <f aca="false">I260*Hypothèses!$J$24/12/Hypothèses!$J$19</f>
        <v>96.9571187713674</v>
      </c>
      <c r="AF260" s="2" t="n">
        <f aca="false">Entrées!$C$36*S260*1000</f>
        <v>32.8471719546348</v>
      </c>
      <c r="AG260" s="2" t="n">
        <f aca="false">-AF260/W260</f>
        <v>-3.63168002018411</v>
      </c>
      <c r="AH260" s="2" t="n">
        <f aca="false">AD260+AE260+AG260</f>
        <v>7521.13252717939</v>
      </c>
      <c r="AI260" s="2" t="n">
        <f aca="false">Entrées!$C$16-M260+Hypothèses!$J$22*1000-AF260+Hypothèses!$J$23</f>
        <v>23061.1467457534</v>
      </c>
      <c r="AJ260" s="2" t="n">
        <f aca="false">AI260/AH260</f>
        <v>3.066180081579</v>
      </c>
      <c r="AK260" s="2" t="n">
        <f aca="false">AI260/(AH260+I260*(12-Hypothèses!$J$24)/12/Hypothèses!$J$19)</f>
        <v>3.03820409767297</v>
      </c>
      <c r="AL260" s="2" t="n">
        <f aca="false">(AD260+AG260+I260/Hypothèses!$J$19)*(1+G260)</f>
        <v>7994.3753139834</v>
      </c>
      <c r="AM260" s="2" t="n">
        <f aca="false">Entrées!$C$54*K260/Hypothèses!$J$19</f>
        <v>21.1929387837695</v>
      </c>
      <c r="AN260" s="2" t="n">
        <f aca="false">Y260*1000/AC260</f>
        <v>98.783743186448</v>
      </c>
      <c r="AO260" s="2" t="n">
        <f aca="false">(Entrées!$C$36*(1-S260)+MAX(0,Entrées!$C$30-Entrées!$C$35-Entrées!$C$36)*U260)*1000</f>
        <v>864.732515096114</v>
      </c>
      <c r="AP260" s="2" t="n">
        <f aca="false">-AO260/W260</f>
        <v>-95.607372294192</v>
      </c>
      <c r="AQ260" s="2" t="n">
        <f aca="false">AL260+AM260+AN260+AP260</f>
        <v>8018.74462365943</v>
      </c>
      <c r="AR260" s="2" t="n">
        <f aca="false">O260*AQ260-Hypothèses!$J$25/Hypothèses!$J$19</f>
        <v>1283.65835137993</v>
      </c>
      <c r="AS260" s="2" t="n">
        <f aca="false">Entrées!$C$79*(1+Q260)+Hypothèses!$J$20</f>
        <v>1490.98168607853</v>
      </c>
      <c r="AT260" s="2" t="n">
        <f aca="false">AI260-AR260+AS260+Y260*1000-AO260+Hypothèses!$J$23</f>
        <v>23232.226874727</v>
      </c>
      <c r="AU260" s="2" t="n">
        <f aca="false">AT260/AQ260</f>
        <v>2.89723990039288</v>
      </c>
      <c r="AV260" s="2" t="n">
        <f aca="false">Hypothèses!$J$26*AQ260-AT260</f>
        <v>824.00699625129</v>
      </c>
      <c r="AW260" s="2" t="n">
        <f aca="false">IF(AC260&gt;Hypothèses!$J$26,MAX(0,AV260)/(1-Hypothèses!$J$26/AC260),0)</f>
        <v>1282.90196311958</v>
      </c>
      <c r="AX260" s="2" t="n">
        <f aca="false">AQ260-Entrées!$C$17*1000</f>
        <v>18.7446236594251</v>
      </c>
      <c r="AY260" s="2" t="n">
        <f aca="false">AI260+(Entrées!$C$244-Entrées!$C$13)</f>
        <v>28808.1467457534</v>
      </c>
      <c r="AZ260" s="2" t="n">
        <f aca="false">AA260*AH260</f>
        <v>5279.25946875452</v>
      </c>
      <c r="BA260" s="2" t="n">
        <f aca="false">AZ260/AY260</f>
        <v>0.183255782308618</v>
      </c>
      <c r="BB260" s="2" t="n">
        <f aca="false">AZ260/(Entrées!$C$151/100)-AY260</f>
        <v>521.072525105032</v>
      </c>
      <c r="BC260" s="2" t="n">
        <f aca="false">AT260+(Entrées!$C$244-Entrées!$C$13)</f>
        <v>28979.226874727</v>
      </c>
      <c r="BD260" s="2" t="n">
        <f aca="false">AA260*AQ260</f>
        <v>5628.54508001262</v>
      </c>
      <c r="BE260" s="2" t="n">
        <f aca="false">BD260/BC260</f>
        <v>0.194226888948556</v>
      </c>
      <c r="BF260" s="2" t="n">
        <f aca="false">BD260/(Entrées!$C$151/100)-BC260</f>
        <v>2290.46801423199</v>
      </c>
      <c r="BG260" s="2" t="n">
        <f aca="false">MIN(AV260,BF260)</f>
        <v>824.00699625129</v>
      </c>
      <c r="BH260" s="2" t="n">
        <f aca="false">IF(AC260&gt;Hypothèses!$J$26,MAX(0,BG260)/(1-Hypothèses!$J$26/AC260),0)</f>
        <v>1282.90196311958</v>
      </c>
    </row>
    <row r="261" customFormat="false" ht="15" hidden="false" customHeight="false" outlineLevel="0" collapsed="false">
      <c r="A261" s="2" t="n">
        <v>246</v>
      </c>
      <c r="B261" s="2" t="n">
        <v>0.251052218</v>
      </c>
      <c r="C261" s="2"/>
      <c r="D261" s="2" t="n">
        <v>0.851245178</v>
      </c>
      <c r="E261" s="2" t="n">
        <f aca="false">IF(E$7=E$5,E$6,IF(NORMSDIST(E$9*SQRT($C$11)*NORMSINV($B261)+SQRT(1-E$9^2*$C$11)*NORMSINV(D261))&lt;E$8,E$5+SQRT(NORMSDIST(E$9*SQRT($C$11)*NORMSINV($B261)+SQRT(1-E$9^2*$C$11)*NORMSINV(D261))*(E$7-E$5)*(E$6-E$5)),E$7-SQRT((1-NORMSDIST(E$9*SQRT($C$11)*NORMSINV($B261)+SQRT(1-E$9^2*$C$11)*NORMSINV(D261)))*(E$7-E$5)*(E$7-E$6))))</f>
        <v>0.0558103984611741</v>
      </c>
      <c r="F261" s="2" t="n">
        <v>0.263471808</v>
      </c>
      <c r="G261" s="2" t="n">
        <f aca="false">IF(G$7=G$5,G$6,IF(NORMSDIST(G$9*SQRT($C$11)*NORMSINV($B261)+SQRT(1-G$9^2*$C$11)*NORMSINV(F261))&lt;G$8,G$5+SQRT(NORMSDIST(G$9*SQRT($C$11)*NORMSINV($B261)+SQRT(1-G$9^2*$C$11)*NORMSINV(F261))*(G$7-G$5)*(G$6-G$5)),G$7-SQRT((1-NORMSDIST(G$9*SQRT($C$11)*NORMSINV($B261)+SQRT(1-G$9^2*$C$11)*NORMSINV(F261)))*(G$7-G$5)*(G$7-G$6))))</f>
        <v>0.0490052582794661</v>
      </c>
      <c r="H261" s="2" t="n">
        <v>0.221373296</v>
      </c>
      <c r="I261" s="2" t="n">
        <f aca="false">IF(I$7=I$5,I$6,IF(NORMSDIST(I$9*SQRT($C$11)*NORMSINV($B261)+SQRT(1-I$9^2*$C$11)*NORMSINV(H261))&lt;I$8,I$5+SQRT(NORMSDIST(I$9*SQRT($C$11)*NORMSINV($B261)+SQRT(1-I$9^2*$C$11)*NORMSINV(H261))*(I$7-I$5)*(I$6-I$5)),I$7-SQRT((1-NORMSDIST(I$9*SQRT($C$11)*NORMSINV($B261)+SQRT(1-I$9^2*$C$11)*NORMSINV(H261)))*(I$7-I$5)*(I$7-I$6))))</f>
        <v>191.102821264068</v>
      </c>
      <c r="J261" s="2" t="n">
        <v>0.838308648</v>
      </c>
      <c r="K261" s="2" t="n">
        <f aca="false">IF(K$7=K$5,K$6,IF(NORMSDIST(K$9*SQRT($C$11)*NORMSINV($B261)+SQRT(1-K$9^2*$C$11)*NORMSINV(J261))&lt;K$8,K$5+SQRT(NORMSDIST(K$9*SQRT($C$11)*NORMSINV($B261)+SQRT(1-K$9^2*$C$11)*NORMSINV(J261))*(K$7-K$5)*(K$6-K$5)),K$7-SQRT((1-NORMSDIST(K$9*SQRT($C$11)*NORMSINV($B261)+SQRT(1-K$9^2*$C$11)*NORMSINV(J261)))*(K$7-K$5)*(K$7-K$6))))</f>
        <v>0.285885313901437</v>
      </c>
      <c r="L261" s="2" t="n">
        <v>0.261091819</v>
      </c>
      <c r="M261" s="2" t="n">
        <f aca="false">IF(M$7=M$5,M$6,IF(NORMSDIST(M$9*SQRT($C$11)*NORMSINV($B261)+SQRT(1-M$9^2*$C$11)*NORMSINV(L261))&lt;M$8,M$5+SQRT(NORMSDIST(M$9*SQRT($C$11)*NORMSINV($B261)+SQRT(1-M$9^2*$C$11)*NORMSINV(L261))*(M$7-M$5)*(M$6-M$5)),M$7-SQRT((1-NORMSDIST(M$9*SQRT($C$11)*NORMSINV($B261)+SQRT(1-M$9^2*$C$11)*NORMSINV(L261)))*(M$7-M$5)*(M$7-M$6))))</f>
        <v>1471.89164858413</v>
      </c>
      <c r="N261" s="2" t="n">
        <v>0.585305053</v>
      </c>
      <c r="O261" s="2" t="n">
        <f aca="false">IF(O$7=O$5,O$6,IF(NORMSDIST(O$9*SQRT($C$11)*NORMSINV($B261)+SQRT(1-O$9^2*$C$11)*NORMSINV(N261))&lt;O$8,O$5+SQRT(NORMSDIST(O$9*SQRT($C$11)*NORMSINV($B261)+SQRT(1-O$9^2*$C$11)*NORMSINV(N261))*(O$7-O$5)*(O$6-O$5)),O$7-SQRT((1-NORMSDIST(O$9*SQRT($C$11)*NORMSINV($B261)+SQRT(1-O$9^2*$C$11)*NORMSINV(N261)))*(O$7-O$5)*(O$7-O$6))))</f>
        <v>0.16390778790412</v>
      </c>
      <c r="P261" s="2" t="n">
        <v>0.611149427</v>
      </c>
      <c r="Q261" s="2" t="n">
        <f aca="false">IF(Q$7=Q$5,Q$6,IF(NORMSDIST(Q$9*SQRT($C$11)*NORMSINV($B261)+SQRT(1-Q$9^2*$C$11)*NORMSINV(P261))&lt;Q$8,Q$5+SQRT(NORMSDIST(Q$9*SQRT($C$11)*NORMSINV($B261)+SQRT(1-Q$9^2*$C$11)*NORMSINV(P261))*(Q$7-Q$5)*(Q$6-Q$5)),Q$7-SQRT((1-NORMSDIST(Q$9*SQRT($C$11)*NORMSINV($B261)+SQRT(1-Q$9^2*$C$11)*NORMSINV(P261)))*(Q$7-Q$5)*(Q$7-Q$6))))</f>
        <v>0.0847250537406504</v>
      </c>
      <c r="R261" s="2" t="n">
        <v>0.003684778</v>
      </c>
      <c r="S261" s="2" t="n">
        <f aca="false">IF(S$7=S$5,S$6,IF(NORMSDIST(S$9*SQRT($C$11)*NORMSINV($B261)+SQRT(1-S$9^2*$C$11)*NORMSINV(R261))&lt;S$8,S$5+SQRT(NORMSDIST(S$9*SQRT($C$11)*NORMSINV($B261)+SQRT(1-S$9^2*$C$11)*NORMSINV(R261))*(S$7-S$5)*(S$6-S$5)),S$7-SQRT((1-NORMSDIST(S$9*SQRT($C$11)*NORMSINV($B261)+SQRT(1-S$9^2*$C$11)*NORMSINV(R261)))*(S$7-S$5)*(S$7-S$6))))</f>
        <v>0.0557089459647444</v>
      </c>
      <c r="T261" s="2" t="n">
        <v>0.600329188</v>
      </c>
      <c r="U261" s="2" t="n">
        <f aca="false">IF(U$7=U$5,U$6,IF(NORMSDIST(U$9*SQRT($C$11)*NORMSINV($B261)+SQRT(1-U$9^2*$C$11)*NORMSINV(T261))&lt;U$8,U$5+SQRT(NORMSDIST(U$9*SQRT($C$11)*NORMSINV($B261)+SQRT(1-U$9^2*$C$11)*NORMSINV(T261))*(U$7-U$5)*(U$6-U$5)),U$7-SQRT((1-NORMSDIST(U$9*SQRT($C$11)*NORMSINV($B261)+SQRT(1-U$9^2*$C$11)*NORMSINV(T261)))*(U$7-U$5)*(U$7-U$6))))</f>
        <v>0.452759372065156</v>
      </c>
      <c r="V261" s="2" t="n">
        <v>0.483698216</v>
      </c>
      <c r="W261" s="2" t="n">
        <f aca="false">IF(W$7=W$5,W$6,IF(NORMSDIST(W$9*SQRT($C$11)*NORMSINV($B261)+SQRT(1-W$9^2*$C$11)*NORMSINV(V261))&lt;W$8,W$5+SQRT(NORMSDIST(W$9*SQRT($C$11)*NORMSINV($B261)+SQRT(1-W$9^2*$C$11)*NORMSINV(V261))*(W$7-W$5)*(W$6-W$5)),W$7-SQRT((1-NORMSDIST(W$9*SQRT($C$11)*NORMSINV($B261)+SQRT(1-W$9^2*$C$11)*NORMSINV(V261)))*(W$7-W$5)*(W$7-W$6))))</f>
        <v>9.61031605945858</v>
      </c>
      <c r="X261" s="2" t="n">
        <v>0.346228166</v>
      </c>
      <c r="Y261" s="2" t="n">
        <f aca="false">IF(Y$7=Y$5,Y$6,IF(NORMSDIST(Y$9*SQRT($C$11)*NORMSINV($B261)+SQRT(1-Y$9^2*$C$11)*NORMSINV(X261))&lt;Y$8,Y$5+SQRT(NORMSDIST(Y$9*SQRT($C$11)*NORMSINV($B261)+SQRT(1-Y$9^2*$C$11)*NORMSINV(X261))*(Y$7-Y$5)*(Y$6-Y$5)),Y$7-SQRT((1-NORMSDIST(Y$9*SQRT($C$11)*NORMSINV($B261)+SQRT(1-Y$9^2*$C$11)*NORMSINV(X261)))*(Y$7-Y$5)*(Y$7-Y$6))))</f>
        <v>0.416069805441347</v>
      </c>
      <c r="Z261" s="2" t="n">
        <v>0.024281575</v>
      </c>
      <c r="AA261" s="2" t="n">
        <f aca="false">IF(AA$7=AA$5,AA$6,IF(NORMSDIST(AA$9*SQRT($C$11)*NORMSINV($B261)+SQRT(1-AA$9^2*$C$11)*NORMSINV(Z261))&lt;AA$8,AA$5+SQRT(NORMSDIST(AA$9*SQRT($C$11)*NORMSINV($B261)+SQRT(1-AA$9^2*$C$11)*NORMSINV(Z261))*(AA$7-AA$5)*(AA$6-AA$5)),AA$7-SQRT((1-NORMSDIST(AA$9*SQRT($C$11)*NORMSINV($B261)+SQRT(1-AA$9^2*$C$11)*NORMSINV(Z261)))*(AA$7-AA$5)*(AA$7-AA$6))))</f>
        <v>0.702703953733859</v>
      </c>
      <c r="AB261" s="2" t="n">
        <v>0.308712072</v>
      </c>
      <c r="AC261" s="2" t="n">
        <f aca="false">IF(AC$7=AC$5,AC$6,IF(NORMSDIST(AC$9*SQRT($C$11)*NORMSINV($B261)+SQRT(1-AC$9^2*$C$11)*NORMSINV(AB261))&lt;AC$8,AC$5+SQRT(NORMSDIST(AC$9*SQRT($C$11)*NORMSINV($B261)+SQRT(1-AC$9^2*$C$11)*NORMSINV(AB261))*(AC$7-AC$5)*(AC$6-AC$5)),AC$7-SQRT((1-NORMSDIST(AC$9*SQRT($C$11)*NORMSINV($B261)+SQRT(1-AC$9^2*$C$11)*NORMSINV(AB261)))*(AC$7-AC$5)*(AC$7-AC$6))))</f>
        <v>8.74238943334265</v>
      </c>
      <c r="AD261" s="2" t="n">
        <f aca="false">Entrées!$C$8*(1+E261)</f>
        <v>7443.46330915128</v>
      </c>
      <c r="AE261" s="2" t="n">
        <f aca="false">I261*Hypothèses!$J$24/12/Hypothèses!$J$19</f>
        <v>94.8054979807299</v>
      </c>
      <c r="AF261" s="2" t="n">
        <f aca="false">Entrées!$C$36*S261*1000</f>
        <v>27.8544729823722</v>
      </c>
      <c r="AG261" s="2" t="n">
        <f aca="false">-AF261/W261</f>
        <v>-2.89839301954669</v>
      </c>
      <c r="AH261" s="2" t="n">
        <f aca="false">AD261+AE261+AG261</f>
        <v>7535.37041411246</v>
      </c>
      <c r="AI261" s="2" t="n">
        <f aca="false">Entrées!$C$16-M261+Hypothèses!$J$22*1000-AF261+Hypothèses!$J$23</f>
        <v>23048.2538784335</v>
      </c>
      <c r="AJ261" s="2" t="n">
        <f aca="false">AI261/AH261</f>
        <v>3.05867563395</v>
      </c>
      <c r="AK261" s="2" t="n">
        <f aca="false">AI261/(AH261+I261*(12-Hypothèses!$J$24)/12/Hypothèses!$J$19)</f>
        <v>3.03143301483014</v>
      </c>
      <c r="AL261" s="2" t="n">
        <f aca="false">(AD261+AG261+I261/Hypothèses!$J$19)*(1+G261)</f>
        <v>7975.67994884148</v>
      </c>
      <c r="AM261" s="2" t="n">
        <f aca="false">Entrées!$C$54*K261/Hypothèses!$J$19</f>
        <v>29.175796638506</v>
      </c>
      <c r="AN261" s="2" t="n">
        <f aca="false">Y261*1000/AC261</f>
        <v>47.5922296316949</v>
      </c>
      <c r="AO261" s="2" t="n">
        <f aca="false">(Entrées!$C$36*(1-S261)+MAX(0,Entrées!$C$30-Entrées!$C$35-Entrées!$C$36)*U261)*1000</f>
        <v>1106.00864790885</v>
      </c>
      <c r="AP261" s="2" t="n">
        <f aca="false">-AO261/W261</f>
        <v>-115.08556441495</v>
      </c>
      <c r="AQ261" s="2" t="n">
        <f aca="false">AL261+AM261+AN261+AP261</f>
        <v>7937.36241069673</v>
      </c>
      <c r="AR261" s="2" t="n">
        <f aca="false">O261*AQ261-Hypothèses!$J$25/Hypothèses!$J$19</f>
        <v>1281.86035226899</v>
      </c>
      <c r="AS261" s="2" t="n">
        <f aca="false">Entrées!$C$79*(1+Q261)+Hypothèses!$J$20</f>
        <v>1487.11283406097</v>
      </c>
      <c r="AT261" s="2" t="n">
        <f aca="false">AI261-AR261+AS261+Y261*1000-AO261+Hypothèses!$J$23</f>
        <v>22563.567517758</v>
      </c>
      <c r="AU261" s="2" t="n">
        <f aca="false">AT261/AQ261</f>
        <v>2.84270345113011</v>
      </c>
      <c r="AV261" s="2" t="n">
        <f aca="false">Hypothèses!$J$26*AQ261-AT261</f>
        <v>1248.51971433221</v>
      </c>
      <c r="AW261" s="2" t="n">
        <f aca="false">IF(AC261&gt;Hypothèses!$J$26,MAX(0,AV261)/(1-Hypothèses!$J$26/AC261),0)</f>
        <v>1900.78462713113</v>
      </c>
      <c r="AX261" s="2" t="n">
        <f aca="false">AQ261-Entrées!$C$17*1000</f>
        <v>-62.6375893032664</v>
      </c>
      <c r="AY261" s="2" t="n">
        <f aca="false">AI261+(Entrées!$C$244-Entrées!$C$13)</f>
        <v>28795.2538784335</v>
      </c>
      <c r="AZ261" s="2" t="n">
        <f aca="false">AA261*AH261</f>
        <v>5295.13458284597</v>
      </c>
      <c r="BA261" s="2" t="n">
        <f aca="false">AZ261/AY261</f>
        <v>0.183889143856857</v>
      </c>
      <c r="BB261" s="2" t="n">
        <f aca="false">AZ261/(Entrées!$C$151/100)-AY261</f>
        <v>622.160470710798</v>
      </c>
      <c r="BC261" s="2" t="n">
        <f aca="false">AT261+(Entrées!$C$244-Entrées!$C$13)</f>
        <v>28310.567517758</v>
      </c>
      <c r="BD261" s="2" t="n">
        <f aca="false">AA261*AQ261</f>
        <v>5577.61594821511</v>
      </c>
      <c r="BE261" s="2" t="n">
        <f aca="false">BD261/BC261</f>
        <v>0.197015335164741</v>
      </c>
      <c r="BF261" s="2" t="n">
        <f aca="false">BD261/(Entrées!$C$151/100)-BC261</f>
        <v>2676.18775010372</v>
      </c>
      <c r="BG261" s="2" t="n">
        <f aca="false">MIN(AV261,BF261)</f>
        <v>1248.51971433221</v>
      </c>
      <c r="BH261" s="2" t="n">
        <f aca="false">IF(AC261&gt;Hypothèses!$J$26,MAX(0,BG261)/(1-Hypothèses!$J$26/AC261),0)</f>
        <v>1900.78462713113</v>
      </c>
    </row>
    <row r="262" customFormat="false" ht="15" hidden="false" customHeight="false" outlineLevel="0" collapsed="false">
      <c r="A262" s="2" t="n">
        <v>247</v>
      </c>
      <c r="B262" s="2" t="n">
        <v>0.423946181</v>
      </c>
      <c r="C262" s="2"/>
      <c r="D262" s="2" t="n">
        <v>0.821426628</v>
      </c>
      <c r="E262" s="2" t="n">
        <f aca="false">IF(E$7=E$5,E$6,IF(NORMSDIST(E$9*SQRT($C$11)*NORMSINV($B262)+SQRT(1-E$9^2*$C$11)*NORMSINV(D262))&lt;E$8,E$5+SQRT(NORMSDIST(E$9*SQRT($C$11)*NORMSINV($B262)+SQRT(1-E$9^2*$C$11)*NORMSINV(D262))*(E$7-E$5)*(E$6-E$5)),E$7-SQRT((1-NORMSDIST(E$9*SQRT($C$11)*NORMSINV($B262)+SQRT(1-E$9^2*$C$11)*NORMSINV(D262)))*(E$7-E$5)*(E$7-E$6))))</f>
        <v>0.0562788315330109</v>
      </c>
      <c r="F262" s="2" t="n">
        <v>0.957148705</v>
      </c>
      <c r="G262" s="2" t="n">
        <f aca="false">IF(G$7=G$5,G$6,IF(NORMSDIST(G$9*SQRT($C$11)*NORMSINV($B262)+SQRT(1-G$9^2*$C$11)*NORMSINV(F262))&lt;G$8,G$5+SQRT(NORMSDIST(G$9*SQRT($C$11)*NORMSINV($B262)+SQRT(1-G$9^2*$C$11)*NORMSINV(F262))*(G$7-G$5)*(G$6-G$5)),G$7-SQRT((1-NORMSDIST(G$9*SQRT($C$11)*NORMSINV($B262)+SQRT(1-G$9^2*$C$11)*NORMSINV(F262)))*(G$7-G$5)*(G$7-G$6))))</f>
        <v>0.0628637530878716</v>
      </c>
      <c r="H262" s="2" t="n">
        <v>0.48249284</v>
      </c>
      <c r="I262" s="2" t="n">
        <f aca="false">IF(I$7=I$5,I$6,IF(NORMSDIST(I$9*SQRT($C$11)*NORMSINV($B262)+SQRT(1-I$9^2*$C$11)*NORMSINV(H262))&lt;I$8,I$5+SQRT(NORMSDIST(I$9*SQRT($C$11)*NORMSINV($B262)+SQRT(1-I$9^2*$C$11)*NORMSINV(H262))*(I$7-I$5)*(I$6-I$5)),I$7-SQRT((1-NORMSDIST(I$9*SQRT($C$11)*NORMSINV($B262)+SQRT(1-I$9^2*$C$11)*NORMSINV(H262)))*(I$7-I$5)*(I$7-I$6))))</f>
        <v>198.725107996022</v>
      </c>
      <c r="J262" s="2" t="n">
        <v>0.552983826</v>
      </c>
      <c r="K262" s="2" t="n">
        <f aca="false">IF(K$7=K$5,K$6,IF(NORMSDIST(K$9*SQRT($C$11)*NORMSINV($B262)+SQRT(1-K$9^2*$C$11)*NORMSINV(J262))&lt;K$8,K$5+SQRT(NORMSDIST(K$9*SQRT($C$11)*NORMSINV($B262)+SQRT(1-K$9^2*$C$11)*NORMSINV(J262))*(K$7-K$5)*(K$6-K$5)),K$7-SQRT((1-NORMSDIST(K$9*SQRT($C$11)*NORMSINV($B262)+SQRT(1-K$9^2*$C$11)*NORMSINV(J262)))*(K$7-K$5)*(K$7-K$6))))</f>
        <v>0.248185191846333</v>
      </c>
      <c r="L262" s="2" t="n">
        <v>0.749594104</v>
      </c>
      <c r="M262" s="2" t="n">
        <f aca="false">IF(M$7=M$5,M$6,IF(NORMSDIST(M$9*SQRT($C$11)*NORMSINV($B262)+SQRT(1-M$9^2*$C$11)*NORMSINV(L262))&lt;M$8,M$5+SQRT(NORMSDIST(M$9*SQRT($C$11)*NORMSINV($B262)+SQRT(1-M$9^2*$C$11)*NORMSINV(L262))*(M$7-M$5)*(M$6-M$5)),M$7-SQRT((1-NORMSDIST(M$9*SQRT($C$11)*NORMSINV($B262)+SQRT(1-M$9^2*$C$11)*NORMSINV(L262)))*(M$7-M$5)*(M$7-M$6))))</f>
        <v>1626.25498491135</v>
      </c>
      <c r="N262" s="2" t="n">
        <v>0.94619697</v>
      </c>
      <c r="O262" s="2" t="n">
        <f aca="false">IF(O$7=O$5,O$6,IF(NORMSDIST(O$9*SQRT($C$11)*NORMSINV($B262)+SQRT(1-O$9^2*$C$11)*NORMSINV(N262))&lt;O$8,O$5+SQRT(NORMSDIST(O$9*SQRT($C$11)*NORMSINV($B262)+SQRT(1-O$9^2*$C$11)*NORMSINV(N262))*(O$7-O$5)*(O$6-O$5)),O$7-SQRT((1-NORMSDIST(O$9*SQRT($C$11)*NORMSINV($B262)+SQRT(1-O$9^2*$C$11)*NORMSINV(N262)))*(O$7-O$5)*(O$7-O$6))))</f>
        <v>0.178219696262473</v>
      </c>
      <c r="P262" s="2" t="n">
        <v>0.148454709</v>
      </c>
      <c r="Q262" s="2" t="n">
        <f aca="false">IF(Q$7=Q$5,Q$6,IF(NORMSDIST(Q$9*SQRT($C$11)*NORMSINV($B262)+SQRT(1-Q$9^2*$C$11)*NORMSINV(P262))&lt;Q$8,Q$5+SQRT(NORMSDIST(Q$9*SQRT($C$11)*NORMSINV($B262)+SQRT(1-Q$9^2*$C$11)*NORMSINV(P262))*(Q$7-Q$5)*(Q$6-Q$5)),Q$7-SQRT((1-NORMSDIST(Q$9*SQRT($C$11)*NORMSINV($B262)+SQRT(1-Q$9^2*$C$11)*NORMSINV(P262)))*(Q$7-Q$5)*(Q$7-Q$6))))</f>
        <v>0.0617957580460052</v>
      </c>
      <c r="R262" s="2" t="n">
        <v>0.628875553</v>
      </c>
      <c r="S262" s="2" t="n">
        <f aca="false">IF(S$7=S$5,S$6,IF(NORMSDIST(S$9*SQRT($C$11)*NORMSINV($B262)+SQRT(1-S$9^2*$C$11)*NORMSINV(R262))&lt;S$8,S$5+SQRT(NORMSDIST(S$9*SQRT($C$11)*NORMSINV($B262)+SQRT(1-S$9^2*$C$11)*NORMSINV(R262))*(S$7-S$5)*(S$6-S$5)),S$7-SQRT((1-NORMSDIST(S$9*SQRT($C$11)*NORMSINV($B262)+SQRT(1-S$9^2*$C$11)*NORMSINV(R262)))*(S$7-S$5)*(S$7-S$6))))</f>
        <v>0.527282290512069</v>
      </c>
      <c r="T262" s="2" t="n">
        <v>0.978132449</v>
      </c>
      <c r="U262" s="2" t="n">
        <f aca="false">IF(U$7=U$5,U$6,IF(NORMSDIST(U$9*SQRT($C$11)*NORMSINV($B262)+SQRT(1-U$9^2*$C$11)*NORMSINV(T262))&lt;U$8,U$5+SQRT(NORMSDIST(U$9*SQRT($C$11)*NORMSINV($B262)+SQRT(1-U$9^2*$C$11)*NORMSINV(T262))*(U$7-U$5)*(U$6-U$5)),U$7-SQRT((1-NORMSDIST(U$9*SQRT($C$11)*NORMSINV($B262)+SQRT(1-U$9^2*$C$11)*NORMSINV(T262)))*(U$7-U$5)*(U$7-U$6))))</f>
        <v>0.806574821469041</v>
      </c>
      <c r="V262" s="2" t="n">
        <v>0.266690974</v>
      </c>
      <c r="W262" s="2" t="n">
        <f aca="false">IF(W$7=W$5,W$6,IF(NORMSDIST(W$9*SQRT($C$11)*NORMSINV($B262)+SQRT(1-W$9^2*$C$11)*NORMSINV(V262))&lt;W$8,W$5+SQRT(NORMSDIST(W$9*SQRT($C$11)*NORMSINV($B262)+SQRT(1-W$9^2*$C$11)*NORMSINV(V262))*(W$7-W$5)*(W$6-W$5)),W$7-SQRT((1-NORMSDIST(W$9*SQRT($C$11)*NORMSINV($B262)+SQRT(1-W$9^2*$C$11)*NORMSINV(V262)))*(W$7-W$5)*(W$7-W$6))))</f>
        <v>9.47783240560618</v>
      </c>
      <c r="X262" s="2" t="n">
        <v>0.204066486</v>
      </c>
      <c r="Y262" s="2" t="n">
        <f aca="false">IF(Y$7=Y$5,Y$6,IF(NORMSDIST(Y$9*SQRT($C$11)*NORMSINV($B262)+SQRT(1-Y$9^2*$C$11)*NORMSINV(X262))&lt;Y$8,Y$5+SQRT(NORMSDIST(Y$9*SQRT($C$11)*NORMSINV($B262)+SQRT(1-Y$9^2*$C$11)*NORMSINV(X262))*(Y$7-Y$5)*(Y$6-Y$5)),Y$7-SQRT((1-NORMSDIST(Y$9*SQRT($C$11)*NORMSINV($B262)+SQRT(1-Y$9^2*$C$11)*NORMSINV(X262)))*(Y$7-Y$5)*(Y$7-Y$6))))</f>
        <v>0.319426428148956</v>
      </c>
      <c r="Z262" s="2" t="n">
        <v>0.480562941</v>
      </c>
      <c r="AA262" s="2" t="n">
        <f aca="false">IF(AA$7=AA$5,AA$6,IF(NORMSDIST(AA$9*SQRT($C$11)*NORMSINV($B262)+SQRT(1-AA$9^2*$C$11)*NORMSINV(Z262))&lt;AA$8,AA$5+SQRT(NORMSDIST(AA$9*SQRT($C$11)*NORMSINV($B262)+SQRT(1-AA$9^2*$C$11)*NORMSINV(Z262))*(AA$7-AA$5)*(AA$6-AA$5)),AA$7-SQRT((1-NORMSDIST(AA$9*SQRT($C$11)*NORMSINV($B262)+SQRT(1-AA$9^2*$C$11)*NORMSINV(Z262)))*(AA$7-AA$5)*(AA$7-AA$6))))</f>
        <v>0.72591315516335</v>
      </c>
      <c r="AB262" s="2" t="n">
        <v>0.423008161</v>
      </c>
      <c r="AC262" s="2" t="n">
        <f aca="false">IF(AC$7=AC$5,AC$6,IF(NORMSDIST(AC$9*SQRT($C$11)*NORMSINV($B262)+SQRT(1-AC$9^2*$C$11)*NORMSINV(AB262))&lt;AC$8,AC$5+SQRT(NORMSDIST(AC$9*SQRT($C$11)*NORMSINV($B262)+SQRT(1-AC$9^2*$C$11)*NORMSINV(AB262))*(AC$7-AC$5)*(AC$6-AC$5)),AC$7-SQRT((1-NORMSDIST(AC$9*SQRT($C$11)*NORMSINV($B262)+SQRT(1-AC$9^2*$C$11)*NORMSINV(AB262)))*(AC$7-AC$5)*(AC$7-AC$6))))</f>
        <v>9.24248510481886</v>
      </c>
      <c r="AD262" s="2" t="n">
        <f aca="false">Entrées!$C$8*(1+E262)</f>
        <v>7446.76576230773</v>
      </c>
      <c r="AE262" s="2" t="n">
        <f aca="false">I262*Hypothèses!$J$24/12/Hypothèses!$J$19</f>
        <v>98.5868900323745</v>
      </c>
      <c r="AF262" s="2" t="n">
        <f aca="false">Entrées!$C$36*S262*1000</f>
        <v>263.641145256035</v>
      </c>
      <c r="AG262" s="2" t="n">
        <f aca="false">-AF262/W262</f>
        <v>-27.8166076348944</v>
      </c>
      <c r="AH262" s="2" t="n">
        <f aca="false">AD262+AE262+AG262</f>
        <v>7517.53604470521</v>
      </c>
      <c r="AI262" s="2" t="n">
        <f aca="false">Entrées!$C$16-M262+Hypothèses!$J$22*1000-AF262+Hypothèses!$J$23</f>
        <v>22658.1038698326</v>
      </c>
      <c r="AJ262" s="2" t="n">
        <f aca="false">AI262/AH262</f>
        <v>3.01403328631744</v>
      </c>
      <c r="AK262" s="2" t="n">
        <f aca="false">AI262/(AH262+I262*(12-Hypothèses!$J$24)/12/Hypothèses!$J$19)</f>
        <v>2.98606187276146</v>
      </c>
      <c r="AL262" s="2" t="n">
        <f aca="false">(AD262+AG262+I262/Hypothèses!$J$19)*(1+G262)</f>
        <v>8064.96259726664</v>
      </c>
      <c r="AM262" s="2" t="n">
        <f aca="false">Entrées!$C$54*K262/Hypothèses!$J$19</f>
        <v>25.3283408901992</v>
      </c>
      <c r="AN262" s="2" t="n">
        <f aca="false">Y262*1000/AC262</f>
        <v>34.5606646401207</v>
      </c>
      <c r="AO262" s="2" t="n">
        <f aca="false">(Entrées!$C$36*(1-S262)+MAX(0,Entrées!$C$30-Entrées!$C$35-Entrées!$C$36)*U262)*1000</f>
        <v>1365.56360480062</v>
      </c>
      <c r="AP262" s="2" t="n">
        <f aca="false">-AO262/W262</f>
        <v>-144.079737471712</v>
      </c>
      <c r="AQ262" s="2" t="n">
        <f aca="false">AL262+AM262+AN262+AP262</f>
        <v>7980.77186532525</v>
      </c>
      <c r="AR262" s="2" t="n">
        <f aca="false">O262*AQ262-Hypothèses!$J$25/Hypothèses!$J$19</f>
        <v>1403.19557551673</v>
      </c>
      <c r="AS262" s="2" t="n">
        <f aca="false">Entrées!$C$79*(1+Q262)+Hypothèses!$J$20</f>
        <v>1461.91353809256</v>
      </c>
      <c r="AT262" s="2" t="n">
        <f aca="false">AI262-AR262+AS262+Y262*1000-AO262+Hypothèses!$J$23</f>
        <v>21670.6846557568</v>
      </c>
      <c r="AU262" s="2" t="n">
        <f aca="false">AT262/AQ262</f>
        <v>2.71536200024853</v>
      </c>
      <c r="AV262" s="2" t="n">
        <f aca="false">Hypothèses!$J$26*AQ262-AT262</f>
        <v>2271.63094021896</v>
      </c>
      <c r="AW262" s="2" t="n">
        <f aca="false">IF(AC262&gt;Hypothèses!$J$26,MAX(0,AV262)/(1-Hypothèses!$J$26/AC262),0)</f>
        <v>3363.32642786956</v>
      </c>
      <c r="AX262" s="2" t="n">
        <f aca="false">AQ262-Entrées!$C$17*1000</f>
        <v>-19.2281346747541</v>
      </c>
      <c r="AY262" s="2" t="n">
        <f aca="false">AI262+(Entrées!$C$244-Entrées!$C$13)</f>
        <v>28405.1038698326</v>
      </c>
      <c r="AZ262" s="2" t="n">
        <f aca="false">AA262*AH262</f>
        <v>5457.07830926617</v>
      </c>
      <c r="BA262" s="2" t="n">
        <f aca="false">AZ262/AY262</f>
        <v>0.192116118788842</v>
      </c>
      <c r="BB262" s="2" t="n">
        <f aca="false">AZ262/(Entrées!$C$151/100)-AY262</f>
        <v>1911.99784831278</v>
      </c>
      <c r="BC262" s="2" t="n">
        <f aca="false">AT262+(Entrées!$C$244-Entrées!$C$13)</f>
        <v>27417.6846557568</v>
      </c>
      <c r="BD262" s="2" t="n">
        <f aca="false">AA262*AQ262</f>
        <v>5793.34728539715</v>
      </c>
      <c r="BE262" s="2" t="n">
        <f aca="false">BD262/BC262</f>
        <v>0.211299654151531</v>
      </c>
      <c r="BF262" s="2" t="n">
        <f aca="false">BD262/(Entrées!$C$151/100)-BC262</f>
        <v>4767.57804089403</v>
      </c>
      <c r="BG262" s="2" t="n">
        <f aca="false">MIN(AV262,BF262)</f>
        <v>2271.63094021896</v>
      </c>
      <c r="BH262" s="2" t="n">
        <f aca="false">IF(AC262&gt;Hypothèses!$J$26,MAX(0,BG262)/(1-Hypothèses!$J$26/AC262),0)</f>
        <v>3363.32642786956</v>
      </c>
    </row>
    <row r="263" customFormat="false" ht="15" hidden="false" customHeight="false" outlineLevel="0" collapsed="false">
      <c r="A263" s="2" t="n">
        <v>248</v>
      </c>
      <c r="B263" s="2" t="n">
        <v>0.855708857</v>
      </c>
      <c r="C263" s="2"/>
      <c r="D263" s="2" t="n">
        <v>0.822348769</v>
      </c>
      <c r="E263" s="2" t="n">
        <f aca="false">IF(E$7=E$5,E$6,IF(NORMSDIST(E$9*SQRT($C$11)*NORMSINV($B263)+SQRT(1-E$9^2*$C$11)*NORMSINV(D263))&lt;E$8,E$5+SQRT(NORMSDIST(E$9*SQRT($C$11)*NORMSINV($B263)+SQRT(1-E$9^2*$C$11)*NORMSINV(D263))*(E$7-E$5)*(E$6-E$5)),E$7-SQRT((1-NORMSDIST(E$9*SQRT($C$11)*NORMSINV($B263)+SQRT(1-E$9^2*$C$11)*NORMSINV(D263)))*(E$7-E$5)*(E$7-E$6))))</f>
        <v>0.057966621939225</v>
      </c>
      <c r="F263" s="2" t="n">
        <v>0.504188502</v>
      </c>
      <c r="G263" s="2" t="n">
        <f aca="false">IF(G$7=G$5,G$6,IF(NORMSDIST(G$9*SQRT($C$11)*NORMSINV($B263)+SQRT(1-G$9^2*$C$11)*NORMSINV(F263))&lt;G$8,G$5+SQRT(NORMSDIST(G$9*SQRT($C$11)*NORMSINV($B263)+SQRT(1-G$9^2*$C$11)*NORMSINV(F263))*(G$7-G$5)*(G$6-G$5)),G$7-SQRT((1-NORMSDIST(G$9*SQRT($C$11)*NORMSINV($B263)+SQRT(1-G$9^2*$C$11)*NORMSINV(F263)))*(G$7-G$5)*(G$7-G$6))))</f>
        <v>0.0594259410229073</v>
      </c>
      <c r="H263" s="2" t="n">
        <v>0.171198516</v>
      </c>
      <c r="I263" s="2" t="n">
        <f aca="false">IF(I$7=I$5,I$6,IF(NORMSDIST(I$9*SQRT($C$11)*NORMSINV($B263)+SQRT(1-I$9^2*$C$11)*NORMSINV(H263))&lt;I$8,I$5+SQRT(NORMSDIST(I$9*SQRT($C$11)*NORMSINV($B263)+SQRT(1-I$9^2*$C$11)*NORMSINV(H263))*(I$7-I$5)*(I$6-I$5)),I$7-SQRT((1-NORMSDIST(I$9*SQRT($C$11)*NORMSINV($B263)+SQRT(1-I$9^2*$C$11)*NORMSINV(H263)))*(I$7-I$5)*(I$7-I$6))))</f>
        <v>199.48099568542</v>
      </c>
      <c r="J263" s="2" t="n">
        <v>0.907696093</v>
      </c>
      <c r="K263" s="2" t="n">
        <f aca="false">IF(K$7=K$5,K$6,IF(NORMSDIST(K$9*SQRT($C$11)*NORMSINV($B263)+SQRT(1-K$9^2*$C$11)*NORMSINV(J263))&lt;K$8,K$5+SQRT(NORMSDIST(K$9*SQRT($C$11)*NORMSINV($B263)+SQRT(1-K$9^2*$C$11)*NORMSINV(J263))*(K$7-K$5)*(K$6-K$5)),K$7-SQRT((1-NORMSDIST(K$9*SQRT($C$11)*NORMSINV($B263)+SQRT(1-K$9^2*$C$11)*NORMSINV(J263)))*(K$7-K$5)*(K$7-K$6))))</f>
        <v>0.425271823180265</v>
      </c>
      <c r="L263" s="2" t="n">
        <v>0.712148772</v>
      </c>
      <c r="M263" s="2" t="n">
        <f aca="false">IF(M$7=M$5,M$6,IF(NORMSDIST(M$9*SQRT($C$11)*NORMSINV($B263)+SQRT(1-M$9^2*$C$11)*NORMSINV(L263))&lt;M$8,M$5+SQRT(NORMSDIST(M$9*SQRT($C$11)*NORMSINV($B263)+SQRT(1-M$9^2*$C$11)*NORMSINV(L263))*(M$7-M$5)*(M$6-M$5)),M$7-SQRT((1-NORMSDIST(M$9*SQRT($C$11)*NORMSINV($B263)+SQRT(1-M$9^2*$C$11)*NORMSINV(L263)))*(M$7-M$5)*(M$7-M$6))))</f>
        <v>1688.36804593465</v>
      </c>
      <c r="N263" s="2" t="n">
        <v>0.241944233</v>
      </c>
      <c r="O263" s="2" t="n">
        <f aca="false">IF(O$7=O$5,O$6,IF(NORMSDIST(O$9*SQRT($C$11)*NORMSINV($B263)+SQRT(1-O$9^2*$C$11)*NORMSINV(N263))&lt;O$8,O$5+SQRT(NORMSDIST(O$9*SQRT($C$11)*NORMSINV($B263)+SQRT(1-O$9^2*$C$11)*NORMSINV(N263))*(O$7-O$5)*(O$6-O$5)),O$7-SQRT((1-NORMSDIST(O$9*SQRT($C$11)*NORMSINV($B263)+SQRT(1-O$9^2*$C$11)*NORMSINV(N263)))*(O$7-O$5)*(O$7-O$6))))</f>
        <v>0.168124719317821</v>
      </c>
      <c r="P263" s="2" t="n">
        <v>0.825870039</v>
      </c>
      <c r="Q263" s="2" t="n">
        <f aca="false">IF(Q$7=Q$5,Q$6,IF(NORMSDIST(Q$9*SQRT($C$11)*NORMSINV($B263)+SQRT(1-Q$9^2*$C$11)*NORMSINV(P263))&lt;Q$8,Q$5+SQRT(NORMSDIST(Q$9*SQRT($C$11)*NORMSINV($B263)+SQRT(1-Q$9^2*$C$11)*NORMSINV(P263))*(Q$7-Q$5)*(Q$6-Q$5)),Q$7-SQRT((1-NORMSDIST(Q$9*SQRT($C$11)*NORMSINV($B263)+SQRT(1-Q$9^2*$C$11)*NORMSINV(P263)))*(Q$7-Q$5)*(Q$7-Q$6))))</f>
        <v>0.0963945795377418</v>
      </c>
      <c r="R263" s="2" t="n">
        <v>0.555131779</v>
      </c>
      <c r="S263" s="2" t="n">
        <f aca="false">IF(S$7=S$5,S$6,IF(NORMSDIST(S$9*SQRT($C$11)*NORMSINV($B263)+SQRT(1-S$9^2*$C$11)*NORMSINV(R263))&lt;S$8,S$5+SQRT(NORMSDIST(S$9*SQRT($C$11)*NORMSINV($B263)+SQRT(1-S$9^2*$C$11)*NORMSINV(R263))*(S$7-S$5)*(S$6-S$5)),S$7-SQRT((1-NORMSDIST(S$9*SQRT($C$11)*NORMSINV($B263)+SQRT(1-S$9^2*$C$11)*NORMSINV(R263)))*(S$7-S$5)*(S$7-S$6))))</f>
        <v>0.669761053948643</v>
      </c>
      <c r="T263" s="2" t="n">
        <v>0.064766596</v>
      </c>
      <c r="U263" s="2" t="n">
        <f aca="false">IF(U$7=U$5,U$6,IF(NORMSDIST(U$9*SQRT($C$11)*NORMSINV($B263)+SQRT(1-U$9^2*$C$11)*NORMSINV(T263))&lt;U$8,U$5+SQRT(NORMSDIST(U$9*SQRT($C$11)*NORMSINV($B263)+SQRT(1-U$9^2*$C$11)*NORMSINV(T263))*(U$7-U$5)*(U$6-U$5)),U$7-SQRT((1-NORMSDIST(U$9*SQRT($C$11)*NORMSINV($B263)+SQRT(1-U$9^2*$C$11)*NORMSINV(T263)))*(U$7-U$5)*(U$7-U$6))))</f>
        <v>0.392084604327902</v>
      </c>
      <c r="V263" s="2" t="n">
        <v>0.774985419</v>
      </c>
      <c r="W263" s="2" t="n">
        <f aca="false">IF(W$7=W$5,W$6,IF(NORMSDIST(W$9*SQRT($C$11)*NORMSINV($B263)+SQRT(1-W$9^2*$C$11)*NORMSINV(V263))&lt;W$8,W$5+SQRT(NORMSDIST(W$9*SQRT($C$11)*NORMSINV($B263)+SQRT(1-W$9^2*$C$11)*NORMSINV(V263))*(W$7-W$5)*(W$6-W$5)),W$7-SQRT((1-NORMSDIST(W$9*SQRT($C$11)*NORMSINV($B263)+SQRT(1-W$9^2*$C$11)*NORMSINV(V263)))*(W$7-W$5)*(W$7-W$6))))</f>
        <v>11.0856454503848</v>
      </c>
      <c r="X263" s="2" t="n">
        <v>0.295383288</v>
      </c>
      <c r="Y263" s="2" t="n">
        <f aca="false">IF(Y$7=Y$5,Y$6,IF(NORMSDIST(Y$9*SQRT($C$11)*NORMSINV($B263)+SQRT(1-Y$9^2*$C$11)*NORMSINV(X263))&lt;Y$8,Y$5+SQRT(NORMSDIST(Y$9*SQRT($C$11)*NORMSINV($B263)+SQRT(1-Y$9^2*$C$11)*NORMSINV(X263))*(Y$7-Y$5)*(Y$6-Y$5)),Y$7-SQRT((1-NORMSDIST(Y$9*SQRT($C$11)*NORMSINV($B263)+SQRT(1-Y$9^2*$C$11)*NORMSINV(X263)))*(Y$7-Y$5)*(Y$7-Y$6))))</f>
        <v>0.38430670564017</v>
      </c>
      <c r="Z263" s="2" t="n">
        <v>0.611163317</v>
      </c>
      <c r="AA263" s="2" t="n">
        <f aca="false">IF(AA$7=AA$5,AA$6,IF(NORMSDIST(AA$9*SQRT($C$11)*NORMSINV($B263)+SQRT(1-AA$9^2*$C$11)*NORMSINV(Z263))&lt;AA$8,AA$5+SQRT(NORMSDIST(AA$9*SQRT($C$11)*NORMSINV($B263)+SQRT(1-AA$9^2*$C$11)*NORMSINV(Z263))*(AA$7-AA$5)*(AA$6-AA$5)),AA$7-SQRT((1-NORMSDIST(AA$9*SQRT($C$11)*NORMSINV($B263)+SQRT(1-AA$9^2*$C$11)*NORMSINV(Z263)))*(AA$7-AA$5)*(AA$7-AA$6))))</f>
        <v>0.738376694528928</v>
      </c>
      <c r="AB263" s="2" t="n">
        <v>0.12679022</v>
      </c>
      <c r="AC263" s="2" t="n">
        <f aca="false">IF(AC$7=AC$5,AC$6,IF(NORMSDIST(AC$9*SQRT($C$11)*NORMSINV($B263)+SQRT(1-AC$9^2*$C$11)*NORMSINV(AB263))&lt;AC$8,AC$5+SQRT(NORMSDIST(AC$9*SQRT($C$11)*NORMSINV($B263)+SQRT(1-AC$9^2*$C$11)*NORMSINV(AB263))*(AC$7-AC$5)*(AC$6-AC$5)),AC$7-SQRT((1-NORMSDIST(AC$9*SQRT($C$11)*NORMSINV($B263)+SQRT(1-AC$9^2*$C$11)*NORMSINV(AB263)))*(AC$7-AC$5)*(AC$7-AC$6))))</f>
        <v>9.29493110223135</v>
      </c>
      <c r="AD263" s="2" t="n">
        <f aca="false">Entrées!$C$8*(1+E263)</f>
        <v>7458.66468467154</v>
      </c>
      <c r="AE263" s="2" t="n">
        <f aca="false">I263*Hypothèses!$J$24/12/Hypothèses!$J$19</f>
        <v>98.9618834957725</v>
      </c>
      <c r="AF263" s="2" t="n">
        <f aca="false">Entrées!$C$36*S263*1000</f>
        <v>334.880526974321</v>
      </c>
      <c r="AG263" s="2" t="n">
        <f aca="false">-AF263/W263</f>
        <v>-30.2084825347446</v>
      </c>
      <c r="AH263" s="2" t="n">
        <f aca="false">AD263+AE263+AG263</f>
        <v>7527.41808563256</v>
      </c>
      <c r="AI263" s="2" t="n">
        <f aca="false">Entrées!$C$16-M263+Hypothèses!$J$22*1000-AF263+Hypothèses!$J$23</f>
        <v>22524.751427091</v>
      </c>
      <c r="AJ263" s="2" t="n">
        <f aca="false">AI263/AH263</f>
        <v>2.99236088268879</v>
      </c>
      <c r="AK263" s="2" t="n">
        <f aca="false">AI263/(AH263+I263*(12-Hypothèses!$J$24)/12/Hypothèses!$J$19)</f>
        <v>2.96452220605372</v>
      </c>
      <c r="AL263" s="2" t="n">
        <f aca="false">(AD263+AG263+I263/Hypothèses!$J$19)*(1+G263)</f>
        <v>8049.62969352121</v>
      </c>
      <c r="AM263" s="2" t="n">
        <f aca="false">Entrées!$C$54*K263/Hypothèses!$J$19</f>
        <v>43.4007751565433</v>
      </c>
      <c r="AN263" s="2" t="n">
        <f aca="false">Y263*1000/AC263</f>
        <v>41.3458369312617</v>
      </c>
      <c r="AO263" s="2" t="n">
        <f aca="false">(Entrées!$C$36*(1-S263)+MAX(0,Entrées!$C$30-Entrées!$C$35-Entrées!$C$36)*U263)*1000</f>
        <v>714.037919084741</v>
      </c>
      <c r="AP263" s="2" t="n">
        <f aca="false">-AO263/W263</f>
        <v>-64.4110369829619</v>
      </c>
      <c r="AQ263" s="2" t="n">
        <f aca="false">AL263+AM263+AN263+AP263</f>
        <v>8069.96526862605</v>
      </c>
      <c r="AR263" s="2" t="n">
        <f aca="false">O263*AQ263-Hypothèses!$J$25/Hypothèses!$J$19</f>
        <v>1337.62548343069</v>
      </c>
      <c r="AS263" s="2" t="n">
        <f aca="false">Entrées!$C$79*(1+Q263)+Hypothèses!$J$20</f>
        <v>1499.93764291198</v>
      </c>
      <c r="AT263" s="2" t="n">
        <f aca="false">AI263-AR263+AS263+Y263*1000-AO263+Hypothèses!$J$23</f>
        <v>22357.3323731277</v>
      </c>
      <c r="AU263" s="2" t="n">
        <f aca="false">AT263/AQ263</f>
        <v>2.77043724835438</v>
      </c>
      <c r="AV263" s="2" t="n">
        <f aca="false">Hypothèses!$J$26*AQ263-AT263</f>
        <v>1852.56343275041</v>
      </c>
      <c r="AW263" s="2" t="n">
        <f aca="false">IF(AC263&gt;Hypothèses!$J$26,MAX(0,AV263)/(1-Hypothèses!$J$26/AC263),0)</f>
        <v>2735.44685244045</v>
      </c>
      <c r="AX263" s="2" t="n">
        <f aca="false">AQ263-Entrées!$C$17*1000</f>
        <v>69.9652686260497</v>
      </c>
      <c r="AY263" s="2" t="n">
        <f aca="false">AI263+(Entrées!$C$244-Entrées!$C$13)</f>
        <v>28271.751427091</v>
      </c>
      <c r="AZ263" s="2" t="n">
        <f aca="false">AA263*AH263</f>
        <v>5558.07008440665</v>
      </c>
      <c r="BA263" s="2" t="n">
        <f aca="false">AZ263/AY263</f>
        <v>0.196594473417756</v>
      </c>
      <c r="BB263" s="2" t="n">
        <f aca="false">AZ263/(Entrées!$C$151/100)-AY263</f>
        <v>2606.41570850146</v>
      </c>
      <c r="BC263" s="2" t="n">
        <f aca="false">AT263+(Entrées!$C$244-Entrées!$C$13)</f>
        <v>28104.3323731277</v>
      </c>
      <c r="BD263" s="2" t="n">
        <f aca="false">AA263*AQ263</f>
        <v>5958.67428001136</v>
      </c>
      <c r="BE263" s="2" t="n">
        <f aca="false">BD263/BC263</f>
        <v>0.212019776912004</v>
      </c>
      <c r="BF263" s="2" t="n">
        <f aca="false">BD263/(Entrées!$C$151/100)-BC263</f>
        <v>4999.41362693536</v>
      </c>
      <c r="BG263" s="2" t="n">
        <f aca="false">MIN(AV263,BF263)</f>
        <v>1852.56343275041</v>
      </c>
      <c r="BH263" s="2" t="n">
        <f aca="false">IF(AC263&gt;Hypothèses!$J$26,MAX(0,BG263)/(1-Hypothèses!$J$26/AC263),0)</f>
        <v>2735.44685244045</v>
      </c>
    </row>
    <row r="264" customFormat="false" ht="15" hidden="false" customHeight="false" outlineLevel="0" collapsed="false">
      <c r="A264" s="2" t="n">
        <v>249</v>
      </c>
      <c r="B264" s="2" t="n">
        <v>0.919600562</v>
      </c>
      <c r="C264" s="2"/>
      <c r="D264" s="2" t="n">
        <v>0.255466574</v>
      </c>
      <c r="E264" s="2" t="n">
        <f aca="false">IF(E$7=E$5,E$6,IF(NORMSDIST(E$9*SQRT($C$11)*NORMSINV($B264)+SQRT(1-E$9^2*$C$11)*NORMSINV(D264))&lt;E$8,E$5+SQRT(NORMSDIST(E$9*SQRT($C$11)*NORMSINV($B264)+SQRT(1-E$9^2*$C$11)*NORMSINV(D264))*(E$7-E$5)*(E$6-E$5)),E$7-SQRT((1-NORMSDIST(E$9*SQRT($C$11)*NORMSINV($B264)+SQRT(1-E$9^2*$C$11)*NORMSINV(D264)))*(E$7-E$5)*(E$7-E$6))))</f>
        <v>0.055799930781402</v>
      </c>
      <c r="F264" s="2" t="n">
        <v>0.404807165</v>
      </c>
      <c r="G264" s="2" t="n">
        <f aca="false">IF(G$7=G$5,G$6,IF(NORMSDIST(G$9*SQRT($C$11)*NORMSINV($B264)+SQRT(1-G$9^2*$C$11)*NORMSINV(F264))&lt;G$8,G$5+SQRT(NORMSDIST(G$9*SQRT($C$11)*NORMSINV($B264)+SQRT(1-G$9^2*$C$11)*NORMSINV(F264))*(G$7-G$5)*(G$6-G$5)),G$7-SQRT((1-NORMSDIST(G$9*SQRT($C$11)*NORMSINV($B264)+SQRT(1-G$9^2*$C$11)*NORMSINV(F264)))*(G$7-G$5)*(G$7-G$6))))</f>
        <v>0.0595674931662113</v>
      </c>
      <c r="H264" s="2" t="n">
        <v>0.802995555</v>
      </c>
      <c r="I264" s="2" t="n">
        <f aca="false">IF(I$7=I$5,I$6,IF(NORMSDIST(I$9*SQRT($C$11)*NORMSINV($B264)+SQRT(1-I$9^2*$C$11)*NORMSINV(H264))&lt;I$8,I$5+SQRT(NORMSDIST(I$9*SQRT($C$11)*NORMSINV($B264)+SQRT(1-I$9^2*$C$11)*NORMSINV(H264))*(I$7-I$5)*(I$6-I$5)),I$7-SQRT((1-NORMSDIST(I$9*SQRT($C$11)*NORMSINV($B264)+SQRT(1-I$9^2*$C$11)*NORMSINV(H264)))*(I$7-I$5)*(I$7-I$6))))</f>
        <v>213.019542724553</v>
      </c>
      <c r="J264" s="2" t="n">
        <v>0.458294594</v>
      </c>
      <c r="K264" s="2" t="n">
        <f aca="false">IF(K$7=K$5,K$6,IF(NORMSDIST(K$9*SQRT($C$11)*NORMSINV($B264)+SQRT(1-K$9^2*$C$11)*NORMSINV(J264))&lt;K$8,K$5+SQRT(NORMSDIST(K$9*SQRT($C$11)*NORMSINV($B264)+SQRT(1-K$9^2*$C$11)*NORMSINV(J264))*(K$7-K$5)*(K$6-K$5)),K$7-SQRT((1-NORMSDIST(K$9*SQRT($C$11)*NORMSINV($B264)+SQRT(1-K$9^2*$C$11)*NORMSINV(J264)))*(K$7-K$5)*(K$7-K$6))))</f>
        <v>0.337915173278676</v>
      </c>
      <c r="L264" s="2" t="n">
        <v>0.636125623</v>
      </c>
      <c r="M264" s="2" t="n">
        <f aca="false">IF(M$7=M$5,M$6,IF(NORMSDIST(M$9*SQRT($C$11)*NORMSINV($B264)+SQRT(1-M$9^2*$C$11)*NORMSINV(L264))&lt;M$8,M$5+SQRT(NORMSDIST(M$9*SQRT($C$11)*NORMSINV($B264)+SQRT(1-M$9^2*$C$11)*NORMSINV(L264))*(M$7-M$5)*(M$6-M$5)),M$7-SQRT((1-NORMSDIST(M$9*SQRT($C$11)*NORMSINV($B264)+SQRT(1-M$9^2*$C$11)*NORMSINV(L264)))*(M$7-M$5)*(M$7-M$6))))</f>
        <v>1692.65768726716</v>
      </c>
      <c r="N264" s="2" t="n">
        <v>0.930022007</v>
      </c>
      <c r="O264" s="2" t="n">
        <f aca="false">IF(O$7=O$5,O$6,IF(NORMSDIST(O$9*SQRT($C$11)*NORMSINV($B264)+SQRT(1-O$9^2*$C$11)*NORMSINV(N264))&lt;O$8,O$5+SQRT(NORMSDIST(O$9*SQRT($C$11)*NORMSINV($B264)+SQRT(1-O$9^2*$C$11)*NORMSINV(N264))*(O$7-O$5)*(O$6-O$5)),O$7-SQRT((1-NORMSDIST(O$9*SQRT($C$11)*NORMSINV($B264)+SQRT(1-O$9^2*$C$11)*NORMSINV(N264)))*(O$7-O$5)*(O$7-O$6))))</f>
        <v>0.185251647162162</v>
      </c>
      <c r="P264" s="2" t="n">
        <v>0.342076978</v>
      </c>
      <c r="Q264" s="2" t="n">
        <f aca="false">IF(Q$7=Q$5,Q$6,IF(NORMSDIST(Q$9*SQRT($C$11)*NORMSINV($B264)+SQRT(1-Q$9^2*$C$11)*NORMSINV(P264))&lt;Q$8,Q$5+SQRT(NORMSDIST(Q$9*SQRT($C$11)*NORMSINV($B264)+SQRT(1-Q$9^2*$C$11)*NORMSINV(P264))*(Q$7-Q$5)*(Q$6-Q$5)),Q$7-SQRT((1-NORMSDIST(Q$9*SQRT($C$11)*NORMSINV($B264)+SQRT(1-Q$9^2*$C$11)*NORMSINV(P264)))*(Q$7-Q$5)*(Q$7-Q$6))))</f>
        <v>0.0730854398429279</v>
      </c>
      <c r="R264" s="2" t="n">
        <v>0.318375343</v>
      </c>
      <c r="S264" s="2" t="n">
        <f aca="false">IF(S$7=S$5,S$6,IF(NORMSDIST(S$9*SQRT($C$11)*NORMSINV($B264)+SQRT(1-S$9^2*$C$11)*NORMSINV(R264))&lt;S$8,S$5+SQRT(NORMSDIST(S$9*SQRT($C$11)*NORMSINV($B264)+SQRT(1-S$9^2*$C$11)*NORMSINV(R264))*(S$7-S$5)*(S$6-S$5)),S$7-SQRT((1-NORMSDIST(S$9*SQRT($C$11)*NORMSINV($B264)+SQRT(1-S$9^2*$C$11)*NORMSINV(R264)))*(S$7-S$5)*(S$7-S$6))))</f>
        <v>0.611971854700706</v>
      </c>
      <c r="T264" s="2" t="n">
        <v>0.227476588</v>
      </c>
      <c r="U264" s="2" t="n">
        <f aca="false">IF(U$7=U$5,U$6,IF(NORMSDIST(U$9*SQRT($C$11)*NORMSINV($B264)+SQRT(1-U$9^2*$C$11)*NORMSINV(T264))&lt;U$8,U$5+SQRT(NORMSDIST(U$9*SQRT($C$11)*NORMSINV($B264)+SQRT(1-U$9^2*$C$11)*NORMSINV(T264))*(U$7-U$5)*(U$6-U$5)),U$7-SQRT((1-NORMSDIST(U$9*SQRT($C$11)*NORMSINV($B264)+SQRT(1-U$9^2*$C$11)*NORMSINV(T264)))*(U$7-U$5)*(U$7-U$6))))</f>
        <v>0.564700544454677</v>
      </c>
      <c r="V264" s="2" t="n">
        <v>0.239691077</v>
      </c>
      <c r="W264" s="2" t="n">
        <f aca="false">IF(W$7=W$5,W$6,IF(NORMSDIST(W$9*SQRT($C$11)*NORMSINV($B264)+SQRT(1-W$9^2*$C$11)*NORMSINV(V264))&lt;W$8,W$5+SQRT(NORMSDIST(W$9*SQRT($C$11)*NORMSINV($B264)+SQRT(1-W$9^2*$C$11)*NORMSINV(V264))*(W$7-W$5)*(W$6-W$5)),W$7-SQRT((1-NORMSDIST(W$9*SQRT($C$11)*NORMSINV($B264)+SQRT(1-W$9^2*$C$11)*NORMSINV(V264)))*(W$7-W$5)*(W$7-W$6))))</f>
        <v>10.2858823978314</v>
      </c>
      <c r="X264" s="2" t="n">
        <v>0.534525538</v>
      </c>
      <c r="Y264" s="2" t="n">
        <f aca="false">IF(Y$7=Y$5,Y$6,IF(NORMSDIST(Y$9*SQRT($C$11)*NORMSINV($B264)+SQRT(1-Y$9^2*$C$11)*NORMSINV(X264))&lt;Y$8,Y$5+SQRT(NORMSDIST(Y$9*SQRT($C$11)*NORMSINV($B264)+SQRT(1-Y$9^2*$C$11)*NORMSINV(X264))*(Y$7-Y$5)*(Y$6-Y$5)),Y$7-SQRT((1-NORMSDIST(Y$9*SQRT($C$11)*NORMSINV($B264)+SQRT(1-Y$9^2*$C$11)*NORMSINV(X264)))*(Y$7-Y$5)*(Y$7-Y$6))))</f>
        <v>0.517571527581549</v>
      </c>
      <c r="Z264" s="2" t="n">
        <v>0.814976404</v>
      </c>
      <c r="AA264" s="2" t="n">
        <f aca="false">IF(AA$7=AA$5,AA$6,IF(NORMSDIST(AA$9*SQRT($C$11)*NORMSINV($B264)+SQRT(1-AA$9^2*$C$11)*NORMSINV(Z264))&lt;AA$8,AA$5+SQRT(NORMSDIST(AA$9*SQRT($C$11)*NORMSINV($B264)+SQRT(1-AA$9^2*$C$11)*NORMSINV(Z264))*(AA$7-AA$5)*(AA$6-AA$5)),AA$7-SQRT((1-NORMSDIST(AA$9*SQRT($C$11)*NORMSINV($B264)+SQRT(1-AA$9^2*$C$11)*NORMSINV(Z264)))*(AA$7-AA$5)*(AA$7-AA$6))))</f>
        <v>0.745318788582012</v>
      </c>
      <c r="AB264" s="2" t="n">
        <v>0.620253669</v>
      </c>
      <c r="AC264" s="2" t="n">
        <f aca="false">IF(AC$7=AC$5,AC$6,IF(NORMSDIST(AC$9*SQRT($C$11)*NORMSINV($B264)+SQRT(1-AC$9^2*$C$11)*NORMSINV(AB264))&lt;AC$8,AC$5+SQRT(NORMSDIST(AC$9*SQRT($C$11)*NORMSINV($B264)+SQRT(1-AC$9^2*$C$11)*NORMSINV(AB264))*(AC$7-AC$5)*(AC$6-AC$5)),AC$7-SQRT((1-NORMSDIST(AC$9*SQRT($C$11)*NORMSINV($B264)+SQRT(1-AC$9^2*$C$11)*NORMSINV(AB264)))*(AC$7-AC$5)*(AC$7-AC$6))))</f>
        <v>10.2491964672336</v>
      </c>
      <c r="AD264" s="2" t="n">
        <f aca="false">Entrées!$C$8*(1+E264)</f>
        <v>7443.38951200889</v>
      </c>
      <c r="AE264" s="2" t="n">
        <f aca="false">I264*Hypothèses!$J$24/12/Hypothèses!$J$19</f>
        <v>105.678313350081</v>
      </c>
      <c r="AF264" s="2" t="n">
        <f aca="false">Entrées!$C$36*S264*1000</f>
        <v>305.985927350353</v>
      </c>
      <c r="AG264" s="2" t="n">
        <f aca="false">-AF264/W264</f>
        <v>-29.7481456150875</v>
      </c>
      <c r="AH264" s="2" t="n">
        <f aca="false">AD264+AE264+AG264</f>
        <v>7519.31967974388</v>
      </c>
      <c r="AI264" s="2" t="n">
        <f aca="false">Entrées!$C$16-M264+Hypothèses!$J$22*1000-AF264+Hypothèses!$J$23</f>
        <v>22549.3563853825</v>
      </c>
      <c r="AJ264" s="2" t="n">
        <f aca="false">AI264/AH264</f>
        <v>2.99885592657108</v>
      </c>
      <c r="AK264" s="2" t="n">
        <f aca="false">AI264/(AH264+I264*(12-Hypothèses!$J$24)/12/Hypothèses!$J$19)</f>
        <v>2.96905039595514</v>
      </c>
      <c r="AL264" s="2" t="n">
        <f aca="false">(AD264+AG264+I264/Hypothèses!$J$19)*(1+G264)</f>
        <v>8047.20763592328</v>
      </c>
      <c r="AM264" s="2" t="n">
        <f aca="false">Entrées!$C$54*K264/Hypothèses!$J$19</f>
        <v>34.4856622472156</v>
      </c>
      <c r="AN264" s="2" t="n">
        <f aca="false">Y264*1000/AC264</f>
        <v>50.4987419488165</v>
      </c>
      <c r="AO264" s="2" t="n">
        <f aca="false">(Entrées!$C$36*(1-S264)+MAX(0,Entrées!$C$30-Entrées!$C$35-Entrées!$C$36)*U264)*1000</f>
        <v>984.594834886195</v>
      </c>
      <c r="AP264" s="2" t="n">
        <f aca="false">-AO264/W264</f>
        <v>-95.7229333181744</v>
      </c>
      <c r="AQ264" s="2" t="n">
        <f aca="false">AL264+AM264+AN264+AP264</f>
        <v>8036.46910680114</v>
      </c>
      <c r="AR264" s="2" t="n">
        <f aca="false">O264*AQ264-Hypothèses!$J$25/Hypothèses!$J$19</f>
        <v>1469.63397714111</v>
      </c>
      <c r="AS264" s="2" t="n">
        <f aca="false">Entrées!$C$79*(1+Q264)+Hypothèses!$J$20</f>
        <v>1474.32089838738</v>
      </c>
      <c r="AT264" s="2" t="n">
        <f aca="false">AI264-AR264+AS264+Y264*1000-AO264+Hypothèses!$J$23</f>
        <v>22087.0199993241</v>
      </c>
      <c r="AU264" s="2" t="n">
        <f aca="false">AT264/AQ264</f>
        <v>2.7483487718048</v>
      </c>
      <c r="AV264" s="2" t="n">
        <f aca="false">Hypothèses!$J$26*AQ264-AT264</f>
        <v>2022.3873210793</v>
      </c>
      <c r="AW264" s="2" t="n">
        <f aca="false">IF(AC264&gt;Hypothèses!$J$26,MAX(0,AV264)/(1-Hypothèses!$J$26/AC264),0)</f>
        <v>2859.33000716341</v>
      </c>
      <c r="AX264" s="2" t="n">
        <f aca="false">AQ264-Entrées!$C$17*1000</f>
        <v>36.4691068011371</v>
      </c>
      <c r="AY264" s="2" t="n">
        <f aca="false">AI264+(Entrées!$C$244-Entrées!$C$13)</f>
        <v>28296.3563853825</v>
      </c>
      <c r="AZ264" s="2" t="n">
        <f aca="false">AA264*AH264</f>
        <v>5604.29023466759</v>
      </c>
      <c r="BA264" s="2" t="n">
        <f aca="false">AZ264/AY264</f>
        <v>0.19805695681592</v>
      </c>
      <c r="BB264" s="2" t="n">
        <f aca="false">AZ264/(Entrées!$C$151/100)-AY264</f>
        <v>2838.58936277081</v>
      </c>
      <c r="BC264" s="2" t="n">
        <f aca="false">AT264+(Entrées!$C$244-Entrées!$C$13)</f>
        <v>27834.0199993241</v>
      </c>
      <c r="BD264" s="2" t="n">
        <f aca="false">AA264*AQ264</f>
        <v>5989.73141915779</v>
      </c>
      <c r="BE264" s="2" t="n">
        <f aca="false">BD264/BC264</f>
        <v>0.215194622239376</v>
      </c>
      <c r="BF264" s="2" t="n">
        <f aca="false">BD264/(Entrées!$C$151/100)-BC264</f>
        <v>5442.26566266362</v>
      </c>
      <c r="BG264" s="2" t="n">
        <f aca="false">MIN(AV264,BF264)</f>
        <v>2022.3873210793</v>
      </c>
      <c r="BH264" s="2" t="n">
        <f aca="false">IF(AC264&gt;Hypothèses!$J$26,MAX(0,BG264)/(1-Hypothèses!$J$26/AC264),0)</f>
        <v>2859.33000716341</v>
      </c>
    </row>
    <row r="265" customFormat="false" ht="15" hidden="false" customHeight="false" outlineLevel="0" collapsed="false">
      <c r="A265" s="2" t="n">
        <v>250</v>
      </c>
      <c r="B265" s="2" t="n">
        <v>0.629136808</v>
      </c>
      <c r="C265" s="2"/>
      <c r="D265" s="2" t="n">
        <v>0.209956121</v>
      </c>
      <c r="E265" s="2" t="n">
        <f aca="false">IF(E$7=E$5,E$6,IF(NORMSDIST(E$9*SQRT($C$11)*NORMSINV($B265)+SQRT(1-E$9^2*$C$11)*NORMSINV(D265))&lt;E$8,E$5+SQRT(NORMSDIST(E$9*SQRT($C$11)*NORMSINV($B265)+SQRT(1-E$9^2*$C$11)*NORMSINV(D265))*(E$7-E$5)*(E$6-E$5)),E$7-SQRT((1-NORMSDIST(E$9*SQRT($C$11)*NORMSINV($B265)+SQRT(1-E$9^2*$C$11)*NORMSINV(D265)))*(E$7-E$5)*(E$7-E$6))))</f>
        <v>0.0541145080440466</v>
      </c>
      <c r="F265" s="2" t="n">
        <v>0.762881033</v>
      </c>
      <c r="G265" s="2" t="n">
        <f aca="false">IF(G$7=G$5,G$6,IF(NORMSDIST(G$9*SQRT($C$11)*NORMSINV($B265)+SQRT(1-G$9^2*$C$11)*NORMSINV(F265))&lt;G$8,G$5+SQRT(NORMSDIST(G$9*SQRT($C$11)*NORMSINV($B265)+SQRT(1-G$9^2*$C$11)*NORMSINV(F265))*(G$7-G$5)*(G$6-G$5)),G$7-SQRT((1-NORMSDIST(G$9*SQRT($C$11)*NORMSINV($B265)+SQRT(1-G$9^2*$C$11)*NORMSINV(F265)))*(G$7-G$5)*(G$7-G$6))))</f>
        <v>0.05998679455599</v>
      </c>
      <c r="H265" s="2" t="n">
        <v>0.408322031</v>
      </c>
      <c r="I265" s="2" t="n">
        <f aca="false">IF(I$7=I$5,I$6,IF(NORMSDIST(I$9*SQRT($C$11)*NORMSINV($B265)+SQRT(1-I$9^2*$C$11)*NORMSINV(H265))&lt;I$8,I$5+SQRT(NORMSDIST(I$9*SQRT($C$11)*NORMSINV($B265)+SQRT(1-I$9^2*$C$11)*NORMSINV(H265))*(I$7-I$5)*(I$6-I$5)),I$7-SQRT((1-NORMSDIST(I$9*SQRT($C$11)*NORMSINV($B265)+SQRT(1-I$9^2*$C$11)*NORMSINV(H265)))*(I$7-I$5)*(I$7-I$6))))</f>
        <v>200.231388250769</v>
      </c>
      <c r="J265" s="2" t="n">
        <v>0.503982622</v>
      </c>
      <c r="K265" s="2" t="n">
        <f aca="false">IF(K$7=K$5,K$6,IF(NORMSDIST(K$9*SQRT($C$11)*NORMSINV($B265)+SQRT(1-K$9^2*$C$11)*NORMSINV(J265))&lt;K$8,K$5+SQRT(NORMSDIST(K$9*SQRT($C$11)*NORMSINV($B265)+SQRT(1-K$9^2*$C$11)*NORMSINV(J265))*(K$7-K$5)*(K$6-K$5)),K$7-SQRT((1-NORMSDIST(K$9*SQRT($C$11)*NORMSINV($B265)+SQRT(1-K$9^2*$C$11)*NORMSINV(J265)))*(K$7-K$5)*(K$7-K$6))))</f>
        <v>0.2723962836587</v>
      </c>
      <c r="L265" s="2" t="n">
        <v>0.918249055</v>
      </c>
      <c r="M265" s="2" t="n">
        <f aca="false">IF(M$7=M$5,M$6,IF(NORMSDIST(M$9*SQRT($C$11)*NORMSINV($B265)+SQRT(1-M$9^2*$C$11)*NORMSINV(L265))&lt;M$8,M$5+SQRT(NORMSDIST(M$9*SQRT($C$11)*NORMSINV($B265)+SQRT(1-M$9^2*$C$11)*NORMSINV(L265))*(M$7-M$5)*(M$6-M$5)),M$7-SQRT((1-NORMSDIST(M$9*SQRT($C$11)*NORMSINV($B265)+SQRT(1-M$9^2*$C$11)*NORMSINV(L265)))*(M$7-M$5)*(M$7-M$6))))</f>
        <v>1703.16086748789</v>
      </c>
      <c r="N265" s="2" t="n">
        <v>0.604818398</v>
      </c>
      <c r="O265" s="2" t="n">
        <f aca="false">IF(O$7=O$5,O$6,IF(NORMSDIST(O$9*SQRT($C$11)*NORMSINV($B265)+SQRT(1-O$9^2*$C$11)*NORMSINV(N265))&lt;O$8,O$5+SQRT(NORMSDIST(O$9*SQRT($C$11)*NORMSINV($B265)+SQRT(1-O$9^2*$C$11)*NORMSINV(N265))*(O$7-O$5)*(O$6-O$5)),O$7-SQRT((1-NORMSDIST(O$9*SQRT($C$11)*NORMSINV($B265)+SQRT(1-O$9^2*$C$11)*NORMSINV(N265)))*(O$7-O$5)*(O$7-O$6))))</f>
        <v>0.170988854387164</v>
      </c>
      <c r="P265" s="2" t="n">
        <v>0.306213146</v>
      </c>
      <c r="Q265" s="2" t="n">
        <f aca="false">IF(Q$7=Q$5,Q$6,IF(NORMSDIST(Q$9*SQRT($C$11)*NORMSINV($B265)+SQRT(1-Q$9^2*$C$11)*NORMSINV(P265))&lt;Q$8,Q$5+SQRT(NORMSDIST(Q$9*SQRT($C$11)*NORMSINV($B265)+SQRT(1-Q$9^2*$C$11)*NORMSINV(P265))*(Q$7-Q$5)*(Q$6-Q$5)),Q$7-SQRT((1-NORMSDIST(Q$9*SQRT($C$11)*NORMSINV($B265)+SQRT(1-Q$9^2*$C$11)*NORMSINV(P265)))*(Q$7-Q$5)*(Q$7-Q$6))))</f>
        <v>0.0713030680157712</v>
      </c>
      <c r="R265" s="2" t="n">
        <v>0.495197099</v>
      </c>
      <c r="S265" s="2" t="n">
        <f aca="false">IF(S$7=S$5,S$6,IF(NORMSDIST(S$9*SQRT($C$11)*NORMSINV($B265)+SQRT(1-S$9^2*$C$11)*NORMSINV(R265))&lt;S$8,S$5+SQRT(NORMSDIST(S$9*SQRT($C$11)*NORMSINV($B265)+SQRT(1-S$9^2*$C$11)*NORMSINV(R265))*(S$7-S$5)*(S$6-S$5)),S$7-SQRT((1-NORMSDIST(S$9*SQRT($C$11)*NORMSINV($B265)+SQRT(1-S$9^2*$C$11)*NORMSINV(R265)))*(S$7-S$5)*(S$7-S$6))))</f>
        <v>0.541149382479434</v>
      </c>
      <c r="T265" s="2" t="n">
        <v>0.632611514</v>
      </c>
      <c r="U265" s="2" t="n">
        <f aca="false">IF(U$7=U$5,U$6,IF(NORMSDIST(U$9*SQRT($C$11)*NORMSINV($B265)+SQRT(1-U$9^2*$C$11)*NORMSINV(T265))&lt;U$8,U$5+SQRT(NORMSDIST(U$9*SQRT($C$11)*NORMSINV($B265)+SQRT(1-U$9^2*$C$11)*NORMSINV(T265))*(U$7-U$5)*(U$6-U$5)),U$7-SQRT((1-NORMSDIST(U$9*SQRT($C$11)*NORMSINV($B265)+SQRT(1-U$9^2*$C$11)*NORMSINV(T265)))*(U$7-U$5)*(U$7-U$6))))</f>
        <v>0.600705183641651</v>
      </c>
      <c r="V265" s="2" t="n">
        <v>0.180061696</v>
      </c>
      <c r="W265" s="2" t="n">
        <f aca="false">IF(W$7=W$5,W$6,IF(NORMSDIST(W$9*SQRT($C$11)*NORMSINV($B265)+SQRT(1-W$9^2*$C$11)*NORMSINV(V265))&lt;W$8,W$5+SQRT(NORMSDIST(W$9*SQRT($C$11)*NORMSINV($B265)+SQRT(1-W$9^2*$C$11)*NORMSINV(V265))*(W$7-W$5)*(W$6-W$5)),W$7-SQRT((1-NORMSDIST(W$9*SQRT($C$11)*NORMSINV($B265)+SQRT(1-W$9^2*$C$11)*NORMSINV(V265)))*(W$7-W$5)*(W$7-W$6))))</f>
        <v>9.57070647940737</v>
      </c>
      <c r="X265" s="2" t="n">
        <v>0.363527369</v>
      </c>
      <c r="Y265" s="2" t="n">
        <f aca="false">IF(Y$7=Y$5,Y$6,IF(NORMSDIST(Y$9*SQRT($C$11)*NORMSINV($B265)+SQRT(1-Y$9^2*$C$11)*NORMSINV(X265))&lt;Y$8,Y$5+SQRT(NORMSDIST(Y$9*SQRT($C$11)*NORMSINV($B265)+SQRT(1-Y$9^2*$C$11)*NORMSINV(X265))*(Y$7-Y$5)*(Y$6-Y$5)),Y$7-SQRT((1-NORMSDIST(Y$9*SQRT($C$11)*NORMSINV($B265)+SQRT(1-Y$9^2*$C$11)*NORMSINV(X265)))*(Y$7-Y$5)*(Y$7-Y$6))))</f>
        <v>0.426337524151933</v>
      </c>
      <c r="Z265" s="2" t="n">
        <v>0.924568031</v>
      </c>
      <c r="AA265" s="2" t="n">
        <f aca="false">IF(AA$7=AA$5,AA$6,IF(NORMSDIST(AA$9*SQRT($C$11)*NORMSINV($B265)+SQRT(1-AA$9^2*$C$11)*NORMSINV(Z265))&lt;AA$8,AA$5+SQRT(NORMSDIST(AA$9*SQRT($C$11)*NORMSINV($B265)+SQRT(1-AA$9^2*$C$11)*NORMSINV(Z265))*(AA$7-AA$5)*(AA$6-AA$5)),AA$7-SQRT((1-NORMSDIST(AA$9*SQRT($C$11)*NORMSINV($B265)+SQRT(1-AA$9^2*$C$11)*NORMSINV(Z265)))*(AA$7-AA$5)*(AA$7-AA$6))))</f>
        <v>0.742924212348457</v>
      </c>
      <c r="AB265" s="2" t="n">
        <v>0.064027589</v>
      </c>
      <c r="AC265" s="2" t="n">
        <f aca="false">IF(AC$7=AC$5,AC$6,IF(NORMSDIST(AC$9*SQRT($C$11)*NORMSINV($B265)+SQRT(1-AC$9^2*$C$11)*NORMSINV(AB265))&lt;AC$8,AC$5+SQRT(NORMSDIST(AC$9*SQRT($C$11)*NORMSINV($B265)+SQRT(1-AC$9^2*$C$11)*NORMSINV(AB265))*(AC$7-AC$5)*(AC$6-AC$5)),AC$7-SQRT((1-NORMSDIST(AC$9*SQRT($C$11)*NORMSINV($B265)+SQRT(1-AC$9^2*$C$11)*NORMSINV(AB265)))*(AC$7-AC$5)*(AC$7-AC$6))))</f>
        <v>8.59736095955357</v>
      </c>
      <c r="AD265" s="2" t="n">
        <f aca="false">Entrées!$C$8*(1+E265)</f>
        <v>7431.50728171053</v>
      </c>
      <c r="AE265" s="2" t="n">
        <f aca="false">I265*Hypothèses!$J$24/12/Hypothèses!$J$19</f>
        <v>99.3341508457171</v>
      </c>
      <c r="AF265" s="2" t="n">
        <f aca="false">Entrées!$C$36*S265*1000</f>
        <v>270.574691239717</v>
      </c>
      <c r="AG265" s="2" t="n">
        <f aca="false">-AF265/W265</f>
        <v>-28.2711304355529</v>
      </c>
      <c r="AH265" s="2" t="n">
        <f aca="false">AD265+AE265+AG265</f>
        <v>7502.57030212069</v>
      </c>
      <c r="AI265" s="2" t="n">
        <f aca="false">Entrées!$C$16-M265+Hypothèses!$J$22*1000-AF265+Hypothèses!$J$23</f>
        <v>22574.2644412724</v>
      </c>
      <c r="AJ265" s="2" t="n">
        <f aca="false">AI265/AH265</f>
        <v>3.00887076458204</v>
      </c>
      <c r="AK265" s="2" t="n">
        <f aca="false">AI265/(AH265+I265*(12-Hypothèses!$J$24)/12/Hypothèses!$J$19)</f>
        <v>2.98068199507667</v>
      </c>
      <c r="AL265" s="2" t="n">
        <f aca="false">(AD265+AG265+I265/Hypothèses!$J$19)*(1+G265)</f>
        <v>8027.83465129366</v>
      </c>
      <c r="AM265" s="2" t="n">
        <f aca="false">Entrées!$C$54*K265/Hypothèses!$J$19</f>
        <v>27.7991844654566</v>
      </c>
      <c r="AN265" s="2" t="n">
        <f aca="false">Y265*1000/AC265</f>
        <v>49.5893479589429</v>
      </c>
      <c r="AO265" s="2" t="n">
        <f aca="false">(Entrées!$C$36*(1-S265)+MAX(0,Entrées!$C$30-Entrées!$C$35-Entrées!$C$36)*U265)*1000</f>
        <v>1070.41256585859</v>
      </c>
      <c r="AP265" s="2" t="n">
        <f aca="false">-AO265/W265</f>
        <v>-111.842586350519</v>
      </c>
      <c r="AQ265" s="2" t="n">
        <f aca="false">AL265+AM265+AN265+AP265</f>
        <v>7993.38059736754</v>
      </c>
      <c r="AR265" s="2" t="n">
        <f aca="false">O265*AQ265-Hypothèses!$J$25/Hypothèses!$J$19</f>
        <v>1347.64382876283</v>
      </c>
      <c r="AS265" s="2" t="n">
        <f aca="false">Entrées!$C$79*(1+Q265)+Hypothèses!$J$20</f>
        <v>1472.36207174933</v>
      </c>
      <c r="AT265" s="2" t="n">
        <f aca="false">AI265-AR265+AS265+Y265*1000-AO265+Hypothèses!$J$23</f>
        <v>22054.9076425522</v>
      </c>
      <c r="AU265" s="2" t="n">
        <f aca="false">AT265/AQ265</f>
        <v>2.75914644297252</v>
      </c>
      <c r="AV265" s="2" t="n">
        <f aca="false">Hypothèses!$J$26*AQ265-AT265</f>
        <v>1925.23414955039</v>
      </c>
      <c r="AW265" s="2" t="n">
        <f aca="false">IF(AC265&gt;Hypothèses!$J$26,MAX(0,AV265)/(1-Hypothèses!$J$26/AC265),0)</f>
        <v>2957.09585909284</v>
      </c>
      <c r="AX265" s="2" t="n">
        <f aca="false">AQ265-Entrées!$C$17*1000</f>
        <v>-6.61940263246197</v>
      </c>
      <c r="AY265" s="2" t="n">
        <f aca="false">AI265+(Entrées!$C$244-Entrées!$C$13)</f>
        <v>28321.2644412724</v>
      </c>
      <c r="AZ265" s="2" t="n">
        <f aca="false">AA265*AH265</f>
        <v>5573.84113229194</v>
      </c>
      <c r="BA265" s="2" t="n">
        <f aca="false">AZ265/AY265</f>
        <v>0.196807637026588</v>
      </c>
      <c r="BB265" s="2" t="n">
        <f aca="false">AZ265/(Entrées!$C$151/100)-AY265</f>
        <v>2644.51962701618</v>
      </c>
      <c r="BC265" s="2" t="n">
        <f aca="false">AT265+(Entrées!$C$244-Entrées!$C$13)</f>
        <v>27801.9076425522</v>
      </c>
      <c r="BD265" s="2" t="n">
        <f aca="false">AA265*AQ265</f>
        <v>5938.47598430072</v>
      </c>
      <c r="BE265" s="2" t="n">
        <f aca="false">BD265/BC265</f>
        <v>0.213599586785605</v>
      </c>
      <c r="BF265" s="2" t="n">
        <f aca="false">BD265/(Entrées!$C$151/100)-BC265</f>
        <v>5189.62560356288</v>
      </c>
      <c r="BG265" s="2" t="n">
        <f aca="false">MIN(AV265,BF265)</f>
        <v>1925.23414955039</v>
      </c>
      <c r="BH265" s="2" t="n">
        <f aca="false">IF(AC265&gt;Hypothèses!$J$26,MAX(0,BG265)/(1-Hypothèses!$J$26/AC265),0)</f>
        <v>2957.09585909284</v>
      </c>
    </row>
    <row r="266" customFormat="false" ht="15" hidden="false" customHeight="false" outlineLevel="0" collapsed="false">
      <c r="A266" s="2" t="n">
        <v>251</v>
      </c>
      <c r="B266" s="2" t="n">
        <v>0.425060331</v>
      </c>
      <c r="C266" s="2"/>
      <c r="D266" s="2" t="n">
        <v>0.096689212</v>
      </c>
      <c r="E266" s="2" t="n">
        <f aca="false">IF(E$7=E$5,E$6,IF(NORMSDIST(E$9*SQRT($C$11)*NORMSINV($B266)+SQRT(1-E$9^2*$C$11)*NORMSINV(D266))&lt;E$8,E$5+SQRT(NORMSDIST(E$9*SQRT($C$11)*NORMSINV($B266)+SQRT(1-E$9^2*$C$11)*NORMSINV(D266))*(E$7-E$5)*(E$6-E$5)),E$7-SQRT((1-NORMSDIST(E$9*SQRT($C$11)*NORMSINV($B266)+SQRT(1-E$9^2*$C$11)*NORMSINV(D266)))*(E$7-E$5)*(E$7-E$6))))</f>
        <v>0.0525482666236172</v>
      </c>
      <c r="F266" s="2" t="n">
        <v>0.913524941</v>
      </c>
      <c r="G266" s="2" t="n">
        <f aca="false">IF(G$7=G$5,G$6,IF(NORMSDIST(G$9*SQRT($C$11)*NORMSINV($B266)+SQRT(1-G$9^2*$C$11)*NORMSINV(F266))&lt;G$8,G$5+SQRT(NORMSDIST(G$9*SQRT($C$11)*NORMSINV($B266)+SQRT(1-G$9^2*$C$11)*NORMSINV(F266))*(G$7-G$5)*(G$6-G$5)),G$7-SQRT((1-NORMSDIST(G$9*SQRT($C$11)*NORMSINV($B266)+SQRT(1-G$9^2*$C$11)*NORMSINV(F266)))*(G$7-G$5)*(G$7-G$6))))</f>
        <v>0.0611357361555023</v>
      </c>
      <c r="H266" s="2" t="n">
        <v>0.435970877</v>
      </c>
      <c r="I266" s="2" t="n">
        <f aca="false">IF(I$7=I$5,I$6,IF(NORMSDIST(I$9*SQRT($C$11)*NORMSINV($B266)+SQRT(1-I$9^2*$C$11)*NORMSINV(H266))&lt;I$8,I$5+SQRT(NORMSDIST(I$9*SQRT($C$11)*NORMSINV($B266)+SQRT(1-I$9^2*$C$11)*NORMSINV(H266))*(I$7-I$5)*(I$6-I$5)),I$7-SQRT((1-NORMSDIST(I$9*SQRT($C$11)*NORMSINV($B266)+SQRT(1-I$9^2*$C$11)*NORMSINV(H266)))*(I$7-I$5)*(I$7-I$6))))</f>
        <v>197.966008226749</v>
      </c>
      <c r="J266" s="2" t="n">
        <v>0.881645977</v>
      </c>
      <c r="K266" s="2" t="n">
        <f aca="false">IF(K$7=K$5,K$6,IF(NORMSDIST(K$9*SQRT($C$11)*NORMSINV($B266)+SQRT(1-K$9^2*$C$11)*NORMSINV(J266))&lt;K$8,K$5+SQRT(NORMSDIST(K$9*SQRT($C$11)*NORMSINV($B266)+SQRT(1-K$9^2*$C$11)*NORMSINV(J266))*(K$7-K$5)*(K$6-K$5)),K$7-SQRT((1-NORMSDIST(K$9*SQRT($C$11)*NORMSINV($B266)+SQRT(1-K$9^2*$C$11)*NORMSINV(J266)))*(K$7-K$5)*(K$7-K$6))))</f>
        <v>0.336937250525701</v>
      </c>
      <c r="L266" s="2" t="n">
        <v>0.612115213</v>
      </c>
      <c r="M266" s="2" t="n">
        <f aca="false">IF(M$7=M$5,M$6,IF(NORMSDIST(M$9*SQRT($C$11)*NORMSINV($B266)+SQRT(1-M$9^2*$C$11)*NORMSINV(L266))&lt;M$8,M$5+SQRT(NORMSDIST(M$9*SQRT($C$11)*NORMSINV($B266)+SQRT(1-M$9^2*$C$11)*NORMSINV(L266))*(M$7-M$5)*(M$6-M$5)),M$7-SQRT((1-NORMSDIST(M$9*SQRT($C$11)*NORMSINV($B266)+SQRT(1-M$9^2*$C$11)*NORMSINV(L266)))*(M$7-M$5)*(M$7-M$6))))</f>
        <v>1596.49412043356</v>
      </c>
      <c r="N266" s="2" t="n">
        <v>0.829534336</v>
      </c>
      <c r="O266" s="2" t="n">
        <f aca="false">IF(O$7=O$5,O$6,IF(NORMSDIST(O$9*SQRT($C$11)*NORMSINV($B266)+SQRT(1-O$9^2*$C$11)*NORMSINV(N266))&lt;O$8,O$5+SQRT(NORMSDIST(O$9*SQRT($C$11)*NORMSINV($B266)+SQRT(1-O$9^2*$C$11)*NORMSINV(N266))*(O$7-O$5)*(O$6-O$5)),O$7-SQRT((1-NORMSDIST(O$9*SQRT($C$11)*NORMSINV($B266)+SQRT(1-O$9^2*$C$11)*NORMSINV(N266)))*(O$7-O$5)*(O$7-O$6))))</f>
        <v>0.173096749983596</v>
      </c>
      <c r="P266" s="2" t="n">
        <v>0.77010098</v>
      </c>
      <c r="Q266" s="2" t="n">
        <f aca="false">IF(Q$7=Q$5,Q$6,IF(NORMSDIST(Q$9*SQRT($C$11)*NORMSINV($B266)+SQRT(1-Q$9^2*$C$11)*NORMSINV(P266))&lt;Q$8,Q$5+SQRT(NORMSDIST(Q$9*SQRT($C$11)*NORMSINV($B266)+SQRT(1-Q$9^2*$C$11)*NORMSINV(P266))*(Q$7-Q$5)*(Q$6-Q$5)),Q$7-SQRT((1-NORMSDIST(Q$9*SQRT($C$11)*NORMSINV($B266)+SQRT(1-Q$9^2*$C$11)*NORMSINV(P266)))*(Q$7-Q$5)*(Q$7-Q$6))))</f>
        <v>0.0928766361968137</v>
      </c>
      <c r="R266" s="2" t="n">
        <v>0.43373936</v>
      </c>
      <c r="S266" s="2" t="n">
        <f aca="false">IF(S$7=S$5,S$6,IF(NORMSDIST(S$9*SQRT($C$11)*NORMSINV($B266)+SQRT(1-S$9^2*$C$11)*NORMSINV(R266))&lt;S$8,S$5+SQRT(NORMSDIST(S$9*SQRT($C$11)*NORMSINV($B266)+SQRT(1-S$9^2*$C$11)*NORMSINV(R266))*(S$7-S$5)*(S$6-S$5)),S$7-SQRT((1-NORMSDIST(S$9*SQRT($C$11)*NORMSINV($B266)+SQRT(1-S$9^2*$C$11)*NORMSINV(R266)))*(S$7-S$5)*(S$7-S$6))))</f>
        <v>0.44820326368806</v>
      </c>
      <c r="T266" s="2" t="n">
        <v>0.564316352</v>
      </c>
      <c r="U266" s="2" t="n">
        <f aca="false">IF(U$7=U$5,U$6,IF(NORMSDIST(U$9*SQRT($C$11)*NORMSINV($B266)+SQRT(1-U$9^2*$C$11)*NORMSINV(T266))&lt;U$8,U$5+SQRT(NORMSDIST(U$9*SQRT($C$11)*NORMSINV($B266)+SQRT(1-U$9^2*$C$11)*NORMSINV(T266))*(U$7-U$5)*(U$6-U$5)),U$7-SQRT((1-NORMSDIST(U$9*SQRT($C$11)*NORMSINV($B266)+SQRT(1-U$9^2*$C$11)*NORMSINV(T266)))*(U$7-U$5)*(U$7-U$6))))</f>
        <v>0.501180780069821</v>
      </c>
      <c r="V266" s="2" t="n">
        <v>0.768967574</v>
      </c>
      <c r="W266" s="2" t="n">
        <f aca="false">IF(W$7=W$5,W$6,IF(NORMSDIST(W$9*SQRT($C$11)*NORMSINV($B266)+SQRT(1-W$9^2*$C$11)*NORMSINV(V266))&lt;W$8,W$5+SQRT(NORMSDIST(W$9*SQRT($C$11)*NORMSINV($B266)+SQRT(1-W$9^2*$C$11)*NORMSINV(V266))*(W$7-W$5)*(W$6-W$5)),W$7-SQRT((1-NORMSDIST(W$9*SQRT($C$11)*NORMSINV($B266)+SQRT(1-W$9^2*$C$11)*NORMSINV(V266)))*(W$7-W$5)*(W$7-W$6))))</f>
        <v>10.3843384782935</v>
      </c>
      <c r="X266" s="2" t="n">
        <v>0.94272843</v>
      </c>
      <c r="Y266" s="2" t="n">
        <f aca="false">IF(Y$7=Y$5,Y$6,IF(NORMSDIST(Y$9*SQRT($C$11)*NORMSINV($B266)+SQRT(1-Y$9^2*$C$11)*NORMSINV(X266))&lt;Y$8,Y$5+SQRT(NORMSDIST(Y$9*SQRT($C$11)*NORMSINV($B266)+SQRT(1-Y$9^2*$C$11)*NORMSINV(X266))*(Y$7-Y$5)*(Y$6-Y$5)),Y$7-SQRT((1-NORMSDIST(Y$9*SQRT($C$11)*NORMSINV($B266)+SQRT(1-Y$9^2*$C$11)*NORMSINV(X266)))*(Y$7-Y$5)*(Y$7-Y$6))))</f>
        <v>0.830778887251029</v>
      </c>
      <c r="Z266" s="2" t="n">
        <v>0.623524857</v>
      </c>
      <c r="AA266" s="2" t="n">
        <f aca="false">IF(AA$7=AA$5,AA$6,IF(NORMSDIST(AA$9*SQRT($C$11)*NORMSINV($B266)+SQRT(1-AA$9^2*$C$11)*NORMSINV(Z266))&lt;AA$8,AA$5+SQRT(NORMSDIST(AA$9*SQRT($C$11)*NORMSINV($B266)+SQRT(1-AA$9^2*$C$11)*NORMSINV(Z266))*(AA$7-AA$5)*(AA$6-AA$5)),AA$7-SQRT((1-NORMSDIST(AA$9*SQRT($C$11)*NORMSINV($B266)+SQRT(1-AA$9^2*$C$11)*NORMSINV(Z266)))*(AA$7-AA$5)*(AA$7-AA$6))))</f>
        <v>0.729632103141704</v>
      </c>
      <c r="AB266" s="2" t="n">
        <v>0.281926402</v>
      </c>
      <c r="AC266" s="2" t="n">
        <f aca="false">IF(AC$7=AC$5,AC$6,IF(NORMSDIST(AC$9*SQRT($C$11)*NORMSINV($B266)+SQRT(1-AC$9^2*$C$11)*NORMSINV(AB266))&lt;AC$8,AC$5+SQRT(NORMSDIST(AC$9*SQRT($C$11)*NORMSINV($B266)+SQRT(1-AC$9^2*$C$11)*NORMSINV(AB266))*(AC$7-AC$5)*(AC$6-AC$5)),AC$7-SQRT((1-NORMSDIST(AC$9*SQRT($C$11)*NORMSINV($B266)+SQRT(1-AC$9^2*$C$11)*NORMSINV(AB266)))*(AC$7-AC$5)*(AC$7-AC$6))))</f>
        <v>8.97060389948406</v>
      </c>
      <c r="AD266" s="2" t="n">
        <f aca="false">Entrées!$C$8*(1+E266)</f>
        <v>7420.4652796965</v>
      </c>
      <c r="AE266" s="2" t="n">
        <f aca="false">I266*Hypothèses!$J$24/12/Hypothèses!$J$19</f>
        <v>98.2103030664315</v>
      </c>
      <c r="AF266" s="2" t="n">
        <f aca="false">Entrées!$C$36*S266*1000</f>
        <v>224.10163184403</v>
      </c>
      <c r="AG266" s="2" t="n">
        <f aca="false">-AF266/W266</f>
        <v>-21.5807325919193</v>
      </c>
      <c r="AH266" s="2" t="n">
        <f aca="false">AD266+AE266+AG266</f>
        <v>7497.09485017101</v>
      </c>
      <c r="AI266" s="2" t="n">
        <f aca="false">Entrées!$C$16-M266+Hypothèses!$J$22*1000-AF266+Hypothèses!$J$23</f>
        <v>22727.4042477224</v>
      </c>
      <c r="AJ266" s="2" t="n">
        <f aca="false">AI266/AH266</f>
        <v>3.03149482591967</v>
      </c>
      <c r="AK266" s="2" t="n">
        <f aca="false">AI266/(AH266+I266*(12-Hypothèses!$J$24)/12/Hypothèses!$J$19)</f>
        <v>3.00339212587345</v>
      </c>
      <c r="AL266" s="2" t="n">
        <f aca="false">(AD266+AG266+I266/Hypothèses!$J$19)*(1+G266)</f>
        <v>8029.8741644656</v>
      </c>
      <c r="AM266" s="2" t="n">
        <f aca="false">Entrées!$C$54*K266/Hypothèses!$J$19</f>
        <v>34.3858611242421</v>
      </c>
      <c r="AN266" s="2" t="n">
        <f aca="false">Y266*1000/AC266</f>
        <v>92.6112552242788</v>
      </c>
      <c r="AO266" s="2" t="n">
        <f aca="false">(Entrées!$C$36*(1-S266)+MAX(0,Entrées!$C$30-Entrées!$C$35-Entrées!$C$36)*U266)*1000</f>
        <v>977.551460253719</v>
      </c>
      <c r="AP266" s="2" t="n">
        <f aca="false">-AO266/W266</f>
        <v>-94.1370952321235</v>
      </c>
      <c r="AQ266" s="2" t="n">
        <f aca="false">AL266+AM266+AN266+AP266</f>
        <v>8062.73418558199</v>
      </c>
      <c r="AR266" s="2" t="n">
        <f aca="false">O266*AQ266-Hypothèses!$J$25/Hypothèses!$J$19</f>
        <v>1376.49792124425</v>
      </c>
      <c r="AS266" s="2" t="n">
        <f aca="false">Entrées!$C$79*(1+Q266)+Hypothèses!$J$20</f>
        <v>1496.0714231803</v>
      </c>
      <c r="AT266" s="2" t="n">
        <f aca="false">AI266-AR266+AS266+Y266*1000-AO266+Hypothèses!$J$23</f>
        <v>22700.2051766558</v>
      </c>
      <c r="AU266" s="2" t="n">
        <f aca="false">AT266/AQ266</f>
        <v>2.81544754597627</v>
      </c>
      <c r="AV266" s="2" t="n">
        <f aca="false">Hypothèses!$J$26*AQ266-AT266</f>
        <v>1487.99738009022</v>
      </c>
      <c r="AW266" s="2" t="n">
        <f aca="false">IF(AC266&gt;Hypothèses!$J$26,MAX(0,AV266)/(1-Hypothèses!$J$26/AC266),0)</f>
        <v>2235.65912677825</v>
      </c>
      <c r="AX266" s="2" t="n">
        <f aca="false">AQ266-Entrées!$C$17*1000</f>
        <v>62.7341855819932</v>
      </c>
      <c r="AY266" s="2" t="n">
        <f aca="false">AI266+(Entrées!$C$244-Entrées!$C$13)</f>
        <v>28474.4042477224</v>
      </c>
      <c r="AZ266" s="2" t="n">
        <f aca="false">AA266*AH266</f>
        <v>5470.12108298311</v>
      </c>
      <c r="BA266" s="2" t="n">
        <f aca="false">AZ266/AY266</f>
        <v>0.192106603368906</v>
      </c>
      <c r="BB266" s="2" t="n">
        <f aca="false">AZ266/(Entrées!$C$151/100)-AY266</f>
        <v>1915.15732440601</v>
      </c>
      <c r="BC266" s="2" t="n">
        <f aca="false">AT266+(Entrées!$C$244-Entrées!$C$13)</f>
        <v>28447.2051766558</v>
      </c>
      <c r="BD266" s="2" t="n">
        <f aca="false">AA266*AQ266</f>
        <v>5882.8297008987</v>
      </c>
      <c r="BE266" s="2" t="n">
        <f aca="false">BD266/BC266</f>
        <v>0.206798160464855</v>
      </c>
      <c r="BF266" s="2" t="n">
        <f aca="false">BD266/(Entrées!$C$151/100)-BC266</f>
        <v>4235.18205055926</v>
      </c>
      <c r="BG266" s="2" t="n">
        <f aca="false">MIN(AV266,BF266)</f>
        <v>1487.99738009022</v>
      </c>
      <c r="BH266" s="2" t="n">
        <f aca="false">IF(AC266&gt;Hypothèses!$J$26,MAX(0,BG266)/(1-Hypothèses!$J$26/AC266),0)</f>
        <v>2235.65912677825</v>
      </c>
    </row>
    <row r="267" customFormat="false" ht="15" hidden="false" customHeight="false" outlineLevel="0" collapsed="false">
      <c r="A267" s="2" t="n">
        <v>252</v>
      </c>
      <c r="B267" s="2" t="n">
        <v>0.760598639</v>
      </c>
      <c r="C267" s="2"/>
      <c r="D267" s="2" t="n">
        <v>0.629889232</v>
      </c>
      <c r="E267" s="2" t="n">
        <f aca="false">IF(E$7=E$5,E$6,IF(NORMSDIST(E$9*SQRT($C$11)*NORMSINV($B267)+SQRT(1-E$9^2*$C$11)*NORMSINV(D267))&lt;E$8,E$5+SQRT(NORMSDIST(E$9*SQRT($C$11)*NORMSINV($B267)+SQRT(1-E$9^2*$C$11)*NORMSINV(D267))*(E$7-E$5)*(E$6-E$5)),E$7-SQRT((1-NORMSDIST(E$9*SQRT($C$11)*NORMSINV($B267)+SQRT(1-E$9^2*$C$11)*NORMSINV(D267)))*(E$7-E$5)*(E$7-E$6))))</f>
        <v>0.0565324126581492</v>
      </c>
      <c r="F267" s="2" t="n">
        <v>0.782347244</v>
      </c>
      <c r="G267" s="2" t="n">
        <f aca="false">IF(G$7=G$5,G$6,IF(NORMSDIST(G$9*SQRT($C$11)*NORMSINV($B267)+SQRT(1-G$9^2*$C$11)*NORMSINV(F267))&lt;G$8,G$5+SQRT(NORMSDIST(G$9*SQRT($C$11)*NORMSINV($B267)+SQRT(1-G$9^2*$C$11)*NORMSINV(F267))*(G$7-G$5)*(G$6-G$5)),G$7-SQRT((1-NORMSDIST(G$9*SQRT($C$11)*NORMSINV($B267)+SQRT(1-G$9^2*$C$11)*NORMSINV(F267)))*(G$7-G$5)*(G$7-G$6))))</f>
        <v>0.0618847647969278</v>
      </c>
      <c r="H267" s="2" t="n">
        <v>0.187024724</v>
      </c>
      <c r="I267" s="2" t="n">
        <f aca="false">IF(I$7=I$5,I$6,IF(NORMSDIST(I$9*SQRT($C$11)*NORMSINV($B267)+SQRT(1-I$9^2*$C$11)*NORMSINV(H267))&lt;I$8,I$5+SQRT(NORMSDIST(I$9*SQRT($C$11)*NORMSINV($B267)+SQRT(1-I$9^2*$C$11)*NORMSINV(H267))*(I$7-I$5)*(I$6-I$5)),I$7-SQRT((1-NORMSDIST(I$9*SQRT($C$11)*NORMSINV($B267)+SQRT(1-I$9^2*$C$11)*NORMSINV(H267)))*(I$7-I$5)*(I$7-I$6))))</f>
        <v>197.998278366765</v>
      </c>
      <c r="J267" s="2" t="n">
        <v>0.430632883</v>
      </c>
      <c r="K267" s="2" t="n">
        <f aca="false">IF(K$7=K$5,K$6,IF(NORMSDIST(K$9*SQRT($C$11)*NORMSINV($B267)+SQRT(1-K$9^2*$C$11)*NORMSINV(J267))&lt;K$8,K$5+SQRT(NORMSDIST(K$9*SQRT($C$11)*NORMSINV($B267)+SQRT(1-K$9^2*$C$11)*NORMSINV(J267))*(K$7-K$5)*(K$6-K$5)),K$7-SQRT((1-NORMSDIST(K$9*SQRT($C$11)*NORMSINV($B267)+SQRT(1-K$9^2*$C$11)*NORMSINV(J267)))*(K$7-K$5)*(K$7-K$6))))</f>
        <v>0.28282776522646</v>
      </c>
      <c r="L267" s="2" t="n">
        <v>0.282168951</v>
      </c>
      <c r="M267" s="2" t="n">
        <f aca="false">IF(M$7=M$5,M$6,IF(NORMSDIST(M$9*SQRT($C$11)*NORMSINV($B267)+SQRT(1-M$9^2*$C$11)*NORMSINV(L267))&lt;M$8,M$5+SQRT(NORMSDIST(M$9*SQRT($C$11)*NORMSINV($B267)+SQRT(1-M$9^2*$C$11)*NORMSINV(L267))*(M$7-M$5)*(M$6-M$5)),M$7-SQRT((1-NORMSDIST(M$9*SQRT($C$11)*NORMSINV($B267)+SQRT(1-M$9^2*$C$11)*NORMSINV(L267)))*(M$7-M$5)*(M$7-M$6))))</f>
        <v>1585.51291845604</v>
      </c>
      <c r="N267" s="2" t="n">
        <v>0.922969761</v>
      </c>
      <c r="O267" s="2" t="n">
        <f aca="false">IF(O$7=O$5,O$6,IF(NORMSDIST(O$9*SQRT($C$11)*NORMSINV($B267)+SQRT(1-O$9^2*$C$11)*NORMSINV(N267))&lt;O$8,O$5+SQRT(NORMSDIST(O$9*SQRT($C$11)*NORMSINV($B267)+SQRT(1-O$9^2*$C$11)*NORMSINV(N267))*(O$7-O$5)*(O$6-O$5)),O$7-SQRT((1-NORMSDIST(O$9*SQRT($C$11)*NORMSINV($B267)+SQRT(1-O$9^2*$C$11)*NORMSINV(N267)))*(O$7-O$5)*(O$7-O$6))))</f>
        <v>0.181983408294246</v>
      </c>
      <c r="P267" s="2" t="n">
        <v>0.342356484</v>
      </c>
      <c r="Q267" s="2" t="n">
        <f aca="false">IF(Q$7=Q$5,Q$6,IF(NORMSDIST(Q$9*SQRT($C$11)*NORMSINV($B267)+SQRT(1-Q$9^2*$C$11)*NORMSINV(P267))&lt;Q$8,Q$5+SQRT(NORMSDIST(Q$9*SQRT($C$11)*NORMSINV($B267)+SQRT(1-Q$9^2*$C$11)*NORMSINV(P267))*(Q$7-Q$5)*(Q$6-Q$5)),Q$7-SQRT((1-NORMSDIST(Q$9*SQRT($C$11)*NORMSINV($B267)+SQRT(1-Q$9^2*$C$11)*NORMSINV(P267)))*(Q$7-Q$5)*(Q$7-Q$6))))</f>
        <v>0.0730989538928347</v>
      </c>
      <c r="R267" s="2" t="n">
        <v>0.792619789</v>
      </c>
      <c r="S267" s="2" t="n">
        <f aca="false">IF(S$7=S$5,S$6,IF(NORMSDIST(S$9*SQRT($C$11)*NORMSINV($B267)+SQRT(1-S$9^2*$C$11)*NORMSINV(R267))&lt;S$8,S$5+SQRT(NORMSDIST(S$9*SQRT($C$11)*NORMSINV($B267)+SQRT(1-S$9^2*$C$11)*NORMSINV(R267))*(S$7-S$5)*(S$6-S$5)),S$7-SQRT((1-NORMSDIST(S$9*SQRT($C$11)*NORMSINV($B267)+SQRT(1-S$9^2*$C$11)*NORMSINV(R267)))*(S$7-S$5)*(S$7-S$6))))</f>
        <v>0.735282426821543</v>
      </c>
      <c r="T267" s="2" t="n">
        <v>0.951831339</v>
      </c>
      <c r="U267" s="2" t="n">
        <f aca="false">IF(U$7=U$5,U$6,IF(NORMSDIST(U$9*SQRT($C$11)*NORMSINV($B267)+SQRT(1-U$9^2*$C$11)*NORMSINV(T267))&lt;U$8,U$5+SQRT(NORMSDIST(U$9*SQRT($C$11)*NORMSINV($B267)+SQRT(1-U$9^2*$C$11)*NORMSINV(T267))*(U$7-U$5)*(U$6-U$5)),U$7-SQRT((1-NORMSDIST(U$9*SQRT($C$11)*NORMSINV($B267)+SQRT(1-U$9^2*$C$11)*NORMSINV(T267)))*(U$7-U$5)*(U$7-U$6))))</f>
        <v>0.856327562605069</v>
      </c>
      <c r="V267" s="2" t="n">
        <v>0.681693704</v>
      </c>
      <c r="W267" s="2" t="n">
        <f aca="false">IF(W$7=W$5,W$6,IF(NORMSDIST(W$9*SQRT($C$11)*NORMSINV($B267)+SQRT(1-W$9^2*$C$11)*NORMSINV(V267))&lt;W$8,W$5+SQRT(NORMSDIST(W$9*SQRT($C$11)*NORMSINV($B267)+SQRT(1-W$9^2*$C$11)*NORMSINV(V267))*(W$7-W$5)*(W$6-W$5)),W$7-SQRT((1-NORMSDIST(W$9*SQRT($C$11)*NORMSINV($B267)+SQRT(1-W$9^2*$C$11)*NORMSINV(V267)))*(W$7-W$5)*(W$7-W$6))))</f>
        <v>10.7104776842031</v>
      </c>
      <c r="X267" s="2" t="n">
        <v>0.155922343</v>
      </c>
      <c r="Y267" s="2" t="n">
        <f aca="false">IF(Y$7=Y$5,Y$6,IF(NORMSDIST(Y$9*SQRT($C$11)*NORMSINV($B267)+SQRT(1-Y$9^2*$C$11)*NORMSINV(X267))&lt;Y$8,Y$5+SQRT(NORMSDIST(Y$9*SQRT($C$11)*NORMSINV($B267)+SQRT(1-Y$9^2*$C$11)*NORMSINV(X267))*(Y$7-Y$5)*(Y$6-Y$5)),Y$7-SQRT((1-NORMSDIST(Y$9*SQRT($C$11)*NORMSINV($B267)+SQRT(1-Y$9^2*$C$11)*NORMSINV(X267)))*(Y$7-Y$5)*(Y$7-Y$6))))</f>
        <v>0.279215278056198</v>
      </c>
      <c r="Z267" s="2" t="n">
        <v>0.998667246</v>
      </c>
      <c r="AA267" s="2" t="n">
        <f aca="false">IF(AA$7=AA$5,AA$6,IF(NORMSDIST(AA$9*SQRT($C$11)*NORMSINV($B267)+SQRT(1-AA$9^2*$C$11)*NORMSINV(Z267))&lt;AA$8,AA$5+SQRT(NORMSDIST(AA$9*SQRT($C$11)*NORMSINV($B267)+SQRT(1-AA$9^2*$C$11)*NORMSINV(Z267))*(AA$7-AA$5)*(AA$6-AA$5)),AA$7-SQRT((1-NORMSDIST(AA$9*SQRT($C$11)*NORMSINV($B267)+SQRT(1-AA$9^2*$C$11)*NORMSINV(Z267)))*(AA$7-AA$5)*(AA$7-AA$6))))</f>
        <v>0.751987783344589</v>
      </c>
      <c r="AB267" s="2" t="n">
        <v>0.261144837</v>
      </c>
      <c r="AC267" s="2" t="n">
        <f aca="false">IF(AC$7=AC$5,AC$6,IF(NORMSDIST(AC$9*SQRT($C$11)*NORMSINV($B267)+SQRT(1-AC$9^2*$C$11)*NORMSINV(AB267))&lt;AC$8,AC$5+SQRT(NORMSDIST(AC$9*SQRT($C$11)*NORMSINV($B267)+SQRT(1-AC$9^2*$C$11)*NORMSINV(AB267))*(AC$7-AC$5)*(AC$6-AC$5)),AC$7-SQRT((1-NORMSDIST(AC$9*SQRT($C$11)*NORMSINV($B267)+SQRT(1-AC$9^2*$C$11)*NORMSINV(AB267)))*(AC$7-AC$5)*(AC$7-AC$6))))</f>
        <v>9.43855841224345</v>
      </c>
      <c r="AD267" s="2" t="n">
        <f aca="false">Entrées!$C$8*(1+E267)</f>
        <v>7448.55350923995</v>
      </c>
      <c r="AE267" s="2" t="n">
        <f aca="false">I267*Hypothèses!$J$24/12/Hypothèses!$J$19</f>
        <v>98.2263121796088</v>
      </c>
      <c r="AF267" s="2" t="n">
        <f aca="false">Entrées!$C$36*S267*1000</f>
        <v>367.641213410772</v>
      </c>
      <c r="AG267" s="2" t="n">
        <f aca="false">-AF267/W267</f>
        <v>-34.325379712336</v>
      </c>
      <c r="AH267" s="2" t="n">
        <f aca="false">AD267+AE267+AG267</f>
        <v>7512.45444170723</v>
      </c>
      <c r="AI267" s="2" t="n">
        <f aca="false">Entrées!$C$16-M267+Hypothèses!$J$22*1000-AF267+Hypothèses!$J$23</f>
        <v>22594.8458681332</v>
      </c>
      <c r="AJ267" s="2" t="n">
        <f aca="false">AI267/AH267</f>
        <v>3.0076516328262</v>
      </c>
      <c r="AK267" s="2" t="n">
        <f aca="false">AI267/(AH267+I267*(12-Hypothèses!$J$24)/12/Hypothèses!$J$19)</f>
        <v>2.97982194934081</v>
      </c>
      <c r="AL267" s="2" t="n">
        <f aca="false">(AD267+AG267+I267/Hypothèses!$J$19)*(1+G267)</f>
        <v>8051.86450674114</v>
      </c>
      <c r="AM267" s="2" t="n">
        <f aca="false">Entrées!$C$54*K267/Hypothèses!$J$19</f>
        <v>28.8637609584073</v>
      </c>
      <c r="AN267" s="2" t="n">
        <f aca="false">Y267*1000/AC267</f>
        <v>29.5824071707823</v>
      </c>
      <c r="AO267" s="2" t="n">
        <f aca="false">(Entrées!$C$36*(1-S267)+MAX(0,Entrées!$C$30-Entrées!$C$35-Entrées!$C$36)*U267)*1000</f>
        <v>1331.21737423633</v>
      </c>
      <c r="AP267" s="2" t="n">
        <f aca="false">-AO267/W267</f>
        <v>-124.291130002515</v>
      </c>
      <c r="AQ267" s="2" t="n">
        <f aca="false">AL267+AM267+AN267+AP267</f>
        <v>7986.01954486781</v>
      </c>
      <c r="AR267" s="2" t="n">
        <f aca="false">O267*AQ267-Hypothèses!$J$25/Hypothèses!$J$19</f>
        <v>1434.18789321788</v>
      </c>
      <c r="AS267" s="2" t="n">
        <f aca="false">Entrées!$C$79*(1+Q267)+Hypothèses!$J$20</f>
        <v>1474.33575032823</v>
      </c>
      <c r="AT267" s="2" t="n">
        <f aca="false">AI267-AR267+AS267+Y267*1000-AO267+Hypothèses!$J$23</f>
        <v>21582.9916290634</v>
      </c>
      <c r="AU267" s="2" t="n">
        <f aca="false">AT267/AQ267</f>
        <v>2.7025968954626</v>
      </c>
      <c r="AV267" s="2" t="n">
        <f aca="false">Hypothèses!$J$26*AQ267-AT267</f>
        <v>2375.06700554002</v>
      </c>
      <c r="AW267" s="2" t="n">
        <f aca="false">IF(AC267&gt;Hypothèses!$J$26,MAX(0,AV267)/(1-Hypothèses!$J$26/AC267),0)</f>
        <v>3481.71240042701</v>
      </c>
      <c r="AX267" s="2" t="n">
        <f aca="false">AQ267-Entrées!$C$17*1000</f>
        <v>-13.9804551321886</v>
      </c>
      <c r="AY267" s="2" t="n">
        <f aca="false">AI267+(Entrées!$C$244-Entrées!$C$13)</f>
        <v>28341.8458681332</v>
      </c>
      <c r="AZ267" s="2" t="n">
        <f aca="false">AA267*AH267</f>
        <v>5649.27396309663</v>
      </c>
      <c r="BA267" s="2" t="n">
        <f aca="false">AZ267/AY267</f>
        <v>0.199326253814982</v>
      </c>
      <c r="BB267" s="2" t="n">
        <f aca="false">AZ267/(Entrées!$C$151/100)-AY267</f>
        <v>3043.00948240364</v>
      </c>
      <c r="BC267" s="2" t="n">
        <f aca="false">AT267+(Entrées!$C$244-Entrées!$C$13)</f>
        <v>27329.9916290634</v>
      </c>
      <c r="BD267" s="2" t="n">
        <f aca="false">AA267*AQ267</f>
        <v>6005.38913529171</v>
      </c>
      <c r="BE267" s="2" t="n">
        <f aca="false">BD267/BC267</f>
        <v>0.219736223003648</v>
      </c>
      <c r="BF267" s="2" t="n">
        <f aca="false">BD267/(Entrées!$C$151/100)-BC267</f>
        <v>6033.28134477942</v>
      </c>
      <c r="BG267" s="2" t="n">
        <f aca="false">MIN(AV267,BF267)</f>
        <v>2375.06700554002</v>
      </c>
      <c r="BH267" s="2" t="n">
        <f aca="false">IF(AC267&gt;Hypothèses!$J$26,MAX(0,BG267)/(1-Hypothèses!$J$26/AC267),0)</f>
        <v>3481.71240042701</v>
      </c>
    </row>
    <row r="268" customFormat="false" ht="15" hidden="false" customHeight="false" outlineLevel="0" collapsed="false">
      <c r="A268" s="2" t="n">
        <v>253</v>
      </c>
      <c r="B268" s="2" t="n">
        <v>0.345636687</v>
      </c>
      <c r="C268" s="2"/>
      <c r="D268" s="2" t="n">
        <v>0.066096411</v>
      </c>
      <c r="E268" s="2" t="n">
        <f aca="false">IF(E$7=E$5,E$6,IF(NORMSDIST(E$9*SQRT($C$11)*NORMSINV($B268)+SQRT(1-E$9^2*$C$11)*NORMSINV(D268))&lt;E$8,E$5+SQRT(NORMSDIST(E$9*SQRT($C$11)*NORMSINV($B268)+SQRT(1-E$9^2*$C$11)*NORMSINV(D268))*(E$7-E$5)*(E$6-E$5)),E$7-SQRT((1-NORMSDIST(E$9*SQRT($C$11)*NORMSINV($B268)+SQRT(1-E$9^2*$C$11)*NORMSINV(D268)))*(E$7-E$5)*(E$7-E$6))))</f>
        <v>0.0519772880479748</v>
      </c>
      <c r="F268" s="2" t="n">
        <v>0.476903006</v>
      </c>
      <c r="G268" s="2" t="n">
        <f aca="false">IF(G$7=G$5,G$6,IF(NORMSDIST(G$9*SQRT($C$11)*NORMSINV($B268)+SQRT(1-G$9^2*$C$11)*NORMSINV(F268))&lt;G$8,G$5+SQRT(NORMSDIST(G$9*SQRT($C$11)*NORMSINV($B268)+SQRT(1-G$9^2*$C$11)*NORMSINV(F268))*(G$7-G$5)*(G$6-G$5)),G$7-SQRT((1-NORMSDIST(G$9*SQRT($C$11)*NORMSINV($B268)+SQRT(1-G$9^2*$C$11)*NORMSINV(F268)))*(G$7-G$5)*(G$7-G$6))))</f>
        <v>0.0531385129630069</v>
      </c>
      <c r="H268" s="2" t="n">
        <v>0.931311123</v>
      </c>
      <c r="I268" s="2" t="n">
        <f aca="false">IF(I$7=I$5,I$6,IF(NORMSDIST(I$9*SQRT($C$11)*NORMSINV($B268)+SQRT(1-I$9^2*$C$11)*NORMSINV(H268))&lt;I$8,I$5+SQRT(NORMSDIST(I$9*SQRT($C$11)*NORMSINV($B268)+SQRT(1-I$9^2*$C$11)*NORMSINV(H268))*(I$7-I$5)*(I$6-I$5)),I$7-SQRT((1-NORMSDIST(I$9*SQRT($C$11)*NORMSINV($B268)+SQRT(1-I$9^2*$C$11)*NORMSINV(H268)))*(I$7-I$5)*(I$7-I$6))))</f>
        <v>207.861876539888</v>
      </c>
      <c r="J268" s="2" t="n">
        <v>0.062598186</v>
      </c>
      <c r="K268" s="2" t="n">
        <f aca="false">IF(K$7=K$5,K$6,IF(NORMSDIST(K$9*SQRT($C$11)*NORMSINV($B268)+SQRT(1-K$9^2*$C$11)*NORMSINV(J268))&lt;K$8,K$5+SQRT(NORMSDIST(K$9*SQRT($C$11)*NORMSINV($B268)+SQRT(1-K$9^2*$C$11)*NORMSINV(J268))*(K$7-K$5)*(K$6-K$5)),K$7-SQRT((1-NORMSDIST(K$9*SQRT($C$11)*NORMSINV($B268)+SQRT(1-K$9^2*$C$11)*NORMSINV(J268)))*(K$7-K$5)*(K$7-K$6))))</f>
        <v>0.0968848358337418</v>
      </c>
      <c r="L268" s="2" t="n">
        <v>0.545807389</v>
      </c>
      <c r="M268" s="2" t="n">
        <f aca="false">IF(M$7=M$5,M$6,IF(NORMSDIST(M$9*SQRT($C$11)*NORMSINV($B268)+SQRT(1-M$9^2*$C$11)*NORMSINV(L268))&lt;M$8,M$5+SQRT(NORMSDIST(M$9*SQRT($C$11)*NORMSINV($B268)+SQRT(1-M$9^2*$C$11)*NORMSINV(L268))*(M$7-M$5)*(M$6-M$5)),M$7-SQRT((1-NORMSDIST(M$9*SQRT($C$11)*NORMSINV($B268)+SQRT(1-M$9^2*$C$11)*NORMSINV(L268)))*(M$7-M$5)*(M$7-M$6))))</f>
        <v>1566.56706034815</v>
      </c>
      <c r="N268" s="2" t="n">
        <v>0.868796083</v>
      </c>
      <c r="O268" s="2" t="n">
        <f aca="false">IF(O$7=O$5,O$6,IF(NORMSDIST(O$9*SQRT($C$11)*NORMSINV($B268)+SQRT(1-O$9^2*$C$11)*NORMSINV(N268))&lt;O$8,O$5+SQRT(NORMSDIST(O$9*SQRT($C$11)*NORMSINV($B268)+SQRT(1-O$9^2*$C$11)*NORMSINV(N268))*(O$7-O$5)*(O$6-O$5)),O$7-SQRT((1-NORMSDIST(O$9*SQRT($C$11)*NORMSINV($B268)+SQRT(1-O$9^2*$C$11)*NORMSINV(N268)))*(O$7-O$5)*(O$7-O$6))))</f>
        <v>0.17308409816164</v>
      </c>
      <c r="P268" s="2" t="n">
        <v>0.136730239</v>
      </c>
      <c r="Q268" s="2" t="n">
        <f aca="false">IF(Q$7=Q$5,Q$6,IF(NORMSDIST(Q$9*SQRT($C$11)*NORMSINV($B268)+SQRT(1-Q$9^2*$C$11)*NORMSINV(P268))&lt;Q$8,Q$5+SQRT(NORMSDIST(Q$9*SQRT($C$11)*NORMSINV($B268)+SQRT(1-Q$9^2*$C$11)*NORMSINV(P268))*(Q$7-Q$5)*(Q$6-Q$5)),Q$7-SQRT((1-NORMSDIST(Q$9*SQRT($C$11)*NORMSINV($B268)+SQRT(1-Q$9^2*$C$11)*NORMSINV(P268)))*(Q$7-Q$5)*(Q$7-Q$6))))</f>
        <v>0.060917379491705</v>
      </c>
      <c r="R268" s="2" t="n">
        <v>0.444864856</v>
      </c>
      <c r="S268" s="2" t="n">
        <f aca="false">IF(S$7=S$5,S$6,IF(NORMSDIST(S$9*SQRT($C$11)*NORMSINV($B268)+SQRT(1-S$9^2*$C$11)*NORMSINV(R268))&lt;S$8,S$5+SQRT(NORMSDIST(S$9*SQRT($C$11)*NORMSINV($B268)+SQRT(1-S$9^2*$C$11)*NORMSINV(R268))*(S$7-S$5)*(S$6-S$5)),S$7-SQRT((1-NORMSDIST(S$9*SQRT($C$11)*NORMSINV($B268)+SQRT(1-S$9^2*$C$11)*NORMSINV(R268)))*(S$7-S$5)*(S$7-S$6))))</f>
        <v>0.424241658588156</v>
      </c>
      <c r="T268" s="2" t="n">
        <v>0.684005814</v>
      </c>
      <c r="U268" s="2" t="n">
        <f aca="false">IF(U$7=U$5,U$6,IF(NORMSDIST(U$9*SQRT($C$11)*NORMSINV($B268)+SQRT(1-U$9^2*$C$11)*NORMSINV(T268))&lt;U$8,U$5+SQRT(NORMSDIST(U$9*SQRT($C$11)*NORMSINV($B268)+SQRT(1-U$9^2*$C$11)*NORMSINV(T268))*(U$7-U$5)*(U$6-U$5)),U$7-SQRT((1-NORMSDIST(U$9*SQRT($C$11)*NORMSINV($B268)+SQRT(1-U$9^2*$C$11)*NORMSINV(T268)))*(U$7-U$5)*(U$7-U$6))))</f>
        <v>0.524439279486316</v>
      </c>
      <c r="V268" s="2" t="n">
        <v>0.087717634</v>
      </c>
      <c r="W268" s="2" t="n">
        <f aca="false">IF(W$7=W$5,W$6,IF(NORMSDIST(W$9*SQRT($C$11)*NORMSINV($B268)+SQRT(1-W$9^2*$C$11)*NORMSINV(V268))&lt;W$8,W$5+SQRT(NORMSDIST(W$9*SQRT($C$11)*NORMSINV($B268)+SQRT(1-W$9^2*$C$11)*NORMSINV(V268))*(W$7-W$5)*(W$6-W$5)),W$7-SQRT((1-NORMSDIST(W$9*SQRT($C$11)*NORMSINV($B268)+SQRT(1-W$9^2*$C$11)*NORMSINV(V268)))*(W$7-W$5)*(W$7-W$6))))</f>
        <v>8.87945626283443</v>
      </c>
      <c r="X268" s="2" t="n">
        <v>0.381459854</v>
      </c>
      <c r="Y268" s="2" t="n">
        <f aca="false">IF(Y$7=Y$5,Y$6,IF(NORMSDIST(Y$9*SQRT($C$11)*NORMSINV($B268)+SQRT(1-Y$9^2*$C$11)*NORMSINV(X268))&lt;Y$8,Y$5+SQRT(NORMSDIST(Y$9*SQRT($C$11)*NORMSINV($B268)+SQRT(1-Y$9^2*$C$11)*NORMSINV(X268))*(Y$7-Y$5)*(Y$6-Y$5)),Y$7-SQRT((1-NORMSDIST(Y$9*SQRT($C$11)*NORMSINV($B268)+SQRT(1-Y$9^2*$C$11)*NORMSINV(X268)))*(Y$7-Y$5)*(Y$7-Y$6))))</f>
        <v>0.436726375434322</v>
      </c>
      <c r="Z268" s="2" t="n">
        <v>0.854270809</v>
      </c>
      <c r="AA268" s="2" t="n">
        <f aca="false">IF(AA$7=AA$5,AA$6,IF(NORMSDIST(AA$9*SQRT($C$11)*NORMSINV($B268)+SQRT(1-AA$9^2*$C$11)*NORMSINV(Z268))&lt;AA$8,AA$5+SQRT(NORMSDIST(AA$9*SQRT($C$11)*NORMSINV($B268)+SQRT(1-AA$9^2*$C$11)*NORMSINV(Z268))*(AA$7-AA$5)*(AA$6-AA$5)),AA$7-SQRT((1-NORMSDIST(AA$9*SQRT($C$11)*NORMSINV($B268)+SQRT(1-AA$9^2*$C$11)*NORMSINV(Z268)))*(AA$7-AA$5)*(AA$7-AA$6))))</f>
        <v>0.734706641725493</v>
      </c>
      <c r="AB268" s="2" t="n">
        <v>0.32330708</v>
      </c>
      <c r="AC268" s="2" t="n">
        <f aca="false">IF(AC$7=AC$5,AC$6,IF(NORMSDIST(AC$9*SQRT($C$11)*NORMSINV($B268)+SQRT(1-AC$9^2*$C$11)*NORMSINV(AB268))&lt;AC$8,AC$5+SQRT(NORMSDIST(AC$9*SQRT($C$11)*NORMSINV($B268)+SQRT(1-AC$9^2*$C$11)*NORMSINV(AB268))*(AC$7-AC$5)*(AC$6-AC$5)),AC$7-SQRT((1-NORMSDIST(AC$9*SQRT($C$11)*NORMSINV($B268)+SQRT(1-AC$9^2*$C$11)*NORMSINV(AB268)))*(AC$7-AC$5)*(AC$7-AC$6))))</f>
        <v>8.93344575790108</v>
      </c>
      <c r="AD268" s="2" t="n">
        <f aca="false">Entrées!$C$8*(1+E268)</f>
        <v>7416.43988073822</v>
      </c>
      <c r="AE268" s="2" t="n">
        <f aca="false">I268*Hypothèses!$J$24/12/Hypothèses!$J$19</f>
        <v>103.119611663621</v>
      </c>
      <c r="AF268" s="2" t="n">
        <f aca="false">Entrées!$C$36*S268*1000</f>
        <v>212.120829294078</v>
      </c>
      <c r="AG268" s="2" t="n">
        <f aca="false">-AF268/W268</f>
        <v>-23.8889435360951</v>
      </c>
      <c r="AH268" s="2" t="n">
        <f aca="false">AD268+AE268+AG268</f>
        <v>7495.67054886575</v>
      </c>
      <c r="AI268" s="2" t="n">
        <f aca="false">Entrées!$C$16-M268+Hypothèses!$J$22*1000-AF268+Hypothèses!$J$23</f>
        <v>22769.3121103578</v>
      </c>
      <c r="AJ268" s="2" t="n">
        <f aca="false">AI268/AH268</f>
        <v>3.03766180249254</v>
      </c>
      <c r="AK268" s="2" t="n">
        <f aca="false">AI268/(AH268+I268*(12-Hypothèses!$J$24)/12/Hypothèses!$J$19)</f>
        <v>3.00810241967104</v>
      </c>
      <c r="AL268" s="2" t="n">
        <f aca="false">(AD268+AG268+I268/Hypothèses!$J$19)*(1+G268)</f>
        <v>7971.5502172679</v>
      </c>
      <c r="AM268" s="2" t="n">
        <f aca="false">Entrées!$C$54*K268/Hypothèses!$J$19</f>
        <v>9.88750428997143</v>
      </c>
      <c r="AN268" s="2" t="n">
        <f aca="false">Y268*1000/AC268</f>
        <v>48.8866656013514</v>
      </c>
      <c r="AO268" s="2" t="n">
        <f aca="false">(Entrées!$C$36*(1-S268)+MAX(0,Entrées!$C$30-Entrées!$C$35-Entrées!$C$36)*U268)*1000</f>
        <v>1022.09416198676</v>
      </c>
      <c r="AP268" s="2" t="n">
        <f aca="false">-AO268/W268</f>
        <v>-115.107742155881</v>
      </c>
      <c r="AQ268" s="2" t="n">
        <f aca="false">AL268+AM268+AN268+AP268</f>
        <v>7915.21664500334</v>
      </c>
      <c r="AR268" s="2" t="n">
        <f aca="false">O268*AQ268-Hypothèses!$J$25/Hypothèses!$J$19</f>
        <v>1350.86297249278</v>
      </c>
      <c r="AS268" s="2" t="n">
        <f aca="false">Entrées!$C$79*(1+Q268)+Hypothèses!$J$20</f>
        <v>1460.94820006138</v>
      </c>
      <c r="AT268" s="2" t="n">
        <f aca="false">AI268-AR268+AS268+Y268*1000-AO268+Hypothèses!$J$23</f>
        <v>22294.0295513739</v>
      </c>
      <c r="AU268" s="2" t="n">
        <f aca="false">AT268/AQ268</f>
        <v>2.81660383426745</v>
      </c>
      <c r="AV268" s="2" t="n">
        <f aca="false">Hypothèses!$J$26*AQ268-AT268</f>
        <v>1451.62038363611</v>
      </c>
      <c r="AW268" s="2" t="n">
        <f aca="false">IF(AC268&gt;Hypothèses!$J$26,MAX(0,AV268)/(1-Hypothèses!$J$26/AC268),0)</f>
        <v>2185.57183926529</v>
      </c>
      <c r="AX268" s="2" t="n">
        <f aca="false">AQ268-Entrées!$C$17*1000</f>
        <v>-84.7833549966563</v>
      </c>
      <c r="AY268" s="2" t="n">
        <f aca="false">AI268+(Entrées!$C$244-Entrées!$C$13)</f>
        <v>28516.3121103578</v>
      </c>
      <c r="AZ268" s="2" t="n">
        <f aca="false">AA268*AH268</f>
        <v>5507.11893643784</v>
      </c>
      <c r="BA268" s="2" t="n">
        <f aca="false">AZ268/AY268</f>
        <v>0.19312170925628</v>
      </c>
      <c r="BB268" s="2" t="n">
        <f aca="false">AZ268/(Entrées!$C$151/100)-AY268</f>
        <v>2078.79309207466</v>
      </c>
      <c r="BC268" s="2" t="n">
        <f aca="false">AT268+(Entrées!$C$244-Entrées!$C$13)</f>
        <v>28041.0295513739</v>
      </c>
      <c r="BD268" s="2" t="n">
        <f aca="false">AA268*AQ268</f>
        <v>5815.36223978013</v>
      </c>
      <c r="BE268" s="2" t="n">
        <f aca="false">BD268/BC268</f>
        <v>0.207387614963488</v>
      </c>
      <c r="BF268" s="2" t="n">
        <f aca="false">BD268/(Entrées!$C$151/100)-BC268</f>
        <v>4266.53844740458</v>
      </c>
      <c r="BG268" s="2" t="n">
        <f aca="false">MIN(AV268,BF268)</f>
        <v>1451.62038363611</v>
      </c>
      <c r="BH268" s="2" t="n">
        <f aca="false">IF(AC268&gt;Hypothèses!$J$26,MAX(0,BG268)/(1-Hypothèses!$J$26/AC268),0)</f>
        <v>2185.57183926529</v>
      </c>
    </row>
    <row r="269" customFormat="false" ht="15" hidden="false" customHeight="false" outlineLevel="0" collapsed="false">
      <c r="A269" s="2" t="n">
        <v>254</v>
      </c>
      <c r="B269" s="2" t="n">
        <v>0.149046376</v>
      </c>
      <c r="C269" s="2"/>
      <c r="D269" s="2" t="n">
        <v>0.486580241</v>
      </c>
      <c r="E269" s="2" t="n">
        <f aca="false">IF(E$7=E$5,E$6,IF(NORMSDIST(E$9*SQRT($C$11)*NORMSINV($B269)+SQRT(1-E$9^2*$C$11)*NORMSINV(D269))&lt;E$8,E$5+SQRT(NORMSDIST(E$9*SQRT($C$11)*NORMSINV($B269)+SQRT(1-E$9^2*$C$11)*NORMSINV(D269))*(E$7-E$5)*(E$6-E$5)),E$7-SQRT((1-NORMSDIST(E$9*SQRT($C$11)*NORMSINV($B269)+SQRT(1-E$9^2*$C$11)*NORMSINV(D269)))*(E$7-E$5)*(E$7-E$6))))</f>
        <v>0.0535138283719696</v>
      </c>
      <c r="F269" s="2" t="n">
        <v>0.723869322</v>
      </c>
      <c r="G269" s="2" t="n">
        <f aca="false">IF(G$7=G$5,G$6,IF(NORMSDIST(G$9*SQRT($C$11)*NORMSINV($B269)+SQRT(1-G$9^2*$C$11)*NORMSINV(F269))&lt;G$8,G$5+SQRT(NORMSDIST(G$9*SQRT($C$11)*NORMSINV($B269)+SQRT(1-G$9^2*$C$11)*NORMSINV(F269))*(G$7-G$5)*(G$6-G$5)),G$7-SQRT((1-NORMSDIST(G$9*SQRT($C$11)*NORMSINV($B269)+SQRT(1-G$9^2*$C$11)*NORMSINV(F269)))*(G$7-G$5)*(G$7-G$6))))</f>
        <v>0.053774607552431</v>
      </c>
      <c r="H269" s="2" t="n">
        <v>0.399704969</v>
      </c>
      <c r="I269" s="2" t="n">
        <f aca="false">IF(I$7=I$5,I$6,IF(NORMSDIST(I$9*SQRT($C$11)*NORMSINV($B269)+SQRT(1-I$9^2*$C$11)*NORMSINV(H269))&lt;I$8,I$5+SQRT(NORMSDIST(I$9*SQRT($C$11)*NORMSINV($B269)+SQRT(1-I$9^2*$C$11)*NORMSINV(H269))*(I$7-I$5)*(I$6-I$5)),I$7-SQRT((1-NORMSDIST(I$9*SQRT($C$11)*NORMSINV($B269)+SQRT(1-I$9^2*$C$11)*NORMSINV(H269)))*(I$7-I$5)*(I$7-I$6))))</f>
        <v>192.531454711172</v>
      </c>
      <c r="J269" s="2" t="n">
        <v>0.908366486</v>
      </c>
      <c r="K269" s="2" t="n">
        <f aca="false">IF(K$7=K$5,K$6,IF(NORMSDIST(K$9*SQRT($C$11)*NORMSINV($B269)+SQRT(1-K$9^2*$C$11)*NORMSINV(J269))&lt;K$8,K$5+SQRT(NORMSDIST(K$9*SQRT($C$11)*NORMSINV($B269)+SQRT(1-K$9^2*$C$11)*NORMSINV(J269))*(K$7-K$5)*(K$6-K$5)),K$7-SQRT((1-NORMSDIST(K$9*SQRT($C$11)*NORMSINV($B269)+SQRT(1-K$9^2*$C$11)*NORMSINV(J269)))*(K$7-K$5)*(K$7-K$6))))</f>
        <v>0.289441051286274</v>
      </c>
      <c r="L269" s="2" t="n">
        <v>0.734414081</v>
      </c>
      <c r="M269" s="2" t="n">
        <f aca="false">IF(M$7=M$5,M$6,IF(NORMSDIST(M$9*SQRT($C$11)*NORMSINV($B269)+SQRT(1-M$9^2*$C$11)*NORMSINV(L269))&lt;M$8,M$5+SQRT(NORMSDIST(M$9*SQRT($C$11)*NORMSINV($B269)+SQRT(1-M$9^2*$C$11)*NORMSINV(L269))*(M$7-M$5)*(M$6-M$5)),M$7-SQRT((1-NORMSDIST(M$9*SQRT($C$11)*NORMSINV($B269)+SQRT(1-M$9^2*$C$11)*NORMSINV(L269)))*(M$7-M$5)*(M$7-M$6))))</f>
        <v>1565.25634627236</v>
      </c>
      <c r="N269" s="2" t="n">
        <v>0.703191084</v>
      </c>
      <c r="O269" s="2" t="n">
        <f aca="false">IF(O$7=O$5,O$6,IF(NORMSDIST(O$9*SQRT($C$11)*NORMSINV($B269)+SQRT(1-O$9^2*$C$11)*NORMSINV(N269))&lt;O$8,O$5+SQRT(NORMSDIST(O$9*SQRT($C$11)*NORMSINV($B269)+SQRT(1-O$9^2*$C$11)*NORMSINV(N269))*(O$7-O$5)*(O$6-O$5)),O$7-SQRT((1-NORMSDIST(O$9*SQRT($C$11)*NORMSINV($B269)+SQRT(1-O$9^2*$C$11)*NORMSINV(N269)))*(O$7-O$5)*(O$7-O$6))))</f>
        <v>0.164055971152816</v>
      </c>
      <c r="P269" s="2" t="n">
        <v>0.128801806</v>
      </c>
      <c r="Q269" s="2" t="n">
        <f aca="false">IF(Q$7=Q$5,Q$6,IF(NORMSDIST(Q$9*SQRT($C$11)*NORMSINV($B269)+SQRT(1-Q$9^2*$C$11)*NORMSINV(P269))&lt;Q$8,Q$5+SQRT(NORMSDIST(Q$9*SQRT($C$11)*NORMSINV($B269)+SQRT(1-Q$9^2*$C$11)*NORMSINV(P269))*(Q$7-Q$5)*(Q$6-Q$5)),Q$7-SQRT((1-NORMSDIST(Q$9*SQRT($C$11)*NORMSINV($B269)+SQRT(1-Q$9^2*$C$11)*NORMSINV(P269)))*(Q$7-Q$5)*(Q$7-Q$6))))</f>
        <v>0.0603018663969597</v>
      </c>
      <c r="R269" s="2" t="n">
        <v>0.73840427</v>
      </c>
      <c r="S269" s="2" t="n">
        <f aca="false">IF(S$7=S$5,S$6,IF(NORMSDIST(S$9*SQRT($C$11)*NORMSINV($B269)+SQRT(1-S$9^2*$C$11)*NORMSINV(R269))&lt;S$8,S$5+SQRT(NORMSDIST(S$9*SQRT($C$11)*NORMSINV($B269)+SQRT(1-S$9^2*$C$11)*NORMSINV(R269))*(S$7-S$5)*(S$6-S$5)),S$7-SQRT((1-NORMSDIST(S$9*SQRT($C$11)*NORMSINV($B269)+SQRT(1-S$9^2*$C$11)*NORMSINV(R269)))*(S$7-S$5)*(S$7-S$6))))</f>
        <v>0.466389365534003</v>
      </c>
      <c r="T269" s="2" t="n">
        <v>0.403538185</v>
      </c>
      <c r="U269" s="2" t="n">
        <f aca="false">IF(U$7=U$5,U$6,IF(NORMSDIST(U$9*SQRT($C$11)*NORMSINV($B269)+SQRT(1-U$9^2*$C$11)*NORMSINV(T269))&lt;U$8,U$5+SQRT(NORMSDIST(U$9*SQRT($C$11)*NORMSINV($B269)+SQRT(1-U$9^2*$C$11)*NORMSINV(T269))*(U$7-U$5)*(U$6-U$5)),U$7-SQRT((1-NORMSDIST(U$9*SQRT($C$11)*NORMSINV($B269)+SQRT(1-U$9^2*$C$11)*NORMSINV(T269)))*(U$7-U$5)*(U$7-U$6))))</f>
        <v>0.314983261650511</v>
      </c>
      <c r="V269" s="2" t="n">
        <v>0.141850076</v>
      </c>
      <c r="W269" s="2" t="n">
        <f aca="false">IF(W$7=W$5,W$6,IF(NORMSDIST(W$9*SQRT($C$11)*NORMSINV($B269)+SQRT(1-W$9^2*$C$11)*NORMSINV(V269))&lt;W$8,W$5+SQRT(NORMSDIST(W$9*SQRT($C$11)*NORMSINV($B269)+SQRT(1-W$9^2*$C$11)*NORMSINV(V269))*(W$7-W$5)*(W$6-W$5)),W$7-SQRT((1-NORMSDIST(W$9*SQRT($C$11)*NORMSINV($B269)+SQRT(1-W$9^2*$C$11)*NORMSINV(V269)))*(W$7-W$5)*(W$7-W$6))))</f>
        <v>8.73924592911243</v>
      </c>
      <c r="X269" s="2" t="n">
        <v>0.32568326</v>
      </c>
      <c r="Y269" s="2" t="n">
        <f aca="false">IF(Y$7=Y$5,Y$6,IF(NORMSDIST(Y$9*SQRT($C$11)*NORMSINV($B269)+SQRT(1-Y$9^2*$C$11)*NORMSINV(X269))&lt;Y$8,Y$5+SQRT(NORMSDIST(Y$9*SQRT($C$11)*NORMSINV($B269)+SQRT(1-Y$9^2*$C$11)*NORMSINV(X269))*(Y$7-Y$5)*(Y$6-Y$5)),Y$7-SQRT((1-NORMSDIST(Y$9*SQRT($C$11)*NORMSINV($B269)+SQRT(1-Y$9^2*$C$11)*NORMSINV(X269)))*(Y$7-Y$5)*(Y$7-Y$6))))</f>
        <v>0.403536404801351</v>
      </c>
      <c r="Z269" s="2" t="n">
        <v>0.759247297</v>
      </c>
      <c r="AA269" s="2" t="n">
        <f aca="false">IF(AA$7=AA$5,AA$6,IF(NORMSDIST(AA$9*SQRT($C$11)*NORMSINV($B269)+SQRT(1-AA$9^2*$C$11)*NORMSINV(Z269))&lt;AA$8,AA$5+SQRT(NORMSDIST(AA$9*SQRT($C$11)*NORMSINV($B269)+SQRT(1-AA$9^2*$C$11)*NORMSINV(Z269))*(AA$7-AA$5)*(AA$6-AA$5)),AA$7-SQRT((1-NORMSDIST(AA$9*SQRT($C$11)*NORMSINV($B269)+SQRT(1-AA$9^2*$C$11)*NORMSINV(Z269)))*(AA$7-AA$5)*(AA$7-AA$6))))</f>
        <v>0.726546071593197</v>
      </c>
      <c r="AB269" s="2" t="n">
        <v>0.04085487</v>
      </c>
      <c r="AC269" s="2" t="n">
        <f aca="false">IF(AC$7=AC$5,AC$6,IF(NORMSDIST(AC$9*SQRT($C$11)*NORMSINV($B269)+SQRT(1-AC$9^2*$C$11)*NORMSINV(AB269))&lt;AC$8,AC$5+SQRT(NORMSDIST(AC$9*SQRT($C$11)*NORMSINV($B269)+SQRT(1-AC$9^2*$C$11)*NORMSINV(AB269))*(AC$7-AC$5)*(AC$6-AC$5)),AC$7-SQRT((1-NORMSDIST(AC$9*SQRT($C$11)*NORMSINV($B269)+SQRT(1-AC$9^2*$C$11)*NORMSINV(AB269)))*(AC$7-AC$5)*(AC$7-AC$6))))</f>
        <v>7.83991678998543</v>
      </c>
      <c r="AD269" s="2" t="n">
        <f aca="false">Entrées!$C$8*(1+E269)</f>
        <v>7427.27249002239</v>
      </c>
      <c r="AE269" s="2" t="n">
        <f aca="false">I269*Hypothèses!$J$24/12/Hypothèses!$J$19</f>
        <v>95.5142384613191</v>
      </c>
      <c r="AF269" s="2" t="n">
        <f aca="false">Entrées!$C$36*S269*1000</f>
        <v>233.194682767001</v>
      </c>
      <c r="AG269" s="2" t="n">
        <f aca="false">-AF269/W269</f>
        <v>-26.6836160303232</v>
      </c>
      <c r="AH269" s="2" t="n">
        <f aca="false">AD269+AE269+AG269</f>
        <v>7496.10311245338</v>
      </c>
      <c r="AI269" s="2" t="n">
        <f aca="false">Entrées!$C$16-M269+Hypothèses!$J$22*1000-AF269+Hypothèses!$J$23</f>
        <v>22749.5489709606</v>
      </c>
      <c r="AJ269" s="2" t="n">
        <f aca="false">AI269/AH269</f>
        <v>3.03485005871471</v>
      </c>
      <c r="AK269" s="2" t="n">
        <f aca="false">AI269/(AH269+I269*(12-Hypothèses!$J$24)/12/Hypothèses!$J$19)</f>
        <v>3.00747802960103</v>
      </c>
      <c r="AL269" s="2" t="n">
        <f aca="false">(AD269+AG269+I269/Hypothèses!$J$19)*(1+G269)</f>
        <v>7971.09631489115</v>
      </c>
      <c r="AM269" s="2" t="n">
        <f aca="false">Entrées!$C$54*K269/Hypothèses!$J$19</f>
        <v>29.5386745682051</v>
      </c>
      <c r="AN269" s="2" t="n">
        <f aca="false">Y269*1000/AC269</f>
        <v>51.4720265037534</v>
      </c>
      <c r="AO269" s="2" t="n">
        <f aca="false">(Entrées!$C$36*(1-S269)+MAX(0,Entrées!$C$30-Entrées!$C$35-Entrées!$C$36)*U269)*1000</f>
        <v>707.781883543713</v>
      </c>
      <c r="AP269" s="2" t="n">
        <f aca="false">-AO269/W269</f>
        <v>-80.988896443105</v>
      </c>
      <c r="AQ269" s="2" t="n">
        <f aca="false">AL269+AM269+AN269+AP269</f>
        <v>7971.11811952001</v>
      </c>
      <c r="AR269" s="2" t="n">
        <f aca="false">O269*AQ269-Hypothèses!$J$25/Hypothèses!$J$19</f>
        <v>1288.57436201004</v>
      </c>
      <c r="AS269" s="2" t="n">
        <f aca="false">Entrées!$C$79*(1+Q269)+Hypothèses!$J$20</f>
        <v>1460.27175117026</v>
      </c>
      <c r="AT269" s="2" t="n">
        <f aca="false">AI269-AR269+AS269+Y269*1000-AO269+Hypothèses!$J$23</f>
        <v>22617.0008813785</v>
      </c>
      <c r="AU269" s="2" t="n">
        <f aca="false">AT269/AQ269</f>
        <v>2.83736867805196</v>
      </c>
      <c r="AV269" s="2" t="n">
        <f aca="false">Hypothèses!$J$26*AQ269-AT269</f>
        <v>1296.35347718152</v>
      </c>
      <c r="AW269" s="2" t="n">
        <f aca="false">IF(AC269&gt;Hypothèses!$J$26,MAX(0,AV269)/(1-Hypothèses!$J$26/AC269),0)</f>
        <v>2099.89217429128</v>
      </c>
      <c r="AX269" s="2" t="n">
        <f aca="false">AQ269-Entrées!$C$17*1000</f>
        <v>-28.8818804799939</v>
      </c>
      <c r="AY269" s="2" t="n">
        <f aca="false">AI269+(Entrées!$C$244-Entrées!$C$13)</f>
        <v>28496.5489709606</v>
      </c>
      <c r="AZ269" s="2" t="n">
        <f aca="false">AA269*AH269</f>
        <v>5446.26426861054</v>
      </c>
      <c r="BA269" s="2" t="n">
        <f aca="false">AZ269/AY269</f>
        <v>0.191120134376992</v>
      </c>
      <c r="BB269" s="2" t="n">
        <f aca="false">AZ269/(Entrées!$C$151/100)-AY269</f>
        <v>1760.47474354236</v>
      </c>
      <c r="BC269" s="2" t="n">
        <f aca="false">AT269+(Entrées!$C$244-Entrées!$C$13)</f>
        <v>28364.0008813785</v>
      </c>
      <c r="BD269" s="2" t="n">
        <f aca="false">AA269*AQ269</f>
        <v>5791.38455594261</v>
      </c>
      <c r="BE269" s="2" t="n">
        <f aca="false">BD269/BC269</f>
        <v>0.204180805809549</v>
      </c>
      <c r="BF269" s="2" t="n">
        <f aca="false">BD269/(Entrées!$C$151/100)-BC269</f>
        <v>3810.35776274711</v>
      </c>
      <c r="BG269" s="2" t="n">
        <f aca="false">MIN(AV269,BF269)</f>
        <v>1296.35347718152</v>
      </c>
      <c r="BH269" s="2" t="n">
        <f aca="false">IF(AC269&gt;Hypothèses!$J$26,MAX(0,BG269)/(1-Hypothèses!$J$26/AC269),0)</f>
        <v>2099.89217429128</v>
      </c>
    </row>
    <row r="270" customFormat="false" ht="15" hidden="false" customHeight="false" outlineLevel="0" collapsed="false">
      <c r="A270" s="2" t="n">
        <v>255</v>
      </c>
      <c r="B270" s="2" t="n">
        <v>0.842478259</v>
      </c>
      <c r="C270" s="2"/>
      <c r="D270" s="2" t="n">
        <v>0.670385766</v>
      </c>
      <c r="E270" s="2" t="n">
        <f aca="false">IF(E$7=E$5,E$6,IF(NORMSDIST(E$9*SQRT($C$11)*NORMSINV($B270)+SQRT(1-E$9^2*$C$11)*NORMSINV(D270))&lt;E$8,E$5+SQRT(NORMSDIST(E$9*SQRT($C$11)*NORMSINV($B270)+SQRT(1-E$9^2*$C$11)*NORMSINV(D270))*(E$7-E$5)*(E$6-E$5)),E$7-SQRT((1-NORMSDIST(E$9*SQRT($C$11)*NORMSINV($B270)+SQRT(1-E$9^2*$C$11)*NORMSINV(D270)))*(E$7-E$5)*(E$7-E$6))))</f>
        <v>0.0571339649789865</v>
      </c>
      <c r="F270" s="2" t="n">
        <v>0.819771406</v>
      </c>
      <c r="G270" s="2" t="n">
        <f aca="false">IF(G$7=G$5,G$6,IF(NORMSDIST(G$9*SQRT($C$11)*NORMSINV($B270)+SQRT(1-G$9^2*$C$11)*NORMSINV(F270))&lt;G$8,G$5+SQRT(NORMSDIST(G$9*SQRT($C$11)*NORMSINV($B270)+SQRT(1-G$9^2*$C$11)*NORMSINV(F270))*(G$7-G$5)*(G$6-G$5)),G$7-SQRT((1-NORMSDIST(G$9*SQRT($C$11)*NORMSINV($B270)+SQRT(1-G$9^2*$C$11)*NORMSINV(F270)))*(G$7-G$5)*(G$7-G$6))))</f>
        <v>0.0636534491451369</v>
      </c>
      <c r="H270" s="2" t="n">
        <v>0.754787793</v>
      </c>
      <c r="I270" s="2" t="n">
        <f aca="false">IF(I$7=I$5,I$6,IF(NORMSDIST(I$9*SQRT($C$11)*NORMSINV($B270)+SQRT(1-I$9^2*$C$11)*NORMSINV(H270))&lt;I$8,I$5+SQRT(NORMSDIST(I$9*SQRT($C$11)*NORMSINV($B270)+SQRT(1-I$9^2*$C$11)*NORMSINV(H270))*(I$7-I$5)*(I$6-I$5)),I$7-SQRT((1-NORMSDIST(I$9*SQRT($C$11)*NORMSINV($B270)+SQRT(1-I$9^2*$C$11)*NORMSINV(H270)))*(I$7-I$5)*(I$7-I$6))))</f>
        <v>210.15811844901</v>
      </c>
      <c r="J270" s="2" t="n">
        <v>0.298892734</v>
      </c>
      <c r="K270" s="2" t="n">
        <f aca="false">IF(K$7=K$5,K$6,IF(NORMSDIST(K$9*SQRT($C$11)*NORMSINV($B270)+SQRT(1-K$9^2*$C$11)*NORMSINV(J270))&lt;K$8,K$5+SQRT(NORMSDIST(K$9*SQRT($C$11)*NORMSINV($B270)+SQRT(1-K$9^2*$C$11)*NORMSINV(J270))*(K$7-K$5)*(K$6-K$5)),K$7-SQRT((1-NORMSDIST(K$9*SQRT($C$11)*NORMSINV($B270)+SQRT(1-K$9^2*$C$11)*NORMSINV(J270)))*(K$7-K$5)*(K$7-K$6))))</f>
        <v>0.273530863842668</v>
      </c>
      <c r="L270" s="2" t="n">
        <v>0.500634924</v>
      </c>
      <c r="M270" s="2" t="n">
        <f aca="false">IF(M$7=M$5,M$6,IF(NORMSDIST(M$9*SQRT($C$11)*NORMSINV($B270)+SQRT(1-M$9^2*$C$11)*NORMSINV(L270))&lt;M$8,M$5+SQRT(NORMSDIST(M$9*SQRT($C$11)*NORMSINV($B270)+SQRT(1-M$9^2*$C$11)*NORMSINV(L270))*(M$7-M$5)*(M$6-M$5)),M$7-SQRT((1-NORMSDIST(M$9*SQRT($C$11)*NORMSINV($B270)+SQRT(1-M$9^2*$C$11)*NORMSINV(L270)))*(M$7-M$5)*(M$7-M$6))))</f>
        <v>1647.43043566145</v>
      </c>
      <c r="N270" s="2" t="n">
        <v>0.437368643</v>
      </c>
      <c r="O270" s="2" t="n">
        <f aca="false">IF(O$7=O$5,O$6,IF(NORMSDIST(O$9*SQRT($C$11)*NORMSINV($B270)+SQRT(1-O$9^2*$C$11)*NORMSINV(N270))&lt;O$8,O$5+SQRT(NORMSDIST(O$9*SQRT($C$11)*NORMSINV($B270)+SQRT(1-O$9^2*$C$11)*NORMSINV(N270))*(O$7-O$5)*(O$6-O$5)),O$7-SQRT((1-NORMSDIST(O$9*SQRT($C$11)*NORMSINV($B270)+SQRT(1-O$9^2*$C$11)*NORMSINV(N270)))*(O$7-O$5)*(O$7-O$6))))</f>
        <v>0.172009110442926</v>
      </c>
      <c r="P270" s="2" t="n">
        <v>0.482509428</v>
      </c>
      <c r="Q270" s="2" t="n">
        <f aca="false">IF(Q$7=Q$5,Q$6,IF(NORMSDIST(Q$9*SQRT($C$11)*NORMSINV($B270)+SQRT(1-Q$9^2*$C$11)*NORMSINV(P270))&lt;Q$8,Q$5+SQRT(NORMSDIST(Q$9*SQRT($C$11)*NORMSINV($B270)+SQRT(1-Q$9^2*$C$11)*NORMSINV(P270))*(Q$7-Q$5)*(Q$6-Q$5)),Q$7-SQRT((1-NORMSDIST(Q$9*SQRT($C$11)*NORMSINV($B270)+SQRT(1-Q$9^2*$C$11)*NORMSINV(P270)))*(Q$7-Q$5)*(Q$7-Q$6))))</f>
        <v>0.0792941493049538</v>
      </c>
      <c r="R270" s="2" t="n">
        <v>0.079236958</v>
      </c>
      <c r="S270" s="2" t="n">
        <f aca="false">IF(S$7=S$5,S$6,IF(NORMSDIST(S$9*SQRT($C$11)*NORMSINV($B270)+SQRT(1-S$9^2*$C$11)*NORMSINV(R270))&lt;S$8,S$5+SQRT(NORMSDIST(S$9*SQRT($C$11)*NORMSINV($B270)+SQRT(1-S$9^2*$C$11)*NORMSINV(R270))*(S$7-S$5)*(S$6-S$5)),S$7-SQRT((1-NORMSDIST(S$9*SQRT($C$11)*NORMSINV($B270)+SQRT(1-S$9^2*$C$11)*NORMSINV(R270)))*(S$7-S$5)*(S$7-S$6))))</f>
        <v>0.402406000907957</v>
      </c>
      <c r="T270" s="2" t="n">
        <v>0.114801328</v>
      </c>
      <c r="U270" s="2" t="n">
        <f aca="false">IF(U$7=U$5,U$6,IF(NORMSDIST(U$9*SQRT($C$11)*NORMSINV($B270)+SQRT(1-U$9^2*$C$11)*NORMSINV(T270))&lt;U$8,U$5+SQRT(NORMSDIST(U$9*SQRT($C$11)*NORMSINV($B270)+SQRT(1-U$9^2*$C$11)*NORMSINV(T270))*(U$7-U$5)*(U$6-U$5)),U$7-SQRT((1-NORMSDIST(U$9*SQRT($C$11)*NORMSINV($B270)+SQRT(1-U$9^2*$C$11)*NORMSINV(T270)))*(U$7-U$5)*(U$7-U$6))))</f>
        <v>0.43814098537018</v>
      </c>
      <c r="V270" s="2" t="n">
        <v>0.286327024</v>
      </c>
      <c r="W270" s="2" t="n">
        <f aca="false">IF(W$7=W$5,W$6,IF(NORMSDIST(W$9*SQRT($C$11)*NORMSINV($B270)+SQRT(1-W$9^2*$C$11)*NORMSINV(V270))&lt;W$8,W$5+SQRT(NORMSDIST(W$9*SQRT($C$11)*NORMSINV($B270)+SQRT(1-W$9^2*$C$11)*NORMSINV(V270))*(W$7-W$5)*(W$6-W$5)),W$7-SQRT((1-NORMSDIST(W$9*SQRT($C$11)*NORMSINV($B270)+SQRT(1-W$9^2*$C$11)*NORMSINV(V270)))*(W$7-W$5)*(W$7-W$6))))</f>
        <v>10.1640242281362</v>
      </c>
      <c r="X270" s="2" t="n">
        <v>0.794998359</v>
      </c>
      <c r="Y270" s="2" t="n">
        <f aca="false">IF(Y$7=Y$5,Y$6,IF(NORMSDIST(Y$9*SQRT($C$11)*NORMSINV($B270)+SQRT(1-Y$9^2*$C$11)*NORMSINV(X270))&lt;Y$8,Y$5+SQRT(NORMSDIST(Y$9*SQRT($C$11)*NORMSINV($B270)+SQRT(1-Y$9^2*$C$11)*NORMSINV(X270))*(Y$7-Y$5)*(Y$6-Y$5)),Y$7-SQRT((1-NORMSDIST(Y$9*SQRT($C$11)*NORMSINV($B270)+SQRT(1-Y$9^2*$C$11)*NORMSINV(X270)))*(Y$7-Y$5)*(Y$7-Y$6))))</f>
        <v>0.679842506725206</v>
      </c>
      <c r="Z270" s="2" t="n">
        <v>0.035226782</v>
      </c>
      <c r="AA270" s="2" t="n">
        <f aca="false">IF(AA$7=AA$5,AA$6,IF(NORMSDIST(AA$9*SQRT($C$11)*NORMSINV($B270)+SQRT(1-AA$9^2*$C$11)*NORMSINV(Z270))&lt;AA$8,AA$5+SQRT(NORMSDIST(AA$9*SQRT($C$11)*NORMSINV($B270)+SQRT(1-AA$9^2*$C$11)*NORMSINV(Z270))*(AA$7-AA$5)*(AA$6-AA$5)),AA$7-SQRT((1-NORMSDIST(AA$9*SQRT($C$11)*NORMSINV($B270)+SQRT(1-AA$9^2*$C$11)*NORMSINV(Z270)))*(AA$7-AA$5)*(AA$7-AA$6))))</f>
        <v>0.717124585938855</v>
      </c>
      <c r="AB270" s="2" t="n">
        <v>0.957139563</v>
      </c>
      <c r="AC270" s="2" t="n">
        <f aca="false">IF(AC$7=AC$5,AC$6,IF(NORMSDIST(AC$9*SQRT($C$11)*NORMSINV($B270)+SQRT(1-AC$9^2*$C$11)*NORMSINV(AB270))&lt;AC$8,AC$5+SQRT(NORMSDIST(AC$9*SQRT($C$11)*NORMSINV($B270)+SQRT(1-AC$9^2*$C$11)*NORMSINV(AB270))*(AC$7-AC$5)*(AC$6-AC$5)),AC$7-SQRT((1-NORMSDIST(AC$9*SQRT($C$11)*NORMSINV($B270)+SQRT(1-AC$9^2*$C$11)*NORMSINV(AB270)))*(AC$7-AC$5)*(AC$7-AC$6))))</f>
        <v>10.6738722842448</v>
      </c>
      <c r="AD270" s="2" t="n">
        <f aca="false">Entrées!$C$8*(1+E270)</f>
        <v>7452.79445310185</v>
      </c>
      <c r="AE270" s="2" t="n">
        <f aca="false">I270*Hypothèses!$J$24/12/Hypothèses!$J$19</f>
        <v>104.258769925328</v>
      </c>
      <c r="AF270" s="2" t="n">
        <f aca="false">Entrées!$C$36*S270*1000</f>
        <v>201.203000453978</v>
      </c>
      <c r="AG270" s="2" t="n">
        <f aca="false">-AF270/W270</f>
        <v>-19.7956041758545</v>
      </c>
      <c r="AH270" s="2" t="n">
        <f aca="false">AD270+AE270+AG270</f>
        <v>7537.25761885133</v>
      </c>
      <c r="AI270" s="2" t="n">
        <f aca="false">Entrées!$C$16-M270+Hypothèses!$J$22*1000-AF270+Hypothèses!$J$23</f>
        <v>22699.3665638846</v>
      </c>
      <c r="AJ270" s="2" t="n">
        <f aca="false">AI270/AH270</f>
        <v>3.01162142940577</v>
      </c>
      <c r="AK270" s="2" t="n">
        <f aca="false">AI270/(AH270+I270*(12-Hypothèses!$J$24)/12/Hypothèses!$J$19)</f>
        <v>2.98215675343398</v>
      </c>
      <c r="AL270" s="2" t="n">
        <f aca="false">(AD270+AG270+I270/Hypothèses!$J$19)*(1+G270)</f>
        <v>8096.24092069718</v>
      </c>
      <c r="AM270" s="2" t="n">
        <f aca="false">Entrées!$C$54*K270/Hypothèses!$J$19</f>
        <v>27.9149731370249</v>
      </c>
      <c r="AN270" s="2" t="n">
        <f aca="false">Y270*1000/AC270</f>
        <v>63.6922092208924</v>
      </c>
      <c r="AO270" s="2" t="n">
        <f aca="false">(Entrées!$C$36*(1-S270)+MAX(0,Entrées!$C$30-Entrées!$C$35-Entrées!$C$36)*U270)*1000</f>
        <v>912.194379064273</v>
      </c>
      <c r="AP270" s="2" t="n">
        <f aca="false">-AO270/W270</f>
        <v>-89.7473637006027</v>
      </c>
      <c r="AQ270" s="2" t="n">
        <f aca="false">AL270+AM270+AN270+AP270</f>
        <v>8098.1007393545</v>
      </c>
      <c r="AR270" s="2" t="n">
        <f aca="false">O270*AQ270-Hypothèses!$J$25/Hypothèses!$J$19</f>
        <v>1373.81194219194</v>
      </c>
      <c r="AS270" s="2" t="n">
        <f aca="false">Entrées!$C$79*(1+Q270)+Hypothèses!$J$20</f>
        <v>1481.14427008614</v>
      </c>
      <c r="AT270" s="2" t="n">
        <f aca="false">AI270-AR270+AS270+Y270*1000-AO270+Hypothèses!$J$23</f>
        <v>22574.3470194397</v>
      </c>
      <c r="AU270" s="2" t="n">
        <f aca="false">AT270/AQ270</f>
        <v>2.7876100515439</v>
      </c>
      <c r="AV270" s="2" t="n">
        <f aca="false">Hypothèses!$J$26*AQ270-AT270</f>
        <v>1719.95519862378</v>
      </c>
      <c r="AW270" s="2" t="n">
        <f aca="false">IF(AC270&gt;Hypothèses!$J$26,MAX(0,AV270)/(1-Hypothèses!$J$26/AC270),0)</f>
        <v>2392.34918757054</v>
      </c>
      <c r="AX270" s="2" t="n">
        <f aca="false">AQ270-Entrées!$C$17*1000</f>
        <v>98.1007393544951</v>
      </c>
      <c r="AY270" s="2" t="n">
        <f aca="false">AI270+(Entrées!$C$244-Entrées!$C$13)</f>
        <v>28446.3665638846</v>
      </c>
      <c r="AZ270" s="2" t="n">
        <f aca="false">AA270*AH270</f>
        <v>5405.15274903324</v>
      </c>
      <c r="BA270" s="2" t="n">
        <f aca="false">AZ270/AY270</f>
        <v>0.190012061360962</v>
      </c>
      <c r="BB270" s="2" t="n">
        <f aca="false">AZ270/(Entrées!$C$151/100)-AY270</f>
        <v>1582.25981963344</v>
      </c>
      <c r="BC270" s="2" t="n">
        <f aca="false">AT270+(Entrées!$C$244-Entrées!$C$13)</f>
        <v>28321.3470194397</v>
      </c>
      <c r="BD270" s="2" t="n">
        <f aca="false">AA270*AQ270</f>
        <v>5807.34713960073</v>
      </c>
      <c r="BE270" s="2" t="n">
        <f aca="false">BD270/BC270</f>
        <v>0.205051939641663</v>
      </c>
      <c r="BF270" s="2" t="n">
        <f aca="false">BD270/(Entrées!$C$151/100)-BC270</f>
        <v>3941.6926450088</v>
      </c>
      <c r="BG270" s="2" t="n">
        <f aca="false">MIN(AV270,BF270)</f>
        <v>1719.95519862378</v>
      </c>
      <c r="BH270" s="2" t="n">
        <f aca="false">IF(AC270&gt;Hypothèses!$J$26,MAX(0,BG270)/(1-Hypothèses!$J$26/AC270),0)</f>
        <v>2392.34918757054</v>
      </c>
    </row>
    <row r="271" customFormat="false" ht="15" hidden="false" customHeight="false" outlineLevel="0" collapsed="false">
      <c r="A271" s="2" t="n">
        <v>256</v>
      </c>
      <c r="B271" s="2" t="n">
        <v>0.288009019</v>
      </c>
      <c r="C271" s="2"/>
      <c r="D271" s="2" t="n">
        <v>0.527123027</v>
      </c>
      <c r="E271" s="2" t="n">
        <f aca="false">IF(E$7=E$5,E$6,IF(NORMSDIST(E$9*SQRT($C$11)*NORMSINV($B271)+SQRT(1-E$9^2*$C$11)*NORMSINV(D271))&lt;E$8,E$5+SQRT(NORMSDIST(E$9*SQRT($C$11)*NORMSINV($B271)+SQRT(1-E$9^2*$C$11)*NORMSINV(D271))*(E$7-E$5)*(E$6-E$5)),E$7-SQRT((1-NORMSDIST(E$9*SQRT($C$11)*NORMSINV($B271)+SQRT(1-E$9^2*$C$11)*NORMSINV(D271)))*(E$7-E$5)*(E$7-E$6))))</f>
        <v>0.0543687399370634</v>
      </c>
      <c r="F271" s="2" t="n">
        <v>0.092072286</v>
      </c>
      <c r="G271" s="2" t="n">
        <f aca="false">IF(G$7=G$5,G$6,IF(NORMSDIST(G$9*SQRT($C$11)*NORMSINV($B271)+SQRT(1-G$9^2*$C$11)*NORMSINV(F271))&lt;G$8,G$5+SQRT(NORMSDIST(G$9*SQRT($C$11)*NORMSINV($B271)+SQRT(1-G$9^2*$C$11)*NORMSINV(F271))*(G$7-G$5)*(G$6-G$5)),G$7-SQRT((1-NORMSDIST(G$9*SQRT($C$11)*NORMSINV($B271)+SQRT(1-G$9^2*$C$11)*NORMSINV(F271)))*(G$7-G$5)*(G$7-G$6))))</f>
        <v>0.0461269655661946</v>
      </c>
      <c r="H271" s="2" t="n">
        <v>0.164701246</v>
      </c>
      <c r="I271" s="2" t="n">
        <f aca="false">IF(I$7=I$5,I$6,IF(NORMSDIST(I$9*SQRT($C$11)*NORMSINV($B271)+SQRT(1-I$9^2*$C$11)*NORMSINV(H271))&lt;I$8,I$5+SQRT(NORMSDIST(I$9*SQRT($C$11)*NORMSINV($B271)+SQRT(1-I$9^2*$C$11)*NORMSINV(H271))*(I$7-I$5)*(I$6-I$5)),I$7-SQRT((1-NORMSDIST(I$9*SQRT($C$11)*NORMSINV($B271)+SQRT(1-I$9^2*$C$11)*NORMSINV(H271)))*(I$7-I$5)*(I$7-I$6))))</f>
        <v>190.341446143168</v>
      </c>
      <c r="J271" s="2" t="n">
        <v>0.337389424</v>
      </c>
      <c r="K271" s="2" t="n">
        <f aca="false">IF(K$7=K$5,K$6,IF(NORMSDIST(K$9*SQRT($C$11)*NORMSINV($B271)+SQRT(1-K$9^2*$C$11)*NORMSINV(J271))&lt;K$8,K$5+SQRT(NORMSDIST(K$9*SQRT($C$11)*NORMSINV($B271)+SQRT(1-K$9^2*$C$11)*NORMSINV(J271))*(K$7-K$5)*(K$6-K$5)),K$7-SQRT((1-NORMSDIST(K$9*SQRT($C$11)*NORMSINV($B271)+SQRT(1-K$9^2*$C$11)*NORMSINV(J271)))*(K$7-K$5)*(K$7-K$6))))</f>
        <v>0.176304233235576</v>
      </c>
      <c r="L271" s="2" t="n">
        <v>0.231865347</v>
      </c>
      <c r="M271" s="2" t="n">
        <f aca="false">IF(M$7=M$5,M$6,IF(NORMSDIST(M$9*SQRT($C$11)*NORMSINV($B271)+SQRT(1-M$9^2*$C$11)*NORMSINV(L271))&lt;M$8,M$5+SQRT(NORMSDIST(M$9*SQRT($C$11)*NORMSINV($B271)+SQRT(1-M$9^2*$C$11)*NORMSINV(L271))*(M$7-M$5)*(M$6-M$5)),M$7-SQRT((1-NORMSDIST(M$9*SQRT($C$11)*NORMSINV($B271)+SQRT(1-M$9^2*$C$11)*NORMSINV(L271)))*(M$7-M$5)*(M$7-M$6))))</f>
        <v>1471.76655902179</v>
      </c>
      <c r="N271" s="2" t="n">
        <v>0.554246984</v>
      </c>
      <c r="O271" s="2" t="n">
        <f aca="false">IF(O$7=O$5,O$6,IF(NORMSDIST(O$9*SQRT($C$11)*NORMSINV($B271)+SQRT(1-O$9^2*$C$11)*NORMSINV(N271))&lt;O$8,O$5+SQRT(NORMSDIST(O$9*SQRT($C$11)*NORMSINV($B271)+SQRT(1-O$9^2*$C$11)*NORMSINV(N271))*(O$7-O$5)*(O$6-O$5)),O$7-SQRT((1-NORMSDIST(O$9*SQRT($C$11)*NORMSINV($B271)+SQRT(1-O$9^2*$C$11)*NORMSINV(N271)))*(O$7-O$5)*(O$7-O$6))))</f>
        <v>0.164018352868695</v>
      </c>
      <c r="P271" s="2" t="n">
        <v>0.441310788</v>
      </c>
      <c r="Q271" s="2" t="n">
        <f aca="false">IF(Q$7=Q$5,Q$6,IF(NORMSDIST(Q$9*SQRT($C$11)*NORMSINV($B271)+SQRT(1-Q$9^2*$C$11)*NORMSINV(P271))&lt;Q$8,Q$5+SQRT(NORMSDIST(Q$9*SQRT($C$11)*NORMSINV($B271)+SQRT(1-Q$9^2*$C$11)*NORMSINV(P271))*(Q$7-Q$5)*(Q$6-Q$5)),Q$7-SQRT((1-NORMSDIST(Q$9*SQRT($C$11)*NORMSINV($B271)+SQRT(1-Q$9^2*$C$11)*NORMSINV(P271)))*(Q$7-Q$5)*(Q$7-Q$6))))</f>
        <v>0.0775791767019981</v>
      </c>
      <c r="R271" s="2" t="n">
        <v>0.247299351</v>
      </c>
      <c r="S271" s="2" t="n">
        <f aca="false">IF(S$7=S$5,S$6,IF(NORMSDIST(S$9*SQRT($C$11)*NORMSINV($B271)+SQRT(1-S$9^2*$C$11)*NORMSINV(R271))&lt;S$8,S$5+SQRT(NORMSDIST(S$9*SQRT($C$11)*NORMSINV($B271)+SQRT(1-S$9^2*$C$11)*NORMSINV(R271))*(S$7-S$5)*(S$6-S$5)),S$7-SQRT((1-NORMSDIST(S$9*SQRT($C$11)*NORMSINV($B271)+SQRT(1-S$9^2*$C$11)*NORMSINV(R271)))*(S$7-S$5)*(S$7-S$6))))</f>
        <v>0.307156027757452</v>
      </c>
      <c r="T271" s="2" t="n">
        <v>0.963639011</v>
      </c>
      <c r="U271" s="2" t="n">
        <f aca="false">IF(U$7=U$5,U$6,IF(NORMSDIST(U$9*SQRT($C$11)*NORMSINV($B271)+SQRT(1-U$9^2*$C$11)*NORMSINV(T271))&lt;U$8,U$5+SQRT(NORMSDIST(U$9*SQRT($C$11)*NORMSINV($B271)+SQRT(1-U$9^2*$C$11)*NORMSINV(T271))*(U$7-U$5)*(U$6-U$5)),U$7-SQRT((1-NORMSDIST(U$9*SQRT($C$11)*NORMSINV($B271)+SQRT(1-U$9^2*$C$11)*NORMSINV(T271)))*(U$7-U$5)*(U$7-U$6))))</f>
        <v>0.726130209337394</v>
      </c>
      <c r="V271" s="2" t="n">
        <v>0.935203628</v>
      </c>
      <c r="W271" s="2" t="n">
        <f aca="false">IF(W$7=W$5,W$6,IF(NORMSDIST(W$9*SQRT($C$11)*NORMSINV($B271)+SQRT(1-W$9^2*$C$11)*NORMSINV(V271))&lt;W$8,W$5+SQRT(NORMSDIST(W$9*SQRT($C$11)*NORMSINV($B271)+SQRT(1-W$9^2*$C$11)*NORMSINV(V271))*(W$7-W$5)*(W$6-W$5)),W$7-SQRT((1-NORMSDIST(W$9*SQRT($C$11)*NORMSINV($B271)+SQRT(1-W$9^2*$C$11)*NORMSINV(V271)))*(W$7-W$5)*(W$7-W$6))))</f>
        <v>10.7162633155258</v>
      </c>
      <c r="X271" s="2" t="n">
        <v>0.455123341</v>
      </c>
      <c r="Y271" s="2" t="n">
        <f aca="false">IF(Y$7=Y$5,Y$6,IF(NORMSDIST(Y$9*SQRT($C$11)*NORMSINV($B271)+SQRT(1-Y$9^2*$C$11)*NORMSINV(X271))&lt;Y$8,Y$5+SQRT(NORMSDIST(Y$9*SQRT($C$11)*NORMSINV($B271)+SQRT(1-Y$9^2*$C$11)*NORMSINV(X271))*(Y$7-Y$5)*(Y$6-Y$5)),Y$7-SQRT((1-NORMSDIST(Y$9*SQRT($C$11)*NORMSINV($B271)+SQRT(1-Y$9^2*$C$11)*NORMSINV(X271)))*(Y$7-Y$5)*(Y$7-Y$6))))</f>
        <v>0.477034244577892</v>
      </c>
      <c r="Z271" s="2" t="n">
        <v>0.493658353</v>
      </c>
      <c r="AA271" s="2" t="n">
        <f aca="false">IF(AA$7=AA$5,AA$6,IF(NORMSDIST(AA$9*SQRT($C$11)*NORMSINV($B271)+SQRT(1-AA$9^2*$C$11)*NORMSINV(Z271))&lt;AA$8,AA$5+SQRT(NORMSDIST(AA$9*SQRT($C$11)*NORMSINV($B271)+SQRT(1-AA$9^2*$C$11)*NORMSINV(Z271))*(AA$7-AA$5)*(AA$6-AA$5)),AA$7-SQRT((1-NORMSDIST(AA$9*SQRT($C$11)*NORMSINV($B271)+SQRT(1-AA$9^2*$C$11)*NORMSINV(Z271)))*(AA$7-AA$5)*(AA$7-AA$6))))</f>
        <v>0.722984621173299</v>
      </c>
      <c r="AB271" s="2" t="n">
        <v>0.850835523</v>
      </c>
      <c r="AC271" s="2" t="n">
        <f aca="false">IF(AC$7=AC$5,AC$6,IF(NORMSDIST(AC$9*SQRT($C$11)*NORMSINV($B271)+SQRT(1-AC$9^2*$C$11)*NORMSINV(AB271))&lt;AC$8,AC$5+SQRT(NORMSDIST(AC$9*SQRT($C$11)*NORMSINV($B271)+SQRT(1-AC$9^2*$C$11)*NORMSINV(AB271))*(AC$7-AC$5)*(AC$6-AC$5)),AC$7-SQRT((1-NORMSDIST(AC$9*SQRT($C$11)*NORMSINV($B271)+SQRT(1-AC$9^2*$C$11)*NORMSINV(AB271)))*(AC$7-AC$5)*(AC$7-AC$6))))</f>
        <v>9.81388835051175</v>
      </c>
      <c r="AD271" s="2" t="n">
        <f aca="false">Entrées!$C$8*(1+E271)</f>
        <v>7433.2996165563</v>
      </c>
      <c r="AE271" s="2" t="n">
        <f aca="false">I271*Hypothèses!$J$24/12/Hypothèses!$J$19</f>
        <v>94.4277822201274</v>
      </c>
      <c r="AF271" s="2" t="n">
        <f aca="false">Entrées!$C$36*S271*1000</f>
        <v>153.578013878726</v>
      </c>
      <c r="AG271" s="2" t="n">
        <f aca="false">-AF271/W271</f>
        <v>-14.3313027458201</v>
      </c>
      <c r="AH271" s="2" t="n">
        <f aca="false">AD271+AE271+AG271</f>
        <v>7513.3960960306</v>
      </c>
      <c r="AI271" s="2" t="n">
        <f aca="false">Entrées!$C$16-M271+Hypothèses!$J$22*1000-AF271+Hypothèses!$J$23</f>
        <v>22922.6554270995</v>
      </c>
      <c r="AJ271" s="2" t="n">
        <f aca="false">AI271/AH271</f>
        <v>3.05090469530945</v>
      </c>
      <c r="AK271" s="2" t="n">
        <f aca="false">AI271/(AH271+I271*(12-Hypothèses!$J$24)/12/Hypothèses!$J$19)</f>
        <v>3.02376013531346</v>
      </c>
      <c r="AL271" s="2" t="n">
        <f aca="false">(AD271+AG271+I271/Hypothèses!$J$19)*(1+G271)</f>
        <v>7930.52586566531</v>
      </c>
      <c r="AM271" s="2" t="n">
        <f aca="false">Entrées!$C$54*K271/Hypothèses!$J$19</f>
        <v>17.9925872553296</v>
      </c>
      <c r="AN271" s="2" t="n">
        <f aca="false">Y271*1000/AC271</f>
        <v>48.6080774042041</v>
      </c>
      <c r="AO271" s="2" t="n">
        <f aca="false">(Entrées!$C$36*(1-S271)+MAX(0,Entrées!$C$30-Entrées!$C$35-Entrées!$C$36)*U271)*1000</f>
        <v>1363.00427919363</v>
      </c>
      <c r="AP271" s="2" t="n">
        <f aca="false">-AO271/W271</f>
        <v>-127.190256441244</v>
      </c>
      <c r="AQ271" s="2" t="n">
        <f aca="false">AL271+AM271+AN271+AP271</f>
        <v>7869.9362738836</v>
      </c>
      <c r="AR271" s="2" t="n">
        <f aca="false">O271*AQ271-Hypothèses!$J$25/Hypothèses!$J$19</f>
        <v>1271.67882256236</v>
      </c>
      <c r="AS271" s="2" t="n">
        <f aca="false">Entrées!$C$79*(1+Q271)+Hypothèses!$J$20</f>
        <v>1479.2595151955</v>
      </c>
      <c r="AT271" s="2" t="n">
        <f aca="false">AI271-AR271+AS271+Y271*1000-AO271+Hypothèses!$J$23</f>
        <v>22244.2660851169</v>
      </c>
      <c r="AU271" s="2" t="n">
        <f aca="false">AT271/AQ271</f>
        <v>2.82648617612503</v>
      </c>
      <c r="AV271" s="2" t="n">
        <f aca="false">Hypothèses!$J$26*AQ271-AT271</f>
        <v>1365.5427365339</v>
      </c>
      <c r="AW271" s="2" t="n">
        <f aca="false">IF(AC271&gt;Hypothèses!$J$26,MAX(0,AV271)/(1-Hypothèses!$J$26/AC271),0)</f>
        <v>1966.7601323684</v>
      </c>
      <c r="AX271" s="2" t="n">
        <f aca="false">AQ271-Entrées!$C$17*1000</f>
        <v>-130.063726116402</v>
      </c>
      <c r="AY271" s="2" t="n">
        <f aca="false">AI271+(Entrées!$C$244-Entrées!$C$13)</f>
        <v>28669.6554270995</v>
      </c>
      <c r="AZ271" s="2" t="n">
        <f aca="false">AA271*AH271</f>
        <v>5432.06983021363</v>
      </c>
      <c r="BA271" s="2" t="n">
        <f aca="false">AZ271/AY271</f>
        <v>0.189471053952015</v>
      </c>
      <c r="BB271" s="2" t="n">
        <f aca="false">AZ271/(Entrées!$C$151/100)-AY271</f>
        <v>1508.51029630958</v>
      </c>
      <c r="BC271" s="2" t="n">
        <f aca="false">AT271+(Entrées!$C$244-Entrées!$C$13)</f>
        <v>27991.2660851169</v>
      </c>
      <c r="BD271" s="2" t="n">
        <f aca="false">AA271*AQ271</f>
        <v>5689.84289563174</v>
      </c>
      <c r="BE271" s="2" t="n">
        <f aca="false">BD271/BC271</f>
        <v>0.203272080595778</v>
      </c>
      <c r="BF271" s="2" t="n">
        <f aca="false">BD271/(Entrées!$C$151/100)-BC271</f>
        <v>3618.97222394833</v>
      </c>
      <c r="BG271" s="2" t="n">
        <f aca="false">MIN(AV271,BF271)</f>
        <v>1365.5427365339</v>
      </c>
      <c r="BH271" s="2" t="n">
        <f aca="false">IF(AC271&gt;Hypothèses!$J$26,MAX(0,BG271)/(1-Hypothèses!$J$26/AC271),0)</f>
        <v>1966.7601323684</v>
      </c>
    </row>
    <row r="272" customFormat="false" ht="15" hidden="false" customHeight="false" outlineLevel="0" collapsed="false">
      <c r="A272" s="2" t="n">
        <v>257</v>
      </c>
      <c r="B272" s="2" t="n">
        <v>0.278710868</v>
      </c>
      <c r="C272" s="2"/>
      <c r="D272" s="2" t="n">
        <v>0.970168644</v>
      </c>
      <c r="E272" s="2" t="n">
        <f aca="false">IF(E$7=E$5,E$6,IF(NORMSDIST(E$9*SQRT($C$11)*NORMSINV($B272)+SQRT(1-E$9^2*$C$11)*NORMSINV(D272))&lt;E$8,E$5+SQRT(NORMSDIST(E$9*SQRT($C$11)*NORMSINV($B272)+SQRT(1-E$9^2*$C$11)*NORMSINV(D272))*(E$7-E$5)*(E$6-E$5)),E$7-SQRT((1-NORMSDIST(E$9*SQRT($C$11)*NORMSINV($B272)+SQRT(1-E$9^2*$C$11)*NORMSINV(D272)))*(E$7-E$5)*(E$7-E$6))))</f>
        <v>0.0573698277778319</v>
      </c>
      <c r="F272" s="2" t="n">
        <v>0.35480847</v>
      </c>
      <c r="G272" s="2" t="n">
        <f aca="false">IF(G$7=G$5,G$6,IF(NORMSDIST(G$9*SQRT($C$11)*NORMSINV($B272)+SQRT(1-G$9^2*$C$11)*NORMSINV(F272))&lt;G$8,G$5+SQRT(NORMSDIST(G$9*SQRT($C$11)*NORMSINV($B272)+SQRT(1-G$9^2*$C$11)*NORMSINV(F272))*(G$7-G$5)*(G$6-G$5)),G$7-SQRT((1-NORMSDIST(G$9*SQRT($C$11)*NORMSINV($B272)+SQRT(1-G$9^2*$C$11)*NORMSINV(F272)))*(G$7-G$5)*(G$7-G$6))))</f>
        <v>0.0507077894607351</v>
      </c>
      <c r="H272" s="2" t="n">
        <v>0.549397766</v>
      </c>
      <c r="I272" s="2" t="n">
        <f aca="false">IF(I$7=I$5,I$6,IF(NORMSDIST(I$9*SQRT($C$11)*NORMSINV($B272)+SQRT(1-I$9^2*$C$11)*NORMSINV(H272))&lt;I$8,I$5+SQRT(NORMSDIST(I$9*SQRT($C$11)*NORMSINV($B272)+SQRT(1-I$9^2*$C$11)*NORMSINV(H272))*(I$7-I$5)*(I$6-I$5)),I$7-SQRT((1-NORMSDIST(I$9*SQRT($C$11)*NORMSINV($B272)+SQRT(1-I$9^2*$C$11)*NORMSINV(H272)))*(I$7-I$5)*(I$7-I$6))))</f>
        <v>197.702005663006</v>
      </c>
      <c r="J272" s="2" t="n">
        <v>0.912123046</v>
      </c>
      <c r="K272" s="2" t="n">
        <f aca="false">IF(K$7=K$5,K$6,IF(NORMSDIST(K$9*SQRT($C$11)*NORMSINV($B272)+SQRT(1-K$9^2*$C$11)*NORMSINV(J272))&lt;K$8,K$5+SQRT(NORMSDIST(K$9*SQRT($C$11)*NORMSINV($B272)+SQRT(1-K$9^2*$C$11)*NORMSINV(J272))*(K$7-K$5)*(K$6-K$5)),K$7-SQRT((1-NORMSDIST(K$9*SQRT($C$11)*NORMSINV($B272)+SQRT(1-K$9^2*$C$11)*NORMSINV(J272)))*(K$7-K$5)*(K$7-K$6))))</f>
        <v>0.323585667464158</v>
      </c>
      <c r="L272" s="2" t="n">
        <v>0.845530447</v>
      </c>
      <c r="M272" s="2" t="n">
        <f aca="false">IF(M$7=M$5,M$6,IF(NORMSDIST(M$9*SQRT($C$11)*NORMSINV($B272)+SQRT(1-M$9^2*$C$11)*NORMSINV(L272))&lt;M$8,M$5+SQRT(NORMSDIST(M$9*SQRT($C$11)*NORMSINV($B272)+SQRT(1-M$9^2*$C$11)*NORMSINV(L272))*(M$7-M$5)*(M$6-M$5)),M$7-SQRT((1-NORMSDIST(M$9*SQRT($C$11)*NORMSINV($B272)+SQRT(1-M$9^2*$C$11)*NORMSINV(L272)))*(M$7-M$5)*(M$7-M$6))))</f>
        <v>1627.78058980176</v>
      </c>
      <c r="N272" s="2" t="n">
        <v>0.327913206</v>
      </c>
      <c r="O272" s="2" t="n">
        <f aca="false">IF(O$7=O$5,O$6,IF(NORMSDIST(O$9*SQRT($C$11)*NORMSINV($B272)+SQRT(1-O$9^2*$C$11)*NORMSINV(N272))&lt;O$8,O$5+SQRT(NORMSDIST(O$9*SQRT($C$11)*NORMSINV($B272)+SQRT(1-O$9^2*$C$11)*NORMSINV(N272))*(O$7-O$5)*(O$6-O$5)),O$7-SQRT((1-NORMSDIST(O$9*SQRT($C$11)*NORMSINV($B272)+SQRT(1-O$9^2*$C$11)*NORMSINV(N272)))*(O$7-O$5)*(O$7-O$6))))</f>
        <v>0.158437079565428</v>
      </c>
      <c r="P272" s="2" t="n">
        <v>0.537657406</v>
      </c>
      <c r="Q272" s="2" t="n">
        <f aca="false">IF(Q$7=Q$5,Q$6,IF(NORMSDIST(Q$9*SQRT($C$11)*NORMSINV($B272)+SQRT(1-Q$9^2*$C$11)*NORMSINV(P272))&lt;Q$8,Q$5+SQRT(NORMSDIST(Q$9*SQRT($C$11)*NORMSINV($B272)+SQRT(1-Q$9^2*$C$11)*NORMSINV(P272))*(Q$7-Q$5)*(Q$6-Q$5)),Q$7-SQRT((1-NORMSDIST(Q$9*SQRT($C$11)*NORMSINV($B272)+SQRT(1-Q$9^2*$C$11)*NORMSINV(P272)))*(Q$7-Q$5)*(Q$7-Q$6))))</f>
        <v>0.0815357789523823</v>
      </c>
      <c r="R272" s="2" t="n">
        <v>0.981353976</v>
      </c>
      <c r="S272" s="2" t="n">
        <f aca="false">IF(S$7=S$5,S$6,IF(NORMSDIST(S$9*SQRT($C$11)*NORMSINV($B272)+SQRT(1-S$9^2*$C$11)*NORMSINV(R272))&lt;S$8,S$5+SQRT(NORMSDIST(S$9*SQRT($C$11)*NORMSINV($B272)+SQRT(1-S$9^2*$C$11)*NORMSINV(R272))*(S$7-S$5)*(S$6-S$5)),S$7-SQRT((1-NORMSDIST(S$9*SQRT($C$11)*NORMSINV($B272)+SQRT(1-S$9^2*$C$11)*NORMSINV(R272)))*(S$7-S$5)*(S$7-S$6))))</f>
        <v>0.768589855807908</v>
      </c>
      <c r="T272" s="2" t="n">
        <v>0.1952292</v>
      </c>
      <c r="U272" s="2" t="n">
        <f aca="false">IF(U$7=U$5,U$6,IF(NORMSDIST(U$9*SQRT($C$11)*NORMSINV($B272)+SQRT(1-U$9^2*$C$11)*NORMSINV(T272))&lt;U$8,U$5+SQRT(NORMSDIST(U$9*SQRT($C$11)*NORMSINV($B272)+SQRT(1-U$9^2*$C$11)*NORMSINV(T272))*(U$7-U$5)*(U$6-U$5)),U$7-SQRT((1-NORMSDIST(U$9*SQRT($C$11)*NORMSINV($B272)+SQRT(1-U$9^2*$C$11)*NORMSINV(T272)))*(U$7-U$5)*(U$7-U$6))))</f>
        <v>0.273898366492096</v>
      </c>
      <c r="V272" s="2" t="n">
        <v>0.059837611</v>
      </c>
      <c r="W272" s="2" t="n">
        <f aca="false">IF(W$7=W$5,W$6,IF(NORMSDIST(W$9*SQRT($C$11)*NORMSINV($B272)+SQRT(1-W$9^2*$C$11)*NORMSINV(V272))&lt;W$8,W$5+SQRT(NORMSDIST(W$9*SQRT($C$11)*NORMSINV($B272)+SQRT(1-W$9^2*$C$11)*NORMSINV(V272))*(W$7-W$5)*(W$6-W$5)),W$7-SQRT((1-NORMSDIST(W$9*SQRT($C$11)*NORMSINV($B272)+SQRT(1-W$9^2*$C$11)*NORMSINV(V272)))*(W$7-W$5)*(W$7-W$6))))</f>
        <v>8.67801991744227</v>
      </c>
      <c r="X272" s="2" t="n">
        <v>0.615012684</v>
      </c>
      <c r="Y272" s="2" t="n">
        <f aca="false">IF(Y$7=Y$5,Y$6,IF(NORMSDIST(Y$9*SQRT($C$11)*NORMSINV($B272)+SQRT(1-Y$9^2*$C$11)*NORMSINV(X272))&lt;Y$8,Y$5+SQRT(NORMSDIST(Y$9*SQRT($C$11)*NORMSINV($B272)+SQRT(1-Y$9^2*$C$11)*NORMSINV(X272))*(Y$7-Y$5)*(Y$6-Y$5)),Y$7-SQRT((1-NORMSDIST(Y$9*SQRT($C$11)*NORMSINV($B272)+SQRT(1-Y$9^2*$C$11)*NORMSINV(X272)))*(Y$7-Y$5)*(Y$7-Y$6))))</f>
        <v>0.561259008069681</v>
      </c>
      <c r="Z272" s="2" t="n">
        <v>0.01542948</v>
      </c>
      <c r="AA272" s="2" t="n">
        <f aca="false">IF(AA$7=AA$5,AA$6,IF(NORMSDIST(AA$9*SQRT($C$11)*NORMSINV($B272)+SQRT(1-AA$9^2*$C$11)*NORMSINV(Z272))&lt;AA$8,AA$5+SQRT(NORMSDIST(AA$9*SQRT($C$11)*NORMSINV($B272)+SQRT(1-AA$9^2*$C$11)*NORMSINV(Z272))*(AA$7-AA$5)*(AA$6-AA$5)),AA$7-SQRT((1-NORMSDIST(AA$9*SQRT($C$11)*NORMSINV($B272)+SQRT(1-AA$9^2*$C$11)*NORMSINV(Z272)))*(AA$7-AA$5)*(AA$7-AA$6))))</f>
        <v>0.70194865857314</v>
      </c>
      <c r="AB272" s="2" t="n">
        <v>0.361897155</v>
      </c>
      <c r="AC272" s="2" t="n">
        <f aca="false">IF(AC$7=AC$5,AC$6,IF(NORMSDIST(AC$9*SQRT($C$11)*NORMSINV($B272)+SQRT(1-AC$9^2*$C$11)*NORMSINV(AB272))&lt;AC$8,AC$5+SQRT(NORMSDIST(AC$9*SQRT($C$11)*NORMSINV($B272)+SQRT(1-AC$9^2*$C$11)*NORMSINV(AB272))*(AC$7-AC$5)*(AC$6-AC$5)),AC$7-SQRT((1-NORMSDIST(AC$9*SQRT($C$11)*NORMSINV($B272)+SQRT(1-AC$9^2*$C$11)*NORMSINV(AB272)))*(AC$7-AC$5)*(AC$7-AC$6))))</f>
        <v>8.89745583315067</v>
      </c>
      <c r="AD272" s="2" t="n">
        <f aca="false">Entrées!$C$8*(1+E272)</f>
        <v>7454.45728583371</v>
      </c>
      <c r="AE272" s="2" t="n">
        <f aca="false">I272*Hypothèses!$J$24/12/Hypothèses!$J$19</f>
        <v>98.0793322395321</v>
      </c>
      <c r="AF272" s="2" t="n">
        <f aca="false">Entrées!$C$36*S272*1000</f>
        <v>384.294927903954</v>
      </c>
      <c r="AG272" s="2" t="n">
        <f aca="false">-AF272/W272</f>
        <v>-44.2837112106122</v>
      </c>
      <c r="AH272" s="2" t="n">
        <f aca="false">AD272+AE272+AG272</f>
        <v>7508.25290686263</v>
      </c>
      <c r="AI272" s="2" t="n">
        <f aca="false">Entrées!$C$16-M272+Hypothèses!$J$22*1000-AF272+Hypothèses!$J$23</f>
        <v>22535.9244822943</v>
      </c>
      <c r="AJ272" s="2" t="n">
        <f aca="false">AI272/AH272</f>
        <v>3.00148713180615</v>
      </c>
      <c r="AK272" s="2" t="n">
        <f aca="false">AI272/(AH272+I272*(12-Hypothèses!$J$24)/12/Hypothèses!$J$19)</f>
        <v>2.97374028679623</v>
      </c>
      <c r="AL272" s="2" t="n">
        <f aca="false">(AD272+AG272+I272/Hypothèses!$J$19)*(1+G272)</f>
        <v>7962.58889903119</v>
      </c>
      <c r="AM272" s="2" t="n">
        <f aca="false">Entrées!$C$54*K272/Hypothèses!$J$19</f>
        <v>33.0232760131371</v>
      </c>
      <c r="AN272" s="2" t="n">
        <f aca="false">Y272*1000/AC272</f>
        <v>63.0808422761155</v>
      </c>
      <c r="AO272" s="2" t="n">
        <f aca="false">(Entrées!$C$36*(1-S272)+MAX(0,Entrées!$C$30-Entrées!$C$35-Entrées!$C$36)*U272)*1000</f>
        <v>499.16278518498</v>
      </c>
      <c r="AP272" s="2" t="n">
        <f aca="false">-AO272/W272</f>
        <v>-57.5203548659406</v>
      </c>
      <c r="AQ272" s="2" t="n">
        <f aca="false">AL272+AM272+AN272+AP272</f>
        <v>8001.17266245451</v>
      </c>
      <c r="AR272" s="2" t="n">
        <f aca="false">O272*AQ272-Hypothèses!$J$25/Hypothèses!$J$19</f>
        <v>1248.5472674764</v>
      </c>
      <c r="AS272" s="2" t="n">
        <f aca="false">Entrées!$C$79*(1+Q272)+Hypothèses!$J$20</f>
        <v>1483.60782106867</v>
      </c>
      <c r="AT272" s="2" t="n">
        <f aca="false">AI272-AR272+AS272+Y272*1000-AO272+Hypothèses!$J$23</f>
        <v>22833.0812587713</v>
      </c>
      <c r="AU272" s="2" t="n">
        <f aca="false">AT272/AQ272</f>
        <v>2.85371685152046</v>
      </c>
      <c r="AV272" s="2" t="n">
        <f aca="false">Hypothèses!$J$26*AQ272-AT272</f>
        <v>1170.43672859226</v>
      </c>
      <c r="AW272" s="2" t="n">
        <f aca="false">IF(AC272&gt;Hypothèses!$J$26,MAX(0,AV272)/(1-Hypothèses!$J$26/AC272),0)</f>
        <v>1765.83079089944</v>
      </c>
      <c r="AX272" s="2" t="n">
        <f aca="false">AQ272-Entrées!$C$17*1000</f>
        <v>1.17266245450537</v>
      </c>
      <c r="AY272" s="2" t="n">
        <f aca="false">AI272+(Entrées!$C$244-Entrées!$C$13)</f>
        <v>28282.9244822943</v>
      </c>
      <c r="AZ272" s="2" t="n">
        <f aca="false">AA272*AH272</f>
        <v>5270.40805620011</v>
      </c>
      <c r="BA272" s="2" t="n">
        <f aca="false">AZ272/AY272</f>
        <v>0.186345936732939</v>
      </c>
      <c r="BB272" s="2" t="n">
        <f aca="false">AZ272/(Entrées!$C$151/100)-AY272</f>
        <v>997.120274372974</v>
      </c>
      <c r="BC272" s="2" t="n">
        <f aca="false">AT272+(Entrées!$C$244-Entrées!$C$13)</f>
        <v>28580.0812587713</v>
      </c>
      <c r="BD272" s="2" t="n">
        <f aca="false">AA272*AQ272</f>
        <v>5616.41241742202</v>
      </c>
      <c r="BE272" s="2" t="n">
        <f aca="false">BD272/BC272</f>
        <v>0.196514921233764</v>
      </c>
      <c r="BF272" s="2" t="n">
        <f aca="false">BD272/(Entrées!$C$151/100)-BC272</f>
        <v>2622.20994912886</v>
      </c>
      <c r="BG272" s="2" t="n">
        <f aca="false">MIN(AV272,BF272)</f>
        <v>1170.43672859226</v>
      </c>
      <c r="BH272" s="2" t="n">
        <f aca="false">IF(AC272&gt;Hypothèses!$J$26,MAX(0,BG272)/(1-Hypothèses!$J$26/AC272),0)</f>
        <v>1765.83079089944</v>
      </c>
    </row>
    <row r="273" customFormat="false" ht="15" hidden="false" customHeight="false" outlineLevel="0" collapsed="false">
      <c r="A273" s="2" t="n">
        <v>258</v>
      </c>
      <c r="B273" s="2" t="n">
        <v>0.975430634</v>
      </c>
      <c r="C273" s="2"/>
      <c r="D273" s="2" t="n">
        <v>0.157046759</v>
      </c>
      <c r="E273" s="2" t="n">
        <f aca="false">IF(E$7=E$5,E$6,IF(NORMSDIST(E$9*SQRT($C$11)*NORMSINV($B273)+SQRT(1-E$9^2*$C$11)*NORMSINV(D273))&lt;E$8,E$5+SQRT(NORMSDIST(E$9*SQRT($C$11)*NORMSINV($B273)+SQRT(1-E$9^2*$C$11)*NORMSINV(D273))*(E$7-E$5)*(E$6-E$5)),E$7-SQRT((1-NORMSDIST(E$9*SQRT($C$11)*NORMSINV($B273)+SQRT(1-E$9^2*$C$11)*NORMSINV(D273)))*(E$7-E$5)*(E$7-E$6))))</f>
        <v>0.055992898706051</v>
      </c>
      <c r="F273" s="2" t="n">
        <v>0.307575652</v>
      </c>
      <c r="G273" s="2" t="n">
        <f aca="false">IF(G$7=G$5,G$6,IF(NORMSDIST(G$9*SQRT($C$11)*NORMSINV($B273)+SQRT(1-G$9^2*$C$11)*NORMSINV(F273))&lt;G$8,G$5+SQRT(NORMSDIST(G$9*SQRT($C$11)*NORMSINV($B273)+SQRT(1-G$9^2*$C$11)*NORMSINV(F273))*(G$7-G$5)*(G$6-G$5)),G$7-SQRT((1-NORMSDIST(G$9*SQRT($C$11)*NORMSINV($B273)+SQRT(1-G$9^2*$C$11)*NORMSINV(F273)))*(G$7-G$5)*(G$7-G$6))))</f>
        <v>0.0606010402364831</v>
      </c>
      <c r="H273" s="2" t="n">
        <v>0.938443848</v>
      </c>
      <c r="I273" s="2" t="n">
        <f aca="false">IF(I$7=I$5,I$6,IF(NORMSDIST(I$9*SQRT($C$11)*NORMSINV($B273)+SQRT(1-I$9^2*$C$11)*NORMSINV(H273))&lt;I$8,I$5+SQRT(NORMSDIST(I$9*SQRT($C$11)*NORMSINV($B273)+SQRT(1-I$9^2*$C$11)*NORMSINV(H273))*(I$7-I$5)*(I$6-I$5)),I$7-SQRT((1-NORMSDIST(I$9*SQRT($C$11)*NORMSINV($B273)+SQRT(1-I$9^2*$C$11)*NORMSINV(H273)))*(I$7-I$5)*(I$7-I$6))))</f>
        <v>217.571442012432</v>
      </c>
      <c r="J273" s="2" t="n">
        <v>0.988874086</v>
      </c>
      <c r="K273" s="2" t="n">
        <f aca="false">IF(K$7=K$5,K$6,IF(NORMSDIST(K$9*SQRT($C$11)*NORMSINV($B273)+SQRT(1-K$9^2*$C$11)*NORMSINV(J273))&lt;K$8,K$5+SQRT(NORMSDIST(K$9*SQRT($C$11)*NORMSINV($B273)+SQRT(1-K$9^2*$C$11)*NORMSINV(J273))*(K$7-K$5)*(K$6-K$5)),K$7-SQRT((1-NORMSDIST(K$9*SQRT($C$11)*NORMSINV($B273)+SQRT(1-K$9^2*$C$11)*NORMSINV(J273)))*(K$7-K$5)*(K$7-K$6))))</f>
        <v>0.487327645181362</v>
      </c>
      <c r="L273" s="2" t="n">
        <v>0.961623066</v>
      </c>
      <c r="M273" s="2" t="n">
        <f aca="false">IF(M$7=M$5,M$6,IF(NORMSDIST(M$9*SQRT($C$11)*NORMSINV($B273)+SQRT(1-M$9^2*$C$11)*NORMSINV(L273))&lt;M$8,M$5+SQRT(NORMSDIST(M$9*SQRT($C$11)*NORMSINV($B273)+SQRT(1-M$9^2*$C$11)*NORMSINV(L273))*(M$7-M$5)*(M$6-M$5)),M$7-SQRT((1-NORMSDIST(M$9*SQRT($C$11)*NORMSINV($B273)+SQRT(1-M$9^2*$C$11)*NORMSINV(L273)))*(M$7-M$5)*(M$7-M$6))))</f>
        <v>1773.05954577091</v>
      </c>
      <c r="N273" s="2" t="n">
        <v>0.721074856</v>
      </c>
      <c r="O273" s="2" t="n">
        <f aca="false">IF(O$7=O$5,O$6,IF(NORMSDIST(O$9*SQRT($C$11)*NORMSINV($B273)+SQRT(1-O$9^2*$C$11)*NORMSINV(N273))&lt;O$8,O$5+SQRT(NORMSDIST(O$9*SQRT($C$11)*NORMSINV($B273)+SQRT(1-O$9^2*$C$11)*NORMSINV(N273))*(O$7-O$5)*(O$6-O$5)),O$7-SQRT((1-NORMSDIST(O$9*SQRT($C$11)*NORMSINV($B273)+SQRT(1-O$9^2*$C$11)*NORMSINV(N273)))*(O$7-O$5)*(O$7-O$6))))</f>
        <v>0.183097231075563</v>
      </c>
      <c r="P273" s="2" t="n">
        <v>0.691479981</v>
      </c>
      <c r="Q273" s="2" t="n">
        <f aca="false">IF(Q$7=Q$5,Q$6,IF(NORMSDIST(Q$9*SQRT($C$11)*NORMSINV($B273)+SQRT(1-Q$9^2*$C$11)*NORMSINV(P273))&lt;Q$8,Q$5+SQRT(NORMSDIST(Q$9*SQRT($C$11)*NORMSINV($B273)+SQRT(1-Q$9^2*$C$11)*NORMSINV(P273))*(Q$7-Q$5)*(Q$6-Q$5)),Q$7-SQRT((1-NORMSDIST(Q$9*SQRT($C$11)*NORMSINV($B273)+SQRT(1-Q$9^2*$C$11)*NORMSINV(P273)))*(Q$7-Q$5)*(Q$7-Q$6))))</f>
        <v>0.0885792415623047</v>
      </c>
      <c r="R273" s="2" t="n">
        <v>0.565829132</v>
      </c>
      <c r="S273" s="2" t="n">
        <f aca="false">IF(S$7=S$5,S$6,IF(NORMSDIST(S$9*SQRT($C$11)*NORMSINV($B273)+SQRT(1-S$9^2*$C$11)*NORMSINV(R273))&lt;S$8,S$5+SQRT(NORMSDIST(S$9*SQRT($C$11)*NORMSINV($B273)+SQRT(1-S$9^2*$C$11)*NORMSINV(R273))*(S$7-S$5)*(S$6-S$5)),S$7-SQRT((1-NORMSDIST(S$9*SQRT($C$11)*NORMSINV($B273)+SQRT(1-S$9^2*$C$11)*NORMSINV(R273)))*(S$7-S$5)*(S$7-S$6))))</f>
        <v>0.793935568066212</v>
      </c>
      <c r="T273" s="2" t="n">
        <v>0.141755178</v>
      </c>
      <c r="U273" s="2" t="n">
        <f aca="false">IF(U$7=U$5,U$6,IF(NORMSDIST(U$9*SQRT($C$11)*NORMSINV($B273)+SQRT(1-U$9^2*$C$11)*NORMSINV(T273))&lt;U$8,U$5+SQRT(NORMSDIST(U$9*SQRT($C$11)*NORMSINV($B273)+SQRT(1-U$9^2*$C$11)*NORMSINV(T273))*(U$7-U$5)*(U$6-U$5)),U$7-SQRT((1-NORMSDIST(U$9*SQRT($C$11)*NORMSINV($B273)+SQRT(1-U$9^2*$C$11)*NORMSINV(T273)))*(U$7-U$5)*(U$7-U$6))))</f>
        <v>0.587931992497731</v>
      </c>
      <c r="V273" s="2" t="n">
        <v>0.006110042</v>
      </c>
      <c r="W273" s="2" t="n">
        <f aca="false">IF(W$7=W$5,W$6,IF(NORMSDIST(W$9*SQRT($C$11)*NORMSINV($B273)+SQRT(1-W$9^2*$C$11)*NORMSINV(V273))&lt;W$8,W$5+SQRT(NORMSDIST(W$9*SQRT($C$11)*NORMSINV($B273)+SQRT(1-W$9^2*$C$11)*NORMSINV(V273))*(W$7-W$5)*(W$6-W$5)),W$7-SQRT((1-NORMSDIST(W$9*SQRT($C$11)*NORMSINV($B273)+SQRT(1-W$9^2*$C$11)*NORMSINV(V273)))*(W$7-W$5)*(W$7-W$6))))</f>
        <v>9.39431288439364</v>
      </c>
      <c r="X273" s="2" t="n">
        <v>0.662500187</v>
      </c>
      <c r="Y273" s="2" t="n">
        <f aca="false">IF(Y$7=Y$5,Y$6,IF(NORMSDIST(Y$9*SQRT($C$11)*NORMSINV($B273)+SQRT(1-Y$9^2*$C$11)*NORMSINV(X273))&lt;Y$8,Y$5+SQRT(NORMSDIST(Y$9*SQRT($C$11)*NORMSINV($B273)+SQRT(1-Y$9^2*$C$11)*NORMSINV(X273))*(Y$7-Y$5)*(Y$6-Y$5)),Y$7-SQRT((1-NORMSDIST(Y$9*SQRT($C$11)*NORMSINV($B273)+SQRT(1-Y$9^2*$C$11)*NORMSINV(X273)))*(Y$7-Y$5)*(Y$7-Y$6))))</f>
        <v>0.589208195675717</v>
      </c>
      <c r="Z273" s="2" t="n">
        <v>0.651406861</v>
      </c>
      <c r="AA273" s="2" t="n">
        <f aca="false">IF(AA$7=AA$5,AA$6,IF(NORMSDIST(AA$9*SQRT($C$11)*NORMSINV($B273)+SQRT(1-AA$9^2*$C$11)*NORMSINV(Z273))&lt;AA$8,AA$5+SQRT(NORMSDIST(AA$9*SQRT($C$11)*NORMSINV($B273)+SQRT(1-AA$9^2*$C$11)*NORMSINV(Z273))*(AA$7-AA$5)*(AA$6-AA$5)),AA$7-SQRT((1-NORMSDIST(AA$9*SQRT($C$11)*NORMSINV($B273)+SQRT(1-AA$9^2*$C$11)*NORMSINV(Z273)))*(AA$7-AA$5)*(AA$7-AA$6))))</f>
        <v>0.745010017446733</v>
      </c>
      <c r="AB273" s="2" t="n">
        <v>0.497572981</v>
      </c>
      <c r="AC273" s="2" t="n">
        <f aca="false">IF(AC$7=AC$5,AC$6,IF(NORMSDIST(AC$9*SQRT($C$11)*NORMSINV($B273)+SQRT(1-AC$9^2*$C$11)*NORMSINV(AB273))&lt;AC$8,AC$5+SQRT(NORMSDIST(AC$9*SQRT($C$11)*NORMSINV($B273)+SQRT(1-AC$9^2*$C$11)*NORMSINV(AB273))*(AC$7-AC$5)*(AC$6-AC$5)),AC$7-SQRT((1-NORMSDIST(AC$9*SQRT($C$11)*NORMSINV($B273)+SQRT(1-AC$9^2*$C$11)*NORMSINV(AB273)))*(AC$7-AC$5)*(AC$7-AC$6))))</f>
        <v>10.318318922681</v>
      </c>
      <c r="AD273" s="2" t="n">
        <f aca="false">Entrées!$C$8*(1+E273)</f>
        <v>7444.74993587766</v>
      </c>
      <c r="AE273" s="2" t="n">
        <f aca="false">I273*Hypothèses!$J$24/12/Hypothèses!$J$19</f>
        <v>107.936496017877</v>
      </c>
      <c r="AF273" s="2" t="n">
        <f aca="false">Entrées!$C$36*S273*1000</f>
        <v>396.967784033106</v>
      </c>
      <c r="AG273" s="2" t="n">
        <f aca="false">-AF273/W273</f>
        <v>-42.2561808317638</v>
      </c>
      <c r="AH273" s="2" t="n">
        <f aca="false">AD273+AE273+AG273</f>
        <v>7510.43025106377</v>
      </c>
      <c r="AI273" s="2" t="n">
        <f aca="false">Entrées!$C$16-M273+Hypothèses!$J$22*1000-AF273+Hypothèses!$J$23</f>
        <v>22377.972670196</v>
      </c>
      <c r="AJ273" s="2" t="n">
        <f aca="false">AI273/AH273</f>
        <v>2.97958597871625</v>
      </c>
      <c r="AK273" s="2" t="n">
        <f aca="false">AI273/(AH273+I273*(12-Hypothèses!$J$24)/12/Hypothèses!$J$19)</f>
        <v>2.94931015908937</v>
      </c>
      <c r="AL273" s="2" t="n">
        <f aca="false">(AD273+AG273+I273/Hypothèses!$J$19)*(1+G273)</f>
        <v>8047.33982258468</v>
      </c>
      <c r="AM273" s="2" t="n">
        <f aca="false">Entrées!$C$54*K273/Hypothèses!$J$19</f>
        <v>49.7338323473143</v>
      </c>
      <c r="AN273" s="2" t="n">
        <f aca="false">Y273*1000/AC273</f>
        <v>57.1031192281294</v>
      </c>
      <c r="AO273" s="2" t="n">
        <f aca="false">(Entrées!$C$36*(1-S273)+MAX(0,Entrées!$C$30-Entrées!$C$35-Entrées!$C$36)*U273)*1000</f>
        <v>926.137005463718</v>
      </c>
      <c r="AP273" s="2" t="n">
        <f aca="false">-AO273/W273</f>
        <v>-98.5848583989861</v>
      </c>
      <c r="AQ273" s="2" t="n">
        <f aca="false">AL273+AM273+AN273+AP273</f>
        <v>8055.59191576113</v>
      </c>
      <c r="AR273" s="2" t="n">
        <f aca="false">O273*AQ273-Hypothèses!$J$25/Hypothèses!$J$19</f>
        <v>1455.82141218893</v>
      </c>
      <c r="AS273" s="2" t="n">
        <f aca="false">Entrées!$C$79*(1+Q273)+Hypothèses!$J$20</f>
        <v>1491.34858647697</v>
      </c>
      <c r="AT273" s="2" t="n">
        <f aca="false">AI273-AR273+AS273+Y273*1000-AO273+Hypothèses!$J$23</f>
        <v>22076.571034696</v>
      </c>
      <c r="AU273" s="2" t="n">
        <f aca="false">AT273/AQ273</f>
        <v>2.74052748271697</v>
      </c>
      <c r="AV273" s="2" t="n">
        <f aca="false">Hypothèses!$J$26*AQ273-AT273</f>
        <v>2090.20471258737</v>
      </c>
      <c r="AW273" s="2" t="n">
        <f aca="false">IF(AC273&gt;Hypothèses!$J$26,MAX(0,AV273)/(1-Hypothèses!$J$26/AC273),0)</f>
        <v>2947.04276569929</v>
      </c>
      <c r="AX273" s="2" t="n">
        <f aca="false">AQ273-Entrées!$C$17*1000</f>
        <v>55.5919157611324</v>
      </c>
      <c r="AY273" s="2" t="n">
        <f aca="false">AI273+(Entrées!$C$244-Entrées!$C$13)</f>
        <v>28124.972670196</v>
      </c>
      <c r="AZ273" s="2" t="n">
        <f aca="false">AA273*AH273</f>
        <v>5595.34577237749</v>
      </c>
      <c r="BA273" s="2" t="n">
        <f aca="false">AZ273/AY273</f>
        <v>0.19894582078321</v>
      </c>
      <c r="BB273" s="2" t="n">
        <f aca="false">AZ273/(Entrées!$C$151/100)-AY273</f>
        <v>2960.28162079009</v>
      </c>
      <c r="BC273" s="2" t="n">
        <f aca="false">AT273+(Entrées!$C$244-Entrées!$C$13)</f>
        <v>27823.571034696</v>
      </c>
      <c r="BD273" s="2" t="n">
        <f aca="false">AA273*AQ273</f>
        <v>6001.49667370496</v>
      </c>
      <c r="BE273" s="2" t="n">
        <f aca="false">BD273/BC273</f>
        <v>0.215698289274985</v>
      </c>
      <c r="BF273" s="2" t="n">
        <f aca="false">BD273/(Entrées!$C$151/100)-BC273</f>
        <v>5518.07715255377</v>
      </c>
      <c r="BG273" s="2" t="n">
        <f aca="false">MIN(AV273,BF273)</f>
        <v>2090.20471258737</v>
      </c>
      <c r="BH273" s="2" t="n">
        <f aca="false">IF(AC273&gt;Hypothèses!$J$26,MAX(0,BG273)/(1-Hypothèses!$J$26/AC273),0)</f>
        <v>2947.04276569929</v>
      </c>
    </row>
    <row r="274" customFormat="false" ht="15" hidden="false" customHeight="false" outlineLevel="0" collapsed="false">
      <c r="A274" s="2" t="n">
        <v>259</v>
      </c>
      <c r="B274" s="2" t="n">
        <v>0.48230542</v>
      </c>
      <c r="C274" s="2"/>
      <c r="D274" s="2" t="n">
        <v>0.208474844</v>
      </c>
      <c r="E274" s="2" t="n">
        <f aca="false">IF(E$7=E$5,E$6,IF(NORMSDIST(E$9*SQRT($C$11)*NORMSINV($B274)+SQRT(1-E$9^2*$C$11)*NORMSINV(D274))&lt;E$8,E$5+SQRT(NORMSDIST(E$9*SQRT($C$11)*NORMSINV($B274)+SQRT(1-E$9^2*$C$11)*NORMSINV(D274))*(E$7-E$5)*(E$6-E$5)),E$7-SQRT((1-NORMSDIST(E$9*SQRT($C$11)*NORMSINV($B274)+SQRT(1-E$9^2*$C$11)*NORMSINV(D274)))*(E$7-E$5)*(E$7-E$6))))</f>
        <v>0.0535752502832371</v>
      </c>
      <c r="F274" s="2" t="n">
        <v>0.525755175</v>
      </c>
      <c r="G274" s="2" t="n">
        <f aca="false">IF(G$7=G$5,G$6,IF(NORMSDIST(G$9*SQRT($C$11)*NORMSINV($B274)+SQRT(1-G$9^2*$C$11)*NORMSINV(F274))&lt;G$8,G$5+SQRT(NORMSDIST(G$9*SQRT($C$11)*NORMSINV($B274)+SQRT(1-G$9^2*$C$11)*NORMSINV(F274))*(G$7-G$5)*(G$6-G$5)),G$7-SQRT((1-NORMSDIST(G$9*SQRT($C$11)*NORMSINV($B274)+SQRT(1-G$9^2*$C$11)*NORMSINV(F274)))*(G$7-G$5)*(G$7-G$6))))</f>
        <v>0.0551321068110484</v>
      </c>
      <c r="H274" s="2" t="n">
        <v>0.020023545</v>
      </c>
      <c r="I274" s="2" t="n">
        <f aca="false">IF(I$7=I$5,I$6,IF(NORMSDIST(I$9*SQRT($C$11)*NORMSINV($B274)+SQRT(1-I$9^2*$C$11)*NORMSINV(H274))&lt;I$8,I$5+SQRT(NORMSDIST(I$9*SQRT($C$11)*NORMSINV($B274)+SQRT(1-I$9^2*$C$11)*NORMSINV(H274))*(I$7-I$5)*(I$6-I$5)),I$7-SQRT((1-NORMSDIST(I$9*SQRT($C$11)*NORMSINV($B274)+SQRT(1-I$9^2*$C$11)*NORMSINV(H274)))*(I$7-I$5)*(I$7-I$6))))</f>
        <v>186.497765777209</v>
      </c>
      <c r="J274" s="2" t="n">
        <v>0.390134021</v>
      </c>
      <c r="K274" s="2" t="n">
        <f aca="false">IF(K$7=K$5,K$6,IF(NORMSDIST(K$9*SQRT($C$11)*NORMSINV($B274)+SQRT(1-K$9^2*$C$11)*NORMSINV(J274))&lt;K$8,K$5+SQRT(NORMSDIST(K$9*SQRT($C$11)*NORMSINV($B274)+SQRT(1-K$9^2*$C$11)*NORMSINV(J274))*(K$7-K$5)*(K$6-K$5)),K$7-SQRT((1-NORMSDIST(K$9*SQRT($C$11)*NORMSINV($B274)+SQRT(1-K$9^2*$C$11)*NORMSINV(J274)))*(K$7-K$5)*(K$7-K$6))))</f>
        <v>0.224598898800924</v>
      </c>
      <c r="L274" s="2" t="n">
        <v>0.027011196</v>
      </c>
      <c r="M274" s="2" t="n">
        <f aca="false">IF(M$7=M$5,M$6,IF(NORMSDIST(M$9*SQRT($C$11)*NORMSINV($B274)+SQRT(1-M$9^2*$C$11)*NORMSINV(L274))&lt;M$8,M$5+SQRT(NORMSDIST(M$9*SQRT($C$11)*NORMSINV($B274)+SQRT(1-M$9^2*$C$11)*NORMSINV(L274))*(M$7-M$5)*(M$6-M$5)),M$7-SQRT((1-NORMSDIST(M$9*SQRT($C$11)*NORMSINV($B274)+SQRT(1-M$9^2*$C$11)*NORMSINV(L274)))*(M$7-M$5)*(M$7-M$6))))</f>
        <v>1404.30290883094</v>
      </c>
      <c r="N274" s="2" t="n">
        <v>0.189524339</v>
      </c>
      <c r="O274" s="2" t="n">
        <f aca="false">IF(O$7=O$5,O$6,IF(NORMSDIST(O$9*SQRT($C$11)*NORMSINV($B274)+SQRT(1-O$9^2*$C$11)*NORMSINV(N274))&lt;O$8,O$5+SQRT(NORMSDIST(O$9*SQRT($C$11)*NORMSINV($B274)+SQRT(1-O$9^2*$C$11)*NORMSINV(N274))*(O$7-O$5)*(O$6-O$5)),O$7-SQRT((1-NORMSDIST(O$9*SQRT($C$11)*NORMSINV($B274)+SQRT(1-O$9^2*$C$11)*NORMSINV(N274)))*(O$7-O$5)*(O$7-O$6))))</f>
        <v>0.158519194649112</v>
      </c>
      <c r="P274" s="2" t="n">
        <v>0.174472138</v>
      </c>
      <c r="Q274" s="2" t="n">
        <f aca="false">IF(Q$7=Q$5,Q$6,IF(NORMSDIST(Q$9*SQRT($C$11)*NORMSINV($B274)+SQRT(1-Q$9^2*$C$11)*NORMSINV(P274))&lt;Q$8,Q$5+SQRT(NORMSDIST(Q$9*SQRT($C$11)*NORMSINV($B274)+SQRT(1-Q$9^2*$C$11)*NORMSINV(P274))*(Q$7-Q$5)*(Q$6-Q$5)),Q$7-SQRT((1-NORMSDIST(Q$9*SQRT($C$11)*NORMSINV($B274)+SQRT(1-Q$9^2*$C$11)*NORMSINV(P274)))*(Q$7-Q$5)*(Q$7-Q$6))))</f>
        <v>0.0636286021931049</v>
      </c>
      <c r="R274" s="2" t="n">
        <v>0.62859844</v>
      </c>
      <c r="S274" s="2" t="n">
        <f aca="false">IF(S$7=S$5,S$6,IF(NORMSDIST(S$9*SQRT($C$11)*NORMSINV($B274)+SQRT(1-S$9^2*$C$11)*NORMSINV(R274))&lt;S$8,S$5+SQRT(NORMSDIST(S$9*SQRT($C$11)*NORMSINV($B274)+SQRT(1-S$9^2*$C$11)*NORMSINV(R274))*(S$7-S$5)*(S$6-S$5)),S$7-SQRT((1-NORMSDIST(S$9*SQRT($C$11)*NORMSINV($B274)+SQRT(1-S$9^2*$C$11)*NORMSINV(R274)))*(S$7-S$5)*(S$7-S$6))))</f>
        <v>0.546924484196622</v>
      </c>
      <c r="T274" s="2" t="n">
        <v>0.807432418</v>
      </c>
      <c r="U274" s="2" t="n">
        <f aca="false">IF(U$7=U$5,U$6,IF(NORMSDIST(U$9*SQRT($C$11)*NORMSINV($B274)+SQRT(1-U$9^2*$C$11)*NORMSINV(T274))&lt;U$8,U$5+SQRT(NORMSDIST(U$9*SQRT($C$11)*NORMSINV($B274)+SQRT(1-U$9^2*$C$11)*NORMSINV(T274))*(U$7-U$5)*(U$6-U$5)),U$7-SQRT((1-NORMSDIST(U$9*SQRT($C$11)*NORMSINV($B274)+SQRT(1-U$9^2*$C$11)*NORMSINV(T274)))*(U$7-U$5)*(U$7-U$6))))</f>
        <v>0.639739568430485</v>
      </c>
      <c r="V274" s="2" t="n">
        <v>0.925379227</v>
      </c>
      <c r="W274" s="2" t="n">
        <f aca="false">IF(W$7=W$5,W$6,IF(NORMSDIST(W$9*SQRT($C$11)*NORMSINV($B274)+SQRT(1-W$9^2*$C$11)*NORMSINV(V274))&lt;W$8,W$5+SQRT(NORMSDIST(W$9*SQRT($C$11)*NORMSINV($B274)+SQRT(1-W$9^2*$C$11)*NORMSINV(V274))*(W$7-W$5)*(W$6-W$5)),W$7-SQRT((1-NORMSDIST(W$9*SQRT($C$11)*NORMSINV($B274)+SQRT(1-W$9^2*$C$11)*NORMSINV(V274)))*(W$7-W$5)*(W$7-W$6))))</f>
        <v>10.9490555755183</v>
      </c>
      <c r="X274" s="2" t="n">
        <v>0.857254481</v>
      </c>
      <c r="Y274" s="2" t="n">
        <f aca="false">IF(Y$7=Y$5,Y$6,IF(NORMSDIST(Y$9*SQRT($C$11)*NORMSINV($B274)+SQRT(1-Y$9^2*$C$11)*NORMSINV(X274))&lt;Y$8,Y$5+SQRT(NORMSDIST(Y$9*SQRT($C$11)*NORMSINV($B274)+SQRT(1-Y$9^2*$C$11)*NORMSINV(X274))*(Y$7-Y$5)*(Y$6-Y$5)),Y$7-SQRT((1-NORMSDIST(Y$9*SQRT($C$11)*NORMSINV($B274)+SQRT(1-Y$9^2*$C$11)*NORMSINV(X274)))*(Y$7-Y$5)*(Y$7-Y$6))))</f>
        <v>0.732843193049475</v>
      </c>
      <c r="Z274" s="2" t="n">
        <v>0.497596456</v>
      </c>
      <c r="AA274" s="2" t="n">
        <f aca="false">IF(AA$7=AA$5,AA$6,IF(NORMSDIST(AA$9*SQRT($C$11)*NORMSINV($B274)+SQRT(1-AA$9^2*$C$11)*NORMSINV(Z274))&lt;AA$8,AA$5+SQRT(NORMSDIST(AA$9*SQRT($C$11)*NORMSINV($B274)+SQRT(1-AA$9^2*$C$11)*NORMSINV(Z274))*(AA$7-AA$5)*(AA$6-AA$5)),AA$7-SQRT((1-NORMSDIST(AA$9*SQRT($C$11)*NORMSINV($B274)+SQRT(1-AA$9^2*$C$11)*NORMSINV(Z274)))*(AA$7-AA$5)*(AA$7-AA$6))))</f>
        <v>0.727621260158078</v>
      </c>
      <c r="AB274" s="2" t="n">
        <v>0.701035183</v>
      </c>
      <c r="AC274" s="2" t="n">
        <f aca="false">IF(AC$7=AC$5,AC$6,IF(NORMSDIST(AC$9*SQRT($C$11)*NORMSINV($B274)+SQRT(1-AC$9^2*$C$11)*NORMSINV(AB274))&lt;AC$8,AC$5+SQRT(NORMSDIST(AC$9*SQRT($C$11)*NORMSINV($B274)+SQRT(1-AC$9^2*$C$11)*NORMSINV(AB274))*(AC$7-AC$5)*(AC$6-AC$5)),AC$7-SQRT((1-NORMSDIST(AC$9*SQRT($C$11)*NORMSINV($B274)+SQRT(1-AC$9^2*$C$11)*NORMSINV(AB274)))*(AC$7-AC$5)*(AC$7-AC$6))))</f>
        <v>9.76651340110452</v>
      </c>
      <c r="AD274" s="2" t="n">
        <f aca="false">Entrées!$C$8*(1+E274)</f>
        <v>7427.70551449682</v>
      </c>
      <c r="AE274" s="2" t="n">
        <f aca="false">I274*Hypothèses!$J$24/12/Hypothèses!$J$19</f>
        <v>92.5209446927526</v>
      </c>
      <c r="AF274" s="2" t="n">
        <f aca="false">Entrées!$C$36*S274*1000</f>
        <v>273.462242098311</v>
      </c>
      <c r="AG274" s="2" t="n">
        <f aca="false">-AF274/W274</f>
        <v>-24.9758748790866</v>
      </c>
      <c r="AH274" s="2" t="n">
        <f aca="false">AD274+AE274+AG274</f>
        <v>7495.25058431049</v>
      </c>
      <c r="AI274" s="2" t="n">
        <f aca="false">Entrées!$C$16-M274+Hypothèses!$J$22*1000-AF274+Hypothèses!$J$23</f>
        <v>22870.2348490707</v>
      </c>
      <c r="AJ274" s="2" t="n">
        <f aca="false">AI274/AH274</f>
        <v>3.05129689685681</v>
      </c>
      <c r="AK274" s="2" t="n">
        <f aca="false">AI274/(AH274+I274*(12-Hypothèses!$J$24)/12/Hypothèses!$J$19)</f>
        <v>3.02462843933503</v>
      </c>
      <c r="AL274" s="2" t="n">
        <f aca="false">(AD274+AG274+I274/Hypothèses!$J$19)*(1+G274)</f>
        <v>7978.20941102728</v>
      </c>
      <c r="AM274" s="2" t="n">
        <f aca="false">Entrées!$C$54*K274/Hypothèses!$J$19</f>
        <v>22.9212606524704</v>
      </c>
      <c r="AN274" s="2" t="n">
        <f aca="false">Y274*1000/AC274</f>
        <v>75.0363167439668</v>
      </c>
      <c r="AO274" s="2" t="n">
        <f aca="false">(Entrées!$C$36*(1-S274)+MAX(0,Entrées!$C$30-Entrées!$C$35-Entrées!$C$36)*U274)*1000</f>
        <v>1122.17315370437</v>
      </c>
      <c r="AP274" s="2" t="n">
        <f aca="false">-AO274/W274</f>
        <v>-102.490406224031</v>
      </c>
      <c r="AQ274" s="2" t="n">
        <f aca="false">AL274+AM274+AN274+AP274</f>
        <v>7973.67658219968</v>
      </c>
      <c r="AR274" s="2" t="n">
        <f aca="false">O274*AQ274-Hypothèses!$J$25/Hypothèses!$J$19</f>
        <v>1244.84562794115</v>
      </c>
      <c r="AS274" s="2" t="n">
        <f aca="false">Entrées!$C$79*(1+Q274)+Hypothèses!$J$20</f>
        <v>1463.92783381022</v>
      </c>
      <c r="AT274" s="2" t="n">
        <f aca="false">AI274-AR274+AS274+Y274*1000-AO274+Hypothèses!$J$23</f>
        <v>22699.9870942849</v>
      </c>
      <c r="AU274" s="2" t="n">
        <f aca="false">AT274/AQ274</f>
        <v>2.84686579149198</v>
      </c>
      <c r="AV274" s="2" t="n">
        <f aca="false">Hypothèses!$J$26*AQ274-AT274</f>
        <v>1221.04265231412</v>
      </c>
      <c r="AW274" s="2" t="n">
        <f aca="false">IF(AC274&gt;Hypothèses!$J$26,MAX(0,AV274)/(1-Hypothèses!$J$26/AC274),0)</f>
        <v>1762.40387334479</v>
      </c>
      <c r="AX274" s="2" t="n">
        <f aca="false">AQ274-Entrées!$C$17*1000</f>
        <v>-26.3234178003186</v>
      </c>
      <c r="AY274" s="2" t="n">
        <f aca="false">AI274+(Entrées!$C$244-Entrées!$C$13)</f>
        <v>28617.2348490707</v>
      </c>
      <c r="AZ274" s="2" t="n">
        <f aca="false">AA274*AH274</f>
        <v>5453.70367535657</v>
      </c>
      <c r="BA274" s="2" t="n">
        <f aca="false">AZ274/AY274</f>
        <v>0.19057409648835</v>
      </c>
      <c r="BB274" s="2" t="n">
        <f aca="false">AZ274/(Entrées!$C$151/100)-AY274</f>
        <v>1681.1189029102</v>
      </c>
      <c r="BC274" s="2" t="n">
        <f aca="false">AT274+(Entrées!$C$244-Entrées!$C$13)</f>
        <v>28446.9870942849</v>
      </c>
      <c r="BD274" s="2" t="n">
        <f aca="false">AA274*AQ274</f>
        <v>5801.81660283309</v>
      </c>
      <c r="BE274" s="2" t="n">
        <f aca="false">BD274/BC274</f>
        <v>0.203951883677646</v>
      </c>
      <c r="BF274" s="2" t="n">
        <f aca="false">BD274/(Entrées!$C$151/100)-BC274</f>
        <v>3785.32736589891</v>
      </c>
      <c r="BG274" s="2" t="n">
        <f aca="false">MIN(AV274,BF274)</f>
        <v>1221.04265231412</v>
      </c>
      <c r="BH274" s="2" t="n">
        <f aca="false">IF(AC274&gt;Hypothèses!$J$26,MAX(0,BG274)/(1-Hypothèses!$J$26/AC274),0)</f>
        <v>1762.40387334479</v>
      </c>
    </row>
    <row r="275" customFormat="false" ht="15" hidden="false" customHeight="false" outlineLevel="0" collapsed="false">
      <c r="A275" s="2" t="n">
        <v>260</v>
      </c>
      <c r="B275" s="2" t="n">
        <v>0.042192606</v>
      </c>
      <c r="C275" s="2"/>
      <c r="D275" s="2" t="n">
        <v>0.569720808</v>
      </c>
      <c r="E275" s="2" t="n">
        <f aca="false">IF(E$7=E$5,E$6,IF(NORMSDIST(E$9*SQRT($C$11)*NORMSINV($B275)+SQRT(1-E$9^2*$C$11)*NORMSINV(D275))&lt;E$8,E$5+SQRT(NORMSDIST(E$9*SQRT($C$11)*NORMSINV($B275)+SQRT(1-E$9^2*$C$11)*NORMSINV(D275))*(E$7-E$5)*(E$6-E$5)),E$7-SQRT((1-NORMSDIST(E$9*SQRT($C$11)*NORMSINV($B275)+SQRT(1-E$9^2*$C$11)*NORMSINV(D275)))*(E$7-E$5)*(E$7-E$6))))</f>
        <v>0.0529127599070351</v>
      </c>
      <c r="F275" s="2" t="n">
        <v>0.099562543</v>
      </c>
      <c r="G275" s="2" t="n">
        <f aca="false">IF(G$7=G$5,G$6,IF(NORMSDIST(G$9*SQRT($C$11)*NORMSINV($B275)+SQRT(1-G$9^2*$C$11)*NORMSINV(F275))&lt;G$8,G$5+SQRT(NORMSDIST(G$9*SQRT($C$11)*NORMSINV($B275)+SQRT(1-G$9^2*$C$11)*NORMSINV(F275))*(G$7-G$5)*(G$6-G$5)),G$7-SQRT((1-NORMSDIST(G$9*SQRT($C$11)*NORMSINV($B275)+SQRT(1-G$9^2*$C$11)*NORMSINV(F275)))*(G$7-G$5)*(G$7-G$6))))</f>
        <v>0.0428841035491271</v>
      </c>
      <c r="H275" s="2" t="n">
        <v>0.026993118</v>
      </c>
      <c r="I275" s="2" t="n">
        <f aca="false">IF(I$7=I$5,I$6,IF(NORMSDIST(I$9*SQRT($C$11)*NORMSINV($B275)+SQRT(1-I$9^2*$C$11)*NORMSINV(H275))&lt;I$8,I$5+SQRT(NORMSDIST(I$9*SQRT($C$11)*NORMSINV($B275)+SQRT(1-I$9^2*$C$11)*NORMSINV(H275))*(I$7-I$5)*(I$6-I$5)),I$7-SQRT((1-NORMSDIST(I$9*SQRT($C$11)*NORMSINV($B275)+SQRT(1-I$9^2*$C$11)*NORMSINV(H275)))*(I$7-I$5)*(I$7-I$6))))</f>
        <v>181.976215723113</v>
      </c>
      <c r="J275" s="2" t="n">
        <v>0.078331844</v>
      </c>
      <c r="K275" s="2" t="n">
        <f aca="false">IF(K$7=K$5,K$6,IF(NORMSDIST(K$9*SQRT($C$11)*NORMSINV($B275)+SQRT(1-K$9^2*$C$11)*NORMSINV(J275))&lt;K$8,K$5+SQRT(NORMSDIST(K$9*SQRT($C$11)*NORMSINV($B275)+SQRT(1-K$9^2*$C$11)*NORMSINV(J275))*(K$7-K$5)*(K$6-K$5)),K$7-SQRT((1-NORMSDIST(K$9*SQRT($C$11)*NORMSINV($B275)+SQRT(1-K$9^2*$C$11)*NORMSINV(J275)))*(K$7-K$5)*(K$7-K$6))))</f>
        <v>0.0422974478579435</v>
      </c>
      <c r="L275" s="2" t="n">
        <v>0.560899125</v>
      </c>
      <c r="M275" s="2" t="n">
        <f aca="false">IF(M$7=M$5,M$6,IF(NORMSDIST(M$9*SQRT($C$11)*NORMSINV($B275)+SQRT(1-M$9^2*$C$11)*NORMSINV(L275))&lt;M$8,M$5+SQRT(NORMSDIST(M$9*SQRT($C$11)*NORMSINV($B275)+SQRT(1-M$9^2*$C$11)*NORMSINV(L275))*(M$7-M$5)*(M$6-M$5)),M$7-SQRT((1-NORMSDIST(M$9*SQRT($C$11)*NORMSINV($B275)+SQRT(1-M$9^2*$C$11)*NORMSINV(L275)))*(M$7-M$5)*(M$7-M$6))))</f>
        <v>1465.44622205977</v>
      </c>
      <c r="N275" s="2" t="n">
        <v>0.59002673</v>
      </c>
      <c r="O275" s="2" t="n">
        <f aca="false">IF(O$7=O$5,O$6,IF(NORMSDIST(O$9*SQRT($C$11)*NORMSINV($B275)+SQRT(1-O$9^2*$C$11)*NORMSINV(N275))&lt;O$8,O$5+SQRT(NORMSDIST(O$9*SQRT($C$11)*NORMSINV($B275)+SQRT(1-O$9^2*$C$11)*NORMSINV(N275))*(O$7-O$5)*(O$6-O$5)),O$7-SQRT((1-NORMSDIST(O$9*SQRT($C$11)*NORMSINV($B275)+SQRT(1-O$9^2*$C$11)*NORMSINV(N275)))*(O$7-O$5)*(O$7-O$6))))</f>
        <v>0.156072904883935</v>
      </c>
      <c r="P275" s="2" t="n">
        <v>0.012933743</v>
      </c>
      <c r="Q275" s="2" t="n">
        <f aca="false">IF(Q$7=Q$5,Q$6,IF(NORMSDIST(Q$9*SQRT($C$11)*NORMSINV($B275)+SQRT(1-Q$9^2*$C$11)*NORMSINV(P275))&lt;Q$8,Q$5+SQRT(NORMSDIST(Q$9*SQRT($C$11)*NORMSINV($B275)+SQRT(1-Q$9^2*$C$11)*NORMSINV(P275))*(Q$7-Q$5)*(Q$6-Q$5)),Q$7-SQRT((1-NORMSDIST(Q$9*SQRT($C$11)*NORMSINV($B275)+SQRT(1-Q$9^2*$C$11)*NORMSINV(P275)))*(Q$7-Q$5)*(Q$7-Q$6))))</f>
        <v>0.0464333488635391</v>
      </c>
      <c r="R275" s="2" t="n">
        <v>0.278825325</v>
      </c>
      <c r="S275" s="2" t="n">
        <f aca="false">IF(S$7=S$5,S$6,IF(NORMSDIST(S$9*SQRT($C$11)*NORMSINV($B275)+SQRT(1-S$9^2*$C$11)*NORMSINV(R275))&lt;S$8,S$5+SQRT(NORMSDIST(S$9*SQRT($C$11)*NORMSINV($B275)+SQRT(1-S$9^2*$C$11)*NORMSINV(R275))*(S$7-S$5)*(S$6-S$5)),S$7-SQRT((1-NORMSDIST(S$9*SQRT($C$11)*NORMSINV($B275)+SQRT(1-S$9^2*$C$11)*NORMSINV(R275)))*(S$7-S$5)*(S$7-S$6))))</f>
        <v>0.174776374094367</v>
      </c>
      <c r="T275" s="2" t="n">
        <v>0.323912083</v>
      </c>
      <c r="U275" s="2" t="n">
        <f aca="false">IF(U$7=U$5,U$6,IF(NORMSDIST(U$9*SQRT($C$11)*NORMSINV($B275)+SQRT(1-U$9^2*$C$11)*NORMSINV(T275))&lt;U$8,U$5+SQRT(NORMSDIST(U$9*SQRT($C$11)*NORMSINV($B275)+SQRT(1-U$9^2*$C$11)*NORMSINV(T275))*(U$7-U$5)*(U$6-U$5)),U$7-SQRT((1-NORMSDIST(U$9*SQRT($C$11)*NORMSINV($B275)+SQRT(1-U$9^2*$C$11)*NORMSINV(T275)))*(U$7-U$5)*(U$7-U$6))))</f>
        <v>0.192594478353602</v>
      </c>
      <c r="V275" s="2" t="n">
        <v>0.063102835</v>
      </c>
      <c r="W275" s="2" t="n">
        <f aca="false">IF(W$7=W$5,W$6,IF(NORMSDIST(W$9*SQRT($C$11)*NORMSINV($B275)+SQRT(1-W$9^2*$C$11)*NORMSINV(V275))&lt;W$8,W$5+SQRT(NORMSDIST(W$9*SQRT($C$11)*NORMSINV($B275)+SQRT(1-W$9^2*$C$11)*NORMSINV(V275))*(W$7-W$5)*(W$6-W$5)),W$7-SQRT((1-NORMSDIST(W$9*SQRT($C$11)*NORMSINV($B275)+SQRT(1-W$9^2*$C$11)*NORMSINV(V275)))*(W$7-W$5)*(W$7-W$6))))</f>
        <v>8.30228709092015</v>
      </c>
      <c r="X275" s="2" t="n">
        <v>0.507356716</v>
      </c>
      <c r="Y275" s="2" t="n">
        <f aca="false">IF(Y$7=Y$5,Y$6,IF(NORMSDIST(Y$9*SQRT($C$11)*NORMSINV($B275)+SQRT(1-Y$9^2*$C$11)*NORMSINV(X275))&lt;Y$8,Y$5+SQRT(NORMSDIST(Y$9*SQRT($C$11)*NORMSINV($B275)+SQRT(1-Y$9^2*$C$11)*NORMSINV(X275))*(Y$7-Y$5)*(Y$6-Y$5)),Y$7-SQRT((1-NORMSDIST(Y$9*SQRT($C$11)*NORMSINV($B275)+SQRT(1-Y$9^2*$C$11)*NORMSINV(X275)))*(Y$7-Y$5)*(Y$7-Y$6))))</f>
        <v>0.50369198878116</v>
      </c>
      <c r="Z275" s="2" t="n">
        <v>0.505490884</v>
      </c>
      <c r="AA275" s="2" t="n">
        <f aca="false">IF(AA$7=AA$5,AA$6,IF(NORMSDIST(AA$9*SQRT($C$11)*NORMSINV($B275)+SQRT(1-AA$9^2*$C$11)*NORMSINV(Z275))&lt;AA$8,AA$5+SQRT(NORMSDIST(AA$9*SQRT($C$11)*NORMSINV($B275)+SQRT(1-AA$9^2*$C$11)*NORMSINV(Z275))*(AA$7-AA$5)*(AA$6-AA$5)),AA$7-SQRT((1-NORMSDIST(AA$9*SQRT($C$11)*NORMSINV($B275)+SQRT(1-AA$9^2*$C$11)*NORMSINV(Z275)))*(AA$7-AA$5)*(AA$7-AA$6))))</f>
        <v>0.712632471444971</v>
      </c>
      <c r="AB275" s="2" t="n">
        <v>0.38079299</v>
      </c>
      <c r="AC275" s="2" t="n">
        <f aca="false">IF(AC$7=AC$5,AC$6,IF(NORMSDIST(AC$9*SQRT($C$11)*NORMSINV($B275)+SQRT(1-AC$9^2*$C$11)*NORMSINV(AB275))&lt;AC$8,AC$5+SQRT(NORMSDIST(AC$9*SQRT($C$11)*NORMSINV($B275)+SQRT(1-AC$9^2*$C$11)*NORMSINV(AB275))*(AC$7-AC$5)*(AC$6-AC$5)),AC$7-SQRT((1-NORMSDIST(AC$9*SQRT($C$11)*NORMSINV($B275)+SQRT(1-AC$9^2*$C$11)*NORMSINV(AB275)))*(AC$7-AC$5)*(AC$7-AC$6))))</f>
        <v>8.29319452297064</v>
      </c>
      <c r="AD275" s="2" t="n">
        <f aca="false">Entrées!$C$8*(1+E275)</f>
        <v>7423.0349573446</v>
      </c>
      <c r="AE275" s="2" t="n">
        <f aca="false">I275*Hypothèses!$J$24/12/Hypothèses!$J$19</f>
        <v>90.2778181826999</v>
      </c>
      <c r="AF275" s="2" t="n">
        <f aca="false">Entrées!$C$36*S275*1000</f>
        <v>87.3881870471836</v>
      </c>
      <c r="AG275" s="2" t="n">
        <f aca="false">-AF275/W275</f>
        <v>-10.525796818416</v>
      </c>
      <c r="AH275" s="2" t="n">
        <f aca="false">AD275+AE275+AG275</f>
        <v>7502.78697870888</v>
      </c>
      <c r="AI275" s="2" t="n">
        <f aca="false">Entrées!$C$16-M275+Hypothèses!$J$22*1000-AF275+Hypothèses!$J$23</f>
        <v>22995.165590893</v>
      </c>
      <c r="AJ275" s="2" t="n">
        <f aca="false">AI275/AH275</f>
        <v>3.06488317689784</v>
      </c>
      <c r="AK275" s="2" t="n">
        <f aca="false">AI275/(AH275+I275*(12-Hypothèses!$J$24)/12/Hypothèses!$J$19)</f>
        <v>3.03876591468919</v>
      </c>
      <c r="AL275" s="2" t="n">
        <f aca="false">(AD275+AG275+I275/Hypothèses!$J$19)*(1+G275)</f>
        <v>7891.78677347219</v>
      </c>
      <c r="AM275" s="2" t="n">
        <f aca="false">Entrées!$C$54*K275/Hypothèses!$J$19</f>
        <v>4.3166321494102</v>
      </c>
      <c r="AN275" s="2" t="n">
        <f aca="false">Y275*1000/AC275</f>
        <v>60.7355811305312</v>
      </c>
      <c r="AO275" s="2" t="n">
        <f aca="false">(Entrées!$C$36*(1-S275)+MAX(0,Entrées!$C$30-Entrées!$C$35-Entrées!$C$36)*U275)*1000</f>
        <v>682.244082647859</v>
      </c>
      <c r="AP275" s="2" t="n">
        <f aca="false">-AO275/W275</f>
        <v>-82.1754385480116</v>
      </c>
      <c r="AQ275" s="2" t="n">
        <f aca="false">AL275+AM275+AN275+AP275</f>
        <v>7874.66354820412</v>
      </c>
      <c r="AR275" s="2" t="n">
        <f aca="false">O275*AQ275-Hypothèses!$J$25/Hypothèses!$J$19</f>
        <v>1209.88645269023</v>
      </c>
      <c r="AS275" s="2" t="n">
        <f aca="false">Entrées!$C$79*(1+Q275)+Hypothèses!$J$20</f>
        <v>1445.03025040103</v>
      </c>
      <c r="AT275" s="2" t="n">
        <f aca="false">AI275-AR275+AS275+Y275*1000-AO275+Hypothèses!$J$23</f>
        <v>23051.7572947372</v>
      </c>
      <c r="AU275" s="2" t="n">
        <f aca="false">AT275/AQ275</f>
        <v>2.92733234297919</v>
      </c>
      <c r="AV275" s="2" t="n">
        <f aca="false">Hypothèses!$J$26*AQ275-AT275</f>
        <v>572.233349875205</v>
      </c>
      <c r="AW275" s="2" t="n">
        <f aca="false">IF(AC275&gt;Hypothèses!$J$26,MAX(0,AV275)/(1-Hypothèses!$J$26/AC275),0)</f>
        <v>896.55546616542</v>
      </c>
      <c r="AX275" s="2" t="n">
        <f aca="false">AQ275-Entrées!$C$17*1000</f>
        <v>-125.336451795883</v>
      </c>
      <c r="AY275" s="2" t="n">
        <f aca="false">AI275+(Entrées!$C$244-Entrées!$C$13)</f>
        <v>28742.165590893</v>
      </c>
      <c r="AZ275" s="2" t="n">
        <f aca="false">AA275*AH275</f>
        <v>5346.72962736246</v>
      </c>
      <c r="BA275" s="2" t="n">
        <f aca="false">AZ275/AY275</f>
        <v>0.186023896162388</v>
      </c>
      <c r="BB275" s="2" t="n">
        <f aca="false">AZ275/(Entrées!$C$151/100)-AY275</f>
        <v>961.887894453954</v>
      </c>
      <c r="BC275" s="2" t="n">
        <f aca="false">AT275+(Entrées!$C$244-Entrées!$C$13)</f>
        <v>28798.7572947372</v>
      </c>
      <c r="BD275" s="2" t="n">
        <f aca="false">AA275*AQ275</f>
        <v>5611.74094615433</v>
      </c>
      <c r="BE275" s="2" t="n">
        <f aca="false">BD275/BC275</f>
        <v>0.194860524317827</v>
      </c>
      <c r="BF275" s="2" t="n">
        <f aca="false">BD275/(Entrées!$C$151/100)-BC275</f>
        <v>2377.58129500912</v>
      </c>
      <c r="BG275" s="2" t="n">
        <f aca="false">MIN(AV275,BF275)</f>
        <v>572.233349875205</v>
      </c>
      <c r="BH275" s="2" t="n">
        <f aca="false">IF(AC275&gt;Hypothèses!$J$26,MAX(0,BG275)/(1-Hypothèses!$J$26/AC275),0)</f>
        <v>896.55546616542</v>
      </c>
    </row>
    <row r="276" customFormat="false" ht="15" hidden="false" customHeight="false" outlineLevel="0" collapsed="false">
      <c r="A276" s="2" t="n">
        <v>261</v>
      </c>
      <c r="B276" s="2" t="n">
        <v>0.972314445</v>
      </c>
      <c r="C276" s="2"/>
      <c r="D276" s="2" t="n">
        <v>0.240432949</v>
      </c>
      <c r="E276" s="2" t="n">
        <f aca="false">IF(E$7=E$5,E$6,IF(NORMSDIST(E$9*SQRT($C$11)*NORMSINV($B276)+SQRT(1-E$9^2*$C$11)*NORMSINV(D276))&lt;E$8,E$5+SQRT(NORMSDIST(E$9*SQRT($C$11)*NORMSINV($B276)+SQRT(1-E$9^2*$C$11)*NORMSINV(D276))*(E$7-E$5)*(E$6-E$5)),E$7-SQRT((1-NORMSDIST(E$9*SQRT($C$11)*NORMSINV($B276)+SQRT(1-E$9^2*$C$11)*NORMSINV(D276)))*(E$7-E$5)*(E$7-E$6))))</f>
        <v>0.0564447875303056</v>
      </c>
      <c r="F276" s="2" t="n">
        <v>0.93471715</v>
      </c>
      <c r="G276" s="2" t="n">
        <f aca="false">IF(G$7=G$5,G$6,IF(NORMSDIST(G$9*SQRT($C$11)*NORMSINV($B276)+SQRT(1-G$9^2*$C$11)*NORMSINV(F276))&lt;G$8,G$5+SQRT(NORMSDIST(G$9*SQRT($C$11)*NORMSINV($B276)+SQRT(1-G$9^2*$C$11)*NORMSINV(F276))*(G$7-G$5)*(G$6-G$5)),G$7-SQRT((1-NORMSDIST(G$9*SQRT($C$11)*NORMSINV($B276)+SQRT(1-G$9^2*$C$11)*NORMSINV(F276)))*(G$7-G$5)*(G$7-G$6))))</f>
        <v>0.0680339537684048</v>
      </c>
      <c r="H276" s="2" t="n">
        <v>0.327043994</v>
      </c>
      <c r="I276" s="2" t="n">
        <f aca="false">IF(I$7=I$5,I$6,IF(NORMSDIST(I$9*SQRT($C$11)*NORMSINV($B276)+SQRT(1-I$9^2*$C$11)*NORMSINV(H276))&lt;I$8,I$5+SQRT(NORMSDIST(I$9*SQRT($C$11)*NORMSINV($B276)+SQRT(1-I$9^2*$C$11)*NORMSINV(H276))*(I$7-I$5)*(I$6-I$5)),I$7-SQRT((1-NORMSDIST(I$9*SQRT($C$11)*NORMSINV($B276)+SQRT(1-I$9^2*$C$11)*NORMSINV(H276)))*(I$7-I$5)*(I$7-I$6))))</f>
        <v>207.554561563479</v>
      </c>
      <c r="J276" s="2" t="n">
        <v>0.765309679</v>
      </c>
      <c r="K276" s="2" t="n">
        <f aca="false">IF(K$7=K$5,K$6,IF(NORMSDIST(K$9*SQRT($C$11)*NORMSINV($B276)+SQRT(1-K$9^2*$C$11)*NORMSINV(J276))&lt;K$8,K$5+SQRT(NORMSDIST(K$9*SQRT($C$11)*NORMSINV($B276)+SQRT(1-K$9^2*$C$11)*NORMSINV(J276))*(K$7-K$5)*(K$6-K$5)),K$7-SQRT((1-NORMSDIST(K$9*SQRT($C$11)*NORMSINV($B276)+SQRT(1-K$9^2*$C$11)*NORMSINV(J276)))*(K$7-K$5)*(K$7-K$6))))</f>
        <v>0.430913522319064</v>
      </c>
      <c r="L276" s="2" t="n">
        <v>0.906894383</v>
      </c>
      <c r="M276" s="2" t="n">
        <f aca="false">IF(M$7=M$5,M$6,IF(NORMSDIST(M$9*SQRT($C$11)*NORMSINV($B276)+SQRT(1-M$9^2*$C$11)*NORMSINV(L276))&lt;M$8,M$5+SQRT(NORMSDIST(M$9*SQRT($C$11)*NORMSINV($B276)+SQRT(1-M$9^2*$C$11)*NORMSINV(L276))*(M$7-M$5)*(M$6-M$5)),M$7-SQRT((1-NORMSDIST(M$9*SQRT($C$11)*NORMSINV($B276)+SQRT(1-M$9^2*$C$11)*NORMSINV(L276)))*(M$7-M$5)*(M$7-M$6))))</f>
        <v>1760.11990690472</v>
      </c>
      <c r="N276" s="2" t="n">
        <v>0.172312256</v>
      </c>
      <c r="O276" s="2" t="n">
        <f aca="false">IF(O$7=O$5,O$6,IF(NORMSDIST(O$9*SQRT($C$11)*NORMSINV($B276)+SQRT(1-O$9^2*$C$11)*NORMSINV(N276))&lt;O$8,O$5+SQRT(NORMSDIST(O$9*SQRT($C$11)*NORMSINV($B276)+SQRT(1-O$9^2*$C$11)*NORMSINV(N276))*(O$7-O$5)*(O$6-O$5)),O$7-SQRT((1-NORMSDIST(O$9*SQRT($C$11)*NORMSINV($B276)+SQRT(1-O$9^2*$C$11)*NORMSINV(N276)))*(O$7-O$5)*(O$7-O$6))))</f>
        <v>0.1716616195373</v>
      </c>
      <c r="P276" s="2" t="n">
        <v>0.575873438</v>
      </c>
      <c r="Q276" s="2" t="n">
        <f aca="false">IF(Q$7=Q$5,Q$6,IF(NORMSDIST(Q$9*SQRT($C$11)*NORMSINV($B276)+SQRT(1-Q$9^2*$C$11)*NORMSINV(P276))&lt;Q$8,Q$5+SQRT(NORMSDIST(Q$9*SQRT($C$11)*NORMSINV($B276)+SQRT(1-Q$9^2*$C$11)*NORMSINV(P276))*(Q$7-Q$5)*(Q$6-Q$5)),Q$7-SQRT((1-NORMSDIST(Q$9*SQRT($C$11)*NORMSINV($B276)+SQRT(1-Q$9^2*$C$11)*NORMSINV(P276)))*(Q$7-Q$5)*(Q$7-Q$6))))</f>
        <v>0.0831597367218963</v>
      </c>
      <c r="R276" s="2" t="n">
        <v>0.732067819</v>
      </c>
      <c r="S276" s="2" t="n">
        <f aca="false">IF(S$7=S$5,S$6,IF(NORMSDIST(S$9*SQRT($C$11)*NORMSINV($B276)+SQRT(1-S$9^2*$C$11)*NORMSINV(R276))&lt;S$8,S$5+SQRT(NORMSDIST(S$9*SQRT($C$11)*NORMSINV($B276)+SQRT(1-S$9^2*$C$11)*NORMSINV(R276))*(S$7-S$5)*(S$6-S$5)),S$7-SQRT((1-NORMSDIST(S$9*SQRT($C$11)*NORMSINV($B276)+SQRT(1-S$9^2*$C$11)*NORMSINV(R276)))*(S$7-S$5)*(S$7-S$6))))</f>
        <v>0.8493504375656</v>
      </c>
      <c r="T276" s="2" t="n">
        <v>0.73231621</v>
      </c>
      <c r="U276" s="2" t="n">
        <f aca="false">IF(U$7=U$5,U$6,IF(NORMSDIST(U$9*SQRT($C$11)*NORMSINV($B276)+SQRT(1-U$9^2*$C$11)*NORMSINV(T276))&lt;U$8,U$5+SQRT(NORMSDIST(U$9*SQRT($C$11)*NORMSINV($B276)+SQRT(1-U$9^2*$C$11)*NORMSINV(T276))*(U$7-U$5)*(U$6-U$5)),U$7-SQRT((1-NORMSDIST(U$9*SQRT($C$11)*NORMSINV($B276)+SQRT(1-U$9^2*$C$11)*NORMSINV(T276)))*(U$7-U$5)*(U$7-U$6))))</f>
        <v>0.849442968086276</v>
      </c>
      <c r="V276" s="2" t="n">
        <v>0.207800813</v>
      </c>
      <c r="W276" s="2" t="n">
        <f aca="false">IF(W$7=W$5,W$6,IF(NORMSDIST(W$9*SQRT($C$11)*NORMSINV($B276)+SQRT(1-W$9^2*$C$11)*NORMSINV(V276))&lt;W$8,W$5+SQRT(NORMSDIST(W$9*SQRT($C$11)*NORMSINV($B276)+SQRT(1-W$9^2*$C$11)*NORMSINV(V276))*(W$7-W$5)*(W$6-W$5)),W$7-SQRT((1-NORMSDIST(W$9*SQRT($C$11)*NORMSINV($B276)+SQRT(1-W$9^2*$C$11)*NORMSINV(V276)))*(W$7-W$5)*(W$7-W$6))))</f>
        <v>10.5018374536371</v>
      </c>
      <c r="X276" s="2" t="n">
        <v>0.97176107</v>
      </c>
      <c r="Y276" s="2" t="n">
        <f aca="false">IF(Y$7=Y$5,Y$6,IF(NORMSDIST(Y$9*SQRT($C$11)*NORMSINV($B276)+SQRT(1-Y$9^2*$C$11)*NORMSINV(X276))&lt;Y$8,Y$5+SQRT(NORMSDIST(Y$9*SQRT($C$11)*NORMSINV($B276)+SQRT(1-Y$9^2*$C$11)*NORMSINV(X276))*(Y$7-Y$5)*(Y$6-Y$5)),Y$7-SQRT((1-NORMSDIST(Y$9*SQRT($C$11)*NORMSINV($B276)+SQRT(1-Y$9^2*$C$11)*NORMSINV(X276)))*(Y$7-Y$5)*(Y$7-Y$6))))</f>
        <v>0.881174644961608</v>
      </c>
      <c r="Z276" s="2" t="n">
        <v>0.57403089</v>
      </c>
      <c r="AA276" s="2" t="n">
        <f aca="false">IF(AA$7=AA$5,AA$6,IF(NORMSDIST(AA$9*SQRT($C$11)*NORMSINV($B276)+SQRT(1-AA$9^2*$C$11)*NORMSINV(Z276))&lt;AA$8,AA$5+SQRT(NORMSDIST(AA$9*SQRT($C$11)*NORMSINV($B276)+SQRT(1-AA$9^2*$C$11)*NORMSINV(Z276))*(AA$7-AA$5)*(AA$6-AA$5)),AA$7-SQRT((1-NORMSDIST(AA$9*SQRT($C$11)*NORMSINV($B276)+SQRT(1-AA$9^2*$C$11)*NORMSINV(Z276)))*(AA$7-AA$5)*(AA$7-AA$6))))</f>
        <v>0.743266064444108</v>
      </c>
      <c r="AB276" s="2" t="n">
        <v>0.336217328</v>
      </c>
      <c r="AC276" s="2" t="n">
        <f aca="false">IF(AC$7=AC$5,AC$6,IF(NORMSDIST(AC$9*SQRT($C$11)*NORMSINV($B276)+SQRT(1-AC$9^2*$C$11)*NORMSINV(AB276))&lt;AC$8,AC$5+SQRT(NORMSDIST(AC$9*SQRT($C$11)*NORMSINV($B276)+SQRT(1-AC$9^2*$C$11)*NORMSINV(AB276))*(AC$7-AC$5)*(AC$6-AC$5)),AC$7-SQRT((1-NORMSDIST(AC$9*SQRT($C$11)*NORMSINV($B276)+SQRT(1-AC$9^2*$C$11)*NORMSINV(AB276)))*(AC$7-AC$5)*(AC$7-AC$6))))</f>
        <v>10.0981274565974</v>
      </c>
      <c r="AD276" s="2" t="n">
        <f aca="false">Entrées!$C$8*(1+E276)</f>
        <v>7447.93575208865</v>
      </c>
      <c r="AE276" s="2" t="n">
        <f aca="false">I276*Hypothèses!$J$24/12/Hypothèses!$J$19</f>
        <v>102.967153687425</v>
      </c>
      <c r="AF276" s="2" t="n">
        <f aca="false">Entrées!$C$36*S276*1000</f>
        <v>424.6752187828</v>
      </c>
      <c r="AG276" s="2" t="n">
        <f aca="false">-AF276/W276</f>
        <v>-40.4381824283255</v>
      </c>
      <c r="AH276" s="2" t="n">
        <f aca="false">AD276+AE276+AG276</f>
        <v>7510.46472334775</v>
      </c>
      <c r="AI276" s="2" t="n">
        <f aca="false">Entrées!$C$16-M276+Hypothèses!$J$22*1000-AF276+Hypothèses!$J$23</f>
        <v>22363.2048743125</v>
      </c>
      <c r="AJ276" s="2" t="n">
        <f aca="false">AI276/AH276</f>
        <v>2.97760600682832</v>
      </c>
      <c r="AK276" s="2" t="n">
        <f aca="false">AI276/(AH276+I276*(12-Hypothèses!$J$24)/12/Hypothèses!$J$19)</f>
        <v>2.94872988583095</v>
      </c>
      <c r="AL276" s="2" t="n">
        <f aca="false">(AD276+AG276+I276/Hypothèses!$J$19)*(1+G276)</f>
        <v>8099.98305901598</v>
      </c>
      <c r="AM276" s="2" t="n">
        <f aca="false">Entrées!$C$54*K276/Hypothèses!$J$19</f>
        <v>43.9765342416217</v>
      </c>
      <c r="AN276" s="2" t="n">
        <f aca="false">Y276*1000/AC276</f>
        <v>87.261192607141</v>
      </c>
      <c r="AO276" s="2" t="n">
        <f aca="false">(Entrées!$C$36*(1-S276)+MAX(0,Entrées!$C$30-Entrées!$C$35-Entrées!$C$36)*U276)*1000</f>
        <v>1264.54493653799</v>
      </c>
      <c r="AP276" s="2" t="n">
        <f aca="false">-AO276/W276</f>
        <v>-120.411779569111</v>
      </c>
      <c r="AQ276" s="2" t="n">
        <f aca="false">AL276+AM276+AN276+AP276</f>
        <v>8110.80900629564</v>
      </c>
      <c r="AR276" s="2" t="n">
        <f aca="false">O276*AQ276-Hypothèses!$J$25/Hypothèses!$J$19</f>
        <v>1373.1794475168</v>
      </c>
      <c r="AS276" s="2" t="n">
        <f aca="false">Entrées!$C$79*(1+Q276)+Hypothèses!$J$20</f>
        <v>1485.39255065736</v>
      </c>
      <c r="AT276" s="2" t="n">
        <f aca="false">AI276-AR276+AS276+Y276*1000-AO276+Hypothèses!$J$23</f>
        <v>22092.0476858767</v>
      </c>
      <c r="AU276" s="2" t="n">
        <f aca="false">AT276/AQ276</f>
        <v>2.72377856126667</v>
      </c>
      <c r="AV276" s="2" t="n">
        <f aca="false">Hypothèses!$J$26*AQ276-AT276</f>
        <v>2240.37933301025</v>
      </c>
      <c r="AW276" s="2" t="n">
        <f aca="false">IF(AC276&gt;Hypothèses!$J$26,MAX(0,AV276)/(1-Hypothèses!$J$26/AC276),0)</f>
        <v>3187.26821886474</v>
      </c>
      <c r="AX276" s="2" t="n">
        <f aca="false">AQ276-Entrées!$C$17*1000</f>
        <v>110.809006295636</v>
      </c>
      <c r="AY276" s="2" t="n">
        <f aca="false">AI276+(Entrées!$C$244-Entrées!$C$13)</f>
        <v>28110.2048743125</v>
      </c>
      <c r="AZ276" s="2" t="n">
        <f aca="false">AA276*AH276</f>
        <v>5582.27355706899</v>
      </c>
      <c r="BA276" s="2" t="n">
        <f aca="false">AZ276/AY276</f>
        <v>0.198585303167611</v>
      </c>
      <c r="BB276" s="2" t="n">
        <f aca="false">AZ276/(Entrées!$C$151/100)-AY276</f>
        <v>2902.42599829301</v>
      </c>
      <c r="BC276" s="2" t="n">
        <f aca="false">AT276+(Entrées!$C$244-Entrées!$C$13)</f>
        <v>27839.0476858767</v>
      </c>
      <c r="BD276" s="2" t="n">
        <f aca="false">AA276*AQ276</f>
        <v>6028.48908956718</v>
      </c>
      <c r="BE276" s="2" t="n">
        <f aca="false">BD276/BC276</f>
        <v>0.216547963766216</v>
      </c>
      <c r="BF276" s="2" t="n">
        <f aca="false">BD276/(Entrées!$C$151/100)-BC276</f>
        <v>5652.55836727434</v>
      </c>
      <c r="BG276" s="2" t="n">
        <f aca="false">MIN(AV276,BF276)</f>
        <v>2240.37933301025</v>
      </c>
      <c r="BH276" s="2" t="n">
        <f aca="false">IF(AC276&gt;Hypothèses!$J$26,MAX(0,BG276)/(1-Hypothèses!$J$26/AC276),0)</f>
        <v>3187.26821886474</v>
      </c>
    </row>
    <row r="277" customFormat="false" ht="15" hidden="false" customHeight="false" outlineLevel="0" collapsed="false">
      <c r="A277" s="2" t="n">
        <v>262</v>
      </c>
      <c r="B277" s="2" t="n">
        <v>0.400637991</v>
      </c>
      <c r="C277" s="2"/>
      <c r="D277" s="2" t="n">
        <v>0.714560176</v>
      </c>
      <c r="E277" s="2" t="n">
        <f aca="false">IF(E$7=E$5,E$6,IF(NORMSDIST(E$9*SQRT($C$11)*NORMSINV($B277)+SQRT(1-E$9^2*$C$11)*NORMSINV(D277))&lt;E$8,E$5+SQRT(NORMSDIST(E$9*SQRT($C$11)*NORMSINV($B277)+SQRT(1-E$9^2*$C$11)*NORMSINV(D277))*(E$7-E$5)*(E$6-E$5)),E$7-SQRT((1-NORMSDIST(E$9*SQRT($C$11)*NORMSINV($B277)+SQRT(1-E$9^2*$C$11)*NORMSINV(D277)))*(E$7-E$5)*(E$7-E$6))))</f>
        <v>0.0555852101737039</v>
      </c>
      <c r="F277" s="2" t="n">
        <v>0.429640117</v>
      </c>
      <c r="G277" s="2" t="n">
        <f aca="false">IF(G$7=G$5,G$6,IF(NORMSDIST(G$9*SQRT($C$11)*NORMSINV($B277)+SQRT(1-G$9^2*$C$11)*NORMSINV(F277))&lt;G$8,G$5+SQRT(NORMSDIST(G$9*SQRT($C$11)*NORMSINV($B277)+SQRT(1-G$9^2*$C$11)*NORMSINV(F277))*(G$7-G$5)*(G$6-G$5)),G$7-SQRT((1-NORMSDIST(G$9*SQRT($C$11)*NORMSINV($B277)+SQRT(1-G$9^2*$C$11)*NORMSINV(F277)))*(G$7-G$5)*(G$7-G$6))))</f>
        <v>0.0531353816095505</v>
      </c>
      <c r="H277" s="2" t="n">
        <v>0.757825674</v>
      </c>
      <c r="I277" s="2" t="n">
        <f aca="false">IF(I$7=I$5,I$6,IF(NORMSDIST(I$9*SQRT($C$11)*NORMSINV($B277)+SQRT(1-I$9^2*$C$11)*NORMSINV(H277))&lt;I$8,I$5+SQRT(NORMSDIST(I$9*SQRT($C$11)*NORMSINV($B277)+SQRT(1-I$9^2*$C$11)*NORMSINV(H277))*(I$7-I$5)*(I$6-I$5)),I$7-SQRT((1-NORMSDIST(I$9*SQRT($C$11)*NORMSINV($B277)+SQRT(1-I$9^2*$C$11)*NORMSINV(H277)))*(I$7-I$5)*(I$7-I$6))))</f>
        <v>203.241907602206</v>
      </c>
      <c r="J277" s="2" t="n">
        <v>0.53344402</v>
      </c>
      <c r="K277" s="2" t="n">
        <f aca="false">IF(K$7=K$5,K$6,IF(NORMSDIST(K$9*SQRT($C$11)*NORMSINV($B277)+SQRT(1-K$9^2*$C$11)*NORMSINV(J277))&lt;K$8,K$5+SQRT(NORMSDIST(K$9*SQRT($C$11)*NORMSINV($B277)+SQRT(1-K$9^2*$C$11)*NORMSINV(J277))*(K$7-K$5)*(K$6-K$5)),K$7-SQRT((1-NORMSDIST(K$9*SQRT($C$11)*NORMSINV($B277)+SQRT(1-K$9^2*$C$11)*NORMSINV(J277)))*(K$7-K$5)*(K$7-K$6))))</f>
        <v>0.240438465756084</v>
      </c>
      <c r="L277" s="2" t="n">
        <v>0.833226244</v>
      </c>
      <c r="M277" s="2" t="n">
        <f aca="false">IF(M$7=M$5,M$6,IF(NORMSDIST(M$9*SQRT($C$11)*NORMSINV($B277)+SQRT(1-M$9^2*$C$11)*NORMSINV(L277))&lt;M$8,M$5+SQRT(NORMSDIST(M$9*SQRT($C$11)*NORMSINV($B277)+SQRT(1-M$9^2*$C$11)*NORMSINV(L277))*(M$7-M$5)*(M$6-M$5)),M$7-SQRT((1-NORMSDIST(M$9*SQRT($C$11)*NORMSINV($B277)+SQRT(1-M$9^2*$C$11)*NORMSINV(L277)))*(M$7-M$5)*(M$7-M$6))))</f>
        <v>1643.22808008371</v>
      </c>
      <c r="N277" s="2" t="n">
        <v>0.495274899</v>
      </c>
      <c r="O277" s="2" t="n">
        <f aca="false">IF(O$7=O$5,O$6,IF(NORMSDIST(O$9*SQRT($C$11)*NORMSINV($B277)+SQRT(1-O$9^2*$C$11)*NORMSINV(N277))&lt;O$8,O$5+SQRT(NORMSDIST(O$9*SQRT($C$11)*NORMSINV($B277)+SQRT(1-O$9^2*$C$11)*NORMSINV(N277))*(O$7-O$5)*(O$6-O$5)),O$7-SQRT((1-NORMSDIST(O$9*SQRT($C$11)*NORMSINV($B277)+SQRT(1-O$9^2*$C$11)*NORMSINV(N277)))*(O$7-O$5)*(O$7-O$6))))</f>
        <v>0.164929719277825</v>
      </c>
      <c r="P277" s="2" t="n">
        <v>0.77444729</v>
      </c>
      <c r="Q277" s="2" t="n">
        <f aca="false">IF(Q$7=Q$5,Q$6,IF(NORMSDIST(Q$9*SQRT($C$11)*NORMSINV($B277)+SQRT(1-Q$9^2*$C$11)*NORMSINV(P277))&lt;Q$8,Q$5+SQRT(NORMSDIST(Q$9*SQRT($C$11)*NORMSINV($B277)+SQRT(1-Q$9^2*$C$11)*NORMSINV(P277))*(Q$7-Q$5)*(Q$6-Q$5)),Q$7-SQRT((1-NORMSDIST(Q$9*SQRT($C$11)*NORMSINV($B277)+SQRT(1-Q$9^2*$C$11)*NORMSINV(P277)))*(Q$7-Q$5)*(Q$7-Q$6))))</f>
        <v>0.0931342472281159</v>
      </c>
      <c r="R277" s="2" t="n">
        <v>0.184245273</v>
      </c>
      <c r="S277" s="2" t="n">
        <f aca="false">IF(S$7=S$5,S$6,IF(NORMSDIST(S$9*SQRT($C$11)*NORMSINV($B277)+SQRT(1-S$9^2*$C$11)*NORMSINV(R277))&lt;S$8,S$5+SQRT(NORMSDIST(S$9*SQRT($C$11)*NORMSINV($B277)+SQRT(1-S$9^2*$C$11)*NORMSINV(R277))*(S$7-S$5)*(S$6-S$5)),S$7-SQRT((1-NORMSDIST(S$9*SQRT($C$11)*NORMSINV($B277)+SQRT(1-S$9^2*$C$11)*NORMSINV(R277)))*(S$7-S$5)*(S$7-S$6))))</f>
        <v>0.313096167059207</v>
      </c>
      <c r="T277" s="2" t="n">
        <v>0.13764163</v>
      </c>
      <c r="U277" s="2" t="n">
        <f aca="false">IF(U$7=U$5,U$6,IF(NORMSDIST(U$9*SQRT($C$11)*NORMSINV($B277)+SQRT(1-U$9^2*$C$11)*NORMSINV(T277))&lt;U$8,U$5+SQRT(NORMSDIST(U$9*SQRT($C$11)*NORMSINV($B277)+SQRT(1-U$9^2*$C$11)*NORMSINV(T277))*(U$7-U$5)*(U$6-U$5)),U$7-SQRT((1-NORMSDIST(U$9*SQRT($C$11)*NORMSINV($B277)+SQRT(1-U$9^2*$C$11)*NORMSINV(T277)))*(U$7-U$5)*(U$7-U$6))))</f>
        <v>0.280738555561306</v>
      </c>
      <c r="V277" s="2" t="n">
        <v>0.867733715</v>
      </c>
      <c r="W277" s="2" t="n">
        <f aca="false">IF(W$7=W$5,W$6,IF(NORMSDIST(W$9*SQRT($C$11)*NORMSINV($B277)+SQRT(1-W$9^2*$C$11)*NORMSINV(V277))&lt;W$8,W$5+SQRT(NORMSDIST(W$9*SQRT($C$11)*NORMSINV($B277)+SQRT(1-W$9^2*$C$11)*NORMSINV(V277))*(W$7-W$5)*(W$6-W$5)),W$7-SQRT((1-NORMSDIST(W$9*SQRT($C$11)*NORMSINV($B277)+SQRT(1-W$9^2*$C$11)*NORMSINV(V277)))*(W$7-W$5)*(W$7-W$6))))</f>
        <v>10.6132473485558</v>
      </c>
      <c r="X277" s="2" t="n">
        <v>0.009592235</v>
      </c>
      <c r="Y277" s="2" t="n">
        <f aca="false">IF(Y$7=Y$5,Y$6,IF(NORMSDIST(Y$9*SQRT($C$11)*NORMSINV($B277)+SQRT(1-Y$9^2*$C$11)*NORMSINV(X277))&lt;Y$8,Y$5+SQRT(NORMSDIST(Y$9*SQRT($C$11)*NORMSINV($B277)+SQRT(1-Y$9^2*$C$11)*NORMSINV(X277))*(Y$7-Y$5)*(Y$6-Y$5)),Y$7-SQRT((1-NORMSDIST(Y$9*SQRT($C$11)*NORMSINV($B277)+SQRT(1-Y$9^2*$C$11)*NORMSINV(X277)))*(Y$7-Y$5)*(Y$7-Y$6))))</f>
        <v>0.0692540071042824</v>
      </c>
      <c r="Z277" s="2" t="n">
        <v>0.8526133</v>
      </c>
      <c r="AA277" s="2" t="n">
        <f aca="false">IF(AA$7=AA$5,AA$6,IF(NORMSDIST(AA$9*SQRT($C$11)*NORMSINV($B277)+SQRT(1-AA$9^2*$C$11)*NORMSINV(Z277))&lt;AA$8,AA$5+SQRT(NORMSDIST(AA$9*SQRT($C$11)*NORMSINV($B277)+SQRT(1-AA$9^2*$C$11)*NORMSINV(Z277))*(AA$7-AA$5)*(AA$6-AA$5)),AA$7-SQRT((1-NORMSDIST(AA$9*SQRT($C$11)*NORMSINV($B277)+SQRT(1-AA$9^2*$C$11)*NORMSINV(Z277)))*(AA$7-AA$5)*(AA$7-AA$6))))</f>
        <v>0.735691958276202</v>
      </c>
      <c r="AB277" s="2" t="n">
        <v>0.762214063</v>
      </c>
      <c r="AC277" s="2" t="n">
        <f aca="false">IF(AC$7=AC$5,AC$6,IF(NORMSDIST(AC$9*SQRT($C$11)*NORMSINV($B277)+SQRT(1-AC$9^2*$C$11)*NORMSINV(AB277))&lt;AC$8,AC$5+SQRT(NORMSDIST(AC$9*SQRT($C$11)*NORMSINV($B277)+SQRT(1-AC$9^2*$C$11)*NORMSINV(AB277))*(AC$7-AC$5)*(AC$6-AC$5)),AC$7-SQRT((1-NORMSDIST(AC$9*SQRT($C$11)*NORMSINV($B277)+SQRT(1-AC$9^2*$C$11)*NORMSINV(AB277)))*(AC$7-AC$5)*(AC$7-AC$6))))</f>
        <v>9.77528009880006</v>
      </c>
      <c r="AD277" s="2" t="n">
        <f aca="false">Entrées!$C$8*(1+E277)</f>
        <v>7441.87573172461</v>
      </c>
      <c r="AE277" s="2" t="n">
        <f aca="false">I277*Hypothèses!$J$24/12/Hypothèses!$J$19</f>
        <v>100.827659860423</v>
      </c>
      <c r="AF277" s="2" t="n">
        <f aca="false">Entrées!$C$36*S277*1000</f>
        <v>156.548083529603</v>
      </c>
      <c r="AG277" s="2" t="n">
        <f aca="false">-AF277/W277</f>
        <v>-14.7502529987587</v>
      </c>
      <c r="AH277" s="2" t="n">
        <f aca="false">AD277+AE277+AG277</f>
        <v>7527.95313858628</v>
      </c>
      <c r="AI277" s="2" t="n">
        <f aca="false">Entrées!$C$16-M277+Hypothèses!$J$22*1000-AF277+Hypothèses!$J$23</f>
        <v>22748.2238363867</v>
      </c>
      <c r="AJ277" s="2" t="n">
        <f aca="false">AI277/AH277</f>
        <v>3.02183387935631</v>
      </c>
      <c r="AK277" s="2" t="n">
        <f aca="false">AI277/(AH277+I277*(12-Hypothèses!$J$24)/12/Hypothèses!$J$19)</f>
        <v>2.9931980217283</v>
      </c>
      <c r="AL277" s="2" t="n">
        <f aca="false">(AD277+AG277+I277/Hypothèses!$J$19)*(1+G277)</f>
        <v>8003.80035566095</v>
      </c>
      <c r="AM277" s="2" t="n">
        <f aca="false">Entrées!$C$54*K277/Hypothèses!$J$19</f>
        <v>24.5377549662883</v>
      </c>
      <c r="AN277" s="2" t="n">
        <f aca="false">Y277*1000/AC277</f>
        <v>7.08460590431404</v>
      </c>
      <c r="AO277" s="2" t="n">
        <f aca="false">(Entrées!$C$36*(1-S277)+MAX(0,Entrées!$C$30-Entrées!$C$35-Entrées!$C$36)*U277)*1000</f>
        <v>736.485894256226</v>
      </c>
      <c r="AP277" s="2" t="n">
        <f aca="false">-AO277/W277</f>
        <v>-69.393077355956</v>
      </c>
      <c r="AQ277" s="2" t="n">
        <f aca="false">AL277+AM277+AN277+AP277</f>
        <v>7966.02963917559</v>
      </c>
      <c r="AR277" s="2" t="n">
        <f aca="false">O277*AQ277-Hypothèses!$J$25/Hypothèses!$J$19</f>
        <v>1294.69986988644</v>
      </c>
      <c r="AS277" s="2" t="n">
        <f aca="false">Entrées!$C$79*(1+Q277)+Hypothèses!$J$20</f>
        <v>1496.3545377037</v>
      </c>
      <c r="AT277" s="2" t="n">
        <f aca="false">AI277-AR277+AS277+Y277*1000-AO277+Hypothèses!$J$23</f>
        <v>22282.646617052</v>
      </c>
      <c r="AU277" s="2" t="n">
        <f aca="false">AT277/AQ277</f>
        <v>2.79720860031322</v>
      </c>
      <c r="AV277" s="2" t="n">
        <f aca="false">Hypothèses!$J$26*AQ277-AT277</f>
        <v>1615.44230047477</v>
      </c>
      <c r="AW277" s="2" t="n">
        <f aca="false">IF(AC277&gt;Hypothèses!$J$26,MAX(0,AV277)/(1-Hypothèses!$J$26/AC277),0)</f>
        <v>2330.73773191865</v>
      </c>
      <c r="AX277" s="2" t="n">
        <f aca="false">AQ277-Entrées!$C$17*1000</f>
        <v>-33.9703608244063</v>
      </c>
      <c r="AY277" s="2" t="n">
        <f aca="false">AI277+(Entrées!$C$244-Entrées!$C$13)</f>
        <v>28495.2238363867</v>
      </c>
      <c r="AZ277" s="2" t="n">
        <f aca="false">AA277*AH277</f>
        <v>5538.25458633802</v>
      </c>
      <c r="BA277" s="2" t="n">
        <f aca="false">AZ277/AY277</f>
        <v>0.1943572936341</v>
      </c>
      <c r="BB277" s="2" t="n">
        <f aca="false">AZ277/(Entrées!$C$151/100)-AY277</f>
        <v>2272.85719882451</v>
      </c>
      <c r="BC277" s="2" t="n">
        <f aca="false">AT277+(Entrées!$C$244-Entrées!$C$13)</f>
        <v>28029.646617052</v>
      </c>
      <c r="BD277" s="2" t="n">
        <f aca="false">AA277*AQ277</f>
        <v>5860.54394493136</v>
      </c>
      <c r="BE277" s="2" t="n">
        <f aca="false">BD277/BC277</f>
        <v>0.209083761383066</v>
      </c>
      <c r="BF277" s="2" t="n">
        <f aca="false">BD277/(Entrées!$C$151/100)-BC277</f>
        <v>4528.93085478885</v>
      </c>
      <c r="BG277" s="2" t="n">
        <f aca="false">MIN(AV277,BF277)</f>
        <v>1615.44230047477</v>
      </c>
      <c r="BH277" s="2" t="n">
        <f aca="false">IF(AC277&gt;Hypothèses!$J$26,MAX(0,BG277)/(1-Hypothèses!$J$26/AC277),0)</f>
        <v>2330.73773191865</v>
      </c>
    </row>
    <row r="278" customFormat="false" ht="15" hidden="false" customHeight="false" outlineLevel="0" collapsed="false">
      <c r="A278" s="2" t="n">
        <v>263</v>
      </c>
      <c r="B278" s="2" t="n">
        <v>0.925052808</v>
      </c>
      <c r="C278" s="2"/>
      <c r="D278" s="2" t="n">
        <v>0.794655255</v>
      </c>
      <c r="E278" s="2" t="n">
        <f aca="false">IF(E$7=E$5,E$6,IF(NORMSDIST(E$9*SQRT($C$11)*NORMSINV($B278)+SQRT(1-E$9^2*$C$11)*NORMSINV(D278))&lt;E$8,E$5+SQRT(NORMSDIST(E$9*SQRT($C$11)*NORMSINV($B278)+SQRT(1-E$9^2*$C$11)*NORMSINV(D278))*(E$7-E$5)*(E$6-E$5)),E$7-SQRT((1-NORMSDIST(E$9*SQRT($C$11)*NORMSINV($B278)+SQRT(1-E$9^2*$C$11)*NORMSINV(D278)))*(E$7-E$5)*(E$7-E$6))))</f>
        <v>0.0582561451228059</v>
      </c>
      <c r="F278" s="2" t="n">
        <v>0.483572977</v>
      </c>
      <c r="G278" s="2" t="n">
        <f aca="false">IF(G$7=G$5,G$6,IF(NORMSDIST(G$9*SQRT($C$11)*NORMSINV($B278)+SQRT(1-G$9^2*$C$11)*NORMSINV(F278))&lt;G$8,G$5+SQRT(NORMSDIST(G$9*SQRT($C$11)*NORMSINV($B278)+SQRT(1-G$9^2*$C$11)*NORMSINV(F278))*(G$7-G$5)*(G$6-G$5)),G$7-SQRT((1-NORMSDIST(G$9*SQRT($C$11)*NORMSINV($B278)+SQRT(1-G$9^2*$C$11)*NORMSINV(F278)))*(G$7-G$5)*(G$7-G$6))))</f>
        <v>0.0607591576896743</v>
      </c>
      <c r="H278" s="2" t="n">
        <v>0.062480419</v>
      </c>
      <c r="I278" s="2" t="n">
        <f aca="false">IF(I$7=I$5,I$6,IF(NORMSDIST(I$9*SQRT($C$11)*NORMSINV($B278)+SQRT(1-I$9^2*$C$11)*NORMSINV(H278))&lt;I$8,I$5+SQRT(NORMSDIST(I$9*SQRT($C$11)*NORMSINV($B278)+SQRT(1-I$9^2*$C$11)*NORMSINV(H278))*(I$7-I$5)*(I$6-I$5)),I$7-SQRT((1-NORMSDIST(I$9*SQRT($C$11)*NORMSINV($B278)+SQRT(1-I$9^2*$C$11)*NORMSINV(H278)))*(I$7-I$5)*(I$7-I$6))))</f>
        <v>197.67695799274</v>
      </c>
      <c r="J278" s="2" t="n">
        <v>0.709995925</v>
      </c>
      <c r="K278" s="2" t="n">
        <f aca="false">IF(K$7=K$5,K$6,IF(NORMSDIST(K$9*SQRT($C$11)*NORMSINV($B278)+SQRT(1-K$9^2*$C$11)*NORMSINV(J278))&lt;K$8,K$5+SQRT(NORMSDIST(K$9*SQRT($C$11)*NORMSINV($B278)+SQRT(1-K$9^2*$C$11)*NORMSINV(J278))*(K$7-K$5)*(K$6-K$5)),K$7-SQRT((1-NORMSDIST(K$9*SQRT($C$11)*NORMSINV($B278)+SQRT(1-K$9^2*$C$11)*NORMSINV(J278)))*(K$7-K$5)*(K$7-K$6))))</f>
        <v>0.393796275787757</v>
      </c>
      <c r="L278" s="2" t="n">
        <v>0.437959381</v>
      </c>
      <c r="M278" s="2" t="n">
        <f aca="false">IF(M$7=M$5,M$6,IF(NORMSDIST(M$9*SQRT($C$11)*NORMSINV($B278)+SQRT(1-M$9^2*$C$11)*NORMSINV(L278))&lt;M$8,M$5+SQRT(NORMSDIST(M$9*SQRT($C$11)*NORMSINV($B278)+SQRT(1-M$9^2*$C$11)*NORMSINV(L278))*(M$7-M$5)*(M$6-M$5)),M$7-SQRT((1-NORMSDIST(M$9*SQRT($C$11)*NORMSINV($B278)+SQRT(1-M$9^2*$C$11)*NORMSINV(L278)))*(M$7-M$5)*(M$7-M$6))))</f>
        <v>1661.11945471203</v>
      </c>
      <c r="N278" s="2" t="n">
        <v>0.80305352</v>
      </c>
      <c r="O278" s="2" t="n">
        <f aca="false">IF(O$7=O$5,O$6,IF(NORMSDIST(O$9*SQRT($C$11)*NORMSINV($B278)+SQRT(1-O$9^2*$C$11)*NORMSINV(N278))&lt;O$8,O$5+SQRT(NORMSDIST(O$9*SQRT($C$11)*NORMSINV($B278)+SQRT(1-O$9^2*$C$11)*NORMSINV(N278))*(O$7-O$5)*(O$6-O$5)),O$7-SQRT((1-NORMSDIST(O$9*SQRT($C$11)*NORMSINV($B278)+SQRT(1-O$9^2*$C$11)*NORMSINV(N278)))*(O$7-O$5)*(O$7-O$6))))</f>
        <v>0.182134385746805</v>
      </c>
      <c r="P278" s="2" t="n">
        <v>0.674520907</v>
      </c>
      <c r="Q278" s="2" t="n">
        <f aca="false">IF(Q$7=Q$5,Q$6,IF(NORMSDIST(Q$9*SQRT($C$11)*NORMSINV($B278)+SQRT(1-Q$9^2*$C$11)*NORMSINV(P278))&lt;Q$8,Q$5+SQRT(NORMSDIST(Q$9*SQRT($C$11)*NORMSINV($B278)+SQRT(1-Q$9^2*$C$11)*NORMSINV(P278))*(Q$7-Q$5)*(Q$6-Q$5)),Q$7-SQRT((1-NORMSDIST(Q$9*SQRT($C$11)*NORMSINV($B278)+SQRT(1-Q$9^2*$C$11)*NORMSINV(P278)))*(Q$7-Q$5)*(Q$7-Q$6))))</f>
        <v>0.087727208091025</v>
      </c>
      <c r="R278" s="2" t="n">
        <v>0.040416062</v>
      </c>
      <c r="S278" s="2" t="n">
        <f aca="false">IF(S$7=S$5,S$6,IF(NORMSDIST(S$9*SQRT($C$11)*NORMSINV($B278)+SQRT(1-S$9^2*$C$11)*NORMSINV(R278))&lt;S$8,S$5+SQRT(NORMSDIST(S$9*SQRT($C$11)*NORMSINV($B278)+SQRT(1-S$9^2*$C$11)*NORMSINV(R278))*(S$7-S$5)*(S$6-S$5)),S$7-SQRT((1-NORMSDIST(S$9*SQRT($C$11)*NORMSINV($B278)+SQRT(1-S$9^2*$C$11)*NORMSINV(R278)))*(S$7-S$5)*(S$7-S$6))))</f>
        <v>0.405809021219034</v>
      </c>
      <c r="T278" s="2" t="n">
        <v>0.17881701</v>
      </c>
      <c r="U278" s="2" t="n">
        <f aca="false">IF(U$7=U$5,U$6,IF(NORMSDIST(U$9*SQRT($C$11)*NORMSINV($B278)+SQRT(1-U$9^2*$C$11)*NORMSINV(T278))&lt;U$8,U$5+SQRT(NORMSDIST(U$9*SQRT($C$11)*NORMSINV($B278)+SQRT(1-U$9^2*$C$11)*NORMSINV(T278))*(U$7-U$5)*(U$6-U$5)),U$7-SQRT((1-NORMSDIST(U$9*SQRT($C$11)*NORMSINV($B278)+SQRT(1-U$9^2*$C$11)*NORMSINV(T278)))*(U$7-U$5)*(U$7-U$6))))</f>
        <v>0.540941867307601</v>
      </c>
      <c r="V278" s="2" t="n">
        <v>0.81425294</v>
      </c>
      <c r="W278" s="2" t="n">
        <f aca="false">IF(W$7=W$5,W$6,IF(NORMSDIST(W$9*SQRT($C$11)*NORMSINV($B278)+SQRT(1-W$9^2*$C$11)*NORMSINV(V278))&lt;W$8,W$5+SQRT(NORMSDIST(W$9*SQRT($C$11)*NORMSINV($B278)+SQRT(1-W$9^2*$C$11)*NORMSINV(V278))*(W$7-W$5)*(W$6-W$5)),W$7-SQRT((1-NORMSDIST(W$9*SQRT($C$11)*NORMSINV($B278)+SQRT(1-W$9^2*$C$11)*NORMSINV(V278)))*(W$7-W$5)*(W$7-W$6))))</f>
        <v>11.3398386474711</v>
      </c>
      <c r="X278" s="2" t="n">
        <v>0.94462427</v>
      </c>
      <c r="Y278" s="2" t="n">
        <f aca="false">IF(Y$7=Y$5,Y$6,IF(NORMSDIST(Y$9*SQRT($C$11)*NORMSINV($B278)+SQRT(1-Y$9^2*$C$11)*NORMSINV(X278))&lt;Y$8,Y$5+SQRT(NORMSDIST(Y$9*SQRT($C$11)*NORMSINV($B278)+SQRT(1-Y$9^2*$C$11)*NORMSINV(X278))*(Y$7-Y$5)*(Y$6-Y$5)),Y$7-SQRT((1-NORMSDIST(Y$9*SQRT($C$11)*NORMSINV($B278)+SQRT(1-Y$9^2*$C$11)*NORMSINV(X278)))*(Y$7-Y$5)*(Y$7-Y$6))))</f>
        <v>0.833603290296953</v>
      </c>
      <c r="Z278" s="2" t="n">
        <v>0.440135581</v>
      </c>
      <c r="AA278" s="2" t="n">
        <f aca="false">IF(AA$7=AA$5,AA$6,IF(NORMSDIST(AA$9*SQRT($C$11)*NORMSINV($B278)+SQRT(1-AA$9^2*$C$11)*NORMSINV(Z278))&lt;AA$8,AA$5+SQRT(NORMSDIST(AA$9*SQRT($C$11)*NORMSINV($B278)+SQRT(1-AA$9^2*$C$11)*NORMSINV(Z278))*(AA$7-AA$5)*(AA$6-AA$5)),AA$7-SQRT((1-NORMSDIST(AA$9*SQRT($C$11)*NORMSINV($B278)+SQRT(1-AA$9^2*$C$11)*NORMSINV(Z278)))*(AA$7-AA$5)*(AA$7-AA$6))))</f>
        <v>0.737300756589518</v>
      </c>
      <c r="AB278" s="2" t="n">
        <v>0.147948403</v>
      </c>
      <c r="AC278" s="2" t="n">
        <f aca="false">IF(AC$7=AC$5,AC$6,IF(NORMSDIST(AC$9*SQRT($C$11)*NORMSINV($B278)+SQRT(1-AC$9^2*$C$11)*NORMSINV(AB278))&lt;AC$8,AC$5+SQRT(NORMSDIST(AC$9*SQRT($C$11)*NORMSINV($B278)+SQRT(1-AC$9^2*$C$11)*NORMSINV(AB278))*(AC$7-AC$5)*(AC$6-AC$5)),AC$7-SQRT((1-NORMSDIST(AC$9*SQRT($C$11)*NORMSINV($B278)+SQRT(1-AC$9^2*$C$11)*NORMSINV(AB278)))*(AC$7-AC$5)*(AC$7-AC$6))))</f>
        <v>9.56045794632207</v>
      </c>
      <c r="AD278" s="2" t="n">
        <f aca="false">Entrées!$C$8*(1+E278)</f>
        <v>7460.70582311578</v>
      </c>
      <c r="AE278" s="2" t="n">
        <f aca="false">I278*Hypothèses!$J$24/12/Hypothèses!$J$19</f>
        <v>98.0669061704812</v>
      </c>
      <c r="AF278" s="2" t="n">
        <f aca="false">Entrées!$C$36*S278*1000</f>
        <v>202.904510609517</v>
      </c>
      <c r="AG278" s="2" t="n">
        <f aca="false">-AF278/W278</f>
        <v>-17.8930685803688</v>
      </c>
      <c r="AH278" s="2" t="n">
        <f aca="false">AD278+AE278+AG278</f>
        <v>7540.87966070589</v>
      </c>
      <c r="AI278" s="2" t="n">
        <f aca="false">Entrées!$C$16-M278+Hypothèses!$J$22*1000-AF278+Hypothèses!$J$23</f>
        <v>22683.9760346785</v>
      </c>
      <c r="AJ278" s="2" t="n">
        <f aca="false">AI278/AH278</f>
        <v>3.00813393865445</v>
      </c>
      <c r="AK278" s="2" t="n">
        <f aca="false">AI278/(AH278+I278*(12-Hypothèses!$J$24)/12/Hypothèses!$J$19)</f>
        <v>2.98044833316755</v>
      </c>
      <c r="AL278" s="2" t="n">
        <f aca="false">(AD278+AG278+I278/Hypothèses!$J$19)*(1+G278)</f>
        <v>8073.36099197717</v>
      </c>
      <c r="AM278" s="2" t="n">
        <f aca="false">Entrées!$C$54*K278/Hypothèses!$J$19</f>
        <v>40.1885633878546</v>
      </c>
      <c r="AN278" s="2" t="n">
        <f aca="false">Y278*1000/AC278</f>
        <v>87.192820153311</v>
      </c>
      <c r="AO278" s="2" t="n">
        <f aca="false">(Entrées!$C$36*(1-S278)+MAX(0,Entrées!$C$30-Entrées!$C$35-Entrées!$C$36)*U278)*1000</f>
        <v>1054.41410362112</v>
      </c>
      <c r="AP278" s="2" t="n">
        <f aca="false">-AO278/W278</f>
        <v>-92.983166374794</v>
      </c>
      <c r="AQ278" s="2" t="n">
        <f aca="false">AL278+AM278+AN278+AP278</f>
        <v>8107.75920914355</v>
      </c>
      <c r="AR278" s="2" t="n">
        <f aca="false">O278*AQ278-Hypothèses!$J$25/Hypothèses!$J$19</f>
        <v>1457.56658107874</v>
      </c>
      <c r="AS278" s="2" t="n">
        <f aca="false">Entrées!$C$79*(1+Q278)+Hypothèses!$J$20</f>
        <v>1490.41220169204</v>
      </c>
      <c r="AT278" s="2" t="n">
        <f aca="false">AI278-AR278+AS278+Y278*1000-AO278+Hypothèses!$J$23</f>
        <v>22496.0108419676</v>
      </c>
      <c r="AU278" s="2" t="n">
        <f aca="false">AT278/AQ278</f>
        <v>2.77462739847992</v>
      </c>
      <c r="AV278" s="2" t="n">
        <f aca="false">Hypothèses!$J$26*AQ278-AT278</f>
        <v>1827.26678546306</v>
      </c>
      <c r="AW278" s="2" t="n">
        <f aca="false">IF(AC278&gt;Hypothèses!$J$26,MAX(0,AV278)/(1-Hypothèses!$J$26/AC278),0)</f>
        <v>2662.84875264302</v>
      </c>
      <c r="AX278" s="2" t="n">
        <f aca="false">AQ278-Entrées!$C$17*1000</f>
        <v>107.759209143547</v>
      </c>
      <c r="AY278" s="2" t="n">
        <f aca="false">AI278+(Entrées!$C$244-Entrées!$C$13)</f>
        <v>28430.9760346785</v>
      </c>
      <c r="AZ278" s="2" t="n">
        <f aca="false">AA278*AH278</f>
        <v>5559.89627918897</v>
      </c>
      <c r="BA278" s="2" t="n">
        <f aca="false">AZ278/AY278</f>
        <v>0.195557699897722</v>
      </c>
      <c r="BB278" s="2" t="n">
        <f aca="false">AZ278/(Entrées!$C$151/100)-AY278</f>
        <v>2457.33662748248</v>
      </c>
      <c r="BC278" s="2" t="n">
        <f aca="false">AT278+(Entrées!$C$244-Entrées!$C$13)</f>
        <v>28243.0108419676</v>
      </c>
      <c r="BD278" s="2" t="n">
        <f aca="false">AA278*AQ278</f>
        <v>5977.85699914717</v>
      </c>
      <c r="BE278" s="2" t="n">
        <f aca="false">BD278/BC278</f>
        <v>0.211657922471368</v>
      </c>
      <c r="BF278" s="2" t="n">
        <f aca="false">BD278/(Entrées!$C$151/100)-BC278</f>
        <v>4967.30581996116</v>
      </c>
      <c r="BG278" s="2" t="n">
        <f aca="false">MIN(AV278,BF278)</f>
        <v>1827.26678546306</v>
      </c>
      <c r="BH278" s="2" t="n">
        <f aca="false">IF(AC278&gt;Hypothèses!$J$26,MAX(0,BG278)/(1-Hypothèses!$J$26/AC278),0)</f>
        <v>2662.84875264302</v>
      </c>
    </row>
    <row r="279" customFormat="false" ht="15" hidden="false" customHeight="false" outlineLevel="0" collapsed="false">
      <c r="A279" s="2" t="n">
        <v>264</v>
      </c>
      <c r="B279" s="2" t="n">
        <v>0.148203359</v>
      </c>
      <c r="C279" s="2"/>
      <c r="D279" s="2" t="n">
        <v>0.845306344</v>
      </c>
      <c r="E279" s="2" t="n">
        <f aca="false">IF(E$7=E$5,E$6,IF(NORMSDIST(E$9*SQRT($C$11)*NORMSINV($B279)+SQRT(1-E$9^2*$C$11)*NORMSINV(D279))&lt;E$8,E$5+SQRT(NORMSDIST(E$9*SQRT($C$11)*NORMSINV($B279)+SQRT(1-E$9^2*$C$11)*NORMSINV(D279))*(E$7-E$5)*(E$6-E$5)),E$7-SQRT((1-NORMSDIST(E$9*SQRT($C$11)*NORMSINV($B279)+SQRT(1-E$9^2*$C$11)*NORMSINV(D279)))*(E$7-E$5)*(E$7-E$6))))</f>
        <v>0.0552593619209423</v>
      </c>
      <c r="F279" s="2" t="n">
        <v>0.494623155</v>
      </c>
      <c r="G279" s="2" t="n">
        <f aca="false">IF(G$7=G$5,G$6,IF(NORMSDIST(G$9*SQRT($C$11)*NORMSINV($B279)+SQRT(1-G$9^2*$C$11)*NORMSINV(F279))&lt;G$8,G$5+SQRT(NORMSDIST(G$9*SQRT($C$11)*NORMSINV($B279)+SQRT(1-G$9^2*$C$11)*NORMSINV(F279))*(G$7-G$5)*(G$6-G$5)),G$7-SQRT((1-NORMSDIST(G$9*SQRT($C$11)*NORMSINV($B279)+SQRT(1-G$9^2*$C$11)*NORMSINV(F279)))*(G$7-G$5)*(G$7-G$6))))</f>
        <v>0.0506312654964629</v>
      </c>
      <c r="H279" s="2" t="n">
        <v>0.78274168</v>
      </c>
      <c r="I279" s="2" t="n">
        <f aca="false">IF(I$7=I$5,I$6,IF(NORMSDIST(I$9*SQRT($C$11)*NORMSINV($B279)+SQRT(1-I$9^2*$C$11)*NORMSINV(H279))&lt;I$8,I$5+SQRT(NORMSDIST(I$9*SQRT($C$11)*NORMSINV($B279)+SQRT(1-I$9^2*$C$11)*NORMSINV(H279))*(I$7-I$5)*(I$6-I$5)),I$7-SQRT((1-NORMSDIST(I$9*SQRT($C$11)*NORMSINV($B279)+SQRT(1-I$9^2*$C$11)*NORMSINV(H279)))*(I$7-I$5)*(I$7-I$6))))</f>
        <v>199.556021841908</v>
      </c>
      <c r="J279" s="2" t="n">
        <v>0.142995914</v>
      </c>
      <c r="K279" s="2" t="n">
        <f aca="false">IF(K$7=K$5,K$6,IF(NORMSDIST(K$9*SQRT($C$11)*NORMSINV($B279)+SQRT(1-K$9^2*$C$11)*NORMSINV(J279))&lt;K$8,K$5+SQRT(NORMSDIST(K$9*SQRT($C$11)*NORMSINV($B279)+SQRT(1-K$9^2*$C$11)*NORMSINV(J279))*(K$7-K$5)*(K$6-K$5)),K$7-SQRT((1-NORMSDIST(K$9*SQRT($C$11)*NORMSINV($B279)+SQRT(1-K$9^2*$C$11)*NORMSINV(J279)))*(K$7-K$5)*(K$7-K$6))))</f>
        <v>0.0925520262220969</v>
      </c>
      <c r="L279" s="2" t="n">
        <v>0.61218977</v>
      </c>
      <c r="M279" s="2" t="n">
        <f aca="false">IF(M$7=M$5,M$6,IF(NORMSDIST(M$9*SQRT($C$11)*NORMSINV($B279)+SQRT(1-M$9^2*$C$11)*NORMSINV(L279))&lt;M$8,M$5+SQRT(NORMSDIST(M$9*SQRT($C$11)*NORMSINV($B279)+SQRT(1-M$9^2*$C$11)*NORMSINV(L279))*(M$7-M$5)*(M$6-M$5)),M$7-SQRT((1-NORMSDIST(M$9*SQRT($C$11)*NORMSINV($B279)+SQRT(1-M$9^2*$C$11)*NORMSINV(L279)))*(M$7-M$5)*(M$7-M$6))))</f>
        <v>1532.45910886865</v>
      </c>
      <c r="N279" s="2" t="n">
        <v>0.310704247</v>
      </c>
      <c r="O279" s="2" t="n">
        <f aca="false">IF(O$7=O$5,O$6,IF(NORMSDIST(O$9*SQRT($C$11)*NORMSINV($B279)+SQRT(1-O$9^2*$C$11)*NORMSINV(N279))&lt;O$8,O$5+SQRT(NORMSDIST(O$9*SQRT($C$11)*NORMSINV($B279)+SQRT(1-O$9^2*$C$11)*NORMSINV(N279))*(O$7-O$5)*(O$6-O$5)),O$7-SQRT((1-NORMSDIST(O$9*SQRT($C$11)*NORMSINV($B279)+SQRT(1-O$9^2*$C$11)*NORMSINV(N279)))*(O$7-O$5)*(O$7-O$6))))</f>
        <v>0.15459646465173</v>
      </c>
      <c r="P279" s="2" t="n">
        <v>0.733594739</v>
      </c>
      <c r="Q279" s="2" t="n">
        <f aca="false">IF(Q$7=Q$5,Q$6,IF(NORMSDIST(Q$9*SQRT($C$11)*NORMSINV($B279)+SQRT(1-Q$9^2*$C$11)*NORMSINV(P279))&lt;Q$8,Q$5+SQRT(NORMSDIST(Q$9*SQRT($C$11)*NORMSINV($B279)+SQRT(1-Q$9^2*$C$11)*NORMSINV(P279))*(Q$7-Q$5)*(Q$6-Q$5)),Q$7-SQRT((1-NORMSDIST(Q$9*SQRT($C$11)*NORMSINV($B279)+SQRT(1-Q$9^2*$C$11)*NORMSINV(P279)))*(Q$7-Q$5)*(Q$7-Q$6))))</f>
        <v>0.0908024515549678</v>
      </c>
      <c r="R279" s="2" t="n">
        <v>0.691789474</v>
      </c>
      <c r="S279" s="2" t="n">
        <f aca="false">IF(S$7=S$5,S$6,IF(NORMSDIST(S$9*SQRT($C$11)*NORMSINV($B279)+SQRT(1-S$9^2*$C$11)*NORMSINV(R279))&lt;S$8,S$5+SQRT(NORMSDIST(S$9*SQRT($C$11)*NORMSINV($B279)+SQRT(1-S$9^2*$C$11)*NORMSINV(R279))*(S$7-S$5)*(S$6-S$5)),S$7-SQRT((1-NORMSDIST(S$9*SQRT($C$11)*NORMSINV($B279)+SQRT(1-S$9^2*$C$11)*NORMSINV(R279)))*(S$7-S$5)*(S$7-S$6))))</f>
        <v>0.44309567703587</v>
      </c>
      <c r="T279" s="2" t="n">
        <v>0.551414087</v>
      </c>
      <c r="U279" s="2" t="n">
        <f aca="false">IF(U$7=U$5,U$6,IF(NORMSDIST(U$9*SQRT($C$11)*NORMSINV($B279)+SQRT(1-U$9^2*$C$11)*NORMSINV(T279))&lt;U$8,U$5+SQRT(NORMSDIST(U$9*SQRT($C$11)*NORMSINV($B279)+SQRT(1-U$9^2*$C$11)*NORMSINV(T279))*(U$7-U$5)*(U$6-U$5)),U$7-SQRT((1-NORMSDIST(U$9*SQRT($C$11)*NORMSINV($B279)+SQRT(1-U$9^2*$C$11)*NORMSINV(T279)))*(U$7-U$5)*(U$7-U$6))))</f>
        <v>0.379237460334883</v>
      </c>
      <c r="V279" s="2" t="n">
        <v>0.171255828</v>
      </c>
      <c r="W279" s="2" t="n">
        <f aca="false">IF(W$7=W$5,W$6,IF(NORMSDIST(W$9*SQRT($C$11)*NORMSINV($B279)+SQRT(1-W$9^2*$C$11)*NORMSINV(V279))&lt;W$8,W$5+SQRT(NORMSDIST(W$9*SQRT($C$11)*NORMSINV($B279)+SQRT(1-W$9^2*$C$11)*NORMSINV(V279))*(W$7-W$5)*(W$6-W$5)),W$7-SQRT((1-NORMSDIST(W$9*SQRT($C$11)*NORMSINV($B279)+SQRT(1-W$9^2*$C$11)*NORMSINV(V279)))*(W$7-W$5)*(W$7-W$6))))</f>
        <v>8.8070195077338</v>
      </c>
      <c r="X279" s="2" t="n">
        <v>0.470060814</v>
      </c>
      <c r="Y279" s="2" t="n">
        <f aca="false">IF(Y$7=Y$5,Y$6,IF(NORMSDIST(Y$9*SQRT($C$11)*NORMSINV($B279)+SQRT(1-Y$9^2*$C$11)*NORMSINV(X279))&lt;Y$8,Y$5+SQRT(NORMSDIST(Y$9*SQRT($C$11)*NORMSINV($B279)+SQRT(1-Y$9^2*$C$11)*NORMSINV(X279))*(Y$7-Y$5)*(Y$6-Y$5)),Y$7-SQRT((1-NORMSDIST(Y$9*SQRT($C$11)*NORMSINV($B279)+SQRT(1-Y$9^2*$C$11)*NORMSINV(X279)))*(Y$7-Y$5)*(Y$7-Y$6))))</f>
        <v>0.484799347153026</v>
      </c>
      <c r="Z279" s="2" t="n">
        <v>0.575968223</v>
      </c>
      <c r="AA279" s="2" t="n">
        <f aca="false">IF(AA$7=AA$5,AA$6,IF(NORMSDIST(AA$9*SQRT($C$11)*NORMSINV($B279)+SQRT(1-AA$9^2*$C$11)*NORMSINV(Z279))&lt;AA$8,AA$5+SQRT(NORMSDIST(AA$9*SQRT($C$11)*NORMSINV($B279)+SQRT(1-AA$9^2*$C$11)*NORMSINV(Z279))*(AA$7-AA$5)*(AA$6-AA$5)),AA$7-SQRT((1-NORMSDIST(AA$9*SQRT($C$11)*NORMSINV($B279)+SQRT(1-AA$9^2*$C$11)*NORMSINV(Z279)))*(AA$7-AA$5)*(AA$7-AA$6))))</f>
        <v>0.720855754558192</v>
      </c>
      <c r="AB279" s="2" t="n">
        <v>0.871981476</v>
      </c>
      <c r="AC279" s="2" t="n">
        <f aca="false">IF(AC$7=AC$5,AC$6,IF(NORMSDIST(AC$9*SQRT($C$11)*NORMSINV($B279)+SQRT(1-AC$9^2*$C$11)*NORMSINV(AB279))&lt;AC$8,AC$5+SQRT(NORMSDIST(AC$9*SQRT($C$11)*NORMSINV($B279)+SQRT(1-AC$9^2*$C$11)*NORMSINV(AB279))*(AC$7-AC$5)*(AC$6-AC$5)),AC$7-SQRT((1-NORMSDIST(AC$9*SQRT($C$11)*NORMSINV($B279)+SQRT(1-AC$9^2*$C$11)*NORMSINV(AB279)))*(AC$7-AC$5)*(AC$7-AC$6))))</f>
        <v>9.65171571825644</v>
      </c>
      <c r="AD279" s="2" t="n">
        <f aca="false">Entrées!$C$8*(1+E279)</f>
        <v>7439.57850154264</v>
      </c>
      <c r="AE279" s="2" t="n">
        <f aca="false">I279*Hypothèses!$J$24/12/Hypothèses!$J$19</f>
        <v>98.9991037318757</v>
      </c>
      <c r="AF279" s="2" t="n">
        <f aca="false">Entrées!$C$36*S279*1000</f>
        <v>221.547838517935</v>
      </c>
      <c r="AG279" s="2" t="n">
        <f aca="false">-AF279/W279</f>
        <v>-25.1558246604751</v>
      </c>
      <c r="AH279" s="2" t="n">
        <f aca="false">AD279+AE279+AG279</f>
        <v>7513.42178061404</v>
      </c>
      <c r="AI279" s="2" t="n">
        <f aca="false">Entrées!$C$16-M279+Hypothèses!$J$22*1000-AF279+Hypothèses!$J$23</f>
        <v>22793.9930526134</v>
      </c>
      <c r="AJ279" s="2" t="n">
        <f aca="false">AI279/AH279</f>
        <v>3.03376992776127</v>
      </c>
      <c r="AK279" s="2" t="n">
        <f aca="false">AI279/(AH279+I279*(12-Hypothèses!$J$24)/12/Hypothèses!$J$19)</f>
        <v>3.00548339024375</v>
      </c>
      <c r="AL279" s="2" t="n">
        <f aca="false">(AD279+AG279+I279/Hypothèses!$J$19)*(1+G279)</f>
        <v>7968.12980045867</v>
      </c>
      <c r="AM279" s="2" t="n">
        <f aca="false">Entrées!$C$54*K279/Hypothèses!$J$19</f>
        <v>9.44532287681112</v>
      </c>
      <c r="AN279" s="2" t="n">
        <f aca="false">Y279*1000/AC279</f>
        <v>50.2293438083777</v>
      </c>
      <c r="AO279" s="2" t="n">
        <f aca="false">(Entrées!$C$36*(1-S279)+MAX(0,Entrées!$C$30-Entrées!$C$35-Entrées!$C$36)*U279)*1000</f>
        <v>809.384605950901</v>
      </c>
      <c r="AP279" s="2" t="n">
        <f aca="false">-AO279/W279</f>
        <v>-91.9022156406203</v>
      </c>
      <c r="AQ279" s="2" t="n">
        <f aca="false">AL279+AM279+AN279+AP279</f>
        <v>7935.90225150324</v>
      </c>
      <c r="AR279" s="2" t="n">
        <f aca="false">O279*AQ279-Hypothèses!$J$25/Hypothèses!$J$19</f>
        <v>1207.72726964248</v>
      </c>
      <c r="AS279" s="2" t="n">
        <f aca="false">Entrées!$C$79*(1+Q279)+Hypothèses!$J$20</f>
        <v>1493.79189425891</v>
      </c>
      <c r="AT279" s="2" t="n">
        <f aca="false">AI279-AR279+AS279+Y279*1000-AO279+Hypothèses!$J$23</f>
        <v>22755.472418432</v>
      </c>
      <c r="AU279" s="2" t="n">
        <f aca="false">AT279/AQ279</f>
        <v>2.86740835474902</v>
      </c>
      <c r="AV279" s="2" t="n">
        <f aca="false">Hypothèses!$J$26*AQ279-AT279</f>
        <v>1052.23433607776</v>
      </c>
      <c r="AW279" s="2" t="n">
        <f aca="false">IF(AC279&gt;Hypothèses!$J$26,MAX(0,AV279)/(1-Hypothèses!$J$26/AC279),0)</f>
        <v>1526.80407747085</v>
      </c>
      <c r="AX279" s="2" t="n">
        <f aca="false">AQ279-Entrées!$C$17*1000</f>
        <v>-64.0977484967571</v>
      </c>
      <c r="AY279" s="2" t="n">
        <f aca="false">AI279+(Entrées!$C$244-Entrées!$C$13)</f>
        <v>28540.9930526134</v>
      </c>
      <c r="AZ279" s="2" t="n">
        <f aca="false">AA279*AH279</f>
        <v>5416.09332697849</v>
      </c>
      <c r="BA279" s="2" t="n">
        <f aca="false">AZ279/AY279</f>
        <v>0.189765412751907</v>
      </c>
      <c r="BB279" s="2" t="n">
        <f aca="false">AZ279/(Entrées!$C$151/100)-AY279</f>
        <v>1548.41431948932</v>
      </c>
      <c r="BC279" s="2" t="n">
        <f aca="false">AT279+(Entrées!$C$244-Entrées!$C$13)</f>
        <v>28502.472418432</v>
      </c>
      <c r="BD279" s="2" t="n">
        <f aca="false">AA279*AQ279</f>
        <v>5720.64080560743</v>
      </c>
      <c r="BE279" s="2" t="n">
        <f aca="false">BD279/BC279</f>
        <v>0.200706827170123</v>
      </c>
      <c r="BF279" s="2" t="n">
        <f aca="false">BD279/(Entrées!$C$151/100)-BC279</f>
        <v>3278.86539049818</v>
      </c>
      <c r="BG279" s="2" t="n">
        <f aca="false">MIN(AV279,BF279)</f>
        <v>1052.23433607776</v>
      </c>
      <c r="BH279" s="2" t="n">
        <f aca="false">IF(AC279&gt;Hypothèses!$J$26,MAX(0,BG279)/(1-Hypothèses!$J$26/AC279),0)</f>
        <v>1526.80407747085</v>
      </c>
    </row>
    <row r="280" customFormat="false" ht="15" hidden="false" customHeight="false" outlineLevel="0" collapsed="false">
      <c r="A280" s="2" t="n">
        <v>265</v>
      </c>
      <c r="B280" s="2" t="n">
        <v>0.268252519</v>
      </c>
      <c r="C280" s="2"/>
      <c r="D280" s="2" t="n">
        <v>0.905463597</v>
      </c>
      <c r="E280" s="2" t="n">
        <f aca="false">IF(E$7=E$5,E$6,IF(NORMSDIST(E$9*SQRT($C$11)*NORMSINV($B280)+SQRT(1-E$9^2*$C$11)*NORMSINV(D280))&lt;E$8,E$5+SQRT(NORMSDIST(E$9*SQRT($C$11)*NORMSINV($B280)+SQRT(1-E$9^2*$C$11)*NORMSINV(D280))*(E$7-E$5)*(E$6-E$5)),E$7-SQRT((1-NORMSDIST(E$9*SQRT($C$11)*NORMSINV($B280)+SQRT(1-E$9^2*$C$11)*NORMSINV(D280)))*(E$7-E$5)*(E$7-E$6))))</f>
        <v>0.0563562730042891</v>
      </c>
      <c r="F280" s="2" t="n">
        <v>0.352445303</v>
      </c>
      <c r="G280" s="2" t="n">
        <f aca="false">IF(G$7=G$5,G$6,IF(NORMSDIST(G$9*SQRT($C$11)*NORMSINV($B280)+SQRT(1-G$9^2*$C$11)*NORMSINV(F280))&lt;G$8,G$5+SQRT(NORMSDIST(G$9*SQRT($C$11)*NORMSINV($B280)+SQRT(1-G$9^2*$C$11)*NORMSINV(F280))*(G$7-G$5)*(G$6-G$5)),G$7-SQRT((1-NORMSDIST(G$9*SQRT($C$11)*NORMSINV($B280)+SQRT(1-G$9^2*$C$11)*NORMSINV(F280)))*(G$7-G$5)*(G$7-G$6))))</f>
        <v>0.050540580299909</v>
      </c>
      <c r="H280" s="2" t="n">
        <v>0.337222022</v>
      </c>
      <c r="I280" s="2" t="n">
        <f aca="false">IF(I$7=I$5,I$6,IF(NORMSDIST(I$9*SQRT($C$11)*NORMSINV($B280)+SQRT(1-I$9^2*$C$11)*NORMSINV(H280))&lt;I$8,I$5+SQRT(NORMSDIST(I$9*SQRT($C$11)*NORMSINV($B280)+SQRT(1-I$9^2*$C$11)*NORMSINV(H280))*(I$7-I$5)*(I$6-I$5)),I$7-SQRT((1-NORMSDIST(I$9*SQRT($C$11)*NORMSINV($B280)+SQRT(1-I$9^2*$C$11)*NORMSINV(H280)))*(I$7-I$5)*(I$7-I$6))))</f>
        <v>193.766719978729</v>
      </c>
      <c r="J280" s="2" t="n">
        <v>0.914705578</v>
      </c>
      <c r="K280" s="2" t="n">
        <f aca="false">IF(K$7=K$5,K$6,IF(NORMSDIST(K$9*SQRT($C$11)*NORMSINV($B280)+SQRT(1-K$9^2*$C$11)*NORMSINV(J280))&lt;K$8,K$5+SQRT(NORMSDIST(K$9*SQRT($C$11)*NORMSINV($B280)+SQRT(1-K$9^2*$C$11)*NORMSINV(J280))*(K$7-K$5)*(K$6-K$5)),K$7-SQRT((1-NORMSDIST(K$9*SQRT($C$11)*NORMSINV($B280)+SQRT(1-K$9^2*$C$11)*NORMSINV(J280)))*(K$7-K$5)*(K$7-K$6))))</f>
        <v>0.322776798131287</v>
      </c>
      <c r="L280" s="2" t="n">
        <v>0.106749565</v>
      </c>
      <c r="M280" s="2" t="n">
        <f aca="false">IF(M$7=M$5,M$6,IF(NORMSDIST(M$9*SQRT($C$11)*NORMSINV($B280)+SQRT(1-M$9^2*$C$11)*NORMSINV(L280))&lt;M$8,M$5+SQRT(NORMSDIST(M$9*SQRT($C$11)*NORMSINV($B280)+SQRT(1-M$9^2*$C$11)*NORMSINV(L280))*(M$7-M$5)*(M$6-M$5)),M$7-SQRT((1-NORMSDIST(M$9*SQRT($C$11)*NORMSINV($B280)+SQRT(1-M$9^2*$C$11)*NORMSINV(L280)))*(M$7-M$5)*(M$7-M$6))))</f>
        <v>1421.42406785896</v>
      </c>
      <c r="N280" s="2" t="n">
        <v>0.136313138</v>
      </c>
      <c r="O280" s="2" t="n">
        <f aca="false">IF(O$7=O$5,O$6,IF(NORMSDIST(O$9*SQRT($C$11)*NORMSINV($B280)+SQRT(1-O$9^2*$C$11)*NORMSINV(N280))&lt;O$8,O$5+SQRT(NORMSDIST(O$9*SQRT($C$11)*NORMSINV($B280)+SQRT(1-O$9^2*$C$11)*NORMSINV(N280))*(O$7-O$5)*(O$6-O$5)),O$7-SQRT((1-NORMSDIST(O$9*SQRT($C$11)*NORMSINV($B280)+SQRT(1-O$9^2*$C$11)*NORMSINV(N280)))*(O$7-O$5)*(O$7-O$6))))</f>
        <v>0.152411438387992</v>
      </c>
      <c r="P280" s="2" t="n">
        <v>0.013699339</v>
      </c>
      <c r="Q280" s="2" t="n">
        <f aca="false">IF(Q$7=Q$5,Q$6,IF(NORMSDIST(Q$9*SQRT($C$11)*NORMSINV($B280)+SQRT(1-Q$9^2*$C$11)*NORMSINV(P280))&lt;Q$8,Q$5+SQRT(NORMSDIST(Q$9*SQRT($C$11)*NORMSINV($B280)+SQRT(1-Q$9^2*$C$11)*NORMSINV(P280))*(Q$7-Q$5)*(Q$6-Q$5)),Q$7-SQRT((1-NORMSDIST(Q$9*SQRT($C$11)*NORMSINV($B280)+SQRT(1-Q$9^2*$C$11)*NORMSINV(P280)))*(Q$7-Q$5)*(Q$7-Q$6))))</f>
        <v>0.0466210184110906</v>
      </c>
      <c r="R280" s="2" t="n">
        <v>0.478500377</v>
      </c>
      <c r="S280" s="2" t="n">
        <f aca="false">IF(S$7=S$5,S$6,IF(NORMSDIST(S$9*SQRT($C$11)*NORMSINV($B280)+SQRT(1-S$9^2*$C$11)*NORMSINV(R280))&lt;S$8,S$5+SQRT(NORMSDIST(S$9*SQRT($C$11)*NORMSINV($B280)+SQRT(1-S$9^2*$C$11)*NORMSINV(R280))*(S$7-S$5)*(S$6-S$5)),S$7-SQRT((1-NORMSDIST(S$9*SQRT($C$11)*NORMSINV($B280)+SQRT(1-S$9^2*$C$11)*NORMSINV(R280)))*(S$7-S$5)*(S$7-S$6))))</f>
        <v>0.407811357977572</v>
      </c>
      <c r="T280" s="2" t="n">
        <v>0.883757035</v>
      </c>
      <c r="U280" s="2" t="n">
        <f aca="false">IF(U$7=U$5,U$6,IF(NORMSDIST(U$9*SQRT($C$11)*NORMSINV($B280)+SQRT(1-U$9^2*$C$11)*NORMSINV(T280))&lt;U$8,U$5+SQRT(NORMSDIST(U$9*SQRT($C$11)*NORMSINV($B280)+SQRT(1-U$9^2*$C$11)*NORMSINV(T280))*(U$7-U$5)*(U$6-U$5)),U$7-SQRT((1-NORMSDIST(U$9*SQRT($C$11)*NORMSINV($B280)+SQRT(1-U$9^2*$C$11)*NORMSINV(T280)))*(U$7-U$5)*(U$7-U$6))))</f>
        <v>0.614840433588814</v>
      </c>
      <c r="V280" s="2" t="n">
        <v>0.976471569</v>
      </c>
      <c r="W280" s="2" t="n">
        <f aca="false">IF(W$7=W$5,W$6,IF(NORMSDIST(W$9*SQRT($C$11)*NORMSINV($B280)+SQRT(1-W$9^2*$C$11)*NORMSINV(V280))&lt;W$8,W$5+SQRT(NORMSDIST(W$9*SQRT($C$11)*NORMSINV($B280)+SQRT(1-W$9^2*$C$11)*NORMSINV(V280))*(W$7-W$5)*(W$6-W$5)),W$7-SQRT((1-NORMSDIST(W$9*SQRT($C$11)*NORMSINV($B280)+SQRT(1-W$9^2*$C$11)*NORMSINV(V280)))*(W$7-W$5)*(W$7-W$6))))</f>
        <v>10.9974547514831</v>
      </c>
      <c r="X280" s="2" t="n">
        <v>0.682325258</v>
      </c>
      <c r="Y280" s="2" t="n">
        <f aca="false">IF(Y$7=Y$5,Y$6,IF(NORMSDIST(Y$9*SQRT($C$11)*NORMSINV($B280)+SQRT(1-Y$9^2*$C$11)*NORMSINV(X280))&lt;Y$8,Y$5+SQRT(NORMSDIST(Y$9*SQRT($C$11)*NORMSINV($B280)+SQRT(1-Y$9^2*$C$11)*NORMSINV(X280))*(Y$7-Y$5)*(Y$6-Y$5)),Y$7-SQRT((1-NORMSDIST(Y$9*SQRT($C$11)*NORMSINV($B280)+SQRT(1-Y$9^2*$C$11)*NORMSINV(X280)))*(Y$7-Y$5)*(Y$7-Y$6))))</f>
        <v>0.601455935936815</v>
      </c>
      <c r="Z280" s="2" t="n">
        <v>0.223837022</v>
      </c>
      <c r="AA280" s="2" t="n">
        <f aca="false">IF(AA$7=AA$5,AA$6,IF(NORMSDIST(AA$9*SQRT($C$11)*NORMSINV($B280)+SQRT(1-AA$9^2*$C$11)*NORMSINV(Z280))&lt;AA$8,AA$5+SQRT(NORMSDIST(AA$9*SQRT($C$11)*NORMSINV($B280)+SQRT(1-AA$9^2*$C$11)*NORMSINV(Z280))*(AA$7-AA$5)*(AA$6-AA$5)),AA$7-SQRT((1-NORMSDIST(AA$9*SQRT($C$11)*NORMSINV($B280)+SQRT(1-AA$9^2*$C$11)*NORMSINV(Z280)))*(AA$7-AA$5)*(AA$7-AA$6))))</f>
        <v>0.714052250404563</v>
      </c>
      <c r="AB280" s="2" t="n">
        <v>0.892596071</v>
      </c>
      <c r="AC280" s="2" t="n">
        <f aca="false">IF(AC$7=AC$5,AC$6,IF(NORMSDIST(AC$9*SQRT($C$11)*NORMSINV($B280)+SQRT(1-AC$9^2*$C$11)*NORMSINV(AB280))&lt;AC$8,AC$5+SQRT(NORMSDIST(AC$9*SQRT($C$11)*NORMSINV($B280)+SQRT(1-AC$9^2*$C$11)*NORMSINV(AB280))*(AC$7-AC$5)*(AC$6-AC$5)),AC$7-SQRT((1-NORMSDIST(AC$9*SQRT($C$11)*NORMSINV($B280)+SQRT(1-AC$9^2*$C$11)*NORMSINV(AB280)))*(AC$7-AC$5)*(AC$7-AC$6))))</f>
        <v>9.891644255915</v>
      </c>
      <c r="AD280" s="2" t="n">
        <f aca="false">Entrées!$C$8*(1+E280)</f>
        <v>7447.31172468024</v>
      </c>
      <c r="AE280" s="2" t="n">
        <f aca="false">I280*Hypothèses!$J$24/12/Hypothèses!$J$19</f>
        <v>96.1270496069339</v>
      </c>
      <c r="AF280" s="2" t="n">
        <f aca="false">Entrées!$C$36*S280*1000</f>
        <v>203.905678988786</v>
      </c>
      <c r="AG280" s="2" t="n">
        <f aca="false">-AF280/W280</f>
        <v>-18.5411700794938</v>
      </c>
      <c r="AH280" s="2" t="n">
        <f aca="false">AD280+AE280+AG280</f>
        <v>7524.89760420768</v>
      </c>
      <c r="AI280" s="2" t="n">
        <f aca="false">Entrées!$C$16-M280+Hypothèses!$J$22*1000-AF280+Hypothèses!$J$23</f>
        <v>22922.6702531523</v>
      </c>
      <c r="AJ280" s="2" t="n">
        <f aca="false">AI280/AH280</f>
        <v>3.04624347849393</v>
      </c>
      <c r="AK280" s="2" t="n">
        <f aca="false">AI280/(AH280+I280*(12-Hypothèses!$J$24)/12/Hypothèses!$J$19)</f>
        <v>3.01869885926025</v>
      </c>
      <c r="AL280" s="2" t="n">
        <f aca="false">(AD280+AG280+I280/Hypothèses!$J$19)*(1+G280)</f>
        <v>7977.34270044786</v>
      </c>
      <c r="AM280" s="2" t="n">
        <f aca="false">Entrées!$C$54*K280/Hypothèses!$J$19</f>
        <v>32.9407275014948</v>
      </c>
      <c r="AN280" s="2" t="n">
        <f aca="false">Y280*1000/AC280</f>
        <v>60.8044446783614</v>
      </c>
      <c r="AO280" s="2" t="n">
        <f aca="false">(Entrées!$C$36*(1-S280)+MAX(0,Entrées!$C$30-Entrées!$C$35-Entrées!$C$36)*U280)*1000</f>
        <v>1156.87092803555</v>
      </c>
      <c r="AP280" s="2" t="n">
        <f aca="false">-AO280/W280</f>
        <v>-105.194424908139</v>
      </c>
      <c r="AQ280" s="2" t="n">
        <f aca="false">AL280+AM280+AN280+AP280</f>
        <v>7965.89344771958</v>
      </c>
      <c r="AR280" s="2" t="n">
        <f aca="false">O280*AQ280-Hypothèses!$J$25/Hypothèses!$J$19</f>
        <v>1194.9581161508</v>
      </c>
      <c r="AS280" s="2" t="n">
        <f aca="false">Entrées!$C$79*(1+Q280)+Hypothèses!$J$20</f>
        <v>1445.23649923379</v>
      </c>
      <c r="AT280" s="2" t="n">
        <f aca="false">AI280-AR280+AS280+Y280*1000-AO280+Hypothèses!$J$23</f>
        <v>22617.5336441365</v>
      </c>
      <c r="AU280" s="2" t="n">
        <f aca="false">AT280/AQ280</f>
        <v>2.8392965324701</v>
      </c>
      <c r="AV280" s="2" t="n">
        <f aca="false">Hypothèses!$J$26*AQ280-AT280</f>
        <v>1280.14669902223</v>
      </c>
      <c r="AW280" s="2" t="n">
        <f aca="false">IF(AC280&gt;Hypothèses!$J$26,MAX(0,AV280)/(1-Hypothèses!$J$26/AC280),0)</f>
        <v>1837.40705002925</v>
      </c>
      <c r="AX280" s="2" t="n">
        <f aca="false">AQ280-Entrées!$C$17*1000</f>
        <v>-34.1065522804201</v>
      </c>
      <c r="AY280" s="2" t="n">
        <f aca="false">AI280+(Entrées!$C$244-Entrées!$C$13)</f>
        <v>28669.6702531523</v>
      </c>
      <c r="AZ280" s="2" t="n">
        <f aca="false">AA280*AH280</f>
        <v>5373.1700683484</v>
      </c>
      <c r="BA280" s="2" t="n">
        <f aca="false">AZ280/AY280</f>
        <v>0.187416528369649</v>
      </c>
      <c r="BB280" s="2" t="n">
        <f aca="false">AZ280/(Entrées!$C$151/100)-AY280</f>
        <v>1181.27457100552</v>
      </c>
      <c r="BC280" s="2" t="n">
        <f aca="false">AT280+(Entrées!$C$244-Entrées!$C$13)</f>
        <v>28364.5336441365</v>
      </c>
      <c r="BD280" s="2" t="n">
        <f aca="false">AA280*AQ280</f>
        <v>5688.06414282713</v>
      </c>
      <c r="BE280" s="2" t="n">
        <f aca="false">BD280/BC280</f>
        <v>0.20053437910138</v>
      </c>
      <c r="BF280" s="2" t="n">
        <f aca="false">BD280/(Entrées!$C$151/100)-BC280</f>
        <v>3235.82270490311</v>
      </c>
      <c r="BG280" s="2" t="n">
        <f aca="false">MIN(AV280,BF280)</f>
        <v>1280.14669902223</v>
      </c>
      <c r="BH280" s="2" t="n">
        <f aca="false">IF(AC280&gt;Hypothèses!$J$26,MAX(0,BG280)/(1-Hypothèses!$J$26/AC280),0)</f>
        <v>1837.40705002925</v>
      </c>
    </row>
    <row r="281" customFormat="false" ht="15" hidden="false" customHeight="false" outlineLevel="0" collapsed="false">
      <c r="A281" s="2" t="n">
        <v>266</v>
      </c>
      <c r="B281" s="2" t="n">
        <v>0.858800848</v>
      </c>
      <c r="C281" s="2"/>
      <c r="D281" s="2" t="n">
        <v>0.092655647</v>
      </c>
      <c r="E281" s="2" t="n">
        <f aca="false">IF(E$7=E$5,E$6,IF(NORMSDIST(E$9*SQRT($C$11)*NORMSINV($B281)+SQRT(1-E$9^2*$C$11)*NORMSINV(D281))&lt;E$8,E$5+SQRT(NORMSDIST(E$9*SQRT($C$11)*NORMSINV($B281)+SQRT(1-E$9^2*$C$11)*NORMSINV(D281))*(E$7-E$5)*(E$6-E$5)),E$7-SQRT((1-NORMSDIST(E$9*SQRT($C$11)*NORMSINV($B281)+SQRT(1-E$9^2*$C$11)*NORMSINV(D281)))*(E$7-E$5)*(E$7-E$6))))</f>
        <v>0.0542697328194316</v>
      </c>
      <c r="F281" s="2" t="n">
        <v>0.69910085</v>
      </c>
      <c r="G281" s="2" t="n">
        <f aca="false">IF(G$7=G$5,G$6,IF(NORMSDIST(G$9*SQRT($C$11)*NORMSINV($B281)+SQRT(1-G$9^2*$C$11)*NORMSINV(F281))&lt;G$8,G$5+SQRT(NORMSDIST(G$9*SQRT($C$11)*NORMSINV($B281)+SQRT(1-G$9^2*$C$11)*NORMSINV(F281))*(G$7-G$5)*(G$6-G$5)),G$7-SQRT((1-NORMSDIST(G$9*SQRT($C$11)*NORMSINV($B281)+SQRT(1-G$9^2*$C$11)*NORMSINV(F281)))*(G$7-G$5)*(G$7-G$6))))</f>
        <v>0.0620862939659915</v>
      </c>
      <c r="H281" s="2" t="n">
        <v>0.889137423</v>
      </c>
      <c r="I281" s="2" t="n">
        <f aca="false">IF(I$7=I$5,I$6,IF(NORMSDIST(I$9*SQRT($C$11)*NORMSINV($B281)+SQRT(1-I$9^2*$C$11)*NORMSINV(H281))&lt;I$8,I$5+SQRT(NORMSDIST(I$9*SQRT($C$11)*NORMSINV($B281)+SQRT(1-I$9^2*$C$11)*NORMSINV(H281))*(I$7-I$5)*(I$6-I$5)),I$7-SQRT((1-NORMSDIST(I$9*SQRT($C$11)*NORMSINV($B281)+SQRT(1-I$9^2*$C$11)*NORMSINV(H281)))*(I$7-I$5)*(I$7-I$6))))</f>
        <v>213.554246423652</v>
      </c>
      <c r="J281" s="2" t="n">
        <v>0.694250738</v>
      </c>
      <c r="K281" s="2" t="n">
        <f aca="false">IF(K$7=K$5,K$6,IF(NORMSDIST(K$9*SQRT($C$11)*NORMSINV($B281)+SQRT(1-K$9^2*$C$11)*NORMSINV(J281))&lt;K$8,K$5+SQRT(NORMSDIST(K$9*SQRT($C$11)*NORMSINV($B281)+SQRT(1-K$9^2*$C$11)*NORMSINV(J281))*(K$7-K$5)*(K$6-K$5)),K$7-SQRT((1-NORMSDIST(K$9*SQRT($C$11)*NORMSINV($B281)+SQRT(1-K$9^2*$C$11)*NORMSINV(J281)))*(K$7-K$5)*(K$7-K$6))))</f>
        <v>0.366973729642714</v>
      </c>
      <c r="L281" s="2" t="n">
        <v>0.379014329</v>
      </c>
      <c r="M281" s="2" t="n">
        <f aca="false">IF(M$7=M$5,M$6,IF(NORMSDIST(M$9*SQRT($C$11)*NORMSINV($B281)+SQRT(1-M$9^2*$C$11)*NORMSINV(L281))&lt;M$8,M$5+SQRT(NORMSDIST(M$9*SQRT($C$11)*NORMSINV($B281)+SQRT(1-M$9^2*$C$11)*NORMSINV(L281))*(M$7-M$5)*(M$6-M$5)),M$7-SQRT((1-NORMSDIST(M$9*SQRT($C$11)*NORMSINV($B281)+SQRT(1-M$9^2*$C$11)*NORMSINV(L281)))*(M$7-M$5)*(M$7-M$6))))</f>
        <v>1629.93331240784</v>
      </c>
      <c r="N281" s="2" t="n">
        <v>0.416298674</v>
      </c>
      <c r="O281" s="2" t="n">
        <f aca="false">IF(O$7=O$5,O$6,IF(NORMSDIST(O$9*SQRT($C$11)*NORMSINV($B281)+SQRT(1-O$9^2*$C$11)*NORMSINV(N281))&lt;O$8,O$5+SQRT(NORMSDIST(O$9*SQRT($C$11)*NORMSINV($B281)+SQRT(1-O$9^2*$C$11)*NORMSINV(N281))*(O$7-O$5)*(O$6-O$5)),O$7-SQRT((1-NORMSDIST(O$9*SQRT($C$11)*NORMSINV($B281)+SQRT(1-O$9^2*$C$11)*NORMSINV(N281)))*(O$7-O$5)*(O$7-O$6))))</f>
        <v>0.172038244228748</v>
      </c>
      <c r="P281" s="2" t="n">
        <v>0.914023341</v>
      </c>
      <c r="Q281" s="2" t="n">
        <f aca="false">IF(Q$7=Q$5,Q$6,IF(NORMSDIST(Q$9*SQRT($C$11)*NORMSINV($B281)+SQRT(1-Q$9^2*$C$11)*NORMSINV(P281))&lt;Q$8,Q$5+SQRT(NORMSDIST(Q$9*SQRT($C$11)*NORMSINV($B281)+SQRT(1-Q$9^2*$C$11)*NORMSINV(P281))*(Q$7-Q$5)*(Q$6-Q$5)),Q$7-SQRT((1-NORMSDIST(Q$9*SQRT($C$11)*NORMSINV($B281)+SQRT(1-Q$9^2*$C$11)*NORMSINV(P281)))*(Q$7-Q$5)*(Q$7-Q$6))))</f>
        <v>0.103413098276049</v>
      </c>
      <c r="R281" s="2" t="n">
        <v>0.588494382</v>
      </c>
      <c r="S281" s="2" t="n">
        <f aca="false">IF(S$7=S$5,S$6,IF(NORMSDIST(S$9*SQRT($C$11)*NORMSINV($B281)+SQRT(1-S$9^2*$C$11)*NORMSINV(R281))&lt;S$8,S$5+SQRT(NORMSDIST(S$9*SQRT($C$11)*NORMSINV($B281)+SQRT(1-S$9^2*$C$11)*NORMSINV(R281))*(S$7-S$5)*(S$6-S$5)),S$7-SQRT((1-NORMSDIST(S$9*SQRT($C$11)*NORMSINV($B281)+SQRT(1-S$9^2*$C$11)*NORMSINV(R281)))*(S$7-S$5)*(S$7-S$6))))</f>
        <v>0.686313655239082</v>
      </c>
      <c r="T281" s="2" t="n">
        <v>0.691733815</v>
      </c>
      <c r="U281" s="2" t="n">
        <f aca="false">IF(U$7=U$5,U$6,IF(NORMSDIST(U$9*SQRT($C$11)*NORMSINV($B281)+SQRT(1-U$9^2*$C$11)*NORMSINV(T281))&lt;U$8,U$5+SQRT(NORMSDIST(U$9*SQRT($C$11)*NORMSINV($B281)+SQRT(1-U$9^2*$C$11)*NORMSINV(T281))*(U$7-U$5)*(U$6-U$5)),U$7-SQRT((1-NORMSDIST(U$9*SQRT($C$11)*NORMSINV($B281)+SQRT(1-U$9^2*$C$11)*NORMSINV(T281)))*(U$7-U$5)*(U$7-U$6))))</f>
        <v>0.732777032620054</v>
      </c>
      <c r="V281" s="2" t="n">
        <v>0.345879802</v>
      </c>
      <c r="W281" s="2" t="n">
        <f aca="false">IF(W$7=W$5,W$6,IF(NORMSDIST(W$9*SQRT($C$11)*NORMSINV($B281)+SQRT(1-W$9^2*$C$11)*NORMSINV(V281))&lt;W$8,W$5+SQRT(NORMSDIST(W$9*SQRT($C$11)*NORMSINV($B281)+SQRT(1-W$9^2*$C$11)*NORMSINV(V281))*(W$7-W$5)*(W$6-W$5)),W$7-SQRT((1-NORMSDIST(W$9*SQRT($C$11)*NORMSINV($B281)+SQRT(1-W$9^2*$C$11)*NORMSINV(V281)))*(W$7-W$5)*(W$7-W$6))))</f>
        <v>10.3155630025857</v>
      </c>
      <c r="X281" s="2" t="n">
        <v>0.497029964</v>
      </c>
      <c r="Y281" s="2" t="n">
        <f aca="false">IF(Y$7=Y$5,Y$6,IF(NORMSDIST(Y$9*SQRT($C$11)*NORMSINV($B281)+SQRT(1-Y$9^2*$C$11)*NORMSINV(X281))&lt;Y$8,Y$5+SQRT(NORMSDIST(Y$9*SQRT($C$11)*NORMSINV($B281)+SQRT(1-Y$9^2*$C$11)*NORMSINV(X281))*(Y$7-Y$5)*(Y$6-Y$5)),Y$7-SQRT((1-NORMSDIST(Y$9*SQRT($C$11)*NORMSINV($B281)+SQRT(1-Y$9^2*$C$11)*NORMSINV(X281)))*(Y$7-Y$5)*(Y$7-Y$6))))</f>
        <v>0.498512770147365</v>
      </c>
      <c r="Z281" s="2" t="n">
        <v>0.638107831</v>
      </c>
      <c r="AA281" s="2" t="n">
        <f aca="false">IF(AA$7=AA$5,AA$6,IF(NORMSDIST(AA$9*SQRT($C$11)*NORMSINV($B281)+SQRT(1-AA$9^2*$C$11)*NORMSINV(Z281))&lt;AA$8,AA$5+SQRT(NORMSDIST(AA$9*SQRT($C$11)*NORMSINV($B281)+SQRT(1-AA$9^2*$C$11)*NORMSINV(Z281))*(AA$7-AA$5)*(AA$6-AA$5)),AA$7-SQRT((1-NORMSDIST(AA$9*SQRT($C$11)*NORMSINV($B281)+SQRT(1-AA$9^2*$C$11)*NORMSINV(Z281)))*(AA$7-AA$5)*(AA$7-AA$6))))</f>
        <v>0.739082199950793</v>
      </c>
      <c r="AB281" s="2" t="n">
        <v>0.804638546</v>
      </c>
      <c r="AC281" s="2" t="n">
        <f aca="false">IF(AC$7=AC$5,AC$6,IF(NORMSDIST(AC$9*SQRT($C$11)*NORMSINV($B281)+SQRT(1-AC$9^2*$C$11)*NORMSINV(AB281))&lt;AC$8,AC$5+SQRT(NORMSDIST(AC$9*SQRT($C$11)*NORMSINV($B281)+SQRT(1-AC$9^2*$C$11)*NORMSINV(AB281))*(AC$7-AC$5)*(AC$6-AC$5)),AC$7-SQRT((1-NORMSDIST(AC$9*SQRT($C$11)*NORMSINV($B281)+SQRT(1-AC$9^2*$C$11)*NORMSINV(AB281)))*(AC$7-AC$5)*(AC$7-AC$6))))</f>
        <v>10.3786779783056</v>
      </c>
      <c r="AD281" s="2" t="n">
        <f aca="false">Entrées!$C$8*(1+E281)</f>
        <v>7432.60161637699</v>
      </c>
      <c r="AE281" s="2" t="n">
        <f aca="false">I281*Hypothèses!$J$24/12/Hypothèses!$J$19</f>
        <v>105.943578143818</v>
      </c>
      <c r="AF281" s="2" t="n">
        <f aca="false">Entrées!$C$36*S281*1000</f>
        <v>343.156827619541</v>
      </c>
      <c r="AG281" s="2" t="n">
        <f aca="false">-AF281/W281</f>
        <v>-33.2659329920746</v>
      </c>
      <c r="AH281" s="2" t="n">
        <f aca="false">AD281+AE281+AG281</f>
        <v>7505.27926152874</v>
      </c>
      <c r="AI281" s="2" t="n">
        <f aca="false">Entrées!$C$16-M281+Hypothèses!$J$22*1000-AF281+Hypothèses!$J$23</f>
        <v>22574.9098599726</v>
      </c>
      <c r="AJ281" s="2" t="n">
        <f aca="false">AI281/AH281</f>
        <v>3.00787073649467</v>
      </c>
      <c r="AK281" s="2" t="n">
        <f aca="false">AI281/(AH281+I281*(12-Hypothèses!$J$24)/12/Hypothèses!$J$19)</f>
        <v>2.97784581010714</v>
      </c>
      <c r="AL281" s="2" t="n">
        <f aca="false">(AD281+AG281+I281/Hypothèses!$J$19)*(1+G281)</f>
        <v>8051.62653768563</v>
      </c>
      <c r="AM281" s="2" t="n">
        <f aca="false">Entrées!$C$54*K281/Hypothèses!$J$19</f>
        <v>37.4512099331594</v>
      </c>
      <c r="AN281" s="2" t="n">
        <f aca="false">Y281*1000/AC281</f>
        <v>48.032395955381</v>
      </c>
      <c r="AO281" s="2" t="n">
        <f aca="false">(Entrées!$C$36*(1-S281)+MAX(0,Entrées!$C$30-Entrées!$C$35-Entrées!$C$36)*U281)*1000</f>
        <v>1182.73101804853</v>
      </c>
      <c r="AP281" s="2" t="n">
        <f aca="false">-AO281/W281</f>
        <v>-114.655013764355</v>
      </c>
      <c r="AQ281" s="2" t="n">
        <f aca="false">AL281+AM281+AN281+AP281</f>
        <v>8022.45512980982</v>
      </c>
      <c r="AR281" s="2" t="n">
        <f aca="false">O281*AQ281-Hypothèses!$J$25/Hypothèses!$J$19</f>
        <v>1361.03393267477</v>
      </c>
      <c r="AS281" s="2" t="n">
        <f aca="false">Entrées!$C$79*(1+Q281)+Hypothèses!$J$20</f>
        <v>1507.65099500538</v>
      </c>
      <c r="AT281" s="2" t="n">
        <f aca="false">AI281-AR281+AS281+Y281*1000-AO281+Hypothèses!$J$23</f>
        <v>22037.3086744021</v>
      </c>
      <c r="AU281" s="2" t="n">
        <f aca="false">AT281/AQ281</f>
        <v>2.74695318550501</v>
      </c>
      <c r="AV281" s="2" t="n">
        <f aca="false">Hypothèses!$J$26*AQ281-AT281</f>
        <v>2030.05671502738</v>
      </c>
      <c r="AW281" s="2" t="n">
        <f aca="false">IF(AC281&gt;Hypothèses!$J$26,MAX(0,AV281)/(1-Hypothèses!$J$26/AC281),0)</f>
        <v>2855.43087595271</v>
      </c>
      <c r="AX281" s="2" t="n">
        <f aca="false">AQ281-Entrées!$C$17*1000</f>
        <v>22.4551298098149</v>
      </c>
      <c r="AY281" s="2" t="n">
        <f aca="false">AI281+(Entrées!$C$244-Entrées!$C$13)</f>
        <v>28321.9098599726</v>
      </c>
      <c r="AZ281" s="2" t="n">
        <f aca="false">AA281*AH281</f>
        <v>5547.01830785572</v>
      </c>
      <c r="BA281" s="2" t="n">
        <f aca="false">AZ281/AY281</f>
        <v>0.195856082279795</v>
      </c>
      <c r="BB281" s="2" t="n">
        <f aca="false">AZ281/(Entrées!$C$151/100)-AY281</f>
        <v>2494.85851700362</v>
      </c>
      <c r="BC281" s="2" t="n">
        <f aca="false">AT281+(Entrées!$C$244-Entrées!$C$13)</f>
        <v>27784.3086744021</v>
      </c>
      <c r="BD281" s="2" t="n">
        <f aca="false">AA281*AQ281</f>
        <v>5929.25378634637</v>
      </c>
      <c r="BE281" s="2" t="n">
        <f aca="false">BD281/BC281</f>
        <v>0.213402962651687</v>
      </c>
      <c r="BF281" s="2" t="n">
        <f aca="false">BD281/(Entrées!$C$151/100)-BC281</f>
        <v>5155.9901386333</v>
      </c>
      <c r="BG281" s="2" t="n">
        <f aca="false">MIN(AV281,BF281)</f>
        <v>2030.05671502738</v>
      </c>
      <c r="BH281" s="2" t="n">
        <f aca="false">IF(AC281&gt;Hypothèses!$J$26,MAX(0,BG281)/(1-Hypothèses!$J$26/AC281),0)</f>
        <v>2855.43087595271</v>
      </c>
    </row>
    <row r="282" customFormat="false" ht="15" hidden="false" customHeight="false" outlineLevel="0" collapsed="false">
      <c r="A282" s="2" t="n">
        <v>267</v>
      </c>
      <c r="B282" s="2" t="n">
        <v>0.836202373</v>
      </c>
      <c r="C282" s="2"/>
      <c r="D282" s="2" t="n">
        <v>0.926456742</v>
      </c>
      <c r="E282" s="2" t="n">
        <f aca="false">IF(E$7=E$5,E$6,IF(NORMSDIST(E$9*SQRT($C$11)*NORMSINV($B282)+SQRT(1-E$9^2*$C$11)*NORMSINV(D282))&lt;E$8,E$5+SQRT(NORMSDIST(E$9*SQRT($C$11)*NORMSINV($B282)+SQRT(1-E$9^2*$C$11)*NORMSINV(D282))*(E$7-E$5)*(E$6-E$5)),E$7-SQRT((1-NORMSDIST(E$9*SQRT($C$11)*NORMSINV($B282)+SQRT(1-E$9^2*$C$11)*NORMSINV(D282)))*(E$7-E$5)*(E$7-E$6))))</f>
        <v>0.058572886318179</v>
      </c>
      <c r="F282" s="2" t="n">
        <v>0.487397071</v>
      </c>
      <c r="G282" s="2" t="n">
        <f aca="false">IF(G$7=G$5,G$6,IF(NORMSDIST(G$9*SQRT($C$11)*NORMSINV($B282)+SQRT(1-G$9^2*$C$11)*NORMSINV(F282))&lt;G$8,G$5+SQRT(NORMSDIST(G$9*SQRT($C$11)*NORMSINV($B282)+SQRT(1-G$9^2*$C$11)*NORMSINV(F282))*(G$7-G$5)*(G$6-G$5)),G$7-SQRT((1-NORMSDIST(G$9*SQRT($C$11)*NORMSINV($B282)+SQRT(1-G$9^2*$C$11)*NORMSINV(F282)))*(G$7-G$5)*(G$7-G$6))))</f>
        <v>0.0588549164224766</v>
      </c>
      <c r="H282" s="2" t="n">
        <v>0.096077225</v>
      </c>
      <c r="I282" s="2" t="n">
        <f aca="false">IF(I$7=I$5,I$6,IF(NORMSDIST(I$9*SQRT($C$11)*NORMSINV($B282)+SQRT(1-I$9^2*$C$11)*NORMSINV(H282))&lt;I$8,I$5+SQRT(NORMSDIST(I$9*SQRT($C$11)*NORMSINV($B282)+SQRT(1-I$9^2*$C$11)*NORMSINV(H282))*(I$7-I$5)*(I$6-I$5)),I$7-SQRT((1-NORMSDIST(I$9*SQRT($C$11)*NORMSINV($B282)+SQRT(1-I$9^2*$C$11)*NORMSINV(H282)))*(I$7-I$5)*(I$7-I$6))))</f>
        <v>196.682011043003</v>
      </c>
      <c r="J282" s="2" t="n">
        <v>0.887498388</v>
      </c>
      <c r="K282" s="2" t="n">
        <f aca="false">IF(K$7=K$5,K$6,IF(NORMSDIST(K$9*SQRT($C$11)*NORMSINV($B282)+SQRT(1-K$9^2*$C$11)*NORMSINV(J282))&lt;K$8,K$5+SQRT(NORMSDIST(K$9*SQRT($C$11)*NORMSINV($B282)+SQRT(1-K$9^2*$C$11)*NORMSINV(J282))*(K$7-K$5)*(K$6-K$5)),K$7-SQRT((1-NORMSDIST(K$9*SQRT($C$11)*NORMSINV($B282)+SQRT(1-K$9^2*$C$11)*NORMSINV(J282)))*(K$7-K$5)*(K$7-K$6))))</f>
        <v>0.413760088000017</v>
      </c>
      <c r="L282" s="2" t="n">
        <v>0.870096793</v>
      </c>
      <c r="M282" s="2" t="n">
        <f aca="false">IF(M$7=M$5,M$6,IF(NORMSDIST(M$9*SQRT($C$11)*NORMSINV($B282)+SQRT(1-M$9^2*$C$11)*NORMSINV(L282))&lt;M$8,M$5+SQRT(NORMSDIST(M$9*SQRT($C$11)*NORMSINV($B282)+SQRT(1-M$9^2*$C$11)*NORMSINV(L282))*(M$7-M$5)*(M$6-M$5)),M$7-SQRT((1-NORMSDIST(M$9*SQRT($C$11)*NORMSINV($B282)+SQRT(1-M$9^2*$C$11)*NORMSINV(L282)))*(M$7-M$5)*(M$7-M$6))))</f>
        <v>1718.40597674628</v>
      </c>
      <c r="N282" s="2" t="n">
        <v>0.155668473</v>
      </c>
      <c r="O282" s="2" t="n">
        <f aca="false">IF(O$7=O$5,O$6,IF(NORMSDIST(O$9*SQRT($C$11)*NORMSINV($B282)+SQRT(1-O$9^2*$C$11)*NORMSINV(N282))&lt;O$8,O$5+SQRT(NORMSDIST(O$9*SQRT($C$11)*NORMSINV($B282)+SQRT(1-O$9^2*$C$11)*NORMSINV(N282))*(O$7-O$5)*(O$6-O$5)),O$7-SQRT((1-NORMSDIST(O$9*SQRT($C$11)*NORMSINV($B282)+SQRT(1-O$9^2*$C$11)*NORMSINV(N282)))*(O$7-O$5)*(O$7-O$6))))</f>
        <v>0.164967030153675</v>
      </c>
      <c r="P282" s="2" t="n">
        <v>0.518887067</v>
      </c>
      <c r="Q282" s="2" t="n">
        <f aca="false">IF(Q$7=Q$5,Q$6,IF(NORMSDIST(Q$9*SQRT($C$11)*NORMSINV($B282)+SQRT(1-Q$9^2*$C$11)*NORMSINV(P282))&lt;Q$8,Q$5+SQRT(NORMSDIST(Q$9*SQRT($C$11)*NORMSINV($B282)+SQRT(1-Q$9^2*$C$11)*NORMSINV(P282))*(Q$7-Q$5)*(Q$6-Q$5)),Q$7-SQRT((1-NORMSDIST(Q$9*SQRT($C$11)*NORMSINV($B282)+SQRT(1-Q$9^2*$C$11)*NORMSINV(P282)))*(Q$7-Q$5)*(Q$7-Q$6))))</f>
        <v>0.0807627551222056</v>
      </c>
      <c r="R282" s="2" t="n">
        <v>0.836342817</v>
      </c>
      <c r="S282" s="2" t="n">
        <f aca="false">IF(S$7=S$5,S$6,IF(NORMSDIST(S$9*SQRT($C$11)*NORMSINV($B282)+SQRT(1-S$9^2*$C$11)*NORMSINV(R282))&lt;S$8,S$5+SQRT(NORMSDIST(S$9*SQRT($C$11)*NORMSINV($B282)+SQRT(1-S$9^2*$C$11)*NORMSINV(R282))*(S$7-S$5)*(S$6-S$5)),S$7-SQRT((1-NORMSDIST(S$9*SQRT($C$11)*NORMSINV($B282)+SQRT(1-S$9^2*$C$11)*NORMSINV(R282)))*(S$7-S$5)*(S$7-S$6))))</f>
        <v>0.794918408180777</v>
      </c>
      <c r="T282" s="2" t="n">
        <v>0.273135711</v>
      </c>
      <c r="U282" s="2" t="n">
        <f aca="false">IF(U$7=U$5,U$6,IF(NORMSDIST(U$9*SQRT($C$11)*NORMSINV($B282)+SQRT(1-U$9^2*$C$11)*NORMSINV(T282))&lt;U$8,U$5+SQRT(NORMSDIST(U$9*SQRT($C$11)*NORMSINV($B282)+SQRT(1-U$9^2*$C$11)*NORMSINV(T282))*(U$7-U$5)*(U$6-U$5)),U$7-SQRT((1-NORMSDIST(U$9*SQRT($C$11)*NORMSINV($B282)+SQRT(1-U$9^2*$C$11)*NORMSINV(T282)))*(U$7-U$5)*(U$7-U$6))))</f>
        <v>0.53113232673122</v>
      </c>
      <c r="V282" s="2" t="n">
        <v>0.649439223</v>
      </c>
      <c r="W282" s="2" t="n">
        <f aca="false">IF(W$7=W$5,W$6,IF(NORMSDIST(W$9*SQRT($C$11)*NORMSINV($B282)+SQRT(1-W$9^2*$C$11)*NORMSINV(V282))&lt;W$8,W$5+SQRT(NORMSDIST(W$9*SQRT($C$11)*NORMSINV($B282)+SQRT(1-W$9^2*$C$11)*NORMSINV(V282))*(W$7-W$5)*(W$6-W$5)),W$7-SQRT((1-NORMSDIST(W$9*SQRT($C$11)*NORMSINV($B282)+SQRT(1-W$9^2*$C$11)*NORMSINV(V282)))*(W$7-W$5)*(W$7-W$6))))</f>
        <v>10.8009488242977</v>
      </c>
      <c r="X282" s="2" t="n">
        <v>0.137952762</v>
      </c>
      <c r="Y282" s="2" t="n">
        <f aca="false">IF(Y$7=Y$5,Y$6,IF(NORMSDIST(Y$9*SQRT($C$11)*NORMSINV($B282)+SQRT(1-Y$9^2*$C$11)*NORMSINV(X282))&lt;Y$8,Y$5+SQRT(NORMSDIST(Y$9*SQRT($C$11)*NORMSINV($B282)+SQRT(1-Y$9^2*$C$11)*NORMSINV(X282))*(Y$7-Y$5)*(Y$6-Y$5)),Y$7-SQRT((1-NORMSDIST(Y$9*SQRT($C$11)*NORMSINV($B282)+SQRT(1-Y$9^2*$C$11)*NORMSINV(X282)))*(Y$7-Y$5)*(Y$7-Y$6))))</f>
        <v>0.262633548885134</v>
      </c>
      <c r="Z282" s="2" t="n">
        <v>0.299348155</v>
      </c>
      <c r="AA282" s="2" t="n">
        <f aca="false">IF(AA$7=AA$5,AA$6,IF(NORMSDIST(AA$9*SQRT($C$11)*NORMSINV($B282)+SQRT(1-AA$9^2*$C$11)*NORMSINV(Z282))&lt;AA$8,AA$5+SQRT(NORMSDIST(AA$9*SQRT($C$11)*NORMSINV($B282)+SQRT(1-AA$9^2*$C$11)*NORMSINV(Z282))*(AA$7-AA$5)*(AA$6-AA$5)),AA$7-SQRT((1-NORMSDIST(AA$9*SQRT($C$11)*NORMSINV($B282)+SQRT(1-AA$9^2*$C$11)*NORMSINV(Z282)))*(AA$7-AA$5)*(AA$7-AA$6))))</f>
        <v>0.730686695992694</v>
      </c>
      <c r="AB282" s="2" t="n">
        <v>0.733797437</v>
      </c>
      <c r="AC282" s="2" t="n">
        <f aca="false">IF(AC$7=AC$5,AC$6,IF(NORMSDIST(AC$9*SQRT($C$11)*NORMSINV($B282)+SQRT(1-AC$9^2*$C$11)*NORMSINV(AB282))&lt;AC$8,AC$5+SQRT(NORMSDIST(AC$9*SQRT($C$11)*NORMSINV($B282)+SQRT(1-AC$9^2*$C$11)*NORMSINV(AB282))*(AC$7-AC$5)*(AC$6-AC$5)),AC$7-SQRT((1-NORMSDIST(AC$9*SQRT($C$11)*NORMSINV($B282)+SQRT(1-AC$9^2*$C$11)*NORMSINV(AB282)))*(AC$7-AC$5)*(AC$7-AC$6))))</f>
        <v>10.2361420287974</v>
      </c>
      <c r="AD282" s="2" t="n">
        <f aca="false">Entrées!$C$8*(1+E282)</f>
        <v>7462.93884854316</v>
      </c>
      <c r="AE282" s="2" t="n">
        <f aca="false">I282*Hypothèses!$J$24/12/Hypothèses!$J$19</f>
        <v>97.5733161731682</v>
      </c>
      <c r="AF282" s="2" t="n">
        <f aca="false">Entrées!$C$36*S282*1000</f>
        <v>397.459204090388</v>
      </c>
      <c r="AG282" s="2" t="n">
        <f aca="false">-AF282/W282</f>
        <v>-36.7985452533825</v>
      </c>
      <c r="AH282" s="2" t="n">
        <f aca="false">AD282+AE282+AG282</f>
        <v>7523.71361946295</v>
      </c>
      <c r="AI282" s="2" t="n">
        <f aca="false">Entrées!$C$16-M282+Hypothèses!$J$22*1000-AF282+Hypothèses!$J$23</f>
        <v>22432.1348191633</v>
      </c>
      <c r="AJ282" s="2" t="n">
        <f aca="false">AI282/AH282</f>
        <v>2.98152427826786</v>
      </c>
      <c r="AK282" s="2" t="n">
        <f aca="false">AI282/(AH282+I282*(12-Hypothèses!$J$24)/12/Hypothèses!$J$19)</f>
        <v>2.95415870212825</v>
      </c>
      <c r="AL282" s="2" t="n">
        <f aca="false">(AD282+AG282+I282/Hypothèses!$J$19)*(1+G282)</f>
        <v>8040.3182882528</v>
      </c>
      <c r="AM282" s="2" t="n">
        <f aca="false">Entrées!$C$54*K282/Hypothèses!$J$19</f>
        <v>42.2259542467465</v>
      </c>
      <c r="AN282" s="2" t="n">
        <f aca="false">Y282*1000/AC282</f>
        <v>25.6574740899711</v>
      </c>
      <c r="AO282" s="2" t="n">
        <f aca="false">(Entrées!$C$36*(1-S282)+MAX(0,Entrées!$C$30-Entrées!$C$35-Entrées!$C$36)*U282)*1000</f>
        <v>846.126053333319</v>
      </c>
      <c r="AP282" s="2" t="n">
        <f aca="false">-AO282/W282</f>
        <v>-78.338122612884</v>
      </c>
      <c r="AQ282" s="2" t="n">
        <f aca="false">AL282+AM282+AN282+AP282</f>
        <v>8029.86359397664</v>
      </c>
      <c r="AR282" s="2" t="n">
        <f aca="false">O282*AQ282-Hypothèses!$J$25/Hypothèses!$J$19</f>
        <v>1305.52758737582</v>
      </c>
      <c r="AS282" s="2" t="n">
        <f aca="false">Entrées!$C$79*(1+Q282)+Hypothèses!$J$20</f>
        <v>1482.7582678793</v>
      </c>
      <c r="AT282" s="2" t="n">
        <f aca="false">AI282-AR282+AS282+Y282*1000-AO282+Hypothèses!$J$23</f>
        <v>22025.8729952186</v>
      </c>
      <c r="AU282" s="2" t="n">
        <f aca="false">AT282/AQ282</f>
        <v>2.74299466453461</v>
      </c>
      <c r="AV282" s="2" t="n">
        <f aca="false">Hypothèses!$J$26*AQ282-AT282</f>
        <v>2063.71778671128</v>
      </c>
      <c r="AW282" s="2" t="n">
        <f aca="false">IF(AC282&gt;Hypothèses!$J$26,MAX(0,AV282)/(1-Hypothèses!$J$26/AC282),0)</f>
        <v>2919.30538235205</v>
      </c>
      <c r="AX282" s="2" t="n">
        <f aca="false">AQ282-Entrées!$C$17*1000</f>
        <v>29.8635939766382</v>
      </c>
      <c r="AY282" s="2" t="n">
        <f aca="false">AI282+(Entrées!$C$244-Entrées!$C$13)</f>
        <v>28179.1348191633</v>
      </c>
      <c r="AZ282" s="2" t="n">
        <f aca="false">AA282*AH282</f>
        <v>5497.47744620062</v>
      </c>
      <c r="BA282" s="2" t="n">
        <f aca="false">AZ282/AY282</f>
        <v>0.195090356090778</v>
      </c>
      <c r="BB282" s="2" t="n">
        <f aca="false">AZ282/(Entrées!$C$151/100)-AY282</f>
        <v>2362.40654861787</v>
      </c>
      <c r="BC282" s="2" t="n">
        <f aca="false">AT282+(Entrées!$C$244-Entrées!$C$13)</f>
        <v>27772.8729952186</v>
      </c>
      <c r="BD282" s="2" t="n">
        <f aca="false">AA282*AQ282</f>
        <v>5867.31449875481</v>
      </c>
      <c r="BE282" s="2" t="n">
        <f aca="false">BD282/BC282</f>
        <v>0.211260624702562</v>
      </c>
      <c r="BF282" s="2" t="n">
        <f aca="false">BD282/(Entrées!$C$151/100)-BC282</f>
        <v>4823.31866453032</v>
      </c>
      <c r="BG282" s="2" t="n">
        <f aca="false">MIN(AV282,BF282)</f>
        <v>2063.71778671128</v>
      </c>
      <c r="BH282" s="2" t="n">
        <f aca="false">IF(AC282&gt;Hypothèses!$J$26,MAX(0,BG282)/(1-Hypothèses!$J$26/AC282),0)</f>
        <v>2919.30538235205</v>
      </c>
    </row>
    <row r="283" customFormat="false" ht="15" hidden="false" customHeight="false" outlineLevel="0" collapsed="false">
      <c r="A283" s="2" t="n">
        <v>268</v>
      </c>
      <c r="B283" s="2" t="n">
        <v>0.565851001</v>
      </c>
      <c r="C283" s="2"/>
      <c r="D283" s="2" t="n">
        <v>0.943126223</v>
      </c>
      <c r="E283" s="2" t="n">
        <f aca="false">IF(E$7=E$5,E$6,IF(NORMSDIST(E$9*SQRT($C$11)*NORMSINV($B283)+SQRT(1-E$9^2*$C$11)*NORMSINV(D283))&lt;E$8,E$5+SQRT(NORMSDIST(E$9*SQRT($C$11)*NORMSINV($B283)+SQRT(1-E$9^2*$C$11)*NORMSINV(D283))*(E$7-E$5)*(E$6-E$5)),E$7-SQRT((1-NORMSDIST(E$9*SQRT($C$11)*NORMSINV($B283)+SQRT(1-E$9^2*$C$11)*NORMSINV(D283)))*(E$7-E$5)*(E$7-E$6))))</f>
        <v>0.0578579596182739</v>
      </c>
      <c r="F283" s="2" t="n">
        <v>0.136242731</v>
      </c>
      <c r="G283" s="2" t="n">
        <f aca="false">IF(G$7=G$5,G$6,IF(NORMSDIST(G$9*SQRT($C$11)*NORMSINV($B283)+SQRT(1-G$9^2*$C$11)*NORMSINV(F283))&lt;G$8,G$5+SQRT(NORMSDIST(G$9*SQRT($C$11)*NORMSINV($B283)+SQRT(1-G$9^2*$C$11)*NORMSINV(F283))*(G$7-G$5)*(G$6-G$5)),G$7-SQRT((1-NORMSDIST(G$9*SQRT($C$11)*NORMSINV($B283)+SQRT(1-G$9^2*$C$11)*NORMSINV(F283)))*(G$7-G$5)*(G$7-G$6))))</f>
        <v>0.0501312795239417</v>
      </c>
      <c r="H283" s="2" t="n">
        <v>0.756065375</v>
      </c>
      <c r="I283" s="2" t="n">
        <f aca="false">IF(I$7=I$5,I$6,IF(NORMSDIST(I$9*SQRT($C$11)*NORMSINV($B283)+SQRT(1-I$9^2*$C$11)*NORMSINV(H283))&lt;I$8,I$5+SQRT(NORMSDIST(I$9*SQRT($C$11)*NORMSINV($B283)+SQRT(1-I$9^2*$C$11)*NORMSINV(H283))*(I$7-I$5)*(I$6-I$5)),I$7-SQRT((1-NORMSDIST(I$9*SQRT($C$11)*NORMSINV($B283)+SQRT(1-I$9^2*$C$11)*NORMSINV(H283)))*(I$7-I$5)*(I$7-I$6))))</f>
        <v>205.567610533019</v>
      </c>
      <c r="J283" s="2" t="n">
        <v>0.956953627</v>
      </c>
      <c r="K283" s="2" t="n">
        <f aca="false">IF(K$7=K$5,K$6,IF(NORMSDIST(K$9*SQRT($C$11)*NORMSINV($B283)+SQRT(1-K$9^2*$C$11)*NORMSINV(J283))&lt;K$8,K$5+SQRT(NORMSDIST(K$9*SQRT($C$11)*NORMSINV($B283)+SQRT(1-K$9^2*$C$11)*NORMSINV(J283))*(K$7-K$5)*(K$6-K$5)),K$7-SQRT((1-NORMSDIST(K$9*SQRT($C$11)*NORMSINV($B283)+SQRT(1-K$9^2*$C$11)*NORMSINV(J283)))*(K$7-K$5)*(K$7-K$6))))</f>
        <v>0.402703696572675</v>
      </c>
      <c r="L283" s="2" t="n">
        <v>0.176860527</v>
      </c>
      <c r="M283" s="2" t="n">
        <f aca="false">IF(M$7=M$5,M$6,IF(NORMSDIST(M$9*SQRT($C$11)*NORMSINV($B283)+SQRT(1-M$9^2*$C$11)*NORMSINV(L283))&lt;M$8,M$5+SQRT(NORMSDIST(M$9*SQRT($C$11)*NORMSINV($B283)+SQRT(1-M$9^2*$C$11)*NORMSINV(L283))*(M$7-M$5)*(M$6-M$5)),M$7-SQRT((1-NORMSDIST(M$9*SQRT($C$11)*NORMSINV($B283)+SQRT(1-M$9^2*$C$11)*NORMSINV(L283)))*(M$7-M$5)*(M$7-M$6))))</f>
        <v>1510.45273181797</v>
      </c>
      <c r="N283" s="2" t="n">
        <v>0.353865959</v>
      </c>
      <c r="O283" s="2" t="n">
        <f aca="false">IF(O$7=O$5,O$6,IF(NORMSDIST(O$9*SQRT($C$11)*NORMSINV($B283)+SQRT(1-O$9^2*$C$11)*NORMSINV(N283))&lt;O$8,O$5+SQRT(NORMSDIST(O$9*SQRT($C$11)*NORMSINV($B283)+SQRT(1-O$9^2*$C$11)*NORMSINV(N283))*(O$7-O$5)*(O$6-O$5)),O$7-SQRT((1-NORMSDIST(O$9*SQRT($C$11)*NORMSINV($B283)+SQRT(1-O$9^2*$C$11)*NORMSINV(N283)))*(O$7-O$5)*(O$7-O$6))))</f>
        <v>0.164734972084789</v>
      </c>
      <c r="P283" s="2" t="n">
        <v>0.921227032</v>
      </c>
      <c r="Q283" s="2" t="n">
        <f aca="false">IF(Q$7=Q$5,Q$6,IF(NORMSDIST(Q$9*SQRT($C$11)*NORMSINV($B283)+SQRT(1-Q$9^2*$C$11)*NORMSINV(P283))&lt;Q$8,Q$5+SQRT(NORMSDIST(Q$9*SQRT($C$11)*NORMSINV($B283)+SQRT(1-Q$9^2*$C$11)*NORMSINV(P283))*(Q$7-Q$5)*(Q$6-Q$5)),Q$7-SQRT((1-NORMSDIST(Q$9*SQRT($C$11)*NORMSINV($B283)+SQRT(1-Q$9^2*$C$11)*NORMSINV(P283)))*(Q$7-Q$5)*(Q$7-Q$6))))</f>
        <v>0.104123177345577</v>
      </c>
      <c r="R283" s="2" t="n">
        <v>0.7645409</v>
      </c>
      <c r="S283" s="2" t="n">
        <f aca="false">IF(S$7=S$5,S$6,IF(NORMSDIST(S$9*SQRT($C$11)*NORMSINV($B283)+SQRT(1-S$9^2*$C$11)*NORMSINV(R283))&lt;S$8,S$5+SQRT(NORMSDIST(S$9*SQRT($C$11)*NORMSINV($B283)+SQRT(1-S$9^2*$C$11)*NORMSINV(R283))*(S$7-S$5)*(S$6-S$5)),S$7-SQRT((1-NORMSDIST(S$9*SQRT($C$11)*NORMSINV($B283)+SQRT(1-S$9^2*$C$11)*NORMSINV(R283)))*(S$7-S$5)*(S$7-S$6))))</f>
        <v>0.64394241941226</v>
      </c>
      <c r="T283" s="2" t="n">
        <v>0.065185826</v>
      </c>
      <c r="U283" s="2" t="n">
        <f aca="false">IF(U$7=U$5,U$6,IF(NORMSDIST(U$9*SQRT($C$11)*NORMSINV($B283)+SQRT(1-U$9^2*$C$11)*NORMSINV(T283))&lt;U$8,U$5+SQRT(NORMSDIST(U$9*SQRT($C$11)*NORMSINV($B283)+SQRT(1-U$9^2*$C$11)*NORMSINV(T283))*(U$7-U$5)*(U$6-U$5)),U$7-SQRT((1-NORMSDIST(U$9*SQRT($C$11)*NORMSINV($B283)+SQRT(1-U$9^2*$C$11)*NORMSINV(T283)))*(U$7-U$5)*(U$7-U$6))))</f>
        <v>0.26742177476597</v>
      </c>
      <c r="V283" s="2" t="n">
        <v>0.102616886</v>
      </c>
      <c r="W283" s="2" t="n">
        <f aca="false">IF(W$7=W$5,W$6,IF(NORMSDIST(W$9*SQRT($C$11)*NORMSINV($B283)+SQRT(1-W$9^2*$C$11)*NORMSINV(V283))&lt;W$8,W$5+SQRT(NORMSDIST(W$9*SQRT($C$11)*NORMSINV($B283)+SQRT(1-W$9^2*$C$11)*NORMSINV(V283))*(W$7-W$5)*(W$6-W$5)),W$7-SQRT((1-NORMSDIST(W$9*SQRT($C$11)*NORMSINV($B283)+SQRT(1-W$9^2*$C$11)*NORMSINV(V283)))*(W$7-W$5)*(W$7-W$6))))</f>
        <v>9.23422700153901</v>
      </c>
      <c r="X283" s="2" t="n">
        <v>0.540100835</v>
      </c>
      <c r="Y283" s="2" t="n">
        <f aca="false">IF(Y$7=Y$5,Y$6,IF(NORMSDIST(Y$9*SQRT($C$11)*NORMSINV($B283)+SQRT(1-Y$9^2*$C$11)*NORMSINV(X283))&lt;Y$8,Y$5+SQRT(NORMSDIST(Y$9*SQRT($C$11)*NORMSINV($B283)+SQRT(1-Y$9^2*$C$11)*NORMSINV(X283))*(Y$7-Y$5)*(Y$6-Y$5)),Y$7-SQRT((1-NORMSDIST(Y$9*SQRT($C$11)*NORMSINV($B283)+SQRT(1-Y$9^2*$C$11)*NORMSINV(X283)))*(Y$7-Y$5)*(Y$7-Y$6))))</f>
        <v>0.520469414426984</v>
      </c>
      <c r="Z283" s="2" t="n">
        <v>0.921598277</v>
      </c>
      <c r="AA283" s="2" t="n">
        <f aca="false">IF(AA$7=AA$5,AA$6,IF(NORMSDIST(AA$9*SQRT($C$11)*NORMSINV($B283)+SQRT(1-AA$9^2*$C$11)*NORMSINV(Z283))&lt;AA$8,AA$5+SQRT(NORMSDIST(AA$9*SQRT($C$11)*NORMSINV($B283)+SQRT(1-AA$9^2*$C$11)*NORMSINV(Z283))*(AA$7-AA$5)*(AA$6-AA$5)),AA$7-SQRT((1-NORMSDIST(AA$9*SQRT($C$11)*NORMSINV($B283)+SQRT(1-AA$9^2*$C$11)*NORMSINV(Z283)))*(AA$7-AA$5)*(AA$7-AA$6))))</f>
        <v>0.741725890186261</v>
      </c>
      <c r="AB283" s="2" t="n">
        <v>0.344176126</v>
      </c>
      <c r="AC283" s="2" t="n">
        <f aca="false">IF(AC$7=AC$5,AC$6,IF(NORMSDIST(AC$9*SQRT($C$11)*NORMSINV($B283)+SQRT(1-AC$9^2*$C$11)*NORMSINV(AB283))&lt;AC$8,AC$5+SQRT(NORMSDIST(AC$9*SQRT($C$11)*NORMSINV($B283)+SQRT(1-AC$9^2*$C$11)*NORMSINV(AB283))*(AC$7-AC$5)*(AC$6-AC$5)),AC$7-SQRT((1-NORMSDIST(AC$9*SQRT($C$11)*NORMSINV($B283)+SQRT(1-AC$9^2*$C$11)*NORMSINV(AB283)))*(AC$7-AC$5)*(AC$7-AC$6))))</f>
        <v>9.30146694085156</v>
      </c>
      <c r="AD283" s="2" t="n">
        <f aca="false">Entrées!$C$8*(1+E283)</f>
        <v>7457.89861530883</v>
      </c>
      <c r="AE283" s="2" t="n">
        <f aca="false">I283*Hypothèses!$J$24/12/Hypothèses!$J$19</f>
        <v>101.981433640697</v>
      </c>
      <c r="AF283" s="2" t="n">
        <f aca="false">Entrées!$C$36*S283*1000</f>
        <v>321.97120970613</v>
      </c>
      <c r="AG283" s="2" t="n">
        <f aca="false">-AF283/W283</f>
        <v>-34.8671534339008</v>
      </c>
      <c r="AH283" s="2" t="n">
        <f aca="false">AD283+AE283+AG283</f>
        <v>7525.01289551563</v>
      </c>
      <c r="AI283" s="2" t="n">
        <f aca="false">Entrées!$C$16-M283+Hypothèses!$J$22*1000-AF283+Hypothèses!$J$23</f>
        <v>22715.5760584759</v>
      </c>
      <c r="AJ283" s="2" t="n">
        <f aca="false">AI283/AH283</f>
        <v>3.0186760307099</v>
      </c>
      <c r="AK283" s="2" t="n">
        <f aca="false">AI283/(AH283+I283*(12-Hypothèses!$J$24)/12/Hypothèses!$J$19)</f>
        <v>2.98973470099804</v>
      </c>
      <c r="AL283" s="2" t="n">
        <f aca="false">(AD283+AG283+I283/Hypothèses!$J$19)*(1+G283)</f>
        <v>7978.74705854255</v>
      </c>
      <c r="AM283" s="2" t="n">
        <f aca="false">Entrées!$C$54*K283/Hypothèses!$J$19</f>
        <v>41.0976030787985</v>
      </c>
      <c r="AN283" s="2" t="n">
        <f aca="false">Y283*1000/AC283</f>
        <v>55.9556269711726</v>
      </c>
      <c r="AO283" s="2" t="n">
        <f aca="false">(Entrées!$C$36*(1-S283)+MAX(0,Entrées!$C$30-Entrées!$C$35-Entrées!$C$36)*U283)*1000</f>
        <v>552.419274966228</v>
      </c>
      <c r="AP283" s="2" t="n">
        <f aca="false">-AO283/W283</f>
        <v>-59.8230122428395</v>
      </c>
      <c r="AQ283" s="2" t="n">
        <f aca="false">AL283+AM283+AN283+AP283</f>
        <v>8015.97727634969</v>
      </c>
      <c r="AR283" s="2" t="n">
        <f aca="false">O283*AQ283-Hypothèses!$J$25/Hypothèses!$J$19</f>
        <v>1301.37663059014</v>
      </c>
      <c r="AS283" s="2" t="n">
        <f aca="false">Entrées!$C$79*(1+Q283)+Hypothèses!$J$20</f>
        <v>1508.43137190279</v>
      </c>
      <c r="AT283" s="2" t="n">
        <f aca="false">AI283-AR283+AS283+Y283*1000-AO283+Hypothèses!$J$23</f>
        <v>22890.6809392493</v>
      </c>
      <c r="AU283" s="2" t="n">
        <f aca="false">AT283/AQ283</f>
        <v>2.85563196477439</v>
      </c>
      <c r="AV283" s="2" t="n">
        <f aca="false">Hypothèses!$J$26*AQ283-AT283</f>
        <v>1157.25088979975</v>
      </c>
      <c r="AW283" s="2" t="n">
        <f aca="false">IF(AC283&gt;Hypothèses!$J$26,MAX(0,AV283)/(1-Hypothèses!$J$26/AC283),0)</f>
        <v>1708.19445611323</v>
      </c>
      <c r="AX283" s="2" t="n">
        <f aca="false">AQ283-Entrées!$C$17*1000</f>
        <v>15.9772763496858</v>
      </c>
      <c r="AY283" s="2" t="n">
        <f aca="false">AI283+(Entrées!$C$244-Entrées!$C$13)</f>
        <v>28462.5760584759</v>
      </c>
      <c r="AZ283" s="2" t="n">
        <f aca="false">AA283*AH283</f>
        <v>5581.49688858942</v>
      </c>
      <c r="BA283" s="2" t="n">
        <f aca="false">AZ283/AY283</f>
        <v>0.196099498412313</v>
      </c>
      <c r="BB283" s="2" t="n">
        <f aca="false">AZ283/(Entrées!$C$151/100)-AY283</f>
        <v>2545.73998924312</v>
      </c>
      <c r="BC283" s="2" t="n">
        <f aca="false">AT283+(Entrées!$C$244-Entrées!$C$13)</f>
        <v>28637.6809392493</v>
      </c>
      <c r="BD283" s="2" t="n">
        <f aca="false">AA283*AQ283</f>
        <v>5945.65788101331</v>
      </c>
      <c r="BE283" s="2" t="n">
        <f aca="false">BD283/BC283</f>
        <v>0.207616597643719</v>
      </c>
      <c r="BF283" s="2" t="n">
        <f aca="false">BD283/(Entrées!$C$151/100)-BC283</f>
        <v>4393.75173304687</v>
      </c>
      <c r="BG283" s="2" t="n">
        <f aca="false">MIN(AV283,BF283)</f>
        <v>1157.25088979975</v>
      </c>
      <c r="BH283" s="2" t="n">
        <f aca="false">IF(AC283&gt;Hypothèses!$J$26,MAX(0,BG283)/(1-Hypothèses!$J$26/AC283),0)</f>
        <v>1708.19445611323</v>
      </c>
    </row>
    <row r="284" customFormat="false" ht="15" hidden="false" customHeight="false" outlineLevel="0" collapsed="false">
      <c r="A284" s="2" t="n">
        <v>269</v>
      </c>
      <c r="B284" s="2" t="n">
        <v>0.271620219</v>
      </c>
      <c r="C284" s="2"/>
      <c r="D284" s="2" t="n">
        <v>0.536685987</v>
      </c>
      <c r="E284" s="2" t="n">
        <f aca="false">IF(E$7=E$5,E$6,IF(NORMSDIST(E$9*SQRT($C$11)*NORMSINV($B284)+SQRT(1-E$9^2*$C$11)*NORMSINV(D284))&lt;E$8,E$5+SQRT(NORMSDIST(E$9*SQRT($C$11)*NORMSINV($B284)+SQRT(1-E$9^2*$C$11)*NORMSINV(D284))*(E$7-E$5)*(E$6-E$5)),E$7-SQRT((1-NORMSDIST(E$9*SQRT($C$11)*NORMSINV($B284)+SQRT(1-E$9^2*$C$11)*NORMSINV(D284)))*(E$7-E$5)*(E$7-E$6))))</f>
        <v>0.0543421357386777</v>
      </c>
      <c r="F284" s="2" t="n">
        <v>0.140174417</v>
      </c>
      <c r="G284" s="2" t="n">
        <f aca="false">IF(G$7=G$5,G$6,IF(NORMSDIST(G$9*SQRT($C$11)*NORMSINV($B284)+SQRT(1-G$9^2*$C$11)*NORMSINV(F284))&lt;G$8,G$5+SQRT(NORMSDIST(G$9*SQRT($C$11)*NORMSINV($B284)+SQRT(1-G$9^2*$C$11)*NORMSINV(F284))*(G$7-G$5)*(G$6-G$5)),G$7-SQRT((1-NORMSDIST(G$9*SQRT($C$11)*NORMSINV($B284)+SQRT(1-G$9^2*$C$11)*NORMSINV(F284)))*(G$7-G$5)*(G$7-G$6))))</f>
        <v>0.047070783753149</v>
      </c>
      <c r="H284" s="2" t="n">
        <v>0.486953459</v>
      </c>
      <c r="I284" s="2" t="n">
        <f aca="false">IF(I$7=I$5,I$6,IF(NORMSDIST(I$9*SQRT($C$11)*NORMSINV($B284)+SQRT(1-I$9^2*$C$11)*NORMSINV(H284))&lt;I$8,I$5+SQRT(NORMSDIST(I$9*SQRT($C$11)*NORMSINV($B284)+SQRT(1-I$9^2*$C$11)*NORMSINV(H284))*(I$7-I$5)*(I$6-I$5)),I$7-SQRT((1-NORMSDIST(I$9*SQRT($C$11)*NORMSINV($B284)+SQRT(1-I$9^2*$C$11)*NORMSINV(H284)))*(I$7-I$5)*(I$7-I$6))))</f>
        <v>196.515920932344</v>
      </c>
      <c r="J284" s="2" t="n">
        <v>0.611759521</v>
      </c>
      <c r="K284" s="2" t="n">
        <f aca="false">IF(K$7=K$5,K$6,IF(NORMSDIST(K$9*SQRT($C$11)*NORMSINV($B284)+SQRT(1-K$9^2*$C$11)*NORMSINV(J284))&lt;K$8,K$5+SQRT(NORMSDIST(K$9*SQRT($C$11)*NORMSINV($B284)+SQRT(1-K$9^2*$C$11)*NORMSINV(J284))*(K$7-K$5)*(K$6-K$5)),K$7-SQRT((1-NORMSDIST(K$9*SQRT($C$11)*NORMSINV($B284)+SQRT(1-K$9^2*$C$11)*NORMSINV(J284)))*(K$7-K$5)*(K$7-K$6))))</f>
        <v>0.233088469232237</v>
      </c>
      <c r="L284" s="2" t="n">
        <v>0.344454709</v>
      </c>
      <c r="M284" s="2" t="n">
        <f aca="false">IF(M$7=M$5,M$6,IF(NORMSDIST(M$9*SQRT($C$11)*NORMSINV($B284)+SQRT(1-M$9^2*$C$11)*NORMSINV(L284))&lt;M$8,M$5+SQRT(NORMSDIST(M$9*SQRT($C$11)*NORMSINV($B284)+SQRT(1-M$9^2*$C$11)*NORMSINV(L284))*(M$7-M$5)*(M$6-M$5)),M$7-SQRT((1-NORMSDIST(M$9*SQRT($C$11)*NORMSINV($B284)+SQRT(1-M$9^2*$C$11)*NORMSINV(L284)))*(M$7-M$5)*(M$7-M$6))))</f>
        <v>1500.16447419994</v>
      </c>
      <c r="N284" s="2" t="n">
        <v>0.797742641</v>
      </c>
      <c r="O284" s="2" t="n">
        <f aca="false">IF(O$7=O$5,O$6,IF(NORMSDIST(O$9*SQRT($C$11)*NORMSINV($B284)+SQRT(1-O$9^2*$C$11)*NORMSINV(N284))&lt;O$8,O$5+SQRT(NORMSDIST(O$9*SQRT($C$11)*NORMSINV($B284)+SQRT(1-O$9^2*$C$11)*NORMSINV(N284))*(O$7-O$5)*(O$6-O$5)),O$7-SQRT((1-NORMSDIST(O$9*SQRT($C$11)*NORMSINV($B284)+SQRT(1-O$9^2*$C$11)*NORMSINV(N284)))*(O$7-O$5)*(O$7-O$6))))</f>
        <v>0.169436921080347</v>
      </c>
      <c r="P284" s="2" t="n">
        <v>0.778300811</v>
      </c>
      <c r="Q284" s="2" t="n">
        <f aca="false">IF(Q$7=Q$5,Q$6,IF(NORMSDIST(Q$9*SQRT($C$11)*NORMSINV($B284)+SQRT(1-Q$9^2*$C$11)*NORMSINV(P284))&lt;Q$8,Q$5+SQRT(NORMSDIST(Q$9*SQRT($C$11)*NORMSINV($B284)+SQRT(1-Q$9^2*$C$11)*NORMSINV(P284))*(Q$7-Q$5)*(Q$6-Q$5)),Q$7-SQRT((1-NORMSDIST(Q$9*SQRT($C$11)*NORMSINV($B284)+SQRT(1-Q$9^2*$C$11)*NORMSINV(P284)))*(Q$7-Q$5)*(Q$7-Q$6))))</f>
        <v>0.0933647338139826</v>
      </c>
      <c r="R284" s="2" t="n">
        <v>0.283174714</v>
      </c>
      <c r="S284" s="2" t="n">
        <f aca="false">IF(S$7=S$5,S$6,IF(NORMSDIST(S$9*SQRT($C$11)*NORMSINV($B284)+SQRT(1-S$9^2*$C$11)*NORMSINV(R284))&lt;S$8,S$5+SQRT(NORMSDIST(S$9*SQRT($C$11)*NORMSINV($B284)+SQRT(1-S$9^2*$C$11)*NORMSINV(R284))*(S$7-S$5)*(S$6-S$5)),S$7-SQRT((1-NORMSDIST(S$9*SQRT($C$11)*NORMSINV($B284)+SQRT(1-S$9^2*$C$11)*NORMSINV(R284)))*(S$7-S$5)*(S$7-S$6))))</f>
        <v>0.319098127433622</v>
      </c>
      <c r="T284" s="2" t="n">
        <v>0.974560815</v>
      </c>
      <c r="U284" s="2" t="n">
        <f aca="false">IF(U$7=U$5,U$6,IF(NORMSDIST(U$9*SQRT($C$11)*NORMSINV($B284)+SQRT(1-U$9^2*$C$11)*NORMSINV(T284))&lt;U$8,U$5+SQRT(NORMSDIST(U$9*SQRT($C$11)*NORMSINV($B284)+SQRT(1-U$9^2*$C$11)*NORMSINV(T284))*(U$7-U$5)*(U$6-U$5)),U$7-SQRT((1-NORMSDIST(U$9*SQRT($C$11)*NORMSINV($B284)+SQRT(1-U$9^2*$C$11)*NORMSINV(T284)))*(U$7-U$5)*(U$7-U$6))))</f>
        <v>0.745366260766877</v>
      </c>
      <c r="V284" s="2" t="n">
        <v>0.369537134</v>
      </c>
      <c r="W284" s="2" t="n">
        <f aca="false">IF(W$7=W$5,W$6,IF(NORMSDIST(W$9*SQRT($C$11)*NORMSINV($B284)+SQRT(1-W$9^2*$C$11)*NORMSINV(V284))&lt;W$8,W$5+SQRT(NORMSDIST(W$9*SQRT($C$11)*NORMSINV($B284)+SQRT(1-W$9^2*$C$11)*NORMSINV(V284))*(W$7-W$5)*(W$6-W$5)),W$7-SQRT((1-NORMSDIST(W$9*SQRT($C$11)*NORMSINV($B284)+SQRT(1-W$9^2*$C$11)*NORMSINV(V284)))*(W$7-W$5)*(W$7-W$6))))</f>
        <v>9.44299479875289</v>
      </c>
      <c r="X284" s="2" t="n">
        <v>0.677684944</v>
      </c>
      <c r="Y284" s="2" t="n">
        <f aca="false">IF(Y$7=Y$5,Y$6,IF(NORMSDIST(Y$9*SQRT($C$11)*NORMSINV($B284)+SQRT(1-Y$9^2*$C$11)*NORMSINV(X284))&lt;Y$8,Y$5+SQRT(NORMSDIST(Y$9*SQRT($C$11)*NORMSINV($B284)+SQRT(1-Y$9^2*$C$11)*NORMSINV(X284))*(Y$7-Y$5)*(Y$6-Y$5)),Y$7-SQRT((1-NORMSDIST(Y$9*SQRT($C$11)*NORMSINV($B284)+SQRT(1-Y$9^2*$C$11)*NORMSINV(X284)))*(Y$7-Y$5)*(Y$7-Y$6))))</f>
        <v>0.598555697512096</v>
      </c>
      <c r="Z284" s="2" t="n">
        <v>0.064940237</v>
      </c>
      <c r="AA284" s="2" t="n">
        <f aca="false">IF(AA$7=AA$5,AA$6,IF(NORMSDIST(AA$9*SQRT($C$11)*NORMSINV($B284)+SQRT(1-AA$9^2*$C$11)*NORMSINV(Z284))&lt;AA$8,AA$5+SQRT(NORMSDIST(AA$9*SQRT($C$11)*NORMSINV($B284)+SQRT(1-AA$9^2*$C$11)*NORMSINV(Z284))*(AA$7-AA$5)*(AA$6-AA$5)),AA$7-SQRT((1-NORMSDIST(AA$9*SQRT($C$11)*NORMSINV($B284)+SQRT(1-AA$9^2*$C$11)*NORMSINV(Z284)))*(AA$7-AA$5)*(AA$7-AA$6))))</f>
        <v>0.706625395930344</v>
      </c>
      <c r="AB284" s="2" t="n">
        <v>0.728837406</v>
      </c>
      <c r="AC284" s="2" t="n">
        <f aca="false">IF(AC$7=AC$5,AC$6,IF(NORMSDIST(AC$9*SQRT($C$11)*NORMSINV($B284)+SQRT(1-AC$9^2*$C$11)*NORMSINV(AB284))&lt;AC$8,AC$5+SQRT(NORMSDIST(AC$9*SQRT($C$11)*NORMSINV($B284)+SQRT(1-AC$9^2*$C$11)*NORMSINV(AB284))*(AC$7-AC$5)*(AC$6-AC$5)),AC$7-SQRT((1-NORMSDIST(AC$9*SQRT($C$11)*NORMSINV($B284)+SQRT(1-AC$9^2*$C$11)*NORMSINV(AB284)))*(AC$7-AC$5)*(AC$7-AC$6))))</f>
        <v>9.54968521592462</v>
      </c>
      <c r="AD284" s="2" t="n">
        <f aca="false">Entrées!$C$8*(1+E284)</f>
        <v>7433.11205695768</v>
      </c>
      <c r="AE284" s="2" t="n">
        <f aca="false">I284*Hypothèses!$J$24/12/Hypothèses!$J$19</f>
        <v>97.4909194008621</v>
      </c>
      <c r="AF284" s="2" t="n">
        <f aca="false">Entrées!$C$36*S284*1000</f>
        <v>159.549063716811</v>
      </c>
      <c r="AG284" s="2" t="n">
        <f aca="false">-AF284/W284</f>
        <v>-16.8960236786197</v>
      </c>
      <c r="AH284" s="2" t="n">
        <f aca="false">AD284+AE284+AG284</f>
        <v>7513.70695267992</v>
      </c>
      <c r="AI284" s="2" t="n">
        <f aca="false">Entrées!$C$16-M284+Hypothèses!$J$22*1000-AF284+Hypothèses!$J$23</f>
        <v>22888.2864620832</v>
      </c>
      <c r="AJ284" s="2" t="n">
        <f aca="false">AI284/AH284</f>
        <v>3.04620430451039</v>
      </c>
      <c r="AK284" s="2" t="n">
        <f aca="false">AI284/(AH284+I284*(12-Hypothèses!$J$24)/12/Hypothèses!$J$19)</f>
        <v>3.01823160117384</v>
      </c>
      <c r="AL284" s="2" t="n">
        <f aca="false">(AD284+AG284+I284/Hypothèses!$J$19)*(1+G284)</f>
        <v>7940.29723739539</v>
      </c>
      <c r="AM284" s="2" t="n">
        <f aca="false">Entrées!$C$54*K284/Hypothèses!$J$19</f>
        <v>23.7876569603886</v>
      </c>
      <c r="AN284" s="2" t="n">
        <f aca="false">Y284*1000/AC284</f>
        <v>62.6780552424881</v>
      </c>
      <c r="AO284" s="2" t="n">
        <f aca="false">(Entrées!$C$36*(1-S284)+MAX(0,Entrées!$C$30-Entrées!$C$35-Entrées!$C$36)*U284)*1000</f>
        <v>1383.96370135682</v>
      </c>
      <c r="AP284" s="2" t="n">
        <f aca="false">-AO284/W284</f>
        <v>-146.559828830954</v>
      </c>
      <c r="AQ284" s="2" t="n">
        <f aca="false">AL284+AM284+AN284+AP284</f>
        <v>7880.20312076731</v>
      </c>
      <c r="AR284" s="2" t="n">
        <f aca="false">O284*AQ284-Hypothèses!$J$25/Hypothèses!$J$19</f>
        <v>1316.06219200893</v>
      </c>
      <c r="AS284" s="2" t="n">
        <f aca="false">Entrées!$C$79*(1+Q284)+Hypothèses!$J$20</f>
        <v>1496.60784246157</v>
      </c>
      <c r="AT284" s="2" t="n">
        <f aca="false">AI284-AR284+AS284+Y284*1000-AO284+Hypothèses!$J$23</f>
        <v>22283.4241086912</v>
      </c>
      <c r="AU284" s="2" t="n">
        <f aca="false">AT284/AQ284</f>
        <v>2.82777280828789</v>
      </c>
      <c r="AV284" s="2" t="n">
        <f aca="false">Hypothèses!$J$26*AQ284-AT284</f>
        <v>1357.18525361076</v>
      </c>
      <c r="AW284" s="2" t="n">
        <f aca="false">IF(AC284&gt;Hypothèses!$J$26,MAX(0,AV284)/(1-Hypothèses!$J$26/AC284),0)</f>
        <v>1978.82669539072</v>
      </c>
      <c r="AX284" s="2" t="n">
        <f aca="false">AQ284-Entrées!$C$17*1000</f>
        <v>-119.79687923269</v>
      </c>
      <c r="AY284" s="2" t="n">
        <f aca="false">AI284+(Entrées!$C$244-Entrées!$C$13)</f>
        <v>28635.2864620832</v>
      </c>
      <c r="AZ284" s="2" t="n">
        <f aca="false">AA284*AH284</f>
        <v>5309.37615034203</v>
      </c>
      <c r="BA284" s="2" t="n">
        <f aca="false">AZ284/AY284</f>
        <v>0.185413760654091</v>
      </c>
      <c r="BB284" s="2" t="n">
        <f aca="false">AZ284/(Entrées!$C$151/100)-AY284</f>
        <v>861.24770648358</v>
      </c>
      <c r="BC284" s="2" t="n">
        <f aca="false">AT284+(Entrées!$C$244-Entrées!$C$13)</f>
        <v>28030.4241086912</v>
      </c>
      <c r="BD284" s="2" t="n">
        <f aca="false">AA284*AQ284</f>
        <v>5568.35165022373</v>
      </c>
      <c r="BE284" s="2" t="n">
        <f aca="false">BD284/BC284</f>
        <v>0.198653849425603</v>
      </c>
      <c r="BF284" s="2" t="n">
        <f aca="false">BD284/(Entrées!$C$151/100)-BC284</f>
        <v>2904.86283699625</v>
      </c>
      <c r="BG284" s="2" t="n">
        <f aca="false">MIN(AV284,BF284)</f>
        <v>1357.18525361076</v>
      </c>
      <c r="BH284" s="2" t="n">
        <f aca="false">IF(AC284&gt;Hypothèses!$J$26,MAX(0,BG284)/(1-Hypothèses!$J$26/AC284),0)</f>
        <v>1978.82669539072</v>
      </c>
    </row>
    <row r="285" customFormat="false" ht="15" hidden="false" customHeight="false" outlineLevel="0" collapsed="false">
      <c r="A285" s="2" t="n">
        <v>270</v>
      </c>
      <c r="B285" s="2" t="n">
        <v>0.389705931</v>
      </c>
      <c r="C285" s="2"/>
      <c r="D285" s="2" t="n">
        <v>0.262297075</v>
      </c>
      <c r="E285" s="2" t="n">
        <f aca="false">IF(E$7=E$5,E$6,IF(NORMSDIST(E$9*SQRT($C$11)*NORMSINV($B285)+SQRT(1-E$9^2*$C$11)*NORMSINV(D285))&lt;E$8,E$5+SQRT(NORMSDIST(E$9*SQRT($C$11)*NORMSINV($B285)+SQRT(1-E$9^2*$C$11)*NORMSINV(D285))*(E$7-E$5)*(E$6-E$5)),E$7-SQRT((1-NORMSDIST(E$9*SQRT($C$11)*NORMSINV($B285)+SQRT(1-E$9^2*$C$11)*NORMSINV(D285)))*(E$7-E$5)*(E$7-E$6))))</f>
        <v>0.0535456193241888</v>
      </c>
      <c r="F285" s="2" t="n">
        <v>0.950959832</v>
      </c>
      <c r="G285" s="2" t="n">
        <f aca="false">IF(G$7=G$5,G$6,IF(NORMSDIST(G$9*SQRT($C$11)*NORMSINV($B285)+SQRT(1-G$9^2*$C$11)*NORMSINV(F285))&lt;G$8,G$5+SQRT(NORMSDIST(G$9*SQRT($C$11)*NORMSINV($B285)+SQRT(1-G$9^2*$C$11)*NORMSINV(F285))*(G$7-G$5)*(G$6-G$5)),G$7-SQRT((1-NORMSDIST(G$9*SQRT($C$11)*NORMSINV($B285)+SQRT(1-G$9^2*$C$11)*NORMSINV(F285)))*(G$7-G$5)*(G$7-G$6))))</f>
        <v>0.062213031574706</v>
      </c>
      <c r="H285" s="2" t="n">
        <v>0.770907683</v>
      </c>
      <c r="I285" s="2" t="n">
        <f aca="false">IF(I$7=I$5,I$6,IF(NORMSDIST(I$9*SQRT($C$11)*NORMSINV($B285)+SQRT(1-I$9^2*$C$11)*NORMSINV(H285))&lt;I$8,I$5+SQRT(NORMSDIST(I$9*SQRT($C$11)*NORMSINV($B285)+SQRT(1-I$9^2*$C$11)*NORMSINV(H285))*(I$7-I$5)*(I$6-I$5)),I$7-SQRT((1-NORMSDIST(I$9*SQRT($C$11)*NORMSINV($B285)+SQRT(1-I$9^2*$C$11)*NORMSINV(H285)))*(I$7-I$5)*(I$7-I$6))))</f>
        <v>203.374596773161</v>
      </c>
      <c r="J285" s="2" t="n">
        <v>0.810010697</v>
      </c>
      <c r="K285" s="2" t="n">
        <f aca="false">IF(K$7=K$5,K$6,IF(NORMSDIST(K$9*SQRT($C$11)*NORMSINV($B285)+SQRT(1-K$9^2*$C$11)*NORMSINV(J285))&lt;K$8,K$5+SQRT(NORMSDIST(K$9*SQRT($C$11)*NORMSINV($B285)+SQRT(1-K$9^2*$C$11)*NORMSINV(J285))*(K$7-K$5)*(K$6-K$5)),K$7-SQRT((1-NORMSDIST(K$9*SQRT($C$11)*NORMSINV($B285)+SQRT(1-K$9^2*$C$11)*NORMSINV(J285)))*(K$7-K$5)*(K$7-K$6))))</f>
        <v>0.303940143887722</v>
      </c>
      <c r="L285" s="2" t="n">
        <v>0.907026053</v>
      </c>
      <c r="M285" s="2" t="n">
        <f aca="false">IF(M$7=M$5,M$6,IF(NORMSDIST(M$9*SQRT($C$11)*NORMSINV($B285)+SQRT(1-M$9^2*$C$11)*NORMSINV(L285))&lt;M$8,M$5+SQRT(NORMSDIST(M$9*SQRT($C$11)*NORMSINV($B285)+SQRT(1-M$9^2*$C$11)*NORMSINV(L285))*(M$7-M$5)*(M$6-M$5)),M$7-SQRT((1-NORMSDIST(M$9*SQRT($C$11)*NORMSINV($B285)+SQRT(1-M$9^2*$C$11)*NORMSINV(L285)))*(M$7-M$5)*(M$7-M$6))))</f>
        <v>1666.22726078646</v>
      </c>
      <c r="N285" s="2" t="n">
        <v>0.092998374</v>
      </c>
      <c r="O285" s="2" t="n">
        <f aca="false">IF(O$7=O$5,O$6,IF(NORMSDIST(O$9*SQRT($C$11)*NORMSINV($B285)+SQRT(1-O$9^2*$C$11)*NORMSINV(N285))&lt;O$8,O$5+SQRT(NORMSDIST(O$9*SQRT($C$11)*NORMSINV($B285)+SQRT(1-O$9^2*$C$11)*NORMSINV(N285))*(O$7-O$5)*(O$6-O$5)),O$7-SQRT((1-NORMSDIST(O$9*SQRT($C$11)*NORMSINV($B285)+SQRT(1-O$9^2*$C$11)*NORMSINV(N285)))*(O$7-O$5)*(O$7-O$6))))</f>
        <v>0.152832402961987</v>
      </c>
      <c r="P285" s="2" t="n">
        <v>0.548489765</v>
      </c>
      <c r="Q285" s="2" t="n">
        <f aca="false">IF(Q$7=Q$5,Q$6,IF(NORMSDIST(Q$9*SQRT($C$11)*NORMSINV($B285)+SQRT(1-Q$9^2*$C$11)*NORMSINV(P285))&lt;Q$8,Q$5+SQRT(NORMSDIST(Q$9*SQRT($C$11)*NORMSINV($B285)+SQRT(1-Q$9^2*$C$11)*NORMSINV(P285))*(Q$7-Q$5)*(Q$6-Q$5)),Q$7-SQRT((1-NORMSDIST(Q$9*SQRT($C$11)*NORMSINV($B285)+SQRT(1-Q$9^2*$C$11)*NORMSINV(P285)))*(Q$7-Q$5)*(Q$7-Q$6))))</f>
        <v>0.0819890443161448</v>
      </c>
      <c r="R285" s="2" t="n">
        <v>0.689799591</v>
      </c>
      <c r="S285" s="2" t="n">
        <f aca="false">IF(S$7=S$5,S$6,IF(NORMSDIST(S$9*SQRT($C$11)*NORMSINV($B285)+SQRT(1-S$9^2*$C$11)*NORMSINV(R285))&lt;S$8,S$5+SQRT(NORMSDIST(S$9*SQRT($C$11)*NORMSINV($B285)+SQRT(1-S$9^2*$C$11)*NORMSINV(R285))*(S$7-S$5)*(S$6-S$5)),S$7-SQRT((1-NORMSDIST(S$9*SQRT($C$11)*NORMSINV($B285)+SQRT(1-S$9^2*$C$11)*NORMSINV(R285)))*(S$7-S$5)*(S$7-S$6))))</f>
        <v>0.542725879589525</v>
      </c>
      <c r="T285" s="2" t="n">
        <v>0.228699497</v>
      </c>
      <c r="U285" s="2" t="n">
        <f aca="false">IF(U$7=U$5,U$6,IF(NORMSDIST(U$9*SQRT($C$11)*NORMSINV($B285)+SQRT(1-U$9^2*$C$11)*NORMSINV(T285))&lt;U$8,U$5+SQRT(NORMSDIST(U$9*SQRT($C$11)*NORMSINV($B285)+SQRT(1-U$9^2*$C$11)*NORMSINV(T285))*(U$7-U$5)*(U$6-U$5)),U$7-SQRT((1-NORMSDIST(U$9*SQRT($C$11)*NORMSINV($B285)+SQRT(1-U$9^2*$C$11)*NORMSINV(T285)))*(U$7-U$5)*(U$7-U$6))))</f>
        <v>0.336000916771652</v>
      </c>
      <c r="V285" s="2" t="n">
        <v>0.804863075</v>
      </c>
      <c r="W285" s="2" t="n">
        <f aca="false">IF(W$7=W$5,W$6,IF(NORMSDIST(W$9*SQRT($C$11)*NORMSINV($B285)+SQRT(1-W$9^2*$C$11)*NORMSINV(V285))&lt;W$8,W$5+SQRT(NORMSDIST(W$9*SQRT($C$11)*NORMSINV($B285)+SQRT(1-W$9^2*$C$11)*NORMSINV(V285))*(W$7-W$5)*(W$6-W$5)),W$7-SQRT((1-NORMSDIST(W$9*SQRT($C$11)*NORMSINV($B285)+SQRT(1-W$9^2*$C$11)*NORMSINV(V285)))*(W$7-W$5)*(W$7-W$6))))</f>
        <v>10.4184617922868</v>
      </c>
      <c r="X285" s="2" t="n">
        <v>0.991681152</v>
      </c>
      <c r="Y285" s="2" t="n">
        <f aca="false">IF(Y$7=Y$5,Y$6,IF(NORMSDIST(Y$9*SQRT($C$11)*NORMSINV($B285)+SQRT(1-Y$9^2*$C$11)*NORMSINV(X285))&lt;Y$8,Y$5+SQRT(NORMSDIST(Y$9*SQRT($C$11)*NORMSINV($B285)+SQRT(1-Y$9^2*$C$11)*NORMSINV(X285))*(Y$7-Y$5)*(Y$6-Y$5)),Y$7-SQRT((1-NORMSDIST(Y$9*SQRT($C$11)*NORMSINV($B285)+SQRT(1-Y$9^2*$C$11)*NORMSINV(X285)))*(Y$7-Y$5)*(Y$7-Y$6))))</f>
        <v>0.935506403418634</v>
      </c>
      <c r="Z285" s="2" t="n">
        <v>0.295968459</v>
      </c>
      <c r="AA285" s="2" t="n">
        <f aca="false">IF(AA$7=AA$5,AA$6,IF(NORMSDIST(AA$9*SQRT($C$11)*NORMSINV($B285)+SQRT(1-AA$9^2*$C$11)*NORMSINV(Z285))&lt;AA$8,AA$5+SQRT(NORMSDIST(AA$9*SQRT($C$11)*NORMSINV($B285)+SQRT(1-AA$9^2*$C$11)*NORMSINV(Z285))*(AA$7-AA$5)*(AA$6-AA$5)),AA$7-SQRT((1-NORMSDIST(AA$9*SQRT($C$11)*NORMSINV($B285)+SQRT(1-AA$9^2*$C$11)*NORMSINV(Z285)))*(AA$7-AA$5)*(AA$7-AA$6))))</f>
        <v>0.719673696507686</v>
      </c>
      <c r="AB285" s="2" t="n">
        <v>0.243751716</v>
      </c>
      <c r="AC285" s="2" t="n">
        <f aca="false">IF(AC$7=AC$5,AC$6,IF(NORMSDIST(AC$9*SQRT($C$11)*NORMSINV($B285)+SQRT(1-AC$9^2*$C$11)*NORMSINV(AB285))&lt;AC$8,AC$5+SQRT(NORMSDIST(AC$9*SQRT($C$11)*NORMSINV($B285)+SQRT(1-AC$9^2*$C$11)*NORMSINV(AB285))*(AC$7-AC$5)*(AC$6-AC$5)),AC$7-SQRT((1-NORMSDIST(AC$9*SQRT($C$11)*NORMSINV($B285)+SQRT(1-AC$9^2*$C$11)*NORMSINV(AB285)))*(AC$7-AC$5)*(AC$7-AC$6))))</f>
        <v>8.83195356582083</v>
      </c>
      <c r="AD285" s="2" t="n">
        <f aca="false">Entrées!$C$8*(1+E285)</f>
        <v>7427.49661623553</v>
      </c>
      <c r="AE285" s="2" t="n">
        <f aca="false">I285*Hypothèses!$J$24/12/Hypothèses!$J$19</f>
        <v>100.893486533446</v>
      </c>
      <c r="AF285" s="2" t="n">
        <f aca="false">Entrées!$C$36*S285*1000</f>
        <v>271.362939794763</v>
      </c>
      <c r="AG285" s="2" t="n">
        <f aca="false">-AF285/W285</f>
        <v>-26.0463535985383</v>
      </c>
      <c r="AH285" s="2" t="n">
        <f aca="false">AD285+AE285+AG285</f>
        <v>7502.34374917044</v>
      </c>
      <c r="AI285" s="2" t="n">
        <f aca="false">Entrées!$C$16-M285+Hypothèses!$J$22*1000-AF285+Hypothèses!$J$23</f>
        <v>22610.4097994188</v>
      </c>
      <c r="AJ285" s="2" t="n">
        <f aca="false">AI285/AH285</f>
        <v>3.01377950082851</v>
      </c>
      <c r="AK285" s="2" t="n">
        <f aca="false">AI285/(AH285+I285*(12-Hypothèses!$J$24)/12/Hypothèses!$J$19)</f>
        <v>2.98510487700631</v>
      </c>
      <c r="AL285" s="2" t="n">
        <f aca="false">(AD285+AG285+I285/Hypothèses!$J$19)*(1+G285)</f>
        <v>8045.6375664339</v>
      </c>
      <c r="AM285" s="2" t="n">
        <f aca="false">Entrées!$C$54*K285/Hypothèses!$J$19</f>
        <v>31.0183678459387</v>
      </c>
      <c r="AN285" s="2" t="n">
        <f aca="false">Y285*1000/AC285</f>
        <v>105.922930464557</v>
      </c>
      <c r="AO285" s="2" t="n">
        <f aca="false">(Entrées!$C$36*(1-S285)+MAX(0,Entrées!$C$30-Entrées!$C$35-Entrées!$C$36)*U285)*1000</f>
        <v>699.03834368555</v>
      </c>
      <c r="AP285" s="2" t="n">
        <f aca="false">-AO285/W285</f>
        <v>-67.0961181815799</v>
      </c>
      <c r="AQ285" s="2" t="n">
        <f aca="false">AL285+AM285+AN285+AP285</f>
        <v>8115.48274656282</v>
      </c>
      <c r="AR285" s="2" t="n">
        <f aca="false">O285*AQ285-Hypothèses!$J$25/Hypothèses!$J$19</f>
        <v>1221.17356709211</v>
      </c>
      <c r="AS285" s="2" t="n">
        <f aca="false">Entrées!$C$79*(1+Q285)+Hypothèses!$J$20</f>
        <v>1484.10595970344</v>
      </c>
      <c r="AT285" s="2" t="n">
        <f aca="false">AI285-AR285+AS285+Y285*1000-AO285+Hypothèses!$J$23</f>
        <v>23109.8102517632</v>
      </c>
      <c r="AU285" s="2" t="n">
        <f aca="false">AT285/AQ285</f>
        <v>2.84761991041765</v>
      </c>
      <c r="AV285" s="2" t="n">
        <f aca="false">Hypothèses!$J$26*AQ285-AT285</f>
        <v>1236.63798792526</v>
      </c>
      <c r="AW285" s="2" t="n">
        <f aca="false">IF(AC285&gt;Hypothèses!$J$26,MAX(0,AV285)/(1-Hypothèses!$J$26/AC285),0)</f>
        <v>1872.77370504043</v>
      </c>
      <c r="AX285" s="2" t="n">
        <f aca="false">AQ285-Entrées!$C$17*1000</f>
        <v>115.482746562817</v>
      </c>
      <c r="AY285" s="2" t="n">
        <f aca="false">AI285+(Entrées!$C$244-Entrées!$C$13)</f>
        <v>28357.4097994188</v>
      </c>
      <c r="AZ285" s="2" t="n">
        <f aca="false">AA285*AH285</f>
        <v>5399.23945843682</v>
      </c>
      <c r="BA285" s="2" t="n">
        <f aca="false">AZ285/AY285</f>
        <v>0.190399599139252</v>
      </c>
      <c r="BB285" s="2" t="n">
        <f aca="false">AZ285/(Entrées!$C$151/100)-AY285</f>
        <v>1638.36496967467</v>
      </c>
      <c r="BC285" s="2" t="n">
        <f aca="false">AT285+(Entrées!$C$244-Entrées!$C$13)</f>
        <v>28856.8102517632</v>
      </c>
      <c r="BD285" s="2" t="n">
        <f aca="false">AA285*AQ285</f>
        <v>5840.49946716321</v>
      </c>
      <c r="BE285" s="2" t="n">
        <f aca="false">BD285/BC285</f>
        <v>0.202395878692322</v>
      </c>
      <c r="BF285" s="2" t="n">
        <f aca="false">BD285/(Entrées!$C$151/100)-BC285</f>
        <v>3590.40901025464</v>
      </c>
      <c r="BG285" s="2" t="n">
        <f aca="false">MIN(AV285,BF285)</f>
        <v>1236.63798792526</v>
      </c>
      <c r="BH285" s="2" t="n">
        <f aca="false">IF(AC285&gt;Hypothèses!$J$26,MAX(0,BG285)/(1-Hypothèses!$J$26/AC285),0)</f>
        <v>1872.77370504043</v>
      </c>
    </row>
    <row r="286" customFormat="false" ht="15" hidden="false" customHeight="false" outlineLevel="0" collapsed="false">
      <c r="A286" s="2" t="n">
        <v>271</v>
      </c>
      <c r="B286" s="2" t="n">
        <v>0.495693785</v>
      </c>
      <c r="C286" s="2"/>
      <c r="D286" s="2" t="n">
        <v>0.661708309</v>
      </c>
      <c r="E286" s="2" t="n">
        <f aca="false">IF(E$7=E$5,E$6,IF(NORMSDIST(E$9*SQRT($C$11)*NORMSINV($B286)+SQRT(1-E$9^2*$C$11)*NORMSINV(D286))&lt;E$8,E$5+SQRT(NORMSDIST(E$9*SQRT($C$11)*NORMSINV($B286)+SQRT(1-E$9^2*$C$11)*NORMSINV(D286))*(E$7-E$5)*(E$6-E$5)),E$7-SQRT((1-NORMSDIST(E$9*SQRT($C$11)*NORMSINV($B286)+SQRT(1-E$9^2*$C$11)*NORMSINV(D286)))*(E$7-E$5)*(E$7-E$6))))</f>
        <v>0.0556647099798235</v>
      </c>
      <c r="F286" s="2" t="n">
        <v>0.028529746</v>
      </c>
      <c r="G286" s="2" t="n">
        <f aca="false">IF(G$7=G$5,G$6,IF(NORMSDIST(G$9*SQRT($C$11)*NORMSINV($B286)+SQRT(1-G$9^2*$C$11)*NORMSINV(F286))&lt;G$8,G$5+SQRT(NORMSDIST(G$9*SQRT($C$11)*NORMSINV($B286)+SQRT(1-G$9^2*$C$11)*NORMSINV(F286))*(G$7-G$5)*(G$6-G$5)),G$7-SQRT((1-NORMSDIST(G$9*SQRT($C$11)*NORMSINV($B286)+SQRT(1-G$9^2*$C$11)*NORMSINV(F286)))*(G$7-G$5)*(G$7-G$6))))</f>
        <v>0.0455857100554588</v>
      </c>
      <c r="H286" s="2" t="n">
        <v>0.972674651</v>
      </c>
      <c r="I286" s="2" t="n">
        <f aca="false">IF(I$7=I$5,I$6,IF(NORMSDIST(I$9*SQRT($C$11)*NORMSINV($B286)+SQRT(1-I$9^2*$C$11)*NORMSINV(H286))&lt;I$8,I$5+SQRT(NORMSDIST(I$9*SQRT($C$11)*NORMSINV($B286)+SQRT(1-I$9^2*$C$11)*NORMSINV(H286))*(I$7-I$5)*(I$6-I$5)),I$7-SQRT((1-NORMSDIST(I$9*SQRT($C$11)*NORMSINV($B286)+SQRT(1-I$9^2*$C$11)*NORMSINV(H286)))*(I$7-I$5)*(I$7-I$6))))</f>
        <v>212.558823533686</v>
      </c>
      <c r="J286" s="2" t="n">
        <v>0.091626861</v>
      </c>
      <c r="K286" s="2" t="n">
        <f aca="false">IF(K$7=K$5,K$6,IF(NORMSDIST(K$9*SQRT($C$11)*NORMSINV($B286)+SQRT(1-K$9^2*$C$11)*NORMSINV(J286))&lt;K$8,K$5+SQRT(NORMSDIST(K$9*SQRT($C$11)*NORMSINV($B286)+SQRT(1-K$9^2*$C$11)*NORMSINV(J286))*(K$7-K$5)*(K$6-K$5)),K$7-SQRT((1-NORMSDIST(K$9*SQRT($C$11)*NORMSINV($B286)+SQRT(1-K$9^2*$C$11)*NORMSINV(J286)))*(K$7-K$5)*(K$7-K$6))))</f>
        <v>0.13679982839978</v>
      </c>
      <c r="L286" s="2" t="n">
        <v>0.100672381</v>
      </c>
      <c r="M286" s="2" t="n">
        <f aca="false">IF(M$7=M$5,M$6,IF(NORMSDIST(M$9*SQRT($C$11)*NORMSINV($B286)+SQRT(1-M$9^2*$C$11)*NORMSINV(L286))&lt;M$8,M$5+SQRT(NORMSDIST(M$9*SQRT($C$11)*NORMSINV($B286)+SQRT(1-M$9^2*$C$11)*NORMSINV(L286))*(M$7-M$5)*(M$6-M$5)),M$7-SQRT((1-NORMSDIST(M$9*SQRT($C$11)*NORMSINV($B286)+SQRT(1-M$9^2*$C$11)*NORMSINV(L286)))*(M$7-M$5)*(M$7-M$6))))</f>
        <v>1462.55466929762</v>
      </c>
      <c r="N286" s="2" t="n">
        <v>0.586969045</v>
      </c>
      <c r="O286" s="2" t="n">
        <f aca="false">IF(O$7=O$5,O$6,IF(NORMSDIST(O$9*SQRT($C$11)*NORMSINV($B286)+SQRT(1-O$9^2*$C$11)*NORMSINV(N286))&lt;O$8,O$5+SQRT(NORMSDIST(O$9*SQRT($C$11)*NORMSINV($B286)+SQRT(1-O$9^2*$C$11)*NORMSINV(N286))*(O$7-O$5)*(O$6-O$5)),O$7-SQRT((1-NORMSDIST(O$9*SQRT($C$11)*NORMSINV($B286)+SQRT(1-O$9^2*$C$11)*NORMSINV(N286)))*(O$7-O$5)*(O$7-O$6))))</f>
        <v>0.168469690442788</v>
      </c>
      <c r="P286" s="2" t="n">
        <v>0.231397377</v>
      </c>
      <c r="Q286" s="2" t="n">
        <f aca="false">IF(Q$7=Q$5,Q$6,IF(NORMSDIST(Q$9*SQRT($C$11)*NORMSINV($B286)+SQRT(1-Q$9^2*$C$11)*NORMSINV(P286))&lt;Q$8,Q$5+SQRT(NORMSDIST(Q$9*SQRT($C$11)*NORMSINV($B286)+SQRT(1-Q$9^2*$C$11)*NORMSINV(P286))*(Q$7-Q$5)*(Q$6-Q$5)),Q$7-SQRT((1-NORMSDIST(Q$9*SQRT($C$11)*NORMSINV($B286)+SQRT(1-Q$9^2*$C$11)*NORMSINV(P286)))*(Q$7-Q$5)*(Q$7-Q$6))))</f>
        <v>0.0672116079348502</v>
      </c>
      <c r="R286" s="2" t="n">
        <v>0.095602385</v>
      </c>
      <c r="S286" s="2" t="n">
        <f aca="false">IF(S$7=S$5,S$6,IF(NORMSDIST(S$9*SQRT($C$11)*NORMSINV($B286)+SQRT(1-S$9^2*$C$11)*NORMSINV(R286))&lt;S$8,S$5+SQRT(NORMSDIST(S$9*SQRT($C$11)*NORMSINV($B286)+SQRT(1-S$9^2*$C$11)*NORMSINV(R286))*(S$7-S$5)*(S$6-S$5)),S$7-SQRT((1-NORMSDIST(S$9*SQRT($C$11)*NORMSINV($B286)+SQRT(1-S$9^2*$C$11)*NORMSINV(R286)))*(S$7-S$5)*(S$7-S$6))))</f>
        <v>0.277528232731042</v>
      </c>
      <c r="T286" s="2" t="n">
        <v>0.014773813</v>
      </c>
      <c r="U286" s="2" t="n">
        <f aca="false">IF(U$7=U$5,U$6,IF(NORMSDIST(U$9*SQRT($C$11)*NORMSINV($B286)+SQRT(1-U$9^2*$C$11)*NORMSINV(T286))&lt;U$8,U$5+SQRT(NORMSDIST(U$9*SQRT($C$11)*NORMSINV($B286)+SQRT(1-U$9^2*$C$11)*NORMSINV(T286))*(U$7-U$5)*(U$6-U$5)),U$7-SQRT((1-NORMSDIST(U$9*SQRT($C$11)*NORMSINV($B286)+SQRT(1-U$9^2*$C$11)*NORMSINV(T286)))*(U$7-U$5)*(U$7-U$6))))</f>
        <v>0.150469539654418</v>
      </c>
      <c r="V286" s="2" t="n">
        <v>0.032391287</v>
      </c>
      <c r="W286" s="2" t="n">
        <f aca="false">IF(W$7=W$5,W$6,IF(NORMSDIST(W$9*SQRT($C$11)*NORMSINV($B286)+SQRT(1-W$9^2*$C$11)*NORMSINV(V286))&lt;W$8,W$5+SQRT(NORMSDIST(W$9*SQRT($C$11)*NORMSINV($B286)+SQRT(1-W$9^2*$C$11)*NORMSINV(V286))*(W$7-W$5)*(W$6-W$5)),W$7-SQRT((1-NORMSDIST(W$9*SQRT($C$11)*NORMSINV($B286)+SQRT(1-W$9^2*$C$11)*NORMSINV(V286)))*(W$7-W$5)*(W$7-W$6))))</f>
        <v>8.77621585717405</v>
      </c>
      <c r="X286" s="2" t="n">
        <v>0.888679987</v>
      </c>
      <c r="Y286" s="2" t="n">
        <f aca="false">IF(Y$7=Y$5,Y$6,IF(NORMSDIST(Y$9*SQRT($C$11)*NORMSINV($B286)+SQRT(1-Y$9^2*$C$11)*NORMSINV(X286))&lt;Y$8,Y$5+SQRT(NORMSDIST(Y$9*SQRT($C$11)*NORMSINV($B286)+SQRT(1-Y$9^2*$C$11)*NORMSINV(X286))*(Y$7-Y$5)*(Y$6-Y$5)),Y$7-SQRT((1-NORMSDIST(Y$9*SQRT($C$11)*NORMSINV($B286)+SQRT(1-Y$9^2*$C$11)*NORMSINV(X286)))*(Y$7-Y$5)*(Y$7-Y$6))))</f>
        <v>0.764076269739562</v>
      </c>
      <c r="Z286" s="2" t="n">
        <v>0.212842641</v>
      </c>
      <c r="AA286" s="2" t="n">
        <f aca="false">IF(AA$7=AA$5,AA$6,IF(NORMSDIST(AA$9*SQRT($C$11)*NORMSINV($B286)+SQRT(1-AA$9^2*$C$11)*NORMSINV(Z286))&lt;AA$8,AA$5+SQRT(NORMSDIST(AA$9*SQRT($C$11)*NORMSINV($B286)+SQRT(1-AA$9^2*$C$11)*NORMSINV(Z286))*(AA$7-AA$5)*(AA$6-AA$5)),AA$7-SQRT((1-NORMSDIST(AA$9*SQRT($C$11)*NORMSINV($B286)+SQRT(1-AA$9^2*$C$11)*NORMSINV(Z286)))*(AA$7-AA$5)*(AA$7-AA$6))))</f>
        <v>0.719209510933997</v>
      </c>
      <c r="AB286" s="2" t="n">
        <v>0.870937934</v>
      </c>
      <c r="AC286" s="2" t="n">
        <f aca="false">IF(AC$7=AC$5,AC$6,IF(NORMSDIST(AC$9*SQRT($C$11)*NORMSINV($B286)+SQRT(1-AC$9^2*$C$11)*NORMSINV(AB286))&lt;AC$8,AC$5+SQRT(NORMSDIST(AC$9*SQRT($C$11)*NORMSINV($B286)+SQRT(1-AC$9^2*$C$11)*NORMSINV(AB286))*(AC$7-AC$5)*(AC$6-AC$5)),AC$7-SQRT((1-NORMSDIST(AC$9*SQRT($C$11)*NORMSINV($B286)+SQRT(1-AC$9^2*$C$11)*NORMSINV(AB286)))*(AC$7-AC$5)*(AC$7-AC$6))))</f>
        <v>10.0883344426265</v>
      </c>
      <c r="AD286" s="2" t="n">
        <f aca="false">Entrées!$C$8*(1+E286)</f>
        <v>7442.43620535776</v>
      </c>
      <c r="AE286" s="2" t="n">
        <f aca="false">I286*Hypothèses!$J$24/12/Hypothèses!$J$19</f>
        <v>105.449752034081</v>
      </c>
      <c r="AF286" s="2" t="n">
        <f aca="false">Entrées!$C$36*S286*1000</f>
        <v>138.764116365521</v>
      </c>
      <c r="AG286" s="2" t="n">
        <f aca="false">-AF286/W286</f>
        <v>-15.8113837015631</v>
      </c>
      <c r="AH286" s="2" t="n">
        <f aca="false">AD286+AE286+AG286</f>
        <v>7532.07457369027</v>
      </c>
      <c r="AI286" s="2" t="n">
        <f aca="false">Entrées!$C$16-M286+Hypothèses!$J$22*1000-AF286+Hypothèses!$J$23</f>
        <v>22946.6812143369</v>
      </c>
      <c r="AJ286" s="2" t="n">
        <f aca="false">AI286/AH286</f>
        <v>3.04652868075552</v>
      </c>
      <c r="AK286" s="2" t="n">
        <f aca="false">AI286/(AH286+I286*(12-Hypothèses!$J$24)/12/Hypothèses!$J$19)</f>
        <v>3.01636482993245</v>
      </c>
      <c r="AL286" s="2" t="n">
        <f aca="false">(AD286+AG286+I286/Hypothèses!$J$19)*(1+G286)</f>
        <v>7954.18436550527</v>
      </c>
      <c r="AM286" s="2" t="n">
        <f aca="false">Entrées!$C$54*K286/Hypothèses!$J$19</f>
        <v>13.9609968735594</v>
      </c>
      <c r="AN286" s="2" t="n">
        <f aca="false">Y286*1000/AC286</f>
        <v>75.7385943224772</v>
      </c>
      <c r="AO286" s="2" t="n">
        <f aca="false">(Entrées!$C$36*(1-S286)+MAX(0,Entrées!$C$30-Entrées!$C$35-Entrées!$C$36)*U286)*1000</f>
        <v>571.893239150664</v>
      </c>
      <c r="AP286" s="2" t="n">
        <f aca="false">-AO286/W286</f>
        <v>-65.1639896349147</v>
      </c>
      <c r="AQ286" s="2" t="n">
        <f aca="false">AL286+AM286+AN286+AP286</f>
        <v>7978.7199670664</v>
      </c>
      <c r="AR286" s="2" t="n">
        <f aca="false">O286*AQ286-Hypothèses!$J$25/Hypothèses!$J$19</f>
        <v>1325.03732071974</v>
      </c>
      <c r="AS286" s="2" t="n">
        <f aca="false">Entrées!$C$79*(1+Q286)+Hypothèses!$J$20</f>
        <v>1467.8655571204</v>
      </c>
      <c r="AT286" s="2" t="n">
        <f aca="false">AI286-AR286+AS286+Y286*1000-AO286+Hypothèses!$J$23</f>
        <v>23281.6924813264</v>
      </c>
      <c r="AU286" s="2" t="n">
        <f aca="false">AT286/AQ286</f>
        <v>2.91797338137267</v>
      </c>
      <c r="AV286" s="2" t="n">
        <f aca="false">Hypothèses!$J$26*AQ286-AT286</f>
        <v>654.467419872781</v>
      </c>
      <c r="AW286" s="2" t="n">
        <f aca="false">IF(AC286&gt;Hypothèses!$J$26,MAX(0,AV286)/(1-Hypothèses!$J$26/AC286),0)</f>
        <v>931.458055050941</v>
      </c>
      <c r="AX286" s="2" t="n">
        <f aca="false">AQ286-Entrées!$C$17*1000</f>
        <v>-21.2800329336033</v>
      </c>
      <c r="AY286" s="2" t="n">
        <f aca="false">AI286+(Entrées!$C$244-Entrées!$C$13)</f>
        <v>28693.6812143369</v>
      </c>
      <c r="AZ286" s="2" t="n">
        <f aca="false">AA286*AH286</f>
        <v>5417.13967046218</v>
      </c>
      <c r="BA286" s="2" t="n">
        <f aca="false">AZ286/AY286</f>
        <v>0.18879207690352</v>
      </c>
      <c r="BB286" s="2" t="n">
        <f aca="false">AZ286/(Entrées!$C$151/100)-AY286</f>
        <v>1401.53917711968</v>
      </c>
      <c r="BC286" s="2" t="n">
        <f aca="false">AT286+(Entrées!$C$244-Entrées!$C$13)</f>
        <v>29028.6924813264</v>
      </c>
      <c r="BD286" s="2" t="n">
        <f aca="false">AA286*AQ286</f>
        <v>5738.37128539314</v>
      </c>
      <c r="BE286" s="2" t="n">
        <f aca="false">BD286/BC286</f>
        <v>0.197679288830681</v>
      </c>
      <c r="BF286" s="2" t="n">
        <f aca="false">BD286/(Entrées!$C$151/100)-BC286</f>
        <v>2851.14799307993</v>
      </c>
      <c r="BG286" s="2" t="n">
        <f aca="false">MIN(AV286,BF286)</f>
        <v>654.467419872781</v>
      </c>
      <c r="BH286" s="2" t="n">
        <f aca="false">IF(AC286&gt;Hypothèses!$J$26,MAX(0,BG286)/(1-Hypothèses!$J$26/AC286),0)</f>
        <v>931.458055050941</v>
      </c>
    </row>
    <row r="287" customFormat="false" ht="15" hidden="false" customHeight="false" outlineLevel="0" collapsed="false">
      <c r="A287" s="2" t="n">
        <v>272</v>
      </c>
      <c r="B287" s="2" t="n">
        <v>0.243561167</v>
      </c>
      <c r="C287" s="2"/>
      <c r="D287" s="2" t="n">
        <v>0.914744219</v>
      </c>
      <c r="E287" s="2" t="n">
        <f aca="false">IF(E$7=E$5,E$6,IF(NORMSDIST(E$9*SQRT($C$11)*NORMSINV($B287)+SQRT(1-E$9^2*$C$11)*NORMSINV(D287))&lt;E$8,E$5+SQRT(NORMSDIST(E$9*SQRT($C$11)*NORMSINV($B287)+SQRT(1-E$9^2*$C$11)*NORMSINV(D287))*(E$7-E$5)*(E$6-E$5)),E$7-SQRT((1-NORMSDIST(E$9*SQRT($C$11)*NORMSINV($B287)+SQRT(1-E$9^2*$C$11)*NORMSINV(D287)))*(E$7-E$5)*(E$7-E$6))))</f>
        <v>0.0563467570857857</v>
      </c>
      <c r="F287" s="2" t="n">
        <v>0.430002282</v>
      </c>
      <c r="G287" s="2" t="n">
        <f aca="false">IF(G$7=G$5,G$6,IF(NORMSDIST(G$9*SQRT($C$11)*NORMSINV($B287)+SQRT(1-G$9^2*$C$11)*NORMSINV(F287))&lt;G$8,G$5+SQRT(NORMSDIST(G$9*SQRT($C$11)*NORMSINV($B287)+SQRT(1-G$9^2*$C$11)*NORMSINV(F287))*(G$7-G$5)*(G$6-G$5)),G$7-SQRT((1-NORMSDIST(G$9*SQRT($C$11)*NORMSINV($B287)+SQRT(1-G$9^2*$C$11)*NORMSINV(F287)))*(G$7-G$5)*(G$7-G$6))))</f>
        <v>0.0512704351288941</v>
      </c>
      <c r="H287" s="2" t="n">
        <v>0.201372833</v>
      </c>
      <c r="I287" s="2" t="n">
        <f aca="false">IF(I$7=I$5,I$6,IF(NORMSDIST(I$9*SQRT($C$11)*NORMSINV($B287)+SQRT(1-I$9^2*$C$11)*NORMSINV(H287))&lt;I$8,I$5+SQRT(NORMSDIST(I$9*SQRT($C$11)*NORMSINV($B287)+SQRT(1-I$9^2*$C$11)*NORMSINV(H287))*(I$7-I$5)*(I$6-I$5)),I$7-SQRT((1-NORMSDIST(I$9*SQRT($C$11)*NORMSINV($B287)+SQRT(1-I$9^2*$C$11)*NORMSINV(H287)))*(I$7-I$5)*(I$7-I$6))))</f>
        <v>190.521690460414</v>
      </c>
      <c r="J287" s="2" t="n">
        <v>0.582952726</v>
      </c>
      <c r="K287" s="2" t="n">
        <f aca="false">IF(K$7=K$5,K$6,IF(NORMSDIST(K$9*SQRT($C$11)*NORMSINV($B287)+SQRT(1-K$9^2*$C$11)*NORMSINV(J287))&lt;K$8,K$5+SQRT(NORMSDIST(K$9*SQRT($C$11)*NORMSINV($B287)+SQRT(1-K$9^2*$C$11)*NORMSINV(J287))*(K$7-K$5)*(K$6-K$5)),K$7-SQRT((1-NORMSDIST(K$9*SQRT($C$11)*NORMSINV($B287)+SQRT(1-K$9^2*$C$11)*NORMSINV(J287)))*(K$7-K$5)*(K$7-K$6))))</f>
        <v>0.221018980945207</v>
      </c>
      <c r="L287" s="2" t="n">
        <v>0.584389085</v>
      </c>
      <c r="M287" s="2" t="n">
        <f aca="false">IF(M$7=M$5,M$6,IF(NORMSDIST(M$9*SQRT($C$11)*NORMSINV($B287)+SQRT(1-M$9^2*$C$11)*NORMSINV(L287))&lt;M$8,M$5+SQRT(NORMSDIST(M$9*SQRT($C$11)*NORMSINV($B287)+SQRT(1-M$9^2*$C$11)*NORMSINV(L287))*(M$7-M$5)*(M$6-M$5)),M$7-SQRT((1-NORMSDIST(M$9*SQRT($C$11)*NORMSINV($B287)+SQRT(1-M$9^2*$C$11)*NORMSINV(L287)))*(M$7-M$5)*(M$7-M$6))))</f>
        <v>1552.99227596461</v>
      </c>
      <c r="N287" s="2" t="n">
        <v>0.242557186</v>
      </c>
      <c r="O287" s="2" t="n">
        <f aca="false">IF(O$7=O$5,O$6,IF(NORMSDIST(O$9*SQRT($C$11)*NORMSINV($B287)+SQRT(1-O$9^2*$C$11)*NORMSINV(N287))&lt;O$8,O$5+SQRT(NORMSDIST(O$9*SQRT($C$11)*NORMSINV($B287)+SQRT(1-O$9^2*$C$11)*NORMSINV(N287))*(O$7-O$5)*(O$6-O$5)),O$7-SQRT((1-NORMSDIST(O$9*SQRT($C$11)*NORMSINV($B287)+SQRT(1-O$9^2*$C$11)*NORMSINV(N287)))*(O$7-O$5)*(O$7-O$6))))</f>
        <v>0.155315719623774</v>
      </c>
      <c r="P287" s="2" t="n">
        <v>0.725303552</v>
      </c>
      <c r="Q287" s="2" t="n">
        <f aca="false">IF(Q$7=Q$5,Q$6,IF(NORMSDIST(Q$9*SQRT($C$11)*NORMSINV($B287)+SQRT(1-Q$9^2*$C$11)*NORMSINV(P287))&lt;Q$8,Q$5+SQRT(NORMSDIST(Q$9*SQRT($C$11)*NORMSINV($B287)+SQRT(1-Q$9^2*$C$11)*NORMSINV(P287))*(Q$7-Q$5)*(Q$6-Q$5)),Q$7-SQRT((1-NORMSDIST(Q$9*SQRT($C$11)*NORMSINV($B287)+SQRT(1-Q$9^2*$C$11)*NORMSINV(P287)))*(Q$7-Q$5)*(Q$7-Q$6))))</f>
        <v>0.0903515829495064</v>
      </c>
      <c r="R287" s="2" t="n">
        <v>0.66570649</v>
      </c>
      <c r="S287" s="2" t="n">
        <f aca="false">IF(S$7=S$5,S$6,IF(NORMSDIST(S$9*SQRT($C$11)*NORMSINV($B287)+SQRT(1-S$9^2*$C$11)*NORMSINV(R287))&lt;S$8,S$5+SQRT(NORMSDIST(S$9*SQRT($C$11)*NORMSINV($B287)+SQRT(1-S$9^2*$C$11)*NORMSINV(R287))*(S$7-S$5)*(S$6-S$5)),S$7-SQRT((1-NORMSDIST(S$9*SQRT($C$11)*NORMSINV($B287)+SQRT(1-S$9^2*$C$11)*NORMSINV(R287)))*(S$7-S$5)*(S$7-S$6))))</f>
        <v>0.4780377268661</v>
      </c>
      <c r="T287" s="2" t="n">
        <v>0.198489142</v>
      </c>
      <c r="U287" s="2" t="n">
        <f aca="false">IF(U$7=U$5,U$6,IF(NORMSDIST(U$9*SQRT($C$11)*NORMSINV($B287)+SQRT(1-U$9^2*$C$11)*NORMSINV(T287))&lt;U$8,U$5+SQRT(NORMSDIST(U$9*SQRT($C$11)*NORMSINV($B287)+SQRT(1-U$9^2*$C$11)*NORMSINV(T287))*(U$7-U$5)*(U$6-U$5)),U$7-SQRT((1-NORMSDIST(U$9*SQRT($C$11)*NORMSINV($B287)+SQRT(1-U$9^2*$C$11)*NORMSINV(T287)))*(U$7-U$5)*(U$7-U$6))))</f>
        <v>0.261369342539273</v>
      </c>
      <c r="V287" s="2" t="n">
        <v>0.513353309</v>
      </c>
      <c r="W287" s="2" t="n">
        <f aca="false">IF(W$7=W$5,W$6,IF(NORMSDIST(W$9*SQRT($C$11)*NORMSINV($B287)+SQRT(1-W$9^2*$C$11)*NORMSINV(V287))&lt;W$8,W$5+SQRT(NORMSDIST(W$9*SQRT($C$11)*NORMSINV($B287)+SQRT(1-W$9^2*$C$11)*NORMSINV(V287))*(W$7-W$5)*(W$6-W$5)),W$7-SQRT((1-NORMSDIST(W$9*SQRT($C$11)*NORMSINV($B287)+SQRT(1-W$9^2*$C$11)*NORMSINV(V287)))*(W$7-W$5)*(W$7-W$6))))</f>
        <v>9.64827011009916</v>
      </c>
      <c r="X287" s="2" t="n">
        <v>0.748790955</v>
      </c>
      <c r="Y287" s="2" t="n">
        <f aca="false">IF(Y$7=Y$5,Y$6,IF(NORMSDIST(Y$9*SQRT($C$11)*NORMSINV($B287)+SQRT(1-Y$9^2*$C$11)*NORMSINV(X287))&lt;Y$8,Y$5+SQRT(NORMSDIST(Y$9*SQRT($C$11)*NORMSINV($B287)+SQRT(1-Y$9^2*$C$11)*NORMSINV(X287))*(Y$7-Y$5)*(Y$6-Y$5)),Y$7-SQRT((1-NORMSDIST(Y$9*SQRT($C$11)*NORMSINV($B287)+SQRT(1-Y$9^2*$C$11)*NORMSINV(X287)))*(Y$7-Y$5)*(Y$7-Y$6))))</f>
        <v>0.645592716638047</v>
      </c>
      <c r="Z287" s="2" t="n">
        <v>0.987933832</v>
      </c>
      <c r="AA287" s="2" t="n">
        <f aca="false">IF(AA$7=AA$5,AA$6,IF(NORMSDIST(AA$9*SQRT($C$11)*NORMSINV($B287)+SQRT(1-AA$9^2*$C$11)*NORMSINV(Z287))&lt;AA$8,AA$5+SQRT(NORMSDIST(AA$9*SQRT($C$11)*NORMSINV($B287)+SQRT(1-AA$9^2*$C$11)*NORMSINV(Z287))*(AA$7-AA$5)*(AA$6-AA$5)),AA$7-SQRT((1-NORMSDIST(AA$9*SQRT($C$11)*NORMSINV($B287)+SQRT(1-AA$9^2*$C$11)*NORMSINV(Z287)))*(AA$7-AA$5)*(AA$7-AA$6))))</f>
        <v>0.742787805323326</v>
      </c>
      <c r="AB287" s="2" t="n">
        <v>0.994766647</v>
      </c>
      <c r="AC287" s="2" t="n">
        <f aca="false">IF(AC$7=AC$5,AC$6,IF(NORMSDIST(AC$9*SQRT($C$11)*NORMSINV($B287)+SQRT(1-AC$9^2*$C$11)*NORMSINV(AB287))&lt;AC$8,AC$5+SQRT(NORMSDIST(AC$9*SQRT($C$11)*NORMSINV($B287)+SQRT(1-AC$9^2*$C$11)*NORMSINV(AB287))*(AC$7-AC$5)*(AC$6-AC$5)),AC$7-SQRT((1-NORMSDIST(AC$9*SQRT($C$11)*NORMSINV($B287)+SQRT(1-AC$9^2*$C$11)*NORMSINV(AB287)))*(AC$7-AC$5)*(AC$7-AC$6))))</f>
        <v>10.4851632210203</v>
      </c>
      <c r="AD287" s="2" t="n">
        <f aca="false">Entrées!$C$8*(1+E287)</f>
        <v>7447.24463745479</v>
      </c>
      <c r="AE287" s="2" t="n">
        <f aca="false">I287*Hypothèses!$J$24/12/Hypothèses!$J$19</f>
        <v>94.5172008490189</v>
      </c>
      <c r="AF287" s="2" t="n">
        <f aca="false">Entrées!$C$36*S287*1000</f>
        <v>239.01886343305</v>
      </c>
      <c r="AG287" s="2" t="n">
        <f aca="false">-AF287/W287</f>
        <v>-24.773235067586</v>
      </c>
      <c r="AH287" s="2" t="n">
        <f aca="false">AD287+AE287+AG287</f>
        <v>7516.98860323622</v>
      </c>
      <c r="AI287" s="2" t="n">
        <f aca="false">Entrées!$C$16-M287+Hypothèses!$J$22*1000-AF287+Hypothèses!$J$23</f>
        <v>22755.9888606023</v>
      </c>
      <c r="AJ287" s="2" t="n">
        <f aca="false">AI287/AH287</f>
        <v>3.02727462574646</v>
      </c>
      <c r="AK287" s="2" t="n">
        <f aca="false">AI287/(AH287+I287*(12-Hypothèses!$J$24)/12/Hypothèses!$J$19)</f>
        <v>3.0003277990164</v>
      </c>
      <c r="AL287" s="2" t="n">
        <f aca="false">(AD287+AG287+I287/Hypothèses!$J$19)*(1+G287)</f>
        <v>7973.36155040002</v>
      </c>
      <c r="AM287" s="2" t="n">
        <f aca="false">Entrées!$C$54*K287/Hypothèses!$J$19</f>
        <v>22.5559150041906</v>
      </c>
      <c r="AN287" s="2" t="n">
        <f aca="false">Y287*1000/AC287</f>
        <v>61.5720235373911</v>
      </c>
      <c r="AO287" s="2" t="n">
        <f aca="false">(Entrées!$C$36*(1-S287)+MAX(0,Entrées!$C$30-Entrées!$C$35-Entrées!$C$36)*U287)*1000</f>
        <v>626.898216121932</v>
      </c>
      <c r="AP287" s="2" t="n">
        <f aca="false">-AO287/W287</f>
        <v>-64.9751933733423</v>
      </c>
      <c r="AQ287" s="2" t="n">
        <f aca="false">AL287+AM287+AN287+AP287</f>
        <v>7992.51429556826</v>
      </c>
      <c r="AR287" s="2" t="n">
        <f aca="false">O287*AQ287-Hypothèses!$J$25/Hypothèses!$J$19</f>
        <v>1222.22794715786</v>
      </c>
      <c r="AS287" s="2" t="n">
        <f aca="false">Entrées!$C$79*(1+Q287)+Hypothèses!$J$20</f>
        <v>1493.29638966151</v>
      </c>
      <c r="AT287" s="2" t="n">
        <f aca="false">AI287-AR287+AS287+Y287*1000-AO287+Hypothèses!$J$23</f>
        <v>23045.7518036221</v>
      </c>
      <c r="AU287" s="2" t="n">
        <f aca="false">AT287/AQ287</f>
        <v>2.8834170264044</v>
      </c>
      <c r="AV287" s="2" t="n">
        <f aca="false">Hypothèses!$J$26*AQ287-AT287</f>
        <v>931.791083082677</v>
      </c>
      <c r="AW287" s="2" t="n">
        <f aca="false">IF(AC287&gt;Hypothèses!$J$26,MAX(0,AV287)/(1-Hypothèses!$J$26/AC287),0)</f>
        <v>1305.24629931603</v>
      </c>
      <c r="AX287" s="2" t="n">
        <f aca="false">AQ287-Entrées!$C$17*1000</f>
        <v>-7.48570443174049</v>
      </c>
      <c r="AY287" s="2" t="n">
        <f aca="false">AI287+(Entrées!$C$244-Entrées!$C$13)</f>
        <v>28502.9888606023</v>
      </c>
      <c r="AZ287" s="2" t="n">
        <f aca="false">AA287*AH287</f>
        <v>5583.52746723829</v>
      </c>
      <c r="BA287" s="2" t="n">
        <f aca="false">AZ287/AY287</f>
        <v>0.195892700746061</v>
      </c>
      <c r="BB287" s="2" t="n">
        <f aca="false">AZ287/(Entrées!$C$151/100)-AY287</f>
        <v>2516.60817961038</v>
      </c>
      <c r="BC287" s="2" t="n">
        <f aca="false">AT287+(Entrées!$C$244-Entrées!$C$13)</f>
        <v>28792.7518036221</v>
      </c>
      <c r="BD287" s="2" t="n">
        <f aca="false">AA287*AQ287</f>
        <v>5936.74215262046</v>
      </c>
      <c r="BE287" s="2" t="n">
        <f aca="false">BD287/BC287</f>
        <v>0.206188772546347</v>
      </c>
      <c r="BF287" s="2" t="n">
        <f aca="false">BD287/(Entrées!$C$151/100)-BC287</f>
        <v>4189.14904426933</v>
      </c>
      <c r="BG287" s="2" t="n">
        <f aca="false">MIN(AV287,BF287)</f>
        <v>931.791083082677</v>
      </c>
      <c r="BH287" s="2" t="n">
        <f aca="false">IF(AC287&gt;Hypothèses!$J$26,MAX(0,BG287)/(1-Hypothèses!$J$26/AC287),0)</f>
        <v>1305.24629931603</v>
      </c>
    </row>
    <row r="288" customFormat="false" ht="15" hidden="false" customHeight="false" outlineLevel="0" collapsed="false">
      <c r="A288" s="2" t="n">
        <v>273</v>
      </c>
      <c r="B288" s="2" t="n">
        <v>0.473573014</v>
      </c>
      <c r="C288" s="2"/>
      <c r="D288" s="2" t="n">
        <v>0.187804671</v>
      </c>
      <c r="E288" s="2" t="n">
        <f aca="false">IF(E$7=E$5,E$6,IF(NORMSDIST(E$9*SQRT($C$11)*NORMSINV($B288)+SQRT(1-E$9^2*$C$11)*NORMSINV(D288))&lt;E$8,E$5+SQRT(NORMSDIST(E$9*SQRT($C$11)*NORMSINV($B288)+SQRT(1-E$9^2*$C$11)*NORMSINV(D288))*(E$7-E$5)*(E$6-E$5)),E$7-SQRT((1-NORMSDIST(E$9*SQRT($C$11)*NORMSINV($B288)+SQRT(1-E$9^2*$C$11)*NORMSINV(D288)))*(E$7-E$5)*(E$7-E$6))))</f>
        <v>0.0534149393285913</v>
      </c>
      <c r="F288" s="2" t="n">
        <v>0.121162832</v>
      </c>
      <c r="G288" s="2" t="n">
        <f aca="false">IF(G$7=G$5,G$6,IF(NORMSDIST(G$9*SQRT($C$11)*NORMSINV($B288)+SQRT(1-G$9^2*$C$11)*NORMSINV(F288))&lt;G$8,G$5+SQRT(NORMSDIST(G$9*SQRT($C$11)*NORMSINV($B288)+SQRT(1-G$9^2*$C$11)*NORMSINV(F288))*(G$7-G$5)*(G$6-G$5)),G$7-SQRT((1-NORMSDIST(G$9*SQRT($C$11)*NORMSINV($B288)+SQRT(1-G$9^2*$C$11)*NORMSINV(F288)))*(G$7-G$5)*(G$7-G$6))))</f>
        <v>0.0487893280764839</v>
      </c>
      <c r="H288" s="2" t="n">
        <v>0.009043691</v>
      </c>
      <c r="I288" s="2" t="n">
        <f aca="false">IF(I$7=I$5,I$6,IF(NORMSDIST(I$9*SQRT($C$11)*NORMSINV($B288)+SQRT(1-I$9^2*$C$11)*NORMSINV(H288))&lt;I$8,I$5+SQRT(NORMSDIST(I$9*SQRT($C$11)*NORMSINV($B288)+SQRT(1-I$9^2*$C$11)*NORMSINV(H288))*(I$7-I$5)*(I$6-I$5)),I$7-SQRT((1-NORMSDIST(I$9*SQRT($C$11)*NORMSINV($B288)+SQRT(1-I$9^2*$C$11)*NORMSINV(H288)))*(I$7-I$5)*(I$7-I$6))))</f>
        <v>184.942757187172</v>
      </c>
      <c r="J288" s="2" t="n">
        <v>0.215448882</v>
      </c>
      <c r="K288" s="2" t="n">
        <f aca="false">IF(K$7=K$5,K$6,IF(NORMSDIST(K$9*SQRT($C$11)*NORMSINV($B288)+SQRT(1-K$9^2*$C$11)*NORMSINV(J288))&lt;K$8,K$5+SQRT(NORMSDIST(K$9*SQRT($C$11)*NORMSINV($B288)+SQRT(1-K$9^2*$C$11)*NORMSINV(J288))*(K$7-K$5)*(K$6-K$5)),K$7-SQRT((1-NORMSDIST(K$9*SQRT($C$11)*NORMSINV($B288)+SQRT(1-K$9^2*$C$11)*NORMSINV(J288)))*(K$7-K$5)*(K$7-K$6))))</f>
        <v>0.179299674487028</v>
      </c>
      <c r="L288" s="2" t="n">
        <v>0.361806506</v>
      </c>
      <c r="M288" s="2" t="n">
        <f aca="false">IF(M$7=M$5,M$6,IF(NORMSDIST(M$9*SQRT($C$11)*NORMSINV($B288)+SQRT(1-M$9^2*$C$11)*NORMSINV(L288))&lt;M$8,M$5+SQRT(NORMSDIST(M$9*SQRT($C$11)*NORMSINV($B288)+SQRT(1-M$9^2*$C$11)*NORMSINV(L288))*(M$7-M$5)*(M$6-M$5)),M$7-SQRT((1-NORMSDIST(M$9*SQRT($C$11)*NORMSINV($B288)+SQRT(1-M$9^2*$C$11)*NORMSINV(L288)))*(M$7-M$5)*(M$7-M$6))))</f>
        <v>1547.8944995727</v>
      </c>
      <c r="N288" s="2" t="n">
        <v>0.788617686</v>
      </c>
      <c r="O288" s="2" t="n">
        <f aca="false">IF(O$7=O$5,O$6,IF(NORMSDIST(O$9*SQRT($C$11)*NORMSINV($B288)+SQRT(1-O$9^2*$C$11)*NORMSINV(N288))&lt;O$8,O$5+SQRT(NORMSDIST(O$9*SQRT($C$11)*NORMSINV($B288)+SQRT(1-O$9^2*$C$11)*NORMSINV(N288))*(O$7-O$5)*(O$6-O$5)),O$7-SQRT((1-NORMSDIST(O$9*SQRT($C$11)*NORMSINV($B288)+SQRT(1-O$9^2*$C$11)*NORMSINV(N288)))*(O$7-O$5)*(O$7-O$6))))</f>
        <v>0.172690355692344</v>
      </c>
      <c r="P288" s="2" t="n">
        <v>0.954840729</v>
      </c>
      <c r="Q288" s="2" t="n">
        <f aca="false">IF(Q$7=Q$5,Q$6,IF(NORMSDIST(Q$9*SQRT($C$11)*NORMSINV($B288)+SQRT(1-Q$9^2*$C$11)*NORMSINV(P288))&lt;Q$8,Q$5+SQRT(NORMSDIST(Q$9*SQRT($C$11)*NORMSINV($B288)+SQRT(1-Q$9^2*$C$11)*NORMSINV(P288))*(Q$7-Q$5)*(Q$6-Q$5)),Q$7-SQRT((1-NORMSDIST(Q$9*SQRT($C$11)*NORMSINV($B288)+SQRT(1-Q$9^2*$C$11)*NORMSINV(P288)))*(Q$7-Q$5)*(Q$7-Q$6))))</f>
        <v>0.107978782624043</v>
      </c>
      <c r="R288" s="2" t="n">
        <v>0.761686586</v>
      </c>
      <c r="S288" s="2" t="n">
        <f aca="false">IF(S$7=S$5,S$6,IF(NORMSDIST(S$9*SQRT($C$11)*NORMSINV($B288)+SQRT(1-S$9^2*$C$11)*NORMSINV(R288))&lt;S$8,S$5+SQRT(NORMSDIST(S$9*SQRT($C$11)*NORMSINV($B288)+SQRT(1-S$9^2*$C$11)*NORMSINV(R288))*(S$7-S$5)*(S$6-S$5)),S$7-SQRT((1-NORMSDIST(S$9*SQRT($C$11)*NORMSINV($B288)+SQRT(1-S$9^2*$C$11)*NORMSINV(R288)))*(S$7-S$5)*(S$7-S$6))))</f>
        <v>0.609332898893226</v>
      </c>
      <c r="T288" s="2" t="n">
        <v>0.520133642</v>
      </c>
      <c r="U288" s="2" t="n">
        <f aca="false">IF(U$7=U$5,U$6,IF(NORMSDIST(U$9*SQRT($C$11)*NORMSINV($B288)+SQRT(1-U$9^2*$C$11)*NORMSINV(T288))&lt;U$8,U$5+SQRT(NORMSDIST(U$9*SQRT($C$11)*NORMSINV($B288)+SQRT(1-U$9^2*$C$11)*NORMSINV(T288))*(U$7-U$5)*(U$6-U$5)),U$7-SQRT((1-NORMSDIST(U$9*SQRT($C$11)*NORMSINV($B288)+SQRT(1-U$9^2*$C$11)*NORMSINV(T288)))*(U$7-U$5)*(U$7-U$6))))</f>
        <v>0.499437655600585</v>
      </c>
      <c r="V288" s="2" t="n">
        <v>0.691861797</v>
      </c>
      <c r="W288" s="2" t="n">
        <f aca="false">IF(W$7=W$5,W$6,IF(NORMSDIST(W$9*SQRT($C$11)*NORMSINV($B288)+SQRT(1-W$9^2*$C$11)*NORMSINV(V288))&lt;W$8,W$5+SQRT(NORMSDIST(W$9*SQRT($C$11)*NORMSINV($B288)+SQRT(1-W$9^2*$C$11)*NORMSINV(V288))*(W$7-W$5)*(W$6-W$5)),W$7-SQRT((1-NORMSDIST(W$9*SQRT($C$11)*NORMSINV($B288)+SQRT(1-W$9^2*$C$11)*NORMSINV(V288)))*(W$7-W$5)*(W$7-W$6))))</f>
        <v>10.2921895809036</v>
      </c>
      <c r="X288" s="2" t="n">
        <v>0.559857889</v>
      </c>
      <c r="Y288" s="2" t="n">
        <f aca="false">IF(Y$7=Y$5,Y$6,IF(NORMSDIST(Y$9*SQRT($C$11)*NORMSINV($B288)+SQRT(1-Y$9^2*$C$11)*NORMSINV(X288))&lt;Y$8,Y$5+SQRT(NORMSDIST(Y$9*SQRT($C$11)*NORMSINV($B288)+SQRT(1-Y$9^2*$C$11)*NORMSINV(X288))*(Y$7-Y$5)*(Y$6-Y$5)),Y$7-SQRT((1-NORMSDIST(Y$9*SQRT($C$11)*NORMSINV($B288)+SQRT(1-Y$9^2*$C$11)*NORMSINV(X288)))*(Y$7-Y$5)*(Y$7-Y$6))))</f>
        <v>0.53088268471522</v>
      </c>
      <c r="Z288" s="2" t="n">
        <v>0.664755567</v>
      </c>
      <c r="AA288" s="2" t="n">
        <f aca="false">IF(AA$7=AA$5,AA$6,IF(NORMSDIST(AA$9*SQRT($C$11)*NORMSINV($B288)+SQRT(1-AA$9^2*$C$11)*NORMSINV(Z288))&lt;AA$8,AA$5+SQRT(NORMSDIST(AA$9*SQRT($C$11)*NORMSINV($B288)+SQRT(1-AA$9^2*$C$11)*NORMSINV(Z288))*(AA$7-AA$5)*(AA$6-AA$5)),AA$7-SQRT((1-NORMSDIST(AA$9*SQRT($C$11)*NORMSINV($B288)+SQRT(1-AA$9^2*$C$11)*NORMSINV(Z288)))*(AA$7-AA$5)*(AA$7-AA$6))))</f>
        <v>0.73156753278411</v>
      </c>
      <c r="AB288" s="2" t="n">
        <v>0.396137923</v>
      </c>
      <c r="AC288" s="2" t="n">
        <f aca="false">IF(AC$7=AC$5,AC$6,IF(NORMSDIST(AC$9*SQRT($C$11)*NORMSINV($B288)+SQRT(1-AC$9^2*$C$11)*NORMSINV(AB288))&lt;AC$8,AC$5+SQRT(NORMSDIST(AC$9*SQRT($C$11)*NORMSINV($B288)+SQRT(1-AC$9^2*$C$11)*NORMSINV(AB288))*(AC$7-AC$5)*(AC$6-AC$5)),AC$7-SQRT((1-NORMSDIST(AC$9*SQRT($C$11)*NORMSINV($B288)+SQRT(1-AC$9^2*$C$11)*NORMSINV(AB288)))*(AC$7-AC$5)*(AC$7-AC$6))))</f>
        <v>9.26569306767204</v>
      </c>
      <c r="AD288" s="2" t="n">
        <f aca="false">Entrées!$C$8*(1+E288)</f>
        <v>7426.57532226657</v>
      </c>
      <c r="AE288" s="2" t="n">
        <f aca="false">I288*Hypothèses!$J$24/12/Hypothèses!$J$19</f>
        <v>91.7495099082342</v>
      </c>
      <c r="AF288" s="2" t="n">
        <f aca="false">Entrées!$C$36*S288*1000</f>
        <v>304.666449446613</v>
      </c>
      <c r="AG288" s="2" t="n">
        <f aca="false">-AF288/W288</f>
        <v>-29.6017137122989</v>
      </c>
      <c r="AH288" s="2" t="n">
        <f aca="false">AD288+AE288+AG288</f>
        <v>7488.7231184625</v>
      </c>
      <c r="AI288" s="2" t="n">
        <f aca="false">Entrées!$C$16-M288+Hypothèses!$J$22*1000-AF288+Hypothèses!$J$23</f>
        <v>22695.4390509807</v>
      </c>
      <c r="AJ288" s="2" t="n">
        <f aca="false">AI288/AH288</f>
        <v>3.03061532546556</v>
      </c>
      <c r="AK288" s="2" t="n">
        <f aca="false">AI288/(AH288+I288*(12-Hypothèses!$J$24)/12/Hypothèses!$J$19)</f>
        <v>3.00432386620177</v>
      </c>
      <c r="AL288" s="2" t="n">
        <f aca="false">(AD288+AG288+I288/Hypothèses!$J$19)*(1+G288)</f>
        <v>7922.82567816884</v>
      </c>
      <c r="AM288" s="2" t="n">
        <f aca="false">Entrées!$C$54*K288/Hypothèses!$J$19</f>
        <v>18.2982846120853</v>
      </c>
      <c r="AN288" s="2" t="n">
        <f aca="false">Y288*1000/AC288</f>
        <v>57.2955180835276</v>
      </c>
      <c r="AO288" s="2" t="n">
        <f aca="false">(Entrées!$C$36*(1-S288)+MAX(0,Entrées!$C$30-Entrées!$C$35-Entrées!$C$36)*U288)*1000</f>
        <v>894.546268394206</v>
      </c>
      <c r="AP288" s="2" t="n">
        <f aca="false">-AO288/W288</f>
        <v>-86.9150593624871</v>
      </c>
      <c r="AQ288" s="2" t="n">
        <f aca="false">AL288+AM288+AN288+AP288</f>
        <v>7911.50442150196</v>
      </c>
      <c r="AR288" s="2" t="n">
        <f aca="false">O288*AQ288-Hypothèses!$J$25/Hypothèses!$J$19</f>
        <v>1347.1053503491</v>
      </c>
      <c r="AS288" s="2" t="n">
        <f aca="false">Entrées!$C$79*(1+Q288)+Hypothèses!$J$20</f>
        <v>1512.66868210382</v>
      </c>
      <c r="AT288" s="2" t="n">
        <f aca="false">AI288-AR288+AS288+Y288*1000-AO288+Hypothèses!$J$23</f>
        <v>22497.3387990564</v>
      </c>
      <c r="AU288" s="2" t="n">
        <f aca="false">AT288/AQ288</f>
        <v>2.84362336168491</v>
      </c>
      <c r="AV288" s="2" t="n">
        <f aca="false">Hypothèses!$J$26*AQ288-AT288</f>
        <v>1237.17446544946</v>
      </c>
      <c r="AW288" s="2" t="n">
        <f aca="false">IF(AC288&gt;Hypothèses!$J$26,MAX(0,AV288)/(1-Hypothèses!$J$26/AC288),0)</f>
        <v>1829.5308666109</v>
      </c>
      <c r="AX288" s="2" t="n">
        <f aca="false">AQ288-Entrées!$C$17*1000</f>
        <v>-88.4955784980375</v>
      </c>
      <c r="AY288" s="2" t="n">
        <f aca="false">AI288+(Entrées!$C$244-Entrées!$C$13)</f>
        <v>28442.4390509807</v>
      </c>
      <c r="AZ288" s="2" t="n">
        <f aca="false">AA288*AH288</f>
        <v>5478.50669547694</v>
      </c>
      <c r="BA288" s="2" t="n">
        <f aca="false">AZ288/AY288</f>
        <v>0.192617330941878</v>
      </c>
      <c r="BB288" s="2" t="n">
        <f aca="false">AZ288/(Entrées!$C$151/100)-AY288</f>
        <v>1993.70925722452</v>
      </c>
      <c r="BC288" s="2" t="n">
        <f aca="false">AT288+(Entrées!$C$244-Entrées!$C$13)</f>
        <v>28244.3387990564</v>
      </c>
      <c r="BD288" s="2" t="n">
        <f aca="false">AA288*AQ288</f>
        <v>5787.79977024876</v>
      </c>
      <c r="BE288" s="2" t="n">
        <f aca="false">BD288/BC288</f>
        <v>0.20491893300905</v>
      </c>
      <c r="BF288" s="2" t="n">
        <f aca="false">BD288/(Entrées!$C$151/100)-BC288</f>
        <v>3910.10436899226</v>
      </c>
      <c r="BG288" s="2" t="n">
        <f aca="false">MIN(AV288,BF288)</f>
        <v>1237.17446544946</v>
      </c>
      <c r="BH288" s="2" t="n">
        <f aca="false">IF(AC288&gt;Hypothèses!$J$26,MAX(0,BG288)/(1-Hypothèses!$J$26/AC288),0)</f>
        <v>1829.5308666109</v>
      </c>
    </row>
    <row r="289" customFormat="false" ht="15" hidden="false" customHeight="false" outlineLevel="0" collapsed="false">
      <c r="A289" s="2" t="n">
        <v>274</v>
      </c>
      <c r="B289" s="2" t="n">
        <v>0.725926845</v>
      </c>
      <c r="C289" s="2"/>
      <c r="D289" s="2" t="n">
        <v>0.876366978</v>
      </c>
      <c r="E289" s="2" t="n">
        <f aca="false">IF(E$7=E$5,E$6,IF(NORMSDIST(E$9*SQRT($C$11)*NORMSINV($B289)+SQRT(1-E$9^2*$C$11)*NORMSINV(D289))&lt;E$8,E$5+SQRT(NORMSDIST(E$9*SQRT($C$11)*NORMSINV($B289)+SQRT(1-E$9^2*$C$11)*NORMSINV(D289))*(E$7-E$5)*(E$6-E$5)),E$7-SQRT((1-NORMSDIST(E$9*SQRT($C$11)*NORMSINV($B289)+SQRT(1-E$9^2*$C$11)*NORMSINV(D289)))*(E$7-E$5)*(E$7-E$6))))</f>
        <v>0.0577530962748997</v>
      </c>
      <c r="F289" s="2" t="n">
        <v>0.935282518</v>
      </c>
      <c r="G289" s="2" t="n">
        <f aca="false">IF(G$7=G$5,G$6,IF(NORMSDIST(G$9*SQRT($C$11)*NORMSINV($B289)+SQRT(1-G$9^2*$C$11)*NORMSINV(F289))&lt;G$8,G$5+SQRT(NORMSDIST(G$9*SQRT($C$11)*NORMSINV($B289)+SQRT(1-G$9^2*$C$11)*NORMSINV(F289))*(G$7-G$5)*(G$6-G$5)),G$7-SQRT((1-NORMSDIST(G$9*SQRT($C$11)*NORMSINV($B289)+SQRT(1-G$9^2*$C$11)*NORMSINV(F289)))*(G$7-G$5)*(G$7-G$6))))</f>
        <v>0.0648017246046631</v>
      </c>
      <c r="H289" s="2" t="n">
        <v>0.628800256</v>
      </c>
      <c r="I289" s="2" t="n">
        <f aca="false">IF(I$7=I$5,I$6,IF(NORMSDIST(I$9*SQRT($C$11)*NORMSINV($B289)+SQRT(1-I$9^2*$C$11)*NORMSINV(H289))&lt;I$8,I$5+SQRT(NORMSDIST(I$9*SQRT($C$11)*NORMSINV($B289)+SQRT(1-I$9^2*$C$11)*NORMSINV(H289))*(I$7-I$5)*(I$6-I$5)),I$7-SQRT((1-NORMSDIST(I$9*SQRT($C$11)*NORMSINV($B289)+SQRT(1-I$9^2*$C$11)*NORMSINV(H289)))*(I$7-I$5)*(I$7-I$6))))</f>
        <v>205.497379911764</v>
      </c>
      <c r="J289" s="2" t="n">
        <v>0.507247163</v>
      </c>
      <c r="K289" s="2" t="n">
        <f aca="false">IF(K$7=K$5,K$6,IF(NORMSDIST(K$9*SQRT($C$11)*NORMSINV($B289)+SQRT(1-K$9^2*$C$11)*NORMSINV(J289))&lt;K$8,K$5+SQRT(NORMSDIST(K$9*SQRT($C$11)*NORMSINV($B289)+SQRT(1-K$9^2*$C$11)*NORMSINV(J289))*(K$7-K$5)*(K$6-K$5)),K$7-SQRT((1-NORMSDIST(K$9*SQRT($C$11)*NORMSINV($B289)+SQRT(1-K$9^2*$C$11)*NORMSINV(J289)))*(K$7-K$5)*(K$7-K$6))))</f>
        <v>0.291783695332669</v>
      </c>
      <c r="L289" s="2" t="n">
        <v>0.54357242</v>
      </c>
      <c r="M289" s="2" t="n">
        <f aca="false">IF(M$7=M$5,M$6,IF(NORMSDIST(M$9*SQRT($C$11)*NORMSINV($B289)+SQRT(1-M$9^2*$C$11)*NORMSINV(L289))&lt;M$8,M$5+SQRT(NORMSDIST(M$9*SQRT($C$11)*NORMSINV($B289)+SQRT(1-M$9^2*$C$11)*NORMSINV(L289))*(M$7-M$5)*(M$6-M$5)),M$7-SQRT((1-NORMSDIST(M$9*SQRT($C$11)*NORMSINV($B289)+SQRT(1-M$9^2*$C$11)*NORMSINV(L289)))*(M$7-M$5)*(M$7-M$6))))</f>
        <v>1632.01360336097</v>
      </c>
      <c r="N289" s="2" t="n">
        <v>0.150540194</v>
      </c>
      <c r="O289" s="2" t="n">
        <f aca="false">IF(O$7=O$5,O$6,IF(NORMSDIST(O$9*SQRT($C$11)*NORMSINV($B289)+SQRT(1-O$9^2*$C$11)*NORMSINV(N289))&lt;O$8,O$5+SQRT(NORMSDIST(O$9*SQRT($C$11)*NORMSINV($B289)+SQRT(1-O$9^2*$C$11)*NORMSINV(N289))*(O$7-O$5)*(O$6-O$5)),O$7-SQRT((1-NORMSDIST(O$9*SQRT($C$11)*NORMSINV($B289)+SQRT(1-O$9^2*$C$11)*NORMSINV(N289)))*(O$7-O$5)*(O$7-O$6))))</f>
        <v>0.161982897897495</v>
      </c>
      <c r="P289" s="2" t="n">
        <v>0.038791832</v>
      </c>
      <c r="Q289" s="2" t="n">
        <f aca="false">IF(Q$7=Q$5,Q$6,IF(NORMSDIST(Q$9*SQRT($C$11)*NORMSINV($B289)+SQRT(1-Q$9^2*$C$11)*NORMSINV(P289))&lt;Q$8,Q$5+SQRT(NORMSDIST(Q$9*SQRT($C$11)*NORMSINV($B289)+SQRT(1-Q$9^2*$C$11)*NORMSINV(P289))*(Q$7-Q$5)*(Q$6-Q$5)),Q$7-SQRT((1-NORMSDIST(Q$9*SQRT($C$11)*NORMSINV($B289)+SQRT(1-Q$9^2*$C$11)*NORMSINV(P289)))*(Q$7-Q$5)*(Q$7-Q$6))))</f>
        <v>0.0511415377035668</v>
      </c>
      <c r="R289" s="2" t="n">
        <v>0.025074384</v>
      </c>
      <c r="S289" s="2" t="n">
        <f aca="false">IF(S$7=S$5,S$6,IF(NORMSDIST(S$9*SQRT($C$11)*NORMSINV($B289)+SQRT(1-S$9^2*$C$11)*NORMSINV(R289))&lt;S$8,S$5+SQRT(NORMSDIST(S$9*SQRT($C$11)*NORMSINV($B289)+SQRT(1-S$9^2*$C$11)*NORMSINV(R289))*(S$7-S$5)*(S$6-S$5)),S$7-SQRT((1-NORMSDIST(S$9*SQRT($C$11)*NORMSINV($B289)+SQRT(1-S$9^2*$C$11)*NORMSINV(R289)))*(S$7-S$5)*(S$7-S$6))))</f>
        <v>0.252674999277408</v>
      </c>
      <c r="T289" s="2" t="n">
        <v>0.391031767</v>
      </c>
      <c r="U289" s="2" t="n">
        <f aca="false">IF(U$7=U$5,U$6,IF(NORMSDIST(U$9*SQRT($C$11)*NORMSINV($B289)+SQRT(1-U$9^2*$C$11)*NORMSINV(T289))&lt;U$8,U$5+SQRT(NORMSDIST(U$9*SQRT($C$11)*NORMSINV($B289)+SQRT(1-U$9^2*$C$11)*NORMSINV(T289))*(U$7-U$5)*(U$6-U$5)),U$7-SQRT((1-NORMSDIST(U$9*SQRT($C$11)*NORMSINV($B289)+SQRT(1-U$9^2*$C$11)*NORMSINV(T289)))*(U$7-U$5)*(U$7-U$6))))</f>
        <v>0.534027660630287</v>
      </c>
      <c r="V289" s="2" t="n">
        <v>0.026699856</v>
      </c>
      <c r="W289" s="2" t="n">
        <f aca="false">IF(W$7=W$5,W$6,IF(NORMSDIST(W$9*SQRT($C$11)*NORMSINV($B289)+SQRT(1-W$9^2*$C$11)*NORMSINV(V289))&lt;W$8,W$5+SQRT(NORMSDIST(W$9*SQRT($C$11)*NORMSINV($B289)+SQRT(1-W$9^2*$C$11)*NORMSINV(V289))*(W$7-W$5)*(W$6-W$5)),W$7-SQRT((1-NORMSDIST(W$9*SQRT($C$11)*NORMSINV($B289)+SQRT(1-W$9^2*$C$11)*NORMSINV(V289)))*(W$7-W$5)*(W$7-W$6))))</f>
        <v>9.02806231248477</v>
      </c>
      <c r="X289" s="2" t="n">
        <v>0.736697901</v>
      </c>
      <c r="Y289" s="2" t="n">
        <f aca="false">IF(Y$7=Y$5,Y$6,IF(NORMSDIST(Y$9*SQRT($C$11)*NORMSINV($B289)+SQRT(1-Y$9^2*$C$11)*NORMSINV(X289))&lt;Y$8,Y$5+SQRT(NORMSDIST(Y$9*SQRT($C$11)*NORMSINV($B289)+SQRT(1-Y$9^2*$C$11)*NORMSINV(X289))*(Y$7-Y$5)*(Y$6-Y$5)),Y$7-SQRT((1-NORMSDIST(Y$9*SQRT($C$11)*NORMSINV($B289)+SQRT(1-Y$9^2*$C$11)*NORMSINV(X289)))*(Y$7-Y$5)*(Y$7-Y$6))))</f>
        <v>0.637162502626865</v>
      </c>
      <c r="Z289" s="2" t="n">
        <v>0.625846655</v>
      </c>
      <c r="AA289" s="2" t="n">
        <f aca="false">IF(AA$7=AA$5,AA$6,IF(NORMSDIST(AA$9*SQRT($C$11)*NORMSINV($B289)+SQRT(1-AA$9^2*$C$11)*NORMSINV(Z289))&lt;AA$8,AA$5+SQRT(NORMSDIST(AA$9*SQRT($C$11)*NORMSINV($B289)+SQRT(1-AA$9^2*$C$11)*NORMSINV(Z289))*(AA$7-AA$5)*(AA$6-AA$5)),AA$7-SQRT((1-NORMSDIST(AA$9*SQRT($C$11)*NORMSINV($B289)+SQRT(1-AA$9^2*$C$11)*NORMSINV(Z289)))*(AA$7-AA$5)*(AA$7-AA$6))))</f>
        <v>0.735418210446475</v>
      </c>
      <c r="AB289" s="2" t="n">
        <v>0.374704897</v>
      </c>
      <c r="AC289" s="2" t="n">
        <f aca="false">IF(AC$7=AC$5,AC$6,IF(NORMSDIST(AC$9*SQRT($C$11)*NORMSINV($B289)+SQRT(1-AC$9^2*$C$11)*NORMSINV(AB289))&lt;AC$8,AC$5+SQRT(NORMSDIST(AC$9*SQRT($C$11)*NORMSINV($B289)+SQRT(1-AC$9^2*$C$11)*NORMSINV(AB289))*(AC$7-AC$5)*(AC$6-AC$5)),AC$7-SQRT((1-NORMSDIST(AC$9*SQRT($C$11)*NORMSINV($B289)+SQRT(1-AC$9^2*$C$11)*NORMSINV(AB289)))*(AC$7-AC$5)*(AC$7-AC$6))))</f>
        <v>9.58518139378813</v>
      </c>
      <c r="AD289" s="2" t="n">
        <f aca="false">Entrées!$C$8*(1+E289)</f>
        <v>7457.15932873804</v>
      </c>
      <c r="AE289" s="2" t="n">
        <f aca="false">I289*Hypothèses!$J$24/12/Hypothèses!$J$19</f>
        <v>101.946592454275</v>
      </c>
      <c r="AF289" s="2" t="n">
        <f aca="false">Entrées!$C$36*S289*1000</f>
        <v>126.337499638704</v>
      </c>
      <c r="AG289" s="2" t="n">
        <f aca="false">-AF289/W289</f>
        <v>-13.9938665979292</v>
      </c>
      <c r="AH289" s="2" t="n">
        <f aca="false">AD289+AE289+AG289</f>
        <v>7545.11205459439</v>
      </c>
      <c r="AI289" s="2" t="n">
        <f aca="false">Entrées!$C$16-M289+Hypothèses!$J$22*1000-AF289+Hypothèses!$J$23</f>
        <v>22789.6488970003</v>
      </c>
      <c r="AJ289" s="2" t="n">
        <f aca="false">AI289/AH289</f>
        <v>3.02045201344932</v>
      </c>
      <c r="AK289" s="2" t="n">
        <f aca="false">AI289/(AH289+I289*(12-Hypothèses!$J$24)/12/Hypothèses!$J$19)</f>
        <v>2.99157983313329</v>
      </c>
      <c r="AL289" s="2" t="n">
        <f aca="false">(AD289+AG289+I289/Hypothèses!$J$19)*(1+G289)</f>
        <v>8111.58611911245</v>
      </c>
      <c r="AM289" s="2" t="n">
        <f aca="false">Entrées!$C$54*K289/Hypothèses!$J$19</f>
        <v>29.7777512292664</v>
      </c>
      <c r="AN289" s="2" t="n">
        <f aca="false">Y289*1000/AC289</f>
        <v>66.4737031518038</v>
      </c>
      <c r="AO289" s="2" t="n">
        <f aca="false">(Entrées!$C$36*(1-S289)+MAX(0,Entrées!$C$30-Entrées!$C$35-Entrées!$C$36)*U289)*1000</f>
        <v>1121.3012252437</v>
      </c>
      <c r="AP289" s="2" t="n">
        <f aca="false">-AO289/W289</f>
        <v>-124.201759628206</v>
      </c>
      <c r="AQ289" s="2" t="n">
        <f aca="false">AL289+AM289+AN289+AP289</f>
        <v>8083.63581386532</v>
      </c>
      <c r="AR289" s="2" t="n">
        <f aca="false">O289*AQ289-Hypothèses!$J$25/Hypothèses!$J$19</f>
        <v>1290.27559241626</v>
      </c>
      <c r="AS289" s="2" t="n">
        <f aca="false">Entrées!$C$79*(1+Q289)+Hypothèses!$J$20</f>
        <v>1450.20454993622</v>
      </c>
      <c r="AT289" s="2" t="n">
        <f aca="false">AI289-AR289+AS289+Y289*1000-AO289+Hypothèses!$J$23</f>
        <v>22465.4391319035</v>
      </c>
      <c r="AU289" s="2" t="n">
        <f aca="false">AT289/AQ289</f>
        <v>2.77912558769286</v>
      </c>
      <c r="AV289" s="2" t="n">
        <f aca="false">Hypothèses!$J$26*AQ289-AT289</f>
        <v>1785.46830969249</v>
      </c>
      <c r="AW289" s="2" t="n">
        <f aca="false">IF(AC289&gt;Hypothèses!$J$26,MAX(0,AV289)/(1-Hypothèses!$J$26/AC289),0)</f>
        <v>2598.8711013195</v>
      </c>
      <c r="AX289" s="2" t="n">
        <f aca="false">AQ289-Entrées!$C$17*1000</f>
        <v>83.6358138653177</v>
      </c>
      <c r="AY289" s="2" t="n">
        <f aca="false">AI289+(Entrées!$C$244-Entrées!$C$13)</f>
        <v>28536.6488970003</v>
      </c>
      <c r="AZ289" s="2" t="n">
        <f aca="false">AA289*AH289</f>
        <v>5548.81280480793</v>
      </c>
      <c r="BA289" s="2" t="n">
        <f aca="false">AZ289/AY289</f>
        <v>0.194445144026396</v>
      </c>
      <c r="BB289" s="2" t="n">
        <f aca="false">AZ289/(Entrées!$C$151/100)-AY289</f>
        <v>2290.08890748816</v>
      </c>
      <c r="BC289" s="2" t="n">
        <f aca="false">AT289+(Entrées!$C$244-Entrées!$C$13)</f>
        <v>28212.4391319035</v>
      </c>
      <c r="BD289" s="2" t="n">
        <f aca="false">AA289*AQ289</f>
        <v>5944.85298413386</v>
      </c>
      <c r="BE289" s="2" t="n">
        <f aca="false">BD289/BC289</f>
        <v>0.210717441208805</v>
      </c>
      <c r="BF289" s="2" t="n">
        <f aca="false">BD289/(Entrées!$C$151/100)-BC289</f>
        <v>4814.52189106244</v>
      </c>
      <c r="BG289" s="2" t="n">
        <f aca="false">MIN(AV289,BF289)</f>
        <v>1785.46830969249</v>
      </c>
      <c r="BH289" s="2" t="n">
        <f aca="false">IF(AC289&gt;Hypothèses!$J$26,MAX(0,BG289)/(1-Hypothèses!$J$26/AC289),0)</f>
        <v>2598.8711013195</v>
      </c>
    </row>
    <row r="290" customFormat="false" ht="15" hidden="false" customHeight="false" outlineLevel="0" collapsed="false">
      <c r="A290" s="2" t="n">
        <v>275</v>
      </c>
      <c r="B290" s="2" t="n">
        <v>0.068535065</v>
      </c>
      <c r="C290" s="2"/>
      <c r="D290" s="2" t="n">
        <v>0.116621635</v>
      </c>
      <c r="E290" s="2" t="n">
        <f aca="false">IF(E$7=E$5,E$6,IF(NORMSDIST(E$9*SQRT($C$11)*NORMSINV($B290)+SQRT(1-E$9^2*$C$11)*NORMSINV(D290))&lt;E$8,E$5+SQRT(NORMSDIST(E$9*SQRT($C$11)*NORMSINV($B290)+SQRT(1-E$9^2*$C$11)*NORMSINV(D290))*(E$7-E$5)*(E$6-E$5)),E$7-SQRT((1-NORMSDIST(E$9*SQRT($C$11)*NORMSINV($B290)+SQRT(1-E$9^2*$C$11)*NORMSINV(D290)))*(E$7-E$5)*(E$7-E$6))))</f>
        <v>0.0512486606844412</v>
      </c>
      <c r="F290" s="2" t="n">
        <v>0.667269392</v>
      </c>
      <c r="G290" s="2" t="n">
        <f aca="false">IF(G$7=G$5,G$6,IF(NORMSDIST(G$9*SQRT($C$11)*NORMSINV($B290)+SQRT(1-G$9^2*$C$11)*NORMSINV(F290))&lt;G$8,G$5+SQRT(NORMSDIST(G$9*SQRT($C$11)*NORMSINV($B290)+SQRT(1-G$9^2*$C$11)*NORMSINV(F290))*(G$7-G$5)*(G$6-G$5)),G$7-SQRT((1-NORMSDIST(G$9*SQRT($C$11)*NORMSINV($B290)+SQRT(1-G$9^2*$C$11)*NORMSINV(F290)))*(G$7-G$5)*(G$7-G$6))))</f>
        <v>0.0510727054586444</v>
      </c>
      <c r="H290" s="2" t="n">
        <v>0.618025788</v>
      </c>
      <c r="I290" s="2" t="n">
        <f aca="false">IF(I$7=I$5,I$6,IF(NORMSDIST(I$9*SQRT($C$11)*NORMSINV($B290)+SQRT(1-I$9^2*$C$11)*NORMSINV(H290))&lt;I$8,I$5+SQRT(NORMSDIST(I$9*SQRT($C$11)*NORMSINV($B290)+SQRT(1-I$9^2*$C$11)*NORMSINV(H290))*(I$7-I$5)*(I$6-I$5)),I$7-SQRT((1-NORMSDIST(I$9*SQRT($C$11)*NORMSINV($B290)+SQRT(1-I$9^2*$C$11)*NORMSINV(H290)))*(I$7-I$5)*(I$7-I$6))))</f>
        <v>193.8437078927</v>
      </c>
      <c r="J290" s="2" t="n">
        <v>0.686721767</v>
      </c>
      <c r="K290" s="2" t="n">
        <f aca="false">IF(K$7=K$5,K$6,IF(NORMSDIST(K$9*SQRT($C$11)*NORMSINV($B290)+SQRT(1-K$9^2*$C$11)*NORMSINV(J290))&lt;K$8,K$5+SQRT(NORMSDIST(K$9*SQRT($C$11)*NORMSINV($B290)+SQRT(1-K$9^2*$C$11)*NORMSINV(J290))*(K$7-K$5)*(K$6-K$5)),K$7-SQRT((1-NORMSDIST(K$9*SQRT($C$11)*NORMSINV($B290)+SQRT(1-K$9^2*$C$11)*NORMSINV(J290)))*(K$7-K$5)*(K$7-K$6))))</f>
        <v>0.189265803055567</v>
      </c>
      <c r="L290" s="2" t="n">
        <v>0.137419319</v>
      </c>
      <c r="M290" s="2" t="n">
        <f aca="false">IF(M$7=M$5,M$6,IF(NORMSDIST(M$9*SQRT($C$11)*NORMSINV($B290)+SQRT(1-M$9^2*$C$11)*NORMSINV(L290))&lt;M$8,M$5+SQRT(NORMSDIST(M$9*SQRT($C$11)*NORMSINV($B290)+SQRT(1-M$9^2*$C$11)*NORMSINV(L290))*(M$7-M$5)*(M$6-M$5)),M$7-SQRT((1-NORMSDIST(M$9*SQRT($C$11)*NORMSINV($B290)+SQRT(1-M$9^2*$C$11)*NORMSINV(L290)))*(M$7-M$5)*(M$7-M$6))))</f>
        <v>1379.98985222676</v>
      </c>
      <c r="N290" s="2" t="n">
        <v>0.088027264</v>
      </c>
      <c r="O290" s="2" t="n">
        <f aca="false">IF(O$7=O$5,O$6,IF(NORMSDIST(O$9*SQRT($C$11)*NORMSINV($B290)+SQRT(1-O$9^2*$C$11)*NORMSINV(N290))&lt;O$8,O$5+SQRT(NORMSDIST(O$9*SQRT($C$11)*NORMSINV($B290)+SQRT(1-O$9^2*$C$11)*NORMSINV(N290))*(O$7-O$5)*(O$6-O$5)),O$7-SQRT((1-NORMSDIST(O$9*SQRT($C$11)*NORMSINV($B290)+SQRT(1-O$9^2*$C$11)*NORMSINV(N290)))*(O$7-O$5)*(O$7-O$6))))</f>
        <v>0.145792625370202</v>
      </c>
      <c r="P290" s="2" t="n">
        <v>0.621027176</v>
      </c>
      <c r="Q290" s="2" t="n">
        <f aca="false">IF(Q$7=Q$5,Q$6,IF(NORMSDIST(Q$9*SQRT($C$11)*NORMSINV($B290)+SQRT(1-Q$9^2*$C$11)*NORMSINV(P290))&lt;Q$8,Q$5+SQRT(NORMSDIST(Q$9*SQRT($C$11)*NORMSINV($B290)+SQRT(1-Q$9^2*$C$11)*NORMSINV(P290))*(Q$7-Q$5)*(Q$6-Q$5)),Q$7-SQRT((1-NORMSDIST(Q$9*SQRT($C$11)*NORMSINV($B290)+SQRT(1-Q$9^2*$C$11)*NORMSINV(P290)))*(Q$7-Q$5)*(Q$7-Q$6))))</f>
        <v>0.0851759704112232</v>
      </c>
      <c r="R290" s="2" t="n">
        <v>0.907300518</v>
      </c>
      <c r="S290" s="2" t="n">
        <f aca="false">IF(S$7=S$5,S$6,IF(NORMSDIST(S$9*SQRT($C$11)*NORMSINV($B290)+SQRT(1-S$9^2*$C$11)*NORMSINV(R290))&lt;S$8,S$5+SQRT(NORMSDIST(S$9*SQRT($C$11)*NORMSINV($B290)+SQRT(1-S$9^2*$C$11)*NORMSINV(R290))*(S$7-S$5)*(S$6-S$5)),S$7-SQRT((1-NORMSDIST(S$9*SQRT($C$11)*NORMSINV($B290)+SQRT(1-S$9^2*$C$11)*NORMSINV(R290)))*(S$7-S$5)*(S$7-S$6))))</f>
        <v>0.517330365577563</v>
      </c>
      <c r="T290" s="2" t="n">
        <v>0.695175789</v>
      </c>
      <c r="U290" s="2" t="n">
        <f aca="false">IF(U$7=U$5,U$6,IF(NORMSDIST(U$9*SQRT($C$11)*NORMSINV($B290)+SQRT(1-U$9^2*$C$11)*NORMSINV(T290))&lt;U$8,U$5+SQRT(NORMSDIST(U$9*SQRT($C$11)*NORMSINV($B290)+SQRT(1-U$9^2*$C$11)*NORMSINV(T290))*(U$7-U$5)*(U$6-U$5)),U$7-SQRT((1-NORMSDIST(U$9*SQRT($C$11)*NORMSINV($B290)+SQRT(1-U$9^2*$C$11)*NORMSINV(T290)))*(U$7-U$5)*(U$7-U$6))))</f>
        <v>0.382708862175977</v>
      </c>
      <c r="V290" s="2" t="n">
        <v>0.015548525</v>
      </c>
      <c r="W290" s="2" t="n">
        <f aca="false">IF(W$7=W$5,W$6,IF(NORMSDIST(W$9*SQRT($C$11)*NORMSINV($B290)+SQRT(1-W$9^2*$C$11)*NORMSINV(V290))&lt;W$8,W$5+SQRT(NORMSDIST(W$9*SQRT($C$11)*NORMSINV($B290)+SQRT(1-W$9^2*$C$11)*NORMSINV(V290))*(W$7-W$5)*(W$6-W$5)),W$7-SQRT((1-NORMSDIST(W$9*SQRT($C$11)*NORMSINV($B290)+SQRT(1-W$9^2*$C$11)*NORMSINV(V290)))*(W$7-W$5)*(W$7-W$6))))</f>
        <v>8.19024433417963</v>
      </c>
      <c r="X290" s="2" t="n">
        <v>0.106396708</v>
      </c>
      <c r="Y290" s="2" t="n">
        <f aca="false">IF(Y$7=Y$5,Y$6,IF(NORMSDIST(Y$9*SQRT($C$11)*NORMSINV($B290)+SQRT(1-Y$9^2*$C$11)*NORMSINV(X290))&lt;Y$8,Y$5+SQRT(NORMSDIST(Y$9*SQRT($C$11)*NORMSINV($B290)+SQRT(1-Y$9^2*$C$11)*NORMSINV(X290))*(Y$7-Y$5)*(Y$6-Y$5)),Y$7-SQRT((1-NORMSDIST(Y$9*SQRT($C$11)*NORMSINV($B290)+SQRT(1-Y$9^2*$C$11)*NORMSINV(X290)))*(Y$7-Y$5)*(Y$7-Y$6))))</f>
        <v>0.230647683708291</v>
      </c>
      <c r="Z290" s="2" t="n">
        <v>0.367140997</v>
      </c>
      <c r="AA290" s="2" t="n">
        <f aca="false">IF(AA$7=AA$5,AA$6,IF(NORMSDIST(AA$9*SQRT($C$11)*NORMSINV($B290)+SQRT(1-AA$9^2*$C$11)*NORMSINV(Z290))&lt;AA$8,AA$5+SQRT(NORMSDIST(AA$9*SQRT($C$11)*NORMSINV($B290)+SQRT(1-AA$9^2*$C$11)*NORMSINV(Z290))*(AA$7-AA$5)*(AA$6-AA$5)),AA$7-SQRT((1-NORMSDIST(AA$9*SQRT($C$11)*NORMSINV($B290)+SQRT(1-AA$9^2*$C$11)*NORMSINV(Z290)))*(AA$7-AA$5)*(AA$7-AA$6))))</f>
        <v>0.710978637406246</v>
      </c>
      <c r="AB290" s="2" t="n">
        <v>0.970472709</v>
      </c>
      <c r="AC290" s="2" t="n">
        <f aca="false">IF(AC$7=AC$5,AC$6,IF(NORMSDIST(AC$9*SQRT($C$11)*NORMSINV($B290)+SQRT(1-AC$9^2*$C$11)*NORMSINV(AB290))&lt;AC$8,AC$5+SQRT(NORMSDIST(AC$9*SQRT($C$11)*NORMSINV($B290)+SQRT(1-AC$9^2*$C$11)*NORMSINV(AB290))*(AC$7-AC$5)*(AC$6-AC$5)),AC$7-SQRT((1-NORMSDIST(AC$9*SQRT($C$11)*NORMSINV($B290)+SQRT(1-AC$9^2*$C$11)*NORMSINV(AB290)))*(AC$7-AC$5)*(AC$7-AC$6))))</f>
        <v>9.8599598653891</v>
      </c>
      <c r="AD290" s="2" t="n">
        <f aca="false">Entrées!$C$8*(1+E290)</f>
        <v>7411.30305782531</v>
      </c>
      <c r="AE290" s="2" t="n">
        <f aca="false">I290*Hypothèses!$J$24/12/Hypothèses!$J$19</f>
        <v>96.1652430646457</v>
      </c>
      <c r="AF290" s="2" t="n">
        <f aca="false">Entrées!$C$36*S290*1000</f>
        <v>258.665182788782</v>
      </c>
      <c r="AG290" s="2" t="n">
        <f aca="false">-AF290/W290</f>
        <v>-31.5821082051627</v>
      </c>
      <c r="AH290" s="2" t="n">
        <f aca="false">AD290+AE290+AG290</f>
        <v>7475.88619268479</v>
      </c>
      <c r="AI290" s="2" t="n">
        <f aca="false">Entrées!$C$16-M290+Hypothèses!$J$22*1000-AF290+Hypothèses!$J$23</f>
        <v>22909.3449649845</v>
      </c>
      <c r="AJ290" s="2" t="n">
        <f aca="false">AI290/AH290</f>
        <v>3.06443201173948</v>
      </c>
      <c r="AK290" s="2" t="n">
        <f aca="false">AI290/(AH290+I290*(12-Hypothèses!$J$24)/12/Hypothèses!$J$19)</f>
        <v>3.03653194316644</v>
      </c>
      <c r="AL290" s="2" t="n">
        <f aca="false">(AD290+AG290+I290/Hypothèses!$J$19)*(1+G290)</f>
        <v>7929.89754210259</v>
      </c>
      <c r="AM290" s="2" t="n">
        <f aca="false">Entrées!$C$54*K290/Hypothèses!$J$19</f>
        <v>19.3153698775745</v>
      </c>
      <c r="AN290" s="2" t="n">
        <f aca="false">Y290*1000/AC290</f>
        <v>23.3923552283333</v>
      </c>
      <c r="AO290" s="2" t="n">
        <f aca="false">(Entrées!$C$36*(1-S290)+MAX(0,Entrées!$C$30-Entrées!$C$35-Entrées!$C$36)*U290)*1000</f>
        <v>777.127224257586</v>
      </c>
      <c r="AP290" s="2" t="n">
        <f aca="false">-AO290/W290</f>
        <v>-94.8844982578198</v>
      </c>
      <c r="AQ290" s="2" t="n">
        <f aca="false">AL290+AM290+AN290+AP290</f>
        <v>7877.72076895068</v>
      </c>
      <c r="AR290" s="2" t="n">
        <f aca="false">O290*AQ290-Hypothèses!$J$25/Hypothèses!$J$19</f>
        <v>1129.37843057706</v>
      </c>
      <c r="AS290" s="2" t="n">
        <f aca="false">Entrées!$C$79*(1+Q290)+Hypothèses!$J$20</f>
        <v>1487.60839148193</v>
      </c>
      <c r="AT290" s="2" t="n">
        <f aca="false">AI290-AR290+AS290+Y290*1000-AO290+Hypothèses!$J$23</f>
        <v>22721.09538534</v>
      </c>
      <c r="AU290" s="2" t="n">
        <f aca="false">AT290/AQ290</f>
        <v>2.88422197888673</v>
      </c>
      <c r="AV290" s="2" t="n">
        <f aca="false">Hypothèses!$J$26*AQ290-AT290</f>
        <v>912.066921511996</v>
      </c>
      <c r="AW290" s="2" t="n">
        <f aca="false">IF(AC290&gt;Hypothèses!$J$26,MAX(0,AV290)/(1-Hypothèses!$J$26/AC290),0)</f>
        <v>1310.93234029397</v>
      </c>
      <c r="AX290" s="2" t="n">
        <f aca="false">AQ290-Entrées!$C$17*1000</f>
        <v>-122.279231049321</v>
      </c>
      <c r="AY290" s="2" t="n">
        <f aca="false">AI290+(Entrées!$C$244-Entrées!$C$13)</f>
        <v>28656.3449649845</v>
      </c>
      <c r="AZ290" s="2" t="n">
        <f aca="false">AA290*AH290</f>
        <v>5315.1953786792</v>
      </c>
      <c r="BA290" s="2" t="n">
        <f aca="false">AZ290/AY290</f>
        <v>0.185480576297288</v>
      </c>
      <c r="BB290" s="2" t="n">
        <f aca="false">AZ290/(Entrées!$C$151/100)-AY290</f>
        <v>872.518249899982</v>
      </c>
      <c r="BC290" s="2" t="n">
        <f aca="false">AT290+(Entrées!$C$244-Entrées!$C$13)</f>
        <v>28468.09538534</v>
      </c>
      <c r="BD290" s="2" t="n">
        <f aca="false">AA290*AQ290</f>
        <v>5600.89117817544</v>
      </c>
      <c r="BE290" s="2" t="n">
        <f aca="false">BD290/BC290</f>
        <v>0.196742743143248</v>
      </c>
      <c r="BF290" s="2" t="n">
        <f aca="false">BD290/(Entrées!$C$151/100)-BC290</f>
        <v>2647.9667156346</v>
      </c>
      <c r="BG290" s="2" t="n">
        <f aca="false">MIN(AV290,BF290)</f>
        <v>912.066921511996</v>
      </c>
      <c r="BH290" s="2" t="n">
        <f aca="false">IF(AC290&gt;Hypothèses!$J$26,MAX(0,BG290)/(1-Hypothèses!$J$26/AC290),0)</f>
        <v>1310.93234029397</v>
      </c>
    </row>
    <row r="291" customFormat="false" ht="15" hidden="false" customHeight="false" outlineLevel="0" collapsed="false">
      <c r="A291" s="2" t="n">
        <v>276</v>
      </c>
      <c r="B291" s="2" t="n">
        <v>0.339648386</v>
      </c>
      <c r="C291" s="2"/>
      <c r="D291" s="2" t="n">
        <v>0.528352335</v>
      </c>
      <c r="E291" s="2" t="n">
        <f aca="false">IF(E$7=E$5,E$6,IF(NORMSDIST(E$9*SQRT($C$11)*NORMSINV($B291)+SQRT(1-E$9^2*$C$11)*NORMSINV(D291))&lt;E$8,E$5+SQRT(NORMSDIST(E$9*SQRT($C$11)*NORMSINV($B291)+SQRT(1-E$9^2*$C$11)*NORMSINV(D291))*(E$7-E$5)*(E$6-E$5)),E$7-SQRT((1-NORMSDIST(E$9*SQRT($C$11)*NORMSINV($B291)+SQRT(1-E$9^2*$C$11)*NORMSINV(D291)))*(E$7-E$5)*(E$7-E$6))))</f>
        <v>0.0545730119996914</v>
      </c>
      <c r="F291" s="2" t="n">
        <v>0.009379686</v>
      </c>
      <c r="G291" s="2" t="n">
        <f aca="false">IF(G$7=G$5,G$6,IF(NORMSDIST(G$9*SQRT($C$11)*NORMSINV($B291)+SQRT(1-G$9^2*$C$11)*NORMSINV(F291))&lt;G$8,G$5+SQRT(NORMSDIST(G$9*SQRT($C$11)*NORMSINV($B291)+SQRT(1-G$9^2*$C$11)*NORMSINV(F291))*(G$7-G$5)*(G$6-G$5)),G$7-SQRT((1-NORMSDIST(G$9*SQRT($C$11)*NORMSINV($B291)+SQRT(1-G$9^2*$C$11)*NORMSINV(F291)))*(G$7-G$5)*(G$7-G$6))))</f>
        <v>0.0428986672703076</v>
      </c>
      <c r="H291" s="2" t="n">
        <v>0.557139052</v>
      </c>
      <c r="I291" s="2" t="n">
        <f aca="false">IF(I$7=I$5,I$6,IF(NORMSDIST(I$9*SQRT($C$11)*NORMSINV($B291)+SQRT(1-I$9^2*$C$11)*NORMSINV(H291))&lt;I$8,I$5+SQRT(NORMSDIST(I$9*SQRT($C$11)*NORMSINV($B291)+SQRT(1-I$9^2*$C$11)*NORMSINV(H291))*(I$7-I$5)*(I$6-I$5)),I$7-SQRT((1-NORMSDIST(I$9*SQRT($C$11)*NORMSINV($B291)+SQRT(1-I$9^2*$C$11)*NORMSINV(H291)))*(I$7-I$5)*(I$7-I$6))))</f>
        <v>198.768577101134</v>
      </c>
      <c r="J291" s="2" t="n">
        <v>0.682503261</v>
      </c>
      <c r="K291" s="2" t="n">
        <f aca="false">IF(K$7=K$5,K$6,IF(NORMSDIST(K$9*SQRT($C$11)*NORMSINV($B291)+SQRT(1-K$9^2*$C$11)*NORMSINV(J291))&lt;K$8,K$5+SQRT(NORMSDIST(K$9*SQRT($C$11)*NORMSINV($B291)+SQRT(1-K$9^2*$C$11)*NORMSINV(J291))*(K$7-K$5)*(K$6-K$5)),K$7-SQRT((1-NORMSDIST(K$9*SQRT($C$11)*NORMSINV($B291)+SQRT(1-K$9^2*$C$11)*NORMSINV(J291)))*(K$7-K$5)*(K$7-K$6))))</f>
        <v>0.260809437174532</v>
      </c>
      <c r="L291" s="2" t="n">
        <v>0.58541152</v>
      </c>
      <c r="M291" s="2" t="n">
        <f aca="false">IF(M$7=M$5,M$6,IF(NORMSDIST(M$9*SQRT($C$11)*NORMSINV($B291)+SQRT(1-M$9^2*$C$11)*NORMSINV(L291))&lt;M$8,M$5+SQRT(NORMSDIST(M$9*SQRT($C$11)*NORMSINV($B291)+SQRT(1-M$9^2*$C$11)*NORMSINV(L291))*(M$7-M$5)*(M$6-M$5)),M$7-SQRT((1-NORMSDIST(M$9*SQRT($C$11)*NORMSINV($B291)+SQRT(1-M$9^2*$C$11)*NORMSINV(L291)))*(M$7-M$5)*(M$7-M$6))))</f>
        <v>1574.53982199541</v>
      </c>
      <c r="N291" s="2" t="n">
        <v>0.862581747</v>
      </c>
      <c r="O291" s="2" t="n">
        <f aca="false">IF(O$7=O$5,O$6,IF(NORMSDIST(O$9*SQRT($C$11)*NORMSINV($B291)+SQRT(1-O$9^2*$C$11)*NORMSINV(N291))&lt;O$8,O$5+SQRT(NORMSDIST(O$9*SQRT($C$11)*NORMSINV($B291)+SQRT(1-O$9^2*$C$11)*NORMSINV(N291))*(O$7-O$5)*(O$6-O$5)),O$7-SQRT((1-NORMSDIST(O$9*SQRT($C$11)*NORMSINV($B291)+SQRT(1-O$9^2*$C$11)*NORMSINV(N291)))*(O$7-O$5)*(O$7-O$6))))</f>
        <v>0.17274604970547</v>
      </c>
      <c r="P291" s="2" t="n">
        <v>0.102942996</v>
      </c>
      <c r="Q291" s="2" t="n">
        <f aca="false">IF(Q$7=Q$5,Q$6,IF(NORMSDIST(Q$9*SQRT($C$11)*NORMSINV($B291)+SQRT(1-Q$9^2*$C$11)*NORMSINV(P291))&lt;Q$8,Q$5+SQRT(NORMSDIST(Q$9*SQRT($C$11)*NORMSINV($B291)+SQRT(1-Q$9^2*$C$11)*NORMSINV(P291))*(Q$7-Q$5)*(Q$6-Q$5)),Q$7-SQRT((1-NORMSDIST(Q$9*SQRT($C$11)*NORMSINV($B291)+SQRT(1-Q$9^2*$C$11)*NORMSINV(P291)))*(Q$7-Q$5)*(Q$7-Q$6))))</f>
        <v>0.0581498646606524</v>
      </c>
      <c r="R291" s="2" t="n">
        <v>0.898554199</v>
      </c>
      <c r="S291" s="2" t="n">
        <f aca="false">IF(S$7=S$5,S$6,IF(NORMSDIST(S$9*SQRT($C$11)*NORMSINV($B291)+SQRT(1-S$9^2*$C$11)*NORMSINV(R291))&lt;S$8,S$5+SQRT(NORMSDIST(S$9*SQRT($C$11)*NORMSINV($B291)+SQRT(1-S$9^2*$C$11)*NORMSINV(R291))*(S$7-S$5)*(S$6-S$5)),S$7-SQRT((1-NORMSDIST(S$9*SQRT($C$11)*NORMSINV($B291)+SQRT(1-S$9^2*$C$11)*NORMSINV(R291)))*(S$7-S$5)*(S$7-S$6))))</f>
        <v>0.657752194885944</v>
      </c>
      <c r="T291" s="2" t="n">
        <v>0.501356852</v>
      </c>
      <c r="U291" s="2" t="n">
        <f aca="false">IF(U$7=U$5,U$6,IF(NORMSDIST(U$9*SQRT($C$11)*NORMSINV($B291)+SQRT(1-U$9^2*$C$11)*NORMSINV(T291))&lt;U$8,U$5+SQRT(NORMSDIST(U$9*SQRT($C$11)*NORMSINV($B291)+SQRT(1-U$9^2*$C$11)*NORMSINV(T291))*(U$7-U$5)*(U$6-U$5)),U$7-SQRT((1-NORMSDIST(U$9*SQRT($C$11)*NORMSINV($B291)+SQRT(1-U$9^2*$C$11)*NORMSINV(T291)))*(U$7-U$5)*(U$7-U$6))))</f>
        <v>0.446027161734512</v>
      </c>
      <c r="V291" s="2" t="n">
        <v>0.907152065</v>
      </c>
      <c r="W291" s="2" t="n">
        <f aca="false">IF(W$7=W$5,W$6,IF(NORMSDIST(W$9*SQRT($C$11)*NORMSINV($B291)+SQRT(1-W$9^2*$C$11)*NORMSINV(V291))&lt;W$8,W$5+SQRT(NORMSDIST(W$9*SQRT($C$11)*NORMSINV($B291)+SQRT(1-W$9^2*$C$11)*NORMSINV(V291))*(W$7-W$5)*(W$6-W$5)),W$7-SQRT((1-NORMSDIST(W$9*SQRT($C$11)*NORMSINV($B291)+SQRT(1-W$9^2*$C$11)*NORMSINV(V291)))*(W$7-W$5)*(W$7-W$6))))</f>
        <v>10.6657152630054</v>
      </c>
      <c r="X291" s="2" t="n">
        <v>0.821463988</v>
      </c>
      <c r="Y291" s="2" t="n">
        <f aca="false">IF(Y$7=Y$5,Y$6,IF(NORMSDIST(Y$9*SQRT($C$11)*NORMSINV($B291)+SQRT(1-Y$9^2*$C$11)*NORMSINV(X291))&lt;Y$8,Y$5+SQRT(NORMSDIST(Y$9*SQRT($C$11)*NORMSINV($B291)+SQRT(1-Y$9^2*$C$11)*NORMSINV(X291))*(Y$7-Y$5)*(Y$6-Y$5)),Y$7-SQRT((1-NORMSDIST(Y$9*SQRT($C$11)*NORMSINV($B291)+SQRT(1-Y$9^2*$C$11)*NORMSINV(X291)))*(Y$7-Y$5)*(Y$7-Y$6))))</f>
        <v>0.701222480765369</v>
      </c>
      <c r="Z291" s="2" t="n">
        <v>0.243101309</v>
      </c>
      <c r="AA291" s="2" t="n">
        <f aca="false">IF(AA$7=AA$5,AA$6,IF(NORMSDIST(AA$9*SQRT($C$11)*NORMSINV($B291)+SQRT(1-AA$9^2*$C$11)*NORMSINV(Z291))&lt;AA$8,AA$5+SQRT(NORMSDIST(AA$9*SQRT($C$11)*NORMSINV($B291)+SQRT(1-AA$9^2*$C$11)*NORMSINV(Z291))*(AA$7-AA$5)*(AA$6-AA$5)),AA$7-SQRT((1-NORMSDIST(AA$9*SQRT($C$11)*NORMSINV($B291)+SQRT(1-AA$9^2*$C$11)*NORMSINV(Z291)))*(AA$7-AA$5)*(AA$7-AA$6))))</f>
        <v>0.716612878713209</v>
      </c>
      <c r="AB291" s="2" t="n">
        <v>0.46763953</v>
      </c>
      <c r="AC291" s="2" t="n">
        <f aca="false">IF(AC$7=AC$5,AC$6,IF(NORMSDIST(AC$9*SQRT($C$11)*NORMSINV($B291)+SQRT(1-AC$9^2*$C$11)*NORMSINV(AB291))&lt;AC$8,AC$5+SQRT(NORMSDIST(AC$9*SQRT($C$11)*NORMSINV($B291)+SQRT(1-AC$9^2*$C$11)*NORMSINV(AB291))*(AC$7-AC$5)*(AC$6-AC$5)),AC$7-SQRT((1-NORMSDIST(AC$9*SQRT($C$11)*NORMSINV($B291)+SQRT(1-AC$9^2*$C$11)*NORMSINV(AB291)))*(AC$7-AC$5)*(AC$7-AC$6))))</f>
        <v>9.19477957119822</v>
      </c>
      <c r="AD291" s="2" t="n">
        <f aca="false">Entrées!$C$8*(1+E291)</f>
        <v>7434.73973459782</v>
      </c>
      <c r="AE291" s="2" t="n">
        <f aca="false">I291*Hypothèses!$J$24/12/Hypothèses!$J$19</f>
        <v>98.6084549162925</v>
      </c>
      <c r="AF291" s="2" t="n">
        <f aca="false">Entrées!$C$36*S291*1000</f>
        <v>328.876097442972</v>
      </c>
      <c r="AG291" s="2" t="n">
        <f aca="false">-AF291/W291</f>
        <v>-30.8348844248352</v>
      </c>
      <c r="AH291" s="2" t="n">
        <f aca="false">AD291+AE291+AG291</f>
        <v>7502.51330508928</v>
      </c>
      <c r="AI291" s="2" t="n">
        <f aca="false">Entrées!$C$16-M291+Hypothèses!$J$22*1000-AF291+Hypothèses!$J$23</f>
        <v>22644.5840805616</v>
      </c>
      <c r="AJ291" s="2" t="n">
        <f aca="false">AI291/AH291</f>
        <v>3.01826643415625</v>
      </c>
      <c r="AK291" s="2" t="n">
        <f aca="false">AI291/(AH291+I291*(12-Hypothèses!$J$24)/12/Hypothèses!$J$19)</f>
        <v>2.99019408723051</v>
      </c>
      <c r="AL291" s="2" t="n">
        <f aca="false">(AD291+AG291+I291/Hypothèses!$J$19)*(1+G291)</f>
        <v>7897.81728863664</v>
      </c>
      <c r="AM291" s="2" t="n">
        <f aca="false">Entrées!$C$54*K291/Hypothèses!$J$19</f>
        <v>26.6166981317228</v>
      </c>
      <c r="AN291" s="2" t="n">
        <f aca="false">Y291*1000/AC291</f>
        <v>76.2631094454817</v>
      </c>
      <c r="AO291" s="2" t="n">
        <f aca="false">(Entrées!$C$36*(1-S291)+MAX(0,Entrées!$C$30-Entrées!$C$35-Entrées!$C$36)*U291)*1000</f>
        <v>795.561928985345</v>
      </c>
      <c r="AP291" s="2" t="n">
        <f aca="false">-AO291/W291</f>
        <v>-74.59058388187</v>
      </c>
      <c r="AQ291" s="2" t="n">
        <f aca="false">AL291+AM291+AN291+AP291</f>
        <v>7926.10651233197</v>
      </c>
      <c r="AR291" s="2" t="n">
        <f aca="false">O291*AQ291-Hypothèses!$J$25/Hypothèses!$J$19</f>
        <v>1350.06842728852</v>
      </c>
      <c r="AS291" s="2" t="n">
        <f aca="false">Entrées!$C$79*(1+Q291)+Hypothèses!$J$20</f>
        <v>1457.90670126206</v>
      </c>
      <c r="AT291" s="2" t="n">
        <f aca="false">AI291-AR291+AS291+Y291*1000-AO291+Hypothèses!$J$23</f>
        <v>22658.0829063152</v>
      </c>
      <c r="AU291" s="2" t="n">
        <f aca="false">AT291/AQ291</f>
        <v>2.85866495372756</v>
      </c>
      <c r="AV291" s="2" t="n">
        <f aca="false">Hypothèses!$J$26*AQ291-AT291</f>
        <v>1120.23663068074</v>
      </c>
      <c r="AW291" s="2" t="n">
        <f aca="false">IF(AC291&gt;Hypothèses!$J$26,MAX(0,AV291)/(1-Hypothèses!$J$26/AC291),0)</f>
        <v>1662.74340649361</v>
      </c>
      <c r="AX291" s="2" t="n">
        <f aca="false">AQ291-Entrées!$C$17*1000</f>
        <v>-73.8934876680278</v>
      </c>
      <c r="AY291" s="2" t="n">
        <f aca="false">AI291+(Entrées!$C$244-Entrées!$C$13)</f>
        <v>28391.5840805616</v>
      </c>
      <c r="AZ291" s="2" t="n">
        <f aca="false">AA291*AH291</f>
        <v>5376.39765714418</v>
      </c>
      <c r="BA291" s="2" t="n">
        <f aca="false">AZ291/AY291</f>
        <v>0.189365892438004</v>
      </c>
      <c r="BB291" s="2" t="n">
        <f aca="false">AZ291/(Entrées!$C$151/100)-AY291</f>
        <v>1477.29179246162</v>
      </c>
      <c r="BC291" s="2" t="n">
        <f aca="false">AT291+(Entrées!$C$244-Entrées!$C$13)</f>
        <v>28405.0829063152</v>
      </c>
      <c r="BD291" s="2" t="n">
        <f aca="false">AA291*AQ291</f>
        <v>5679.95000478973</v>
      </c>
      <c r="BE291" s="2" t="n">
        <f aca="false">BD291/BC291</f>
        <v>0.199962451210693</v>
      </c>
      <c r="BF291" s="2" t="n">
        <f aca="false">BD291/(Entrées!$C$151/100)-BC291</f>
        <v>3150.19489807219</v>
      </c>
      <c r="BG291" s="2" t="n">
        <f aca="false">MIN(AV291,BF291)</f>
        <v>1120.23663068074</v>
      </c>
      <c r="BH291" s="2" t="n">
        <f aca="false">IF(AC291&gt;Hypothèses!$J$26,MAX(0,BG291)/(1-Hypothèses!$J$26/AC291),0)</f>
        <v>1662.74340649361</v>
      </c>
    </row>
    <row r="292" customFormat="false" ht="15" hidden="false" customHeight="false" outlineLevel="0" collapsed="false">
      <c r="A292" s="2" t="n">
        <v>277</v>
      </c>
      <c r="B292" s="2" t="n">
        <v>0.775698633</v>
      </c>
      <c r="C292" s="2"/>
      <c r="D292" s="2" t="n">
        <v>0.693740693</v>
      </c>
      <c r="E292" s="2" t="n">
        <f aca="false">IF(E$7=E$5,E$6,IF(NORMSDIST(E$9*SQRT($C$11)*NORMSINV($B292)+SQRT(1-E$9^2*$C$11)*NORMSINV(D292))&lt;E$8,E$5+SQRT(NORMSDIST(E$9*SQRT($C$11)*NORMSINV($B292)+SQRT(1-E$9^2*$C$11)*NORMSINV(D292))*(E$7-E$5)*(E$6-E$5)),E$7-SQRT((1-NORMSDIST(E$9*SQRT($C$11)*NORMSINV($B292)+SQRT(1-E$9^2*$C$11)*NORMSINV(D292)))*(E$7-E$5)*(E$7-E$6))))</f>
        <v>0.0569038390939212</v>
      </c>
      <c r="F292" s="2" t="n">
        <v>0.413329668</v>
      </c>
      <c r="G292" s="2" t="n">
        <f aca="false">IF(G$7=G$5,G$6,IF(NORMSDIST(G$9*SQRT($C$11)*NORMSINV($B292)+SQRT(1-G$9^2*$C$11)*NORMSINV(F292))&lt;G$8,G$5+SQRT(NORMSDIST(G$9*SQRT($C$11)*NORMSINV($B292)+SQRT(1-G$9^2*$C$11)*NORMSINV(F292))*(G$7-G$5)*(G$6-G$5)),G$7-SQRT((1-NORMSDIST(G$9*SQRT($C$11)*NORMSINV($B292)+SQRT(1-G$9^2*$C$11)*NORMSINV(F292)))*(G$7-G$5)*(G$7-G$6))))</f>
        <v>0.0569503892500919</v>
      </c>
      <c r="H292" s="2" t="n">
        <v>0.507921887</v>
      </c>
      <c r="I292" s="2" t="n">
        <f aca="false">IF(I$7=I$5,I$6,IF(NORMSDIST(I$9*SQRT($C$11)*NORMSINV($B292)+SQRT(1-I$9^2*$C$11)*NORMSINV(H292))&lt;I$8,I$5+SQRT(NORMSDIST(I$9*SQRT($C$11)*NORMSINV($B292)+SQRT(1-I$9^2*$C$11)*NORMSINV(H292))*(I$7-I$5)*(I$6-I$5)),I$7-SQRT((1-NORMSDIST(I$9*SQRT($C$11)*NORMSINV($B292)+SQRT(1-I$9^2*$C$11)*NORMSINV(H292)))*(I$7-I$5)*(I$7-I$6))))</f>
        <v>204.240989586163</v>
      </c>
      <c r="J292" s="2" t="n">
        <v>0.324136766</v>
      </c>
      <c r="K292" s="2" t="n">
        <f aca="false">IF(K$7=K$5,K$6,IF(NORMSDIST(K$9*SQRT($C$11)*NORMSINV($B292)+SQRT(1-K$9^2*$C$11)*NORMSINV(J292))&lt;K$8,K$5+SQRT(NORMSDIST(K$9*SQRT($C$11)*NORMSINV($B292)+SQRT(1-K$9^2*$C$11)*NORMSINV(J292))*(K$7-K$5)*(K$6-K$5)),K$7-SQRT((1-NORMSDIST(K$9*SQRT($C$11)*NORMSINV($B292)+SQRT(1-K$9^2*$C$11)*NORMSINV(J292)))*(K$7-K$5)*(K$7-K$6))))</f>
        <v>0.262854013500017</v>
      </c>
      <c r="L292" s="2" t="n">
        <v>0.298546922</v>
      </c>
      <c r="M292" s="2" t="n">
        <f aca="false">IF(M$7=M$5,M$6,IF(NORMSDIST(M$9*SQRT($C$11)*NORMSINV($B292)+SQRT(1-M$9^2*$C$11)*NORMSINV(L292))&lt;M$8,M$5+SQRT(NORMSDIST(M$9*SQRT($C$11)*NORMSINV($B292)+SQRT(1-M$9^2*$C$11)*NORMSINV(L292))*(M$7-M$5)*(M$6-M$5)),M$7-SQRT((1-NORMSDIST(M$9*SQRT($C$11)*NORMSINV($B292)+SQRT(1-M$9^2*$C$11)*NORMSINV(L292)))*(M$7-M$5)*(M$7-M$6))))</f>
        <v>1593.09539816868</v>
      </c>
      <c r="N292" s="2" t="n">
        <v>0.267480026</v>
      </c>
      <c r="O292" s="2" t="n">
        <f aca="false">IF(O$7=O$5,O$6,IF(NORMSDIST(O$9*SQRT($C$11)*NORMSINV($B292)+SQRT(1-O$9^2*$C$11)*NORMSINV(N292))&lt;O$8,O$5+SQRT(NORMSDIST(O$9*SQRT($C$11)*NORMSINV($B292)+SQRT(1-O$9^2*$C$11)*NORMSINV(N292))*(O$7-O$5)*(O$6-O$5)),O$7-SQRT((1-NORMSDIST(O$9*SQRT($C$11)*NORMSINV($B292)+SQRT(1-O$9^2*$C$11)*NORMSINV(N292)))*(O$7-O$5)*(O$7-O$6))))</f>
        <v>0.166769965254207</v>
      </c>
      <c r="P292" s="2" t="n">
        <v>0.618731328</v>
      </c>
      <c r="Q292" s="2" t="n">
        <f aca="false">IF(Q$7=Q$5,Q$6,IF(NORMSDIST(Q$9*SQRT($C$11)*NORMSINV($B292)+SQRT(1-Q$9^2*$C$11)*NORMSINV(P292))&lt;Q$8,Q$5+SQRT(NORMSDIST(Q$9*SQRT($C$11)*NORMSINV($B292)+SQRT(1-Q$9^2*$C$11)*NORMSINV(P292))*(Q$7-Q$5)*(Q$6-Q$5)),Q$7-SQRT((1-NORMSDIST(Q$9*SQRT($C$11)*NORMSINV($B292)+SQRT(1-Q$9^2*$C$11)*NORMSINV(P292)))*(Q$7-Q$5)*(Q$7-Q$6))))</f>
        <v>0.0850706462928385</v>
      </c>
      <c r="R292" s="2" t="n">
        <v>0.074288232</v>
      </c>
      <c r="S292" s="2" t="n">
        <f aca="false">IF(S$7=S$5,S$6,IF(NORMSDIST(S$9*SQRT($C$11)*NORMSINV($B292)+SQRT(1-S$9^2*$C$11)*NORMSINV(R292))&lt;S$8,S$5+SQRT(NORMSDIST(S$9*SQRT($C$11)*NORMSINV($B292)+SQRT(1-S$9^2*$C$11)*NORMSINV(R292))*(S$7-S$5)*(S$6-S$5)),S$7-SQRT((1-NORMSDIST(S$9*SQRT($C$11)*NORMSINV($B292)+SQRT(1-S$9^2*$C$11)*NORMSINV(R292)))*(S$7-S$5)*(S$7-S$6))))</f>
        <v>0.361369567389721</v>
      </c>
      <c r="T292" s="2" t="n">
        <v>0.39102313</v>
      </c>
      <c r="U292" s="2" t="n">
        <f aca="false">IF(U$7=U$5,U$6,IF(NORMSDIST(U$9*SQRT($C$11)*NORMSINV($B292)+SQRT(1-U$9^2*$C$11)*NORMSINV(T292))&lt;U$8,U$5+SQRT(NORMSDIST(U$9*SQRT($C$11)*NORMSINV($B292)+SQRT(1-U$9^2*$C$11)*NORMSINV(T292))*(U$7-U$5)*(U$6-U$5)),U$7-SQRT((1-NORMSDIST(U$9*SQRT($C$11)*NORMSINV($B292)+SQRT(1-U$9^2*$C$11)*NORMSINV(T292)))*(U$7-U$5)*(U$7-U$6))))</f>
        <v>0.555294784381815</v>
      </c>
      <c r="V292" s="2" t="n">
        <v>0.351128289</v>
      </c>
      <c r="W292" s="2" t="n">
        <f aca="false">IF(W$7=W$5,W$6,IF(NORMSDIST(W$9*SQRT($C$11)*NORMSINV($B292)+SQRT(1-W$9^2*$C$11)*NORMSINV(V292))&lt;W$8,W$5+SQRT(NORMSDIST(W$9*SQRT($C$11)*NORMSINV($B292)+SQRT(1-W$9^2*$C$11)*NORMSINV(V292))*(W$7-W$5)*(W$6-W$5)),W$7-SQRT((1-NORMSDIST(W$9*SQRT($C$11)*NORMSINV($B292)+SQRT(1-W$9^2*$C$11)*NORMSINV(V292)))*(W$7-W$5)*(W$7-W$6))))</f>
        <v>10.1510055906125</v>
      </c>
      <c r="X292" s="2" t="n">
        <v>0.672367195</v>
      </c>
      <c r="Y292" s="2" t="n">
        <f aca="false">IF(Y$7=Y$5,Y$6,IF(NORMSDIST(Y$9*SQRT($C$11)*NORMSINV($B292)+SQRT(1-Y$9^2*$C$11)*NORMSINV(X292))&lt;Y$8,Y$5+SQRT(NORMSDIST(Y$9*SQRT($C$11)*NORMSINV($B292)+SQRT(1-Y$9^2*$C$11)*NORMSINV(X292))*(Y$7-Y$5)*(Y$6-Y$5)),Y$7-SQRT((1-NORMSDIST(Y$9*SQRT($C$11)*NORMSINV($B292)+SQRT(1-Y$9^2*$C$11)*NORMSINV(X292)))*(Y$7-Y$5)*(Y$7-Y$6))))</f>
        <v>0.595257609707113</v>
      </c>
      <c r="Z292" s="2" t="n">
        <v>0.864103154</v>
      </c>
      <c r="AA292" s="2" t="n">
        <f aca="false">IF(AA$7=AA$5,AA$6,IF(NORMSDIST(AA$9*SQRT($C$11)*NORMSINV($B292)+SQRT(1-AA$9^2*$C$11)*NORMSINV(Z292))&lt;AA$8,AA$5+SQRT(NORMSDIST(AA$9*SQRT($C$11)*NORMSINV($B292)+SQRT(1-AA$9^2*$C$11)*NORMSINV(Z292))*(AA$7-AA$5)*(AA$6-AA$5)),AA$7-SQRT((1-NORMSDIST(AA$9*SQRT($C$11)*NORMSINV($B292)+SQRT(1-AA$9^2*$C$11)*NORMSINV(Z292)))*(AA$7-AA$5)*(AA$7-AA$6))))</f>
        <v>0.743015466504906</v>
      </c>
      <c r="AB292" s="2" t="n">
        <v>0.284899944</v>
      </c>
      <c r="AC292" s="2" t="n">
        <f aca="false">IF(AC$7=AC$5,AC$6,IF(NORMSDIST(AC$9*SQRT($C$11)*NORMSINV($B292)+SQRT(1-AC$9^2*$C$11)*NORMSINV(AB292))&lt;AC$8,AC$5+SQRT(NORMSDIST(AC$9*SQRT($C$11)*NORMSINV($B292)+SQRT(1-AC$9^2*$C$11)*NORMSINV(AB292))*(AC$7-AC$5)*(AC$6-AC$5)),AC$7-SQRT((1-NORMSDIST(AC$9*SQRT($C$11)*NORMSINV($B292)+SQRT(1-AC$9^2*$C$11)*NORMSINV(AB292)))*(AC$7-AC$5)*(AC$7-AC$6))))</f>
        <v>9.51054495708802</v>
      </c>
      <c r="AD292" s="2" t="n">
        <f aca="false">Entrées!$C$8*(1+E292)</f>
        <v>7451.17206561214</v>
      </c>
      <c r="AE292" s="2" t="n">
        <f aca="false">I292*Hypothèses!$J$24/12/Hypothèses!$J$19</f>
        <v>101.323301234978</v>
      </c>
      <c r="AF292" s="2" t="n">
        <f aca="false">Entrées!$C$36*S292*1000</f>
        <v>180.684783694861</v>
      </c>
      <c r="AG292" s="2" t="n">
        <f aca="false">-AF292/W292</f>
        <v>-17.7996930532631</v>
      </c>
      <c r="AH292" s="2" t="n">
        <f aca="false">AD292+AE292+AG292</f>
        <v>7534.69567379386</v>
      </c>
      <c r="AI292" s="2" t="n">
        <f aca="false">Entrées!$C$16-M292+Hypothèses!$J$22*1000-AF292+Hypothèses!$J$23</f>
        <v>22774.2198181365</v>
      </c>
      <c r="AJ292" s="2" t="n">
        <f aca="false">AI292/AH292</f>
        <v>3.02257991617984</v>
      </c>
      <c r="AK292" s="2" t="n">
        <f aca="false">AI292/(AH292+I292*(12-Hypothèses!$J$24)/12/Hypothèses!$J$19)</f>
        <v>2.99382304009724</v>
      </c>
      <c r="AL292" s="2" t="n">
        <f aca="false">(AD292+AG292+I292/Hypothèses!$J$19)*(1+G292)</f>
        <v>8040.29502721198</v>
      </c>
      <c r="AM292" s="2" t="n">
        <f aca="false">Entrées!$C$54*K292/Hypothèses!$J$19</f>
        <v>26.8253557303597</v>
      </c>
      <c r="AN292" s="2" t="n">
        <f aca="false">Y292*1000/AC292</f>
        <v>62.5892220049366</v>
      </c>
      <c r="AO292" s="2" t="n">
        <f aca="false">(Entrées!$C$36*(1-S292)+MAX(0,Entrées!$C$30-Entrées!$C$35-Entrées!$C$36)*U292)*1000</f>
        <v>1096.72791443968</v>
      </c>
      <c r="AP292" s="2" t="n">
        <f aca="false">-AO292/W292</f>
        <v>-108.041307301999</v>
      </c>
      <c r="AQ292" s="2" t="n">
        <f aca="false">AL292+AM292+AN292+AP292</f>
        <v>8021.66829764528</v>
      </c>
      <c r="AR292" s="2" t="n">
        <f aca="false">O292*AQ292-Hypothèses!$J$25/Hypothèses!$J$19</f>
        <v>1318.63818101745</v>
      </c>
      <c r="AS292" s="2" t="n">
        <f aca="false">Entrées!$C$79*(1+Q292)+Hypothèses!$J$20</f>
        <v>1487.49264027583</v>
      </c>
      <c r="AT292" s="2" t="n">
        <f aca="false">AI292-AR292+AS292+Y292*1000-AO292+Hypothèses!$J$23</f>
        <v>22441.6039726623</v>
      </c>
      <c r="AU292" s="2" t="n">
        <f aca="false">AT292/AQ292</f>
        <v>2.79762303051722</v>
      </c>
      <c r="AV292" s="2" t="n">
        <f aca="false">Hypothèses!$J$26*AQ292-AT292</f>
        <v>1623.40092027358</v>
      </c>
      <c r="AW292" s="2" t="n">
        <f aca="false">IF(AC292&gt;Hypothèses!$J$26,MAX(0,AV292)/(1-Hypothèses!$J$26/AC292),0)</f>
        <v>2371.44932373611</v>
      </c>
      <c r="AX292" s="2" t="n">
        <f aca="false">AQ292-Entrées!$C$17*1000</f>
        <v>21.6682976452794</v>
      </c>
      <c r="AY292" s="2" t="n">
        <f aca="false">AI292+(Entrées!$C$244-Entrées!$C$13)</f>
        <v>28521.2198181365</v>
      </c>
      <c r="AZ292" s="2" t="n">
        <f aca="false">AA292*AH292</f>
        <v>5598.39542103644</v>
      </c>
      <c r="BA292" s="2" t="n">
        <f aca="false">AZ292/AY292</f>
        <v>0.196288779257487</v>
      </c>
      <c r="BB292" s="2" t="n">
        <f aca="false">AZ292/(Entrées!$C$151/100)-AY292</f>
        <v>2580.97696539932</v>
      </c>
      <c r="BC292" s="2" t="n">
        <f aca="false">AT292+(Entrées!$C$244-Entrées!$C$13)</f>
        <v>28188.6039726623</v>
      </c>
      <c r="BD292" s="2" t="n">
        <f aca="false">AA292*AQ292</f>
        <v>5960.22361232252</v>
      </c>
      <c r="BE292" s="2" t="n">
        <f aca="false">BD292/BC292</f>
        <v>0.211440893564748</v>
      </c>
      <c r="BF292" s="2" t="n">
        <f aca="false">BD292/(Entrées!$C$151/100)-BC292</f>
        <v>4923.74942912953</v>
      </c>
      <c r="BG292" s="2" t="n">
        <f aca="false">MIN(AV292,BF292)</f>
        <v>1623.40092027358</v>
      </c>
      <c r="BH292" s="2" t="n">
        <f aca="false">IF(AC292&gt;Hypothèses!$J$26,MAX(0,BG292)/(1-Hypothèses!$J$26/AC292),0)</f>
        <v>2371.44932373611</v>
      </c>
    </row>
    <row r="293" customFormat="false" ht="15" hidden="false" customHeight="false" outlineLevel="0" collapsed="false">
      <c r="A293" s="2" t="n">
        <v>278</v>
      </c>
      <c r="B293" s="2" t="n">
        <v>0.697208028</v>
      </c>
      <c r="C293" s="2"/>
      <c r="D293" s="2" t="n">
        <v>0.113924591</v>
      </c>
      <c r="E293" s="2" t="n">
        <f aca="false">IF(E$7=E$5,E$6,IF(NORMSDIST(E$9*SQRT($C$11)*NORMSINV($B293)+SQRT(1-E$9^2*$C$11)*NORMSINV(D293))&lt;E$8,E$5+SQRT(NORMSDIST(E$9*SQRT($C$11)*NORMSINV($B293)+SQRT(1-E$9^2*$C$11)*NORMSINV(D293))*(E$7-E$5)*(E$6-E$5)),E$7-SQRT((1-NORMSDIST(E$9*SQRT($C$11)*NORMSINV($B293)+SQRT(1-E$9^2*$C$11)*NORMSINV(D293)))*(E$7-E$5)*(E$7-E$6))))</f>
        <v>0.0536861697090223</v>
      </c>
      <c r="F293" s="2" t="n">
        <v>0.812265175</v>
      </c>
      <c r="G293" s="2" t="n">
        <f aca="false">IF(G$7=G$5,G$6,IF(NORMSDIST(G$9*SQRT($C$11)*NORMSINV($B293)+SQRT(1-G$9^2*$C$11)*NORMSINV(F293))&lt;G$8,G$5+SQRT(NORMSDIST(G$9*SQRT($C$11)*NORMSINV($B293)+SQRT(1-G$9^2*$C$11)*NORMSINV(F293))*(G$7-G$5)*(G$6-G$5)),G$7-SQRT((1-NORMSDIST(G$9*SQRT($C$11)*NORMSINV($B293)+SQRT(1-G$9^2*$C$11)*NORMSINV(F293)))*(G$7-G$5)*(G$7-G$6))))</f>
        <v>0.061634709421826</v>
      </c>
      <c r="H293" s="2" t="n">
        <v>0.10508495</v>
      </c>
      <c r="I293" s="2" t="n">
        <f aca="false">IF(I$7=I$5,I$6,IF(NORMSDIST(I$9*SQRT($C$11)*NORMSINV($B293)+SQRT(1-I$9^2*$C$11)*NORMSINV(H293))&lt;I$8,I$5+SQRT(NORMSDIST(I$9*SQRT($C$11)*NORMSINV($B293)+SQRT(1-I$9^2*$C$11)*NORMSINV(H293))*(I$7-I$5)*(I$6-I$5)),I$7-SQRT((1-NORMSDIST(I$9*SQRT($C$11)*NORMSINV($B293)+SQRT(1-I$9^2*$C$11)*NORMSINV(H293)))*(I$7-I$5)*(I$7-I$6))))</f>
        <v>194.415831806916</v>
      </c>
      <c r="J293" s="2" t="n">
        <v>0.611059498</v>
      </c>
      <c r="K293" s="2" t="n">
        <f aca="false">IF(K$7=K$5,K$6,IF(NORMSDIST(K$9*SQRT($C$11)*NORMSINV($B293)+SQRT(1-K$9^2*$C$11)*NORMSINV(J293))&lt;K$8,K$5+SQRT(NORMSDIST(K$9*SQRT($C$11)*NORMSINV($B293)+SQRT(1-K$9^2*$C$11)*NORMSINV(J293))*(K$7-K$5)*(K$6-K$5)),K$7-SQRT((1-NORMSDIST(K$9*SQRT($C$11)*NORMSINV($B293)+SQRT(1-K$9^2*$C$11)*NORMSINV(J293)))*(K$7-K$5)*(K$7-K$6))))</f>
        <v>0.30867392739508</v>
      </c>
      <c r="L293" s="2" t="n">
        <v>0.400943181</v>
      </c>
      <c r="M293" s="2" t="n">
        <f aca="false">IF(M$7=M$5,M$6,IF(NORMSDIST(M$9*SQRT($C$11)*NORMSINV($B293)+SQRT(1-M$9^2*$C$11)*NORMSINV(L293))&lt;M$8,M$5+SQRT(NORMSDIST(M$9*SQRT($C$11)*NORMSINV($B293)+SQRT(1-M$9^2*$C$11)*NORMSINV(L293))*(M$7-M$5)*(M$6-M$5)),M$7-SQRT((1-NORMSDIST(M$9*SQRT($C$11)*NORMSINV($B293)+SQRT(1-M$9^2*$C$11)*NORMSINV(L293)))*(M$7-M$5)*(M$7-M$6))))</f>
        <v>1599.82198292666</v>
      </c>
      <c r="N293" s="2" t="n">
        <v>0.587862388</v>
      </c>
      <c r="O293" s="2" t="n">
        <f aca="false">IF(O$7=O$5,O$6,IF(NORMSDIST(O$9*SQRT($C$11)*NORMSINV($B293)+SQRT(1-O$9^2*$C$11)*NORMSINV(N293))&lt;O$8,O$5+SQRT(NORMSDIST(O$9*SQRT($C$11)*NORMSINV($B293)+SQRT(1-O$9^2*$C$11)*NORMSINV(N293))*(O$7-O$5)*(O$6-O$5)),O$7-SQRT((1-NORMSDIST(O$9*SQRT($C$11)*NORMSINV($B293)+SQRT(1-O$9^2*$C$11)*NORMSINV(N293)))*(O$7-O$5)*(O$7-O$6))))</f>
        <v>0.17185675959281</v>
      </c>
      <c r="P293" s="2" t="n">
        <v>0.586181647</v>
      </c>
      <c r="Q293" s="2" t="n">
        <f aca="false">IF(Q$7=Q$5,Q$6,IF(NORMSDIST(Q$9*SQRT($C$11)*NORMSINV($B293)+SQRT(1-Q$9^2*$C$11)*NORMSINV(P293))&lt;Q$8,Q$5+SQRT(NORMSDIST(Q$9*SQRT($C$11)*NORMSINV($B293)+SQRT(1-Q$9^2*$C$11)*NORMSINV(P293))*(Q$7-Q$5)*(Q$6-Q$5)),Q$7-SQRT((1-NORMSDIST(Q$9*SQRT($C$11)*NORMSINV($B293)+SQRT(1-Q$9^2*$C$11)*NORMSINV(P293)))*(Q$7-Q$5)*(Q$7-Q$6))))</f>
        <v>0.0836101837102741</v>
      </c>
      <c r="R293" s="2" t="n">
        <v>0.383894269</v>
      </c>
      <c r="S293" s="2" t="n">
        <f aca="false">IF(S$7=S$5,S$6,IF(NORMSDIST(S$9*SQRT($C$11)*NORMSINV($B293)+SQRT(1-S$9^2*$C$11)*NORMSINV(R293))&lt;S$8,S$5+SQRT(NORMSDIST(S$9*SQRT($C$11)*NORMSINV($B293)+SQRT(1-S$9^2*$C$11)*NORMSINV(R293))*(S$7-S$5)*(S$6-S$5)),S$7-SQRT((1-NORMSDIST(S$9*SQRT($C$11)*NORMSINV($B293)+SQRT(1-S$9^2*$C$11)*NORMSINV(R293)))*(S$7-S$5)*(S$7-S$6))))</f>
        <v>0.519888199627572</v>
      </c>
      <c r="T293" s="2" t="n">
        <v>0.499288146</v>
      </c>
      <c r="U293" s="2" t="n">
        <f aca="false">IF(U$7=U$5,U$6,IF(NORMSDIST(U$9*SQRT($C$11)*NORMSINV($B293)+SQRT(1-U$9^2*$C$11)*NORMSINV(T293))&lt;U$8,U$5+SQRT(NORMSDIST(U$9*SQRT($C$11)*NORMSINV($B293)+SQRT(1-U$9^2*$C$11)*NORMSINV(T293))*(U$7-U$5)*(U$6-U$5)),U$7-SQRT((1-NORMSDIST(U$9*SQRT($C$11)*NORMSINV($B293)+SQRT(1-U$9^2*$C$11)*NORMSINV(T293)))*(U$7-U$5)*(U$7-U$6))))</f>
        <v>0.568426639669099</v>
      </c>
      <c r="V293" s="2" t="n">
        <v>0.886306011</v>
      </c>
      <c r="W293" s="2" t="n">
        <f aca="false">IF(W$7=W$5,W$6,IF(NORMSDIST(W$9*SQRT($C$11)*NORMSINV($B293)+SQRT(1-W$9^2*$C$11)*NORMSINV(V293))&lt;W$8,W$5+SQRT(NORMSDIST(W$9*SQRT($C$11)*NORMSINV($B293)+SQRT(1-W$9^2*$C$11)*NORMSINV(V293))*(W$7-W$5)*(W$6-W$5)),W$7-SQRT((1-NORMSDIST(W$9*SQRT($C$11)*NORMSINV($B293)+SQRT(1-W$9^2*$C$11)*NORMSINV(V293)))*(W$7-W$5)*(W$7-W$6))))</f>
        <v>11.0898661400029</v>
      </c>
      <c r="X293" s="2" t="n">
        <v>0.843252863</v>
      </c>
      <c r="Y293" s="2" t="n">
        <f aca="false">IF(Y$7=Y$5,Y$6,IF(NORMSDIST(Y$9*SQRT($C$11)*NORMSINV($B293)+SQRT(1-Y$9^2*$C$11)*NORMSINV(X293))&lt;Y$8,Y$5+SQRT(NORMSDIST(Y$9*SQRT($C$11)*NORMSINV($B293)+SQRT(1-Y$9^2*$C$11)*NORMSINV(X293))*(Y$7-Y$5)*(Y$6-Y$5)),Y$7-SQRT((1-NORMSDIST(Y$9*SQRT($C$11)*NORMSINV($B293)+SQRT(1-Y$9^2*$C$11)*NORMSINV(X293)))*(Y$7-Y$5)*(Y$7-Y$6))))</f>
        <v>0.720047203085949</v>
      </c>
      <c r="Z293" s="2" t="n">
        <v>0.522499043</v>
      </c>
      <c r="AA293" s="2" t="n">
        <f aca="false">IF(AA$7=AA$5,AA$6,IF(NORMSDIST(AA$9*SQRT($C$11)*NORMSINV($B293)+SQRT(1-AA$9^2*$C$11)*NORMSINV(Z293))&lt;AA$8,AA$5+SQRT(NORMSDIST(AA$9*SQRT($C$11)*NORMSINV($B293)+SQRT(1-AA$9^2*$C$11)*NORMSINV(Z293))*(AA$7-AA$5)*(AA$6-AA$5)),AA$7-SQRT((1-NORMSDIST(AA$9*SQRT($C$11)*NORMSINV($B293)+SQRT(1-AA$9^2*$C$11)*NORMSINV(Z293)))*(AA$7-AA$5)*(AA$7-AA$6))))</f>
        <v>0.732491017296796</v>
      </c>
      <c r="AB293" s="2" t="n">
        <v>0.323415439</v>
      </c>
      <c r="AC293" s="2" t="n">
        <f aca="false">IF(AC$7=AC$5,AC$6,IF(NORMSDIST(AC$9*SQRT($C$11)*NORMSINV($B293)+SQRT(1-AC$9^2*$C$11)*NORMSINV(AB293))&lt;AC$8,AC$5+SQRT(NORMSDIST(AC$9*SQRT($C$11)*NORMSINV($B293)+SQRT(1-AC$9^2*$C$11)*NORMSINV(AB293))*(AC$7-AC$5)*(AC$6-AC$5)),AC$7-SQRT((1-NORMSDIST(AC$9*SQRT($C$11)*NORMSINV($B293)+SQRT(1-AC$9^2*$C$11)*NORMSINV(AB293)))*(AC$7-AC$5)*(AC$7-AC$6))))</f>
        <v>9.45486054483981</v>
      </c>
      <c r="AD293" s="2" t="n">
        <f aca="false">Entrées!$C$8*(1+E293)</f>
        <v>7428.48749644861</v>
      </c>
      <c r="AE293" s="2" t="n">
        <f aca="false">I293*Hypothèses!$J$24/12/Hypothèses!$J$19</f>
        <v>96.449071907334</v>
      </c>
      <c r="AF293" s="2" t="n">
        <f aca="false">Entrées!$C$36*S293*1000</f>
        <v>259.944099813786</v>
      </c>
      <c r="AG293" s="2" t="n">
        <f aca="false">-AF293/W293</f>
        <v>-23.4397869669614</v>
      </c>
      <c r="AH293" s="2" t="n">
        <f aca="false">AD293+AE293+AG293</f>
        <v>7501.49678138898</v>
      </c>
      <c r="AI293" s="2" t="n">
        <f aca="false">Entrées!$C$16-M293+Hypothèses!$J$22*1000-AF293+Hypothèses!$J$23</f>
        <v>22688.2339172596</v>
      </c>
      <c r="AJ293" s="2" t="n">
        <f aca="false">AI293/AH293</f>
        <v>3.02449425473973</v>
      </c>
      <c r="AK293" s="2" t="n">
        <f aca="false">AI293/(AH293+I293*(12-Hypothèses!$J$24)/12/Hypothèses!$J$19)</f>
        <v>2.99697069600521</v>
      </c>
      <c r="AL293" s="2" t="n">
        <f aca="false">(AD293+AG293+I293/Hypothèses!$J$19)*(1+G293)</f>
        <v>8036.98770033033</v>
      </c>
      <c r="AM293" s="2" t="n">
        <f aca="false">Entrées!$C$54*K293/Hypothèses!$J$19</f>
        <v>31.5014703287371</v>
      </c>
      <c r="AN293" s="2" t="n">
        <f aca="false">Y293*1000/AC293</f>
        <v>76.1563007377121</v>
      </c>
      <c r="AO293" s="2" t="n">
        <f aca="false">(Entrées!$C$36*(1-S293)+MAX(0,Entrées!$C$30-Entrées!$C$35-Entrées!$C$36)*U293)*1000</f>
        <v>1035.85319572295</v>
      </c>
      <c r="AP293" s="2" t="n">
        <f aca="false">-AO293/W293</f>
        <v>-93.4053831350109</v>
      </c>
      <c r="AQ293" s="2" t="n">
        <f aca="false">AL293+AM293+AN293+AP293</f>
        <v>8051.24008826177</v>
      </c>
      <c r="AR293" s="2" t="n">
        <f aca="false">O293*AQ293-Hypothèses!$J$25/Hypothèses!$J$19</f>
        <v>1364.52487001077</v>
      </c>
      <c r="AS293" s="2" t="n">
        <f aca="false">Entrées!$C$79*(1+Q293)+Hypothèses!$J$20</f>
        <v>1485.88759189759</v>
      </c>
      <c r="AT293" s="2" t="n">
        <f aca="false">AI293-AR293+AS293+Y293*1000-AO293+Hypothèses!$J$23</f>
        <v>22493.7906465094</v>
      </c>
      <c r="AU293" s="2" t="n">
        <f aca="false">AT293/AQ293</f>
        <v>2.7938293231752</v>
      </c>
      <c r="AV293" s="2" t="n">
        <f aca="false">Hypothèses!$J$26*AQ293-AT293</f>
        <v>1659.92961827593</v>
      </c>
      <c r="AW293" s="2" t="n">
        <f aca="false">IF(AC293&gt;Hypothèses!$J$26,MAX(0,AV293)/(1-Hypothèses!$J$26/AC293),0)</f>
        <v>2431.40854028127</v>
      </c>
      <c r="AX293" s="2" t="n">
        <f aca="false">AQ293-Entrées!$C$17*1000</f>
        <v>51.2400882617667</v>
      </c>
      <c r="AY293" s="2" t="n">
        <f aca="false">AI293+(Entrées!$C$244-Entrées!$C$13)</f>
        <v>28435.2339172596</v>
      </c>
      <c r="AZ293" s="2" t="n">
        <f aca="false">AA293*AH293</f>
        <v>5494.77900864825</v>
      </c>
      <c r="BA293" s="2" t="n">
        <f aca="false">AZ293/AY293</f>
        <v>0.193238396583509</v>
      </c>
      <c r="BB293" s="2" t="n">
        <f aca="false">AZ293/(Entrées!$C$151/100)-AY293</f>
        <v>2091.31613078629</v>
      </c>
      <c r="BC293" s="2" t="n">
        <f aca="false">AT293+(Entrées!$C$244-Entrées!$C$13)</f>
        <v>28240.7906465094</v>
      </c>
      <c r="BD293" s="2" t="n">
        <f aca="false">AA293*AQ293</f>
        <v>5897.4610427516</v>
      </c>
      <c r="BE293" s="2" t="n">
        <f aca="false">BD293/BC293</f>
        <v>0.208827759695904</v>
      </c>
      <c r="BF293" s="2" t="n">
        <f aca="false">BD293/(Entrées!$C$151/100)-BC293</f>
        <v>4522.88181322177</v>
      </c>
      <c r="BG293" s="2" t="n">
        <f aca="false">MIN(AV293,BF293)</f>
        <v>1659.92961827593</v>
      </c>
      <c r="BH293" s="2" t="n">
        <f aca="false">IF(AC293&gt;Hypothèses!$J$26,MAX(0,BG293)/(1-Hypothèses!$J$26/AC293),0)</f>
        <v>2431.40854028127</v>
      </c>
    </row>
    <row r="294" customFormat="false" ht="15" hidden="false" customHeight="false" outlineLevel="0" collapsed="false">
      <c r="A294" s="2" t="n">
        <v>279</v>
      </c>
      <c r="B294" s="2" t="n">
        <v>0.709957152</v>
      </c>
      <c r="C294" s="2"/>
      <c r="D294" s="2" t="n">
        <v>0.628096611</v>
      </c>
      <c r="E294" s="2" t="n">
        <f aca="false">IF(E$7=E$5,E$6,IF(NORMSDIST(E$9*SQRT($C$11)*NORMSINV($B294)+SQRT(1-E$9^2*$C$11)*NORMSINV(D294))&lt;E$8,E$5+SQRT(NORMSDIST(E$9*SQRT($C$11)*NORMSINV($B294)+SQRT(1-E$9^2*$C$11)*NORMSINV(D294))*(E$7-E$5)*(E$6-E$5)),E$7-SQRT((1-NORMSDIST(E$9*SQRT($C$11)*NORMSINV($B294)+SQRT(1-E$9^2*$C$11)*NORMSINV(D294)))*(E$7-E$5)*(E$7-E$6))))</f>
        <v>0.0563038302801547</v>
      </c>
      <c r="F294" s="2" t="n">
        <v>0.032939245</v>
      </c>
      <c r="G294" s="2" t="n">
        <f aca="false">IF(G$7=G$5,G$6,IF(NORMSDIST(G$9*SQRT($C$11)*NORMSINV($B294)+SQRT(1-G$9^2*$C$11)*NORMSINV(F294))&lt;G$8,G$5+SQRT(NORMSDIST(G$9*SQRT($C$11)*NORMSINV($B294)+SQRT(1-G$9^2*$C$11)*NORMSINV(F294))*(G$7-G$5)*(G$6-G$5)),G$7-SQRT((1-NORMSDIST(G$9*SQRT($C$11)*NORMSINV($B294)+SQRT(1-G$9^2*$C$11)*NORMSINV(F294)))*(G$7-G$5)*(G$7-G$6))))</f>
        <v>0.047972329576939</v>
      </c>
      <c r="H294" s="2" t="n">
        <v>0.102020566</v>
      </c>
      <c r="I294" s="2" t="n">
        <f aca="false">IF(I$7=I$5,I$6,IF(NORMSDIST(I$9*SQRT($C$11)*NORMSINV($B294)+SQRT(1-I$9^2*$C$11)*NORMSINV(H294))&lt;I$8,I$5+SQRT(NORMSDIST(I$9*SQRT($C$11)*NORMSINV($B294)+SQRT(1-I$9^2*$C$11)*NORMSINV(H294))*(I$7-I$5)*(I$6-I$5)),I$7-SQRT((1-NORMSDIST(I$9*SQRT($C$11)*NORMSINV($B294)+SQRT(1-I$9^2*$C$11)*NORMSINV(H294)))*(I$7-I$5)*(I$7-I$6))))</f>
        <v>194.507002912296</v>
      </c>
      <c r="J294" s="2" t="n">
        <v>0.374347809</v>
      </c>
      <c r="K294" s="2" t="n">
        <f aca="false">IF(K$7=K$5,K$6,IF(NORMSDIST(K$9*SQRT($C$11)*NORMSINV($B294)+SQRT(1-K$9^2*$C$11)*NORMSINV(J294))&lt;K$8,K$5+SQRT(NORMSDIST(K$9*SQRT($C$11)*NORMSINV($B294)+SQRT(1-K$9^2*$C$11)*NORMSINV(J294))*(K$7-K$5)*(K$6-K$5)),K$7-SQRT((1-NORMSDIST(K$9*SQRT($C$11)*NORMSINV($B294)+SQRT(1-K$9^2*$C$11)*NORMSINV(J294)))*(K$7-K$5)*(K$7-K$6))))</f>
        <v>0.260345922363122</v>
      </c>
      <c r="L294" s="2" t="n">
        <v>0.723652601</v>
      </c>
      <c r="M294" s="2" t="n">
        <f aca="false">IF(M$7=M$5,M$6,IF(NORMSDIST(M$9*SQRT($C$11)*NORMSINV($B294)+SQRT(1-M$9^2*$C$11)*NORMSINV(L294))&lt;M$8,M$5+SQRT(NORMSDIST(M$9*SQRT($C$11)*NORMSINV($B294)+SQRT(1-M$9^2*$C$11)*NORMSINV(L294))*(M$7-M$5)*(M$6-M$5)),M$7-SQRT((1-NORMSDIST(M$9*SQRT($C$11)*NORMSINV($B294)+SQRT(1-M$9^2*$C$11)*NORMSINV(L294)))*(M$7-M$5)*(M$7-M$6))))</f>
        <v>1662.90281586369</v>
      </c>
      <c r="N294" s="2" t="n">
        <v>0.643223407</v>
      </c>
      <c r="O294" s="2" t="n">
        <f aca="false">IF(O$7=O$5,O$6,IF(NORMSDIST(O$9*SQRT($C$11)*NORMSINV($B294)+SQRT(1-O$9^2*$C$11)*NORMSINV(N294))&lt;O$8,O$5+SQRT(NORMSDIST(O$9*SQRT($C$11)*NORMSINV($B294)+SQRT(1-O$9^2*$C$11)*NORMSINV(N294))*(O$7-O$5)*(O$6-O$5)),O$7-SQRT((1-NORMSDIST(O$9*SQRT($C$11)*NORMSINV($B294)+SQRT(1-O$9^2*$C$11)*NORMSINV(N294)))*(O$7-O$5)*(O$7-O$6))))</f>
        <v>0.17326391944696</v>
      </c>
      <c r="P294" s="2" t="n">
        <v>0.902873416</v>
      </c>
      <c r="Q294" s="2" t="n">
        <f aca="false">IF(Q$7=Q$5,Q$6,IF(NORMSDIST(Q$9*SQRT($C$11)*NORMSINV($B294)+SQRT(1-Q$9^2*$C$11)*NORMSINV(P294))&lt;Q$8,Q$5+SQRT(NORMSDIST(Q$9*SQRT($C$11)*NORMSINV($B294)+SQRT(1-Q$9^2*$C$11)*NORMSINV(P294))*(Q$7-Q$5)*(Q$6-Q$5)),Q$7-SQRT((1-NORMSDIST(Q$9*SQRT($C$11)*NORMSINV($B294)+SQRT(1-Q$9^2*$C$11)*NORMSINV(P294)))*(Q$7-Q$5)*(Q$7-Q$6))))</f>
        <v>0.102370335544883</v>
      </c>
      <c r="R294" s="2" t="n">
        <v>0.53909732</v>
      </c>
      <c r="S294" s="2" t="n">
        <f aca="false">IF(S$7=S$5,S$6,IF(NORMSDIST(S$9*SQRT($C$11)*NORMSINV($B294)+SQRT(1-S$9^2*$C$11)*NORMSINV(R294))&lt;S$8,S$5+SQRT(NORMSDIST(S$9*SQRT($C$11)*NORMSINV($B294)+SQRT(1-S$9^2*$C$11)*NORMSINV(R294))*(S$7-S$5)*(S$6-S$5)),S$7-SQRT((1-NORMSDIST(S$9*SQRT($C$11)*NORMSINV($B294)+SQRT(1-S$9^2*$C$11)*NORMSINV(R294)))*(S$7-S$5)*(S$7-S$6))))</f>
        <v>0.590687486867201</v>
      </c>
      <c r="T294" s="2" t="n">
        <v>0.093901169</v>
      </c>
      <c r="U294" s="2" t="n">
        <f aca="false">IF(U$7=U$5,U$6,IF(NORMSDIST(U$9*SQRT($C$11)*NORMSINV($B294)+SQRT(1-U$9^2*$C$11)*NORMSINV(T294))&lt;U$8,U$5+SQRT(NORMSDIST(U$9*SQRT($C$11)*NORMSINV($B294)+SQRT(1-U$9^2*$C$11)*NORMSINV(T294))*(U$7-U$5)*(U$6-U$5)),U$7-SQRT((1-NORMSDIST(U$9*SQRT($C$11)*NORMSINV($B294)+SQRT(1-U$9^2*$C$11)*NORMSINV(T294)))*(U$7-U$5)*(U$7-U$6))))</f>
        <v>0.354491402507398</v>
      </c>
      <c r="V294" s="2" t="n">
        <v>0.805155336</v>
      </c>
      <c r="W294" s="2" t="n">
        <f aca="false">IF(W$7=W$5,W$6,IF(NORMSDIST(W$9*SQRT($C$11)*NORMSINV($B294)+SQRT(1-W$9^2*$C$11)*NORMSINV(V294))&lt;W$8,W$5+SQRT(NORMSDIST(W$9*SQRT($C$11)*NORMSINV($B294)+SQRT(1-W$9^2*$C$11)*NORMSINV(V294))*(W$7-W$5)*(W$6-W$5)),W$7-SQRT((1-NORMSDIST(W$9*SQRT($C$11)*NORMSINV($B294)+SQRT(1-W$9^2*$C$11)*NORMSINV(V294)))*(W$7-W$5)*(W$7-W$6))))</f>
        <v>10.8872886805908</v>
      </c>
      <c r="X294" s="2" t="n">
        <v>0.544991966</v>
      </c>
      <c r="Y294" s="2" t="n">
        <f aca="false">IF(Y$7=Y$5,Y$6,IF(NORMSDIST(Y$9*SQRT($C$11)*NORMSINV($B294)+SQRT(1-Y$9^2*$C$11)*NORMSINV(X294))&lt;Y$8,Y$5+SQRT(NORMSDIST(Y$9*SQRT($C$11)*NORMSINV($B294)+SQRT(1-Y$9^2*$C$11)*NORMSINV(X294))*(Y$7-Y$5)*(Y$6-Y$5)),Y$7-SQRT((1-NORMSDIST(Y$9*SQRT($C$11)*NORMSINV($B294)+SQRT(1-Y$9^2*$C$11)*NORMSINV(X294)))*(Y$7-Y$5)*(Y$7-Y$6))))</f>
        <v>0.523026188349926</v>
      </c>
      <c r="Z294" s="2" t="n">
        <v>0.885449439</v>
      </c>
      <c r="AA294" s="2" t="n">
        <f aca="false">IF(AA$7=AA$5,AA$6,IF(NORMSDIST(AA$9*SQRT($C$11)*NORMSINV($B294)+SQRT(1-AA$9^2*$C$11)*NORMSINV(Z294))&lt;AA$8,AA$5+SQRT(NORMSDIST(AA$9*SQRT($C$11)*NORMSINV($B294)+SQRT(1-AA$9^2*$C$11)*NORMSINV(Z294))*(AA$7-AA$5)*(AA$6-AA$5)),AA$7-SQRT((1-NORMSDIST(AA$9*SQRT($C$11)*NORMSINV($B294)+SQRT(1-AA$9^2*$C$11)*NORMSINV(Z294)))*(AA$7-AA$5)*(AA$7-AA$6))))</f>
        <v>0.742533071400349</v>
      </c>
      <c r="AB294" s="2" t="n">
        <v>0.079597398</v>
      </c>
      <c r="AC294" s="2" t="n">
        <f aca="false">IF(AC$7=AC$5,AC$6,IF(NORMSDIST(AC$9*SQRT($C$11)*NORMSINV($B294)+SQRT(1-AC$9^2*$C$11)*NORMSINV(AB294))&lt;AC$8,AC$5+SQRT(NORMSDIST(AC$9*SQRT($C$11)*NORMSINV($B294)+SQRT(1-AC$9^2*$C$11)*NORMSINV(AB294))*(AC$7-AC$5)*(AC$6-AC$5)),AC$7-SQRT((1-NORMSDIST(AC$9*SQRT($C$11)*NORMSINV($B294)+SQRT(1-AC$9^2*$C$11)*NORMSINV(AB294)))*(AC$7-AC$5)*(AC$7-AC$6))))</f>
        <v>8.80809293990281</v>
      </c>
      <c r="AD294" s="2" t="n">
        <f aca="false">Entrées!$C$8*(1+E294)</f>
        <v>7446.94200347509</v>
      </c>
      <c r="AE294" s="2" t="n">
        <f aca="false">I294*Hypothèses!$J$24/12/Hypothèses!$J$19</f>
        <v>96.4943016009089</v>
      </c>
      <c r="AF294" s="2" t="n">
        <f aca="false">Entrées!$C$36*S294*1000</f>
        <v>295.3437434336</v>
      </c>
      <c r="AG294" s="2" t="n">
        <f aca="false">-AF294/W294</f>
        <v>-27.127391593843</v>
      </c>
      <c r="AH294" s="2" t="n">
        <f aca="false">AD294+AE294+AG294</f>
        <v>7516.30891348216</v>
      </c>
      <c r="AI294" s="2" t="n">
        <f aca="false">Entrées!$C$16-M294+Hypothèses!$J$22*1000-AF294+Hypothèses!$J$23</f>
        <v>22589.7534407027</v>
      </c>
      <c r="AJ294" s="2" t="n">
        <f aca="false">AI294/AH294</f>
        <v>3.00543174857848</v>
      </c>
      <c r="AK294" s="2" t="n">
        <f aca="false">AI294/(AH294+I294*(12-Hypothèses!$J$24)/12/Hypothèses!$J$19)</f>
        <v>2.97812238673443</v>
      </c>
      <c r="AL294" s="2" t="n">
        <f aca="false">(AD294+AG294+I294/Hypothèses!$J$19)*(1+G294)</f>
        <v>7949.1147319101</v>
      </c>
      <c r="AM294" s="2" t="n">
        <f aca="false">Entrées!$C$54*K294/Hypothèses!$J$19</f>
        <v>26.5693944990454</v>
      </c>
      <c r="AN294" s="2" t="n">
        <f aca="false">Y294*1000/AC294</f>
        <v>59.3801850092306</v>
      </c>
      <c r="AO294" s="2" t="n">
        <f aca="false">(Entrées!$C$36*(1-S294)+MAX(0,Entrées!$C$30-Entrées!$C$35-Entrées!$C$36)*U294)*1000</f>
        <v>700.944220076756</v>
      </c>
      <c r="AP294" s="2" t="n">
        <f aca="false">-AO294/W294</f>
        <v>-64.3818898020366</v>
      </c>
      <c r="AQ294" s="2" t="n">
        <f aca="false">AL294+AM294+AN294+AP294</f>
        <v>7970.68242161634</v>
      </c>
      <c r="AR294" s="2" t="n">
        <f aca="false">O294*AQ294-Hypothèses!$J$25/Hypothèses!$J$19</f>
        <v>1361.89651477461</v>
      </c>
      <c r="AS294" s="2" t="n">
        <f aca="false">Entrées!$C$79*(1+Q294)+Hypothèses!$J$20</f>
        <v>1506.50499876383</v>
      </c>
      <c r="AT294" s="2" t="n">
        <f aca="false">AI294-AR294+AS294+Y294*1000-AO294+Hypothèses!$J$23</f>
        <v>22556.4438929651</v>
      </c>
      <c r="AU294" s="2" t="n">
        <f aca="false">AT294/AQ294</f>
        <v>2.82992630992203</v>
      </c>
      <c r="AV294" s="2" t="n">
        <f aca="false">Hypothèses!$J$26*AQ294-AT294</f>
        <v>1355.60337188391</v>
      </c>
      <c r="AW294" s="2" t="n">
        <f aca="false">IF(AC294&gt;Hypothèses!$J$26,MAX(0,AV294)/(1-Hypothèses!$J$26/AC294),0)</f>
        <v>2055.80052054038</v>
      </c>
      <c r="AX294" s="2" t="n">
        <f aca="false">AQ294-Entrées!$C$17*1000</f>
        <v>-29.317578383665</v>
      </c>
      <c r="AY294" s="2" t="n">
        <f aca="false">AI294+(Entrées!$C$244-Entrées!$C$13)</f>
        <v>28336.7534407027</v>
      </c>
      <c r="AZ294" s="2" t="n">
        <f aca="false">AA294*AH294</f>
        <v>5581.10794312172</v>
      </c>
      <c r="BA294" s="2" t="n">
        <f aca="false">AZ294/AY294</f>
        <v>0.196956505790288</v>
      </c>
      <c r="BB294" s="2" t="n">
        <f aca="false">AZ294/(Entrées!$C$151/100)-AY294</f>
        <v>2669.40179886243</v>
      </c>
      <c r="BC294" s="2" t="n">
        <f aca="false">AT294+(Entrées!$C$244-Entrées!$C$13)</f>
        <v>28303.4438929651</v>
      </c>
      <c r="BD294" s="2" t="n">
        <f aca="false">AA294*AQ294</f>
        <v>5918.49529967955</v>
      </c>
      <c r="BE294" s="2" t="n">
        <f aca="false">BD294/BC294</f>
        <v>0.209108662608744</v>
      </c>
      <c r="BF294" s="2" t="n">
        <f aca="false">BD294/(Entrées!$C$151/100)-BC294</f>
        <v>4577.08554969905</v>
      </c>
      <c r="BG294" s="2" t="n">
        <f aca="false">MIN(AV294,BF294)</f>
        <v>1355.60337188391</v>
      </c>
      <c r="BH294" s="2" t="n">
        <f aca="false">IF(AC294&gt;Hypothèses!$J$26,MAX(0,BG294)/(1-Hypothèses!$J$26/AC294),0)</f>
        <v>2055.80052054038</v>
      </c>
    </row>
    <row r="295" customFormat="false" ht="15" hidden="false" customHeight="false" outlineLevel="0" collapsed="false">
      <c r="A295" s="2" t="n">
        <v>280</v>
      </c>
      <c r="B295" s="2" t="n">
        <v>0.114399644</v>
      </c>
      <c r="C295" s="2"/>
      <c r="D295" s="2" t="n">
        <v>0.021114278</v>
      </c>
      <c r="E295" s="2" t="n">
        <f aca="false">IF(E$7=E$5,E$6,IF(NORMSDIST(E$9*SQRT($C$11)*NORMSINV($B295)+SQRT(1-E$9^2*$C$11)*NORMSINV(D295))&lt;E$8,E$5+SQRT(NORMSDIST(E$9*SQRT($C$11)*NORMSINV($B295)+SQRT(1-E$9^2*$C$11)*NORMSINV(D295))*(E$7-E$5)*(E$6-E$5)),E$7-SQRT((1-NORMSDIST(E$9*SQRT($C$11)*NORMSINV($B295)+SQRT(1-E$9^2*$C$11)*NORMSINV(D295)))*(E$7-E$5)*(E$7-E$6))))</f>
        <v>0.0506994176483487</v>
      </c>
      <c r="F295" s="2" t="n">
        <v>0.868021003</v>
      </c>
      <c r="G295" s="2" t="n">
        <f aca="false">IF(G$7=G$5,G$6,IF(NORMSDIST(G$9*SQRT($C$11)*NORMSINV($B295)+SQRT(1-G$9^2*$C$11)*NORMSINV(F295))&lt;G$8,G$5+SQRT(NORMSDIST(G$9*SQRT($C$11)*NORMSINV($B295)+SQRT(1-G$9^2*$C$11)*NORMSINV(F295))*(G$7-G$5)*(G$6-G$5)),G$7-SQRT((1-NORMSDIST(G$9*SQRT($C$11)*NORMSINV($B295)+SQRT(1-G$9^2*$C$11)*NORMSINV(F295)))*(G$7-G$5)*(G$7-G$6))))</f>
        <v>0.0556356311825564</v>
      </c>
      <c r="H295" s="2" t="n">
        <v>0.721644007</v>
      </c>
      <c r="I295" s="2" t="n">
        <f aca="false">IF(I$7=I$5,I$6,IF(NORMSDIST(I$9*SQRT($C$11)*NORMSINV($B295)+SQRT(1-I$9^2*$C$11)*NORMSINV(H295))&lt;I$8,I$5+SQRT(NORMSDIST(I$9*SQRT($C$11)*NORMSINV($B295)+SQRT(1-I$9^2*$C$11)*NORMSINV(H295))*(I$7-I$5)*(I$6-I$5)),I$7-SQRT((1-NORMSDIST(I$9*SQRT($C$11)*NORMSINV($B295)+SQRT(1-I$9^2*$C$11)*NORMSINV(H295)))*(I$7-I$5)*(I$7-I$6))))</f>
        <v>197.43212654553</v>
      </c>
      <c r="J295" s="2" t="n">
        <v>0.295608308</v>
      </c>
      <c r="K295" s="2" t="n">
        <f aca="false">IF(K$7=K$5,K$6,IF(NORMSDIST(K$9*SQRT($C$11)*NORMSINV($B295)+SQRT(1-K$9^2*$C$11)*NORMSINV(J295))&lt;K$8,K$5+SQRT(NORMSDIST(K$9*SQRT($C$11)*NORMSINV($B295)+SQRT(1-K$9^2*$C$11)*NORMSINV(J295))*(K$7-K$5)*(K$6-K$5)),K$7-SQRT((1-NORMSDIST(K$9*SQRT($C$11)*NORMSINV($B295)+SQRT(1-K$9^2*$C$11)*NORMSINV(J295)))*(K$7-K$5)*(K$7-K$6))))</f>
        <v>0.122253842547499</v>
      </c>
      <c r="L295" s="2" t="n">
        <v>0.287266741</v>
      </c>
      <c r="M295" s="2" t="n">
        <f aca="false">IF(M$7=M$5,M$6,IF(NORMSDIST(M$9*SQRT($C$11)*NORMSINV($B295)+SQRT(1-M$9^2*$C$11)*NORMSINV(L295))&lt;M$8,M$5+SQRT(NORMSDIST(M$9*SQRT($C$11)*NORMSINV($B295)+SQRT(1-M$9^2*$C$11)*NORMSINV(L295))*(M$7-M$5)*(M$6-M$5)),M$7-SQRT((1-NORMSDIST(M$9*SQRT($C$11)*NORMSINV($B295)+SQRT(1-M$9^2*$C$11)*NORMSINV(L295)))*(M$7-M$5)*(M$7-M$6))))</f>
        <v>1439.01508420227</v>
      </c>
      <c r="N295" s="2" t="n">
        <v>0.695387284</v>
      </c>
      <c r="O295" s="2" t="n">
        <f aca="false">IF(O$7=O$5,O$6,IF(NORMSDIST(O$9*SQRT($C$11)*NORMSINV($B295)+SQRT(1-O$9^2*$C$11)*NORMSINV(N295))&lt;O$8,O$5+SQRT(NORMSDIST(O$9*SQRT($C$11)*NORMSINV($B295)+SQRT(1-O$9^2*$C$11)*NORMSINV(N295))*(O$7-O$5)*(O$6-O$5)),O$7-SQRT((1-NORMSDIST(O$9*SQRT($C$11)*NORMSINV($B295)+SQRT(1-O$9^2*$C$11)*NORMSINV(N295)))*(O$7-O$5)*(O$7-O$6))))</f>
        <v>0.162648033732558</v>
      </c>
      <c r="P295" s="2" t="n">
        <v>0.791693578</v>
      </c>
      <c r="Q295" s="2" t="n">
        <f aca="false">IF(Q$7=Q$5,Q$6,IF(NORMSDIST(Q$9*SQRT($C$11)*NORMSINV($B295)+SQRT(1-Q$9^2*$C$11)*NORMSINV(P295))&lt;Q$8,Q$5+SQRT(NORMSDIST(Q$9*SQRT($C$11)*NORMSINV($B295)+SQRT(1-Q$9^2*$C$11)*NORMSINV(P295))*(Q$7-Q$5)*(Q$6-Q$5)),Q$7-SQRT((1-NORMSDIST(Q$9*SQRT($C$11)*NORMSINV($B295)+SQRT(1-Q$9^2*$C$11)*NORMSINV(P295)))*(Q$7-Q$5)*(Q$7-Q$6))))</f>
        <v>0.0941817787134745</v>
      </c>
      <c r="R295" s="2" t="n">
        <v>0.352493721</v>
      </c>
      <c r="S295" s="2" t="n">
        <f aca="false">IF(S$7=S$5,S$6,IF(NORMSDIST(S$9*SQRT($C$11)*NORMSINV($B295)+SQRT(1-S$9^2*$C$11)*NORMSINV(R295))&lt;S$8,S$5+SQRT(NORMSDIST(S$9*SQRT($C$11)*NORMSINV($B295)+SQRT(1-S$9^2*$C$11)*NORMSINV(R295))*(S$7-S$5)*(S$6-S$5)),S$7-SQRT((1-NORMSDIST(S$9*SQRT($C$11)*NORMSINV($B295)+SQRT(1-S$9^2*$C$11)*NORMSINV(R295)))*(S$7-S$5)*(S$7-S$6))))</f>
        <v>0.270047673774295</v>
      </c>
      <c r="T295" s="2" t="n">
        <v>0.752534973</v>
      </c>
      <c r="U295" s="2" t="n">
        <f aca="false">IF(U$7=U$5,U$6,IF(NORMSDIST(U$9*SQRT($C$11)*NORMSINV($B295)+SQRT(1-U$9^2*$C$11)*NORMSINV(T295))&lt;U$8,U$5+SQRT(NORMSDIST(U$9*SQRT($C$11)*NORMSINV($B295)+SQRT(1-U$9^2*$C$11)*NORMSINV(T295))*(U$7-U$5)*(U$6-U$5)),U$7-SQRT((1-NORMSDIST(U$9*SQRT($C$11)*NORMSINV($B295)+SQRT(1-U$9^2*$C$11)*NORMSINV(T295)))*(U$7-U$5)*(U$7-U$6))))</f>
        <v>0.45170930824366</v>
      </c>
      <c r="V295" s="2" t="n">
        <v>0.034805671</v>
      </c>
      <c r="W295" s="2" t="n">
        <f aca="false">IF(W$7=W$5,W$6,IF(NORMSDIST(W$9*SQRT($C$11)*NORMSINV($B295)+SQRT(1-W$9^2*$C$11)*NORMSINV(V295))&lt;W$8,W$5+SQRT(NORMSDIST(W$9*SQRT($C$11)*NORMSINV($B295)+SQRT(1-W$9^2*$C$11)*NORMSINV(V295))*(W$7-W$5)*(W$6-W$5)),W$7-SQRT((1-NORMSDIST(W$9*SQRT($C$11)*NORMSINV($B295)+SQRT(1-W$9^2*$C$11)*NORMSINV(V295)))*(W$7-W$5)*(W$7-W$6))))</f>
        <v>8.34794507133777</v>
      </c>
      <c r="X295" s="2" t="n">
        <v>0.65415473</v>
      </c>
      <c r="Y295" s="2" t="n">
        <f aca="false">IF(Y$7=Y$5,Y$6,IF(NORMSDIST(Y$9*SQRT($C$11)*NORMSINV($B295)+SQRT(1-Y$9^2*$C$11)*NORMSINV(X295))&lt;Y$8,Y$5+SQRT(NORMSDIST(Y$9*SQRT($C$11)*NORMSINV($B295)+SQRT(1-Y$9^2*$C$11)*NORMSINV(X295))*(Y$7-Y$5)*(Y$6-Y$5)),Y$7-SQRT((1-NORMSDIST(Y$9*SQRT($C$11)*NORMSINV($B295)+SQRT(1-Y$9^2*$C$11)*NORMSINV(X295)))*(Y$7-Y$5)*(Y$7-Y$6))))</f>
        <v>0.584160325365652</v>
      </c>
      <c r="Z295" s="2" t="n">
        <v>0.168719932</v>
      </c>
      <c r="AA295" s="2" t="n">
        <f aca="false">IF(AA$7=AA$5,AA$6,IF(NORMSDIST(AA$9*SQRT($C$11)*NORMSINV($B295)+SQRT(1-AA$9^2*$C$11)*NORMSINV(Z295))&lt;AA$8,AA$5+SQRT(NORMSDIST(AA$9*SQRT($C$11)*NORMSINV($B295)+SQRT(1-AA$9^2*$C$11)*NORMSINV(Z295))*(AA$7-AA$5)*(AA$6-AA$5)),AA$7-SQRT((1-NORMSDIST(AA$9*SQRT($C$11)*NORMSINV($B295)+SQRT(1-AA$9^2*$C$11)*NORMSINV(Z295)))*(AA$7-AA$5)*(AA$7-AA$6))))</f>
        <v>0.707235730706266</v>
      </c>
      <c r="AB295" s="2" t="n">
        <v>0.564449227</v>
      </c>
      <c r="AC295" s="2" t="n">
        <f aca="false">IF(AC$7=AC$5,AC$6,IF(NORMSDIST(AC$9*SQRT($C$11)*NORMSINV($B295)+SQRT(1-AC$9^2*$C$11)*NORMSINV(AB295))&lt;AC$8,AC$5+SQRT(NORMSDIST(AC$9*SQRT($C$11)*NORMSINV($B295)+SQRT(1-AC$9^2*$C$11)*NORMSINV(AB295))*(AC$7-AC$5)*(AC$6-AC$5)),AC$7-SQRT((1-NORMSDIST(AC$9*SQRT($C$11)*NORMSINV($B295)+SQRT(1-AC$9^2*$C$11)*NORMSINV(AB295)))*(AC$7-AC$5)*(AC$7-AC$6))))</f>
        <v>8.90618368114889</v>
      </c>
      <c r="AD295" s="2" t="n">
        <f aca="false">Entrées!$C$8*(1+E295)</f>
        <v>7407.43089442086</v>
      </c>
      <c r="AE295" s="2" t="n">
        <f aca="false">I295*Hypothèses!$J$24/12/Hypothèses!$J$19</f>
        <v>97.9454460731335</v>
      </c>
      <c r="AF295" s="2" t="n">
        <f aca="false">Entrées!$C$36*S295*1000</f>
        <v>135.023836887148</v>
      </c>
      <c r="AG295" s="2" t="n">
        <f aca="false">-AF295/W295</f>
        <v>-16.1744999198359</v>
      </c>
      <c r="AH295" s="2" t="n">
        <f aca="false">AD295+AE295+AG295</f>
        <v>7489.20184057416</v>
      </c>
      <c r="AI295" s="2" t="n">
        <f aca="false">Entrées!$C$16-M295+Hypothèses!$J$22*1000-AF295+Hypothèses!$J$23</f>
        <v>22973.9610789106</v>
      </c>
      <c r="AJ295" s="2" t="n">
        <f aca="false">AI295/AH295</f>
        <v>3.06761141814136</v>
      </c>
      <c r="AK295" s="2" t="n">
        <f aca="false">AI295/(AH295+I295*(12-Hypothèses!$J$24)/12/Hypothèses!$J$19)</f>
        <v>3.03922027655998</v>
      </c>
      <c r="AL295" s="2" t="n">
        <f aca="false">(AD295+AG295+I295/Hypothèses!$J$19)*(1+G295)</f>
        <v>7979.72167116154</v>
      </c>
      <c r="AM295" s="2" t="n">
        <f aca="false">Entrées!$C$54*K295/Hypothèses!$J$19</f>
        <v>12.4765179426862</v>
      </c>
      <c r="AN295" s="2" t="n">
        <f aca="false">Y295*1000/AC295</f>
        <v>65.5904196768482</v>
      </c>
      <c r="AO295" s="2" t="n">
        <f aca="false">(Entrées!$C$36*(1-S295)+MAX(0,Entrées!$C$30-Entrées!$C$35-Entrées!$C$36)*U295)*1000</f>
        <v>997.369194653976</v>
      </c>
      <c r="AP295" s="2" t="n">
        <f aca="false">-AO295/W295</f>
        <v>-119.474815194747</v>
      </c>
      <c r="AQ295" s="2" t="n">
        <f aca="false">AL295+AM295+AN295+AP295</f>
        <v>7938.31379358633</v>
      </c>
      <c r="AR295" s="2" t="n">
        <f aca="false">O295*AQ295-Hypothèses!$J$25/Hypothèses!$J$19</f>
        <v>1272.01596741724</v>
      </c>
      <c r="AS295" s="2" t="n">
        <f aca="false">Entrées!$C$79*(1+Q295)+Hypothèses!$J$20</f>
        <v>1497.50577480611</v>
      </c>
      <c r="AT295" s="2" t="n">
        <f aca="false">AI295-AR295+AS295+Y295*1000-AO295+Hypothèses!$J$23</f>
        <v>22786.2420170111</v>
      </c>
      <c r="AU295" s="2" t="n">
        <f aca="false">AT295/AQ295</f>
        <v>2.87041336605023</v>
      </c>
      <c r="AV295" s="2" t="n">
        <f aca="false">Hypothèses!$J$26*AQ295-AT295</f>
        <v>1028.69936374784</v>
      </c>
      <c r="AW295" s="2" t="n">
        <f aca="false">IF(AC295&gt;Hypothèses!$J$26,MAX(0,AV295)/(1-Hypothèses!$J$26/AC295),0)</f>
        <v>1551.21919344661</v>
      </c>
      <c r="AX295" s="2" t="n">
        <f aca="false">AQ295-Entrées!$C$17*1000</f>
        <v>-61.6862064136749</v>
      </c>
      <c r="AY295" s="2" t="n">
        <f aca="false">AI295+(Entrées!$C$244-Entrées!$C$13)</f>
        <v>28720.9610789106</v>
      </c>
      <c r="AZ295" s="2" t="n">
        <f aca="false">AA295*AH295</f>
        <v>5296.63113612517</v>
      </c>
      <c r="BA295" s="2" t="n">
        <f aca="false">AZ295/AY295</f>
        <v>0.18441691841623</v>
      </c>
      <c r="BB295" s="2" t="n">
        <f aca="false">AZ295/(Entrées!$C$151/100)-AY295</f>
        <v>704.767455118155</v>
      </c>
      <c r="BC295" s="2" t="n">
        <f aca="false">AT295+(Entrées!$C$244-Entrées!$C$13)</f>
        <v>28533.2420170111</v>
      </c>
      <c r="BD295" s="2" t="n">
        <f aca="false">AA295*AQ295</f>
        <v>5614.25915638265</v>
      </c>
      <c r="BE295" s="2" t="n">
        <f aca="false">BD295/BC295</f>
        <v>0.196762048737242</v>
      </c>
      <c r="BF295" s="2" t="n">
        <f aca="false">BD295/(Entrées!$C$151/100)-BC295</f>
        <v>2657.08662955917</v>
      </c>
      <c r="BG295" s="2" t="n">
        <f aca="false">MIN(AV295,BF295)</f>
        <v>1028.69936374784</v>
      </c>
      <c r="BH295" s="2" t="n">
        <f aca="false">IF(AC295&gt;Hypothèses!$J$26,MAX(0,BG295)/(1-Hypothèses!$J$26/AC295),0)</f>
        <v>1551.21919344661</v>
      </c>
    </row>
    <row r="296" customFormat="false" ht="15" hidden="false" customHeight="false" outlineLevel="0" collapsed="false">
      <c r="A296" s="2" t="n">
        <v>281</v>
      </c>
      <c r="B296" s="2" t="n">
        <v>0.078336062</v>
      </c>
      <c r="C296" s="2"/>
      <c r="D296" s="2" t="n">
        <v>0.568225184</v>
      </c>
      <c r="E296" s="2" t="n">
        <f aca="false">IF(E$7=E$5,E$6,IF(NORMSDIST(E$9*SQRT($C$11)*NORMSINV($B296)+SQRT(1-E$9^2*$C$11)*NORMSINV(D296))&lt;E$8,E$5+SQRT(NORMSDIST(E$9*SQRT($C$11)*NORMSINV($B296)+SQRT(1-E$9^2*$C$11)*NORMSINV(D296))*(E$7-E$5)*(E$6-E$5)),E$7-SQRT((1-NORMSDIST(E$9*SQRT($C$11)*NORMSINV($B296)+SQRT(1-E$9^2*$C$11)*NORMSINV(D296)))*(E$7-E$5)*(E$7-E$6))))</f>
        <v>0.0533379112270759</v>
      </c>
      <c r="F296" s="2" t="n">
        <v>0.978886471</v>
      </c>
      <c r="G296" s="2" t="n">
        <f aca="false">IF(G$7=G$5,G$6,IF(NORMSDIST(G$9*SQRT($C$11)*NORMSINV($B296)+SQRT(1-G$9^2*$C$11)*NORMSINV(F296))&lt;G$8,G$5+SQRT(NORMSDIST(G$9*SQRT($C$11)*NORMSINV($B296)+SQRT(1-G$9^2*$C$11)*NORMSINV(F296))*(G$7-G$5)*(G$6-G$5)),G$7-SQRT((1-NORMSDIST(G$9*SQRT($C$11)*NORMSINV($B296)+SQRT(1-G$9^2*$C$11)*NORMSINV(F296)))*(G$7-G$5)*(G$7-G$6))))</f>
        <v>0.0594146249568464</v>
      </c>
      <c r="H296" s="2" t="n">
        <v>0.676597051</v>
      </c>
      <c r="I296" s="2" t="n">
        <f aca="false">IF(I$7=I$5,I$6,IF(NORMSDIST(I$9*SQRT($C$11)*NORMSINV($B296)+SQRT(1-I$9^2*$C$11)*NORMSINV(H296))&lt;I$8,I$5+SQRT(NORMSDIST(I$9*SQRT($C$11)*NORMSINV($B296)+SQRT(1-I$9^2*$C$11)*NORMSINV(H296))*(I$7-I$5)*(I$6-I$5)),I$7-SQRT((1-NORMSDIST(I$9*SQRT($C$11)*NORMSINV($B296)+SQRT(1-I$9^2*$C$11)*NORMSINV(H296)))*(I$7-I$5)*(I$7-I$6))))</f>
        <v>195.344133267762</v>
      </c>
      <c r="J296" s="2" t="n">
        <v>0.413952484</v>
      </c>
      <c r="K296" s="2" t="n">
        <f aca="false">IF(K$7=K$5,K$6,IF(NORMSDIST(K$9*SQRT($C$11)*NORMSINV($B296)+SQRT(1-K$9^2*$C$11)*NORMSINV(J296))&lt;K$8,K$5+SQRT(NORMSDIST(K$9*SQRT($C$11)*NORMSINV($B296)+SQRT(1-K$9^2*$C$11)*NORMSINV(J296))*(K$7-K$5)*(K$6-K$5)),K$7-SQRT((1-NORMSDIST(K$9*SQRT($C$11)*NORMSINV($B296)+SQRT(1-K$9^2*$C$11)*NORMSINV(J296)))*(K$7-K$5)*(K$7-K$6))))</f>
        <v>0.133989726930946</v>
      </c>
      <c r="L296" s="2" t="n">
        <v>0.740020219</v>
      </c>
      <c r="M296" s="2" t="n">
        <f aca="false">IF(M$7=M$5,M$6,IF(NORMSDIST(M$9*SQRT($C$11)*NORMSINV($B296)+SQRT(1-M$9^2*$C$11)*NORMSINV(L296))&lt;M$8,M$5+SQRT(NORMSDIST(M$9*SQRT($C$11)*NORMSINV($B296)+SQRT(1-M$9^2*$C$11)*NORMSINV(L296))*(M$7-M$5)*(M$6-M$5)),M$7-SQRT((1-NORMSDIST(M$9*SQRT($C$11)*NORMSINV($B296)+SQRT(1-M$9^2*$C$11)*NORMSINV(L296)))*(M$7-M$5)*(M$7-M$6))))</f>
        <v>1537.75450251145</v>
      </c>
      <c r="N296" s="2" t="n">
        <v>0.780359103</v>
      </c>
      <c r="O296" s="2" t="n">
        <f aca="false">IF(O$7=O$5,O$6,IF(NORMSDIST(O$9*SQRT($C$11)*NORMSINV($B296)+SQRT(1-O$9^2*$C$11)*NORMSINV(N296))&lt;O$8,O$5+SQRT(NORMSDIST(O$9*SQRT($C$11)*NORMSINV($B296)+SQRT(1-O$9^2*$C$11)*NORMSINV(N296))*(O$7-O$5)*(O$6-O$5)),O$7-SQRT((1-NORMSDIST(O$9*SQRT($C$11)*NORMSINV($B296)+SQRT(1-O$9^2*$C$11)*NORMSINV(N296)))*(O$7-O$5)*(O$7-O$6))))</f>
        <v>0.163452785569718</v>
      </c>
      <c r="P296" s="2" t="n">
        <v>0.585992115</v>
      </c>
      <c r="Q296" s="2" t="n">
        <f aca="false">IF(Q$7=Q$5,Q$6,IF(NORMSDIST(Q$9*SQRT($C$11)*NORMSINV($B296)+SQRT(1-Q$9^2*$C$11)*NORMSINV(P296))&lt;Q$8,Q$5+SQRT(NORMSDIST(Q$9*SQRT($C$11)*NORMSINV($B296)+SQRT(1-Q$9^2*$C$11)*NORMSINV(P296))*(Q$7-Q$5)*(Q$6-Q$5)),Q$7-SQRT((1-NORMSDIST(Q$9*SQRT($C$11)*NORMSINV($B296)+SQRT(1-Q$9^2*$C$11)*NORMSINV(P296)))*(Q$7-Q$5)*(Q$7-Q$6))))</f>
        <v>0.0836018512558674</v>
      </c>
      <c r="R296" s="2" t="n">
        <v>0.387240408</v>
      </c>
      <c r="S296" s="2" t="n">
        <f aca="false">IF(S$7=S$5,S$6,IF(NORMSDIST(S$9*SQRT($C$11)*NORMSINV($B296)+SQRT(1-S$9^2*$C$11)*NORMSINV(R296))&lt;S$8,S$5+SQRT(NORMSDIST(S$9*SQRT($C$11)*NORMSINV($B296)+SQRT(1-S$9^2*$C$11)*NORMSINV(R296))*(S$7-S$5)*(S$6-S$5)),S$7-SQRT((1-NORMSDIST(S$9*SQRT($C$11)*NORMSINV($B296)+SQRT(1-S$9^2*$C$11)*NORMSINV(R296)))*(S$7-S$5)*(S$7-S$6))))</f>
        <v>0.256752762926104</v>
      </c>
      <c r="T296" s="2" t="n">
        <v>0.387302062</v>
      </c>
      <c r="U296" s="2" t="n">
        <f aca="false">IF(U$7=U$5,U$6,IF(NORMSDIST(U$9*SQRT($C$11)*NORMSINV($B296)+SQRT(1-U$9^2*$C$11)*NORMSINV(T296))&lt;U$8,U$5+SQRT(NORMSDIST(U$9*SQRT($C$11)*NORMSINV($B296)+SQRT(1-U$9^2*$C$11)*NORMSINV(T296))*(U$7-U$5)*(U$6-U$5)),U$7-SQRT((1-NORMSDIST(U$9*SQRT($C$11)*NORMSINV($B296)+SQRT(1-U$9^2*$C$11)*NORMSINV(T296)))*(U$7-U$5)*(U$7-U$6))))</f>
        <v>0.256778705092767</v>
      </c>
      <c r="V296" s="2" t="n">
        <v>0.912926237</v>
      </c>
      <c r="W296" s="2" t="n">
        <f aca="false">IF(W$7=W$5,W$6,IF(NORMSDIST(W$9*SQRT($C$11)*NORMSINV($B296)+SQRT(1-W$9^2*$C$11)*NORMSINV(V296))&lt;W$8,W$5+SQRT(NORMSDIST(W$9*SQRT($C$11)*NORMSINV($B296)+SQRT(1-W$9^2*$C$11)*NORMSINV(V296))*(W$7-W$5)*(W$6-W$5)),W$7-SQRT((1-NORMSDIST(W$9*SQRT($C$11)*NORMSINV($B296)+SQRT(1-W$9^2*$C$11)*NORMSINV(V296)))*(W$7-W$5)*(W$7-W$6))))</f>
        <v>10.1288204261619</v>
      </c>
      <c r="X296" s="2" t="n">
        <v>0.93200034</v>
      </c>
      <c r="Y296" s="2" t="n">
        <f aca="false">IF(Y$7=Y$5,Y$6,IF(NORMSDIST(Y$9*SQRT($C$11)*NORMSINV($B296)+SQRT(1-Y$9^2*$C$11)*NORMSINV(X296))&lt;Y$8,Y$5+SQRT(NORMSDIST(Y$9*SQRT($C$11)*NORMSINV($B296)+SQRT(1-Y$9^2*$C$11)*NORMSINV(X296))*(Y$7-Y$5)*(Y$6-Y$5)),Y$7-SQRT((1-NORMSDIST(Y$9*SQRT($C$11)*NORMSINV($B296)+SQRT(1-Y$9^2*$C$11)*NORMSINV(X296)))*(Y$7-Y$5)*(Y$7-Y$6))))</f>
        <v>0.815609571831942</v>
      </c>
      <c r="Z296" s="2" t="n">
        <v>0.955641158</v>
      </c>
      <c r="AA296" s="2" t="n">
        <f aca="false">IF(AA$7=AA$5,AA$6,IF(NORMSDIST(AA$9*SQRT($C$11)*NORMSINV($B296)+SQRT(1-AA$9^2*$C$11)*NORMSINV(Z296))&lt;AA$8,AA$5+SQRT(NORMSDIST(AA$9*SQRT($C$11)*NORMSINV($B296)+SQRT(1-AA$9^2*$C$11)*NORMSINV(Z296))*(AA$7-AA$5)*(AA$6-AA$5)),AA$7-SQRT((1-NORMSDIST(AA$9*SQRT($C$11)*NORMSINV($B296)+SQRT(1-AA$9^2*$C$11)*NORMSINV(Z296)))*(AA$7-AA$5)*(AA$7-AA$6))))</f>
        <v>0.733080508045628</v>
      </c>
      <c r="AB296" s="2" t="n">
        <v>0.890439225</v>
      </c>
      <c r="AC296" s="2" t="n">
        <f aca="false">IF(AC$7=AC$5,AC$6,IF(NORMSDIST(AC$9*SQRT($C$11)*NORMSINV($B296)+SQRT(1-AC$9^2*$C$11)*NORMSINV(AB296))&lt;AC$8,AC$5+SQRT(NORMSDIST(AC$9*SQRT($C$11)*NORMSINV($B296)+SQRT(1-AC$9^2*$C$11)*NORMSINV(AB296))*(AC$7-AC$5)*(AC$6-AC$5)),AC$7-SQRT((1-NORMSDIST(AC$9*SQRT($C$11)*NORMSINV($B296)+SQRT(1-AC$9^2*$C$11)*NORMSINV(AB296)))*(AC$7-AC$5)*(AC$7-AC$6))))</f>
        <v>9.52444210397743</v>
      </c>
      <c r="AD296" s="2" t="n">
        <f aca="false">Entrées!$C$8*(1+E296)</f>
        <v>7426.03227415089</v>
      </c>
      <c r="AE296" s="2" t="n">
        <f aca="false">I296*Hypothèses!$J$24/12/Hypothèses!$J$19</f>
        <v>96.9095992909154</v>
      </c>
      <c r="AF296" s="2" t="n">
        <f aca="false">Entrées!$C$36*S296*1000</f>
        <v>128.376381463052</v>
      </c>
      <c r="AG296" s="2" t="n">
        <f aca="false">-AF296/W296</f>
        <v>-12.6743664179756</v>
      </c>
      <c r="AH296" s="2" t="n">
        <f aca="false">AD296+AE296+AG296</f>
        <v>7510.26750702383</v>
      </c>
      <c r="AI296" s="2" t="n">
        <f aca="false">Entrées!$C$16-M296+Hypothèses!$J$22*1000-AF296+Hypothèses!$J$23</f>
        <v>22881.8691160255</v>
      </c>
      <c r="AJ296" s="2" t="n">
        <f aca="false">AI296/AH296</f>
        <v>3.04674488553513</v>
      </c>
      <c r="AK296" s="2" t="n">
        <f aca="false">AI296/(AH296+I296*(12-Hypothèses!$J$24)/12/Hypothèses!$J$19)</f>
        <v>3.01891990007979</v>
      </c>
      <c r="AL296" s="2" t="n">
        <f aca="false">(AD296+AG296+I296/Hypothèses!$J$19)*(1+G296)</f>
        <v>8029.82112484174</v>
      </c>
      <c r="AM296" s="2" t="n">
        <f aca="false">Entrées!$C$54*K296/Hypothèses!$J$19</f>
        <v>13.6742142198112</v>
      </c>
      <c r="AN296" s="2" t="n">
        <f aca="false">Y296*1000/AC296</f>
        <v>85.6333171988458</v>
      </c>
      <c r="AO296" s="2" t="n">
        <f aca="false">(Entrées!$C$36*(1-S296)+MAX(0,Entrées!$C$30-Entrées!$C$35-Entrées!$C$36)*U296)*1000</f>
        <v>731.113805666822</v>
      </c>
      <c r="AP296" s="2" t="n">
        <f aca="false">-AO296/W296</f>
        <v>-72.1815349572606</v>
      </c>
      <c r="AQ296" s="2" t="n">
        <f aca="false">AL296+AM296+AN296+AP296</f>
        <v>8056.94712130313</v>
      </c>
      <c r="AR296" s="2" t="n">
        <f aca="false">O296*AQ296-Hypothèses!$J$25/Hypothèses!$J$19</f>
        <v>1297.79528790329</v>
      </c>
      <c r="AS296" s="2" t="n">
        <f aca="false">Entrées!$C$79*(1+Q296)+Hypothèses!$J$20</f>
        <v>1485.8784345302</v>
      </c>
      <c r="AT296" s="2" t="n">
        <f aca="false">AI296-AR296+AS296+Y296*1000-AO296+Hypothèses!$J$23</f>
        <v>23154.4480288175</v>
      </c>
      <c r="AU296" s="2" t="n">
        <f aca="false">AT296/AQ296</f>
        <v>2.8738488263868</v>
      </c>
      <c r="AV296" s="2" t="n">
        <f aca="false">Hypothèses!$J$26*AQ296-AT296</f>
        <v>1016.39333509187</v>
      </c>
      <c r="AW296" s="2" t="n">
        <f aca="false">IF(AC296&gt;Hypothèses!$J$26,MAX(0,AV296)/(1-Hypothèses!$J$26/AC296),0)</f>
        <v>1483.74057439327</v>
      </c>
      <c r="AX296" s="2" t="n">
        <f aca="false">AQ296-Entrées!$C$17*1000</f>
        <v>56.9471213031338</v>
      </c>
      <c r="AY296" s="2" t="n">
        <f aca="false">AI296+(Entrées!$C$244-Entrées!$C$13)</f>
        <v>28628.8691160255</v>
      </c>
      <c r="AZ296" s="2" t="n">
        <f aca="false">AA296*AH296</f>
        <v>5505.6307196076</v>
      </c>
      <c r="BA296" s="2" t="n">
        <f aca="false">AZ296/AY296</f>
        <v>0.192310450590789</v>
      </c>
      <c r="BB296" s="2" t="n">
        <f aca="false">AZ296/(Entrées!$C$151/100)-AY296</f>
        <v>1957.96821512782</v>
      </c>
      <c r="BC296" s="2" t="n">
        <f aca="false">AT296+(Entrées!$C$244-Entrées!$C$13)</f>
        <v>28901.4480288175</v>
      </c>
      <c r="BD296" s="2" t="n">
        <f aca="false">AA296*AQ296</f>
        <v>5906.39088898166</v>
      </c>
      <c r="BE296" s="2" t="n">
        <f aca="false">BD296/BC296</f>
        <v>0.204363147586668</v>
      </c>
      <c r="BF296" s="2" t="n">
        <f aca="false">BD296/(Entrées!$C$151/100)-BC296</f>
        <v>3911.83468774726</v>
      </c>
      <c r="BG296" s="2" t="n">
        <f aca="false">MIN(AV296,BF296)</f>
        <v>1016.39333509187</v>
      </c>
      <c r="BH296" s="2" t="n">
        <f aca="false">IF(AC296&gt;Hypothèses!$J$26,MAX(0,BG296)/(1-Hypothèses!$J$26/AC296),0)</f>
        <v>1483.74057439327</v>
      </c>
    </row>
    <row r="297" customFormat="false" ht="15" hidden="false" customHeight="false" outlineLevel="0" collapsed="false">
      <c r="A297" s="2" t="n">
        <v>282</v>
      </c>
      <c r="B297" s="2" t="n">
        <v>0.089469854</v>
      </c>
      <c r="C297" s="2"/>
      <c r="D297" s="2" t="n">
        <v>0.146813319</v>
      </c>
      <c r="E297" s="2" t="n">
        <f aca="false">IF(E$7=E$5,E$6,IF(NORMSDIST(E$9*SQRT($C$11)*NORMSINV($B297)+SQRT(1-E$9^2*$C$11)*NORMSINV(D297))&lt;E$8,E$5+SQRT(NORMSDIST(E$9*SQRT($C$11)*NORMSINV($B297)+SQRT(1-E$9^2*$C$11)*NORMSINV(D297))*(E$7-E$5)*(E$6-E$5)),E$7-SQRT((1-NORMSDIST(E$9*SQRT($C$11)*NORMSINV($B297)+SQRT(1-E$9^2*$C$11)*NORMSINV(D297)))*(E$7-E$5)*(E$7-E$6))))</f>
        <v>0.0515508773509569</v>
      </c>
      <c r="F297" s="2" t="n">
        <v>0.891960749</v>
      </c>
      <c r="G297" s="2" t="n">
        <f aca="false">IF(G$7=G$5,G$6,IF(NORMSDIST(G$9*SQRT($C$11)*NORMSINV($B297)+SQRT(1-G$9^2*$C$11)*NORMSINV(F297))&lt;G$8,G$5+SQRT(NORMSDIST(G$9*SQRT($C$11)*NORMSINV($B297)+SQRT(1-G$9^2*$C$11)*NORMSINV(F297))*(G$7-G$5)*(G$6-G$5)),G$7-SQRT((1-NORMSDIST(G$9*SQRT($C$11)*NORMSINV($B297)+SQRT(1-G$9^2*$C$11)*NORMSINV(F297)))*(G$7-G$5)*(G$7-G$6))))</f>
        <v>0.0556605073288521</v>
      </c>
      <c r="H297" s="2" t="n">
        <v>0.139748811</v>
      </c>
      <c r="I297" s="2" t="n">
        <f aca="false">IF(I$7=I$5,I$6,IF(NORMSDIST(I$9*SQRT($C$11)*NORMSINV($B297)+SQRT(1-I$9^2*$C$11)*NORMSINV(H297))&lt;I$8,I$5+SQRT(NORMSDIST(I$9*SQRT($C$11)*NORMSINV($B297)+SQRT(1-I$9^2*$C$11)*NORMSINV(H297))*(I$7-I$5)*(I$6-I$5)),I$7-SQRT((1-NORMSDIST(I$9*SQRT($C$11)*NORMSINV($B297)+SQRT(1-I$9^2*$C$11)*NORMSINV(H297)))*(I$7-I$5)*(I$7-I$6))))</f>
        <v>186.048612548478</v>
      </c>
      <c r="J297" s="2" t="n">
        <v>0.963786318</v>
      </c>
      <c r="K297" s="2" t="n">
        <f aca="false">IF(K$7=K$5,K$6,IF(NORMSDIST(K$9*SQRT($C$11)*NORMSINV($B297)+SQRT(1-K$9^2*$C$11)*NORMSINV(J297))&lt;K$8,K$5+SQRT(NORMSDIST(K$9*SQRT($C$11)*NORMSINV($B297)+SQRT(1-K$9^2*$C$11)*NORMSINV(J297))*(K$7-K$5)*(K$6-K$5)),K$7-SQRT((1-NORMSDIST(K$9*SQRT($C$11)*NORMSINV($B297)+SQRT(1-K$9^2*$C$11)*NORMSINV(J297)))*(K$7-K$5)*(K$7-K$6))))</f>
        <v>0.308266672229207</v>
      </c>
      <c r="L297" s="2" t="n">
        <v>0.131418999</v>
      </c>
      <c r="M297" s="2" t="n">
        <f aca="false">IF(M$7=M$5,M$6,IF(NORMSDIST(M$9*SQRT($C$11)*NORMSINV($B297)+SQRT(1-M$9^2*$C$11)*NORMSINV(L297))&lt;M$8,M$5+SQRT(NORMSDIST(M$9*SQRT($C$11)*NORMSINV($B297)+SQRT(1-M$9^2*$C$11)*NORMSINV(L297))*(M$7-M$5)*(M$6-M$5)),M$7-SQRT((1-NORMSDIST(M$9*SQRT($C$11)*NORMSINV($B297)+SQRT(1-M$9^2*$C$11)*NORMSINV(L297)))*(M$7-M$5)*(M$7-M$6))))</f>
        <v>1385.90130193021</v>
      </c>
      <c r="N297" s="2" t="n">
        <v>0.267676612</v>
      </c>
      <c r="O297" s="2" t="n">
        <f aca="false">IF(O$7=O$5,O$6,IF(NORMSDIST(O$9*SQRT($C$11)*NORMSINV($B297)+SQRT(1-O$9^2*$C$11)*NORMSINV(N297))&lt;O$8,O$5+SQRT(NORMSDIST(O$9*SQRT($C$11)*NORMSINV($B297)+SQRT(1-O$9^2*$C$11)*NORMSINV(N297))*(O$7-O$5)*(O$6-O$5)),O$7-SQRT((1-NORMSDIST(O$9*SQRT($C$11)*NORMSINV($B297)+SQRT(1-O$9^2*$C$11)*NORMSINV(N297)))*(O$7-O$5)*(O$7-O$6))))</f>
        <v>0.151472417001916</v>
      </c>
      <c r="P297" s="2" t="n">
        <v>0.843390597</v>
      </c>
      <c r="Q297" s="2" t="n">
        <f aca="false">IF(Q$7=Q$5,Q$6,IF(NORMSDIST(Q$9*SQRT($C$11)*NORMSINV($B297)+SQRT(1-Q$9^2*$C$11)*NORMSINV(P297))&lt;Q$8,Q$5+SQRT(NORMSDIST(Q$9*SQRT($C$11)*NORMSINV($B297)+SQRT(1-Q$9^2*$C$11)*NORMSINV(P297))*(Q$7-Q$5)*(Q$6-Q$5)),Q$7-SQRT((1-NORMSDIST(Q$9*SQRT($C$11)*NORMSINV($B297)+SQRT(1-Q$9^2*$C$11)*NORMSINV(P297)))*(Q$7-Q$5)*(Q$7-Q$6))))</f>
        <v>0.0976136182110641</v>
      </c>
      <c r="R297" s="2" t="n">
        <v>0.038107449</v>
      </c>
      <c r="S297" s="2" t="n">
        <f aca="false">IF(S$7=S$5,S$6,IF(NORMSDIST(S$9*SQRT($C$11)*NORMSINV($B297)+SQRT(1-S$9^2*$C$11)*NORMSINV(R297))&lt;S$8,S$5+SQRT(NORMSDIST(S$9*SQRT($C$11)*NORMSINV($B297)+SQRT(1-S$9^2*$C$11)*NORMSINV(R297))*(S$7-S$5)*(S$6-S$5)),S$7-SQRT((1-NORMSDIST(S$9*SQRT($C$11)*NORMSINV($B297)+SQRT(1-S$9^2*$C$11)*NORMSINV(R297)))*(S$7-S$5)*(S$7-S$6))))</f>
        <v>0.0809084141363397</v>
      </c>
      <c r="T297" s="2" t="n">
        <v>0.1611196</v>
      </c>
      <c r="U297" s="2" t="n">
        <f aca="false">IF(U$7=U$5,U$6,IF(NORMSDIST(U$9*SQRT($C$11)*NORMSINV($B297)+SQRT(1-U$9^2*$C$11)*NORMSINV(T297))&lt;U$8,U$5+SQRT(NORMSDIST(U$9*SQRT($C$11)*NORMSINV($B297)+SQRT(1-U$9^2*$C$11)*NORMSINV(T297))*(U$7-U$5)*(U$6-U$5)),U$7-SQRT((1-NORMSDIST(U$9*SQRT($C$11)*NORMSINV($B297)+SQRT(1-U$9^2*$C$11)*NORMSINV(T297)))*(U$7-U$5)*(U$7-U$6))))</f>
        <v>0.162730410098936</v>
      </c>
      <c r="V297" s="2" t="n">
        <v>0.490480379</v>
      </c>
      <c r="W297" s="2" t="n">
        <f aca="false">IF(W$7=W$5,W$6,IF(NORMSDIST(W$9*SQRT($C$11)*NORMSINV($B297)+SQRT(1-W$9^2*$C$11)*NORMSINV(V297))&lt;W$8,W$5+SQRT(NORMSDIST(W$9*SQRT($C$11)*NORMSINV($B297)+SQRT(1-W$9^2*$C$11)*NORMSINV(V297))*(W$7-W$5)*(W$6-W$5)),W$7-SQRT((1-NORMSDIST(W$9*SQRT($C$11)*NORMSINV($B297)+SQRT(1-W$9^2*$C$11)*NORMSINV(V297)))*(W$7-W$5)*(W$7-W$6))))</f>
        <v>9.24114198464852</v>
      </c>
      <c r="X297" s="2" t="n">
        <v>0.518091966</v>
      </c>
      <c r="Y297" s="2" t="n">
        <f aca="false">IF(Y$7=Y$5,Y$6,IF(NORMSDIST(Y$9*SQRT($C$11)*NORMSINV($B297)+SQRT(1-Y$9^2*$C$11)*NORMSINV(X297))&lt;Y$8,Y$5+SQRT(NORMSDIST(Y$9*SQRT($C$11)*NORMSINV($B297)+SQRT(1-Y$9^2*$C$11)*NORMSINV(X297))*(Y$7-Y$5)*(Y$6-Y$5)),Y$7-SQRT((1-NORMSDIST(Y$9*SQRT($C$11)*NORMSINV($B297)+SQRT(1-Y$9^2*$C$11)*NORMSINV(X297)))*(Y$7-Y$5)*(Y$7-Y$6))))</f>
        <v>0.509129327622845</v>
      </c>
      <c r="Z297" s="2" t="n">
        <v>0.47056954</v>
      </c>
      <c r="AA297" s="2" t="n">
        <f aca="false">IF(AA$7=AA$5,AA$6,IF(NORMSDIST(AA$9*SQRT($C$11)*NORMSINV($B297)+SQRT(1-AA$9^2*$C$11)*NORMSINV(Z297))&lt;AA$8,AA$5+SQRT(NORMSDIST(AA$9*SQRT($C$11)*NORMSINV($B297)+SQRT(1-AA$9^2*$C$11)*NORMSINV(Z297))*(AA$7-AA$5)*(AA$6-AA$5)),AA$7-SQRT((1-NORMSDIST(AA$9*SQRT($C$11)*NORMSINV($B297)+SQRT(1-AA$9^2*$C$11)*NORMSINV(Z297)))*(AA$7-AA$5)*(AA$7-AA$6))))</f>
        <v>0.715074997075407</v>
      </c>
      <c r="AB297" s="2" t="n">
        <v>0.185132233</v>
      </c>
      <c r="AC297" s="2" t="n">
        <f aca="false">IF(AC$7=AC$5,AC$6,IF(NORMSDIST(AC$9*SQRT($C$11)*NORMSINV($B297)+SQRT(1-AC$9^2*$C$11)*NORMSINV(AB297))&lt;AC$8,AC$5+SQRT(NORMSDIST(AC$9*SQRT($C$11)*NORMSINV($B297)+SQRT(1-AC$9^2*$C$11)*NORMSINV(AB297))*(AC$7-AC$5)*(AC$6-AC$5)),AC$7-SQRT((1-NORMSDIST(AC$9*SQRT($C$11)*NORMSINV($B297)+SQRT(1-AC$9^2*$C$11)*NORMSINV(AB297)))*(AC$7-AC$5)*(AC$7-AC$6))))</f>
        <v>8.12768125404851</v>
      </c>
      <c r="AD297" s="2" t="n">
        <f aca="false">Entrées!$C$8*(1+E297)</f>
        <v>7413.43368532425</v>
      </c>
      <c r="AE297" s="2" t="n">
        <f aca="false">I297*Hypothèses!$J$24/12/Hypothèses!$J$19</f>
        <v>92.2981212135504</v>
      </c>
      <c r="AF297" s="2" t="n">
        <f aca="false">Entrées!$C$36*S297*1000</f>
        <v>40.4542070681698</v>
      </c>
      <c r="AG297" s="2" t="n">
        <f aca="false">-AF297/W297</f>
        <v>-4.37761990188797</v>
      </c>
      <c r="AH297" s="2" t="n">
        <f aca="false">AD297+AE297+AG297</f>
        <v>7501.35418663591</v>
      </c>
      <c r="AI297" s="2" t="n">
        <f aca="false">Entrées!$C$16-M297+Hypothèses!$J$22*1000-AF297+Hypothèses!$J$23</f>
        <v>23121.6444910016</v>
      </c>
      <c r="AJ297" s="2" t="n">
        <f aca="false">AI297/AH297</f>
        <v>3.08232939223083</v>
      </c>
      <c r="AK297" s="2" t="n">
        <f aca="false">AI297/(AH297+I297*(12-Hypothèses!$J$24)/12/Hypothèses!$J$19)</f>
        <v>3.05547570120591</v>
      </c>
      <c r="AL297" s="2" t="n">
        <f aca="false">(AD297+AG297+I297/Hypothèses!$J$19)*(1+G297)</f>
        <v>7988.48013879304</v>
      </c>
      <c r="AM297" s="2" t="n">
        <f aca="false">Entrées!$C$54*K297/Hypothèses!$J$19</f>
        <v>31.4599082291058</v>
      </c>
      <c r="AN297" s="2" t="n">
        <f aca="false">Y297*1000/AC297</f>
        <v>62.641399399028</v>
      </c>
      <c r="AO297" s="2" t="n">
        <f aca="false">(Entrées!$C$36*(1-S297)+MAX(0,Entrées!$C$30-Entrées!$C$35-Entrées!$C$36)*U297)*1000</f>
        <v>687.36836707034</v>
      </c>
      <c r="AP297" s="2" t="n">
        <f aca="false">-AO297/W297</f>
        <v>-74.3813230239514</v>
      </c>
      <c r="AQ297" s="2" t="n">
        <f aca="false">AL297+AM297+AN297+AP297</f>
        <v>8008.20012339723</v>
      </c>
      <c r="AR297" s="2" t="n">
        <f aca="false">O297*AQ297-Hypothèses!$J$25/Hypothèses!$J$19</f>
        <v>1193.8862662644</v>
      </c>
      <c r="AS297" s="2" t="n">
        <f aca="false">Entrées!$C$79*(1+Q297)+Hypothèses!$J$20</f>
        <v>1501.27736641396</v>
      </c>
      <c r="AT297" s="2" t="n">
        <f aca="false">AI297-AR297+AS297+Y297*1000-AO297+Hypothèses!$J$23</f>
        <v>23250.7965517037</v>
      </c>
      <c r="AU297" s="2" t="n">
        <f aca="false">AT297/AQ297</f>
        <v>2.903373566274</v>
      </c>
      <c r="AV297" s="2" t="n">
        <f aca="false">Hypothèses!$J$26*AQ297-AT297</f>
        <v>773.803818487977</v>
      </c>
      <c r="AW297" s="2" t="n">
        <f aca="false">IF(AC297&gt;Hypothèses!$J$26,MAX(0,AV297)/(1-Hypothèses!$J$26/AC297),0)</f>
        <v>1226.52530027491</v>
      </c>
      <c r="AX297" s="2" t="n">
        <f aca="false">AQ297-Entrées!$C$17*1000</f>
        <v>8.20012339722507</v>
      </c>
      <c r="AY297" s="2" t="n">
        <f aca="false">AI297+(Entrées!$C$244-Entrées!$C$13)</f>
        <v>28868.6444910016</v>
      </c>
      <c r="AZ297" s="2" t="n">
        <f aca="false">AA297*AH297</f>
        <v>5364.03082307026</v>
      </c>
      <c r="BA297" s="2" t="n">
        <f aca="false">AZ297/AY297</f>
        <v>0.18580819839817</v>
      </c>
      <c r="BB297" s="2" t="n">
        <f aca="false">AZ297/(Entrées!$C$151/100)-AY297</f>
        <v>931.526748277622</v>
      </c>
      <c r="BC297" s="2" t="n">
        <f aca="false">AT297+(Entrées!$C$244-Entrées!$C$13)</f>
        <v>28997.7965517037</v>
      </c>
      <c r="BD297" s="2" t="n">
        <f aca="false">AA297*AQ297</f>
        <v>5726.46367981754</v>
      </c>
      <c r="BE297" s="2" t="n">
        <f aca="false">BD297/BC297</f>
        <v>0.197479269488878</v>
      </c>
      <c r="BF297" s="2" t="n">
        <f aca="false">BD297/(Entrées!$C$151/100)-BC297</f>
        <v>2815.89055839377</v>
      </c>
      <c r="BG297" s="2" t="n">
        <f aca="false">MIN(AV297,BF297)</f>
        <v>773.803818487977</v>
      </c>
      <c r="BH297" s="2" t="n">
        <f aca="false">IF(AC297&gt;Hypothèses!$J$26,MAX(0,BG297)/(1-Hypothèses!$J$26/AC297),0)</f>
        <v>1226.52530027491</v>
      </c>
    </row>
    <row r="298" customFormat="false" ht="15" hidden="false" customHeight="false" outlineLevel="0" collapsed="false">
      <c r="A298" s="2" t="n">
        <v>283</v>
      </c>
      <c r="B298" s="2" t="n">
        <v>0.949038972</v>
      </c>
      <c r="C298" s="2"/>
      <c r="D298" s="2" t="n">
        <v>0.15852729</v>
      </c>
      <c r="E298" s="2" t="n">
        <f aca="false">IF(E$7=E$5,E$6,IF(NORMSDIST(E$9*SQRT($C$11)*NORMSINV($B298)+SQRT(1-E$9^2*$C$11)*NORMSINV(D298))&lt;E$8,E$5+SQRT(NORMSDIST(E$9*SQRT($C$11)*NORMSINV($B298)+SQRT(1-E$9^2*$C$11)*NORMSINV(D298))*(E$7-E$5)*(E$6-E$5)),E$7-SQRT((1-NORMSDIST(E$9*SQRT($C$11)*NORMSINV($B298)+SQRT(1-E$9^2*$C$11)*NORMSINV(D298)))*(E$7-E$5)*(E$7-E$6))))</f>
        <v>0.0555410358319191</v>
      </c>
      <c r="F298" s="2" t="n">
        <v>0.386812836</v>
      </c>
      <c r="G298" s="2" t="n">
        <f aca="false">IF(G$7=G$5,G$6,IF(NORMSDIST(G$9*SQRT($C$11)*NORMSINV($B298)+SQRT(1-G$9^2*$C$11)*NORMSINV(F298))&lt;G$8,G$5+SQRT(NORMSDIST(G$9*SQRT($C$11)*NORMSINV($B298)+SQRT(1-G$9^2*$C$11)*NORMSINV(F298))*(G$7-G$5)*(G$6-G$5)),G$7-SQRT((1-NORMSDIST(G$9*SQRT($C$11)*NORMSINV($B298)+SQRT(1-G$9^2*$C$11)*NORMSINV(F298)))*(G$7-G$5)*(G$7-G$6))))</f>
        <v>0.0603137334226386</v>
      </c>
      <c r="H298" s="2" t="n">
        <v>0.085819495</v>
      </c>
      <c r="I298" s="2" t="n">
        <f aca="false">IF(I$7=I$5,I$6,IF(NORMSDIST(I$9*SQRT($C$11)*NORMSINV($B298)+SQRT(1-I$9^2*$C$11)*NORMSINV(H298))&lt;I$8,I$5+SQRT(NORMSDIST(I$9*SQRT($C$11)*NORMSINV($B298)+SQRT(1-I$9^2*$C$11)*NORMSINV(H298))*(I$7-I$5)*(I$6-I$5)),I$7-SQRT((1-NORMSDIST(I$9*SQRT($C$11)*NORMSINV($B298)+SQRT(1-I$9^2*$C$11)*NORMSINV(H298)))*(I$7-I$5)*(I$7-I$6))))</f>
        <v>199.804445543021</v>
      </c>
      <c r="J298" s="2" t="n">
        <v>0.422294517</v>
      </c>
      <c r="K298" s="2" t="n">
        <f aca="false">IF(K$7=K$5,K$6,IF(NORMSDIST(K$9*SQRT($C$11)*NORMSINV($B298)+SQRT(1-K$9^2*$C$11)*NORMSINV(J298))&lt;K$8,K$5+SQRT(NORMSDIST(K$9*SQRT($C$11)*NORMSINV($B298)+SQRT(1-K$9^2*$C$11)*NORMSINV(J298))*(K$7-K$5)*(K$6-K$5)),K$7-SQRT((1-NORMSDIST(K$9*SQRT($C$11)*NORMSINV($B298)+SQRT(1-K$9^2*$C$11)*NORMSINV(J298)))*(K$7-K$5)*(K$7-K$6))))</f>
        <v>0.346407794990211</v>
      </c>
      <c r="L298" s="2" t="n">
        <v>0.449369589</v>
      </c>
      <c r="M298" s="2" t="n">
        <f aca="false">IF(M$7=M$5,M$6,IF(NORMSDIST(M$9*SQRT($C$11)*NORMSINV($B298)+SQRT(1-M$9^2*$C$11)*NORMSINV(L298))&lt;M$8,M$5+SQRT(NORMSDIST(M$9*SQRT($C$11)*NORMSINV($B298)+SQRT(1-M$9^2*$C$11)*NORMSINV(L298))*(M$7-M$5)*(M$6-M$5)),M$7-SQRT((1-NORMSDIST(M$9*SQRT($C$11)*NORMSINV($B298)+SQRT(1-M$9^2*$C$11)*NORMSINV(L298)))*(M$7-M$5)*(M$7-M$6))))</f>
        <v>1673.97969914581</v>
      </c>
      <c r="N298" s="2" t="n">
        <v>0.328429968</v>
      </c>
      <c r="O298" s="2" t="n">
        <f aca="false">IF(O$7=O$5,O$6,IF(NORMSDIST(O$9*SQRT($C$11)*NORMSINV($B298)+SQRT(1-O$9^2*$C$11)*NORMSINV(N298))&lt;O$8,O$5+SQRT(NORMSDIST(O$9*SQRT($C$11)*NORMSINV($B298)+SQRT(1-O$9^2*$C$11)*NORMSINV(N298))*(O$7-O$5)*(O$6-O$5)),O$7-SQRT((1-NORMSDIST(O$9*SQRT($C$11)*NORMSINV($B298)+SQRT(1-O$9^2*$C$11)*NORMSINV(N298)))*(O$7-O$5)*(O$7-O$6))))</f>
        <v>0.173845683477148</v>
      </c>
      <c r="P298" s="2" t="n">
        <v>0.639149782</v>
      </c>
      <c r="Q298" s="2" t="n">
        <f aca="false">IF(Q$7=Q$5,Q$6,IF(NORMSDIST(Q$9*SQRT($C$11)*NORMSINV($B298)+SQRT(1-Q$9^2*$C$11)*NORMSINV(P298))&lt;Q$8,Q$5+SQRT(NORMSDIST(Q$9*SQRT($C$11)*NORMSINV($B298)+SQRT(1-Q$9^2*$C$11)*NORMSINV(P298))*(Q$7-Q$5)*(Q$6-Q$5)),Q$7-SQRT((1-NORMSDIST(Q$9*SQRT($C$11)*NORMSINV($B298)+SQRT(1-Q$9^2*$C$11)*NORMSINV(P298)))*(Q$7-Q$5)*(Q$7-Q$6))))</f>
        <v>0.0860188184784578</v>
      </c>
      <c r="R298" s="2" t="n">
        <v>0.834495915</v>
      </c>
      <c r="S298" s="2" t="n">
        <f aca="false">IF(S$7=S$5,S$6,IF(NORMSDIST(S$9*SQRT($C$11)*NORMSINV($B298)+SQRT(1-S$9^2*$C$11)*NORMSINV(R298))&lt;S$8,S$5+SQRT(NORMSDIST(S$9*SQRT($C$11)*NORMSINV($B298)+SQRT(1-S$9^2*$C$11)*NORMSINV(R298))*(S$7-S$5)*(S$6-S$5)),S$7-SQRT((1-NORMSDIST(S$9*SQRT($C$11)*NORMSINV($B298)+SQRT(1-S$9^2*$C$11)*NORMSINV(R298)))*(S$7-S$5)*(S$7-S$6))))</f>
        <v>0.864105465687692</v>
      </c>
      <c r="T298" s="2" t="n">
        <v>0.196056843</v>
      </c>
      <c r="U298" s="2" t="n">
        <f aca="false">IF(U$7=U$5,U$6,IF(NORMSDIST(U$9*SQRT($C$11)*NORMSINV($B298)+SQRT(1-U$9^2*$C$11)*NORMSINV(T298))&lt;U$8,U$5+SQRT(NORMSDIST(U$9*SQRT($C$11)*NORMSINV($B298)+SQRT(1-U$9^2*$C$11)*NORMSINV(T298))*(U$7-U$5)*(U$6-U$5)),U$7-SQRT((1-NORMSDIST(U$9*SQRT($C$11)*NORMSINV($B298)+SQRT(1-U$9^2*$C$11)*NORMSINV(T298)))*(U$7-U$5)*(U$7-U$6))))</f>
        <v>0.57862614517747</v>
      </c>
      <c r="V298" s="2" t="n">
        <v>0.155213537</v>
      </c>
      <c r="W298" s="2" t="n">
        <f aca="false">IF(W$7=W$5,W$6,IF(NORMSDIST(W$9*SQRT($C$11)*NORMSINV($B298)+SQRT(1-W$9^2*$C$11)*NORMSINV(V298))&lt;W$8,W$5+SQRT(NORMSDIST(W$9*SQRT($C$11)*NORMSINV($B298)+SQRT(1-W$9^2*$C$11)*NORMSINV(V298))*(W$7-W$5)*(W$6-W$5)),W$7-SQRT((1-NORMSDIST(W$9*SQRT($C$11)*NORMSINV($B298)+SQRT(1-W$9^2*$C$11)*NORMSINV(V298)))*(W$7-W$5)*(W$7-W$6))))</f>
        <v>10.2071800808779</v>
      </c>
      <c r="X298" s="2" t="n">
        <v>0.236868265</v>
      </c>
      <c r="Y298" s="2" t="n">
        <f aca="false">IF(Y$7=Y$5,Y$6,IF(NORMSDIST(Y$9*SQRT($C$11)*NORMSINV($B298)+SQRT(1-Y$9^2*$C$11)*NORMSINV(X298))&lt;Y$8,Y$5+SQRT(NORMSDIST(Y$9*SQRT($C$11)*NORMSINV($B298)+SQRT(1-Y$9^2*$C$11)*NORMSINV(X298))*(Y$7-Y$5)*(Y$6-Y$5)),Y$7-SQRT((1-NORMSDIST(Y$9*SQRT($C$11)*NORMSINV($B298)+SQRT(1-Y$9^2*$C$11)*NORMSINV(X298)))*(Y$7-Y$5)*(Y$7-Y$6))))</f>
        <v>0.34414260488931</v>
      </c>
      <c r="Z298" s="2" t="n">
        <v>0.202210159</v>
      </c>
      <c r="AA298" s="2" t="n">
        <f aca="false">IF(AA$7=AA$5,AA$6,IF(NORMSDIST(AA$9*SQRT($C$11)*NORMSINV($B298)+SQRT(1-AA$9^2*$C$11)*NORMSINV(Z298))&lt;AA$8,AA$5+SQRT(NORMSDIST(AA$9*SQRT($C$11)*NORMSINV($B298)+SQRT(1-AA$9^2*$C$11)*NORMSINV(Z298))*(AA$7-AA$5)*(AA$6-AA$5)),AA$7-SQRT((1-NORMSDIST(AA$9*SQRT($C$11)*NORMSINV($B298)+SQRT(1-AA$9^2*$C$11)*NORMSINV(Z298)))*(AA$7-AA$5)*(AA$7-AA$6))))</f>
        <v>0.732696543679453</v>
      </c>
      <c r="AB298" s="2" t="n">
        <v>0.423207988</v>
      </c>
      <c r="AC298" s="2" t="n">
        <f aca="false">IF(AC$7=AC$5,AC$6,IF(NORMSDIST(AC$9*SQRT($C$11)*NORMSINV($B298)+SQRT(1-AC$9^2*$C$11)*NORMSINV(AB298))&lt;AC$8,AC$5+SQRT(NORMSDIST(AC$9*SQRT($C$11)*NORMSINV($B298)+SQRT(1-AC$9^2*$C$11)*NORMSINV(AB298))*(AC$7-AC$5)*(AC$6-AC$5)),AC$7-SQRT((1-NORMSDIST(AC$9*SQRT($C$11)*NORMSINV($B298)+SQRT(1-AC$9^2*$C$11)*NORMSINV(AB298)))*(AC$7-AC$5)*(AC$7-AC$6))))</f>
        <v>10.0982343260242</v>
      </c>
      <c r="AD298" s="2" t="n">
        <f aca="false">Entrées!$C$8*(1+E298)</f>
        <v>7441.56430261503</v>
      </c>
      <c r="AE298" s="2" t="n">
        <f aca="false">I298*Hypothèses!$J$24/12/Hypothèses!$J$19</f>
        <v>99.1223459348867</v>
      </c>
      <c r="AF298" s="2" t="n">
        <f aca="false">Entrées!$C$36*S298*1000</f>
        <v>432.052732843846</v>
      </c>
      <c r="AG298" s="2" t="n">
        <f aca="false">-AF298/W298</f>
        <v>-42.328314913661</v>
      </c>
      <c r="AH298" s="2" t="n">
        <f aca="false">AD298+AE298+AG298</f>
        <v>7498.35833363625</v>
      </c>
      <c r="AI298" s="2" t="n">
        <f aca="false">Entrées!$C$16-M298+Hypothèses!$J$22*1000-AF298+Hypothèses!$J$23</f>
        <v>22441.9675680103</v>
      </c>
      <c r="AJ298" s="2" t="n">
        <f aca="false">AI298/AH298</f>
        <v>2.99291745865756</v>
      </c>
      <c r="AK298" s="2" t="n">
        <f aca="false">AI298/(AH298+I298*(12-Hypothèses!$J$24)/12/Hypothèses!$J$19)</f>
        <v>2.96492180643884</v>
      </c>
      <c r="AL298" s="2" t="n">
        <f aca="false">(AD298+AG298+I298/Hypothèses!$J$19)*(1+G298)</f>
        <v>8025.68430833849</v>
      </c>
      <c r="AM298" s="2" t="n">
        <f aca="false">Entrées!$C$54*K298/Hypothèses!$J$19</f>
        <v>35.352369951092</v>
      </c>
      <c r="AN298" s="2" t="n">
        <f aca="false">Y298*1000/AC298</f>
        <v>34.0794829847053</v>
      </c>
      <c r="AO298" s="2" t="n">
        <f aca="false">(Entrées!$C$36*(1-S298)+MAX(0,Entrées!$C$30-Entrées!$C$35-Entrées!$C$36)*U298)*1000</f>
        <v>878.023870404611</v>
      </c>
      <c r="AP298" s="2" t="n">
        <f aca="false">-AO298/W298</f>
        <v>-86.0202194384227</v>
      </c>
      <c r="AQ298" s="2" t="n">
        <f aca="false">AL298+AM298+AN298+AP298</f>
        <v>8009.09594183587</v>
      </c>
      <c r="AR298" s="2" t="n">
        <f aca="false">O298*AQ298-Hypothèses!$J$25/Hypothèses!$J$19</f>
        <v>1373.21159578088</v>
      </c>
      <c r="AS298" s="2" t="n">
        <f aca="false">Entrées!$C$79*(1+Q298)+Hypothèses!$J$20</f>
        <v>1488.53468150783</v>
      </c>
      <c r="AT298" s="2" t="n">
        <f aca="false">AI298-AR298+AS298+Y298*1000-AO298+Hypothèses!$J$23</f>
        <v>22023.409388222</v>
      </c>
      <c r="AU298" s="2" t="n">
        <f aca="false">AT298/AQ298</f>
        <v>2.74979967129395</v>
      </c>
      <c r="AV298" s="2" t="n">
        <f aca="false">Hypothèses!$J$26*AQ298-AT298</f>
        <v>2003.87843728561</v>
      </c>
      <c r="AW298" s="2" t="n">
        <f aca="false">IF(AC298&gt;Hypothèses!$J$26,MAX(0,AV298)/(1-Hypothèses!$J$26/AC298),0)</f>
        <v>2850.79825364282</v>
      </c>
      <c r="AX298" s="2" t="n">
        <f aca="false">AQ298-Entrées!$C$17*1000</f>
        <v>9.09594183586523</v>
      </c>
      <c r="AY298" s="2" t="n">
        <f aca="false">AI298+(Entrées!$C$244-Entrées!$C$13)</f>
        <v>28188.9675680103</v>
      </c>
      <c r="AZ298" s="2" t="n">
        <f aca="false">AA298*AH298</f>
        <v>5494.02123432531</v>
      </c>
      <c r="BA298" s="2" t="n">
        <f aca="false">AZ298/AY298</f>
        <v>0.194899696878579</v>
      </c>
      <c r="BB298" s="2" t="n">
        <f aca="false">AZ298/(Entrées!$C$151/100)-AY298</f>
        <v>2333.3726226858</v>
      </c>
      <c r="BC298" s="2" t="n">
        <f aca="false">AT298+(Entrées!$C$244-Entrées!$C$13)</f>
        <v>27770.409388222</v>
      </c>
      <c r="BD298" s="2" t="n">
        <f aca="false">AA298*AQ298</f>
        <v>5868.23691458027</v>
      </c>
      <c r="BE298" s="2" t="n">
        <f aca="false">BD298/BC298</f>
        <v>0.211312582128124</v>
      </c>
      <c r="BF298" s="2" t="n">
        <f aca="false">BD298/(Entrées!$C$151/100)-BC298</f>
        <v>4830.90680389063</v>
      </c>
      <c r="BG298" s="2" t="n">
        <f aca="false">MIN(AV298,BF298)</f>
        <v>2003.87843728561</v>
      </c>
      <c r="BH298" s="2" t="n">
        <f aca="false">IF(AC298&gt;Hypothèses!$J$26,MAX(0,BG298)/(1-Hypothèses!$J$26/AC298),0)</f>
        <v>2850.79825364282</v>
      </c>
    </row>
    <row r="299" customFormat="false" ht="15" hidden="false" customHeight="false" outlineLevel="0" collapsed="false">
      <c r="A299" s="2" t="n">
        <v>284</v>
      </c>
      <c r="B299" s="2" t="n">
        <v>0.060623624</v>
      </c>
      <c r="C299" s="2"/>
      <c r="D299" s="2" t="n">
        <v>0.861231021</v>
      </c>
      <c r="E299" s="2" t="n">
        <f aca="false">IF(E$7=E$5,E$6,IF(NORMSDIST(E$9*SQRT($C$11)*NORMSINV($B299)+SQRT(1-E$9^2*$C$11)*NORMSINV(D299))&lt;E$8,E$5+SQRT(NORMSDIST(E$9*SQRT($C$11)*NORMSINV($B299)+SQRT(1-E$9^2*$C$11)*NORMSINV(D299))*(E$7-E$5)*(E$6-E$5)),E$7-SQRT((1-NORMSDIST(E$9*SQRT($C$11)*NORMSINV($B299)+SQRT(1-E$9^2*$C$11)*NORMSINV(D299)))*(E$7-E$5)*(E$7-E$6))))</f>
        <v>0.0547157033067667</v>
      </c>
      <c r="F299" s="2" t="n">
        <v>0.501594125</v>
      </c>
      <c r="G299" s="2" t="n">
        <f aca="false">IF(G$7=G$5,G$6,IF(NORMSDIST(G$9*SQRT($C$11)*NORMSINV($B299)+SQRT(1-G$9^2*$C$11)*NORMSINV(F299))&lt;G$8,G$5+SQRT(NORMSDIST(G$9*SQRT($C$11)*NORMSINV($B299)+SQRT(1-G$9^2*$C$11)*NORMSINV(F299))*(G$7-G$5)*(G$6-G$5)),G$7-SQRT((1-NORMSDIST(G$9*SQRT($C$11)*NORMSINV($B299)+SQRT(1-G$9^2*$C$11)*NORMSINV(F299)))*(G$7-G$5)*(G$7-G$6))))</f>
        <v>0.0485985809316308</v>
      </c>
      <c r="H299" s="2" t="n">
        <v>0.785329953</v>
      </c>
      <c r="I299" s="2" t="n">
        <f aca="false">IF(I$7=I$5,I$6,IF(NORMSDIST(I$9*SQRT($C$11)*NORMSINV($B299)+SQRT(1-I$9^2*$C$11)*NORMSINV(H299))&lt;I$8,I$5+SQRT(NORMSDIST(I$9*SQRT($C$11)*NORMSINV($B299)+SQRT(1-I$9^2*$C$11)*NORMSINV(H299))*(I$7-I$5)*(I$6-I$5)),I$7-SQRT((1-NORMSDIST(I$9*SQRT($C$11)*NORMSINV($B299)+SQRT(1-I$9^2*$C$11)*NORMSINV(H299)))*(I$7-I$5)*(I$7-I$6))))</f>
        <v>196.887713188266</v>
      </c>
      <c r="J299" s="2" t="n">
        <v>0.507053607</v>
      </c>
      <c r="K299" s="2" t="n">
        <f aca="false">IF(K$7=K$5,K$6,IF(NORMSDIST(K$9*SQRT($C$11)*NORMSINV($B299)+SQRT(1-K$9^2*$C$11)*NORMSINV(J299))&lt;K$8,K$5+SQRT(NORMSDIST(K$9*SQRT($C$11)*NORMSINV($B299)+SQRT(1-K$9^2*$C$11)*NORMSINV(J299))*(K$7-K$5)*(K$6-K$5)),K$7-SQRT((1-NORMSDIST(K$9*SQRT($C$11)*NORMSINV($B299)+SQRT(1-K$9^2*$C$11)*NORMSINV(J299)))*(K$7-K$5)*(K$7-K$6))))</f>
        <v>0.144455526754308</v>
      </c>
      <c r="L299" s="2" t="n">
        <v>0.509930924</v>
      </c>
      <c r="M299" s="2" t="n">
        <f aca="false">IF(M$7=M$5,M$6,IF(NORMSDIST(M$9*SQRT($C$11)*NORMSINV($B299)+SQRT(1-M$9^2*$C$11)*NORMSINV(L299))&lt;M$8,M$5+SQRT(NORMSDIST(M$9*SQRT($C$11)*NORMSINV($B299)+SQRT(1-M$9^2*$C$11)*NORMSINV(L299))*(M$7-M$5)*(M$6-M$5)),M$7-SQRT((1-NORMSDIST(M$9*SQRT($C$11)*NORMSINV($B299)+SQRT(1-M$9^2*$C$11)*NORMSINV(L299)))*(M$7-M$5)*(M$7-M$6))))</f>
        <v>1466.91600450573</v>
      </c>
      <c r="N299" s="2" t="n">
        <v>0.656037883</v>
      </c>
      <c r="O299" s="2" t="n">
        <f aca="false">IF(O$7=O$5,O$6,IF(NORMSDIST(O$9*SQRT($C$11)*NORMSINV($B299)+SQRT(1-O$9^2*$C$11)*NORMSINV(N299))&lt;O$8,O$5+SQRT(NORMSDIST(O$9*SQRT($C$11)*NORMSINV($B299)+SQRT(1-O$9^2*$C$11)*NORMSINV(N299))*(O$7-O$5)*(O$6-O$5)),O$7-SQRT((1-NORMSDIST(O$9*SQRT($C$11)*NORMSINV($B299)+SQRT(1-O$9^2*$C$11)*NORMSINV(N299)))*(O$7-O$5)*(O$7-O$6))))</f>
        <v>0.159006878708722</v>
      </c>
      <c r="P299" s="2" t="n">
        <v>0.64115792</v>
      </c>
      <c r="Q299" s="2" t="n">
        <f aca="false">IF(Q$7=Q$5,Q$6,IF(NORMSDIST(Q$9*SQRT($C$11)*NORMSINV($B299)+SQRT(1-Q$9^2*$C$11)*NORMSINV(P299))&lt;Q$8,Q$5+SQRT(NORMSDIST(Q$9*SQRT($C$11)*NORMSINV($B299)+SQRT(1-Q$9^2*$C$11)*NORMSINV(P299))*(Q$7-Q$5)*(Q$6-Q$5)),Q$7-SQRT((1-NORMSDIST(Q$9*SQRT($C$11)*NORMSINV($B299)+SQRT(1-Q$9^2*$C$11)*NORMSINV(P299)))*(Q$7-Q$5)*(Q$7-Q$6))))</f>
        <v>0.0861135033383502</v>
      </c>
      <c r="R299" s="2" t="n">
        <v>0.650918285</v>
      </c>
      <c r="S299" s="2" t="n">
        <f aca="false">IF(S$7=S$5,S$6,IF(NORMSDIST(S$9*SQRT($C$11)*NORMSINV($B299)+SQRT(1-S$9^2*$C$11)*NORMSINV(R299))&lt;S$8,S$5+SQRT(NORMSDIST(S$9*SQRT($C$11)*NORMSINV($B299)+SQRT(1-S$9^2*$C$11)*NORMSINV(R299))*(S$7-S$5)*(S$6-S$5)),S$7-SQRT((1-NORMSDIST(S$9*SQRT($C$11)*NORMSINV($B299)+SQRT(1-S$9^2*$C$11)*NORMSINV(R299)))*(S$7-S$5)*(S$7-S$6))))</f>
        <v>0.352396613744538</v>
      </c>
      <c r="T299" s="2" t="n">
        <v>0.454348422</v>
      </c>
      <c r="U299" s="2" t="n">
        <f aca="false">IF(U$7=U$5,U$6,IF(NORMSDIST(U$9*SQRT($C$11)*NORMSINV($B299)+SQRT(1-U$9^2*$C$11)*NORMSINV(T299))&lt;U$8,U$5+SQRT(NORMSDIST(U$9*SQRT($C$11)*NORMSINV($B299)+SQRT(1-U$9^2*$C$11)*NORMSINV(T299))*(U$7-U$5)*(U$6-U$5)),U$7-SQRT((1-NORMSDIST(U$9*SQRT($C$11)*NORMSINV($B299)+SQRT(1-U$9^2*$C$11)*NORMSINV(T299)))*(U$7-U$5)*(U$7-U$6))))</f>
        <v>0.266989079275714</v>
      </c>
      <c r="V299" s="2" t="n">
        <v>0.806554365</v>
      </c>
      <c r="W299" s="2" t="n">
        <f aca="false">IF(W$7=W$5,W$6,IF(NORMSDIST(W$9*SQRT($C$11)*NORMSINV($B299)+SQRT(1-W$9^2*$C$11)*NORMSINV(V299))&lt;W$8,W$5+SQRT(NORMSDIST(W$9*SQRT($C$11)*NORMSINV($B299)+SQRT(1-W$9^2*$C$11)*NORMSINV(V299))*(W$7-W$5)*(W$6-W$5)),W$7-SQRT((1-NORMSDIST(W$9*SQRT($C$11)*NORMSINV($B299)+SQRT(1-W$9^2*$C$11)*NORMSINV(V299)))*(W$7-W$5)*(W$7-W$6))))</f>
        <v>9.73979102200207</v>
      </c>
      <c r="X299" s="2" t="n">
        <v>0.439189588</v>
      </c>
      <c r="Y299" s="2" t="n">
        <f aca="false">IF(Y$7=Y$5,Y$6,IF(NORMSDIST(Y$9*SQRT($C$11)*NORMSINV($B299)+SQRT(1-Y$9^2*$C$11)*NORMSINV(X299))&lt;Y$8,Y$5+SQRT(NORMSDIST(Y$9*SQRT($C$11)*NORMSINV($B299)+SQRT(1-Y$9^2*$C$11)*NORMSINV(X299))*(Y$7-Y$5)*(Y$6-Y$5)),Y$7-SQRT((1-NORMSDIST(Y$9*SQRT($C$11)*NORMSINV($B299)+SQRT(1-Y$9^2*$C$11)*NORMSINV(X299)))*(Y$7-Y$5)*(Y$7-Y$6))))</f>
        <v>0.468609425854837</v>
      </c>
      <c r="Z299" s="2" t="n">
        <v>0.408219249</v>
      </c>
      <c r="AA299" s="2" t="n">
        <f aca="false">IF(AA$7=AA$5,AA$6,IF(NORMSDIST(AA$9*SQRT($C$11)*NORMSINV($B299)+SQRT(1-AA$9^2*$C$11)*NORMSINV(Z299))&lt;AA$8,AA$5+SQRT(NORMSDIST(AA$9*SQRT($C$11)*NORMSINV($B299)+SQRT(1-AA$9^2*$C$11)*NORMSINV(Z299))*(AA$7-AA$5)*(AA$6-AA$5)),AA$7-SQRT((1-NORMSDIST(AA$9*SQRT($C$11)*NORMSINV($B299)+SQRT(1-AA$9^2*$C$11)*NORMSINV(Z299)))*(AA$7-AA$5)*(AA$7-AA$6))))</f>
        <v>0.711557657245049</v>
      </c>
      <c r="AB299" s="2" t="n">
        <v>0.175715899</v>
      </c>
      <c r="AC299" s="2" t="n">
        <f aca="false">IF(AC$7=AC$5,AC$6,IF(NORMSDIST(AC$9*SQRT($C$11)*NORMSINV($B299)+SQRT(1-AC$9^2*$C$11)*NORMSINV(AB299))&lt;AC$8,AC$5+SQRT(NORMSDIST(AC$9*SQRT($C$11)*NORMSINV($B299)+SQRT(1-AC$9^2*$C$11)*NORMSINV(AB299))*(AC$7-AC$5)*(AC$6-AC$5)),AC$7-SQRT((1-NORMSDIST(AC$9*SQRT($C$11)*NORMSINV($B299)+SQRT(1-AC$9^2*$C$11)*NORMSINV(AB299)))*(AC$7-AC$5)*(AC$7-AC$6))))</f>
        <v>8.01933673884488</v>
      </c>
      <c r="AD299" s="2" t="n">
        <f aca="false">Entrées!$C$8*(1+E299)</f>
        <v>7435.74570831271</v>
      </c>
      <c r="AE299" s="2" t="n">
        <f aca="false">I299*Hypothèses!$J$24/12/Hypothèses!$J$19</f>
        <v>97.6753643490577</v>
      </c>
      <c r="AF299" s="2" t="n">
        <f aca="false">Entrées!$C$36*S299*1000</f>
        <v>176.198306872269</v>
      </c>
      <c r="AG299" s="2" t="n">
        <f aca="false">-AF299/W299</f>
        <v>-18.0905633882944</v>
      </c>
      <c r="AH299" s="2" t="n">
        <f aca="false">AD299+AE299+AG299</f>
        <v>7515.33050927347</v>
      </c>
      <c r="AI299" s="2" t="n">
        <f aca="false">Entrées!$C$16-M299+Hypothèses!$J$22*1000-AF299+Hypothèses!$J$23</f>
        <v>22904.885688622</v>
      </c>
      <c r="AJ299" s="2" t="n">
        <f aca="false">AI299/AH299</f>
        <v>3.04775494043259</v>
      </c>
      <c r="AK299" s="2" t="n">
        <f aca="false">AI299/(AH299+I299*(12-Hypothèses!$J$24)/12/Hypothèses!$J$19)</f>
        <v>3.01972153771332</v>
      </c>
      <c r="AL299" s="2" t="n">
        <f aca="false">(AD299+AG299+I299/Hypothèses!$J$19)*(1+G299)</f>
        <v>7953.72365614807</v>
      </c>
      <c r="AM299" s="2" t="n">
        <f aca="false">Entrées!$C$54*K299/Hypothèses!$J$19</f>
        <v>14.7422930348391</v>
      </c>
      <c r="AN299" s="2" t="n">
        <f aca="false">Y299*1000/AC299</f>
        <v>58.4349355957257</v>
      </c>
      <c r="AO299" s="2" t="n">
        <f aca="false">(Entrées!$C$36*(1-S299)+MAX(0,Entrées!$C$30-Entrées!$C$35-Entrées!$C$36)*U299)*1000</f>
        <v>697.586404113731</v>
      </c>
      <c r="AP299" s="2" t="n">
        <f aca="false">-AO299/W299</f>
        <v>-71.6223174129601</v>
      </c>
      <c r="AQ299" s="2" t="n">
        <f aca="false">AL299+AM299+AN299+AP299</f>
        <v>7955.27856736567</v>
      </c>
      <c r="AR299" s="2" t="n">
        <f aca="false">O299*AQ299-Hypothèses!$J$25/Hypothèses!$J$19</f>
        <v>1245.80885199359</v>
      </c>
      <c r="AS299" s="2" t="n">
        <f aca="false">Entrées!$C$79*(1+Q299)+Hypothèses!$J$20</f>
        <v>1488.63874016885</v>
      </c>
      <c r="AT299" s="2" t="n">
        <f aca="false">AI299-AR299+AS299+Y299*1000-AO299+Hypothèses!$J$23</f>
        <v>22918.7385985384</v>
      </c>
      <c r="AU299" s="2" t="n">
        <f aca="false">AT299/AQ299</f>
        <v>2.88094733634547</v>
      </c>
      <c r="AV299" s="2" t="n">
        <f aca="false">Hypothèses!$J$26*AQ299-AT299</f>
        <v>947.097103558641</v>
      </c>
      <c r="AW299" s="2" t="n">
        <f aca="false">IF(AC299&gt;Hypothèses!$J$26,MAX(0,AV299)/(1-Hypothèses!$J$26/AC299),0)</f>
        <v>1513.16617971507</v>
      </c>
      <c r="AX299" s="2" t="n">
        <f aca="false">AQ299-Entrées!$C$17*1000</f>
        <v>-44.7214326343301</v>
      </c>
      <c r="AY299" s="2" t="n">
        <f aca="false">AI299+(Entrées!$C$244-Entrées!$C$13)</f>
        <v>28651.885688622</v>
      </c>
      <c r="AZ299" s="2" t="n">
        <f aca="false">AA299*AH299</f>
        <v>5347.59097060087</v>
      </c>
      <c r="BA299" s="2" t="n">
        <f aca="false">AZ299/AY299</f>
        <v>0.186640105601303</v>
      </c>
      <c r="BB299" s="2" t="n">
        <f aca="false">AZ299/(Entrées!$C$151/100)-AY299</f>
        <v>1056.9530369384</v>
      </c>
      <c r="BC299" s="2" t="n">
        <f aca="false">AT299+(Entrées!$C$244-Entrées!$C$13)</f>
        <v>28665.7385985384</v>
      </c>
      <c r="BD299" s="2" t="n">
        <f aca="false">AA299*AQ299</f>
        <v>5660.63938012647</v>
      </c>
      <c r="BE299" s="2" t="n">
        <f aca="false">BD299/BC299</f>
        <v>0.197470557427573</v>
      </c>
      <c r="BF299" s="2" t="n">
        <f aca="false">BD299/(Entrées!$C$151/100)-BC299</f>
        <v>2782.25795771978</v>
      </c>
      <c r="BG299" s="2" t="n">
        <f aca="false">MIN(AV299,BF299)</f>
        <v>947.097103558641</v>
      </c>
      <c r="BH299" s="2" t="n">
        <f aca="false">IF(AC299&gt;Hypothèses!$J$26,MAX(0,BG299)/(1-Hypothèses!$J$26/AC299),0)</f>
        <v>1513.16617971507</v>
      </c>
    </row>
    <row r="300" customFormat="false" ht="15" hidden="false" customHeight="false" outlineLevel="0" collapsed="false">
      <c r="A300" s="2" t="n">
        <v>285</v>
      </c>
      <c r="B300" s="2" t="n">
        <v>0.230639215</v>
      </c>
      <c r="C300" s="2"/>
      <c r="D300" s="2" t="n">
        <v>0.456030373</v>
      </c>
      <c r="E300" s="2" t="n">
        <f aca="false">IF(E$7=E$5,E$6,IF(NORMSDIST(E$9*SQRT($C$11)*NORMSINV($B300)+SQRT(1-E$9^2*$C$11)*NORMSINV(D300))&lt;E$8,E$5+SQRT(NORMSDIST(E$9*SQRT($C$11)*NORMSINV($B300)+SQRT(1-E$9^2*$C$11)*NORMSINV(D300))*(E$7-E$5)*(E$6-E$5)),E$7-SQRT((1-NORMSDIST(E$9*SQRT($C$11)*NORMSINV($B300)+SQRT(1-E$9^2*$C$11)*NORMSINV(D300)))*(E$7-E$5)*(E$7-E$6))))</f>
        <v>0.0538121139892777</v>
      </c>
      <c r="F300" s="2" t="n">
        <v>0.196243759</v>
      </c>
      <c r="G300" s="2" t="n">
        <f aca="false">IF(G$7=G$5,G$6,IF(NORMSDIST(G$9*SQRT($C$11)*NORMSINV($B300)+SQRT(1-G$9^2*$C$11)*NORMSINV(F300))&lt;G$8,G$5+SQRT(NORMSDIST(G$9*SQRT($C$11)*NORMSINV($B300)+SQRT(1-G$9^2*$C$11)*NORMSINV(F300))*(G$7-G$5)*(G$6-G$5)),G$7-SQRT((1-NORMSDIST(G$9*SQRT($C$11)*NORMSINV($B300)+SQRT(1-G$9^2*$C$11)*NORMSINV(F300)))*(G$7-G$5)*(G$7-G$6))))</f>
        <v>0.047636488246602</v>
      </c>
      <c r="H300" s="2" t="n">
        <v>0.480698805</v>
      </c>
      <c r="I300" s="2" t="n">
        <f aca="false">IF(I$7=I$5,I$6,IF(NORMSDIST(I$9*SQRT($C$11)*NORMSINV($B300)+SQRT(1-I$9^2*$C$11)*NORMSINV(H300))&lt;I$8,I$5+SQRT(NORMSDIST(I$9*SQRT($C$11)*NORMSINV($B300)+SQRT(1-I$9^2*$C$11)*NORMSINV(H300))*(I$7-I$5)*(I$6-I$5)),I$7-SQRT((1-NORMSDIST(I$9*SQRT($C$11)*NORMSINV($B300)+SQRT(1-I$9^2*$C$11)*NORMSINV(H300)))*(I$7-I$5)*(I$7-I$6))))</f>
        <v>195.679917187997</v>
      </c>
      <c r="J300" s="2" t="n">
        <v>0.659044825</v>
      </c>
      <c r="K300" s="2" t="n">
        <f aca="false">IF(K$7=K$5,K$6,IF(NORMSDIST(K$9*SQRT($C$11)*NORMSINV($B300)+SQRT(1-K$9^2*$C$11)*NORMSINV(J300))&lt;K$8,K$5+SQRT(NORMSDIST(K$9*SQRT($C$11)*NORMSINV($B300)+SQRT(1-K$9^2*$C$11)*NORMSINV(J300))*(K$7-K$5)*(K$6-K$5)),K$7-SQRT((1-NORMSDIST(K$9*SQRT($C$11)*NORMSINV($B300)+SQRT(1-K$9^2*$C$11)*NORMSINV(J300)))*(K$7-K$5)*(K$7-K$6))))</f>
        <v>0.234782024446384</v>
      </c>
      <c r="L300" s="2" t="n">
        <v>0.005350284</v>
      </c>
      <c r="M300" s="2" t="n">
        <f aca="false">IF(M$7=M$5,M$6,IF(NORMSDIST(M$9*SQRT($C$11)*NORMSINV($B300)+SQRT(1-M$9^2*$C$11)*NORMSINV(L300))&lt;M$8,M$5+SQRT(NORMSDIST(M$9*SQRT($C$11)*NORMSINV($B300)+SQRT(1-M$9^2*$C$11)*NORMSINV(L300))*(M$7-M$5)*(M$6-M$5)),M$7-SQRT((1-NORMSDIST(M$9*SQRT($C$11)*NORMSINV($B300)+SQRT(1-M$9^2*$C$11)*NORMSINV(L300)))*(M$7-M$5)*(M$7-M$6))))</f>
        <v>1337.25325204617</v>
      </c>
      <c r="N300" s="2" t="n">
        <v>0.626350561</v>
      </c>
      <c r="O300" s="2" t="n">
        <f aca="false">IF(O$7=O$5,O$6,IF(NORMSDIST(O$9*SQRT($C$11)*NORMSINV($B300)+SQRT(1-O$9^2*$C$11)*NORMSINV(N300))&lt;O$8,O$5+SQRT(NORMSDIST(O$9*SQRT($C$11)*NORMSINV($B300)+SQRT(1-O$9^2*$C$11)*NORMSINV(N300))*(O$7-O$5)*(O$6-O$5)),O$7-SQRT((1-NORMSDIST(O$9*SQRT($C$11)*NORMSINV($B300)+SQRT(1-O$9^2*$C$11)*NORMSINV(N300)))*(O$7-O$5)*(O$7-O$6))))</f>
        <v>0.164382593494217</v>
      </c>
      <c r="P300" s="2" t="n">
        <v>0.241784967</v>
      </c>
      <c r="Q300" s="2" t="n">
        <f aca="false">IF(Q$7=Q$5,Q$6,IF(NORMSDIST(Q$9*SQRT($C$11)*NORMSINV($B300)+SQRT(1-Q$9^2*$C$11)*NORMSINV(P300))&lt;Q$8,Q$5+SQRT(NORMSDIST(Q$9*SQRT($C$11)*NORMSINV($B300)+SQRT(1-Q$9^2*$C$11)*NORMSINV(P300))*(Q$7-Q$5)*(Q$6-Q$5)),Q$7-SQRT((1-NORMSDIST(Q$9*SQRT($C$11)*NORMSINV($B300)+SQRT(1-Q$9^2*$C$11)*NORMSINV(P300)))*(Q$7-Q$5)*(Q$7-Q$6))))</f>
        <v>0.0678156771335878</v>
      </c>
      <c r="R300" s="2" t="n">
        <v>0.939996917</v>
      </c>
      <c r="S300" s="2" t="n">
        <f aca="false">IF(S$7=S$5,S$6,IF(NORMSDIST(S$9*SQRT($C$11)*NORMSINV($B300)+SQRT(1-S$9^2*$C$11)*NORMSINV(R300))&lt;S$8,S$5+SQRT(NORMSDIST(S$9*SQRT($C$11)*NORMSINV($B300)+SQRT(1-S$9^2*$C$11)*NORMSINV(R300))*(S$7-S$5)*(S$6-S$5)),S$7-SQRT((1-NORMSDIST(S$9*SQRT($C$11)*NORMSINV($B300)+SQRT(1-S$9^2*$C$11)*NORMSINV(R300)))*(S$7-S$5)*(S$7-S$6))))</f>
        <v>0.660771154930732</v>
      </c>
      <c r="T300" s="2" t="n">
        <v>0.566728251</v>
      </c>
      <c r="U300" s="2" t="n">
        <f aca="false">IF(U$7=U$5,U$6,IF(NORMSDIST(U$9*SQRT($C$11)*NORMSINV($B300)+SQRT(1-U$9^2*$C$11)*NORMSINV(T300))&lt;U$8,U$5+SQRT(NORMSDIST(U$9*SQRT($C$11)*NORMSINV($B300)+SQRT(1-U$9^2*$C$11)*NORMSINV(T300))*(U$7-U$5)*(U$6-U$5)),U$7-SQRT((1-NORMSDIST(U$9*SQRT($C$11)*NORMSINV($B300)+SQRT(1-U$9^2*$C$11)*NORMSINV(T300)))*(U$7-U$5)*(U$7-U$6))))</f>
        <v>0.429252909865648</v>
      </c>
      <c r="V300" s="2" t="n">
        <v>0.478297976</v>
      </c>
      <c r="W300" s="2" t="n">
        <f aca="false">IF(W$7=W$5,W$6,IF(NORMSDIST(W$9*SQRT($C$11)*NORMSINV($B300)+SQRT(1-W$9^2*$C$11)*NORMSINV(V300))&lt;W$8,W$5+SQRT(NORMSDIST(W$9*SQRT($C$11)*NORMSINV($B300)+SQRT(1-W$9^2*$C$11)*NORMSINV(V300))*(W$7-W$5)*(W$6-W$5)),W$7-SQRT((1-NORMSDIST(W$9*SQRT($C$11)*NORMSINV($B300)+SQRT(1-W$9^2*$C$11)*NORMSINV(V300)))*(W$7-W$5)*(W$7-W$6))))</f>
        <v>9.56380611672729</v>
      </c>
      <c r="X300" s="2" t="n">
        <v>0.77075018</v>
      </c>
      <c r="Y300" s="2" t="n">
        <f aca="false">IF(Y$7=Y$5,Y$6,IF(NORMSDIST(Y$9*SQRT($C$11)*NORMSINV($B300)+SQRT(1-Y$9^2*$C$11)*NORMSINV(X300))&lt;Y$8,Y$5+SQRT(NORMSDIST(Y$9*SQRT($C$11)*NORMSINV($B300)+SQRT(1-Y$9^2*$C$11)*NORMSINV(X300))*(Y$7-Y$5)*(Y$6-Y$5)),Y$7-SQRT((1-NORMSDIST(Y$9*SQRT($C$11)*NORMSINV($B300)+SQRT(1-Y$9^2*$C$11)*NORMSINV(X300)))*(Y$7-Y$5)*(Y$7-Y$6))))</f>
        <v>0.661436992570068</v>
      </c>
      <c r="Z300" s="2" t="n">
        <v>0.542279331</v>
      </c>
      <c r="AA300" s="2" t="n">
        <f aca="false">IF(AA$7=AA$5,AA$6,IF(NORMSDIST(AA$9*SQRT($C$11)*NORMSINV($B300)+SQRT(1-AA$9^2*$C$11)*NORMSINV(Z300))&lt;AA$8,AA$5+SQRT(NORMSDIST(AA$9*SQRT($C$11)*NORMSINV($B300)+SQRT(1-AA$9^2*$C$11)*NORMSINV(Z300))*(AA$7-AA$5)*(AA$6-AA$5)),AA$7-SQRT((1-NORMSDIST(AA$9*SQRT($C$11)*NORMSINV($B300)+SQRT(1-AA$9^2*$C$11)*NORMSINV(Z300)))*(AA$7-AA$5)*(AA$7-AA$6))))</f>
        <v>0.72272819486518</v>
      </c>
      <c r="AB300" s="2" t="n">
        <v>0.743612767</v>
      </c>
      <c r="AC300" s="2" t="n">
        <f aca="false">IF(AC$7=AC$5,AC$6,IF(NORMSDIST(AC$9*SQRT($C$11)*NORMSINV($B300)+SQRT(1-AC$9^2*$C$11)*NORMSINV(AB300))&lt;AC$8,AC$5+SQRT(NORMSDIST(AC$9*SQRT($C$11)*NORMSINV($B300)+SQRT(1-AC$9^2*$C$11)*NORMSINV(AB300))*(AC$7-AC$5)*(AC$6-AC$5)),AC$7-SQRT((1-NORMSDIST(AC$9*SQRT($C$11)*NORMSINV($B300)+SQRT(1-AC$9^2*$C$11)*NORMSINV(AB300)))*(AC$7-AC$5)*(AC$7-AC$6))))</f>
        <v>9.512202736641</v>
      </c>
      <c r="AD300" s="2" t="n">
        <f aca="false">Entrées!$C$8*(1+E300)</f>
        <v>7429.37540362441</v>
      </c>
      <c r="AE300" s="2" t="n">
        <f aca="false">I300*Hypothèses!$J$24/12/Hypothèses!$J$19</f>
        <v>97.076180619026</v>
      </c>
      <c r="AF300" s="2" t="n">
        <f aca="false">Entrées!$C$36*S300*1000</f>
        <v>330.385577465366</v>
      </c>
      <c r="AG300" s="2" t="n">
        <f aca="false">-AF300/W300</f>
        <v>-34.5454072816799</v>
      </c>
      <c r="AH300" s="2" t="n">
        <f aca="false">AD300+AE300+AG300</f>
        <v>7491.90617696175</v>
      </c>
      <c r="AI300" s="2" t="n">
        <f aca="false">Entrées!$C$16-M300+Hypothèses!$J$22*1000-AF300+Hypothèses!$J$23</f>
        <v>22880.3611704885</v>
      </c>
      <c r="AJ300" s="2" t="n">
        <f aca="false">AI300/AH300</f>
        <v>3.05401063895428</v>
      </c>
      <c r="AK300" s="2" t="n">
        <f aca="false">AI300/(AH300+I300*(12-Hypothèses!$J$24)/12/Hypothèses!$J$19)</f>
        <v>3.02600394757767</v>
      </c>
      <c r="AL300" s="2" t="n">
        <f aca="false">(AD300+AG300+I300/Hypothèses!$J$19)*(1+G300)</f>
        <v>7921.4375267596</v>
      </c>
      <c r="AM300" s="2" t="n">
        <f aca="false">Entrées!$C$54*K300/Hypothèses!$J$19</f>
        <v>23.9604913807711</v>
      </c>
      <c r="AN300" s="2" t="n">
        <f aca="false">Y300*1000/AC300</f>
        <v>69.5356281697207</v>
      </c>
      <c r="AO300" s="2" t="n">
        <f aca="false">(Entrées!$C$36*(1-S300)+MAX(0,Entrées!$C$30-Entrées!$C$35-Entrées!$C$36)*U300)*1000</f>
        <v>770.568496346542</v>
      </c>
      <c r="AP300" s="2" t="n">
        <f aca="false">-AO300/W300</f>
        <v>-80.5713213904245</v>
      </c>
      <c r="AQ300" s="2" t="n">
        <f aca="false">AL300+AM300+AN300+AP300</f>
        <v>7934.36232491967</v>
      </c>
      <c r="AR300" s="2" t="n">
        <f aca="false">O300*AQ300-Hypothèses!$J$25/Hypothèses!$J$19</f>
        <v>1285.13589443147</v>
      </c>
      <c r="AS300" s="2" t="n">
        <f aca="false">Entrées!$C$79*(1+Q300)+Hypothèses!$J$20</f>
        <v>1468.52942916981</v>
      </c>
      <c r="AT300" s="2" t="n">
        <f aca="false">AI300-AR300+AS300+Y300*1000-AO300+Hypothèses!$J$23</f>
        <v>22954.6232014503</v>
      </c>
      <c r="AU300" s="2" t="n">
        <f aca="false">AT300/AQ300</f>
        <v>2.89306465490694</v>
      </c>
      <c r="AV300" s="2" t="n">
        <f aca="false">Hypothèses!$J$26*AQ300-AT300</f>
        <v>848.463773308678</v>
      </c>
      <c r="AW300" s="2" t="n">
        <f aca="false">IF(AC300&gt;Hypothèses!$J$26,MAX(0,AV300)/(1-Hypothèses!$J$26/AC300),0)</f>
        <v>1239.32865004299</v>
      </c>
      <c r="AX300" s="2" t="n">
        <f aca="false">AQ300-Entrées!$C$17*1000</f>
        <v>-65.637675080332</v>
      </c>
      <c r="AY300" s="2" t="n">
        <f aca="false">AI300+(Entrées!$C$244-Entrées!$C$13)</f>
        <v>28627.3611704885</v>
      </c>
      <c r="AZ300" s="2" t="n">
        <f aca="false">AA300*AH300</f>
        <v>5414.61182737486</v>
      </c>
      <c r="BA300" s="2" t="n">
        <f aca="false">AZ300/AY300</f>
        <v>0.189141143507027</v>
      </c>
      <c r="BB300" s="2" t="n">
        <f aca="false">AZ300/(Entrées!$C$151/100)-AY300</f>
        <v>1453.81564826077</v>
      </c>
      <c r="BC300" s="2" t="n">
        <f aca="false">AT300+(Entrées!$C$244-Entrées!$C$13)</f>
        <v>28701.6232014503</v>
      </c>
      <c r="BD300" s="2" t="n">
        <f aca="false">AA300*AQ300</f>
        <v>5734.38736049549</v>
      </c>
      <c r="BE300" s="2" t="n">
        <f aca="false">BD300/BC300</f>
        <v>0.199793137839177</v>
      </c>
      <c r="BF300" s="2" t="n">
        <f aca="false">BD300/(Entrées!$C$151/100)-BC300</f>
        <v>3156.08435685794</v>
      </c>
      <c r="BG300" s="2" t="n">
        <f aca="false">MIN(AV300,BF300)</f>
        <v>848.463773308678</v>
      </c>
      <c r="BH300" s="2" t="n">
        <f aca="false">IF(AC300&gt;Hypothèses!$J$26,MAX(0,BG300)/(1-Hypothèses!$J$26/AC300),0)</f>
        <v>1239.32865004299</v>
      </c>
    </row>
    <row r="301" customFormat="false" ht="15" hidden="false" customHeight="false" outlineLevel="0" collapsed="false">
      <c r="A301" s="2" t="n">
        <v>286</v>
      </c>
      <c r="B301" s="2" t="n">
        <v>0.551261159</v>
      </c>
      <c r="C301" s="2"/>
      <c r="D301" s="2" t="n">
        <v>0.732694315</v>
      </c>
      <c r="E301" s="2" t="n">
        <f aca="false">IF(E$7=E$5,E$6,IF(NORMSDIST(E$9*SQRT($C$11)*NORMSINV($B301)+SQRT(1-E$9^2*$C$11)*NORMSINV(D301))&lt;E$8,E$5+SQRT(NORMSDIST(E$9*SQRT($C$11)*NORMSINV($B301)+SQRT(1-E$9^2*$C$11)*NORMSINV(D301))*(E$7-E$5)*(E$6-E$5)),E$7-SQRT((1-NORMSDIST(E$9*SQRT($C$11)*NORMSINV($B301)+SQRT(1-E$9^2*$C$11)*NORMSINV(D301)))*(E$7-E$5)*(E$7-E$6))))</f>
        <v>0.0562126052349186</v>
      </c>
      <c r="F301" s="2" t="n">
        <v>0.85299934</v>
      </c>
      <c r="G301" s="2" t="n">
        <f aca="false">IF(G$7=G$5,G$6,IF(NORMSDIST(G$9*SQRT($C$11)*NORMSINV($B301)+SQRT(1-G$9^2*$C$11)*NORMSINV(F301))&lt;G$8,G$5+SQRT(NORMSDIST(G$9*SQRT($C$11)*NORMSINV($B301)+SQRT(1-G$9^2*$C$11)*NORMSINV(F301))*(G$7-G$5)*(G$6-G$5)),G$7-SQRT((1-NORMSDIST(G$9*SQRT($C$11)*NORMSINV($B301)+SQRT(1-G$9^2*$C$11)*NORMSINV(F301)))*(G$7-G$5)*(G$7-G$6))))</f>
        <v>0.0608618130962733</v>
      </c>
      <c r="H301" s="2" t="n">
        <v>0.183921301</v>
      </c>
      <c r="I301" s="2" t="n">
        <f aca="false">IF(I$7=I$5,I$6,IF(NORMSDIST(I$9*SQRT($C$11)*NORMSINV($B301)+SQRT(1-I$9^2*$C$11)*NORMSINV(H301))&lt;I$8,I$5+SQRT(NORMSDIST(I$9*SQRT($C$11)*NORMSINV($B301)+SQRT(1-I$9^2*$C$11)*NORMSINV(H301))*(I$7-I$5)*(I$6-I$5)),I$7-SQRT((1-NORMSDIST(I$9*SQRT($C$11)*NORMSINV($B301)+SQRT(1-I$9^2*$C$11)*NORMSINV(H301)))*(I$7-I$5)*(I$7-I$6))))</f>
        <v>194.667804939049</v>
      </c>
      <c r="J301" s="2" t="n">
        <v>0.667390376</v>
      </c>
      <c r="K301" s="2" t="n">
        <f aca="false">IF(K$7=K$5,K$6,IF(NORMSDIST(K$9*SQRT($C$11)*NORMSINV($B301)+SQRT(1-K$9^2*$C$11)*NORMSINV(J301))&lt;K$8,K$5+SQRT(NORMSDIST(K$9*SQRT($C$11)*NORMSINV($B301)+SQRT(1-K$9^2*$C$11)*NORMSINV(J301))*(K$7-K$5)*(K$6-K$5)),K$7-SQRT((1-NORMSDIST(K$9*SQRT($C$11)*NORMSINV($B301)+SQRT(1-K$9^2*$C$11)*NORMSINV(J301)))*(K$7-K$5)*(K$7-K$6))))</f>
        <v>0.29431251286214</v>
      </c>
      <c r="L301" s="2" t="n">
        <v>0.632664112</v>
      </c>
      <c r="M301" s="2" t="n">
        <f aca="false">IF(M$7=M$5,M$6,IF(NORMSDIST(M$9*SQRT($C$11)*NORMSINV($B301)+SQRT(1-M$9^2*$C$11)*NORMSINV(L301))&lt;M$8,M$5+SQRT(NORMSDIST(M$9*SQRT($C$11)*NORMSINV($B301)+SQRT(1-M$9^2*$C$11)*NORMSINV(L301))*(M$7-M$5)*(M$6-M$5)),M$7-SQRT((1-NORMSDIST(M$9*SQRT($C$11)*NORMSINV($B301)+SQRT(1-M$9^2*$C$11)*NORMSINV(L301)))*(M$7-M$5)*(M$7-M$6))))</f>
        <v>1621.0635962003</v>
      </c>
      <c r="N301" s="2" t="n">
        <v>0.088244421</v>
      </c>
      <c r="O301" s="2" t="n">
        <f aca="false">IF(O$7=O$5,O$6,IF(NORMSDIST(O$9*SQRT($C$11)*NORMSINV($B301)+SQRT(1-O$9^2*$C$11)*NORMSINV(N301))&lt;O$8,O$5+SQRT(NORMSDIST(O$9*SQRT($C$11)*NORMSINV($B301)+SQRT(1-O$9^2*$C$11)*NORMSINV(N301))*(O$7-O$5)*(O$6-O$5)),O$7-SQRT((1-NORMSDIST(O$9*SQRT($C$11)*NORMSINV($B301)+SQRT(1-O$9^2*$C$11)*NORMSINV(N301)))*(O$7-O$5)*(O$7-O$6))))</f>
        <v>0.155486439460577</v>
      </c>
      <c r="P301" s="2" t="n">
        <v>0.281485975</v>
      </c>
      <c r="Q301" s="2" t="n">
        <f aca="false">IF(Q$7=Q$5,Q$6,IF(NORMSDIST(Q$9*SQRT($C$11)*NORMSINV($B301)+SQRT(1-Q$9^2*$C$11)*NORMSINV(P301))&lt;Q$8,Q$5+SQRT(NORMSDIST(Q$9*SQRT($C$11)*NORMSINV($B301)+SQRT(1-Q$9^2*$C$11)*NORMSINV(P301))*(Q$7-Q$5)*(Q$6-Q$5)),Q$7-SQRT((1-NORMSDIST(Q$9*SQRT($C$11)*NORMSINV($B301)+SQRT(1-Q$9^2*$C$11)*NORMSINV(P301)))*(Q$7-Q$5)*(Q$7-Q$6))))</f>
        <v>0.0700125826945966</v>
      </c>
      <c r="R301" s="2" t="n">
        <v>0.460742258</v>
      </c>
      <c r="S301" s="2" t="n">
        <f aca="false">IF(S$7=S$5,S$6,IF(NORMSDIST(S$9*SQRT($C$11)*NORMSINV($B301)+SQRT(1-S$9^2*$C$11)*NORMSINV(R301))&lt;S$8,S$5+SQRT(NORMSDIST(S$9*SQRT($C$11)*NORMSINV($B301)+SQRT(1-S$9^2*$C$11)*NORMSINV(R301))*(S$7-S$5)*(S$6-S$5)),S$7-SQRT((1-NORMSDIST(S$9*SQRT($C$11)*NORMSINV($B301)+SQRT(1-S$9^2*$C$11)*NORMSINV(R301)))*(S$7-S$5)*(S$7-S$6))))</f>
        <v>0.501027037515668</v>
      </c>
      <c r="T301" s="2" t="n">
        <v>0.518653973</v>
      </c>
      <c r="U301" s="2" t="n">
        <f aca="false">IF(U$7=U$5,U$6,IF(NORMSDIST(U$9*SQRT($C$11)*NORMSINV($B301)+SQRT(1-U$9^2*$C$11)*NORMSINV(T301))&lt;U$8,U$5+SQRT(NORMSDIST(U$9*SQRT($C$11)*NORMSINV($B301)+SQRT(1-U$9^2*$C$11)*NORMSINV(T301))*(U$7-U$5)*(U$6-U$5)),U$7-SQRT((1-NORMSDIST(U$9*SQRT($C$11)*NORMSINV($B301)+SQRT(1-U$9^2*$C$11)*NORMSINV(T301)))*(U$7-U$5)*(U$7-U$6))))</f>
        <v>0.524004441321286</v>
      </c>
      <c r="V301" s="2" t="n">
        <v>0.810640845</v>
      </c>
      <c r="W301" s="2" t="n">
        <f aca="false">IF(W$7=W$5,W$6,IF(NORMSDIST(W$9*SQRT($C$11)*NORMSINV($B301)+SQRT(1-W$9^2*$C$11)*NORMSINV(V301))&lt;W$8,W$5+SQRT(NORMSDIST(W$9*SQRT($C$11)*NORMSINV($B301)+SQRT(1-W$9^2*$C$11)*NORMSINV(V301))*(W$7-W$5)*(W$6-W$5)),W$7-SQRT((1-NORMSDIST(W$9*SQRT($C$11)*NORMSINV($B301)+SQRT(1-W$9^2*$C$11)*NORMSINV(V301)))*(W$7-W$5)*(W$7-W$6))))</f>
        <v>10.6654407048894</v>
      </c>
      <c r="X301" s="2" t="n">
        <v>0.796953121</v>
      </c>
      <c r="Y301" s="2" t="n">
        <f aca="false">IF(Y$7=Y$5,Y$6,IF(NORMSDIST(Y$9*SQRT($C$11)*NORMSINV($B301)+SQRT(1-Y$9^2*$C$11)*NORMSINV(X301))&lt;Y$8,Y$5+SQRT(NORMSDIST(Y$9*SQRT($C$11)*NORMSINV($B301)+SQRT(1-Y$9^2*$C$11)*NORMSINV(X301))*(Y$7-Y$5)*(Y$6-Y$5)),Y$7-SQRT((1-NORMSDIST(Y$9*SQRT($C$11)*NORMSINV($B301)+SQRT(1-Y$9^2*$C$11)*NORMSINV(X301)))*(Y$7-Y$5)*(Y$7-Y$6))))</f>
        <v>0.681372569448266</v>
      </c>
      <c r="Z301" s="2" t="n">
        <v>0.454510256</v>
      </c>
      <c r="AA301" s="2" t="n">
        <f aca="false">IF(AA$7=AA$5,AA$6,IF(NORMSDIST(AA$9*SQRT($C$11)*NORMSINV($B301)+SQRT(1-AA$9^2*$C$11)*NORMSINV(Z301))&lt;AA$8,AA$5+SQRT(NORMSDIST(AA$9*SQRT($C$11)*NORMSINV($B301)+SQRT(1-AA$9^2*$C$11)*NORMSINV(Z301))*(AA$7-AA$5)*(AA$6-AA$5)),AA$7-SQRT((1-NORMSDIST(AA$9*SQRT($C$11)*NORMSINV($B301)+SQRT(1-AA$9^2*$C$11)*NORMSINV(Z301)))*(AA$7-AA$5)*(AA$7-AA$6))))</f>
        <v>0.727959508812059</v>
      </c>
      <c r="AB301" s="2" t="n">
        <v>0.060416285</v>
      </c>
      <c r="AC301" s="2" t="n">
        <f aca="false">IF(AC$7=AC$5,AC$6,IF(NORMSDIST(AC$9*SQRT($C$11)*NORMSINV($B301)+SQRT(1-AC$9^2*$C$11)*NORMSINV(AB301))&lt;AC$8,AC$5+SQRT(NORMSDIST(AC$9*SQRT($C$11)*NORMSINV($B301)+SQRT(1-AC$9^2*$C$11)*NORMSINV(AB301))*(AC$7-AC$5)*(AC$6-AC$5)),AC$7-SQRT((1-NORMSDIST(AC$9*SQRT($C$11)*NORMSINV($B301)+SQRT(1-AC$9^2*$C$11)*NORMSINV(AB301)))*(AC$7-AC$5)*(AC$7-AC$6))))</f>
        <v>8.46521376691859</v>
      </c>
      <c r="AD301" s="2" t="n">
        <f aca="false">Entrées!$C$8*(1+E301)</f>
        <v>7446.29886690618</v>
      </c>
      <c r="AE301" s="2" t="n">
        <f aca="false">I301*Hypothèses!$J$24/12/Hypothèses!$J$19</f>
        <v>96.574074971714</v>
      </c>
      <c r="AF301" s="2" t="n">
        <f aca="false">Entrées!$C$36*S301*1000</f>
        <v>250.513518757834</v>
      </c>
      <c r="AG301" s="2" t="n">
        <f aca="false">-AF301/W301</f>
        <v>-23.4883419906868</v>
      </c>
      <c r="AH301" s="2" t="n">
        <f aca="false">AD301+AE301+AG301</f>
        <v>7519.3845998872</v>
      </c>
      <c r="AI301" s="2" t="n">
        <f aca="false">Entrées!$C$16-M301+Hypothèses!$J$22*1000-AF301+Hypothèses!$J$23</f>
        <v>22676.4228850419</v>
      </c>
      <c r="AJ301" s="2" t="n">
        <f aca="false">AI301/AH301</f>
        <v>3.0157285591406</v>
      </c>
      <c r="AK301" s="2" t="n">
        <f aca="false">AI301/(AH301+I301*(12-Hypothèses!$J$24)/12/Hypothèses!$J$19)</f>
        <v>2.98831430112499</v>
      </c>
      <c r="AL301" s="2" t="n">
        <f aca="false">(AD301+AG301+I301/Hypothèses!$J$19)*(1+G301)</f>
        <v>8050.20780019924</v>
      </c>
      <c r="AM301" s="2" t="n">
        <f aca="false">Entrées!$C$54*K301/Hypothèses!$J$19</f>
        <v>30.0358276759676</v>
      </c>
      <c r="AN301" s="2" t="n">
        <f aca="false">Y301*1000/AC301</f>
        <v>80.4908875557305</v>
      </c>
      <c r="AO301" s="2" t="n">
        <f aca="false">(Entrées!$C$36*(1-S301)+MAX(0,Entrées!$C$30-Entrées!$C$35-Entrées!$C$36)*U301)*1000</f>
        <v>983.092699091967</v>
      </c>
      <c r="AP301" s="2" t="n">
        <f aca="false">-AO301/W301</f>
        <v>-92.1755346350838</v>
      </c>
      <c r="AQ301" s="2" t="n">
        <f aca="false">AL301+AM301+AN301+AP301</f>
        <v>8068.55898079585</v>
      </c>
      <c r="AR301" s="2" t="n">
        <f aca="false">O301*AQ301-Hypothèses!$J$25/Hypothèses!$J$19</f>
        <v>1235.41634523998</v>
      </c>
      <c r="AS301" s="2" t="n">
        <f aca="false">Entrées!$C$79*(1+Q301)+Hypothèses!$J$20</f>
        <v>1470.94382838136</v>
      </c>
      <c r="AT301" s="2" t="n">
        <f aca="false">AI301-AR301+AS301+Y301*1000-AO301+Hypothèses!$J$23</f>
        <v>22610.2302385396</v>
      </c>
      <c r="AU301" s="2" t="n">
        <f aca="false">AT301/AQ301</f>
        <v>2.80226373660459</v>
      </c>
      <c r="AV301" s="2" t="n">
        <f aca="false">Hypothèses!$J$26*AQ301-AT301</f>
        <v>1595.44670384801</v>
      </c>
      <c r="AW301" s="2" t="n">
        <f aca="false">IF(AC301&gt;Hypothèses!$J$26,MAX(0,AV301)/(1-Hypothèses!$J$26/AC301),0)</f>
        <v>2471.22948484666</v>
      </c>
      <c r="AX301" s="2" t="n">
        <f aca="false">AQ301-Entrées!$C$17*1000</f>
        <v>68.558980795854</v>
      </c>
      <c r="AY301" s="2" t="n">
        <f aca="false">AI301+(Entrées!$C$244-Entrées!$C$13)</f>
        <v>28423.4228850419</v>
      </c>
      <c r="AZ301" s="2" t="n">
        <f aca="false">AA301*AH301</f>
        <v>5473.80751990285</v>
      </c>
      <c r="BA301" s="2" t="n">
        <f aca="false">AZ301/AY301</f>
        <v>0.192580870433571</v>
      </c>
      <c r="BB301" s="2" t="n">
        <f aca="false">AZ301/(Entrées!$C$151/100)-AY301</f>
        <v>1986.61889219619</v>
      </c>
      <c r="BC301" s="2" t="n">
        <f aca="false">AT301+(Entrées!$C$244-Entrées!$C$13)</f>
        <v>28357.2302385396</v>
      </c>
      <c r="BD301" s="2" t="n">
        <f aca="false">AA301*AQ301</f>
        <v>5873.58423248128</v>
      </c>
      <c r="BE301" s="2" t="n">
        <f aca="false">BD301/BC301</f>
        <v>0.207128276741875</v>
      </c>
      <c r="BF301" s="2" t="n">
        <f aca="false">BD301/(Entrées!$C$151/100)-BC301</f>
        <v>4273.79327524533</v>
      </c>
      <c r="BG301" s="2" t="n">
        <f aca="false">MIN(AV301,BF301)</f>
        <v>1595.44670384801</v>
      </c>
      <c r="BH301" s="2" t="n">
        <f aca="false">IF(AC301&gt;Hypothèses!$J$26,MAX(0,BG301)/(1-Hypothèses!$J$26/AC301),0)</f>
        <v>2471.22948484666</v>
      </c>
    </row>
    <row r="302" customFormat="false" ht="15" hidden="false" customHeight="false" outlineLevel="0" collapsed="false">
      <c r="A302" s="2" t="n">
        <v>287</v>
      </c>
      <c r="B302" s="2" t="n">
        <v>0.903798071</v>
      </c>
      <c r="C302" s="2"/>
      <c r="D302" s="2" t="n">
        <v>0.281523351</v>
      </c>
      <c r="E302" s="2" t="n">
        <f aca="false">IF(E$7=E$5,E$6,IF(NORMSDIST(E$9*SQRT($C$11)*NORMSINV($B302)+SQRT(1-E$9^2*$C$11)*NORMSINV(D302))&lt;E$8,E$5+SQRT(NORMSDIST(E$9*SQRT($C$11)*NORMSINV($B302)+SQRT(1-E$9^2*$C$11)*NORMSINV(D302))*(E$7-E$5)*(E$6-E$5)),E$7-SQRT((1-NORMSDIST(E$9*SQRT($C$11)*NORMSINV($B302)+SQRT(1-E$9^2*$C$11)*NORMSINV(D302)))*(E$7-E$5)*(E$7-E$6))))</f>
        <v>0.0557970549862324</v>
      </c>
      <c r="F302" s="2" t="n">
        <v>0.956173992</v>
      </c>
      <c r="G302" s="2" t="n">
        <f aca="false">IF(G$7=G$5,G$6,IF(NORMSDIST(G$9*SQRT($C$11)*NORMSINV($B302)+SQRT(1-G$9^2*$C$11)*NORMSINV(F302))&lt;G$8,G$5+SQRT(NORMSDIST(G$9*SQRT($C$11)*NORMSINV($B302)+SQRT(1-G$9^2*$C$11)*NORMSINV(F302))*(G$7-G$5)*(G$6-G$5)),G$7-SQRT((1-NORMSDIST(G$9*SQRT($C$11)*NORMSINV($B302)+SQRT(1-G$9^2*$C$11)*NORMSINV(F302)))*(G$7-G$5)*(G$7-G$6))))</f>
        <v>0.0673265777748896</v>
      </c>
      <c r="H302" s="2" t="n">
        <v>0.844419561</v>
      </c>
      <c r="I302" s="2" t="n">
        <f aca="false">IF(I$7=I$5,I$6,IF(NORMSDIST(I$9*SQRT($C$11)*NORMSINV($B302)+SQRT(1-I$9^2*$C$11)*NORMSINV(H302))&lt;I$8,I$5+SQRT(NORMSDIST(I$9*SQRT($C$11)*NORMSINV($B302)+SQRT(1-I$9^2*$C$11)*NORMSINV(H302))*(I$7-I$5)*(I$6-I$5)),I$7-SQRT((1-NORMSDIST(I$9*SQRT($C$11)*NORMSINV($B302)+SQRT(1-I$9^2*$C$11)*NORMSINV(H302)))*(I$7-I$5)*(I$7-I$6))))</f>
        <v>213.438409988164</v>
      </c>
      <c r="J302" s="2" t="n">
        <v>0.963959645</v>
      </c>
      <c r="K302" s="2" t="n">
        <f aca="false">IF(K$7=K$5,K$6,IF(NORMSDIST(K$9*SQRT($C$11)*NORMSINV($B302)+SQRT(1-K$9^2*$C$11)*NORMSINV(J302))&lt;K$8,K$5+SQRT(NORMSDIST(K$9*SQRT($C$11)*NORMSINV($B302)+SQRT(1-K$9^2*$C$11)*NORMSINV(J302))*(K$7-K$5)*(K$6-K$5)),K$7-SQRT((1-NORMSDIST(K$9*SQRT($C$11)*NORMSINV($B302)+SQRT(1-K$9^2*$C$11)*NORMSINV(J302)))*(K$7-K$5)*(K$7-K$6))))</f>
        <v>0.459240048021908</v>
      </c>
      <c r="L302" s="2" t="n">
        <v>0.735970957</v>
      </c>
      <c r="M302" s="2" t="n">
        <f aca="false">IF(M$7=M$5,M$6,IF(NORMSDIST(M$9*SQRT($C$11)*NORMSINV($B302)+SQRT(1-M$9^2*$C$11)*NORMSINV(L302))&lt;M$8,M$5+SQRT(NORMSDIST(M$9*SQRT($C$11)*NORMSINV($B302)+SQRT(1-M$9^2*$C$11)*NORMSINV(L302))*(M$7-M$5)*(M$6-M$5)),M$7-SQRT((1-NORMSDIST(M$9*SQRT($C$11)*NORMSINV($B302)+SQRT(1-M$9^2*$C$11)*NORMSINV(L302)))*(M$7-M$5)*(M$7-M$6))))</f>
        <v>1705.13443776163</v>
      </c>
      <c r="N302" s="2" t="n">
        <v>0.72042228</v>
      </c>
      <c r="O302" s="2" t="n">
        <f aca="false">IF(O$7=O$5,O$6,IF(NORMSDIST(O$9*SQRT($C$11)*NORMSINV($B302)+SQRT(1-O$9^2*$C$11)*NORMSINV(N302))&lt;O$8,O$5+SQRT(NORMSDIST(O$9*SQRT($C$11)*NORMSINV($B302)+SQRT(1-O$9^2*$C$11)*NORMSINV(N302))*(O$7-O$5)*(O$6-O$5)),O$7-SQRT((1-NORMSDIST(O$9*SQRT($C$11)*NORMSINV($B302)+SQRT(1-O$9^2*$C$11)*NORMSINV(N302)))*(O$7-O$5)*(O$7-O$6))))</f>
        <v>0.179636574396041</v>
      </c>
      <c r="P302" s="2" t="n">
        <v>0.547381847</v>
      </c>
      <c r="Q302" s="2" t="n">
        <f aca="false">IF(Q$7=Q$5,Q$6,IF(NORMSDIST(Q$9*SQRT($C$11)*NORMSINV($B302)+SQRT(1-Q$9^2*$C$11)*NORMSINV(P302))&lt;Q$8,Q$5+SQRT(NORMSDIST(Q$9*SQRT($C$11)*NORMSINV($B302)+SQRT(1-Q$9^2*$C$11)*NORMSINV(P302))*(Q$7-Q$5)*(Q$6-Q$5)),Q$7-SQRT((1-NORMSDIST(Q$9*SQRT($C$11)*NORMSINV($B302)+SQRT(1-Q$9^2*$C$11)*NORMSINV(P302)))*(Q$7-Q$5)*(Q$7-Q$6))))</f>
        <v>0.0819424371563286</v>
      </c>
      <c r="R302" s="2" t="n">
        <v>0.345753593</v>
      </c>
      <c r="S302" s="2" t="n">
        <f aca="false">IF(S$7=S$5,S$6,IF(NORMSDIST(S$9*SQRT($C$11)*NORMSINV($B302)+SQRT(1-S$9^2*$C$11)*NORMSINV(R302))&lt;S$8,S$5+SQRT(NORMSDIST(S$9*SQRT($C$11)*NORMSINV($B302)+SQRT(1-S$9^2*$C$11)*NORMSINV(R302))*(S$7-S$5)*(S$6-S$5)),S$7-SQRT((1-NORMSDIST(S$9*SQRT($C$11)*NORMSINV($B302)+SQRT(1-S$9^2*$C$11)*NORMSINV(R302)))*(S$7-S$5)*(S$7-S$6))))</f>
        <v>0.611049641032646</v>
      </c>
      <c r="T302" s="2" t="n">
        <v>0.766353174</v>
      </c>
      <c r="U302" s="2" t="n">
        <f aca="false">IF(U$7=U$5,U$6,IF(NORMSDIST(U$9*SQRT($C$11)*NORMSINV($B302)+SQRT(1-U$9^2*$C$11)*NORMSINV(T302))&lt;U$8,U$5+SQRT(NORMSDIST(U$9*SQRT($C$11)*NORMSINV($B302)+SQRT(1-U$9^2*$C$11)*NORMSINV(T302))*(U$7-U$5)*(U$6-U$5)),U$7-SQRT((1-NORMSDIST(U$9*SQRT($C$11)*NORMSINV($B302)+SQRT(1-U$9^2*$C$11)*NORMSINV(T302)))*(U$7-U$5)*(U$7-U$6))))</f>
        <v>0.796712124339564</v>
      </c>
      <c r="V302" s="2" t="n">
        <v>0.910798796</v>
      </c>
      <c r="W302" s="2" t="n">
        <f aca="false">IF(W$7=W$5,W$6,IF(NORMSDIST(W$9*SQRT($C$11)*NORMSINV($B302)+SQRT(1-W$9^2*$C$11)*NORMSINV(V302))&lt;W$8,W$5+SQRT(NORMSDIST(W$9*SQRT($C$11)*NORMSINV($B302)+SQRT(1-W$9^2*$C$11)*NORMSINV(V302))*(W$7-W$5)*(W$6-W$5)),W$7-SQRT((1-NORMSDIST(W$9*SQRT($C$11)*NORMSINV($B302)+SQRT(1-W$9^2*$C$11)*NORMSINV(V302)))*(W$7-W$5)*(W$7-W$6))))</f>
        <v>11.5022722692538</v>
      </c>
      <c r="X302" s="2" t="n">
        <v>0.643886471</v>
      </c>
      <c r="Y302" s="2" t="n">
        <f aca="false">IF(Y$7=Y$5,Y$6,IF(NORMSDIST(Y$9*SQRT($C$11)*NORMSINV($B302)+SQRT(1-Y$9^2*$C$11)*NORMSINV(X302))&lt;Y$8,Y$5+SQRT(NORMSDIST(Y$9*SQRT($C$11)*NORMSINV($B302)+SQRT(1-Y$9^2*$C$11)*NORMSINV(X302))*(Y$7-Y$5)*(Y$6-Y$5)),Y$7-SQRT((1-NORMSDIST(Y$9*SQRT($C$11)*NORMSINV($B302)+SQRT(1-Y$9^2*$C$11)*NORMSINV(X302)))*(Y$7-Y$5)*(Y$7-Y$6))))</f>
        <v>0.578032270783653</v>
      </c>
      <c r="Z302" s="2" t="n">
        <v>0.45083372</v>
      </c>
      <c r="AA302" s="2" t="n">
        <f aca="false">IF(AA$7=AA$5,AA$6,IF(NORMSDIST(AA$9*SQRT($C$11)*NORMSINV($B302)+SQRT(1-AA$9^2*$C$11)*NORMSINV(Z302))&lt;AA$8,AA$5+SQRT(NORMSDIST(AA$9*SQRT($C$11)*NORMSINV($B302)+SQRT(1-AA$9^2*$C$11)*NORMSINV(Z302))*(AA$7-AA$5)*(AA$6-AA$5)),AA$7-SQRT((1-NORMSDIST(AA$9*SQRT($C$11)*NORMSINV($B302)+SQRT(1-AA$9^2*$C$11)*NORMSINV(Z302)))*(AA$7-AA$5)*(AA$7-AA$6))))</f>
        <v>0.736561019040289</v>
      </c>
      <c r="AB302" s="2" t="n">
        <v>0.432526832</v>
      </c>
      <c r="AC302" s="2" t="n">
        <f aca="false">IF(AC$7=AC$5,AC$6,IF(NORMSDIST(AC$9*SQRT($C$11)*NORMSINV($B302)+SQRT(1-AC$9^2*$C$11)*NORMSINV(AB302))&lt;AC$8,AC$5+SQRT(NORMSDIST(AC$9*SQRT($C$11)*NORMSINV($B302)+SQRT(1-AC$9^2*$C$11)*NORMSINV(AB302))*(AC$7-AC$5)*(AC$6-AC$5)),AC$7-SQRT((1-NORMSDIST(AC$9*SQRT($C$11)*NORMSINV($B302)+SQRT(1-AC$9^2*$C$11)*NORMSINV(AB302)))*(AC$7-AC$5)*(AC$7-AC$6))))</f>
        <v>9.97283713941894</v>
      </c>
      <c r="AD302" s="2" t="n">
        <f aca="false">Entrées!$C$8*(1+E302)</f>
        <v>7443.36923765294</v>
      </c>
      <c r="AE302" s="2" t="n">
        <f aca="false">I302*Hypothèses!$J$24/12/Hypothèses!$J$19</f>
        <v>105.886112058921</v>
      </c>
      <c r="AF302" s="2" t="n">
        <f aca="false">Entrées!$C$36*S302*1000</f>
        <v>305.524820516323</v>
      </c>
      <c r="AG302" s="2" t="n">
        <f aca="false">-AF302/W302</f>
        <v>-26.5621273227036</v>
      </c>
      <c r="AH302" s="2" t="n">
        <f aca="false">AD302+AE302+AG302</f>
        <v>7522.69322238916</v>
      </c>
      <c r="AI302" s="2" t="n">
        <f aca="false">Entrées!$C$16-M302+Hypothèses!$J$22*1000-AF302+Hypothèses!$J$23</f>
        <v>22537.3407417221</v>
      </c>
      <c r="AJ302" s="2" t="n">
        <f aca="false">AI302/AH302</f>
        <v>2.99591384035787</v>
      </c>
      <c r="AK302" s="2" t="n">
        <f aca="false">AI302/(AH302+I302*(12-Hypothèses!$J$24)/12/Hypothèses!$J$19)</f>
        <v>2.96609282997472</v>
      </c>
      <c r="AL302" s="2" t="n">
        <f aca="false">(AD302+AG302+I302/Hypothèses!$J$19)*(1+G302)</f>
        <v>8109.89545671564</v>
      </c>
      <c r="AM302" s="2" t="n">
        <f aca="false">Entrées!$C$54*K302/Hypothèses!$J$19</f>
        <v>46.8673751249926</v>
      </c>
      <c r="AN302" s="2" t="n">
        <f aca="false">Y302*1000/AC302</f>
        <v>57.9606648241457</v>
      </c>
      <c r="AO302" s="2" t="n">
        <f aca="false">(Entrées!$C$36*(1-S302)+MAX(0,Entrées!$C$30-Entrées!$C$35-Entrées!$C$36)*U302)*1000</f>
        <v>1309.87215355907</v>
      </c>
      <c r="AP302" s="2" t="n">
        <f aca="false">-AO302/W302</f>
        <v>-113.879425116759</v>
      </c>
      <c r="AQ302" s="2" t="n">
        <f aca="false">AL302+AM302+AN302+AP302</f>
        <v>8100.84407154802</v>
      </c>
      <c r="AR302" s="2" t="n">
        <f aca="false">O302*AQ302-Hypothèses!$J$25/Hypothèses!$J$19</f>
        <v>1436.07271646774</v>
      </c>
      <c r="AS302" s="2" t="n">
        <f aca="false">Entrées!$C$79*(1+Q302)+Hypothèses!$J$20</f>
        <v>1484.05473843481</v>
      </c>
      <c r="AT302" s="2" t="n">
        <f aca="false">AI302-AR302+AS302+Y302*1000-AO302+Hypothèses!$J$23</f>
        <v>21853.4828809137</v>
      </c>
      <c r="AU302" s="2" t="n">
        <f aca="false">AT302/AQ302</f>
        <v>2.69767973409932</v>
      </c>
      <c r="AV302" s="2" t="n">
        <f aca="false">Hypothèses!$J$26*AQ302-AT302</f>
        <v>2449.04933373036</v>
      </c>
      <c r="AW302" s="2" t="n">
        <f aca="false">IF(AC302&gt;Hypothèses!$J$26,MAX(0,AV302)/(1-Hypothèses!$J$26/AC302),0)</f>
        <v>3502.73061930867</v>
      </c>
      <c r="AX302" s="2" t="n">
        <f aca="false">AQ302-Entrées!$C$17*1000</f>
        <v>100.844071548024</v>
      </c>
      <c r="AY302" s="2" t="n">
        <f aca="false">AI302+(Entrées!$C$244-Entrées!$C$13)</f>
        <v>28284.3407417221</v>
      </c>
      <c r="AZ302" s="2" t="n">
        <f aca="false">AA302*AH302</f>
        <v>5540.92258581044</v>
      </c>
      <c r="BA302" s="2" t="n">
        <f aca="false">AZ302/AY302</f>
        <v>0.195900715396101</v>
      </c>
      <c r="BB302" s="2" t="n">
        <f aca="false">AZ302/(Entrées!$C$151/100)-AY302</f>
        <v>2498.56251278037</v>
      </c>
      <c r="BC302" s="2" t="n">
        <f aca="false">AT302+(Entrées!$C$244-Entrées!$C$13)</f>
        <v>27600.4828809137</v>
      </c>
      <c r="BD302" s="2" t="n">
        <f aca="false">AA302*AQ302</f>
        <v>5966.7659644259</v>
      </c>
      <c r="BE302" s="2" t="n">
        <f aca="false">BD302/BC302</f>
        <v>0.216183390347567</v>
      </c>
      <c r="BF302" s="2" t="n">
        <f aca="false">BD302/(Entrées!$C$151/100)-BC302</f>
        <v>5548.2169214524</v>
      </c>
      <c r="BG302" s="2" t="n">
        <f aca="false">MIN(AV302,BF302)</f>
        <v>2449.04933373036</v>
      </c>
      <c r="BH302" s="2" t="n">
        <f aca="false">IF(AC302&gt;Hypothèses!$J$26,MAX(0,BG302)/(1-Hypothèses!$J$26/AC302),0)</f>
        <v>3502.73061930867</v>
      </c>
    </row>
    <row r="303" customFormat="false" ht="15" hidden="false" customHeight="false" outlineLevel="0" collapsed="false">
      <c r="A303" s="2" t="n">
        <v>288</v>
      </c>
      <c r="B303" s="2" t="n">
        <v>0.296696805</v>
      </c>
      <c r="C303" s="2"/>
      <c r="D303" s="2" t="n">
        <v>0.196248228</v>
      </c>
      <c r="E303" s="2" t="n">
        <f aca="false">IF(E$7=E$5,E$6,IF(NORMSDIST(E$9*SQRT($C$11)*NORMSINV($B303)+SQRT(1-E$9^2*$C$11)*NORMSINV(D303))&lt;E$8,E$5+SQRT(NORMSDIST(E$9*SQRT($C$11)*NORMSINV($B303)+SQRT(1-E$9^2*$C$11)*NORMSINV(D303))*(E$7-E$5)*(E$6-E$5)),E$7-SQRT((1-NORMSDIST(E$9*SQRT($C$11)*NORMSINV($B303)+SQRT(1-E$9^2*$C$11)*NORMSINV(D303)))*(E$7-E$5)*(E$7-E$6))))</f>
        <v>0.0528164294368433</v>
      </c>
      <c r="F303" s="2" t="n">
        <v>0.976153759</v>
      </c>
      <c r="G303" s="2" t="n">
        <f aca="false">IF(G$7=G$5,G$6,IF(NORMSDIST(G$9*SQRT($C$11)*NORMSINV($B303)+SQRT(1-G$9^2*$C$11)*NORMSINV(F303))&lt;G$8,G$5+SQRT(NORMSDIST(G$9*SQRT($C$11)*NORMSINV($B303)+SQRT(1-G$9^2*$C$11)*NORMSINV(F303))*(G$7-G$5)*(G$6-G$5)),G$7-SQRT((1-NORMSDIST(G$9*SQRT($C$11)*NORMSINV($B303)+SQRT(1-G$9^2*$C$11)*NORMSINV(F303)))*(G$7-G$5)*(G$7-G$6))))</f>
        <v>0.0627803406980568</v>
      </c>
      <c r="H303" s="2" t="n">
        <v>0.704846196</v>
      </c>
      <c r="I303" s="2" t="n">
        <f aca="false">IF(I$7=I$5,I$6,IF(NORMSDIST(I$9*SQRT($C$11)*NORMSINV($B303)+SQRT(1-I$9^2*$C$11)*NORMSINV(H303))&lt;I$8,I$5+SQRT(NORMSDIST(I$9*SQRT($C$11)*NORMSINV($B303)+SQRT(1-I$9^2*$C$11)*NORMSINV(H303))*(I$7-I$5)*(I$6-I$5)),I$7-SQRT((1-NORMSDIST(I$9*SQRT($C$11)*NORMSINV($B303)+SQRT(1-I$9^2*$C$11)*NORMSINV(H303)))*(I$7-I$5)*(I$7-I$6))))</f>
        <v>200.642800957156</v>
      </c>
      <c r="J303" s="2" t="n">
        <v>0.251740544</v>
      </c>
      <c r="K303" s="2" t="n">
        <f aca="false">IF(K$7=K$5,K$6,IF(NORMSDIST(K$9*SQRT($C$11)*NORMSINV($B303)+SQRT(1-K$9^2*$C$11)*NORMSINV(J303))&lt;K$8,K$5+SQRT(NORMSDIST(K$9*SQRT($C$11)*NORMSINV($B303)+SQRT(1-K$9^2*$C$11)*NORMSINV(J303))*(K$7-K$5)*(K$6-K$5)),K$7-SQRT((1-NORMSDIST(K$9*SQRT($C$11)*NORMSINV($B303)+SQRT(1-K$9^2*$C$11)*NORMSINV(J303)))*(K$7-K$5)*(K$7-K$6))))</f>
        <v>0.156534663125471</v>
      </c>
      <c r="L303" s="2" t="n">
        <v>0.899801132</v>
      </c>
      <c r="M303" s="2" t="n">
        <f aca="false">IF(M$7=M$5,M$6,IF(NORMSDIST(M$9*SQRT($C$11)*NORMSINV($B303)+SQRT(1-M$9^2*$C$11)*NORMSINV(L303))&lt;M$8,M$5+SQRT(NORMSDIST(M$9*SQRT($C$11)*NORMSINV($B303)+SQRT(1-M$9^2*$C$11)*NORMSINV(L303))*(M$7-M$5)*(M$6-M$5)),M$7-SQRT((1-NORMSDIST(M$9*SQRT($C$11)*NORMSINV($B303)+SQRT(1-M$9^2*$C$11)*NORMSINV(L303)))*(M$7-M$5)*(M$7-M$6))))</f>
        <v>1648.99787570503</v>
      </c>
      <c r="N303" s="2" t="n">
        <v>0.596258775</v>
      </c>
      <c r="O303" s="2" t="n">
        <f aca="false">IF(O$7=O$5,O$6,IF(NORMSDIST(O$9*SQRT($C$11)*NORMSINV($B303)+SQRT(1-O$9^2*$C$11)*NORMSINV(N303))&lt;O$8,O$5+SQRT(NORMSDIST(O$9*SQRT($C$11)*NORMSINV($B303)+SQRT(1-O$9^2*$C$11)*NORMSINV(N303))*(O$7-O$5)*(O$6-O$5)),O$7-SQRT((1-NORMSDIST(O$9*SQRT($C$11)*NORMSINV($B303)+SQRT(1-O$9^2*$C$11)*NORMSINV(N303)))*(O$7-O$5)*(O$7-O$6))))</f>
        <v>0.16514899857232</v>
      </c>
      <c r="P303" s="2" t="n">
        <v>0.578828729</v>
      </c>
      <c r="Q303" s="2" t="n">
        <f aca="false">IF(Q$7=Q$5,Q$6,IF(NORMSDIST(Q$9*SQRT($C$11)*NORMSINV($B303)+SQRT(1-Q$9^2*$C$11)*NORMSINV(P303))&lt;Q$8,Q$5+SQRT(NORMSDIST(Q$9*SQRT($C$11)*NORMSINV($B303)+SQRT(1-Q$9^2*$C$11)*NORMSINV(P303))*(Q$7-Q$5)*(Q$6-Q$5)),Q$7-SQRT((1-NORMSDIST(Q$9*SQRT($C$11)*NORMSINV($B303)+SQRT(1-Q$9^2*$C$11)*NORMSINV(P303)))*(Q$7-Q$5)*(Q$7-Q$6))))</f>
        <v>0.0832883115724706</v>
      </c>
      <c r="R303" s="2" t="n">
        <v>0.144507432</v>
      </c>
      <c r="S303" s="2" t="n">
        <f aca="false">IF(S$7=S$5,S$6,IF(NORMSDIST(S$9*SQRT($C$11)*NORMSINV($B303)+SQRT(1-S$9^2*$C$11)*NORMSINV(R303))&lt;S$8,S$5+SQRT(NORMSDIST(S$9*SQRT($C$11)*NORMSINV($B303)+SQRT(1-S$9^2*$C$11)*NORMSINV(R303))*(S$7-S$5)*(S$6-S$5)),S$7-SQRT((1-NORMSDIST(S$9*SQRT($C$11)*NORMSINV($B303)+SQRT(1-S$9^2*$C$11)*NORMSINV(R303)))*(S$7-S$5)*(S$7-S$6))))</f>
        <v>0.248226480116985</v>
      </c>
      <c r="T303" s="2" t="n">
        <v>0.126966803</v>
      </c>
      <c r="U303" s="2" t="n">
        <f aca="false">IF(U$7=U$5,U$6,IF(NORMSDIST(U$9*SQRT($C$11)*NORMSINV($B303)+SQRT(1-U$9^2*$C$11)*NORMSINV(T303))&lt;U$8,U$5+SQRT(NORMSDIST(U$9*SQRT($C$11)*NORMSINV($B303)+SQRT(1-U$9^2*$C$11)*NORMSINV(T303))*(U$7-U$5)*(U$6-U$5)),U$7-SQRT((1-NORMSDIST(U$9*SQRT($C$11)*NORMSINV($B303)+SQRT(1-U$9^2*$C$11)*NORMSINV(T303)))*(U$7-U$5)*(U$7-U$6))))</f>
        <v>0.235553712311824</v>
      </c>
      <c r="V303" s="2" t="n">
        <v>0.285852133</v>
      </c>
      <c r="W303" s="2" t="n">
        <f aca="false">IF(W$7=W$5,W$6,IF(NORMSDIST(W$9*SQRT($C$11)*NORMSINV($B303)+SQRT(1-W$9^2*$C$11)*NORMSINV(V303))&lt;W$8,W$5+SQRT(NORMSDIST(W$9*SQRT($C$11)*NORMSINV($B303)+SQRT(1-W$9^2*$C$11)*NORMSINV(V303))*(W$7-W$5)*(W$6-W$5)),W$7-SQRT((1-NORMSDIST(W$9*SQRT($C$11)*NORMSINV($B303)+SQRT(1-W$9^2*$C$11)*NORMSINV(V303)))*(W$7-W$5)*(W$7-W$6))))</f>
        <v>9.32347368988135</v>
      </c>
      <c r="X303" s="2" t="n">
        <v>0.113943891</v>
      </c>
      <c r="Y303" s="2" t="n">
        <f aca="false">IF(Y$7=Y$5,Y$6,IF(NORMSDIST(Y$9*SQRT($C$11)*NORMSINV($B303)+SQRT(1-Y$9^2*$C$11)*NORMSINV(X303))&lt;Y$8,Y$5+SQRT(NORMSDIST(Y$9*SQRT($C$11)*NORMSINV($B303)+SQRT(1-Y$9^2*$C$11)*NORMSINV(X303))*(Y$7-Y$5)*(Y$6-Y$5)),Y$7-SQRT((1-NORMSDIST(Y$9*SQRT($C$11)*NORMSINV($B303)+SQRT(1-Y$9^2*$C$11)*NORMSINV(X303)))*(Y$7-Y$5)*(Y$7-Y$6))))</f>
        <v>0.238687966810227</v>
      </c>
      <c r="Z303" s="2" t="n">
        <v>0.375723637</v>
      </c>
      <c r="AA303" s="2" t="n">
        <f aca="false">IF(AA$7=AA$5,AA$6,IF(NORMSDIST(AA$9*SQRT($C$11)*NORMSINV($B303)+SQRT(1-AA$9^2*$C$11)*NORMSINV(Z303))&lt;AA$8,AA$5+SQRT(NORMSDIST(AA$9*SQRT($C$11)*NORMSINV($B303)+SQRT(1-AA$9^2*$C$11)*NORMSINV(Z303))*(AA$7-AA$5)*(AA$6-AA$5)),AA$7-SQRT((1-NORMSDIST(AA$9*SQRT($C$11)*NORMSINV($B303)+SQRT(1-AA$9^2*$C$11)*NORMSINV(Z303)))*(AA$7-AA$5)*(AA$7-AA$6))))</f>
        <v>0.719811035656181</v>
      </c>
      <c r="AB303" s="2" t="n">
        <v>0.032291347</v>
      </c>
      <c r="AC303" s="2" t="n">
        <f aca="false">IF(AC$7=AC$5,AC$6,IF(NORMSDIST(AC$9*SQRT($C$11)*NORMSINV($B303)+SQRT(1-AC$9^2*$C$11)*NORMSINV(AB303))&lt;AC$8,AC$5+SQRT(NORMSDIST(AC$9*SQRT($C$11)*NORMSINV($B303)+SQRT(1-AC$9^2*$C$11)*NORMSINV(AB303))*(AC$7-AC$5)*(AC$6-AC$5)),AC$7-SQRT((1-NORMSDIST(AC$9*SQRT($C$11)*NORMSINV($B303)+SQRT(1-AC$9^2*$C$11)*NORMSINV(AB303)))*(AC$7-AC$5)*(AC$7-AC$6))))</f>
        <v>7.97619963337611</v>
      </c>
      <c r="AD303" s="2" t="n">
        <f aca="false">Entrées!$C$8*(1+E303)</f>
        <v>7422.35582752975</v>
      </c>
      <c r="AE303" s="2" t="n">
        <f aca="false">I303*Hypothèses!$J$24/12/Hypothèses!$J$19</f>
        <v>99.5382513725783</v>
      </c>
      <c r="AF303" s="2" t="n">
        <f aca="false">Entrées!$C$36*S303*1000</f>
        <v>124.113240058493</v>
      </c>
      <c r="AG303" s="2" t="n">
        <f aca="false">-AF303/W303</f>
        <v>-13.3119097223593</v>
      </c>
      <c r="AH303" s="2" t="n">
        <f aca="false">AD303+AE303+AG303</f>
        <v>7508.58216917996</v>
      </c>
      <c r="AI303" s="2" t="n">
        <f aca="false">Entrées!$C$16-M303+Hypothèses!$J$22*1000-AF303+Hypothèses!$J$23</f>
        <v>22774.8888842365</v>
      </c>
      <c r="AJ303" s="2" t="n">
        <f aca="false">AI303/AH303</f>
        <v>3.03318101488178</v>
      </c>
      <c r="AK303" s="2" t="n">
        <f aca="false">AI303/(AH303+I303*(12-Hypothèses!$J$24)/12/Hypothèses!$J$19)</f>
        <v>3.00472923915042</v>
      </c>
      <c r="AL303" s="2" t="n">
        <f aca="false">(AD303+AG303+I303/Hypothèses!$J$19)*(1+G303)</f>
        <v>8055.53587071061</v>
      </c>
      <c r="AM303" s="2" t="n">
        <f aca="false">Entrées!$C$54*K303/Hypothèses!$J$19</f>
        <v>15.9750196185326</v>
      </c>
      <c r="AN303" s="2" t="n">
        <f aca="false">Y303*1000/AC303</f>
        <v>29.9250241695865</v>
      </c>
      <c r="AO303" s="2" t="n">
        <f aca="false">(Entrées!$C$36*(1-S303)+MAX(0,Entrées!$C$30-Entrées!$C$35-Entrées!$C$36)*U303)*1000</f>
        <v>705.661957178061</v>
      </c>
      <c r="AP303" s="2" t="n">
        <f aca="false">-AO303/W303</f>
        <v>-75.6865928568992</v>
      </c>
      <c r="AQ303" s="2" t="n">
        <f aca="false">AL303+AM303+AN303+AP303</f>
        <v>8025.74932164183</v>
      </c>
      <c r="AR303" s="2" t="n">
        <f aca="false">O303*AQ303-Hypothèses!$J$25/Hypothèses!$J$19</f>
        <v>1306.309301</v>
      </c>
      <c r="AS303" s="2" t="n">
        <f aca="false">Entrées!$C$79*(1+Q303)+Hypothèses!$J$20</f>
        <v>1485.53385441815</v>
      </c>
      <c r="AT303" s="2" t="n">
        <f aca="false">AI303-AR303+AS303+Y303*1000-AO303+Hypothèses!$J$23</f>
        <v>22487.1394472868</v>
      </c>
      <c r="AU303" s="2" t="n">
        <f aca="false">AT303/AQ303</f>
        <v>2.80187413611949</v>
      </c>
      <c r="AV303" s="2" t="n">
        <f aca="false">Hypothèses!$J$26*AQ303-AT303</f>
        <v>1590.10851763869</v>
      </c>
      <c r="AW303" s="2" t="n">
        <f aca="false">IF(AC303&gt;Hypothèses!$J$26,MAX(0,AV303)/(1-Hypothèses!$J$26/AC303),0)</f>
        <v>2548.73676898953</v>
      </c>
      <c r="AX303" s="2" t="n">
        <f aca="false">AQ303-Entrées!$C$17*1000</f>
        <v>25.749321641827</v>
      </c>
      <c r="AY303" s="2" t="n">
        <f aca="false">AI303+(Entrées!$C$244-Entrées!$C$13)</f>
        <v>28521.8888842365</v>
      </c>
      <c r="AZ303" s="2" t="n">
        <f aca="false">AA303*AH303</f>
        <v>5404.76030750696</v>
      </c>
      <c r="BA303" s="2" t="n">
        <f aca="false">AZ303/AY303</f>
        <v>0.18949517437094</v>
      </c>
      <c r="BB303" s="2" t="n">
        <f aca="false">AZ303/(Entrées!$C$151/100)-AY303</f>
        <v>1504.55726857999</v>
      </c>
      <c r="BC303" s="2" t="n">
        <f aca="false">AT303+(Entrées!$C$244-Entrées!$C$13)</f>
        <v>28234.1394472868</v>
      </c>
      <c r="BD303" s="2" t="n">
        <f aca="false">AA303*AQ303</f>
        <v>5777.0229311279</v>
      </c>
      <c r="BE303" s="2" t="n">
        <f aca="false">BD303/BC303</f>
        <v>0.204611262968139</v>
      </c>
      <c r="BF303" s="2" t="n">
        <f aca="false">BD303/(Entrées!$C$151/100)-BC303</f>
        <v>3860.43239231263</v>
      </c>
      <c r="BG303" s="2" t="n">
        <f aca="false">MIN(AV303,BF303)</f>
        <v>1590.10851763869</v>
      </c>
      <c r="BH303" s="2" t="n">
        <f aca="false">IF(AC303&gt;Hypothèses!$J$26,MAX(0,BG303)/(1-Hypothèses!$J$26/AC303),0)</f>
        <v>2548.73676898953</v>
      </c>
    </row>
    <row r="304" customFormat="false" ht="15" hidden="false" customHeight="false" outlineLevel="0" collapsed="false">
      <c r="A304" s="2" t="n">
        <v>289</v>
      </c>
      <c r="B304" s="2" t="n">
        <v>0.643181226</v>
      </c>
      <c r="C304" s="2"/>
      <c r="D304" s="2" t="n">
        <v>0.923312004</v>
      </c>
      <c r="E304" s="2" t="n">
        <f aca="false">IF(E$7=E$5,E$6,IF(NORMSDIST(E$9*SQRT($C$11)*NORMSINV($B304)+SQRT(1-E$9^2*$C$11)*NORMSINV(D304))&lt;E$8,E$5+SQRT(NORMSDIST(E$9*SQRT($C$11)*NORMSINV($B304)+SQRT(1-E$9^2*$C$11)*NORMSINV(D304))*(E$7-E$5)*(E$6-E$5)),E$7-SQRT((1-NORMSDIST(E$9*SQRT($C$11)*NORMSINV($B304)+SQRT(1-E$9^2*$C$11)*NORMSINV(D304)))*(E$7-E$5)*(E$7-E$6))))</f>
        <v>0.0578733907749835</v>
      </c>
      <c r="F304" s="2" t="n">
        <v>0.187660858</v>
      </c>
      <c r="G304" s="2" t="n">
        <f aca="false">IF(G$7=G$5,G$6,IF(NORMSDIST(G$9*SQRT($C$11)*NORMSINV($B304)+SQRT(1-G$9^2*$C$11)*NORMSINV(F304))&lt;G$8,G$5+SQRT(NORMSDIST(G$9*SQRT($C$11)*NORMSINV($B304)+SQRT(1-G$9^2*$C$11)*NORMSINV(F304))*(G$7-G$5)*(G$6-G$5)),G$7-SQRT((1-NORMSDIST(G$9*SQRT($C$11)*NORMSINV($B304)+SQRT(1-G$9^2*$C$11)*NORMSINV(F304)))*(G$7-G$5)*(G$7-G$6))))</f>
        <v>0.0520876254964718</v>
      </c>
      <c r="H304" s="2" t="n">
        <v>0.383150792</v>
      </c>
      <c r="I304" s="2" t="n">
        <f aca="false">IF(I$7=I$5,I$6,IF(NORMSDIST(I$9*SQRT($C$11)*NORMSINV($B304)+SQRT(1-I$9^2*$C$11)*NORMSINV(H304))&lt;I$8,I$5+SQRT(NORMSDIST(I$9*SQRT($C$11)*NORMSINV($B304)+SQRT(1-I$9^2*$C$11)*NORMSINV(H304))*(I$7-I$5)*(I$6-I$5)),I$7-SQRT((1-NORMSDIST(I$9*SQRT($C$11)*NORMSINV($B304)+SQRT(1-I$9^2*$C$11)*NORMSINV(H304)))*(I$7-I$5)*(I$7-I$6))))</f>
        <v>200.014949331741</v>
      </c>
      <c r="J304" s="2" t="n">
        <v>0.314733443</v>
      </c>
      <c r="K304" s="2" t="n">
        <f aca="false">IF(K$7=K$5,K$6,IF(NORMSDIST(K$9*SQRT($C$11)*NORMSINV($B304)+SQRT(1-K$9^2*$C$11)*NORMSINV(J304))&lt;K$8,K$5+SQRT(NORMSDIST(K$9*SQRT($C$11)*NORMSINV($B304)+SQRT(1-K$9^2*$C$11)*NORMSINV(J304))*(K$7-K$5)*(K$6-K$5)),K$7-SQRT((1-NORMSDIST(K$9*SQRT($C$11)*NORMSINV($B304)+SQRT(1-K$9^2*$C$11)*NORMSINV(J304)))*(K$7-K$5)*(K$7-K$6))))</f>
        <v>0.235501110088308</v>
      </c>
      <c r="L304" s="2" t="n">
        <v>0.041723508</v>
      </c>
      <c r="M304" s="2" t="n">
        <f aca="false">IF(M$7=M$5,M$6,IF(NORMSDIST(M$9*SQRT($C$11)*NORMSINV($B304)+SQRT(1-M$9^2*$C$11)*NORMSINV(L304))&lt;M$8,M$5+SQRT(NORMSDIST(M$9*SQRT($C$11)*NORMSINV($B304)+SQRT(1-M$9^2*$C$11)*NORMSINV(L304))*(M$7-M$5)*(M$6-M$5)),M$7-SQRT((1-NORMSDIST(M$9*SQRT($C$11)*NORMSINV($B304)+SQRT(1-M$9^2*$C$11)*NORMSINV(L304)))*(M$7-M$5)*(M$7-M$6))))</f>
        <v>1449.13981465222</v>
      </c>
      <c r="N304" s="2" t="n">
        <v>0.233547589</v>
      </c>
      <c r="O304" s="2" t="n">
        <f aca="false">IF(O$7=O$5,O$6,IF(NORMSDIST(O$9*SQRT($C$11)*NORMSINV($B304)+SQRT(1-O$9^2*$C$11)*NORMSINV(N304))&lt;O$8,O$5+SQRT(NORMSDIST(O$9*SQRT($C$11)*NORMSINV($B304)+SQRT(1-O$9^2*$C$11)*NORMSINV(N304))*(O$7-O$5)*(O$6-O$5)),O$7-SQRT((1-NORMSDIST(O$9*SQRT($C$11)*NORMSINV($B304)+SQRT(1-O$9^2*$C$11)*NORMSINV(N304)))*(O$7-O$5)*(O$7-O$6))))</f>
        <v>0.163048553394775</v>
      </c>
      <c r="P304" s="2" t="n">
        <v>0.141225669</v>
      </c>
      <c r="Q304" s="2" t="n">
        <f aca="false">IF(Q$7=Q$5,Q$6,IF(NORMSDIST(Q$9*SQRT($C$11)*NORMSINV($B304)+SQRT(1-Q$9^2*$C$11)*NORMSINV(P304))&lt;Q$8,Q$5+SQRT(NORMSDIST(Q$9*SQRT($C$11)*NORMSINV($B304)+SQRT(1-Q$9^2*$C$11)*NORMSINV(P304))*(Q$7-Q$5)*(Q$6-Q$5)),Q$7-SQRT((1-NORMSDIST(Q$9*SQRT($C$11)*NORMSINV($B304)+SQRT(1-Q$9^2*$C$11)*NORMSINV(P304)))*(Q$7-Q$5)*(Q$7-Q$6))))</f>
        <v>0.0612584604522529</v>
      </c>
      <c r="R304" s="2" t="n">
        <v>0.770110151</v>
      </c>
      <c r="S304" s="2" t="n">
        <f aca="false">IF(S$7=S$5,S$6,IF(NORMSDIST(S$9*SQRT($C$11)*NORMSINV($B304)+SQRT(1-S$9^2*$C$11)*NORMSINV(R304))&lt;S$8,S$5+SQRT(NORMSDIST(S$9*SQRT($C$11)*NORMSINV($B304)+SQRT(1-S$9^2*$C$11)*NORMSINV(R304))*(S$7-S$5)*(S$6-S$5)),S$7-SQRT((1-NORMSDIST(S$9*SQRT($C$11)*NORMSINV($B304)+SQRT(1-S$9^2*$C$11)*NORMSINV(R304)))*(S$7-S$5)*(S$7-S$6))))</f>
        <v>0.675576823748319</v>
      </c>
      <c r="T304" s="2" t="n">
        <v>0.206343544</v>
      </c>
      <c r="U304" s="2" t="n">
        <f aca="false">IF(U$7=U$5,U$6,IF(NORMSDIST(U$9*SQRT($C$11)*NORMSINV($B304)+SQRT(1-U$9^2*$C$11)*NORMSINV(T304))&lt;U$8,U$5+SQRT(NORMSDIST(U$9*SQRT($C$11)*NORMSINV($B304)+SQRT(1-U$9^2*$C$11)*NORMSINV(T304))*(U$7-U$5)*(U$6-U$5)),U$7-SQRT((1-NORMSDIST(U$9*SQRT($C$11)*NORMSINV($B304)+SQRT(1-U$9^2*$C$11)*NORMSINV(T304)))*(U$7-U$5)*(U$7-U$6))))</f>
        <v>0.414537273915346</v>
      </c>
      <c r="V304" s="2" t="n">
        <v>0.942971364</v>
      </c>
      <c r="W304" s="2" t="n">
        <f aca="false">IF(W$7=W$5,W$6,IF(NORMSDIST(W$9*SQRT($C$11)*NORMSINV($B304)+SQRT(1-W$9^2*$C$11)*NORMSINV(V304))&lt;W$8,W$5+SQRT(NORMSDIST(W$9*SQRT($C$11)*NORMSINV($B304)+SQRT(1-W$9^2*$C$11)*NORMSINV(V304))*(W$7-W$5)*(W$6-W$5)),W$7-SQRT((1-NORMSDIST(W$9*SQRT($C$11)*NORMSINV($B304)+SQRT(1-W$9^2*$C$11)*NORMSINV(V304)))*(W$7-W$5)*(W$7-W$6))))</f>
        <v>11.2374836495334</v>
      </c>
      <c r="X304" s="2" t="n">
        <v>0.062626738</v>
      </c>
      <c r="Y304" s="2" t="n">
        <f aca="false">IF(Y$7=Y$5,Y$6,IF(NORMSDIST(Y$9*SQRT($C$11)*NORMSINV($B304)+SQRT(1-Y$9^2*$C$11)*NORMSINV(X304))&lt;Y$8,Y$5+SQRT(NORMSDIST(Y$9*SQRT($C$11)*NORMSINV($B304)+SQRT(1-Y$9^2*$C$11)*NORMSINV(X304))*(Y$7-Y$5)*(Y$6-Y$5)),Y$7-SQRT((1-NORMSDIST(Y$9*SQRT($C$11)*NORMSINV($B304)+SQRT(1-Y$9^2*$C$11)*NORMSINV(X304)))*(Y$7-Y$5)*(Y$7-Y$6))))</f>
        <v>0.176955839123777</v>
      </c>
      <c r="Z304" s="2" t="n">
        <v>0.093355716</v>
      </c>
      <c r="AA304" s="2" t="n">
        <f aca="false">IF(AA$7=AA$5,AA$6,IF(NORMSDIST(AA$9*SQRT($C$11)*NORMSINV($B304)+SQRT(1-AA$9^2*$C$11)*NORMSINV(Z304))&lt;AA$8,AA$5+SQRT(NORMSDIST(AA$9*SQRT($C$11)*NORMSINV($B304)+SQRT(1-AA$9^2*$C$11)*NORMSINV(Z304))*(AA$7-AA$5)*(AA$6-AA$5)),AA$7-SQRT((1-NORMSDIST(AA$9*SQRT($C$11)*NORMSINV($B304)+SQRT(1-AA$9^2*$C$11)*NORMSINV(Z304)))*(AA$7-AA$5)*(AA$7-AA$6))))</f>
        <v>0.716761708454432</v>
      </c>
      <c r="AB304" s="2" t="n">
        <v>0.200788546</v>
      </c>
      <c r="AC304" s="2" t="n">
        <f aca="false">IF(AC$7=AC$5,AC$6,IF(NORMSDIST(AC$9*SQRT($C$11)*NORMSINV($B304)+SQRT(1-AC$9^2*$C$11)*NORMSINV(AB304))&lt;AC$8,AC$5+SQRT(NORMSDIST(AC$9*SQRT($C$11)*NORMSINV($B304)+SQRT(1-AC$9^2*$C$11)*NORMSINV(AB304))*(AC$7-AC$5)*(AC$6-AC$5)),AC$7-SQRT((1-NORMSDIST(AC$9*SQRT($C$11)*NORMSINV($B304)+SQRT(1-AC$9^2*$C$11)*NORMSINV(AB304)))*(AC$7-AC$5)*(AC$7-AC$6))))</f>
        <v>9.10915804075008</v>
      </c>
      <c r="AD304" s="2" t="n">
        <f aca="false">Entrées!$C$8*(1+E304)</f>
        <v>7458.00740496363</v>
      </c>
      <c r="AE304" s="2" t="n">
        <f aca="false">I304*Hypothèses!$J$24/12/Hypothèses!$J$19</f>
        <v>99.2267761907273</v>
      </c>
      <c r="AF304" s="2" t="n">
        <f aca="false">Entrées!$C$36*S304*1000</f>
        <v>337.78841187416</v>
      </c>
      <c r="AG304" s="2" t="n">
        <f aca="false">-AF304/W304</f>
        <v>-30.0590792751174</v>
      </c>
      <c r="AH304" s="2" t="n">
        <f aca="false">AD304+AE304+AG304</f>
        <v>7527.17510187924</v>
      </c>
      <c r="AI304" s="2" t="n">
        <f aca="false">Entrées!$C$16-M304+Hypothèses!$J$22*1000-AF304+Hypothèses!$J$23</f>
        <v>22761.0717734736</v>
      </c>
      <c r="AJ304" s="2" t="n">
        <f aca="false">AI304/AH304</f>
        <v>3.02385310098487</v>
      </c>
      <c r="AK304" s="2" t="n">
        <f aca="false">AI304/(AH304+I304*(12-Hypothèses!$J$24)/12/Hypothèses!$J$19)</f>
        <v>2.9956459443779</v>
      </c>
      <c r="AL304" s="2" t="n">
        <f aca="false">(AD304+AG304+I304/Hypothèses!$J$19)*(1+G304)</f>
        <v>7993.81582488099</v>
      </c>
      <c r="AM304" s="2" t="n">
        <f aca="false">Entrées!$C$54*K304/Hypothèses!$J$19</f>
        <v>24.033877089775</v>
      </c>
      <c r="AN304" s="2" t="n">
        <f aca="false">Y304*1000/AC304</f>
        <v>19.4261465584591</v>
      </c>
      <c r="AO304" s="2" t="n">
        <f aca="false">(Entrées!$C$36*(1-S304)+MAX(0,Entrées!$C$30-Entrées!$C$35-Entrées!$C$36)*U304)*1000</f>
        <v>742.563771607325</v>
      </c>
      <c r="AP304" s="2" t="n">
        <f aca="false">-AO304/W304</f>
        <v>-66.0791859428564</v>
      </c>
      <c r="AQ304" s="2" t="n">
        <f aca="false">AL304+AM304+AN304+AP304</f>
        <v>7971.19666258637</v>
      </c>
      <c r="AR304" s="2" t="n">
        <f aca="false">O304*AQ304-Hypothèses!$J$25/Hypothèses!$J$19</f>
        <v>1280.55692239834</v>
      </c>
      <c r="AS304" s="2" t="n">
        <f aca="false">Entrées!$C$79*(1+Q304)+Hypothèses!$J$20</f>
        <v>1461.32304803703</v>
      </c>
      <c r="AT304" s="2" t="n">
        <f aca="false">AI304-AR304+AS304+Y304*1000-AO304+Hypothèses!$J$23</f>
        <v>22376.2299666288</v>
      </c>
      <c r="AU304" s="2" t="n">
        <f aca="false">AT304/AQ304</f>
        <v>2.80713560507846</v>
      </c>
      <c r="AV304" s="2" t="n">
        <f aca="false">Hypothèses!$J$26*AQ304-AT304</f>
        <v>1537.36002113034</v>
      </c>
      <c r="AW304" s="2" t="n">
        <f aca="false">IF(AC304&gt;Hypothèses!$J$26,MAX(0,AV304)/(1-Hypothèses!$J$26/AC304),0)</f>
        <v>2292.30530698265</v>
      </c>
      <c r="AX304" s="2" t="n">
        <f aca="false">AQ304-Entrées!$C$17*1000</f>
        <v>-28.8033374136321</v>
      </c>
      <c r="AY304" s="2" t="n">
        <f aca="false">AI304+(Entrées!$C$244-Entrées!$C$13)</f>
        <v>28508.0717734736</v>
      </c>
      <c r="AZ304" s="2" t="n">
        <f aca="false">AA304*AH304</f>
        <v>5395.19088585863</v>
      </c>
      <c r="BA304" s="2" t="n">
        <f aca="false">AZ304/AY304</f>
        <v>0.189251343574867</v>
      </c>
      <c r="BB304" s="2" t="n">
        <f aca="false">AZ304/(Entrées!$C$151/100)-AY304</f>
        <v>1465.210925741</v>
      </c>
      <c r="BC304" s="2" t="n">
        <f aca="false">AT304+(Entrées!$C$244-Entrées!$C$13)</f>
        <v>28123.2299666288</v>
      </c>
      <c r="BD304" s="2" t="n">
        <f aca="false">AA304*AQ304</f>
        <v>5713.44853830167</v>
      </c>
      <c r="BE304" s="2" t="n">
        <f aca="false">BD304/BC304</f>
        <v>0.203157622544825</v>
      </c>
      <c r="BF304" s="2" t="n">
        <f aca="false">BD304/(Entrées!$C$151/100)-BC304</f>
        <v>3618.15080171387</v>
      </c>
      <c r="BG304" s="2" t="n">
        <f aca="false">MIN(AV304,BF304)</f>
        <v>1537.36002113034</v>
      </c>
      <c r="BH304" s="2" t="n">
        <f aca="false">IF(AC304&gt;Hypothèses!$J$26,MAX(0,BG304)/(1-Hypothèses!$J$26/AC304),0)</f>
        <v>2292.30530698265</v>
      </c>
    </row>
    <row r="305" customFormat="false" ht="15" hidden="false" customHeight="false" outlineLevel="0" collapsed="false">
      <c r="A305" s="2" t="n">
        <v>290</v>
      </c>
      <c r="B305" s="2" t="n">
        <v>0.715208514</v>
      </c>
      <c r="C305" s="2"/>
      <c r="D305" s="2" t="n">
        <v>0.059240213</v>
      </c>
      <c r="E305" s="2" t="n">
        <f aca="false">IF(E$7=E$5,E$6,IF(NORMSDIST(E$9*SQRT($C$11)*NORMSINV($B305)+SQRT(1-E$9^2*$C$11)*NORMSINV(D305))&lt;E$8,E$5+SQRT(NORMSDIST(E$9*SQRT($C$11)*NORMSINV($B305)+SQRT(1-E$9^2*$C$11)*NORMSINV(D305))*(E$7-E$5)*(E$6-E$5)),E$7-SQRT((1-NORMSDIST(E$9*SQRT($C$11)*NORMSINV($B305)+SQRT(1-E$9^2*$C$11)*NORMSINV(D305)))*(E$7-E$5)*(E$7-E$6))))</f>
        <v>0.0531445580297055</v>
      </c>
      <c r="F305" s="2" t="n">
        <v>0.831978977</v>
      </c>
      <c r="G305" s="2" t="n">
        <f aca="false">IF(G$7=G$5,G$6,IF(NORMSDIST(G$9*SQRT($C$11)*NORMSINV($B305)+SQRT(1-G$9^2*$C$11)*NORMSINV(F305))&lt;G$8,G$5+SQRT(NORMSDIST(G$9*SQRT($C$11)*NORMSINV($B305)+SQRT(1-G$9^2*$C$11)*NORMSINV(F305))*(G$7-G$5)*(G$6-G$5)),G$7-SQRT((1-NORMSDIST(G$9*SQRT($C$11)*NORMSINV($B305)+SQRT(1-G$9^2*$C$11)*NORMSINV(F305)))*(G$7-G$5)*(G$7-G$6))))</f>
        <v>0.0622168428828244</v>
      </c>
      <c r="H305" s="2" t="n">
        <v>0.535918953</v>
      </c>
      <c r="I305" s="2" t="n">
        <f aca="false">IF(I$7=I$5,I$6,IF(NORMSDIST(I$9*SQRT($C$11)*NORMSINV($B305)+SQRT(1-I$9^2*$C$11)*NORMSINV(H305))&lt;I$8,I$5+SQRT(NORMSDIST(I$9*SQRT($C$11)*NORMSINV($B305)+SQRT(1-I$9^2*$C$11)*NORMSINV(H305))*(I$7-I$5)*(I$6-I$5)),I$7-SQRT((1-NORMSDIST(I$9*SQRT($C$11)*NORMSINV($B305)+SQRT(1-I$9^2*$C$11)*NORMSINV(H305)))*(I$7-I$5)*(I$7-I$6))))</f>
        <v>203.659062573829</v>
      </c>
      <c r="J305" s="2" t="n">
        <v>0.128528409</v>
      </c>
      <c r="K305" s="2" t="n">
        <f aca="false">IF(K$7=K$5,K$6,IF(NORMSDIST(K$9*SQRT($C$11)*NORMSINV($B305)+SQRT(1-K$9^2*$C$11)*NORMSINV(J305))&lt;K$8,K$5+SQRT(NORMSDIST(K$9*SQRT($C$11)*NORMSINV($B305)+SQRT(1-K$9^2*$C$11)*NORMSINV(J305))*(K$7-K$5)*(K$6-K$5)),K$7-SQRT((1-NORMSDIST(K$9*SQRT($C$11)*NORMSINV($B305)+SQRT(1-K$9^2*$C$11)*NORMSINV(J305)))*(K$7-K$5)*(K$7-K$6))))</f>
        <v>0.194338943177271</v>
      </c>
      <c r="L305" s="2" t="n">
        <v>0.382609032</v>
      </c>
      <c r="M305" s="2" t="n">
        <f aca="false">IF(M$7=M$5,M$6,IF(NORMSDIST(M$9*SQRT($C$11)*NORMSINV($B305)+SQRT(1-M$9^2*$C$11)*NORMSINV(L305))&lt;M$8,M$5+SQRT(NORMSDIST(M$9*SQRT($C$11)*NORMSINV($B305)+SQRT(1-M$9^2*$C$11)*NORMSINV(L305))*(M$7-M$5)*(M$6-M$5)),M$7-SQRT((1-NORMSDIST(M$9*SQRT($C$11)*NORMSINV($B305)+SQRT(1-M$9^2*$C$11)*NORMSINV(L305)))*(M$7-M$5)*(M$7-M$6))))</f>
        <v>1599.40690608669</v>
      </c>
      <c r="N305" s="2" t="n">
        <v>0.179829128</v>
      </c>
      <c r="O305" s="2" t="n">
        <f aca="false">IF(O$7=O$5,O$6,IF(NORMSDIST(O$9*SQRT($C$11)*NORMSINV($B305)+SQRT(1-O$9^2*$C$11)*NORMSINV(N305))&lt;O$8,O$5+SQRT(NORMSDIST(O$9*SQRT($C$11)*NORMSINV($B305)+SQRT(1-O$9^2*$C$11)*NORMSINV(N305))*(O$7-O$5)*(O$6-O$5)),O$7-SQRT((1-NORMSDIST(O$9*SQRT($C$11)*NORMSINV($B305)+SQRT(1-O$9^2*$C$11)*NORMSINV(N305)))*(O$7-O$5)*(O$7-O$6))))</f>
        <v>0.162828547447808</v>
      </c>
      <c r="P305" s="2" t="n">
        <v>0.031085939</v>
      </c>
      <c r="Q305" s="2" t="n">
        <f aca="false">IF(Q$7=Q$5,Q$6,IF(NORMSDIST(Q$9*SQRT($C$11)*NORMSINV($B305)+SQRT(1-Q$9^2*$C$11)*NORMSINV(P305))&lt;Q$8,Q$5+SQRT(NORMSDIST(Q$9*SQRT($C$11)*NORMSINV($B305)+SQRT(1-Q$9^2*$C$11)*NORMSINV(P305))*(Q$7-Q$5)*(Q$6-Q$5)),Q$7-SQRT((1-NORMSDIST(Q$9*SQRT($C$11)*NORMSINV($B305)+SQRT(1-Q$9^2*$C$11)*NORMSINV(P305)))*(Q$7-Q$5)*(Q$7-Q$6))))</f>
        <v>0.0499737156967702</v>
      </c>
      <c r="R305" s="2" t="n">
        <v>0.893040561</v>
      </c>
      <c r="S305" s="2" t="n">
        <f aca="false">IF(S$7=S$5,S$6,IF(NORMSDIST(S$9*SQRT($C$11)*NORMSINV($B305)+SQRT(1-S$9^2*$C$11)*NORMSINV(R305))&lt;S$8,S$5+SQRT(NORMSDIST(S$9*SQRT($C$11)*NORMSINV($B305)+SQRT(1-S$9^2*$C$11)*NORMSINV(R305))*(S$7-S$5)*(S$6-S$5)),S$7-SQRT((1-NORMSDIST(S$9*SQRT($C$11)*NORMSINV($B305)+SQRT(1-S$9^2*$C$11)*NORMSINV(R305)))*(S$7-S$5)*(S$7-S$6))))</f>
        <v>0.784335768129074</v>
      </c>
      <c r="T305" s="2" t="n">
        <v>0.584627061</v>
      </c>
      <c r="U305" s="2" t="n">
        <f aca="false">IF(U$7=U$5,U$6,IF(NORMSDIST(U$9*SQRT($C$11)*NORMSINV($B305)+SQRT(1-U$9^2*$C$11)*NORMSINV(T305))&lt;U$8,U$5+SQRT(NORMSDIST(U$9*SQRT($C$11)*NORMSINV($B305)+SQRT(1-U$9^2*$C$11)*NORMSINV(T305))*(U$7-U$5)*(U$6-U$5)),U$7-SQRT((1-NORMSDIST(U$9*SQRT($C$11)*NORMSINV($B305)+SQRT(1-U$9^2*$C$11)*NORMSINV(T305)))*(U$7-U$5)*(U$7-U$6))))</f>
        <v>0.61288604538026</v>
      </c>
      <c r="V305" s="2" t="n">
        <v>0.496036394</v>
      </c>
      <c r="W305" s="2" t="n">
        <f aca="false">IF(W$7=W$5,W$6,IF(NORMSDIST(W$9*SQRT($C$11)*NORMSINV($B305)+SQRT(1-W$9^2*$C$11)*NORMSINV(V305))&lt;W$8,W$5+SQRT(NORMSDIST(W$9*SQRT($C$11)*NORMSINV($B305)+SQRT(1-W$9^2*$C$11)*NORMSINV(V305))*(W$7-W$5)*(W$6-W$5)),W$7-SQRT((1-NORMSDIST(W$9*SQRT($C$11)*NORMSINV($B305)+SQRT(1-W$9^2*$C$11)*NORMSINV(V305)))*(W$7-W$5)*(W$7-W$6))))</f>
        <v>10.2972159619765</v>
      </c>
      <c r="X305" s="2" t="n">
        <v>0.92755756</v>
      </c>
      <c r="Y305" s="2" t="n">
        <f aca="false">IF(Y$7=Y$5,Y$6,IF(NORMSDIST(Y$9*SQRT($C$11)*NORMSINV($B305)+SQRT(1-Y$9^2*$C$11)*NORMSINV(X305))&lt;Y$8,Y$5+SQRT(NORMSDIST(Y$9*SQRT($C$11)*NORMSINV($B305)+SQRT(1-Y$9^2*$C$11)*NORMSINV(X305))*(Y$7-Y$5)*(Y$6-Y$5)),Y$7-SQRT((1-NORMSDIST(Y$9*SQRT($C$11)*NORMSINV($B305)+SQRT(1-Y$9^2*$C$11)*NORMSINV(X305)))*(Y$7-Y$5)*(Y$7-Y$6))))</f>
        <v>0.809681267343438</v>
      </c>
      <c r="Z305" s="2" t="n">
        <v>0.556746275</v>
      </c>
      <c r="AA305" s="2" t="n">
        <f aca="false">IF(AA$7=AA$5,AA$6,IF(NORMSDIST(AA$9*SQRT($C$11)*NORMSINV($B305)+SQRT(1-AA$9^2*$C$11)*NORMSINV(Z305))&lt;AA$8,AA$5+SQRT(NORMSDIST(AA$9*SQRT($C$11)*NORMSINV($B305)+SQRT(1-AA$9^2*$C$11)*NORMSINV(Z305))*(AA$7-AA$5)*(AA$6-AA$5)),AA$7-SQRT((1-NORMSDIST(AA$9*SQRT($C$11)*NORMSINV($B305)+SQRT(1-AA$9^2*$C$11)*NORMSINV(Z305)))*(AA$7-AA$5)*(AA$7-AA$6))))</f>
        <v>0.7336173849701</v>
      </c>
      <c r="AB305" s="2" t="n">
        <v>0.410322452</v>
      </c>
      <c r="AC305" s="2" t="n">
        <f aca="false">IF(AC$7=AC$5,AC$6,IF(NORMSDIST(AC$9*SQRT($C$11)*NORMSINV($B305)+SQRT(1-AC$9^2*$C$11)*NORMSINV(AB305))&lt;AC$8,AC$5+SQRT(NORMSDIST(AC$9*SQRT($C$11)*NORMSINV($B305)+SQRT(1-AC$9^2*$C$11)*NORMSINV(AB305))*(AC$7-AC$5)*(AC$6-AC$5)),AC$7-SQRT((1-NORMSDIST(AC$9*SQRT($C$11)*NORMSINV($B305)+SQRT(1-AC$9^2*$C$11)*NORMSINV(AB305)))*(AC$7-AC$5)*(AC$7-AC$6))))</f>
        <v>9.625040790368</v>
      </c>
      <c r="AD305" s="2" t="n">
        <f aca="false">Entrées!$C$8*(1+E305)</f>
        <v>7424.66913410942</v>
      </c>
      <c r="AE305" s="2" t="n">
        <f aca="false">I305*Hypothèses!$J$24/12/Hypothèses!$J$19</f>
        <v>101.034609106689</v>
      </c>
      <c r="AF305" s="2" t="n">
        <f aca="false">Entrées!$C$36*S305*1000</f>
        <v>392.167884064537</v>
      </c>
      <c r="AG305" s="2" t="n">
        <f aca="false">-AF305/W305</f>
        <v>-38.0848459926114</v>
      </c>
      <c r="AH305" s="2" t="n">
        <f aca="false">AD305+AE305+AG305</f>
        <v>7487.6188972235</v>
      </c>
      <c r="AI305" s="2" t="n">
        <f aca="false">Entrées!$C$16-M305+Hypothèses!$J$22*1000-AF305+Hypothèses!$J$23</f>
        <v>22556.4252098488</v>
      </c>
      <c r="AJ305" s="2" t="n">
        <f aca="false">AI305/AH305</f>
        <v>3.01249643170447</v>
      </c>
      <c r="AK305" s="2" t="n">
        <f aca="false">AI305/(AH305+I305*(12-Hypothèses!$J$24)/12/Hypothèses!$J$19)</f>
        <v>2.98373840107445</v>
      </c>
      <c r="AL305" s="2" t="n">
        <f aca="false">(AD305+AG305+I305/Hypothèses!$J$19)*(1+G305)</f>
        <v>8030.13252250939</v>
      </c>
      <c r="AM305" s="2" t="n">
        <f aca="false">Entrées!$C$54*K305/Hypothèses!$J$19</f>
        <v>19.8331051277333</v>
      </c>
      <c r="AN305" s="2" t="n">
        <f aca="false">Y305*1000/AC305</f>
        <v>84.1223725673667</v>
      </c>
      <c r="AO305" s="2" t="n">
        <f aca="false">(Entrées!$C$36*(1-S305)+MAX(0,Entrées!$C$30-Entrées!$C$35-Entrées!$C$36)*U305)*1000</f>
        <v>965.872579467827</v>
      </c>
      <c r="AP305" s="2" t="n">
        <f aca="false">-AO305/W305</f>
        <v>-93.7993903434098</v>
      </c>
      <c r="AQ305" s="2" t="n">
        <f aca="false">AL305+AM305+AN305+AP305</f>
        <v>8040.28860986108</v>
      </c>
      <c r="AR305" s="2" t="n">
        <f aca="false">O305*AQ305-Hypothèses!$J$25/Hypothèses!$J$19</f>
        <v>1290.05335314321</v>
      </c>
      <c r="AS305" s="2" t="n">
        <f aca="false">Entrées!$C$79*(1+Q305)+Hypothèses!$J$20</f>
        <v>1448.92111355075</v>
      </c>
      <c r="AT305" s="2" t="n">
        <f aca="false">AI305-AR305+AS305+Y305*1000-AO305+Hypothèses!$J$23</f>
        <v>22559.1016581319</v>
      </c>
      <c r="AU305" s="2" t="n">
        <f aca="false">AT305/AQ305</f>
        <v>2.80575769761102</v>
      </c>
      <c r="AV305" s="2" t="n">
        <f aca="false">Hypothèses!$J$26*AQ305-AT305</f>
        <v>1561.76417145129</v>
      </c>
      <c r="AW305" s="2" t="n">
        <f aca="false">IF(AC305&gt;Hypothèses!$J$26,MAX(0,AV305)/(1-Hypothèses!$J$26/AC305),0)</f>
        <v>2268.97378156656</v>
      </c>
      <c r="AX305" s="2" t="n">
        <f aca="false">AQ305-Entrées!$C$17*1000</f>
        <v>40.2886098610752</v>
      </c>
      <c r="AY305" s="2" t="n">
        <f aca="false">AI305+(Entrées!$C$244-Entrées!$C$13)</f>
        <v>28303.4252098488</v>
      </c>
      <c r="AZ305" s="2" t="n">
        <f aca="false">AA305*AH305</f>
        <v>5493.04739503381</v>
      </c>
      <c r="BA305" s="2" t="n">
        <f aca="false">AZ305/AY305</f>
        <v>0.194077125093764</v>
      </c>
      <c r="BB305" s="2" t="n">
        <f aca="false">AZ305/(Entrées!$C$151/100)-AY305</f>
        <v>2213.50476256126</v>
      </c>
      <c r="BC305" s="2" t="n">
        <f aca="false">AT305+(Entrées!$C$244-Entrées!$C$13)</f>
        <v>28306.1016581319</v>
      </c>
      <c r="BD305" s="2" t="n">
        <f aca="false">AA305*AQ305</f>
        <v>5898.49550437116</v>
      </c>
      <c r="BE305" s="2" t="n">
        <f aca="false">BD305/BC305</f>
        <v>0.208382474408185</v>
      </c>
      <c r="BF305" s="2" t="n">
        <f aca="false">BD305/(Entrées!$C$151/100)-BC305</f>
        <v>4463.31781059674</v>
      </c>
      <c r="BG305" s="2" t="n">
        <f aca="false">MIN(AV305,BF305)</f>
        <v>1561.76417145129</v>
      </c>
      <c r="BH305" s="2" t="n">
        <f aca="false">IF(AC305&gt;Hypothèses!$J$26,MAX(0,BG305)/(1-Hypothèses!$J$26/AC305),0)</f>
        <v>2268.97378156656</v>
      </c>
    </row>
    <row r="306" customFormat="false" ht="15" hidden="false" customHeight="false" outlineLevel="0" collapsed="false">
      <c r="A306" s="2" t="n">
        <v>291</v>
      </c>
      <c r="B306" s="2" t="n">
        <v>0.77852511</v>
      </c>
      <c r="C306" s="2"/>
      <c r="D306" s="2" t="n">
        <v>0.123250408</v>
      </c>
      <c r="E306" s="2" t="n">
        <f aca="false">IF(E$7=E$5,E$6,IF(NORMSDIST(E$9*SQRT($C$11)*NORMSINV($B306)+SQRT(1-E$9^2*$C$11)*NORMSINV(D306))&lt;E$8,E$5+SQRT(NORMSDIST(E$9*SQRT($C$11)*NORMSINV($B306)+SQRT(1-E$9^2*$C$11)*NORMSINV(D306))*(E$7-E$5)*(E$6-E$5)),E$7-SQRT((1-NORMSDIST(E$9*SQRT($C$11)*NORMSINV($B306)+SQRT(1-E$9^2*$C$11)*NORMSINV(D306)))*(E$7-E$5)*(E$7-E$6))))</f>
        <v>0.0541231588005205</v>
      </c>
      <c r="F306" s="2" t="n">
        <v>0.910763202</v>
      </c>
      <c r="G306" s="2" t="n">
        <f aca="false">IF(G$7=G$5,G$6,IF(NORMSDIST(G$9*SQRT($C$11)*NORMSINV($B306)+SQRT(1-G$9^2*$C$11)*NORMSINV(F306))&lt;G$8,G$5+SQRT(NORMSDIST(G$9*SQRT($C$11)*NORMSINV($B306)+SQRT(1-G$9^2*$C$11)*NORMSINV(F306))*(G$7-G$5)*(G$6-G$5)),G$7-SQRT((1-NORMSDIST(G$9*SQRT($C$11)*NORMSINV($B306)+SQRT(1-G$9^2*$C$11)*NORMSINV(F306)))*(G$7-G$5)*(G$7-G$6))))</f>
        <v>0.0646617247000254</v>
      </c>
      <c r="H306" s="2" t="n">
        <v>0.762002259</v>
      </c>
      <c r="I306" s="2" t="n">
        <f aca="false">IF(I$7=I$5,I$6,IF(NORMSDIST(I$9*SQRT($C$11)*NORMSINV($B306)+SQRT(1-I$9^2*$C$11)*NORMSINV(H306))&lt;I$8,I$5+SQRT(NORMSDIST(I$9*SQRT($C$11)*NORMSINV($B306)+SQRT(1-I$9^2*$C$11)*NORMSINV(H306))*(I$7-I$5)*(I$6-I$5)),I$7-SQRT((1-NORMSDIST(I$9*SQRT($C$11)*NORMSINV($B306)+SQRT(1-I$9^2*$C$11)*NORMSINV(H306)))*(I$7-I$5)*(I$7-I$6))))</f>
        <v>209.053211757554</v>
      </c>
      <c r="J306" s="2" t="n">
        <v>0.048225343</v>
      </c>
      <c r="K306" s="2" t="n">
        <f aca="false">IF(K$7=K$5,K$6,IF(NORMSDIST(K$9*SQRT($C$11)*NORMSINV($B306)+SQRT(1-K$9^2*$C$11)*NORMSINV(J306))&lt;K$8,K$5+SQRT(NORMSDIST(K$9*SQRT($C$11)*NORMSINV($B306)+SQRT(1-K$9^2*$C$11)*NORMSINV(J306))*(K$7-K$5)*(K$6-K$5)),K$7-SQRT((1-NORMSDIST(K$9*SQRT($C$11)*NORMSINV($B306)+SQRT(1-K$9^2*$C$11)*NORMSINV(J306)))*(K$7-K$5)*(K$7-K$6))))</f>
        <v>0.162467242839775</v>
      </c>
      <c r="L306" s="2" t="n">
        <v>0.353794827</v>
      </c>
      <c r="M306" s="2" t="n">
        <f aca="false">IF(M$7=M$5,M$6,IF(NORMSDIST(M$9*SQRT($C$11)*NORMSINV($B306)+SQRT(1-M$9^2*$C$11)*NORMSINV(L306))&lt;M$8,M$5+SQRT(NORMSDIST(M$9*SQRT($C$11)*NORMSINV($B306)+SQRT(1-M$9^2*$C$11)*NORMSINV(L306))*(M$7-M$5)*(M$6-M$5)),M$7-SQRT((1-NORMSDIST(M$9*SQRT($C$11)*NORMSINV($B306)+SQRT(1-M$9^2*$C$11)*NORMSINV(L306)))*(M$7-M$5)*(M$7-M$6))))</f>
        <v>1606.34651641908</v>
      </c>
      <c r="N306" s="2" t="n">
        <v>0.209986583</v>
      </c>
      <c r="O306" s="2" t="n">
        <f aca="false">IF(O$7=O$5,O$6,IF(NORMSDIST(O$9*SQRT($C$11)*NORMSINV($B306)+SQRT(1-O$9^2*$C$11)*NORMSINV(N306))&lt;O$8,O$5+SQRT(NORMSDIST(O$9*SQRT($C$11)*NORMSINV($B306)+SQRT(1-O$9^2*$C$11)*NORMSINV(N306))*(O$7-O$5)*(O$6-O$5)),O$7-SQRT((1-NORMSDIST(O$9*SQRT($C$11)*NORMSINV($B306)+SQRT(1-O$9^2*$C$11)*NORMSINV(N306)))*(O$7-O$5)*(O$7-O$6))))</f>
        <v>0.16525554242927</v>
      </c>
      <c r="P306" s="2" t="n">
        <v>0.449294038</v>
      </c>
      <c r="Q306" s="2" t="n">
        <f aca="false">IF(Q$7=Q$5,Q$6,IF(NORMSDIST(Q$9*SQRT($C$11)*NORMSINV($B306)+SQRT(1-Q$9^2*$C$11)*NORMSINV(P306))&lt;Q$8,Q$5+SQRT(NORMSDIST(Q$9*SQRT($C$11)*NORMSINV($B306)+SQRT(1-Q$9^2*$C$11)*NORMSINV(P306))*(Q$7-Q$5)*(Q$6-Q$5)),Q$7-SQRT((1-NORMSDIST(Q$9*SQRT($C$11)*NORMSINV($B306)+SQRT(1-Q$9^2*$C$11)*NORMSINV(P306)))*(Q$7-Q$5)*(Q$7-Q$6))))</f>
        <v>0.0779175542671201</v>
      </c>
      <c r="R306" s="2" t="n">
        <v>0.415411764</v>
      </c>
      <c r="S306" s="2" t="n">
        <f aca="false">IF(S$7=S$5,S$6,IF(NORMSDIST(S$9*SQRT($C$11)*NORMSINV($B306)+SQRT(1-S$9^2*$C$11)*NORMSINV(R306))&lt;S$8,S$5+SQRT(NORMSDIST(S$9*SQRT($C$11)*NORMSINV($B306)+SQRT(1-S$9^2*$C$11)*NORMSINV(R306))*(S$7-S$5)*(S$6-S$5)),S$7-SQRT((1-NORMSDIST(S$9*SQRT($C$11)*NORMSINV($B306)+SQRT(1-S$9^2*$C$11)*NORMSINV(R306)))*(S$7-S$5)*(S$7-S$6))))</f>
        <v>0.56722925958743</v>
      </c>
      <c r="T306" s="2" t="n">
        <v>0.487915191</v>
      </c>
      <c r="U306" s="2" t="n">
        <f aca="false">IF(U$7=U$5,U$6,IF(NORMSDIST(U$9*SQRT($C$11)*NORMSINV($B306)+SQRT(1-U$9^2*$C$11)*NORMSINV(T306))&lt;U$8,U$5+SQRT(NORMSDIST(U$9*SQRT($C$11)*NORMSINV($B306)+SQRT(1-U$9^2*$C$11)*NORMSINV(T306))*(U$7-U$5)*(U$6-U$5)),U$7-SQRT((1-NORMSDIST(U$9*SQRT($C$11)*NORMSINV($B306)+SQRT(1-U$9^2*$C$11)*NORMSINV(T306)))*(U$7-U$5)*(U$7-U$6))))</f>
        <v>0.598674290368171</v>
      </c>
      <c r="V306" s="2" t="n">
        <v>0.874123226</v>
      </c>
      <c r="W306" s="2" t="n">
        <f aca="false">IF(W$7=W$5,W$6,IF(NORMSDIST(W$9*SQRT($C$11)*NORMSINV($B306)+SQRT(1-W$9^2*$C$11)*NORMSINV(V306))&lt;W$8,W$5+SQRT(NORMSDIST(W$9*SQRT($C$11)*NORMSINV($B306)+SQRT(1-W$9^2*$C$11)*NORMSINV(V306))*(W$7-W$5)*(W$6-W$5)),W$7-SQRT((1-NORMSDIST(W$9*SQRT($C$11)*NORMSINV($B306)+SQRT(1-W$9^2*$C$11)*NORMSINV(V306)))*(W$7-W$5)*(W$7-W$6))))</f>
        <v>11.1759791450068</v>
      </c>
      <c r="X306" s="2" t="n">
        <v>0.274375658</v>
      </c>
      <c r="Y306" s="2" t="n">
        <f aca="false">IF(Y$7=Y$5,Y$6,IF(NORMSDIST(Y$9*SQRT($C$11)*NORMSINV($B306)+SQRT(1-Y$9^2*$C$11)*NORMSINV(X306))&lt;Y$8,Y$5+SQRT(NORMSDIST(Y$9*SQRT($C$11)*NORMSINV($B306)+SQRT(1-Y$9^2*$C$11)*NORMSINV(X306))*(Y$7-Y$5)*(Y$6-Y$5)),Y$7-SQRT((1-NORMSDIST(Y$9*SQRT($C$11)*NORMSINV($B306)+SQRT(1-Y$9^2*$C$11)*NORMSINV(X306)))*(Y$7-Y$5)*(Y$7-Y$6))))</f>
        <v>0.370388753878948</v>
      </c>
      <c r="Z306" s="2" t="n">
        <v>0.767105638</v>
      </c>
      <c r="AA306" s="2" t="n">
        <f aca="false">IF(AA$7=AA$5,AA$6,IF(NORMSDIST(AA$9*SQRT($C$11)*NORMSINV($B306)+SQRT(1-AA$9^2*$C$11)*NORMSINV(Z306))&lt;AA$8,AA$5+SQRT(NORMSDIST(AA$9*SQRT($C$11)*NORMSINV($B306)+SQRT(1-AA$9^2*$C$11)*NORMSINV(Z306))*(AA$7-AA$5)*(AA$6-AA$5)),AA$7-SQRT((1-NORMSDIST(AA$9*SQRT($C$11)*NORMSINV($B306)+SQRT(1-AA$9^2*$C$11)*NORMSINV(Z306)))*(AA$7-AA$5)*(AA$7-AA$6))))</f>
        <v>0.740133377144138</v>
      </c>
      <c r="AB306" s="2" t="n">
        <v>0.554545708</v>
      </c>
      <c r="AC306" s="2" t="n">
        <f aca="false">IF(AC$7=AC$5,AC$6,IF(NORMSDIST(AC$9*SQRT($C$11)*NORMSINV($B306)+SQRT(1-AC$9^2*$C$11)*NORMSINV(AB306))&lt;AC$8,AC$5+SQRT(NORMSDIST(AC$9*SQRT($C$11)*NORMSINV($B306)+SQRT(1-AC$9^2*$C$11)*NORMSINV(AB306))*(AC$7-AC$5)*(AC$6-AC$5)),AC$7-SQRT((1-NORMSDIST(AC$9*SQRT($C$11)*NORMSINV($B306)+SQRT(1-AC$9^2*$C$11)*NORMSINV(AB306)))*(AC$7-AC$5)*(AC$7-AC$6))))</f>
        <v>9.90588867889765</v>
      </c>
      <c r="AD306" s="2" t="n">
        <f aca="false">Entrées!$C$8*(1+E306)</f>
        <v>7431.56826954367</v>
      </c>
      <c r="AE306" s="2" t="n">
        <f aca="false">I306*Hypothèses!$J$24/12/Hypothèses!$J$19</f>
        <v>103.710629252089</v>
      </c>
      <c r="AF306" s="2" t="n">
        <f aca="false">Entrées!$C$36*S306*1000</f>
        <v>283.614629793715</v>
      </c>
      <c r="AG306" s="2" t="n">
        <f aca="false">-AF306/W306</f>
        <v>-25.3771616888197</v>
      </c>
      <c r="AH306" s="2" t="n">
        <f aca="false">AD306+AE306+AG306</f>
        <v>7509.90173710694</v>
      </c>
      <c r="AI306" s="2" t="n">
        <f aca="false">Entrées!$C$16-M306+Hypothèses!$J$22*1000-AF306+Hypothèses!$J$23</f>
        <v>22658.0388537872</v>
      </c>
      <c r="AJ306" s="2" t="n">
        <f aca="false">AI306/AH306</f>
        <v>3.0170885914302</v>
      </c>
      <c r="AK306" s="2" t="n">
        <f aca="false">AI306/(AH306+I306*(12-Hypothèses!$J$24)/12/Hypothèses!$J$19)</f>
        <v>2.98761818849321</v>
      </c>
      <c r="AL306" s="2" t="n">
        <f aca="false">(AD306+AG306+I306/Hypothèses!$J$19)*(1+G306)</f>
        <v>8074.37403390546</v>
      </c>
      <c r="AM306" s="2" t="n">
        <f aca="false">Entrées!$C$54*K306/Hypothèses!$J$19</f>
        <v>16.5804642876697</v>
      </c>
      <c r="AN306" s="2" t="n">
        <f aca="false">Y306*1000/AC306</f>
        <v>37.3907648152741</v>
      </c>
      <c r="AO306" s="2" t="n">
        <f aca="false">(Entrées!$C$36*(1-S306)+MAX(0,Entrées!$C$30-Entrées!$C$35-Entrées!$C$36)*U306)*1000</f>
        <v>1054.52937672173</v>
      </c>
      <c r="AP306" s="2" t="n">
        <f aca="false">-AO306/W306</f>
        <v>-94.3567774276732</v>
      </c>
      <c r="AQ306" s="2" t="n">
        <f aca="false">AL306+AM306+AN306+AP306</f>
        <v>8033.98848558073</v>
      </c>
      <c r="AR306" s="2" t="n">
        <f aca="false">O306*AQ306-Hypothèses!$J$25/Hypothèses!$J$19</f>
        <v>1308.52596279352</v>
      </c>
      <c r="AS306" s="2" t="n">
        <f aca="false">Entrées!$C$79*(1+Q306)+Hypothèses!$J$20</f>
        <v>1479.63139213957</v>
      </c>
      <c r="AT306" s="2" t="n">
        <f aca="false">AI306-AR306+AS306+Y306*1000-AO306+Hypothèses!$J$23</f>
        <v>22145.0036602905</v>
      </c>
      <c r="AU306" s="2" t="n">
        <f aca="false">AT306/AQ306</f>
        <v>2.7564146625348</v>
      </c>
      <c r="AV306" s="2" t="n">
        <f aca="false">Hypothèses!$J$26*AQ306-AT306</f>
        <v>1956.96179645171</v>
      </c>
      <c r="AW306" s="2" t="n">
        <f aca="false">IF(AC306&gt;Hypothèses!$J$26,MAX(0,AV306)/(1-Hypothèses!$J$26/AC306),0)</f>
        <v>2807.08922571289</v>
      </c>
      <c r="AX306" s="2" t="n">
        <f aca="false">AQ306-Entrées!$C$17*1000</f>
        <v>33.9884855807268</v>
      </c>
      <c r="AY306" s="2" t="n">
        <f aca="false">AI306+(Entrées!$C$244-Entrées!$C$13)</f>
        <v>28405.0388537872</v>
      </c>
      <c r="AZ306" s="2" t="n">
        <f aca="false">AA306*AH306</f>
        <v>5558.32893470559</v>
      </c>
      <c r="BA306" s="2" t="n">
        <f aca="false">AZ306/AY306</f>
        <v>0.195681088954557</v>
      </c>
      <c r="BB306" s="2" t="n">
        <f aca="false">AZ306/(Entrées!$C$151/100)-AY306</f>
        <v>2474.56633902161</v>
      </c>
      <c r="BC306" s="2" t="n">
        <f aca="false">AT306+(Entrées!$C$244-Entrées!$C$13)</f>
        <v>27892.0036602905</v>
      </c>
      <c r="BD306" s="2" t="n">
        <f aca="false">AA306*AQ306</f>
        <v>5946.22302976998</v>
      </c>
      <c r="BE306" s="2" t="n">
        <f aca="false">BD306/BC306</f>
        <v>0.213187374495994</v>
      </c>
      <c r="BF306" s="2" t="n">
        <f aca="false">BD306/(Entrées!$C$151/100)-BC306</f>
        <v>5142.56872732054</v>
      </c>
      <c r="BG306" s="2" t="n">
        <f aca="false">MIN(AV306,BF306)</f>
        <v>1956.96179645171</v>
      </c>
      <c r="BH306" s="2" t="n">
        <f aca="false">IF(AC306&gt;Hypothèses!$J$26,MAX(0,BG306)/(1-Hypothèses!$J$26/AC306),0)</f>
        <v>2807.08922571289</v>
      </c>
    </row>
    <row r="307" customFormat="false" ht="15" hidden="false" customHeight="false" outlineLevel="0" collapsed="false">
      <c r="A307" s="2" t="n">
        <v>292</v>
      </c>
      <c r="B307" s="2" t="n">
        <v>0.86484886</v>
      </c>
      <c r="C307" s="2"/>
      <c r="D307" s="2" t="n">
        <v>0.573729453</v>
      </c>
      <c r="E307" s="2" t="n">
        <f aca="false">IF(E$7=E$5,E$6,IF(NORMSDIST(E$9*SQRT($C$11)*NORMSINV($B307)+SQRT(1-E$9^2*$C$11)*NORMSINV(D307))&lt;E$8,E$5+SQRT(NORMSDIST(E$9*SQRT($C$11)*NORMSINV($B307)+SQRT(1-E$9^2*$C$11)*NORMSINV(D307))*(E$7-E$5)*(E$6-E$5)),E$7-SQRT((1-NORMSDIST(E$9*SQRT($C$11)*NORMSINV($B307)+SQRT(1-E$9^2*$C$11)*NORMSINV(D307)))*(E$7-E$5)*(E$7-E$6))))</f>
        <v>0.0568367407499944</v>
      </c>
      <c r="F307" s="2" t="n">
        <v>0.262529677</v>
      </c>
      <c r="G307" s="2" t="n">
        <f aca="false">IF(G$7=G$5,G$6,IF(NORMSDIST(G$9*SQRT($C$11)*NORMSINV($B307)+SQRT(1-G$9^2*$C$11)*NORMSINV(F307))&lt;G$8,G$5+SQRT(NORMSDIST(G$9*SQRT($C$11)*NORMSINV($B307)+SQRT(1-G$9^2*$C$11)*NORMSINV(F307))*(G$7-G$5)*(G$6-G$5)),G$7-SQRT((1-NORMSDIST(G$9*SQRT($C$11)*NORMSINV($B307)+SQRT(1-G$9^2*$C$11)*NORMSINV(F307)))*(G$7-G$5)*(G$7-G$6))))</f>
        <v>0.0562714547901493</v>
      </c>
      <c r="H307" s="2" t="n">
        <v>0.420163604</v>
      </c>
      <c r="I307" s="2" t="n">
        <f aca="false">IF(I$7=I$5,I$6,IF(NORMSDIST(I$9*SQRT($C$11)*NORMSINV($B307)+SQRT(1-I$9^2*$C$11)*NORMSINV(H307))&lt;I$8,I$5+SQRT(NORMSDIST(I$9*SQRT($C$11)*NORMSINV($B307)+SQRT(1-I$9^2*$C$11)*NORMSINV(H307))*(I$7-I$5)*(I$6-I$5)),I$7-SQRT((1-NORMSDIST(I$9*SQRT($C$11)*NORMSINV($B307)+SQRT(1-I$9^2*$C$11)*NORMSINV(H307)))*(I$7-I$5)*(I$7-I$6))))</f>
        <v>204.658373166489</v>
      </c>
      <c r="J307" s="2" t="n">
        <v>0.915725347</v>
      </c>
      <c r="K307" s="2" t="n">
        <f aca="false">IF(K$7=K$5,K$6,IF(NORMSDIST(K$9*SQRT($C$11)*NORMSINV($B307)+SQRT(1-K$9^2*$C$11)*NORMSINV(J307))&lt;K$8,K$5+SQRT(NORMSDIST(K$9*SQRT($C$11)*NORMSINV($B307)+SQRT(1-K$9^2*$C$11)*NORMSINV(J307))*(K$7-K$5)*(K$6-K$5)),K$7-SQRT((1-NORMSDIST(K$9*SQRT($C$11)*NORMSINV($B307)+SQRT(1-K$9^2*$C$11)*NORMSINV(J307)))*(K$7-K$5)*(K$7-K$6))))</f>
        <v>0.430278078724565</v>
      </c>
      <c r="L307" s="2" t="n">
        <v>0.938783518</v>
      </c>
      <c r="M307" s="2" t="n">
        <f aca="false">IF(M$7=M$5,M$6,IF(NORMSDIST(M$9*SQRT($C$11)*NORMSINV($B307)+SQRT(1-M$9^2*$C$11)*NORMSINV(L307))&lt;M$8,M$5+SQRT(NORMSDIST(M$9*SQRT($C$11)*NORMSINV($B307)+SQRT(1-M$9^2*$C$11)*NORMSINV(L307))*(M$7-M$5)*(M$6-M$5)),M$7-SQRT((1-NORMSDIST(M$9*SQRT($C$11)*NORMSINV($B307)+SQRT(1-M$9^2*$C$11)*NORMSINV(L307)))*(M$7-M$5)*(M$7-M$6))))</f>
        <v>1743.74030192107</v>
      </c>
      <c r="N307" s="2" t="n">
        <v>0.140194127</v>
      </c>
      <c r="O307" s="2" t="n">
        <f aca="false">IF(O$7=O$5,O$6,IF(NORMSDIST(O$9*SQRT($C$11)*NORMSINV($B307)+SQRT(1-O$9^2*$C$11)*NORMSINV(N307))&lt;O$8,O$5+SQRT(NORMSDIST(O$9*SQRT($C$11)*NORMSINV($B307)+SQRT(1-O$9^2*$C$11)*NORMSINV(N307))*(O$7-O$5)*(O$6-O$5)),O$7-SQRT((1-NORMSDIST(O$9*SQRT($C$11)*NORMSINV($B307)+SQRT(1-O$9^2*$C$11)*NORMSINV(N307)))*(O$7-O$5)*(O$7-O$6))))</f>
        <v>0.165261323508445</v>
      </c>
      <c r="P307" s="2" t="n">
        <v>0.269096866</v>
      </c>
      <c r="Q307" s="2" t="n">
        <f aca="false">IF(Q$7=Q$5,Q$6,IF(NORMSDIST(Q$9*SQRT($C$11)*NORMSINV($B307)+SQRT(1-Q$9^2*$C$11)*NORMSINV(P307))&lt;Q$8,Q$5+SQRT(NORMSDIST(Q$9*SQRT($C$11)*NORMSINV($B307)+SQRT(1-Q$9^2*$C$11)*NORMSINV(P307))*(Q$7-Q$5)*(Q$6-Q$5)),Q$7-SQRT((1-NORMSDIST(Q$9*SQRT($C$11)*NORMSINV($B307)+SQRT(1-Q$9^2*$C$11)*NORMSINV(P307)))*(Q$7-Q$5)*(Q$7-Q$6))))</f>
        <v>0.0693446753466451</v>
      </c>
      <c r="R307" s="2" t="n">
        <v>0.916101367</v>
      </c>
      <c r="S307" s="2" t="n">
        <f aca="false">IF(S$7=S$5,S$6,IF(NORMSDIST(S$9*SQRT($C$11)*NORMSINV($B307)+SQRT(1-S$9^2*$C$11)*NORMSINV(R307))&lt;S$8,S$5+SQRT(NORMSDIST(S$9*SQRT($C$11)*NORMSINV($B307)+SQRT(1-S$9^2*$C$11)*NORMSINV(R307))*(S$7-S$5)*(S$6-S$5)),S$7-SQRT((1-NORMSDIST(S$9*SQRT($C$11)*NORMSINV($B307)+SQRT(1-S$9^2*$C$11)*NORMSINV(R307)))*(S$7-S$5)*(S$7-S$6))))</f>
        <v>0.860840904289269</v>
      </c>
      <c r="T307" s="2" t="n">
        <v>0.308902836</v>
      </c>
      <c r="U307" s="2" t="n">
        <f aca="false">IF(U$7=U$5,U$6,IF(NORMSDIST(U$9*SQRT($C$11)*NORMSINV($B307)+SQRT(1-U$9^2*$C$11)*NORMSINV(T307))&lt;U$8,U$5+SQRT(NORMSDIST(U$9*SQRT($C$11)*NORMSINV($B307)+SQRT(1-U$9^2*$C$11)*NORMSINV(T307))*(U$7-U$5)*(U$6-U$5)),U$7-SQRT((1-NORMSDIST(U$9*SQRT($C$11)*NORMSINV($B307)+SQRT(1-U$9^2*$C$11)*NORMSINV(T307)))*(U$7-U$5)*(U$7-U$6))))</f>
        <v>0.565251121350801</v>
      </c>
      <c r="V307" s="2" t="n">
        <v>0.711900895</v>
      </c>
      <c r="W307" s="2" t="n">
        <f aca="false">IF(W$7=W$5,W$6,IF(NORMSDIST(W$9*SQRT($C$11)*NORMSINV($B307)+SQRT(1-W$9^2*$C$11)*NORMSINV(V307))&lt;W$8,W$5+SQRT(NORMSDIST(W$9*SQRT($C$11)*NORMSINV($B307)+SQRT(1-W$9^2*$C$11)*NORMSINV(V307))*(W$7-W$5)*(W$6-W$5)),W$7-SQRT((1-NORMSDIST(W$9*SQRT($C$11)*NORMSINV($B307)+SQRT(1-W$9^2*$C$11)*NORMSINV(V307)))*(W$7-W$5)*(W$7-W$6))))</f>
        <v>10.9833181863399</v>
      </c>
      <c r="X307" s="2" t="n">
        <v>0.797971556</v>
      </c>
      <c r="Y307" s="2" t="n">
        <f aca="false">IF(Y$7=Y$5,Y$6,IF(NORMSDIST(Y$9*SQRT($C$11)*NORMSINV($B307)+SQRT(1-Y$9^2*$C$11)*NORMSINV(X307))&lt;Y$8,Y$5+SQRT(NORMSDIST(Y$9*SQRT($C$11)*NORMSINV($B307)+SQRT(1-Y$9^2*$C$11)*NORMSINV(X307))*(Y$7-Y$5)*(Y$6-Y$5)),Y$7-SQRT((1-NORMSDIST(Y$9*SQRT($C$11)*NORMSINV($B307)+SQRT(1-Y$9^2*$C$11)*NORMSINV(X307)))*(Y$7-Y$5)*(Y$7-Y$6))))</f>
        <v>0.682172653788256</v>
      </c>
      <c r="Z307" s="2" t="n">
        <v>0.642302819</v>
      </c>
      <c r="AA307" s="2" t="n">
        <f aca="false">IF(AA$7=AA$5,AA$6,IF(NORMSDIST(AA$9*SQRT($C$11)*NORMSINV($B307)+SQRT(1-AA$9^2*$C$11)*NORMSINV(Z307))&lt;AA$8,AA$5+SQRT(NORMSDIST(AA$9*SQRT($C$11)*NORMSINV($B307)+SQRT(1-AA$9^2*$C$11)*NORMSINV(Z307))*(AA$7-AA$5)*(AA$6-AA$5)),AA$7-SQRT((1-NORMSDIST(AA$9*SQRT($C$11)*NORMSINV($B307)+SQRT(1-AA$9^2*$C$11)*NORMSINV(Z307)))*(AA$7-AA$5)*(AA$7-AA$6))))</f>
        <v>0.739367838730597</v>
      </c>
      <c r="AB307" s="2" t="n">
        <v>0.857488522</v>
      </c>
      <c r="AC307" s="2" t="n">
        <f aca="false">IF(AC$7=AC$5,AC$6,IF(NORMSDIST(AC$9*SQRT($C$11)*NORMSINV($B307)+SQRT(1-AC$9^2*$C$11)*NORMSINV(AB307))&lt;AC$8,AC$5+SQRT(NORMSDIST(AC$9*SQRT($C$11)*NORMSINV($B307)+SQRT(1-AC$9^2*$C$11)*NORMSINV(AB307))*(AC$7-AC$5)*(AC$6-AC$5)),AC$7-SQRT((1-NORMSDIST(AC$9*SQRT($C$11)*NORMSINV($B307)+SQRT(1-AC$9^2*$C$11)*NORMSINV(AB307)))*(AC$7-AC$5)*(AC$7-AC$6))))</f>
        <v>10.4758757984632</v>
      </c>
      <c r="AD307" s="2" t="n">
        <f aca="false">Entrées!$C$8*(1+E307)</f>
        <v>7450.69902228746</v>
      </c>
      <c r="AE307" s="2" t="n">
        <f aca="false">I307*Hypothèses!$J$24/12/Hypothèses!$J$19</f>
        <v>101.53036389329</v>
      </c>
      <c r="AF307" s="2" t="n">
        <f aca="false">Entrées!$C$36*S307*1000</f>
        <v>430.420452144635</v>
      </c>
      <c r="AG307" s="2" t="n">
        <f aca="false">-AF307/W307</f>
        <v>-39.1885625857545</v>
      </c>
      <c r="AH307" s="2" t="n">
        <f aca="false">AD307+AE307+AG307</f>
        <v>7513.04082359499</v>
      </c>
      <c r="AI307" s="2" t="n">
        <f aca="false">Entrées!$C$16-M307+Hypothèses!$J$22*1000-AF307+Hypothèses!$J$23</f>
        <v>22373.8392459343</v>
      </c>
      <c r="AJ307" s="2" t="n">
        <f aca="false">AI307/AH307</f>
        <v>2.978000488919</v>
      </c>
      <c r="AK307" s="2" t="n">
        <f aca="false">AI307/(AH307+I307*(12-Hypothèses!$J$24)/12/Hypothèses!$J$19)</f>
        <v>2.94952934739828</v>
      </c>
      <c r="AL307" s="2" t="n">
        <f aca="false">(AD307+AG307+I307/Hypothèses!$J$19)*(1+G307)</f>
        <v>8012.41315004714</v>
      </c>
      <c r="AM307" s="2" t="n">
        <f aca="false">Entrées!$C$54*K307/Hypothèses!$J$19</f>
        <v>43.9116845547478</v>
      </c>
      <c r="AN307" s="2" t="n">
        <f aca="false">Y307*1000/AC307</f>
        <v>65.1184365786706</v>
      </c>
      <c r="AO307" s="2" t="n">
        <f aca="false">(Entrées!$C$36*(1-S307)+MAX(0,Entrées!$C$30-Entrées!$C$35-Entrées!$C$36)*U307)*1000</f>
        <v>860.931117746487</v>
      </c>
      <c r="AP307" s="2" t="n">
        <f aca="false">-AO307/W307</f>
        <v>-78.3853388511718</v>
      </c>
      <c r="AQ307" s="2" t="n">
        <f aca="false">AL307+AM307+AN307+AP307</f>
        <v>8043.05793232938</v>
      </c>
      <c r="AR307" s="2" t="n">
        <f aca="false">O307*AQ307-Hypothèses!$J$25/Hypothèses!$J$19</f>
        <v>1310.07123669022</v>
      </c>
      <c r="AS307" s="2" t="n">
        <f aca="false">Entrées!$C$79*(1+Q307)+Hypothèses!$J$20</f>
        <v>1470.20979820596</v>
      </c>
      <c r="AT307" s="2" t="n">
        <f aca="false">AI307-AR307+AS307+Y307*1000-AO307+Hypothèses!$J$23</f>
        <v>22355.2193434918</v>
      </c>
      <c r="AU307" s="2" t="n">
        <f aca="false">AT307/AQ307</f>
        <v>2.77944278551496</v>
      </c>
      <c r="AV307" s="2" t="n">
        <f aca="false">Hypothèses!$J$26*AQ307-AT307</f>
        <v>1773.95445349635</v>
      </c>
      <c r="AW307" s="2" t="n">
        <f aca="false">IF(AC307&gt;Hypothèses!$J$26,MAX(0,AV307)/(1-Hypothèses!$J$26/AC307),0)</f>
        <v>2485.82601262298</v>
      </c>
      <c r="AX307" s="2" t="n">
        <f aca="false">AQ307-Entrées!$C$17*1000</f>
        <v>43.0579323293832</v>
      </c>
      <c r="AY307" s="2" t="n">
        <f aca="false">AI307+(Entrées!$C$244-Entrées!$C$13)</f>
        <v>28120.8392459343</v>
      </c>
      <c r="AZ307" s="2" t="n">
        <f aca="false">AA307*AH307</f>
        <v>5554.90075603618</v>
      </c>
      <c r="BA307" s="2" t="n">
        <f aca="false">AZ307/AY307</f>
        <v>0.19753680562145</v>
      </c>
      <c r="BB307" s="2" t="n">
        <f aca="false">AZ307/(Entrées!$C$151/100)-AY307</f>
        <v>2739.72050982225</v>
      </c>
      <c r="BC307" s="2" t="n">
        <f aca="false">AT307+(Entrées!$C$244-Entrées!$C$13)</f>
        <v>28102.2193434918</v>
      </c>
      <c r="BD307" s="2" t="n">
        <f aca="false">AA307*AQ307</f>
        <v>5946.77836021136</v>
      </c>
      <c r="BE307" s="2" t="n">
        <f aca="false">BD307/BC307</f>
        <v>0.2116124099497</v>
      </c>
      <c r="BF307" s="2" t="n">
        <f aca="false">BD307/(Entrées!$C$151/100)-BC307</f>
        <v>4935.43821323799</v>
      </c>
      <c r="BG307" s="2" t="n">
        <f aca="false">MIN(AV307,BF307)</f>
        <v>1773.95445349635</v>
      </c>
      <c r="BH307" s="2" t="n">
        <f aca="false">IF(AC307&gt;Hypothèses!$J$26,MAX(0,BG307)/(1-Hypothèses!$J$26/AC307),0)</f>
        <v>2485.82601262298</v>
      </c>
    </row>
    <row r="308" customFormat="false" ht="15" hidden="false" customHeight="false" outlineLevel="0" collapsed="false">
      <c r="A308" s="2" t="n">
        <v>293</v>
      </c>
      <c r="B308" s="2" t="n">
        <v>0.721555885</v>
      </c>
      <c r="C308" s="2"/>
      <c r="D308" s="2" t="n">
        <v>0.85684328</v>
      </c>
      <c r="E308" s="2" t="n">
        <f aca="false">IF(E$7=E$5,E$6,IF(NORMSDIST(E$9*SQRT($C$11)*NORMSINV($B308)+SQRT(1-E$9^2*$C$11)*NORMSINV(D308))&lt;E$8,E$5+SQRT(NORMSDIST(E$9*SQRT($C$11)*NORMSINV($B308)+SQRT(1-E$9^2*$C$11)*NORMSINV(D308))*(E$7-E$5)*(E$6-E$5)),E$7-SQRT((1-NORMSDIST(E$9*SQRT($C$11)*NORMSINV($B308)+SQRT(1-E$9^2*$C$11)*NORMSINV(D308)))*(E$7-E$5)*(E$7-E$6))))</f>
        <v>0.0575962097102538</v>
      </c>
      <c r="F308" s="2" t="n">
        <v>0.106629205</v>
      </c>
      <c r="G308" s="2" t="n">
        <f aca="false">IF(G$7=G$5,G$6,IF(NORMSDIST(G$9*SQRT($C$11)*NORMSINV($B308)+SQRT(1-G$9^2*$C$11)*NORMSINV(F308))&lt;G$8,G$5+SQRT(NORMSDIST(G$9*SQRT($C$11)*NORMSINV($B308)+SQRT(1-G$9^2*$C$11)*NORMSINV(F308))*(G$7-G$5)*(G$6-G$5)),G$7-SQRT((1-NORMSDIST(G$9*SQRT($C$11)*NORMSINV($B308)+SQRT(1-G$9^2*$C$11)*NORMSINV(F308)))*(G$7-G$5)*(G$7-G$6))))</f>
        <v>0.0511594086604601</v>
      </c>
      <c r="H308" s="2" t="n">
        <v>0.373662528</v>
      </c>
      <c r="I308" s="2" t="n">
        <f aca="false">IF(I$7=I$5,I$6,IF(NORMSDIST(I$9*SQRT($C$11)*NORMSINV($B308)+SQRT(1-I$9^2*$C$11)*NORMSINV(H308))&lt;I$8,I$5+SQRT(NORMSDIST(I$9*SQRT($C$11)*NORMSINV($B308)+SQRT(1-I$9^2*$C$11)*NORMSINV(H308))*(I$7-I$5)*(I$6-I$5)),I$7-SQRT((1-NORMSDIST(I$9*SQRT($C$11)*NORMSINV($B308)+SQRT(1-I$9^2*$C$11)*NORMSINV(H308)))*(I$7-I$5)*(I$7-I$6))))</f>
        <v>200.995782643305</v>
      </c>
      <c r="J308" s="2" t="n">
        <v>0.551986316</v>
      </c>
      <c r="K308" s="2" t="n">
        <f aca="false">IF(K$7=K$5,K$6,IF(NORMSDIST(K$9*SQRT($C$11)*NORMSINV($B308)+SQRT(1-K$9^2*$C$11)*NORMSINV(J308))&lt;K$8,K$5+SQRT(NORMSDIST(K$9*SQRT($C$11)*NORMSINV($B308)+SQRT(1-K$9^2*$C$11)*NORMSINV(J308))*(K$7-K$5)*(K$6-K$5)),K$7-SQRT((1-NORMSDIST(K$9*SQRT($C$11)*NORMSINV($B308)+SQRT(1-K$9^2*$C$11)*NORMSINV(J308)))*(K$7-K$5)*(K$7-K$6))))</f>
        <v>0.300567287056343</v>
      </c>
      <c r="L308" s="2" t="n">
        <v>0.349799304</v>
      </c>
      <c r="M308" s="2" t="n">
        <f aca="false">IF(M$7=M$5,M$6,IF(NORMSDIST(M$9*SQRT($C$11)*NORMSINV($B308)+SQRT(1-M$9^2*$C$11)*NORMSINV(L308))&lt;M$8,M$5+SQRT(NORMSDIST(M$9*SQRT($C$11)*NORMSINV($B308)+SQRT(1-M$9^2*$C$11)*NORMSINV(L308))*(M$7-M$5)*(M$6-M$5)),M$7-SQRT((1-NORMSDIST(M$9*SQRT($C$11)*NORMSINV($B308)+SQRT(1-M$9^2*$C$11)*NORMSINV(L308)))*(M$7-M$5)*(M$7-M$6))))</f>
        <v>1593.40770679472</v>
      </c>
      <c r="N308" s="2" t="n">
        <v>0.697521037</v>
      </c>
      <c r="O308" s="2" t="n">
        <f aca="false">IF(O$7=O$5,O$6,IF(NORMSDIST(O$9*SQRT($C$11)*NORMSINV($B308)+SQRT(1-O$9^2*$C$11)*NORMSINV(N308))&lt;O$8,O$5+SQRT(NORMSDIST(O$9*SQRT($C$11)*NORMSINV($B308)+SQRT(1-O$9^2*$C$11)*NORMSINV(N308))*(O$7-O$5)*(O$6-O$5)),O$7-SQRT((1-NORMSDIST(O$9*SQRT($C$11)*NORMSINV($B308)+SQRT(1-O$9^2*$C$11)*NORMSINV(N308)))*(O$7-O$5)*(O$7-O$6))))</f>
        <v>0.174692262800603</v>
      </c>
      <c r="P308" s="2" t="n">
        <v>0.551757722</v>
      </c>
      <c r="Q308" s="2" t="n">
        <f aca="false">IF(Q$7=Q$5,Q$6,IF(NORMSDIST(Q$9*SQRT($C$11)*NORMSINV($B308)+SQRT(1-Q$9^2*$C$11)*NORMSINV(P308))&lt;Q$8,Q$5+SQRT(NORMSDIST(Q$9*SQRT($C$11)*NORMSINV($B308)+SQRT(1-Q$9^2*$C$11)*NORMSINV(P308))*(Q$7-Q$5)*(Q$6-Q$5)),Q$7-SQRT((1-NORMSDIST(Q$9*SQRT($C$11)*NORMSINV($B308)+SQRT(1-Q$9^2*$C$11)*NORMSINV(P308)))*(Q$7-Q$5)*(Q$7-Q$6))))</f>
        <v>0.0821268526578527</v>
      </c>
      <c r="R308" s="2" t="n">
        <v>0.921950238</v>
      </c>
      <c r="S308" s="2" t="n">
        <f aca="false">IF(S$7=S$5,S$6,IF(NORMSDIST(S$9*SQRT($C$11)*NORMSINV($B308)+SQRT(1-S$9^2*$C$11)*NORMSINV(R308))&lt;S$8,S$5+SQRT(NORMSDIST(S$9*SQRT($C$11)*NORMSINV($B308)+SQRT(1-S$9^2*$C$11)*NORMSINV(R308))*(S$7-S$5)*(S$6-S$5)),S$7-SQRT((1-NORMSDIST(S$9*SQRT($C$11)*NORMSINV($B308)+SQRT(1-S$9^2*$C$11)*NORMSINV(R308)))*(S$7-S$5)*(S$7-S$6))))</f>
        <v>0.811906896498201</v>
      </c>
      <c r="T308" s="2" t="n">
        <v>0.117935763</v>
      </c>
      <c r="U308" s="2" t="n">
        <f aca="false">IF(U$7=U$5,U$6,IF(NORMSDIST(U$9*SQRT($C$11)*NORMSINV($B308)+SQRT(1-U$9^2*$C$11)*NORMSINV(T308))&lt;U$8,U$5+SQRT(NORMSDIST(U$9*SQRT($C$11)*NORMSINV($B308)+SQRT(1-U$9^2*$C$11)*NORMSINV(T308))*(U$7-U$5)*(U$6-U$5)),U$7-SQRT((1-NORMSDIST(U$9*SQRT($C$11)*NORMSINV($B308)+SQRT(1-U$9^2*$C$11)*NORMSINV(T308)))*(U$7-U$5)*(U$7-U$6))))</f>
        <v>0.382305468073351</v>
      </c>
      <c r="V308" s="2" t="n">
        <v>0.156379971</v>
      </c>
      <c r="W308" s="2" t="n">
        <f aca="false">IF(W$7=W$5,W$6,IF(NORMSDIST(W$9*SQRT($C$11)*NORMSINV($B308)+SQRT(1-W$9^2*$C$11)*NORMSINV(V308))&lt;W$8,W$5+SQRT(NORMSDIST(W$9*SQRT($C$11)*NORMSINV($B308)+SQRT(1-W$9^2*$C$11)*NORMSINV(V308))*(W$7-W$5)*(W$6-W$5)),W$7-SQRT((1-NORMSDIST(W$9*SQRT($C$11)*NORMSINV($B308)+SQRT(1-W$9^2*$C$11)*NORMSINV(V308)))*(W$7-W$5)*(W$7-W$6))))</f>
        <v>9.65110535722714</v>
      </c>
      <c r="X308" s="2" t="n">
        <v>0.942787325</v>
      </c>
      <c r="Y308" s="2" t="n">
        <f aca="false">IF(Y$7=Y$5,Y$6,IF(NORMSDIST(Y$9*SQRT($C$11)*NORMSINV($B308)+SQRT(1-Y$9^2*$C$11)*NORMSINV(X308))&lt;Y$8,Y$5+SQRT(NORMSDIST(Y$9*SQRT($C$11)*NORMSINV($B308)+SQRT(1-Y$9^2*$C$11)*NORMSINV(X308))*(Y$7-Y$5)*(Y$6-Y$5)),Y$7-SQRT((1-NORMSDIST(Y$9*SQRT($C$11)*NORMSINV($B308)+SQRT(1-Y$9^2*$C$11)*NORMSINV(X308)))*(Y$7-Y$5)*(Y$7-Y$6))))</f>
        <v>0.830865918573458</v>
      </c>
      <c r="Z308" s="2" t="n">
        <v>0.446789316</v>
      </c>
      <c r="AA308" s="2" t="n">
        <f aca="false">IF(AA$7=AA$5,AA$6,IF(NORMSDIST(AA$9*SQRT($C$11)*NORMSINV($B308)+SQRT(1-AA$9^2*$C$11)*NORMSINV(Z308))&lt;AA$8,AA$5+SQRT(NORMSDIST(AA$9*SQRT($C$11)*NORMSINV($B308)+SQRT(1-AA$9^2*$C$11)*NORMSINV(Z308))*(AA$7-AA$5)*(AA$6-AA$5)),AA$7-SQRT((1-NORMSDIST(AA$9*SQRT($C$11)*NORMSINV($B308)+SQRT(1-AA$9^2*$C$11)*NORMSINV(Z308)))*(AA$7-AA$5)*(AA$7-AA$6))))</f>
        <v>0.731343089491569</v>
      </c>
      <c r="AB308" s="2" t="n">
        <v>0.96152504</v>
      </c>
      <c r="AC308" s="2" t="n">
        <f aca="false">IF(AC$7=AC$5,AC$6,IF(NORMSDIST(AC$9*SQRT($C$11)*NORMSINV($B308)+SQRT(1-AC$9^2*$C$11)*NORMSINV(AB308))&lt;AC$8,AC$5+SQRT(NORMSDIST(AC$9*SQRT($C$11)*NORMSINV($B308)+SQRT(1-AC$9^2*$C$11)*NORMSINV(AB308))*(AC$7-AC$5)*(AC$6-AC$5)),AC$7-SQRT((1-NORMSDIST(AC$9*SQRT($C$11)*NORMSINV($B308)+SQRT(1-AC$9^2*$C$11)*NORMSINV(AB308)))*(AC$7-AC$5)*(AC$7-AC$6))))</f>
        <v>10.5802043342283</v>
      </c>
      <c r="AD308" s="2" t="n">
        <f aca="false">Entrées!$C$8*(1+E308)</f>
        <v>7456.05327845729</v>
      </c>
      <c r="AE308" s="2" t="n">
        <f aca="false">I308*Hypothèses!$J$24/12/Hypothèses!$J$19</f>
        <v>99.7133644573148</v>
      </c>
      <c r="AF308" s="2" t="n">
        <f aca="false">Entrées!$C$36*S308*1000</f>
        <v>405.9534482491</v>
      </c>
      <c r="AG308" s="2" t="n">
        <f aca="false">-AF308/W308</f>
        <v>-42.0628967587744</v>
      </c>
      <c r="AH308" s="2" t="n">
        <f aca="false">AD308+AE308+AG308</f>
        <v>7513.70374615583</v>
      </c>
      <c r="AI308" s="2" t="n">
        <f aca="false">Entrées!$C$16-M308+Hypothèses!$J$22*1000-AF308+Hypothèses!$J$23</f>
        <v>22548.6388449562</v>
      </c>
      <c r="AJ308" s="2" t="n">
        <f aca="false">AI308/AH308</f>
        <v>3.00100185031817</v>
      </c>
      <c r="AK308" s="2" t="n">
        <f aca="false">AI308/(AH308+I308*(12-Hypothèses!$J$24)/12/Hypothèses!$J$19)</f>
        <v>2.97282190414351</v>
      </c>
      <c r="AL308" s="2" t="n">
        <f aca="false">(AD308+AG308+I308/Hypothèses!$J$19)*(1+G308)</f>
        <v>7972.9679875294</v>
      </c>
      <c r="AM308" s="2" t="n">
        <f aca="false">Entrées!$C$54*K308/Hypothèses!$J$19</f>
        <v>30.6741536445858</v>
      </c>
      <c r="AN308" s="2" t="n">
        <f aca="false">Y308*1000/AC308</f>
        <v>78.5302336633993</v>
      </c>
      <c r="AO308" s="2" t="n">
        <f aca="false">(Entrées!$C$36*(1-S308)+MAX(0,Entrées!$C$30-Entrées!$C$35-Entrées!$C$36)*U308)*1000</f>
        <v>629.27420705359</v>
      </c>
      <c r="AP308" s="2" t="n">
        <f aca="false">-AO308/W308</f>
        <v>-65.202293805897</v>
      </c>
      <c r="AQ308" s="2" t="n">
        <f aca="false">AL308+AM308+AN308+AP308</f>
        <v>8016.97008103149</v>
      </c>
      <c r="AR308" s="2" t="n">
        <f aca="false">O308*AQ308-Hypothèses!$J$25/Hypothèses!$J$19</f>
        <v>1381.3674819985</v>
      </c>
      <c r="AS308" s="2" t="n">
        <f aca="false">Entrées!$C$79*(1+Q308)+Hypothèses!$J$20</f>
        <v>1484.25741107098</v>
      </c>
      <c r="AT308" s="2" t="n">
        <f aca="false">AI308-AR308+AS308+Y308*1000-AO308+Hypothèses!$J$23</f>
        <v>22853.1204855485</v>
      </c>
      <c r="AU308" s="2" t="n">
        <f aca="false">AT308/AQ308</f>
        <v>2.85059321097132</v>
      </c>
      <c r="AV308" s="2" t="n">
        <f aca="false">Hypothèses!$J$26*AQ308-AT308</f>
        <v>1197.78975754594</v>
      </c>
      <c r="AW308" s="2" t="n">
        <f aca="false">IF(AC308&gt;Hypothèses!$J$26,MAX(0,AV308)/(1-Hypothèses!$J$26/AC308),0)</f>
        <v>1671.83624946068</v>
      </c>
      <c r="AX308" s="2" t="n">
        <f aca="false">AQ308-Entrées!$C$17*1000</f>
        <v>16.9700810314889</v>
      </c>
      <c r="AY308" s="2" t="n">
        <f aca="false">AI308+(Entrées!$C$244-Entrées!$C$13)</f>
        <v>28295.6388449562</v>
      </c>
      <c r="AZ308" s="2" t="n">
        <f aca="false">AA308*AH308</f>
        <v>5495.09531123798</v>
      </c>
      <c r="BA308" s="2" t="n">
        <f aca="false">AZ308/AY308</f>
        <v>0.194202906721702</v>
      </c>
      <c r="BB308" s="2" t="n">
        <f aca="false">AZ308/(Entrées!$C$151/100)-AY308</f>
        <v>2232.66843969926</v>
      </c>
      <c r="BC308" s="2" t="n">
        <f aca="false">AT308+(Entrées!$C$244-Entrées!$C$13)</f>
        <v>28600.1204855485</v>
      </c>
      <c r="BD308" s="2" t="n">
        <f aca="false">AA308*AQ308</f>
        <v>5863.15566742304</v>
      </c>
      <c r="BE308" s="2" t="n">
        <f aca="false">BD308/BC308</f>
        <v>0.205004579277408</v>
      </c>
      <c r="BF308" s="2" t="n">
        <f aca="false">BD308/(Entrées!$C$151/100)-BC308</f>
        <v>3972.9665556906</v>
      </c>
      <c r="BG308" s="2" t="n">
        <f aca="false">MIN(AV308,BF308)</f>
        <v>1197.78975754594</v>
      </c>
      <c r="BH308" s="2" t="n">
        <f aca="false">IF(AC308&gt;Hypothèses!$J$26,MAX(0,BG308)/(1-Hypothèses!$J$26/AC308),0)</f>
        <v>1671.83624946068</v>
      </c>
    </row>
    <row r="309" customFormat="false" ht="15" hidden="false" customHeight="false" outlineLevel="0" collapsed="false">
      <c r="A309" s="2" t="n">
        <v>294</v>
      </c>
      <c r="B309" s="2" t="n">
        <v>0.889462962</v>
      </c>
      <c r="C309" s="2"/>
      <c r="D309" s="2" t="n">
        <v>0.608299703</v>
      </c>
      <c r="E309" s="2" t="n">
        <f aca="false">IF(E$7=E$5,E$6,IF(NORMSDIST(E$9*SQRT($C$11)*NORMSINV($B309)+SQRT(1-E$9^2*$C$11)*NORMSINV(D309))&lt;E$8,E$5+SQRT(NORMSDIST(E$9*SQRT($C$11)*NORMSINV($B309)+SQRT(1-E$9^2*$C$11)*NORMSINV(D309))*(E$7-E$5)*(E$6-E$5)),E$7-SQRT((1-NORMSDIST(E$9*SQRT($C$11)*NORMSINV($B309)+SQRT(1-E$9^2*$C$11)*NORMSINV(D309)))*(E$7-E$5)*(E$7-E$6))))</f>
        <v>0.0571551977185967</v>
      </c>
      <c r="F309" s="2" t="n">
        <v>0.103932473</v>
      </c>
      <c r="G309" s="2" t="n">
        <f aca="false">IF(G$7=G$5,G$6,IF(NORMSDIST(G$9*SQRT($C$11)*NORMSINV($B309)+SQRT(1-G$9^2*$C$11)*NORMSINV(F309))&lt;G$8,G$5+SQRT(NORMSDIST(G$9*SQRT($C$11)*NORMSINV($B309)+SQRT(1-G$9^2*$C$11)*NORMSINV(F309))*(G$7-G$5)*(G$6-G$5)),G$7-SQRT((1-NORMSDIST(G$9*SQRT($C$11)*NORMSINV($B309)+SQRT(1-G$9^2*$C$11)*NORMSINV(F309)))*(G$7-G$5)*(G$7-G$6))))</f>
        <v>0.0537492804973494</v>
      </c>
      <c r="H309" s="2" t="n">
        <v>0.560317393</v>
      </c>
      <c r="I309" s="2" t="n">
        <f aca="false">IF(I$7=I$5,I$6,IF(NORMSDIST(I$9*SQRT($C$11)*NORMSINV($B309)+SQRT(1-I$9^2*$C$11)*NORMSINV(H309))&lt;I$8,I$5+SQRT(NORMSDIST(I$9*SQRT($C$11)*NORMSINV($B309)+SQRT(1-I$9^2*$C$11)*NORMSINV(H309))*(I$7-I$5)*(I$6-I$5)),I$7-SQRT((1-NORMSDIST(I$9*SQRT($C$11)*NORMSINV($B309)+SQRT(1-I$9^2*$C$11)*NORMSINV(H309)))*(I$7-I$5)*(I$7-I$6))))</f>
        <v>207.790674575377</v>
      </c>
      <c r="J309" s="2" t="n">
        <v>0.066250968</v>
      </c>
      <c r="K309" s="2" t="n">
        <f aca="false">IF(K$7=K$5,K$6,IF(NORMSDIST(K$9*SQRT($C$11)*NORMSINV($B309)+SQRT(1-K$9^2*$C$11)*NORMSINV(J309))&lt;K$8,K$5+SQRT(NORMSDIST(K$9*SQRT($C$11)*NORMSINV($B309)+SQRT(1-K$9^2*$C$11)*NORMSINV(J309))*(K$7-K$5)*(K$6-K$5)),K$7-SQRT((1-NORMSDIST(K$9*SQRT($C$11)*NORMSINV($B309)+SQRT(1-K$9^2*$C$11)*NORMSINV(J309)))*(K$7-K$5)*(K$7-K$6))))</f>
        <v>0.208501695912088</v>
      </c>
      <c r="L309" s="2" t="n">
        <v>0.268664295</v>
      </c>
      <c r="M309" s="2" t="n">
        <f aca="false">IF(M$7=M$5,M$6,IF(NORMSDIST(M$9*SQRT($C$11)*NORMSINV($B309)+SQRT(1-M$9^2*$C$11)*NORMSINV(L309))&lt;M$8,M$5+SQRT(NORMSDIST(M$9*SQRT($C$11)*NORMSINV($B309)+SQRT(1-M$9^2*$C$11)*NORMSINV(L309))*(M$7-M$5)*(M$6-M$5)),M$7-SQRT((1-NORMSDIST(M$9*SQRT($C$11)*NORMSINV($B309)+SQRT(1-M$9^2*$C$11)*NORMSINV(L309)))*(M$7-M$5)*(M$7-M$6))))</f>
        <v>1616.48305462761</v>
      </c>
      <c r="N309" s="2" t="n">
        <v>0.834310505</v>
      </c>
      <c r="O309" s="2" t="n">
        <f aca="false">IF(O$7=O$5,O$6,IF(NORMSDIST(O$9*SQRT($C$11)*NORMSINV($B309)+SQRT(1-O$9^2*$C$11)*NORMSINV(N309))&lt;O$8,O$5+SQRT(NORMSDIST(O$9*SQRT($C$11)*NORMSINV($B309)+SQRT(1-O$9^2*$C$11)*NORMSINV(N309))*(O$7-O$5)*(O$6-O$5)),O$7-SQRT((1-NORMSDIST(O$9*SQRT($C$11)*NORMSINV($B309)+SQRT(1-O$9^2*$C$11)*NORMSINV(N309)))*(O$7-O$5)*(O$7-O$6))))</f>
        <v>0.181777949210005</v>
      </c>
      <c r="P309" s="2" t="n">
        <v>0.710464032</v>
      </c>
      <c r="Q309" s="2" t="n">
        <f aca="false">IF(Q$7=Q$5,Q$6,IF(NORMSDIST(Q$9*SQRT($C$11)*NORMSINV($B309)+SQRT(1-Q$9^2*$C$11)*NORMSINV(P309))&lt;Q$8,Q$5+SQRT(NORMSDIST(Q$9*SQRT($C$11)*NORMSINV($B309)+SQRT(1-Q$9^2*$C$11)*NORMSINV(P309))*(Q$7-Q$5)*(Q$6-Q$5)),Q$7-SQRT((1-NORMSDIST(Q$9*SQRT($C$11)*NORMSINV($B309)+SQRT(1-Q$9^2*$C$11)*NORMSINV(P309)))*(Q$7-Q$5)*(Q$7-Q$6))))</f>
        <v>0.0895612894885477</v>
      </c>
      <c r="R309" s="2" t="n">
        <v>0.449647377</v>
      </c>
      <c r="S309" s="2" t="n">
        <f aca="false">IF(S$7=S$5,S$6,IF(NORMSDIST(S$9*SQRT($C$11)*NORMSINV($B309)+SQRT(1-S$9^2*$C$11)*NORMSINV(R309))&lt;S$8,S$5+SQRT(NORMSDIST(S$9*SQRT($C$11)*NORMSINV($B309)+SQRT(1-S$9^2*$C$11)*NORMSINV(R309))*(S$7-S$5)*(S$6-S$5)),S$7-SQRT((1-NORMSDIST(S$9*SQRT($C$11)*NORMSINV($B309)+SQRT(1-S$9^2*$C$11)*NORMSINV(R309)))*(S$7-S$5)*(S$7-S$6))))</f>
        <v>0.646762214559768</v>
      </c>
      <c r="T309" s="2" t="n">
        <v>0.128301227</v>
      </c>
      <c r="U309" s="2" t="n">
        <f aca="false">IF(U$7=U$5,U$6,IF(NORMSDIST(U$9*SQRT($C$11)*NORMSINV($B309)+SQRT(1-U$9^2*$C$11)*NORMSINV(T309))&lt;U$8,U$5+SQRT(NORMSDIST(U$9*SQRT($C$11)*NORMSINV($B309)+SQRT(1-U$9^2*$C$11)*NORMSINV(T309))*(U$7-U$5)*(U$6-U$5)),U$7-SQRT((1-NORMSDIST(U$9*SQRT($C$11)*NORMSINV($B309)+SQRT(1-U$9^2*$C$11)*NORMSINV(T309)))*(U$7-U$5)*(U$7-U$6))))</f>
        <v>0.478673633507357</v>
      </c>
      <c r="V309" s="2" t="n">
        <v>0.109227771</v>
      </c>
      <c r="W309" s="2" t="n">
        <f aca="false">IF(W$7=W$5,W$6,IF(NORMSDIST(W$9*SQRT($C$11)*NORMSINV($B309)+SQRT(1-W$9^2*$C$11)*NORMSINV(V309))&lt;W$8,W$5+SQRT(NORMSDIST(W$9*SQRT($C$11)*NORMSINV($B309)+SQRT(1-W$9^2*$C$11)*NORMSINV(V309))*(W$7-W$5)*(W$6-W$5)),W$7-SQRT((1-NORMSDIST(W$9*SQRT($C$11)*NORMSINV($B309)+SQRT(1-W$9^2*$C$11)*NORMSINV(V309)))*(W$7-W$5)*(W$7-W$6))))</f>
        <v>9.85221669244705</v>
      </c>
      <c r="X309" s="2" t="n">
        <v>0.825883556</v>
      </c>
      <c r="Y309" s="2" t="n">
        <f aca="false">IF(Y$7=Y$5,Y$6,IF(NORMSDIST(Y$9*SQRT($C$11)*NORMSINV($B309)+SQRT(1-Y$9^2*$C$11)*NORMSINV(X309))&lt;Y$8,Y$5+SQRT(NORMSDIST(Y$9*SQRT($C$11)*NORMSINV($B309)+SQRT(1-Y$9^2*$C$11)*NORMSINV(X309))*(Y$7-Y$5)*(Y$6-Y$5)),Y$7-SQRT((1-NORMSDIST(Y$9*SQRT($C$11)*NORMSINV($B309)+SQRT(1-Y$9^2*$C$11)*NORMSINV(X309)))*(Y$7-Y$5)*(Y$7-Y$6))))</f>
        <v>0.704943696898372</v>
      </c>
      <c r="Z309" s="2" t="n">
        <v>0.524374347</v>
      </c>
      <c r="AA309" s="2" t="n">
        <f aca="false">IF(AA$7=AA$5,AA$6,IF(NORMSDIST(AA$9*SQRT($C$11)*NORMSINV($B309)+SQRT(1-AA$9^2*$C$11)*NORMSINV(Z309))&lt;AA$8,AA$5+SQRT(NORMSDIST(AA$9*SQRT($C$11)*NORMSINV($B309)+SQRT(1-AA$9^2*$C$11)*NORMSINV(Z309))*(AA$7-AA$5)*(AA$6-AA$5)),AA$7-SQRT((1-NORMSDIST(AA$9*SQRT($C$11)*NORMSINV($B309)+SQRT(1-AA$9^2*$C$11)*NORMSINV(Z309)))*(AA$7-AA$5)*(AA$7-AA$6))))</f>
        <v>0.737608235781708</v>
      </c>
      <c r="AB309" s="2" t="n">
        <v>0.368924017</v>
      </c>
      <c r="AC309" s="2" t="n">
        <f aca="false">IF(AC$7=AC$5,AC$6,IF(NORMSDIST(AC$9*SQRT($C$11)*NORMSINV($B309)+SQRT(1-AC$9^2*$C$11)*NORMSINV(AB309))&lt;AC$8,AC$5+SQRT(NORMSDIST(AC$9*SQRT($C$11)*NORMSINV($B309)+SQRT(1-AC$9^2*$C$11)*NORMSINV(AB309))*(AC$7-AC$5)*(AC$6-AC$5)),AC$7-SQRT((1-NORMSDIST(AC$9*SQRT($C$11)*NORMSINV($B309)+SQRT(1-AC$9^2*$C$11)*NORMSINV(AB309)))*(AC$7-AC$5)*(AC$7-AC$6))))</f>
        <v>9.85515625102064</v>
      </c>
      <c r="AD309" s="2" t="n">
        <f aca="false">Entrées!$C$8*(1+E309)</f>
        <v>7452.94414391611</v>
      </c>
      <c r="AE309" s="2" t="n">
        <f aca="false">I309*Hypothèses!$J$24/12/Hypothèses!$J$19</f>
        <v>103.084288596918</v>
      </c>
      <c r="AF309" s="2" t="n">
        <f aca="false">Entrées!$C$36*S309*1000</f>
        <v>323.381107279884</v>
      </c>
      <c r="AG309" s="2" t="n">
        <f aca="false">-AF309/W309</f>
        <v>-32.823182576546</v>
      </c>
      <c r="AH309" s="2" t="n">
        <f aca="false">AD309+AE309+AG309</f>
        <v>7523.20524993648</v>
      </c>
      <c r="AI309" s="2" t="n">
        <f aca="false">Entrées!$C$16-M309+Hypothèses!$J$22*1000-AF309+Hypothèses!$J$23</f>
        <v>22608.1358380925</v>
      </c>
      <c r="AJ309" s="2" t="n">
        <f aca="false">AI309/AH309</f>
        <v>3.0051201697951</v>
      </c>
      <c r="AK309" s="2" t="n">
        <f aca="false">AI309/(AH309+I309*(12-Hypothèses!$J$24)/12/Hypothèses!$J$19)</f>
        <v>2.97599332213889</v>
      </c>
      <c r="AL309" s="2" t="n">
        <f aca="false">(AD309+AG309+I309/Hypothèses!$J$19)*(1+G309)</f>
        <v>8005.16140125415</v>
      </c>
      <c r="AM309" s="2" t="n">
        <f aca="false">Entrées!$C$54*K309/Hypothèses!$J$19</f>
        <v>21.2784735098773</v>
      </c>
      <c r="AN309" s="2" t="n">
        <f aca="false">Y309*1000/AC309</f>
        <v>71.5304434493735</v>
      </c>
      <c r="AO309" s="2" t="n">
        <f aca="false">(Entrées!$C$36*(1-S309)+MAX(0,Entrées!$C$30-Entrées!$C$35-Entrées!$C$36)*U309)*1000</f>
        <v>846.761979630416</v>
      </c>
      <c r="AP309" s="2" t="n">
        <f aca="false">-AO309/W309</f>
        <v>-85.9463414238101</v>
      </c>
      <c r="AQ309" s="2" t="n">
        <f aca="false">AL309+AM309+AN309+AP309</f>
        <v>8012.02397678959</v>
      </c>
      <c r="AR309" s="2" t="n">
        <f aca="false">O309*AQ309-Hypothèses!$J$25/Hypothèses!$J$19</f>
        <v>1437.27412526057</v>
      </c>
      <c r="AS309" s="2" t="n">
        <f aca="false">Entrées!$C$79*(1+Q309)+Hypothèses!$J$20</f>
        <v>1492.42785714791</v>
      </c>
      <c r="AT309" s="2" t="n">
        <f aca="false">AI309-AR309+AS309+Y309*1000-AO309+Hypothèses!$J$23</f>
        <v>22521.4712872478</v>
      </c>
      <c r="AU309" s="2" t="n">
        <f aca="false">AT309/AQ309</f>
        <v>2.81095904761285</v>
      </c>
      <c r="AV309" s="2" t="n">
        <f aca="false">Hypothèses!$J$26*AQ309-AT309</f>
        <v>1514.60064312097</v>
      </c>
      <c r="AW309" s="2" t="n">
        <f aca="false">IF(AC309&gt;Hypothèses!$J$26,MAX(0,AV309)/(1-Hypothèses!$J$26/AC309),0)</f>
        <v>2177.4304551601</v>
      </c>
      <c r="AX309" s="2" t="n">
        <f aca="false">AQ309-Entrées!$C$17*1000</f>
        <v>12.0239767895901</v>
      </c>
      <c r="AY309" s="2" t="n">
        <f aca="false">AI309+(Entrées!$C$244-Entrées!$C$13)</f>
        <v>28355.1358380925</v>
      </c>
      <c r="AZ309" s="2" t="n">
        <f aca="false">AA309*AH309</f>
        <v>5549.17815182933</v>
      </c>
      <c r="BA309" s="2" t="n">
        <f aca="false">AZ309/AY309</f>
        <v>0.195702753233667</v>
      </c>
      <c r="BB309" s="2" t="n">
        <f aca="false">AZ309/(Entrées!$C$151/100)-AY309</f>
        <v>2473.63167207045</v>
      </c>
      <c r="BC309" s="2" t="n">
        <f aca="false">AT309+(Entrées!$C$244-Entrées!$C$13)</f>
        <v>28268.4712872478</v>
      </c>
      <c r="BD309" s="2" t="n">
        <f aca="false">AA309*AQ309</f>
        <v>5909.73487056052</v>
      </c>
      <c r="BE309" s="2" t="n">
        <f aca="false">BD309/BC309</f>
        <v>0.209057462305238</v>
      </c>
      <c r="BF309" s="2" t="n">
        <f aca="false">BD309/(Entrées!$C$151/100)-BC309</f>
        <v>4563.38910475506</v>
      </c>
      <c r="BG309" s="2" t="n">
        <f aca="false">MIN(AV309,BF309)</f>
        <v>1514.60064312097</v>
      </c>
      <c r="BH309" s="2" t="n">
        <f aca="false">IF(AC309&gt;Hypothèses!$J$26,MAX(0,BG309)/(1-Hypothèses!$J$26/AC309),0)</f>
        <v>2177.4304551601</v>
      </c>
    </row>
    <row r="310" customFormat="false" ht="15" hidden="false" customHeight="false" outlineLevel="0" collapsed="false">
      <c r="A310" s="2" t="n">
        <v>295</v>
      </c>
      <c r="B310" s="2" t="n">
        <v>0.878221301</v>
      </c>
      <c r="C310" s="2"/>
      <c r="D310" s="2" t="n">
        <v>0.050483743</v>
      </c>
      <c r="E310" s="2" t="n">
        <f aca="false">IF(E$7=E$5,E$6,IF(NORMSDIST(E$9*SQRT($C$11)*NORMSINV($B310)+SQRT(1-E$9^2*$C$11)*NORMSINV(D310))&lt;E$8,E$5+SQRT(NORMSDIST(E$9*SQRT($C$11)*NORMSINV($B310)+SQRT(1-E$9^2*$C$11)*NORMSINV(D310))*(E$7-E$5)*(E$6-E$5)),E$7-SQRT((1-NORMSDIST(E$9*SQRT($C$11)*NORMSINV($B310)+SQRT(1-E$9^2*$C$11)*NORMSINV(D310)))*(E$7-E$5)*(E$7-E$6))))</f>
        <v>0.0538537987349805</v>
      </c>
      <c r="F310" s="2" t="n">
        <v>0.813897957</v>
      </c>
      <c r="G310" s="2" t="n">
        <f aca="false">IF(G$7=G$5,G$6,IF(NORMSDIST(G$9*SQRT($C$11)*NORMSINV($B310)+SQRT(1-G$9^2*$C$11)*NORMSINV(F310))&lt;G$8,G$5+SQRT(NORMSDIST(G$9*SQRT($C$11)*NORMSINV($B310)+SQRT(1-G$9^2*$C$11)*NORMSINV(F310))*(G$7-G$5)*(G$6-G$5)),G$7-SQRT((1-NORMSDIST(G$9*SQRT($C$11)*NORMSINV($B310)+SQRT(1-G$9^2*$C$11)*NORMSINV(F310)))*(G$7-G$5)*(G$7-G$6))))</f>
        <v>0.0641312344722316</v>
      </c>
      <c r="H310" s="2" t="n">
        <v>0.70287639</v>
      </c>
      <c r="I310" s="2" t="n">
        <f aca="false">IF(I$7=I$5,I$6,IF(NORMSDIST(I$9*SQRT($C$11)*NORMSINV($B310)+SQRT(1-I$9^2*$C$11)*NORMSINV(H310))&lt;I$8,I$5+SQRT(NORMSDIST(I$9*SQRT($C$11)*NORMSINV($B310)+SQRT(1-I$9^2*$C$11)*NORMSINV(H310))*(I$7-I$5)*(I$6-I$5)),I$7-SQRT((1-NORMSDIST(I$9*SQRT($C$11)*NORMSINV($B310)+SQRT(1-I$9^2*$C$11)*NORMSINV(H310)))*(I$7-I$5)*(I$7-I$6))))</f>
        <v>209.998386055817</v>
      </c>
      <c r="J310" s="2" t="n">
        <v>0.543781012</v>
      </c>
      <c r="K310" s="2" t="n">
        <f aca="false">IF(K$7=K$5,K$6,IF(NORMSDIST(K$9*SQRT($C$11)*NORMSINV($B310)+SQRT(1-K$9^2*$C$11)*NORMSINV(J310))&lt;K$8,K$5+SQRT(NORMSDIST(K$9*SQRT($C$11)*NORMSINV($B310)+SQRT(1-K$9^2*$C$11)*NORMSINV(J310))*(K$7-K$5)*(K$6-K$5)),K$7-SQRT((1-NORMSDIST(K$9*SQRT($C$11)*NORMSINV($B310)+SQRT(1-K$9^2*$C$11)*NORMSINV(J310)))*(K$7-K$5)*(K$7-K$6))))</f>
        <v>0.33979059144619</v>
      </c>
      <c r="L310" s="2" t="n">
        <v>0.285895158</v>
      </c>
      <c r="M310" s="2" t="n">
        <f aca="false">IF(M$7=M$5,M$6,IF(NORMSDIST(M$9*SQRT($C$11)*NORMSINV($B310)+SQRT(1-M$9^2*$C$11)*NORMSINV(L310))&lt;M$8,M$5+SQRT(NORMSDIST(M$9*SQRT($C$11)*NORMSINV($B310)+SQRT(1-M$9^2*$C$11)*NORMSINV(L310))*(M$7-M$5)*(M$6-M$5)),M$7-SQRT((1-NORMSDIST(M$9*SQRT($C$11)*NORMSINV($B310)+SQRT(1-M$9^2*$C$11)*NORMSINV(L310)))*(M$7-M$5)*(M$7-M$6))))</f>
        <v>1616.81813269241</v>
      </c>
      <c r="N310" s="2" t="n">
        <v>0.374779266</v>
      </c>
      <c r="O310" s="2" t="n">
        <f aca="false">IF(O$7=O$5,O$6,IF(NORMSDIST(O$9*SQRT($C$11)*NORMSINV($B310)+SQRT(1-O$9^2*$C$11)*NORMSINV(N310))&lt;O$8,O$5+SQRT(NORMSDIST(O$9*SQRT($C$11)*NORMSINV($B310)+SQRT(1-O$9^2*$C$11)*NORMSINV(N310))*(O$7-O$5)*(O$6-O$5)),O$7-SQRT((1-NORMSDIST(O$9*SQRT($C$11)*NORMSINV($B310)+SQRT(1-O$9^2*$C$11)*NORMSINV(N310)))*(O$7-O$5)*(O$7-O$6))))</f>
        <v>0.171770672939124</v>
      </c>
      <c r="P310" s="2" t="n">
        <v>0.551442082</v>
      </c>
      <c r="Q310" s="2" t="n">
        <f aca="false">IF(Q$7=Q$5,Q$6,IF(NORMSDIST(Q$9*SQRT($C$11)*NORMSINV($B310)+SQRT(1-Q$9^2*$C$11)*NORMSINV(P310))&lt;Q$8,Q$5+SQRT(NORMSDIST(Q$9*SQRT($C$11)*NORMSINV($B310)+SQRT(1-Q$9^2*$C$11)*NORMSINV(P310))*(Q$7-Q$5)*(Q$6-Q$5)),Q$7-SQRT((1-NORMSDIST(Q$9*SQRT($C$11)*NORMSINV($B310)+SQRT(1-Q$9^2*$C$11)*NORMSINV(P310)))*(Q$7-Q$5)*(Q$7-Q$6))))</f>
        <v>0.0821135203852351</v>
      </c>
      <c r="R310" s="2" t="n">
        <v>0.182728567</v>
      </c>
      <c r="S310" s="2" t="n">
        <f aca="false">IF(S$7=S$5,S$6,IF(NORMSDIST(S$9*SQRT($C$11)*NORMSINV($B310)+SQRT(1-S$9^2*$C$11)*NORMSINV(R310))&lt;S$8,S$5+SQRT(NORMSDIST(S$9*SQRT($C$11)*NORMSINV($B310)+SQRT(1-S$9^2*$C$11)*NORMSINV(R310))*(S$7-S$5)*(S$6-S$5)),S$7-SQRT((1-NORMSDIST(S$9*SQRT($C$11)*NORMSINV($B310)+SQRT(1-S$9^2*$C$11)*NORMSINV(R310)))*(S$7-S$5)*(S$7-S$6))))</f>
        <v>0.507334943437898</v>
      </c>
      <c r="T310" s="2" t="n">
        <v>0.603117895</v>
      </c>
      <c r="U310" s="2" t="n">
        <f aca="false">IF(U$7=U$5,U$6,IF(NORMSDIST(U$9*SQRT($C$11)*NORMSINV($B310)+SQRT(1-U$9^2*$C$11)*NORMSINV(T310))&lt;U$8,U$5+SQRT(NORMSDIST(U$9*SQRT($C$11)*NORMSINV($B310)+SQRT(1-U$9^2*$C$11)*NORMSINV(T310))*(U$7-U$5)*(U$6-U$5)),U$7-SQRT((1-NORMSDIST(U$9*SQRT($C$11)*NORMSINV($B310)+SQRT(1-U$9^2*$C$11)*NORMSINV(T310)))*(U$7-U$5)*(U$7-U$6))))</f>
        <v>0.705381095004394</v>
      </c>
      <c r="V310" s="2" t="n">
        <v>0.117269773</v>
      </c>
      <c r="W310" s="2" t="n">
        <f aca="false">IF(W$7=W$5,W$6,IF(NORMSDIST(W$9*SQRT($C$11)*NORMSINV($B310)+SQRT(1-W$9^2*$C$11)*NORMSINV(V310))&lt;W$8,W$5+SQRT(NORMSDIST(W$9*SQRT($C$11)*NORMSINV($B310)+SQRT(1-W$9^2*$C$11)*NORMSINV(V310))*(W$7-W$5)*(W$6-W$5)),W$7-SQRT((1-NORMSDIST(W$9*SQRT($C$11)*NORMSINV($B310)+SQRT(1-W$9^2*$C$11)*NORMSINV(V310)))*(W$7-W$5)*(W$7-W$6))))</f>
        <v>9.84887959948148</v>
      </c>
      <c r="X310" s="2" t="n">
        <v>0.133453532</v>
      </c>
      <c r="Y310" s="2" t="n">
        <f aca="false">IF(Y$7=Y$5,Y$6,IF(NORMSDIST(Y$9*SQRT($C$11)*NORMSINV($B310)+SQRT(1-Y$9^2*$C$11)*NORMSINV(X310))&lt;Y$8,Y$5+SQRT(NORMSDIST(Y$9*SQRT($C$11)*NORMSINV($B310)+SQRT(1-Y$9^2*$C$11)*NORMSINV(X310))*(Y$7-Y$5)*(Y$6-Y$5)),Y$7-SQRT((1-NORMSDIST(Y$9*SQRT($C$11)*NORMSINV($B310)+SQRT(1-Y$9^2*$C$11)*NORMSINV(X310)))*(Y$7-Y$5)*(Y$7-Y$6))))</f>
        <v>0.258315245388266</v>
      </c>
      <c r="Z310" s="2" t="n">
        <v>0.861461078</v>
      </c>
      <c r="AA310" s="2" t="n">
        <f aca="false">IF(AA$7=AA$5,AA$6,IF(NORMSDIST(AA$9*SQRT($C$11)*NORMSINV($B310)+SQRT(1-AA$9^2*$C$11)*NORMSINV(Z310))&lt;AA$8,AA$5+SQRT(NORMSDIST(AA$9*SQRT($C$11)*NORMSINV($B310)+SQRT(1-AA$9^2*$C$11)*NORMSINV(Z310))*(AA$7-AA$5)*(AA$6-AA$5)),AA$7-SQRT((1-NORMSDIST(AA$9*SQRT($C$11)*NORMSINV($B310)+SQRT(1-AA$9^2*$C$11)*NORMSINV(Z310)))*(AA$7-AA$5)*(AA$7-AA$6))))</f>
        <v>0.745302987171357</v>
      </c>
      <c r="AB310" s="2" t="n">
        <v>0.786963669</v>
      </c>
      <c r="AC310" s="2" t="n">
        <f aca="false">IF(AC$7=AC$5,AC$6,IF(NORMSDIST(AC$9*SQRT($C$11)*NORMSINV($B310)+SQRT(1-AC$9^2*$C$11)*NORMSINV(AB310))&lt;AC$8,AC$5+SQRT(NORMSDIST(AC$9*SQRT($C$11)*NORMSINV($B310)+SQRT(1-AC$9^2*$C$11)*NORMSINV(AB310))*(AC$7-AC$5)*(AC$6-AC$5)),AC$7-SQRT((1-NORMSDIST(AC$9*SQRT($C$11)*NORMSINV($B310)+SQRT(1-AC$9^2*$C$11)*NORMSINV(AB310)))*(AC$7-AC$5)*(AC$7-AC$6))))</f>
        <v>10.3839227670174</v>
      </c>
      <c r="AD310" s="2" t="n">
        <f aca="false">Entrées!$C$8*(1+E310)</f>
        <v>7429.66928108161</v>
      </c>
      <c r="AE310" s="2" t="n">
        <f aca="false">I310*Hypothèses!$J$24/12/Hypothèses!$J$19</f>
        <v>104.179527196309</v>
      </c>
      <c r="AF310" s="2" t="n">
        <f aca="false">Entrées!$C$36*S310*1000</f>
        <v>253.667471718949</v>
      </c>
      <c r="AG310" s="2" t="n">
        <f aca="false">-AF310/W310</f>
        <v>-25.7559724592738</v>
      </c>
      <c r="AH310" s="2" t="n">
        <f aca="false">AD310+AE310+AG310</f>
        <v>7508.09283581865</v>
      </c>
      <c r="AI310" s="2" t="n">
        <f aca="false">Entrées!$C$16-M310+Hypothèses!$J$22*1000-AF310+Hypothèses!$J$23</f>
        <v>22677.5143955886</v>
      </c>
      <c r="AJ310" s="2" t="n">
        <f aca="false">AI310/AH310</f>
        <v>3.02040942906322</v>
      </c>
      <c r="AK310" s="2" t="n">
        <f aca="false">AI310/(AH310+I310*(12-Hypothèses!$J$24)/12/Hypothèses!$J$19)</f>
        <v>2.99076743907321</v>
      </c>
      <c r="AL310" s="2" t="n">
        <f aca="false">(AD310+AG310+I310/Hypothèses!$J$19)*(1+G310)</f>
        <v>8068.7823042562</v>
      </c>
      <c r="AM310" s="2" t="n">
        <f aca="false">Entrées!$C$54*K310/Hypothèses!$J$19</f>
        <v>34.6770565455824</v>
      </c>
      <c r="AN310" s="2" t="n">
        <f aca="false">Y310*1000/AC310</f>
        <v>24.8764605808468</v>
      </c>
      <c r="AO310" s="2" t="n">
        <f aca="false">(Entrées!$C$36*(1-S310)+MAX(0,Entrées!$C$30-Entrées!$C$35-Entrées!$C$36)*U310)*1000</f>
        <v>1233.8660612872</v>
      </c>
      <c r="AP310" s="2" t="n">
        <f aca="false">-AO310/W310</f>
        <v>-125.279840089848</v>
      </c>
      <c r="AQ310" s="2" t="n">
        <f aca="false">AL310+AM310+AN310+AP310</f>
        <v>8003.05598129278</v>
      </c>
      <c r="AR310" s="2" t="n">
        <f aca="false">O310*AQ310-Hypothèses!$J$25/Hypothèses!$J$19</f>
        <v>1355.55514921452</v>
      </c>
      <c r="AS310" s="2" t="n">
        <f aca="false">Entrées!$C$79*(1+Q310)+Hypothèses!$J$20</f>
        <v>1484.24275890337</v>
      </c>
      <c r="AT310" s="2" t="n">
        <f aca="false">AI310-AR310+AS310+Y310*1000-AO310+Hypothèses!$J$23</f>
        <v>21830.6511893786</v>
      </c>
      <c r="AU310" s="2" t="n">
        <f aca="false">AT310/AQ310</f>
        <v>2.7277893895042</v>
      </c>
      <c r="AV310" s="2" t="n">
        <f aca="false">Hypothèses!$J$26*AQ310-AT310</f>
        <v>2178.5167544998</v>
      </c>
      <c r="AW310" s="2" t="n">
        <f aca="false">IF(AC310&gt;Hypothèses!$J$26,MAX(0,AV310)/(1-Hypothèses!$J$26/AC310),0)</f>
        <v>3063.62220179571</v>
      </c>
      <c r="AX310" s="2" t="n">
        <f aca="false">AQ310-Entrées!$C$17*1000</f>
        <v>3.05598129278405</v>
      </c>
      <c r="AY310" s="2" t="n">
        <f aca="false">AI310+(Entrées!$C$244-Entrées!$C$13)</f>
        <v>28424.5143955886</v>
      </c>
      <c r="AZ310" s="2" t="n">
        <f aca="false">AA310*AH310</f>
        <v>5595.8040184955</v>
      </c>
      <c r="BA310" s="2" t="n">
        <f aca="false">AZ310/AY310</f>
        <v>0.196865421889633</v>
      </c>
      <c r="BB310" s="2" t="n">
        <f aca="false">AZ310/(Entrées!$C$151/100)-AY310</f>
        <v>2663.28570716416</v>
      </c>
      <c r="BC310" s="2" t="n">
        <f aca="false">AT310+(Entrées!$C$244-Entrées!$C$13)</f>
        <v>27577.6511893786</v>
      </c>
      <c r="BD310" s="2" t="n">
        <f aca="false">AA310*AQ310</f>
        <v>5964.70152935711</v>
      </c>
      <c r="BE310" s="2" t="n">
        <f aca="false">BD310/BC310</f>
        <v>0.21628751079622</v>
      </c>
      <c r="BF310" s="2" t="n">
        <f aca="false">BD310/(Entrées!$C$151/100)-BC310</f>
        <v>5559.57952927204</v>
      </c>
      <c r="BG310" s="2" t="n">
        <f aca="false">MIN(AV310,BF310)</f>
        <v>2178.5167544998</v>
      </c>
      <c r="BH310" s="2" t="n">
        <f aca="false">IF(AC310&gt;Hypothèses!$J$26,MAX(0,BG310)/(1-Hypothèses!$J$26/AC310),0)</f>
        <v>3063.62220179571</v>
      </c>
    </row>
    <row r="311" customFormat="false" ht="15" hidden="false" customHeight="false" outlineLevel="0" collapsed="false">
      <c r="A311" s="2" t="n">
        <v>296</v>
      </c>
      <c r="B311" s="2" t="n">
        <v>0.664583124</v>
      </c>
      <c r="C311" s="2"/>
      <c r="D311" s="2" t="n">
        <v>0.903268877</v>
      </c>
      <c r="E311" s="2" t="n">
        <f aca="false">IF(E$7=E$5,E$6,IF(NORMSDIST(E$9*SQRT($C$11)*NORMSINV($B311)+SQRT(1-E$9^2*$C$11)*NORMSINV(D311))&lt;E$8,E$5+SQRT(NORMSDIST(E$9*SQRT($C$11)*NORMSINV($B311)+SQRT(1-E$9^2*$C$11)*NORMSINV(D311))*(E$7-E$5)*(E$6-E$5)),E$7-SQRT((1-NORMSDIST(E$9*SQRT($C$11)*NORMSINV($B311)+SQRT(1-E$9^2*$C$11)*NORMSINV(D311)))*(E$7-E$5)*(E$7-E$6))))</f>
        <v>0.0577531948837108</v>
      </c>
      <c r="F311" s="2" t="n">
        <v>0.934063967</v>
      </c>
      <c r="G311" s="2" t="n">
        <f aca="false">IF(G$7=G$5,G$6,IF(NORMSDIST(G$9*SQRT($C$11)*NORMSINV($B311)+SQRT(1-G$9^2*$C$11)*NORMSINV(F311))&lt;G$8,G$5+SQRT(NORMSDIST(G$9*SQRT($C$11)*NORMSINV($B311)+SQRT(1-G$9^2*$C$11)*NORMSINV(F311))*(G$7-G$5)*(G$6-G$5)),G$7-SQRT((1-NORMSDIST(G$9*SQRT($C$11)*NORMSINV($B311)+SQRT(1-G$9^2*$C$11)*NORMSINV(F311)))*(G$7-G$5)*(G$7-G$6))))</f>
        <v>0.064170750384479</v>
      </c>
      <c r="H311" s="2" t="n">
        <v>0.201054829</v>
      </c>
      <c r="I311" s="2" t="n">
        <f aca="false">IF(I$7=I$5,I$6,IF(NORMSDIST(I$9*SQRT($C$11)*NORMSINV($B311)+SQRT(1-I$9^2*$C$11)*NORMSINV(H311))&lt;I$8,I$5+SQRT(NORMSDIST(I$9*SQRT($C$11)*NORMSINV($B311)+SQRT(1-I$9^2*$C$11)*NORMSINV(H311))*(I$7-I$5)*(I$6-I$5)),I$7-SQRT((1-NORMSDIST(I$9*SQRT($C$11)*NORMSINV($B311)+SQRT(1-I$9^2*$C$11)*NORMSINV(H311)))*(I$7-I$5)*(I$7-I$6))))</f>
        <v>196.778459701172</v>
      </c>
      <c r="J311" s="2" t="n">
        <v>0.54160647</v>
      </c>
      <c r="K311" s="2" t="n">
        <f aca="false">IF(K$7=K$5,K$6,IF(NORMSDIST(K$9*SQRT($C$11)*NORMSINV($B311)+SQRT(1-K$9^2*$C$11)*NORMSINV(J311))&lt;K$8,K$5+SQRT(NORMSDIST(K$9*SQRT($C$11)*NORMSINV($B311)+SQRT(1-K$9^2*$C$11)*NORMSINV(J311))*(K$7-K$5)*(K$6-K$5)),K$7-SQRT((1-NORMSDIST(K$9*SQRT($C$11)*NORMSINV($B311)+SQRT(1-K$9^2*$C$11)*NORMSINV(J311)))*(K$7-K$5)*(K$7-K$6))))</f>
        <v>0.286906222050455</v>
      </c>
      <c r="L311" s="2" t="n">
        <v>0.991653901</v>
      </c>
      <c r="M311" s="2" t="n">
        <f aca="false">IF(M$7=M$5,M$6,IF(NORMSDIST(M$9*SQRT($C$11)*NORMSINV($B311)+SQRT(1-M$9^2*$C$11)*NORMSINV(L311))&lt;M$8,M$5+SQRT(NORMSDIST(M$9*SQRT($C$11)*NORMSINV($B311)+SQRT(1-M$9^2*$C$11)*NORMSINV(L311))*(M$7-M$5)*(M$6-M$5)),M$7-SQRT((1-NORMSDIST(M$9*SQRT($C$11)*NORMSINV($B311)+SQRT(1-M$9^2*$C$11)*NORMSINV(L311)))*(M$7-M$5)*(M$7-M$6))))</f>
        <v>1755.23312164887</v>
      </c>
      <c r="N311" s="2" t="n">
        <v>0.31150479</v>
      </c>
      <c r="O311" s="2" t="n">
        <f aca="false">IF(O$7=O$5,O$6,IF(NORMSDIST(O$9*SQRT($C$11)*NORMSINV($B311)+SQRT(1-O$9^2*$C$11)*NORMSINV(N311))&lt;O$8,O$5+SQRT(NORMSDIST(O$9*SQRT($C$11)*NORMSINV($B311)+SQRT(1-O$9^2*$C$11)*NORMSINV(N311))*(O$7-O$5)*(O$6-O$5)),O$7-SQRT((1-NORMSDIST(O$9*SQRT($C$11)*NORMSINV($B311)+SQRT(1-O$9^2*$C$11)*NORMSINV(N311)))*(O$7-O$5)*(O$7-O$6))))</f>
        <v>0.165562475545903</v>
      </c>
      <c r="P311" s="2" t="n">
        <v>0.158364754</v>
      </c>
      <c r="Q311" s="2" t="n">
        <f aca="false">IF(Q$7=Q$5,Q$6,IF(NORMSDIST(Q$9*SQRT($C$11)*NORMSINV($B311)+SQRT(1-Q$9^2*$C$11)*NORMSINV(P311))&lt;Q$8,Q$5+SQRT(NORMSDIST(Q$9*SQRT($C$11)*NORMSINV($B311)+SQRT(1-Q$9^2*$C$11)*NORMSINV(P311))*(Q$7-Q$5)*(Q$6-Q$5)),Q$7-SQRT((1-NORMSDIST(Q$9*SQRT($C$11)*NORMSINV($B311)+SQRT(1-Q$9^2*$C$11)*NORMSINV(P311)))*(Q$7-Q$5)*(Q$7-Q$6))))</f>
        <v>0.0625114906836487</v>
      </c>
      <c r="R311" s="2" t="n">
        <v>0.941073211</v>
      </c>
      <c r="S311" s="2" t="n">
        <f aca="false">IF(S$7=S$5,S$6,IF(NORMSDIST(S$9*SQRT($C$11)*NORMSINV($B311)+SQRT(1-S$9^2*$C$11)*NORMSINV(R311))&lt;S$8,S$5+SQRT(NORMSDIST(S$9*SQRT($C$11)*NORMSINV($B311)+SQRT(1-S$9^2*$C$11)*NORMSINV(R311))*(S$7-S$5)*(S$6-S$5)),S$7-SQRT((1-NORMSDIST(S$9*SQRT($C$11)*NORMSINV($B311)+SQRT(1-S$9^2*$C$11)*NORMSINV(R311)))*(S$7-S$5)*(S$7-S$6))))</f>
        <v>0.813697734896769</v>
      </c>
      <c r="T311" s="2" t="n">
        <v>0.92129188</v>
      </c>
      <c r="U311" s="2" t="n">
        <f aca="false">IF(U$7=U$5,U$6,IF(NORMSDIST(U$9*SQRT($C$11)*NORMSINV($B311)+SQRT(1-U$9^2*$C$11)*NORMSINV(T311))&lt;U$8,U$5+SQRT(NORMSDIST(U$9*SQRT($C$11)*NORMSINV($B311)+SQRT(1-U$9^2*$C$11)*NORMSINV(T311))*(U$7-U$5)*(U$6-U$5)),U$7-SQRT((1-NORMSDIST(U$9*SQRT($C$11)*NORMSINV($B311)+SQRT(1-U$9^2*$C$11)*NORMSINV(T311)))*(U$7-U$5)*(U$7-U$6))))</f>
        <v>0.792280951564519</v>
      </c>
      <c r="V311" s="2" t="n">
        <v>0.91986885</v>
      </c>
      <c r="W311" s="2" t="n">
        <f aca="false">IF(W$7=W$5,W$6,IF(NORMSDIST(W$9*SQRT($C$11)*NORMSINV($B311)+SQRT(1-W$9^2*$C$11)*NORMSINV(V311))&lt;W$8,W$5+SQRT(NORMSDIST(W$9*SQRT($C$11)*NORMSINV($B311)+SQRT(1-W$9^2*$C$11)*NORMSINV(V311))*(W$7-W$5)*(W$6-W$5)),W$7-SQRT((1-NORMSDIST(W$9*SQRT($C$11)*NORMSINV($B311)+SQRT(1-W$9^2*$C$11)*NORMSINV(V311)))*(W$7-W$5)*(W$7-W$6))))</f>
        <v>11.1634655888891</v>
      </c>
      <c r="X311" s="2" t="n">
        <v>0.844731491</v>
      </c>
      <c r="Y311" s="2" t="n">
        <f aca="false">IF(Y$7=Y$5,Y$6,IF(NORMSDIST(Y$9*SQRT($C$11)*NORMSINV($B311)+SQRT(1-Y$9^2*$C$11)*NORMSINV(X311))&lt;Y$8,Y$5+SQRT(NORMSDIST(Y$9*SQRT($C$11)*NORMSINV($B311)+SQRT(1-Y$9^2*$C$11)*NORMSINV(X311))*(Y$7-Y$5)*(Y$6-Y$5)),Y$7-SQRT((1-NORMSDIST(Y$9*SQRT($C$11)*NORMSINV($B311)+SQRT(1-Y$9^2*$C$11)*NORMSINV(X311)))*(Y$7-Y$5)*(Y$7-Y$6))))</f>
        <v>0.721370757995504</v>
      </c>
      <c r="Z311" s="2" t="n">
        <v>0.602446616</v>
      </c>
      <c r="AA311" s="2" t="n">
        <f aca="false">IF(AA$7=AA$5,AA$6,IF(NORMSDIST(AA$9*SQRT($C$11)*NORMSINV($B311)+SQRT(1-AA$9^2*$C$11)*NORMSINV(Z311))&lt;AA$8,AA$5+SQRT(NORMSDIST(AA$9*SQRT($C$11)*NORMSINV($B311)+SQRT(1-AA$9^2*$C$11)*NORMSINV(Z311))*(AA$7-AA$5)*(AA$6-AA$5)),AA$7-SQRT((1-NORMSDIST(AA$9*SQRT($C$11)*NORMSINV($B311)+SQRT(1-AA$9^2*$C$11)*NORMSINV(Z311)))*(AA$7-AA$5)*(AA$7-AA$6))))</f>
        <v>0.733614406001145</v>
      </c>
      <c r="AB311" s="2" t="n">
        <v>0.456737036</v>
      </c>
      <c r="AC311" s="2" t="n">
        <f aca="false">IF(AC$7=AC$5,AC$6,IF(NORMSDIST(AC$9*SQRT($C$11)*NORMSINV($B311)+SQRT(1-AC$9^2*$C$11)*NORMSINV(AB311))&lt;AC$8,AC$5+SQRT(NORMSDIST(AC$9*SQRT($C$11)*NORMSINV($B311)+SQRT(1-AC$9^2*$C$11)*NORMSINV(AB311))*(AC$7-AC$5)*(AC$6-AC$5)),AC$7-SQRT((1-NORMSDIST(AC$9*SQRT($C$11)*NORMSINV($B311)+SQRT(1-AC$9^2*$C$11)*NORMSINV(AB311)))*(AC$7-AC$5)*(AC$7-AC$6))))</f>
        <v>9.62548824094158</v>
      </c>
      <c r="AD311" s="2" t="n">
        <f aca="false">Entrées!$C$8*(1+E311)</f>
        <v>7457.16002393016</v>
      </c>
      <c r="AE311" s="2" t="n">
        <f aca="false">I311*Hypothèses!$J$24/12/Hypothèses!$J$19</f>
        <v>97.6211640437901</v>
      </c>
      <c r="AF311" s="2" t="n">
        <f aca="false">Entrées!$C$36*S311*1000</f>
        <v>406.848867448385</v>
      </c>
      <c r="AG311" s="2" t="n">
        <f aca="false">-AF311/W311</f>
        <v>-36.4446743001847</v>
      </c>
      <c r="AH311" s="2" t="n">
        <f aca="false">AD311+AE311+AG311</f>
        <v>7518.33651367377</v>
      </c>
      <c r="AI311" s="2" t="n">
        <f aca="false">Entrées!$C$16-M311+Hypothèses!$J$22*1000-AF311+Hypothèses!$J$23</f>
        <v>22385.9180109027</v>
      </c>
      <c r="AJ311" s="2" t="n">
        <f aca="false">AI311/AH311</f>
        <v>2.9775094490901</v>
      </c>
      <c r="AK311" s="2" t="n">
        <f aca="false">AI311/(AH311+I311*(12-Hypothèses!$J$24)/12/Hypothèses!$J$19)</f>
        <v>2.95014806896206</v>
      </c>
      <c r="AL311" s="2" t="n">
        <f aca="false">(AD311+AG311+I311/Hypothèses!$J$19)*(1+G311)</f>
        <v>8074.99780039487</v>
      </c>
      <c r="AM311" s="2" t="n">
        <f aca="false">Entrées!$C$54*K311/Hypothèses!$J$19</f>
        <v>29.2799846016296</v>
      </c>
      <c r="AN311" s="2" t="n">
        <f aca="false">Y311*1000/AC311</f>
        <v>74.9438095957757</v>
      </c>
      <c r="AO311" s="2" t="n">
        <f aca="false">(Entrées!$C$36*(1-S311)+MAX(0,Entrées!$C$30-Entrées!$C$35-Entrées!$C$36)*U311)*1000</f>
        <v>1202.34446474194</v>
      </c>
      <c r="AP311" s="2" t="n">
        <f aca="false">-AO311/W311</f>
        <v>-107.703513319253</v>
      </c>
      <c r="AQ311" s="2" t="n">
        <f aca="false">AL311+AM311+AN311+AP311</f>
        <v>8071.51808127303</v>
      </c>
      <c r="AR311" s="2" t="n">
        <f aca="false">O311*AQ311-Hypothèses!$J$25/Hypothèses!$J$19</f>
        <v>1317.20535268745</v>
      </c>
      <c r="AS311" s="2" t="n">
        <f aca="false">Entrées!$C$79*(1+Q311)+Hypothèses!$J$20</f>
        <v>1462.70012826133</v>
      </c>
      <c r="AT311" s="2" t="n">
        <f aca="false">AI311-AR311+AS311+Y311*1000-AO311+Hypothèses!$J$23</f>
        <v>22050.4390797302</v>
      </c>
      <c r="AU311" s="2" t="n">
        <f aca="false">AT311/AQ311</f>
        <v>2.73188251053914</v>
      </c>
      <c r="AV311" s="2" t="n">
        <f aca="false">Hypothèses!$J$26*AQ311-AT311</f>
        <v>2164.11516408889</v>
      </c>
      <c r="AW311" s="2" t="n">
        <f aca="false">IF(AC311&gt;Hypothèses!$J$26,MAX(0,AV311)/(1-Hypothèses!$J$26/AC311),0)</f>
        <v>3144.01962639671</v>
      </c>
      <c r="AX311" s="2" t="n">
        <f aca="false">AQ311-Entrées!$C$17*1000</f>
        <v>71.518081273025</v>
      </c>
      <c r="AY311" s="2" t="n">
        <f aca="false">AI311+(Entrées!$C$244-Entrées!$C$13)</f>
        <v>28132.9180109027</v>
      </c>
      <c r="AZ311" s="2" t="n">
        <f aca="false">AA311*AH311</f>
        <v>5515.5599755955</v>
      </c>
      <c r="BA311" s="2" t="n">
        <f aca="false">AZ311/AY311</f>
        <v>0.196053604302902</v>
      </c>
      <c r="BB311" s="2" t="n">
        <f aca="false">AZ311/(Entrées!$C$151/100)-AY311</f>
        <v>2509.0818535167</v>
      </c>
      <c r="BC311" s="2" t="n">
        <f aca="false">AT311+(Entrées!$C$244-Entrées!$C$13)</f>
        <v>27797.4390797302</v>
      </c>
      <c r="BD311" s="2" t="n">
        <f aca="false">AA311*AQ311</f>
        <v>5921.38194272061</v>
      </c>
      <c r="BE311" s="2" t="n">
        <f aca="false">BD311/BC311</f>
        <v>0.213018973644895</v>
      </c>
      <c r="BF311" s="2" t="n">
        <f aca="false">BD311/(Entrées!$C$151/100)-BC311</f>
        <v>5099.12726871766</v>
      </c>
      <c r="BG311" s="2" t="n">
        <f aca="false">MIN(AV311,BF311)</f>
        <v>2164.11516408889</v>
      </c>
      <c r="BH311" s="2" t="n">
        <f aca="false">IF(AC311&gt;Hypothèses!$J$26,MAX(0,BG311)/(1-Hypothèses!$J$26/AC311),0)</f>
        <v>3144.01962639671</v>
      </c>
    </row>
    <row r="312" customFormat="false" ht="15" hidden="false" customHeight="false" outlineLevel="0" collapsed="false">
      <c r="A312" s="2" t="n">
        <v>297</v>
      </c>
      <c r="B312" s="2" t="n">
        <v>0.847794552</v>
      </c>
      <c r="C312" s="2"/>
      <c r="D312" s="2" t="n">
        <v>0.238153484</v>
      </c>
      <c r="E312" s="2" t="n">
        <f aca="false">IF(E$7=E$5,E$6,IF(NORMSDIST(E$9*SQRT($C$11)*NORMSINV($B312)+SQRT(1-E$9^2*$C$11)*NORMSINV(D312))&lt;E$8,E$5+SQRT(NORMSDIST(E$9*SQRT($C$11)*NORMSINV($B312)+SQRT(1-E$9^2*$C$11)*NORMSINV(D312))*(E$7-E$5)*(E$6-E$5)),E$7-SQRT((1-NORMSDIST(E$9*SQRT($C$11)*NORMSINV($B312)+SQRT(1-E$9^2*$C$11)*NORMSINV(D312)))*(E$7-E$5)*(E$7-E$6))))</f>
        <v>0.0551987924386617</v>
      </c>
      <c r="F312" s="2" t="n">
        <v>0.700770987</v>
      </c>
      <c r="G312" s="2" t="n">
        <f aca="false">IF(G$7=G$5,G$6,IF(NORMSDIST(G$9*SQRT($C$11)*NORMSINV($B312)+SQRT(1-G$9^2*$C$11)*NORMSINV(F312))&lt;G$8,G$5+SQRT(NORMSDIST(G$9*SQRT($C$11)*NORMSINV($B312)+SQRT(1-G$9^2*$C$11)*NORMSINV(F312))*(G$7-G$5)*(G$6-G$5)),G$7-SQRT((1-NORMSDIST(G$9*SQRT($C$11)*NORMSINV($B312)+SQRT(1-G$9^2*$C$11)*NORMSINV(F312)))*(G$7-G$5)*(G$7-G$6))))</f>
        <v>0.0619180659844729</v>
      </c>
      <c r="H312" s="2" t="n">
        <v>0.23151125</v>
      </c>
      <c r="I312" s="2" t="n">
        <f aca="false">IF(I$7=I$5,I$6,IF(NORMSDIST(I$9*SQRT($C$11)*NORMSINV($B312)+SQRT(1-I$9^2*$C$11)*NORMSINV(H312))&lt;I$8,I$5+SQRT(NORMSDIST(I$9*SQRT($C$11)*NORMSINV($B312)+SQRT(1-I$9^2*$C$11)*NORMSINV(H312))*(I$7-I$5)*(I$6-I$5)),I$7-SQRT((1-NORMSDIST(I$9*SQRT($C$11)*NORMSINV($B312)+SQRT(1-I$9^2*$C$11)*NORMSINV(H312)))*(I$7-I$5)*(I$7-I$6))))</f>
        <v>200.657044942756</v>
      </c>
      <c r="J312" s="2" t="n">
        <v>0.131534181</v>
      </c>
      <c r="K312" s="2" t="n">
        <f aca="false">IF(K$7=K$5,K$6,IF(NORMSDIST(K$9*SQRT($C$11)*NORMSINV($B312)+SQRT(1-K$9^2*$C$11)*NORMSINV(J312))&lt;K$8,K$5+SQRT(NORMSDIST(K$9*SQRT($C$11)*NORMSINV($B312)+SQRT(1-K$9^2*$C$11)*NORMSINV(J312))*(K$7-K$5)*(K$6-K$5)),K$7-SQRT((1-NORMSDIST(K$9*SQRT($C$11)*NORMSINV($B312)+SQRT(1-K$9^2*$C$11)*NORMSINV(J312)))*(K$7-K$5)*(K$7-K$6))))</f>
        <v>0.227476417227233</v>
      </c>
      <c r="L312" s="2" t="n">
        <v>0.405728941</v>
      </c>
      <c r="M312" s="2" t="n">
        <f aca="false">IF(M$7=M$5,M$6,IF(NORMSDIST(M$9*SQRT($C$11)*NORMSINV($B312)+SQRT(1-M$9^2*$C$11)*NORMSINV(L312))&lt;M$8,M$5+SQRT(NORMSDIST(M$9*SQRT($C$11)*NORMSINV($B312)+SQRT(1-M$9^2*$C$11)*NORMSINV(L312))*(M$7-M$5)*(M$6-M$5)),M$7-SQRT((1-NORMSDIST(M$9*SQRT($C$11)*NORMSINV($B312)+SQRT(1-M$9^2*$C$11)*NORMSINV(L312)))*(M$7-M$5)*(M$7-M$6))))</f>
        <v>1632.02990143795</v>
      </c>
      <c r="N312" s="2" t="n">
        <v>0.852797338</v>
      </c>
      <c r="O312" s="2" t="n">
        <f aca="false">IF(O$7=O$5,O$6,IF(NORMSDIST(O$9*SQRT($C$11)*NORMSINV($B312)+SQRT(1-O$9^2*$C$11)*NORMSINV(N312))&lt;O$8,O$5+SQRT(NORMSDIST(O$9*SQRT($C$11)*NORMSINV($B312)+SQRT(1-O$9^2*$C$11)*NORMSINV(N312))*(O$7-O$5)*(O$6-O$5)),O$7-SQRT((1-NORMSDIST(O$9*SQRT($C$11)*NORMSINV($B312)+SQRT(1-O$9^2*$C$11)*NORMSINV(N312)))*(O$7-O$5)*(O$7-O$6))))</f>
        <v>0.181248030836659</v>
      </c>
      <c r="P312" s="2" t="n">
        <v>0.315958651</v>
      </c>
      <c r="Q312" s="2" t="n">
        <f aca="false">IF(Q$7=Q$5,Q$6,IF(NORMSDIST(Q$9*SQRT($C$11)*NORMSINV($B312)+SQRT(1-Q$9^2*$C$11)*NORMSINV(P312))&lt;Q$8,Q$5+SQRT(NORMSDIST(Q$9*SQRT($C$11)*NORMSINV($B312)+SQRT(1-Q$9^2*$C$11)*NORMSINV(P312))*(Q$7-Q$5)*(Q$6-Q$5)),Q$7-SQRT((1-NORMSDIST(Q$9*SQRT($C$11)*NORMSINV($B312)+SQRT(1-Q$9^2*$C$11)*NORMSINV(P312)))*(Q$7-Q$5)*(Q$7-Q$6))))</f>
        <v>0.0717972905009216</v>
      </c>
      <c r="R312" s="2" t="n">
        <v>0.196040522</v>
      </c>
      <c r="S312" s="2" t="n">
        <f aca="false">IF(S$7=S$5,S$6,IF(NORMSDIST(S$9*SQRT($C$11)*NORMSINV($B312)+SQRT(1-S$9^2*$C$11)*NORMSINV(R312))&lt;S$8,S$5+SQRT(NORMSDIST(S$9*SQRT($C$11)*NORMSINV($B312)+SQRT(1-S$9^2*$C$11)*NORMSINV(R312))*(S$7-S$5)*(S$6-S$5)),S$7-SQRT((1-NORMSDIST(S$9*SQRT($C$11)*NORMSINV($B312)+SQRT(1-S$9^2*$C$11)*NORMSINV(R312)))*(S$7-S$5)*(S$7-S$6))))</f>
        <v>0.497321293429031</v>
      </c>
      <c r="T312" s="2" t="n">
        <v>0.378394129</v>
      </c>
      <c r="U312" s="2" t="n">
        <f aca="false">IF(U$7=U$5,U$6,IF(NORMSDIST(U$9*SQRT($C$11)*NORMSINV($B312)+SQRT(1-U$9^2*$C$11)*NORMSINV(T312))&lt;U$8,U$5+SQRT(NORMSDIST(U$9*SQRT($C$11)*NORMSINV($B312)+SQRT(1-U$9^2*$C$11)*NORMSINV(T312))*(U$7-U$5)*(U$6-U$5)),U$7-SQRT((1-NORMSDIST(U$9*SQRT($C$11)*NORMSINV($B312)+SQRT(1-U$9^2*$C$11)*NORMSINV(T312)))*(U$7-U$5)*(U$7-U$6))))</f>
        <v>0.587064833229626</v>
      </c>
      <c r="V312" s="2" t="n">
        <v>0.003176032</v>
      </c>
      <c r="W312" s="2" t="n">
        <f aca="false">IF(W$7=W$5,W$6,IF(NORMSDIST(W$9*SQRT($C$11)*NORMSINV($B312)+SQRT(1-W$9^2*$C$11)*NORMSINV(V312))&lt;W$8,W$5+SQRT(NORMSDIST(W$9*SQRT($C$11)*NORMSINV($B312)+SQRT(1-W$9^2*$C$11)*NORMSINV(V312))*(W$7-W$5)*(W$6-W$5)),W$7-SQRT((1-NORMSDIST(W$9*SQRT($C$11)*NORMSINV($B312)+SQRT(1-W$9^2*$C$11)*NORMSINV(V312)))*(W$7-W$5)*(W$7-W$6))))</f>
        <v>8.75656393444393</v>
      </c>
      <c r="X312" s="2" t="n">
        <v>0.425590066</v>
      </c>
      <c r="Y312" s="2" t="n">
        <f aca="false">IF(Y$7=Y$5,Y$6,IF(NORMSDIST(Y$9*SQRT($C$11)*NORMSINV($B312)+SQRT(1-Y$9^2*$C$11)*NORMSINV(X312))&lt;Y$8,Y$5+SQRT(NORMSDIST(Y$9*SQRT($C$11)*NORMSINV($B312)+SQRT(1-Y$9^2*$C$11)*NORMSINV(X312))*(Y$7-Y$5)*(Y$6-Y$5)),Y$7-SQRT((1-NORMSDIST(Y$9*SQRT($C$11)*NORMSINV($B312)+SQRT(1-Y$9^2*$C$11)*NORMSINV(X312)))*(Y$7-Y$5)*(Y$7-Y$6))))</f>
        <v>0.461297120086393</v>
      </c>
      <c r="Z312" s="2" t="n">
        <v>0.270613444</v>
      </c>
      <c r="AA312" s="2" t="n">
        <f aca="false">IF(AA$7=AA$5,AA$6,IF(NORMSDIST(AA$9*SQRT($C$11)*NORMSINV($B312)+SQRT(1-AA$9^2*$C$11)*NORMSINV(Z312))&lt;AA$8,AA$5+SQRT(NORMSDIST(AA$9*SQRT($C$11)*NORMSINV($B312)+SQRT(1-AA$9^2*$C$11)*NORMSINV(Z312))*(AA$7-AA$5)*(AA$6-AA$5)),AA$7-SQRT((1-NORMSDIST(AA$9*SQRT($C$11)*NORMSINV($B312)+SQRT(1-AA$9^2*$C$11)*NORMSINV(Z312)))*(AA$7-AA$5)*(AA$7-AA$6))))</f>
        <v>0.730266689776079</v>
      </c>
      <c r="AB312" s="2" t="n">
        <v>0.297212753</v>
      </c>
      <c r="AC312" s="2" t="n">
        <f aca="false">IF(AC$7=AC$5,AC$6,IF(NORMSDIST(AC$9*SQRT($C$11)*NORMSINV($B312)+SQRT(1-AC$9^2*$C$11)*NORMSINV(AB312))&lt;AC$8,AC$5+SQRT(NORMSDIST(AC$9*SQRT($C$11)*NORMSINV($B312)+SQRT(1-AC$9^2*$C$11)*NORMSINV(AB312))*(AC$7-AC$5)*(AC$6-AC$5)),AC$7-SQRT((1-NORMSDIST(AC$9*SQRT($C$11)*NORMSINV($B312)+SQRT(1-AC$9^2*$C$11)*NORMSINV(AB312)))*(AC$7-AC$5)*(AC$7-AC$6))))</f>
        <v>9.66489191578527</v>
      </c>
      <c r="AD312" s="2" t="n">
        <f aca="false">Entrées!$C$8*(1+E312)</f>
        <v>7439.15148669256</v>
      </c>
      <c r="AE312" s="2" t="n">
        <f aca="false">I312*Hypothèses!$J$24/12/Hypothèses!$J$19</f>
        <v>99.5453177682448</v>
      </c>
      <c r="AF312" s="2" t="n">
        <f aca="false">Entrées!$C$36*S312*1000</f>
        <v>248.660646714516</v>
      </c>
      <c r="AG312" s="2" t="n">
        <f aca="false">-AF312/W312</f>
        <v>-28.3970571763211</v>
      </c>
      <c r="AH312" s="2" t="n">
        <f aca="false">AD312+AE312+AG312</f>
        <v>7510.29974728449</v>
      </c>
      <c r="AI312" s="2" t="n">
        <f aca="false">Entrées!$C$16-M312+Hypothèses!$J$22*1000-AF312+Hypothèses!$J$23</f>
        <v>22667.3094518475</v>
      </c>
      <c r="AJ312" s="2" t="n">
        <f aca="false">AI312/AH312</f>
        <v>3.01816308464165</v>
      </c>
      <c r="AK312" s="2" t="n">
        <f aca="false">AI312/(AH312+I312*(12-Hypothèses!$J$24)/12/Hypothèses!$J$19)</f>
        <v>2.98985660309992</v>
      </c>
      <c r="AL312" s="2" t="n">
        <f aca="false">(AD312+AG312+I312/Hypothèses!$J$19)*(1+G312)</f>
        <v>8050.82939068735</v>
      </c>
      <c r="AM312" s="2" t="n">
        <f aca="false">Entrées!$C$54*K312/Hypothèses!$J$19</f>
        <v>23.2149234897942</v>
      </c>
      <c r="AN312" s="2" t="n">
        <f aca="false">Y312*1000/AC312</f>
        <v>47.7291545633299</v>
      </c>
      <c r="AO312" s="2" t="n">
        <f aca="false">(Entrées!$C$36*(1-S312)+MAX(0,Entrées!$C$30-Entrées!$C$35-Entrées!$C$36)*U312)*1000</f>
        <v>1073.23011980696</v>
      </c>
      <c r="AP312" s="2" t="n">
        <f aca="false">-AO312/W312</f>
        <v>-122.56292854614</v>
      </c>
      <c r="AQ312" s="2" t="n">
        <f aca="false">AL312+AM312+AN312+AP312</f>
        <v>7999.21054019434</v>
      </c>
      <c r="AR312" s="2" t="n">
        <f aca="false">O312*AQ312-Hypothèses!$J$25/Hypothèses!$J$19</f>
        <v>1430.70599639644</v>
      </c>
      <c r="AS312" s="2" t="n">
        <f aca="false">Entrées!$C$79*(1+Q312)+Hypothèses!$J$20</f>
        <v>1472.90522226051</v>
      </c>
      <c r="AT312" s="2" t="n">
        <f aca="false">AI312-AR312+AS312+Y312*1000-AO312+Hypothèses!$J$23</f>
        <v>22097.575677991</v>
      </c>
      <c r="AU312" s="2" t="n">
        <f aca="false">AT312/AQ312</f>
        <v>2.76246956708483</v>
      </c>
      <c r="AV312" s="2" t="n">
        <f aca="false">Hypothèses!$J$26*AQ312-AT312</f>
        <v>1900.05594259197</v>
      </c>
      <c r="AW312" s="2" t="n">
        <f aca="false">IF(AC312&gt;Hypothèses!$J$26,MAX(0,AV312)/(1-Hypothèses!$J$26/AC312),0)</f>
        <v>2755.30879587163</v>
      </c>
      <c r="AX312" s="2" t="n">
        <f aca="false">AQ312-Entrées!$C$17*1000</f>
        <v>-0.789459805664592</v>
      </c>
      <c r="AY312" s="2" t="n">
        <f aca="false">AI312+(Entrées!$C$244-Entrées!$C$13)</f>
        <v>28414.3094518475</v>
      </c>
      <c r="AZ312" s="2" t="n">
        <f aca="false">AA312*AH312</f>
        <v>5484.52173567557</v>
      </c>
      <c r="BA312" s="2" t="n">
        <f aca="false">AZ312/AY312</f>
        <v>0.193019708783349</v>
      </c>
      <c r="BB312" s="2" t="n">
        <f aca="false">AZ312/(Entrées!$C$151/100)-AY312</f>
        <v>2055.25574635007</v>
      </c>
      <c r="BC312" s="2" t="n">
        <f aca="false">AT312+(Entrées!$C$244-Entrées!$C$13)</f>
        <v>27844.575677991</v>
      </c>
      <c r="BD312" s="2" t="n">
        <f aca="false">AA312*AQ312</f>
        <v>5841.55700200964</v>
      </c>
      <c r="BE312" s="2" t="n">
        <f aca="false">BD312/BC312</f>
        <v>0.209791561184642</v>
      </c>
      <c r="BF312" s="2" t="n">
        <f aca="false">BD312/(Entrées!$C$151/100)-BC312</f>
        <v>4608.51877761808</v>
      </c>
      <c r="BG312" s="2" t="n">
        <f aca="false">MIN(AV312,BF312)</f>
        <v>1900.05594259197</v>
      </c>
      <c r="BH312" s="2" t="n">
        <f aca="false">IF(AC312&gt;Hypothèses!$J$26,MAX(0,BG312)/(1-Hypothèses!$J$26/AC312),0)</f>
        <v>2755.30879587163</v>
      </c>
    </row>
    <row r="313" customFormat="false" ht="15" hidden="false" customHeight="false" outlineLevel="0" collapsed="false">
      <c r="A313" s="2" t="n">
        <v>298</v>
      </c>
      <c r="B313" s="2" t="n">
        <v>0.572248927</v>
      </c>
      <c r="C313" s="2"/>
      <c r="D313" s="2" t="n">
        <v>0.722238092</v>
      </c>
      <c r="E313" s="2" t="n">
        <f aca="false">IF(E$7=E$5,E$6,IF(NORMSDIST(E$9*SQRT($C$11)*NORMSINV($B313)+SQRT(1-E$9^2*$C$11)*NORMSINV(D313))&lt;E$8,E$5+SQRT(NORMSDIST(E$9*SQRT($C$11)*NORMSINV($B313)+SQRT(1-E$9^2*$C$11)*NORMSINV(D313))*(E$7-E$5)*(E$6-E$5)),E$7-SQRT((1-NORMSDIST(E$9*SQRT($C$11)*NORMSINV($B313)+SQRT(1-E$9^2*$C$11)*NORMSINV(D313)))*(E$7-E$5)*(E$7-E$6))))</f>
        <v>0.0562335090876872</v>
      </c>
      <c r="F313" s="2" t="n">
        <v>0.653416319</v>
      </c>
      <c r="G313" s="2" t="n">
        <f aca="false">IF(G$7=G$5,G$6,IF(NORMSDIST(G$9*SQRT($C$11)*NORMSINV($B313)+SQRT(1-G$9^2*$C$11)*NORMSINV(F313))&lt;G$8,G$5+SQRT(NORMSDIST(G$9*SQRT($C$11)*NORMSINV($B313)+SQRT(1-G$9^2*$C$11)*NORMSINV(F313))*(G$7-G$5)*(G$6-G$5)),G$7-SQRT((1-NORMSDIST(G$9*SQRT($C$11)*NORMSINV($B313)+SQRT(1-G$9^2*$C$11)*NORMSINV(F313)))*(G$7-G$5)*(G$7-G$6))))</f>
        <v>0.0576862577702112</v>
      </c>
      <c r="H313" s="2" t="n">
        <v>0.591363917</v>
      </c>
      <c r="I313" s="2" t="n">
        <f aca="false">IF(I$7=I$5,I$6,IF(NORMSDIST(I$9*SQRT($C$11)*NORMSINV($B313)+SQRT(1-I$9^2*$C$11)*NORMSINV(H313))&lt;I$8,I$5+SQRT(NORMSDIST(I$9*SQRT($C$11)*NORMSINV($B313)+SQRT(1-I$9^2*$C$11)*NORMSINV(H313))*(I$7-I$5)*(I$6-I$5)),I$7-SQRT((1-NORMSDIST(I$9*SQRT($C$11)*NORMSINV($B313)+SQRT(1-I$9^2*$C$11)*NORMSINV(H313)))*(I$7-I$5)*(I$7-I$6))))</f>
        <v>202.465506021467</v>
      </c>
      <c r="J313" s="2" t="n">
        <v>0.4099211</v>
      </c>
      <c r="K313" s="2" t="n">
        <f aca="false">IF(K$7=K$5,K$6,IF(NORMSDIST(K$9*SQRT($C$11)*NORMSINV($B313)+SQRT(1-K$9^2*$C$11)*NORMSINV(J313))&lt;K$8,K$5+SQRT(NORMSDIST(K$9*SQRT($C$11)*NORMSINV($B313)+SQRT(1-K$9^2*$C$11)*NORMSINV(J313))*(K$7-K$5)*(K$6-K$5)),K$7-SQRT((1-NORMSDIST(K$9*SQRT($C$11)*NORMSINV($B313)+SQRT(1-K$9^2*$C$11)*NORMSINV(J313)))*(K$7-K$5)*(K$7-K$6))))</f>
        <v>0.243819518012098</v>
      </c>
      <c r="L313" s="2" t="n">
        <v>0.820199471</v>
      </c>
      <c r="M313" s="2" t="n">
        <f aca="false">IF(M$7=M$5,M$6,IF(NORMSDIST(M$9*SQRT($C$11)*NORMSINV($B313)+SQRT(1-M$9^2*$C$11)*NORMSINV(L313))&lt;M$8,M$5+SQRT(NORMSDIST(M$9*SQRT($C$11)*NORMSINV($B313)+SQRT(1-M$9^2*$C$11)*NORMSINV(L313))*(M$7-M$5)*(M$6-M$5)),M$7-SQRT((1-NORMSDIST(M$9*SQRT($C$11)*NORMSINV($B313)+SQRT(1-M$9^2*$C$11)*NORMSINV(L313)))*(M$7-M$5)*(M$7-M$6))))</f>
        <v>1664.23086935053</v>
      </c>
      <c r="N313" s="2" t="n">
        <v>0.332695909</v>
      </c>
      <c r="O313" s="2" t="n">
        <f aca="false">IF(O$7=O$5,O$6,IF(NORMSDIST(O$9*SQRT($C$11)*NORMSINV($B313)+SQRT(1-O$9^2*$C$11)*NORMSINV(N313))&lt;O$8,O$5+SQRT(NORMSDIST(O$9*SQRT($C$11)*NORMSINV($B313)+SQRT(1-O$9^2*$C$11)*NORMSINV(N313))*(O$7-O$5)*(O$6-O$5)),O$7-SQRT((1-NORMSDIST(O$9*SQRT($C$11)*NORMSINV($B313)+SQRT(1-O$9^2*$C$11)*NORMSINV(N313)))*(O$7-O$5)*(O$7-O$6))))</f>
        <v>0.164343056718949</v>
      </c>
      <c r="P313" s="2" t="n">
        <v>0.403998685</v>
      </c>
      <c r="Q313" s="2" t="n">
        <f aca="false">IF(Q$7=Q$5,Q$6,IF(NORMSDIST(Q$9*SQRT($C$11)*NORMSINV($B313)+SQRT(1-Q$9^2*$C$11)*NORMSINV(P313))&lt;Q$8,Q$5+SQRT(NORMSDIST(Q$9*SQRT($C$11)*NORMSINV($B313)+SQRT(1-Q$9^2*$C$11)*NORMSINV(P313))*(Q$7-Q$5)*(Q$6-Q$5)),Q$7-SQRT((1-NORMSDIST(Q$9*SQRT($C$11)*NORMSINV($B313)+SQRT(1-Q$9^2*$C$11)*NORMSINV(P313)))*(Q$7-Q$5)*(Q$7-Q$6))))</f>
        <v>0.0759554695700112</v>
      </c>
      <c r="R313" s="2" t="n">
        <v>0.937220947</v>
      </c>
      <c r="S313" s="2" t="n">
        <f aca="false">IF(S$7=S$5,S$6,IF(NORMSDIST(S$9*SQRT($C$11)*NORMSINV($B313)+SQRT(1-S$9^2*$C$11)*NORMSINV(R313))&lt;S$8,S$5+SQRT(NORMSDIST(S$9*SQRT($C$11)*NORMSINV($B313)+SQRT(1-S$9^2*$C$11)*NORMSINV(R313))*(S$7-S$5)*(S$6-S$5)),S$7-SQRT((1-NORMSDIST(S$9*SQRT($C$11)*NORMSINV($B313)+SQRT(1-S$9^2*$C$11)*NORMSINV(R313)))*(S$7-S$5)*(S$7-S$6))))</f>
        <v>0.780338555073602</v>
      </c>
      <c r="T313" s="2" t="n">
        <v>0.232969535</v>
      </c>
      <c r="U313" s="2" t="n">
        <f aca="false">IF(U$7=U$5,U$6,IF(NORMSDIST(U$9*SQRT($C$11)*NORMSINV($B313)+SQRT(1-U$9^2*$C$11)*NORMSINV(T313))&lt;U$8,U$5+SQRT(NORMSDIST(U$9*SQRT($C$11)*NORMSINV($B313)+SQRT(1-U$9^2*$C$11)*NORMSINV(T313))*(U$7-U$5)*(U$6-U$5)),U$7-SQRT((1-NORMSDIST(U$9*SQRT($C$11)*NORMSINV($B313)+SQRT(1-U$9^2*$C$11)*NORMSINV(T313)))*(U$7-U$5)*(U$7-U$6))))</f>
        <v>0.404044323690457</v>
      </c>
      <c r="V313" s="2" t="n">
        <v>0.437831897</v>
      </c>
      <c r="W313" s="2" t="n">
        <f aca="false">IF(W$7=W$5,W$6,IF(NORMSDIST(W$9*SQRT($C$11)*NORMSINV($B313)+SQRT(1-W$9^2*$C$11)*NORMSINV(V313))&lt;W$8,W$5+SQRT(NORMSDIST(W$9*SQRT($C$11)*NORMSINV($B313)+SQRT(1-W$9^2*$C$11)*NORMSINV(V313))*(W$7-W$5)*(W$6-W$5)),W$7-SQRT((1-NORMSDIST(W$9*SQRT($C$11)*NORMSINV($B313)+SQRT(1-W$9^2*$C$11)*NORMSINV(V313)))*(W$7-W$5)*(W$7-W$6))))</f>
        <v>9.99518451555428</v>
      </c>
      <c r="X313" s="2" t="n">
        <v>0.355770536</v>
      </c>
      <c r="Y313" s="2" t="n">
        <f aca="false">IF(Y$7=Y$5,Y$6,IF(NORMSDIST(Y$9*SQRT($C$11)*NORMSINV($B313)+SQRT(1-Y$9^2*$C$11)*NORMSINV(X313))&lt;Y$8,Y$5+SQRT(NORMSDIST(Y$9*SQRT($C$11)*NORMSINV($B313)+SQRT(1-Y$9^2*$C$11)*NORMSINV(X313))*(Y$7-Y$5)*(Y$6-Y$5)),Y$7-SQRT((1-NORMSDIST(Y$9*SQRT($C$11)*NORMSINV($B313)+SQRT(1-Y$9^2*$C$11)*NORMSINV(X313)))*(Y$7-Y$5)*(Y$7-Y$6))))</f>
        <v>0.421764469816982</v>
      </c>
      <c r="Z313" s="2" t="n">
        <v>0.858565102</v>
      </c>
      <c r="AA313" s="2" t="n">
        <f aca="false">IF(AA$7=AA$5,AA$6,IF(NORMSDIST(AA$9*SQRT($C$11)*NORMSINV($B313)+SQRT(1-AA$9^2*$C$11)*NORMSINV(Z313))&lt;AA$8,AA$5+SQRT(NORMSDIST(AA$9*SQRT($C$11)*NORMSINV($B313)+SQRT(1-AA$9^2*$C$11)*NORMSINV(Z313))*(AA$7-AA$5)*(AA$6-AA$5)),AA$7-SQRT((1-NORMSDIST(AA$9*SQRT($C$11)*NORMSINV($B313)+SQRT(1-AA$9^2*$C$11)*NORMSINV(Z313)))*(AA$7-AA$5)*(AA$7-AA$6))))</f>
        <v>0.739009563575943</v>
      </c>
      <c r="AB313" s="2" t="n">
        <v>0.531393323</v>
      </c>
      <c r="AC313" s="2" t="n">
        <f aca="false">IF(AC$7=AC$5,AC$6,IF(NORMSDIST(AC$9*SQRT($C$11)*NORMSINV($B313)+SQRT(1-AC$9^2*$C$11)*NORMSINV(AB313))&lt;AC$8,AC$5+SQRT(NORMSDIST(AC$9*SQRT($C$11)*NORMSINV($B313)+SQRT(1-AC$9^2*$C$11)*NORMSINV(AB313))*(AC$7-AC$5)*(AC$6-AC$5)),AC$7-SQRT((1-NORMSDIST(AC$9*SQRT($C$11)*NORMSINV($B313)+SQRT(1-AC$9^2*$C$11)*NORMSINV(AB313)))*(AC$7-AC$5)*(AC$7-AC$6))))</f>
        <v>9.61904743950731</v>
      </c>
      <c r="AD313" s="2" t="n">
        <f aca="false">Entrées!$C$8*(1+E313)</f>
        <v>7446.44623906819</v>
      </c>
      <c r="AE313" s="2" t="n">
        <f aca="false">I313*Hypothèses!$J$24/12/Hypothèses!$J$19</f>
        <v>100.442489521188</v>
      </c>
      <c r="AF313" s="2" t="n">
        <f aca="false">Entrées!$C$36*S313*1000</f>
        <v>390.169277536801</v>
      </c>
      <c r="AG313" s="2" t="n">
        <f aca="false">-AF313/W313</f>
        <v>-39.0357253465034</v>
      </c>
      <c r="AH313" s="2" t="n">
        <f aca="false">AD313+AE313+AG313</f>
        <v>7507.85300324288</v>
      </c>
      <c r="AI313" s="2" t="n">
        <f aca="false">Entrées!$C$16-M313+Hypothèses!$J$22*1000-AF313+Hypothèses!$J$23</f>
        <v>22493.5998531127</v>
      </c>
      <c r="AJ313" s="2" t="n">
        <f aca="false">AI313/AH313</f>
        <v>2.99600962397599</v>
      </c>
      <c r="AK313" s="2" t="n">
        <f aca="false">AI313/(AH313+I313*(12-Hypothèses!$J$24)/12/Hypothèses!$J$19)</f>
        <v>2.96765091309285</v>
      </c>
      <c r="AL313" s="2" t="n">
        <f aca="false">(AD313+AG313+I313/Hypothèses!$J$19)*(1+G313)</f>
        <v>8016.8362617908</v>
      </c>
      <c r="AM313" s="2" t="n">
        <f aca="false">Entrées!$C$54*K313/Hypothèses!$J$19</f>
        <v>24.8828055451356</v>
      </c>
      <c r="AN313" s="2" t="n">
        <f aca="false">Y313*1000/AC313</f>
        <v>43.8468021360112</v>
      </c>
      <c r="AO313" s="2" t="n">
        <f aca="false">(Entrées!$C$36*(1-S313)+MAX(0,Entrées!$C$30-Entrées!$C$35-Entrées!$C$36)*U313)*1000</f>
        <v>675.492775629839</v>
      </c>
      <c r="AP313" s="2" t="n">
        <f aca="false">-AO313/W313</f>
        <v>-67.5818214840009</v>
      </c>
      <c r="AQ313" s="2" t="n">
        <f aca="false">AL313+AM313+AN313+AP313</f>
        <v>8017.98404798794</v>
      </c>
      <c r="AR313" s="2" t="n">
        <f aca="false">O313*AQ313-Hypothèses!$J$25/Hypothèses!$J$19</f>
        <v>1298.56484490848</v>
      </c>
      <c r="AS313" s="2" t="n">
        <f aca="false">Entrées!$C$79*(1+Q313)+Hypothèses!$J$20</f>
        <v>1477.47506105744</v>
      </c>
      <c r="AT313" s="2" t="n">
        <f aca="false">AI313-AR313+AS313+Y313*1000-AO313+Hypothèses!$J$23</f>
        <v>22418.7817634488</v>
      </c>
      <c r="AU313" s="2" t="n">
        <f aca="false">AT313/AQ313</f>
        <v>2.7960621559324</v>
      </c>
      <c r="AV313" s="2" t="n">
        <f aca="false">Hypothèses!$J$26*AQ313-AT313</f>
        <v>1635.17038051505</v>
      </c>
      <c r="AW313" s="2" t="n">
        <f aca="false">IF(AC313&gt;Hypothèses!$J$26,MAX(0,AV313)/(1-Hypothèses!$J$26/AC313),0)</f>
        <v>2376.29078890878</v>
      </c>
      <c r="AX313" s="2" t="n">
        <f aca="false">AQ313-Entrées!$C$17*1000</f>
        <v>17.9840479879413</v>
      </c>
      <c r="AY313" s="2" t="n">
        <f aca="false">AI313+(Entrées!$C$244-Entrées!$C$13)</f>
        <v>28240.5998531127</v>
      </c>
      <c r="AZ313" s="2" t="n">
        <f aca="false">AA313*AH313</f>
        <v>5548.37517131885</v>
      </c>
      <c r="BA313" s="2" t="n">
        <f aca="false">AZ313/AY313</f>
        <v>0.19646803538797</v>
      </c>
      <c r="BB313" s="2" t="n">
        <f aca="false">AZ313/(Entrées!$C$151/100)-AY313</f>
        <v>2583.70665421428</v>
      </c>
      <c r="BC313" s="2" t="n">
        <f aca="false">AT313+(Entrées!$C$244-Entrées!$C$13)</f>
        <v>28165.7817634488</v>
      </c>
      <c r="BD313" s="2" t="n">
        <f aca="false">AA313*AQ313</f>
        <v>5925.36689206244</v>
      </c>
      <c r="BE313" s="2" t="n">
        <f aca="false">BD313/BC313</f>
        <v>0.210374664613495</v>
      </c>
      <c r="BF313" s="2" t="n">
        <f aca="false">BD313/(Entrées!$C$151/100)-BC313</f>
        <v>4752.92319245366</v>
      </c>
      <c r="BG313" s="2" t="n">
        <f aca="false">MIN(AV313,BF313)</f>
        <v>1635.17038051505</v>
      </c>
      <c r="BH313" s="2" t="n">
        <f aca="false">IF(AC313&gt;Hypothèses!$J$26,MAX(0,BG313)/(1-Hypothèses!$J$26/AC313),0)</f>
        <v>2376.29078890878</v>
      </c>
    </row>
    <row r="314" customFormat="false" ht="15" hidden="false" customHeight="false" outlineLevel="0" collapsed="false">
      <c r="A314" s="2" t="n">
        <v>299</v>
      </c>
      <c r="B314" s="2" t="n">
        <v>0.061527718</v>
      </c>
      <c r="C314" s="2"/>
      <c r="D314" s="2" t="n">
        <v>0.482520043</v>
      </c>
      <c r="E314" s="2" t="n">
        <f aca="false">IF(E$7=E$5,E$6,IF(NORMSDIST(E$9*SQRT($C$11)*NORMSINV($B314)+SQRT(1-E$9^2*$C$11)*NORMSINV(D314))&lt;E$8,E$5+SQRT(NORMSDIST(E$9*SQRT($C$11)*NORMSINV($B314)+SQRT(1-E$9^2*$C$11)*NORMSINV(D314))*(E$7-E$5)*(E$6-E$5)),E$7-SQRT((1-NORMSDIST(E$9*SQRT($C$11)*NORMSINV($B314)+SQRT(1-E$9^2*$C$11)*NORMSINV(D314)))*(E$7-E$5)*(E$7-E$6))))</f>
        <v>0.0527966836784828</v>
      </c>
      <c r="F314" s="2" t="n">
        <v>0.464417607</v>
      </c>
      <c r="G314" s="2" t="n">
        <f aca="false">IF(G$7=G$5,G$6,IF(NORMSDIST(G$9*SQRT($C$11)*NORMSINV($B314)+SQRT(1-G$9^2*$C$11)*NORMSINV(F314))&lt;G$8,G$5+SQRT(NORMSDIST(G$9*SQRT($C$11)*NORMSINV($B314)+SQRT(1-G$9^2*$C$11)*NORMSINV(F314))*(G$7-G$5)*(G$6-G$5)),G$7-SQRT((1-NORMSDIST(G$9*SQRT($C$11)*NORMSINV($B314)+SQRT(1-G$9^2*$C$11)*NORMSINV(F314)))*(G$7-G$5)*(G$7-G$6))))</f>
        <v>0.0481645551427228</v>
      </c>
      <c r="H314" s="2" t="n">
        <v>0.455730706</v>
      </c>
      <c r="I314" s="2" t="n">
        <f aca="false">IF(I$7=I$5,I$6,IF(NORMSDIST(I$9*SQRT($C$11)*NORMSINV($B314)+SQRT(1-I$9^2*$C$11)*NORMSINV(H314))&lt;I$8,I$5+SQRT(NORMSDIST(I$9*SQRT($C$11)*NORMSINV($B314)+SQRT(1-I$9^2*$C$11)*NORMSINV(H314))*(I$7-I$5)*(I$6-I$5)),I$7-SQRT((1-NORMSDIST(I$9*SQRT($C$11)*NORMSINV($B314)+SQRT(1-I$9^2*$C$11)*NORMSINV(H314)))*(I$7-I$5)*(I$7-I$6))))</f>
        <v>190.742377392772</v>
      </c>
      <c r="J314" s="2" t="n">
        <v>0.958038208</v>
      </c>
      <c r="K314" s="2" t="n">
        <f aca="false">IF(K$7=K$5,K$6,IF(NORMSDIST(K$9*SQRT($C$11)*NORMSINV($B314)+SQRT(1-K$9^2*$C$11)*NORMSINV(J314))&lt;K$8,K$5+SQRT(NORMSDIST(K$9*SQRT($C$11)*NORMSINV($B314)+SQRT(1-K$9^2*$C$11)*NORMSINV(J314))*(K$7-K$5)*(K$6-K$5)),K$7-SQRT((1-NORMSDIST(K$9*SQRT($C$11)*NORMSINV($B314)+SQRT(1-K$9^2*$C$11)*NORMSINV(J314)))*(K$7-K$5)*(K$7-K$6))))</f>
        <v>0.288422614882979</v>
      </c>
      <c r="L314" s="2" t="n">
        <v>0.413478614</v>
      </c>
      <c r="M314" s="2" t="n">
        <f aca="false">IF(M$7=M$5,M$6,IF(NORMSDIST(M$9*SQRT($C$11)*NORMSINV($B314)+SQRT(1-M$9^2*$C$11)*NORMSINV(L314))&lt;M$8,M$5+SQRT(NORMSDIST(M$9*SQRT($C$11)*NORMSINV($B314)+SQRT(1-M$9^2*$C$11)*NORMSINV(L314))*(M$7-M$5)*(M$6-M$5)),M$7-SQRT((1-NORMSDIST(M$9*SQRT($C$11)*NORMSINV($B314)+SQRT(1-M$9^2*$C$11)*NORMSINV(L314)))*(M$7-M$5)*(M$7-M$6))))</f>
        <v>1444.94113237457</v>
      </c>
      <c r="N314" s="2" t="n">
        <v>0.720266922</v>
      </c>
      <c r="O314" s="2" t="n">
        <f aca="false">IF(O$7=O$5,O$6,IF(NORMSDIST(O$9*SQRT($C$11)*NORMSINV($B314)+SQRT(1-O$9^2*$C$11)*NORMSINV(N314))&lt;O$8,O$5+SQRT(NORMSDIST(O$9*SQRT($C$11)*NORMSINV($B314)+SQRT(1-O$9^2*$C$11)*NORMSINV(N314))*(O$7-O$5)*(O$6-O$5)),O$7-SQRT((1-NORMSDIST(O$9*SQRT($C$11)*NORMSINV($B314)+SQRT(1-O$9^2*$C$11)*NORMSINV(N314)))*(O$7-O$5)*(O$7-O$6))))</f>
        <v>0.160761465431225</v>
      </c>
      <c r="P314" s="2" t="n">
        <v>0.346989404</v>
      </c>
      <c r="Q314" s="2" t="n">
        <f aca="false">IF(Q$7=Q$5,Q$6,IF(NORMSDIST(Q$9*SQRT($C$11)*NORMSINV($B314)+SQRT(1-Q$9^2*$C$11)*NORMSINV(P314))&lt;Q$8,Q$5+SQRT(NORMSDIST(Q$9*SQRT($C$11)*NORMSINV($B314)+SQRT(1-Q$9^2*$C$11)*NORMSINV(P314))*(Q$7-Q$5)*(Q$6-Q$5)),Q$7-SQRT((1-NORMSDIST(Q$9*SQRT($C$11)*NORMSINV($B314)+SQRT(1-Q$9^2*$C$11)*NORMSINV(P314)))*(Q$7-Q$5)*(Q$7-Q$6))))</f>
        <v>0.0733221561847369</v>
      </c>
      <c r="R314" s="2" t="n">
        <v>0.581930053</v>
      </c>
      <c r="S314" s="2" t="n">
        <f aca="false">IF(S$7=S$5,S$6,IF(NORMSDIST(S$9*SQRT($C$11)*NORMSINV($B314)+SQRT(1-S$9^2*$C$11)*NORMSINV(R314))&lt;S$8,S$5+SQRT(NORMSDIST(S$9*SQRT($C$11)*NORMSINV($B314)+SQRT(1-S$9^2*$C$11)*NORMSINV(R314))*(S$7-S$5)*(S$6-S$5)),S$7-SQRT((1-NORMSDIST(S$9*SQRT($C$11)*NORMSINV($B314)+SQRT(1-S$9^2*$C$11)*NORMSINV(R314)))*(S$7-S$5)*(S$7-S$6))))</f>
        <v>0.322112503460377</v>
      </c>
      <c r="T314" s="2" t="n">
        <v>0.283214672</v>
      </c>
      <c r="U314" s="2" t="n">
        <f aca="false">IF(U$7=U$5,U$6,IF(NORMSDIST(U$9*SQRT($C$11)*NORMSINV($B314)+SQRT(1-U$9^2*$C$11)*NORMSINV(T314))&lt;U$8,U$5+SQRT(NORMSDIST(U$9*SQRT($C$11)*NORMSINV($B314)+SQRT(1-U$9^2*$C$11)*NORMSINV(T314))*(U$7-U$5)*(U$6-U$5)),U$7-SQRT((1-NORMSDIST(U$9*SQRT($C$11)*NORMSINV($B314)+SQRT(1-U$9^2*$C$11)*NORMSINV(T314)))*(U$7-U$5)*(U$7-U$6))))</f>
        <v>0.197349375333727</v>
      </c>
      <c r="V314" s="2" t="n">
        <v>0.635610787</v>
      </c>
      <c r="W314" s="2" t="n">
        <f aca="false">IF(W$7=W$5,W$6,IF(NORMSDIST(W$9*SQRT($C$11)*NORMSINV($B314)+SQRT(1-W$9^2*$C$11)*NORMSINV(V314))&lt;W$8,W$5+SQRT(NORMSDIST(W$9*SQRT($C$11)*NORMSINV($B314)+SQRT(1-W$9^2*$C$11)*NORMSINV(V314))*(W$7-W$5)*(W$6-W$5)),W$7-SQRT((1-NORMSDIST(W$9*SQRT($C$11)*NORMSINV($B314)+SQRT(1-W$9^2*$C$11)*NORMSINV(V314)))*(W$7-W$5)*(W$7-W$6))))</f>
        <v>9.38528258812622</v>
      </c>
      <c r="X314" s="2" t="n">
        <v>0.103334855</v>
      </c>
      <c r="Y314" s="2" t="n">
        <f aca="false">IF(Y$7=Y$5,Y$6,IF(NORMSDIST(Y$9*SQRT($C$11)*NORMSINV($B314)+SQRT(1-Y$9^2*$C$11)*NORMSINV(X314))&lt;Y$8,Y$5+SQRT(NORMSDIST(Y$9*SQRT($C$11)*NORMSINV($B314)+SQRT(1-Y$9^2*$C$11)*NORMSINV(X314))*(Y$7-Y$5)*(Y$6-Y$5)),Y$7-SQRT((1-NORMSDIST(Y$9*SQRT($C$11)*NORMSINV($B314)+SQRT(1-Y$9^2*$C$11)*NORMSINV(X314)))*(Y$7-Y$5)*(Y$7-Y$6))))</f>
        <v>0.227304701887137</v>
      </c>
      <c r="Z314" s="2" t="n">
        <v>0.725716746</v>
      </c>
      <c r="AA314" s="2" t="n">
        <f aca="false">IF(AA$7=AA$5,AA$6,IF(NORMSDIST(AA$9*SQRT($C$11)*NORMSINV($B314)+SQRT(1-AA$9^2*$C$11)*NORMSINV(Z314))&lt;AA$8,AA$5+SQRT(NORMSDIST(AA$9*SQRT($C$11)*NORMSINV($B314)+SQRT(1-AA$9^2*$C$11)*NORMSINV(Z314))*(AA$7-AA$5)*(AA$6-AA$5)),AA$7-SQRT((1-NORMSDIST(AA$9*SQRT($C$11)*NORMSINV($B314)+SQRT(1-AA$9^2*$C$11)*NORMSINV(Z314)))*(AA$7-AA$5)*(AA$7-AA$6))))</f>
        <v>0.720876023093523</v>
      </c>
      <c r="AB314" s="2" t="n">
        <v>0.630107592</v>
      </c>
      <c r="AC314" s="2" t="n">
        <f aca="false">IF(AC$7=AC$5,AC$6,IF(NORMSDIST(AC$9*SQRT($C$11)*NORMSINV($B314)+SQRT(1-AC$9^2*$C$11)*NORMSINV(AB314))&lt;AC$8,AC$5+SQRT(NORMSDIST(AC$9*SQRT($C$11)*NORMSINV($B314)+SQRT(1-AC$9^2*$C$11)*NORMSINV(AB314))*(AC$7-AC$5)*(AC$6-AC$5)),AC$7-SQRT((1-NORMSDIST(AC$9*SQRT($C$11)*NORMSINV($B314)+SQRT(1-AC$9^2*$C$11)*NORMSINV(AB314)))*(AC$7-AC$5)*(AC$7-AC$6))))</f>
        <v>8.82907557359314</v>
      </c>
      <c r="AD314" s="2" t="n">
        <f aca="false">Entrées!$C$8*(1+E314)</f>
        <v>7422.2166199333</v>
      </c>
      <c r="AE314" s="2" t="n">
        <f aca="false">I314*Hypothèses!$J$24/12/Hypothèses!$J$19</f>
        <v>94.6266829298255</v>
      </c>
      <c r="AF314" s="2" t="n">
        <f aca="false">Entrées!$C$36*S314*1000</f>
        <v>161.056251730188</v>
      </c>
      <c r="AG314" s="2" t="n">
        <f aca="false">-AF314/W314</f>
        <v>-17.1605117073351</v>
      </c>
      <c r="AH314" s="2" t="n">
        <f aca="false">AD314+AE314+AG314</f>
        <v>7499.68279115579</v>
      </c>
      <c r="AI314" s="2" t="n">
        <f aca="false">Entrées!$C$16-M314+Hypothèses!$J$22*1000-AF314+Hypothèses!$J$23</f>
        <v>22942.0026158952</v>
      </c>
      <c r="AJ314" s="2" t="n">
        <f aca="false">AI314/AH314</f>
        <v>3.05906306370054</v>
      </c>
      <c r="AK314" s="2" t="n">
        <f aca="false">AI314/(AH314+I314*(12-Hypothèses!$J$24)/12/Hypothèses!$J$19)</f>
        <v>3.03173967295122</v>
      </c>
      <c r="AL314" s="2" t="n">
        <f aca="false">(AD314+AG314+I314/Hypothèses!$J$19)*(1+G314)</f>
        <v>7931.74763008747</v>
      </c>
      <c r="AM314" s="2" t="n">
        <f aca="false">Entrées!$C$54*K314/Hypothèses!$J$19</f>
        <v>29.4347388571107</v>
      </c>
      <c r="AN314" s="2" t="n">
        <f aca="false">Y314*1000/AC314</f>
        <v>25.7450171303303</v>
      </c>
      <c r="AO314" s="2" t="n">
        <f aca="false">(Entrées!$C$36*(1-S314)+MAX(0,Entrées!$C$30-Entrées!$C$35-Entrées!$C$36)*U314)*1000</f>
        <v>615.232873737029</v>
      </c>
      <c r="AP314" s="2" t="n">
        <f aca="false">-AO314/W314</f>
        <v>-65.5529407836254</v>
      </c>
      <c r="AQ314" s="2" t="n">
        <f aca="false">AL314+AM314+AN314+AP314</f>
        <v>7921.37444529128</v>
      </c>
      <c r="AR314" s="2" t="n">
        <f aca="false">O314*AQ314-Hypothèses!$J$25/Hypothèses!$J$19</f>
        <v>1254.31660179286</v>
      </c>
      <c r="AS314" s="2" t="n">
        <f aca="false">Entrées!$C$79*(1+Q314)+Hypothèses!$J$20</f>
        <v>1474.58104964703</v>
      </c>
      <c r="AT314" s="2" t="n">
        <f aca="false">AI314-AR314+AS314+Y314*1000-AO314+Hypothèses!$J$23</f>
        <v>22774.3388918995</v>
      </c>
      <c r="AU314" s="2" t="n">
        <f aca="false">AT314/AQ314</f>
        <v>2.87504890081762</v>
      </c>
      <c r="AV314" s="2" t="n">
        <f aca="false">Hypothèses!$J$26*AQ314-AT314</f>
        <v>989.784443974335</v>
      </c>
      <c r="AW314" s="2" t="n">
        <f aca="false">IF(AC314&gt;Hypothèses!$J$26,MAX(0,AV314)/(1-Hypothèses!$J$26/AC314),0)</f>
        <v>1499.18825842731</v>
      </c>
      <c r="AX314" s="2" t="n">
        <f aca="false">AQ314-Entrées!$C$17*1000</f>
        <v>-78.6255547087158</v>
      </c>
      <c r="AY314" s="2" t="n">
        <f aca="false">AI314+(Entrées!$C$244-Entrées!$C$13)</f>
        <v>28689.0026158952</v>
      </c>
      <c r="AZ314" s="2" t="n">
        <f aca="false">AA314*AH314</f>
        <v>5406.34150495132</v>
      </c>
      <c r="BA314" s="2" t="n">
        <f aca="false">AZ314/AY314</f>
        <v>0.18844647816219</v>
      </c>
      <c r="BB314" s="2" t="n">
        <f aca="false">AZ314/(Entrées!$C$151/100)-AY314</f>
        <v>1346.22796716763</v>
      </c>
      <c r="BC314" s="2" t="n">
        <f aca="false">AT314+(Entrées!$C$244-Entrées!$C$13)</f>
        <v>28521.3388918995</v>
      </c>
      <c r="BD314" s="2" t="n">
        <f aca="false">AA314*AQ314</f>
        <v>5710.32890755624</v>
      </c>
      <c r="BE314" s="2" t="n">
        <f aca="false">BD314/BC314</f>
        <v>0.200212512084349</v>
      </c>
      <c r="BF314" s="2" t="n">
        <f aca="false">BD314/(Entrées!$C$151/100)-BC314</f>
        <v>3202.71059452404</v>
      </c>
      <c r="BG314" s="2" t="n">
        <f aca="false">MIN(AV314,BF314)</f>
        <v>989.784443974335</v>
      </c>
      <c r="BH314" s="2" t="n">
        <f aca="false">IF(AC314&gt;Hypothèses!$J$26,MAX(0,BG314)/(1-Hypothèses!$J$26/AC314),0)</f>
        <v>1499.18825842731</v>
      </c>
    </row>
    <row r="315" customFormat="false" ht="15" hidden="false" customHeight="false" outlineLevel="0" collapsed="false">
      <c r="A315" s="2" t="n">
        <v>300</v>
      </c>
      <c r="B315" s="2" t="n">
        <v>0.116695902</v>
      </c>
      <c r="C315" s="2"/>
      <c r="D315" s="2" t="n">
        <v>0.526387232</v>
      </c>
      <c r="E315" s="2" t="n">
        <f aca="false">IF(E$7=E$5,E$6,IF(NORMSDIST(E$9*SQRT($C$11)*NORMSINV($B315)+SQRT(1-E$9^2*$C$11)*NORMSINV(D315))&lt;E$8,E$5+SQRT(NORMSDIST(E$9*SQRT($C$11)*NORMSINV($B315)+SQRT(1-E$9^2*$C$11)*NORMSINV(D315))*(E$7-E$5)*(E$6-E$5)),E$7-SQRT((1-NORMSDIST(E$9*SQRT($C$11)*NORMSINV($B315)+SQRT(1-E$9^2*$C$11)*NORMSINV(D315)))*(E$7-E$5)*(E$7-E$6))))</f>
        <v>0.0534728471392151</v>
      </c>
      <c r="F315" s="2" t="n">
        <v>0.930917682</v>
      </c>
      <c r="G315" s="2" t="n">
        <f aca="false">IF(G$7=G$5,G$6,IF(NORMSDIST(G$9*SQRT($C$11)*NORMSINV($B315)+SQRT(1-G$9^2*$C$11)*NORMSINV(F315))&lt;G$8,G$5+SQRT(NORMSDIST(G$9*SQRT($C$11)*NORMSINV($B315)+SQRT(1-G$9^2*$C$11)*NORMSINV(F315))*(G$7-G$5)*(G$6-G$5)),G$7-SQRT((1-NORMSDIST(G$9*SQRT($C$11)*NORMSINV($B315)+SQRT(1-G$9^2*$C$11)*NORMSINV(F315)))*(G$7-G$5)*(G$7-G$6))))</f>
        <v>0.057513008826595</v>
      </c>
      <c r="H315" s="2" t="n">
        <v>0.272937727</v>
      </c>
      <c r="I315" s="2" t="n">
        <f aca="false">IF(I$7=I$5,I$6,IF(NORMSDIST(I$9*SQRT($C$11)*NORMSINV($B315)+SQRT(1-I$9^2*$C$11)*NORMSINV(H315))&lt;I$8,I$5+SQRT(NORMSDIST(I$9*SQRT($C$11)*NORMSINV($B315)+SQRT(1-I$9^2*$C$11)*NORMSINV(H315))*(I$7-I$5)*(I$6-I$5)),I$7-SQRT((1-NORMSDIST(I$9*SQRT($C$11)*NORMSINV($B315)+SQRT(1-I$9^2*$C$11)*NORMSINV(H315)))*(I$7-I$5)*(I$7-I$6))))</f>
        <v>189.42121785532</v>
      </c>
      <c r="J315" s="2" t="n">
        <v>0.65043546</v>
      </c>
      <c r="K315" s="2" t="n">
        <f aca="false">IF(K$7=K$5,K$6,IF(NORMSDIST(K$9*SQRT($C$11)*NORMSINV($B315)+SQRT(1-K$9^2*$C$11)*NORMSINV(J315))&lt;K$8,K$5+SQRT(NORMSDIST(K$9*SQRT($C$11)*NORMSINV($B315)+SQRT(1-K$9^2*$C$11)*NORMSINV(J315))*(K$7-K$5)*(K$6-K$5)),K$7-SQRT((1-NORMSDIST(K$9*SQRT($C$11)*NORMSINV($B315)+SQRT(1-K$9^2*$C$11)*NORMSINV(J315)))*(K$7-K$5)*(K$7-K$6))))</f>
        <v>0.201496683730646</v>
      </c>
      <c r="L315" s="2" t="n">
        <v>0.275504065</v>
      </c>
      <c r="M315" s="2" t="n">
        <f aca="false">IF(M$7=M$5,M$6,IF(NORMSDIST(M$9*SQRT($C$11)*NORMSINV($B315)+SQRT(1-M$9^2*$C$11)*NORMSINV(L315))&lt;M$8,M$5+SQRT(NORMSDIST(M$9*SQRT($C$11)*NORMSINV($B315)+SQRT(1-M$9^2*$C$11)*NORMSINV(L315))*(M$7-M$5)*(M$6-M$5)),M$7-SQRT((1-NORMSDIST(M$9*SQRT($C$11)*NORMSINV($B315)+SQRT(1-M$9^2*$C$11)*NORMSINV(L315)))*(M$7-M$5)*(M$7-M$6))))</f>
        <v>1436.78716188801</v>
      </c>
      <c r="N315" s="2" t="n">
        <v>0.666309317</v>
      </c>
      <c r="O315" s="2" t="n">
        <f aca="false">IF(O$7=O$5,O$6,IF(NORMSDIST(O$9*SQRT($C$11)*NORMSINV($B315)+SQRT(1-O$9^2*$C$11)*NORMSINV(N315))&lt;O$8,O$5+SQRT(NORMSDIST(O$9*SQRT($C$11)*NORMSINV($B315)+SQRT(1-O$9^2*$C$11)*NORMSINV(N315))*(O$7-O$5)*(O$6-O$5)),O$7-SQRT((1-NORMSDIST(O$9*SQRT($C$11)*NORMSINV($B315)+SQRT(1-O$9^2*$C$11)*NORMSINV(N315)))*(O$7-O$5)*(O$7-O$6))))</f>
        <v>0.161987815938183</v>
      </c>
      <c r="P315" s="2" t="n">
        <v>0.912572871</v>
      </c>
      <c r="Q315" s="2" t="n">
        <f aca="false">IF(Q$7=Q$5,Q$6,IF(NORMSDIST(Q$9*SQRT($C$11)*NORMSINV($B315)+SQRT(1-Q$9^2*$C$11)*NORMSINV(P315))&lt;Q$8,Q$5+SQRT(NORMSDIST(Q$9*SQRT($C$11)*NORMSINV($B315)+SQRT(1-Q$9^2*$C$11)*NORMSINV(P315))*(Q$7-Q$5)*(Q$6-Q$5)),Q$7-SQRT((1-NORMSDIST(Q$9*SQRT($C$11)*NORMSINV($B315)+SQRT(1-Q$9^2*$C$11)*NORMSINV(P315)))*(Q$7-Q$5)*(Q$7-Q$6))))</f>
        <v>0.103273768720958</v>
      </c>
      <c r="R315" s="2" t="n">
        <v>0.885291115</v>
      </c>
      <c r="S315" s="2" t="n">
        <f aca="false">IF(S$7=S$5,S$6,IF(NORMSDIST(S$9*SQRT($C$11)*NORMSINV($B315)+SQRT(1-S$9^2*$C$11)*NORMSINV(R315))&lt;S$8,S$5+SQRT(NORMSDIST(S$9*SQRT($C$11)*NORMSINV($B315)+SQRT(1-S$9^2*$C$11)*NORMSINV(R315))*(S$7-S$5)*(S$6-S$5)),S$7-SQRT((1-NORMSDIST(S$9*SQRT($C$11)*NORMSINV($B315)+SQRT(1-S$9^2*$C$11)*NORMSINV(R315)))*(S$7-S$5)*(S$7-S$6))))</f>
        <v>0.536510999645056</v>
      </c>
      <c r="T315" s="2" t="n">
        <v>0.624055603</v>
      </c>
      <c r="U315" s="2" t="n">
        <f aca="false">IF(U$7=U$5,U$6,IF(NORMSDIST(U$9*SQRT($C$11)*NORMSINV($B315)+SQRT(1-U$9^2*$C$11)*NORMSINV(T315))&lt;U$8,U$5+SQRT(NORMSDIST(U$9*SQRT($C$11)*NORMSINV($B315)+SQRT(1-U$9^2*$C$11)*NORMSINV(T315))*(U$7-U$5)*(U$6-U$5)),U$7-SQRT((1-NORMSDIST(U$9*SQRT($C$11)*NORMSINV($B315)+SQRT(1-U$9^2*$C$11)*NORMSINV(T315)))*(U$7-U$5)*(U$7-U$6))))</f>
        <v>0.390800759905296</v>
      </c>
      <c r="V315" s="2" t="n">
        <v>0.427301744</v>
      </c>
      <c r="W315" s="2" t="n">
        <f aca="false">IF(W$7=W$5,W$6,IF(NORMSDIST(W$9*SQRT($C$11)*NORMSINV($B315)+SQRT(1-W$9^2*$C$11)*NORMSINV(V315))&lt;W$8,W$5+SQRT(NORMSDIST(W$9*SQRT($C$11)*NORMSINV($B315)+SQRT(1-W$9^2*$C$11)*NORMSINV(V315))*(W$7-W$5)*(W$6-W$5)),W$7-SQRT((1-NORMSDIST(W$9*SQRT($C$11)*NORMSINV($B315)+SQRT(1-W$9^2*$C$11)*NORMSINV(V315)))*(W$7-W$5)*(W$7-W$6))))</f>
        <v>9.217301800787</v>
      </c>
      <c r="X315" s="2" t="n">
        <v>0.584542038</v>
      </c>
      <c r="Y315" s="2" t="n">
        <f aca="false">IF(Y$7=Y$5,Y$6,IF(NORMSDIST(Y$9*SQRT($C$11)*NORMSINV($B315)+SQRT(1-Y$9^2*$C$11)*NORMSINV(X315))&lt;Y$8,Y$5+SQRT(NORMSDIST(Y$9*SQRT($C$11)*NORMSINV($B315)+SQRT(1-Y$9^2*$C$11)*NORMSINV(X315))*(Y$7-Y$5)*(Y$6-Y$5)),Y$7-SQRT((1-NORMSDIST(Y$9*SQRT($C$11)*NORMSINV($B315)+SQRT(1-Y$9^2*$C$11)*NORMSINV(X315)))*(Y$7-Y$5)*(Y$7-Y$6))))</f>
        <v>0.544227051044053</v>
      </c>
      <c r="Z315" s="2" t="n">
        <v>0.220558407</v>
      </c>
      <c r="AA315" s="2" t="n">
        <f aca="false">IF(AA$7=AA$5,AA$6,IF(NORMSDIST(AA$9*SQRT($C$11)*NORMSINV($B315)+SQRT(1-AA$9^2*$C$11)*NORMSINV(Z315))&lt;AA$8,AA$5+SQRT(NORMSDIST(AA$9*SQRT($C$11)*NORMSINV($B315)+SQRT(1-AA$9^2*$C$11)*NORMSINV(Z315))*(AA$7-AA$5)*(AA$6-AA$5)),AA$7-SQRT((1-NORMSDIST(AA$9*SQRT($C$11)*NORMSINV($B315)+SQRT(1-AA$9^2*$C$11)*NORMSINV(Z315)))*(AA$7-AA$5)*(AA$7-AA$6))))</f>
        <v>0.709086238298745</v>
      </c>
      <c r="AB315" s="2" t="n">
        <v>0.430586227</v>
      </c>
      <c r="AC315" s="2" t="n">
        <f aca="false">IF(AC$7=AC$5,AC$6,IF(NORMSDIST(AC$9*SQRT($C$11)*NORMSINV($B315)+SQRT(1-AC$9^2*$C$11)*NORMSINV(AB315))&lt;AC$8,AC$5+SQRT(NORMSDIST(AC$9*SQRT($C$11)*NORMSINV($B315)+SQRT(1-AC$9^2*$C$11)*NORMSINV(AB315))*(AC$7-AC$5)*(AC$6-AC$5)),AC$7-SQRT((1-NORMSDIST(AC$9*SQRT($C$11)*NORMSINV($B315)+SQRT(1-AC$9^2*$C$11)*NORMSINV(AB315)))*(AC$7-AC$5)*(AC$7-AC$6))))</f>
        <v>8.67097197459729</v>
      </c>
      <c r="AD315" s="2" t="n">
        <f aca="false">Entrées!$C$8*(1+E315)</f>
        <v>7426.98357233147</v>
      </c>
      <c r="AE315" s="2" t="n">
        <f aca="false">I315*Hypothèses!$J$24/12/Hypothèses!$J$19</f>
        <v>93.9712599118314</v>
      </c>
      <c r="AF315" s="2" t="n">
        <f aca="false">Entrées!$C$36*S315*1000</f>
        <v>268.255499822528</v>
      </c>
      <c r="AG315" s="2" t="n">
        <f aca="false">-AF315/W315</f>
        <v>-29.1034736217082</v>
      </c>
      <c r="AH315" s="2" t="n">
        <f aca="false">AD315+AE315+AG315</f>
        <v>7491.85135862159</v>
      </c>
      <c r="AI315" s="2" t="n">
        <f aca="false">Entrées!$C$16-M315+Hypothèses!$J$22*1000-AF315+Hypothèses!$J$23</f>
        <v>22842.9573382895</v>
      </c>
      <c r="AJ315" s="2" t="n">
        <f aca="false">AI315/AH315</f>
        <v>3.04904038332286</v>
      </c>
      <c r="AK315" s="2" t="n">
        <f aca="false">AI315/(AH315+I315*(12-Hypothèses!$J$24)/12/Hypothèses!$J$19)</f>
        <v>3.02196545242406</v>
      </c>
      <c r="AL315" s="2" t="n">
        <f aca="false">(AD315+AG315+I315/Hypothèses!$J$19)*(1+G315)</f>
        <v>7993.71300751795</v>
      </c>
      <c r="AM315" s="2" t="n">
        <f aca="false">Entrées!$C$54*K315/Hypothèses!$J$19</f>
        <v>20.5635826046157</v>
      </c>
      <c r="AN315" s="2" t="n">
        <f aca="false">Y315*1000/AC315</f>
        <v>62.7642498024945</v>
      </c>
      <c r="AO315" s="2" t="n">
        <f aca="false">(Entrées!$C$36*(1-S315)+MAX(0,Entrées!$C$30-Entrées!$C$35-Entrées!$C$36)*U315)*1000</f>
        <v>778.865564044887</v>
      </c>
      <c r="AP315" s="2" t="n">
        <f aca="false">-AO315/W315</f>
        <v>-84.5003864339546</v>
      </c>
      <c r="AQ315" s="2" t="n">
        <f aca="false">AL315+AM315+AN315+AP315</f>
        <v>7992.54045349111</v>
      </c>
      <c r="AR315" s="2" t="n">
        <f aca="false">O315*AQ315-Hypothèses!$J$25/Hypothèses!$J$19</f>
        <v>1275.55900959697</v>
      </c>
      <c r="AS315" s="2" t="n">
        <f aca="false">Entrées!$C$79*(1+Q315)+Hypothèses!$J$20</f>
        <v>1507.49787182433</v>
      </c>
      <c r="AT315" s="2" t="n">
        <f aca="false">AI315-AR315+AS315+Y315*1000-AO315+Hypothèses!$J$23</f>
        <v>22840.257687516</v>
      </c>
      <c r="AU315" s="2" t="n">
        <f aca="false">AT315/AQ315</f>
        <v>2.85769685126079</v>
      </c>
      <c r="AV315" s="2" t="n">
        <f aca="false">Hypothèses!$J$26*AQ315-AT315</f>
        <v>1137.36367295733</v>
      </c>
      <c r="AW315" s="2" t="n">
        <f aca="false">IF(AC315&gt;Hypothèses!$J$26,MAX(0,AV315)/(1-Hypothèses!$J$26/AC315),0)</f>
        <v>1739.04025223796</v>
      </c>
      <c r="AX315" s="2" t="n">
        <f aca="false">AQ315-Entrées!$C$17*1000</f>
        <v>-7.45954650889325</v>
      </c>
      <c r="AY315" s="2" t="n">
        <f aca="false">AI315+(Entrées!$C$244-Entrées!$C$13)</f>
        <v>28589.9573382895</v>
      </c>
      <c r="AZ315" s="2" t="n">
        <f aca="false">AA315*AH315</f>
        <v>5312.36869777832</v>
      </c>
      <c r="BA315" s="2" t="n">
        <f aca="false">AZ315/AY315</f>
        <v>0.185812403807391</v>
      </c>
      <c r="BB315" s="2" t="n">
        <f aca="false">AZ315/(Entrées!$C$151/100)-AY315</f>
        <v>923.202093812339</v>
      </c>
      <c r="BC315" s="2" t="n">
        <f aca="false">AT315+(Entrées!$C$244-Entrées!$C$13)</f>
        <v>28587.257687516</v>
      </c>
      <c r="BD315" s="2" t="n">
        <f aca="false">AA315*AQ315</f>
        <v>5667.40044461655</v>
      </c>
      <c r="BE315" s="2" t="n">
        <f aca="false">BD315/BC315</f>
        <v>0.198249181735662</v>
      </c>
      <c r="BF315" s="2" t="n">
        <f aca="false">BD315/(Entrées!$C$151/100)-BC315</f>
        <v>2898.30033813152</v>
      </c>
      <c r="BG315" s="2" t="n">
        <f aca="false">MIN(AV315,BF315)</f>
        <v>1137.36367295733</v>
      </c>
      <c r="BH315" s="2" t="n">
        <f aca="false">IF(AC315&gt;Hypothèses!$J$26,MAX(0,BG315)/(1-Hypothèses!$J$26/AC315),0)</f>
        <v>1739.04025223796</v>
      </c>
    </row>
    <row r="316" customFormat="false" ht="15" hidden="false" customHeight="false" outlineLevel="0" collapsed="false">
      <c r="A316" s="2" t="n">
        <v>301</v>
      </c>
      <c r="B316" s="2" t="n">
        <v>0.974310291</v>
      </c>
      <c r="C316" s="2"/>
      <c r="D316" s="2" t="n">
        <v>0.751956023</v>
      </c>
      <c r="E316" s="2" t="n">
        <f aca="false">IF(E$7=E$5,E$6,IF(NORMSDIST(E$9*SQRT($C$11)*NORMSINV($B316)+SQRT(1-E$9^2*$C$11)*NORMSINV(D316))&lt;E$8,E$5+SQRT(NORMSDIST(E$9*SQRT($C$11)*NORMSINV($B316)+SQRT(1-E$9^2*$C$11)*NORMSINV(D316))*(E$7-E$5)*(E$6-E$5)),E$7-SQRT((1-NORMSDIST(E$9*SQRT($C$11)*NORMSINV($B316)+SQRT(1-E$9^2*$C$11)*NORMSINV(D316)))*(E$7-E$5)*(E$7-E$6))))</f>
        <v>0.0585990925425677</v>
      </c>
      <c r="F316" s="2" t="n">
        <v>0.633194112</v>
      </c>
      <c r="G316" s="2" t="n">
        <f aca="false">IF(G$7=G$5,G$6,IF(NORMSDIST(G$9*SQRT($C$11)*NORMSINV($B316)+SQRT(1-G$9^2*$C$11)*NORMSINV(F316))&lt;G$8,G$5+SQRT(NORMSDIST(G$9*SQRT($C$11)*NORMSINV($B316)+SQRT(1-G$9^2*$C$11)*NORMSINV(F316))*(G$7-G$5)*(G$6-G$5)),G$7-SQRT((1-NORMSDIST(G$9*SQRT($C$11)*NORMSINV($B316)+SQRT(1-G$9^2*$C$11)*NORMSINV(F316)))*(G$7-G$5)*(G$7-G$6))))</f>
        <v>0.0644947952340985</v>
      </c>
      <c r="H316" s="2" t="n">
        <v>0.309494922</v>
      </c>
      <c r="I316" s="2" t="n">
        <f aca="false">IF(I$7=I$5,I$6,IF(NORMSDIST(I$9*SQRT($C$11)*NORMSINV($B316)+SQRT(1-I$9^2*$C$11)*NORMSINV(H316))&lt;I$8,I$5+SQRT(NORMSDIST(I$9*SQRT($C$11)*NORMSINV($B316)+SQRT(1-I$9^2*$C$11)*NORMSINV(H316))*(I$7-I$5)*(I$6-I$5)),I$7-SQRT((1-NORMSDIST(I$9*SQRT($C$11)*NORMSINV($B316)+SQRT(1-I$9^2*$C$11)*NORMSINV(H316)))*(I$7-I$5)*(I$7-I$6))))</f>
        <v>207.398648884656</v>
      </c>
      <c r="J316" s="2" t="n">
        <v>0.790960915</v>
      </c>
      <c r="K316" s="2" t="n">
        <f aca="false">IF(K$7=K$5,K$6,IF(NORMSDIST(K$9*SQRT($C$11)*NORMSINV($B316)+SQRT(1-K$9^2*$C$11)*NORMSINV(J316))&lt;K$8,K$5+SQRT(NORMSDIST(K$9*SQRT($C$11)*NORMSINV($B316)+SQRT(1-K$9^2*$C$11)*NORMSINV(J316))*(K$7-K$5)*(K$6-K$5)),K$7-SQRT((1-NORMSDIST(K$9*SQRT($C$11)*NORMSINV($B316)+SQRT(1-K$9^2*$C$11)*NORMSINV(J316)))*(K$7-K$5)*(K$7-K$6))))</f>
        <v>0.437268642535268</v>
      </c>
      <c r="L316" s="2" t="n">
        <v>0.681445159</v>
      </c>
      <c r="M316" s="2" t="n">
        <f aca="false">IF(M$7=M$5,M$6,IF(NORMSDIST(M$9*SQRT($C$11)*NORMSINV($B316)+SQRT(1-M$9^2*$C$11)*NORMSINV(L316))&lt;M$8,M$5+SQRT(NORMSDIST(M$9*SQRT($C$11)*NORMSINV($B316)+SQRT(1-M$9^2*$C$11)*NORMSINV(L316))*(M$7-M$5)*(M$6-M$5)),M$7-SQRT((1-NORMSDIST(M$9*SQRT($C$11)*NORMSINV($B316)+SQRT(1-M$9^2*$C$11)*NORMSINV(L316)))*(M$7-M$5)*(M$7-M$6))))</f>
        <v>1725.69151332937</v>
      </c>
      <c r="N316" s="2" t="n">
        <v>0.988928135</v>
      </c>
      <c r="O316" s="2" t="n">
        <f aca="false">IF(O$7=O$5,O$6,IF(NORMSDIST(O$9*SQRT($C$11)*NORMSINV($B316)+SQRT(1-O$9^2*$C$11)*NORMSINV(N316))&lt;O$8,O$5+SQRT(NORMSDIST(O$9*SQRT($C$11)*NORMSINV($B316)+SQRT(1-O$9^2*$C$11)*NORMSINV(N316))*(O$7-O$5)*(O$6-O$5)),O$7-SQRT((1-NORMSDIST(O$9*SQRT($C$11)*NORMSINV($B316)+SQRT(1-O$9^2*$C$11)*NORMSINV(N316)))*(O$7-O$5)*(O$7-O$6))))</f>
        <v>0.188809527573458</v>
      </c>
      <c r="P316" s="2" t="n">
        <v>0.995992523</v>
      </c>
      <c r="Q316" s="2" t="n">
        <f aca="false">IF(Q$7=Q$5,Q$6,IF(NORMSDIST(Q$9*SQRT($C$11)*NORMSINV($B316)+SQRT(1-Q$9^2*$C$11)*NORMSINV(P316))&lt;Q$8,Q$5+SQRT(NORMSDIST(Q$9*SQRT($C$11)*NORMSINV($B316)+SQRT(1-Q$9^2*$C$11)*NORMSINV(P316))*(Q$7-Q$5)*(Q$6-Q$5)),Q$7-SQRT((1-NORMSDIST(Q$9*SQRT($C$11)*NORMSINV($B316)+SQRT(1-Q$9^2*$C$11)*NORMSINV(P316)))*(Q$7-Q$5)*(Q$7-Q$6))))</f>
        <v>0.116418948981095</v>
      </c>
      <c r="R316" s="2" t="n">
        <v>0.179181653</v>
      </c>
      <c r="S316" s="2" t="n">
        <f aca="false">IF(S$7=S$5,S$6,IF(NORMSDIST(S$9*SQRT($C$11)*NORMSINV($B316)+SQRT(1-S$9^2*$C$11)*NORMSINV(R316))&lt;S$8,S$5+SQRT(NORMSDIST(S$9*SQRT($C$11)*NORMSINV($B316)+SQRT(1-S$9^2*$C$11)*NORMSINV(R316))*(S$7-S$5)*(S$6-S$5)),S$7-SQRT((1-NORMSDIST(S$9*SQRT($C$11)*NORMSINV($B316)+SQRT(1-S$9^2*$C$11)*NORMSINV(R316)))*(S$7-S$5)*(S$7-S$6))))</f>
        <v>0.61188320339781</v>
      </c>
      <c r="T316" s="2" t="n">
        <v>0.192838143</v>
      </c>
      <c r="U316" s="2" t="n">
        <f aca="false">IF(U$7=U$5,U$6,IF(NORMSDIST(U$9*SQRT($C$11)*NORMSINV($B316)+SQRT(1-U$9^2*$C$11)*NORMSINV(T316))&lt;U$8,U$5+SQRT(NORMSDIST(U$9*SQRT($C$11)*NORMSINV($B316)+SQRT(1-U$9^2*$C$11)*NORMSINV(T316))*(U$7-U$5)*(U$6-U$5)),U$7-SQRT((1-NORMSDIST(U$9*SQRT($C$11)*NORMSINV($B316)+SQRT(1-U$9^2*$C$11)*NORMSINV(T316)))*(U$7-U$5)*(U$7-U$6))))</f>
        <v>0.62075669785603</v>
      </c>
      <c r="V316" s="2" t="n">
        <v>0.717108001</v>
      </c>
      <c r="W316" s="2" t="n">
        <f aca="false">IF(W$7=W$5,W$6,IF(NORMSDIST(W$9*SQRT($C$11)*NORMSINV($B316)+SQRT(1-W$9^2*$C$11)*NORMSINV(V316))&lt;W$8,W$5+SQRT(NORMSDIST(W$9*SQRT($C$11)*NORMSINV($B316)+SQRT(1-W$9^2*$C$11)*NORMSINV(V316))*(W$7-W$5)*(W$6-W$5)),W$7-SQRT((1-NORMSDIST(W$9*SQRT($C$11)*NORMSINV($B316)+SQRT(1-W$9^2*$C$11)*NORMSINV(V316)))*(W$7-W$5)*(W$7-W$6))))</f>
        <v>11.388331399056</v>
      </c>
      <c r="X316" s="2" t="n">
        <v>0.998719536</v>
      </c>
      <c r="Y316" s="2" t="n">
        <f aca="false">IF(Y$7=Y$5,Y$6,IF(NORMSDIST(Y$9*SQRT($C$11)*NORMSINV($B316)+SQRT(1-Y$9^2*$C$11)*NORMSINV(X316))&lt;Y$8,Y$5+SQRT(NORMSDIST(Y$9*SQRT($C$11)*NORMSINV($B316)+SQRT(1-Y$9^2*$C$11)*NORMSINV(X316))*(Y$7-Y$5)*(Y$6-Y$5)),Y$7-SQRT((1-NORMSDIST(Y$9*SQRT($C$11)*NORMSINV($B316)+SQRT(1-Y$9^2*$C$11)*NORMSINV(X316)))*(Y$7-Y$5)*(Y$7-Y$6))))</f>
        <v>0.974697193831513</v>
      </c>
      <c r="Z316" s="2" t="n">
        <v>0.05913677</v>
      </c>
      <c r="AA316" s="2" t="n">
        <f aca="false">IF(AA$7=AA$5,AA$6,IF(NORMSDIST(AA$9*SQRT($C$11)*NORMSINV($B316)+SQRT(1-AA$9^2*$C$11)*NORMSINV(Z316))&lt;AA$8,AA$5+SQRT(NORMSDIST(AA$9*SQRT($C$11)*NORMSINV($B316)+SQRT(1-AA$9^2*$C$11)*NORMSINV(Z316))*(AA$7-AA$5)*(AA$6-AA$5)),AA$7-SQRT((1-NORMSDIST(AA$9*SQRT($C$11)*NORMSINV($B316)+SQRT(1-AA$9^2*$C$11)*NORMSINV(Z316)))*(AA$7-AA$5)*(AA$7-AA$6))))</f>
        <v>0.728340542403726</v>
      </c>
      <c r="AB316" s="2" t="n">
        <v>0.543839229</v>
      </c>
      <c r="AC316" s="2" t="n">
        <f aca="false">IF(AC$7=AC$5,AC$6,IF(NORMSDIST(AC$9*SQRT($C$11)*NORMSINV($B316)+SQRT(1-AC$9^2*$C$11)*NORMSINV(AB316))&lt;AC$8,AC$5+SQRT(NORMSDIST(AC$9*SQRT($C$11)*NORMSINV($B316)+SQRT(1-AC$9^2*$C$11)*NORMSINV(AB316))*(AC$7-AC$5)*(AC$6-AC$5)),AC$7-SQRT((1-NORMSDIST(AC$9*SQRT($C$11)*NORMSINV($B316)+SQRT(1-AC$9^2*$C$11)*NORMSINV(AB316)))*(AC$7-AC$5)*(AC$7-AC$6))))</f>
        <v>10.3633151809354</v>
      </c>
      <c r="AD316" s="2" t="n">
        <f aca="false">Entrées!$C$8*(1+E316)</f>
        <v>7463.1236024251</v>
      </c>
      <c r="AE316" s="2" t="n">
        <f aca="false">I316*Hypothèses!$J$24/12/Hypothèses!$J$19</f>
        <v>102.889805906479</v>
      </c>
      <c r="AF316" s="2" t="n">
        <f aca="false">Entrées!$C$36*S316*1000</f>
        <v>305.941601698905</v>
      </c>
      <c r="AG316" s="2" t="n">
        <f aca="false">-AF316/W316</f>
        <v>-26.8644800522985</v>
      </c>
      <c r="AH316" s="2" t="n">
        <f aca="false">AD316+AE316+AG316</f>
        <v>7539.14892827928</v>
      </c>
      <c r="AI316" s="2" t="n">
        <f aca="false">Entrées!$C$16-M316+Hypothèses!$J$22*1000-AF316+Hypothèses!$J$23</f>
        <v>22516.3668849717</v>
      </c>
      <c r="AJ316" s="2" t="n">
        <f aca="false">AI316/AH316</f>
        <v>2.98659266439386</v>
      </c>
      <c r="AK316" s="2" t="n">
        <f aca="false">AI316/(AH316+I316*(12-Hypothèses!$J$24)/12/Hypothèses!$J$19)</f>
        <v>2.95775999051317</v>
      </c>
      <c r="AL316" s="2" t="n">
        <f aca="false">(AD316+AG316+I316/Hypothèses!$J$19)*(1+G316)</f>
        <v>8103.61741098381</v>
      </c>
      <c r="AM316" s="2" t="n">
        <f aca="false">Entrées!$C$54*K316/Hypothèses!$J$19</f>
        <v>44.6251009431107</v>
      </c>
      <c r="AN316" s="2" t="n">
        <f aca="false">Y316*1000/AC316</f>
        <v>94.05264404431</v>
      </c>
      <c r="AO316" s="2" t="n">
        <f aca="false">(Entrées!$C$36*(1-S316)+MAX(0,Entrées!$C$30-Entrées!$C$35-Entrées!$C$36)*U316)*1000</f>
        <v>1063.11777529954</v>
      </c>
      <c r="AP316" s="2" t="n">
        <f aca="false">-AO316/W316</f>
        <v>-93.3514961979119</v>
      </c>
      <c r="AQ316" s="2" t="n">
        <f aca="false">AL316+AM316+AN316+AP316</f>
        <v>8148.94365977332</v>
      </c>
      <c r="AR316" s="2" t="n">
        <f aca="false">O316*AQ316-Hypothèses!$J$25/Hypothèses!$J$19</f>
        <v>1519.4630403629</v>
      </c>
      <c r="AS316" s="2" t="n">
        <f aca="false">Entrées!$C$79*(1+Q316)+Hypothèses!$J$20</f>
        <v>1521.94442493022</v>
      </c>
      <c r="AT316" s="2" t="n">
        <f aca="false">AI316-AR316+AS316+Y316*1000-AO316+Hypothèses!$J$23</f>
        <v>22430.427688071</v>
      </c>
      <c r="AU316" s="2" t="n">
        <f aca="false">AT316/AQ316</f>
        <v>2.75255648149799</v>
      </c>
      <c r="AV316" s="2" t="n">
        <f aca="false">Hypothèses!$J$26*AQ316-AT316</f>
        <v>2016.40329124892</v>
      </c>
      <c r="AW316" s="2" t="n">
        <f aca="false">IF(AC316&gt;Hypothèses!$J$26,MAX(0,AV316)/(1-Hypothèses!$J$26/AC316),0)</f>
        <v>2837.93676158155</v>
      </c>
      <c r="AX316" s="2" t="n">
        <f aca="false">AQ316-Entrées!$C$17*1000</f>
        <v>148.943659773316</v>
      </c>
      <c r="AY316" s="2" t="n">
        <f aca="false">AI316+(Entrées!$C$244-Entrées!$C$13)</f>
        <v>28263.3668849717</v>
      </c>
      <c r="AZ316" s="2" t="n">
        <f aca="false">AA316*AH316</f>
        <v>5491.0678196854</v>
      </c>
      <c r="BA316" s="2" t="n">
        <f aca="false">AZ316/AY316</f>
        <v>0.194282154777714</v>
      </c>
      <c r="BB316" s="2" t="n">
        <f aca="false">AZ316/(Entrées!$C$151/100)-AY316</f>
        <v>2242.56544661383</v>
      </c>
      <c r="BC316" s="2" t="n">
        <f aca="false">AT316+(Entrées!$C$244-Entrées!$C$13)</f>
        <v>28177.427688071</v>
      </c>
      <c r="BD316" s="2" t="n">
        <f aca="false">AA316*AQ316</f>
        <v>5935.2060451767</v>
      </c>
      <c r="BE316" s="2" t="n">
        <f aca="false">BD316/BC316</f>
        <v>0.210636900957761</v>
      </c>
      <c r="BF316" s="2" t="n">
        <f aca="false">BD316/(Entrées!$C$151/100)-BC316</f>
        <v>4795.9392295773</v>
      </c>
      <c r="BG316" s="2" t="n">
        <f aca="false">MIN(AV316,BF316)</f>
        <v>2016.40329124892</v>
      </c>
      <c r="BH316" s="2" t="n">
        <f aca="false">IF(AC316&gt;Hypothèses!$J$26,MAX(0,BG316)/(1-Hypothèses!$J$26/AC316),0)</f>
        <v>2837.93676158155</v>
      </c>
    </row>
    <row r="317" customFormat="false" ht="15" hidden="false" customHeight="false" outlineLevel="0" collapsed="false">
      <c r="A317" s="2" t="n">
        <v>302</v>
      </c>
      <c r="B317" s="2" t="n">
        <v>0.888401046</v>
      </c>
      <c r="C317" s="2"/>
      <c r="D317" s="2" t="n">
        <v>0.222736205</v>
      </c>
      <c r="E317" s="2" t="n">
        <f aca="false">IF(E$7=E$5,E$6,IF(NORMSDIST(E$9*SQRT($C$11)*NORMSINV($B317)+SQRT(1-E$9^2*$C$11)*NORMSINV(D317))&lt;E$8,E$5+SQRT(NORMSDIST(E$9*SQRT($C$11)*NORMSINV($B317)+SQRT(1-E$9^2*$C$11)*NORMSINV(D317))*(E$7-E$5)*(E$6-E$5)),E$7-SQRT((1-NORMSDIST(E$9*SQRT($C$11)*NORMSINV($B317)+SQRT(1-E$9^2*$C$11)*NORMSINV(D317)))*(E$7-E$5)*(E$7-E$6))))</f>
        <v>0.0553695350363469</v>
      </c>
      <c r="F317" s="2" t="n">
        <v>0.111078334</v>
      </c>
      <c r="G317" s="2" t="n">
        <f aca="false">IF(G$7=G$5,G$6,IF(NORMSDIST(G$9*SQRT($C$11)*NORMSINV($B317)+SQRT(1-G$9^2*$C$11)*NORMSINV(F317))&lt;G$8,G$5+SQRT(NORMSDIST(G$9*SQRT($C$11)*NORMSINV($B317)+SQRT(1-G$9^2*$C$11)*NORMSINV(F317))*(G$7-G$5)*(G$6-G$5)),G$7-SQRT((1-NORMSDIST(G$9*SQRT($C$11)*NORMSINV($B317)+SQRT(1-G$9^2*$C$11)*NORMSINV(F317)))*(G$7-G$5)*(G$7-G$6))))</f>
        <v>0.0539174811106606</v>
      </c>
      <c r="H317" s="2" t="n">
        <v>0.625530356</v>
      </c>
      <c r="I317" s="2" t="n">
        <f aca="false">IF(I$7=I$5,I$6,IF(NORMSDIST(I$9*SQRT($C$11)*NORMSINV($B317)+SQRT(1-I$9^2*$C$11)*NORMSINV(H317))&lt;I$8,I$5+SQRT(NORMSDIST(I$9*SQRT($C$11)*NORMSINV($B317)+SQRT(1-I$9^2*$C$11)*NORMSINV(H317))*(I$7-I$5)*(I$6-I$5)),I$7-SQRT((1-NORMSDIST(I$9*SQRT($C$11)*NORMSINV($B317)+SQRT(1-I$9^2*$C$11)*NORMSINV(H317)))*(I$7-I$5)*(I$7-I$6))))</f>
        <v>208.890591977531</v>
      </c>
      <c r="J317" s="2" t="n">
        <v>0.794792886</v>
      </c>
      <c r="K317" s="2" t="n">
        <f aca="false">IF(K$7=K$5,K$6,IF(NORMSDIST(K$9*SQRT($C$11)*NORMSINV($B317)+SQRT(1-K$9^2*$C$11)*NORMSINV(J317))&lt;K$8,K$5+SQRT(NORMSDIST(K$9*SQRT($C$11)*NORMSINV($B317)+SQRT(1-K$9^2*$C$11)*NORMSINV(J317))*(K$7-K$5)*(K$6-K$5)),K$7-SQRT((1-NORMSDIST(K$9*SQRT($C$11)*NORMSINV($B317)+SQRT(1-K$9^2*$C$11)*NORMSINV(J317)))*(K$7-K$5)*(K$7-K$6))))</f>
        <v>0.400271447003475</v>
      </c>
      <c r="L317" s="2" t="n">
        <v>0.309063565</v>
      </c>
      <c r="M317" s="2" t="n">
        <f aca="false">IF(M$7=M$5,M$6,IF(NORMSDIST(M$9*SQRT($C$11)*NORMSINV($B317)+SQRT(1-M$9^2*$C$11)*NORMSINV(L317))&lt;M$8,M$5+SQRT(NORMSDIST(M$9*SQRT($C$11)*NORMSINV($B317)+SQRT(1-M$9^2*$C$11)*NORMSINV(L317))*(M$7-M$5)*(M$6-M$5)),M$7-SQRT((1-NORMSDIST(M$9*SQRT($C$11)*NORMSINV($B317)+SQRT(1-M$9^2*$C$11)*NORMSINV(L317)))*(M$7-M$5)*(M$7-M$6))))</f>
        <v>1624.80199091464</v>
      </c>
      <c r="N317" s="2" t="n">
        <v>0.417787799</v>
      </c>
      <c r="O317" s="2" t="n">
        <f aca="false">IF(O$7=O$5,O$6,IF(NORMSDIST(O$9*SQRT($C$11)*NORMSINV($B317)+SQRT(1-O$9^2*$C$11)*NORMSINV(N317))&lt;O$8,O$5+SQRT(NORMSDIST(O$9*SQRT($C$11)*NORMSINV($B317)+SQRT(1-O$9^2*$C$11)*NORMSINV(N317))*(O$7-O$5)*(O$6-O$5)),O$7-SQRT((1-NORMSDIST(O$9*SQRT($C$11)*NORMSINV($B317)+SQRT(1-O$9^2*$C$11)*NORMSINV(N317)))*(O$7-O$5)*(O$7-O$6))))</f>
        <v>0.173007910503069</v>
      </c>
      <c r="P317" s="2" t="n">
        <v>0.712335909</v>
      </c>
      <c r="Q317" s="2" t="n">
        <f aca="false">IF(Q$7=Q$5,Q$6,IF(NORMSDIST(Q$9*SQRT($C$11)*NORMSINV($B317)+SQRT(1-Q$9^2*$C$11)*NORMSINV(P317))&lt;Q$8,Q$5+SQRT(NORMSDIST(Q$9*SQRT($C$11)*NORMSINV($B317)+SQRT(1-Q$9^2*$C$11)*NORMSINV(P317))*(Q$7-Q$5)*(Q$6-Q$5)),Q$7-SQRT((1-NORMSDIST(Q$9*SQRT($C$11)*NORMSINV($B317)+SQRT(1-Q$9^2*$C$11)*NORMSINV(P317)))*(Q$7-Q$5)*(Q$7-Q$6))))</f>
        <v>0.0896598435864282</v>
      </c>
      <c r="R317" s="2" t="n">
        <v>0.026469621</v>
      </c>
      <c r="S317" s="2" t="n">
        <f aca="false">IF(S$7=S$5,S$6,IF(NORMSDIST(S$9*SQRT($C$11)*NORMSINV($B317)+SQRT(1-S$9^2*$C$11)*NORMSINV(R317))&lt;S$8,S$5+SQRT(NORMSDIST(S$9*SQRT($C$11)*NORMSINV($B317)+SQRT(1-S$9^2*$C$11)*NORMSINV(R317))*(S$7-S$5)*(S$6-S$5)),S$7-SQRT((1-NORMSDIST(S$9*SQRT($C$11)*NORMSINV($B317)+SQRT(1-S$9^2*$C$11)*NORMSINV(R317)))*(S$7-S$5)*(S$7-S$6))))</f>
        <v>0.341368005322012</v>
      </c>
      <c r="T317" s="2" t="n">
        <v>0.396303881</v>
      </c>
      <c r="U317" s="2" t="n">
        <f aca="false">IF(U$7=U$5,U$6,IF(NORMSDIST(U$9*SQRT($C$11)*NORMSINV($B317)+SQRT(1-U$9^2*$C$11)*NORMSINV(T317))&lt;U$8,U$5+SQRT(NORMSDIST(U$9*SQRT($C$11)*NORMSINV($B317)+SQRT(1-U$9^2*$C$11)*NORMSINV(T317))*(U$7-U$5)*(U$6-U$5)),U$7-SQRT((1-NORMSDIST(U$9*SQRT($C$11)*NORMSINV($B317)+SQRT(1-U$9^2*$C$11)*NORMSINV(T317)))*(U$7-U$5)*(U$7-U$6))))</f>
        <v>0.622207282828028</v>
      </c>
      <c r="V317" s="2" t="n">
        <v>0.178031976</v>
      </c>
      <c r="W317" s="2" t="n">
        <f aca="false">IF(W$7=W$5,W$6,IF(NORMSDIST(W$9*SQRT($C$11)*NORMSINV($B317)+SQRT(1-W$9^2*$C$11)*NORMSINV(V317))&lt;W$8,W$5+SQRT(NORMSDIST(W$9*SQRT($C$11)*NORMSINV($B317)+SQRT(1-W$9^2*$C$11)*NORMSINV(V317))*(W$7-W$5)*(W$6-W$5)),W$7-SQRT((1-NORMSDIST(W$9*SQRT($C$11)*NORMSINV($B317)+SQRT(1-W$9^2*$C$11)*NORMSINV(V317)))*(W$7-W$5)*(W$7-W$6))))</f>
        <v>10.0447655076393</v>
      </c>
      <c r="X317" s="2" t="n">
        <v>0.796676242</v>
      </c>
      <c r="Y317" s="2" t="n">
        <f aca="false">IF(Y$7=Y$5,Y$6,IF(NORMSDIST(Y$9*SQRT($C$11)*NORMSINV($B317)+SQRT(1-Y$9^2*$C$11)*NORMSINV(X317))&lt;Y$8,Y$5+SQRT(NORMSDIST(Y$9*SQRT($C$11)*NORMSINV($B317)+SQRT(1-Y$9^2*$C$11)*NORMSINV(X317))*(Y$7-Y$5)*(Y$6-Y$5)),Y$7-SQRT((1-NORMSDIST(Y$9*SQRT($C$11)*NORMSINV($B317)+SQRT(1-Y$9^2*$C$11)*NORMSINV(X317)))*(Y$7-Y$5)*(Y$7-Y$6))))</f>
        <v>0.681155399920275</v>
      </c>
      <c r="Z317" s="2" t="n">
        <v>0.072099658</v>
      </c>
      <c r="AA317" s="2" t="n">
        <f aca="false">IF(AA$7=AA$5,AA$6,IF(NORMSDIST(AA$9*SQRT($C$11)*NORMSINV($B317)+SQRT(1-AA$9^2*$C$11)*NORMSINV(Z317))&lt;AA$8,AA$5+SQRT(NORMSDIST(AA$9*SQRT($C$11)*NORMSINV($B317)+SQRT(1-AA$9^2*$C$11)*NORMSINV(Z317))*(AA$7-AA$5)*(AA$6-AA$5)),AA$7-SQRT((1-NORMSDIST(AA$9*SQRT($C$11)*NORMSINV($B317)+SQRT(1-AA$9^2*$C$11)*NORMSINV(Z317)))*(AA$7-AA$5)*(AA$7-AA$6))))</f>
        <v>0.723059676715468</v>
      </c>
      <c r="AB317" s="2" t="n">
        <v>0.018738349</v>
      </c>
      <c r="AC317" s="2" t="n">
        <f aca="false">IF(AC$7=AC$5,AC$6,IF(NORMSDIST(AC$9*SQRT($C$11)*NORMSINV($B317)+SQRT(1-AC$9^2*$C$11)*NORMSINV(AB317))&lt;AC$8,AC$5+SQRT(NORMSDIST(AC$9*SQRT($C$11)*NORMSINV($B317)+SQRT(1-AC$9^2*$C$11)*NORMSINV(AB317))*(AC$7-AC$5)*(AC$6-AC$5)),AC$7-SQRT((1-NORMSDIST(AC$9*SQRT($C$11)*NORMSINV($B317)+SQRT(1-AC$9^2*$C$11)*NORMSINV(AB317)))*(AC$7-AC$5)*(AC$7-AC$6))))</f>
        <v>8.71492217134085</v>
      </c>
      <c r="AD317" s="2" t="n">
        <f aca="false">Entrées!$C$8*(1+E317)</f>
        <v>7440.35522200625</v>
      </c>
      <c r="AE317" s="2" t="n">
        <f aca="false">I317*Hypothèses!$J$24/12/Hypothèses!$J$19</f>
        <v>103.629954099704</v>
      </c>
      <c r="AF317" s="2" t="n">
        <f aca="false">Entrées!$C$36*S317*1000</f>
        <v>170.684002661006</v>
      </c>
      <c r="AG317" s="2" t="n">
        <f aca="false">-AF317/W317</f>
        <v>-16.9923332238265</v>
      </c>
      <c r="AH317" s="2" t="n">
        <f aca="false">AD317+AE317+AG317</f>
        <v>7526.99284288212</v>
      </c>
      <c r="AI317" s="2" t="n">
        <f aca="false">Entrées!$C$16-M317+Hypothèses!$J$22*1000-AF317+Hypothèses!$J$23</f>
        <v>22752.5140064244</v>
      </c>
      <c r="AJ317" s="2" t="n">
        <f aca="false">AI317/AH317</f>
        <v>3.02278937702727</v>
      </c>
      <c r="AK317" s="2" t="n">
        <f aca="false">AI317/(AH317+I317*(12-Hypothèses!$J$24)/12/Hypothèses!$J$19)</f>
        <v>2.99335237272396</v>
      </c>
      <c r="AL317" s="2" t="n">
        <f aca="false">(AD317+AG317+I317/Hypothèses!$J$19)*(1+G317)</f>
        <v>8010.84178030285</v>
      </c>
      <c r="AM317" s="2" t="n">
        <f aca="false">Entrées!$C$54*K317/Hypothèses!$J$19</f>
        <v>40.8493817979057</v>
      </c>
      <c r="AN317" s="2" t="n">
        <f aca="false">Y317*1000/AC317</f>
        <v>78.1596652876906</v>
      </c>
      <c r="AO317" s="2" t="n">
        <f aca="false">(Entrées!$C$36*(1-S317)+MAX(0,Entrées!$C$30-Entrées!$C$35-Entrées!$C$36)*U317)*1000</f>
        <v>1200.40619329823</v>
      </c>
      <c r="AP317" s="2" t="n">
        <f aca="false">-AO317/W317</f>
        <v>-119.505646237863</v>
      </c>
      <c r="AQ317" s="2" t="n">
        <f aca="false">AL317+AM317+AN317+AP317</f>
        <v>8010.34518115059</v>
      </c>
      <c r="AR317" s="2" t="n">
        <f aca="false">O317*AQ317-Hypothèses!$J$25/Hypothèses!$J$19</f>
        <v>1366.71791993756</v>
      </c>
      <c r="AS317" s="2" t="n">
        <f aca="false">Entrées!$C$79*(1+Q317)+Hypothèses!$J$20</f>
        <v>1492.53616810148</v>
      </c>
      <c r="AT317" s="2" t="n">
        <f aca="false">AI317-AR317+AS317+Y317*1000-AO317+Hypothèses!$J$23</f>
        <v>22359.0814612103</v>
      </c>
      <c r="AU317" s="2" t="n">
        <f aca="false">AT317/AQ317</f>
        <v>2.79127565111978</v>
      </c>
      <c r="AV317" s="2" t="n">
        <f aca="false">Hypothèses!$J$26*AQ317-AT317</f>
        <v>1671.95408224144</v>
      </c>
      <c r="AW317" s="2" t="n">
        <f aca="false">IF(AC317&gt;Hypothèses!$J$26,MAX(0,AV317)/(1-Hypothèses!$J$26/AC317),0)</f>
        <v>2549.63221964073</v>
      </c>
      <c r="AX317" s="2" t="n">
        <f aca="false">AQ317-Entrées!$C$17*1000</f>
        <v>10.3451811505856</v>
      </c>
      <c r="AY317" s="2" t="n">
        <f aca="false">AI317+(Entrées!$C$244-Entrées!$C$13)</f>
        <v>28499.5140064244</v>
      </c>
      <c r="AZ317" s="2" t="n">
        <f aca="false">AA317*AH317</f>
        <v>5442.46501161399</v>
      </c>
      <c r="BA317" s="2" t="n">
        <f aca="false">AZ317/AY317</f>
        <v>0.190966941063878</v>
      </c>
      <c r="BB317" s="2" t="n">
        <f aca="false">AZ317/(Entrées!$C$151/100)-AY317</f>
        <v>1736.4027247645</v>
      </c>
      <c r="BC317" s="2" t="n">
        <f aca="false">AT317+(Entrées!$C$244-Entrées!$C$13)</f>
        <v>28106.0814612103</v>
      </c>
      <c r="BD317" s="2" t="n">
        <f aca="false">AA317*AQ317</f>
        <v>5791.95759706205</v>
      </c>
      <c r="BE317" s="2" t="n">
        <f aca="false">BD317/BC317</f>
        <v>0.206074888278383</v>
      </c>
      <c r="BF317" s="2" t="n">
        <f aca="false">BD317/(Entrées!$C$151/100)-BC317</f>
        <v>4071.46074468997</v>
      </c>
      <c r="BG317" s="2" t="n">
        <f aca="false">MIN(AV317,BF317)</f>
        <v>1671.95408224144</v>
      </c>
      <c r="BH317" s="2" t="n">
        <f aca="false">IF(AC317&gt;Hypothèses!$J$26,MAX(0,BG317)/(1-Hypothèses!$J$26/AC317),0)</f>
        <v>2549.63221964073</v>
      </c>
    </row>
    <row r="318" customFormat="false" ht="15" hidden="false" customHeight="false" outlineLevel="0" collapsed="false">
      <c r="A318" s="2" t="n">
        <v>303</v>
      </c>
      <c r="B318" s="2" t="n">
        <v>0.732298572</v>
      </c>
      <c r="C318" s="2"/>
      <c r="D318" s="2" t="n">
        <v>0.407730132</v>
      </c>
      <c r="E318" s="2" t="n">
        <f aca="false">IF(E$7=E$5,E$6,IF(NORMSDIST(E$9*SQRT($C$11)*NORMSINV($B318)+SQRT(1-E$9^2*$C$11)*NORMSINV(D318))&lt;E$8,E$5+SQRT(NORMSDIST(E$9*SQRT($C$11)*NORMSINV($B318)+SQRT(1-E$9^2*$C$11)*NORMSINV(D318))*(E$7-E$5)*(E$6-E$5)),E$7-SQRT((1-NORMSDIST(E$9*SQRT($C$11)*NORMSINV($B318)+SQRT(1-E$9^2*$C$11)*NORMSINV(D318)))*(E$7-E$5)*(E$7-E$6))))</f>
        <v>0.0554372981507358</v>
      </c>
      <c r="F318" s="2" t="n">
        <v>0.562119736</v>
      </c>
      <c r="G318" s="2" t="n">
        <f aca="false">IF(G$7=G$5,G$6,IF(NORMSDIST(G$9*SQRT($C$11)*NORMSINV($B318)+SQRT(1-G$9^2*$C$11)*NORMSINV(F318))&lt;G$8,G$5+SQRT(NORMSDIST(G$9*SQRT($C$11)*NORMSINV($B318)+SQRT(1-G$9^2*$C$11)*NORMSINV(F318))*(G$7-G$5)*(G$6-G$5)),G$7-SQRT((1-NORMSDIST(G$9*SQRT($C$11)*NORMSINV($B318)+SQRT(1-G$9^2*$C$11)*NORMSINV(F318)))*(G$7-G$5)*(G$7-G$6))))</f>
        <v>0.0583049067703831</v>
      </c>
      <c r="H318" s="2" t="n">
        <v>0.233420759</v>
      </c>
      <c r="I318" s="2" t="n">
        <f aca="false">IF(I$7=I$5,I$6,IF(NORMSDIST(I$9*SQRT($C$11)*NORMSINV($B318)+SQRT(1-I$9^2*$C$11)*NORMSINV(H318))&lt;I$8,I$5+SQRT(NORMSDIST(I$9*SQRT($C$11)*NORMSINV($B318)+SQRT(1-I$9^2*$C$11)*NORMSINV(H318))*(I$7-I$5)*(I$6-I$5)),I$7-SQRT((1-NORMSDIST(I$9*SQRT($C$11)*NORMSINV($B318)+SQRT(1-I$9^2*$C$11)*NORMSINV(H318)))*(I$7-I$5)*(I$7-I$6))))</f>
        <v>198.587356529327</v>
      </c>
      <c r="J318" s="2" t="n">
        <v>0.200516645</v>
      </c>
      <c r="K318" s="2" t="n">
        <f aca="false">IF(K$7=K$5,K$6,IF(NORMSDIST(K$9*SQRT($C$11)*NORMSINV($B318)+SQRT(1-K$9^2*$C$11)*NORMSINV(J318))&lt;K$8,K$5+SQRT(NORMSDIST(K$9*SQRT($C$11)*NORMSINV($B318)+SQRT(1-K$9^2*$C$11)*NORMSINV(J318))*(K$7-K$5)*(K$6-K$5)),K$7-SQRT((1-NORMSDIST(K$9*SQRT($C$11)*NORMSINV($B318)+SQRT(1-K$9^2*$C$11)*NORMSINV(J318)))*(K$7-K$5)*(K$7-K$6))))</f>
        <v>0.22304942571614</v>
      </c>
      <c r="L318" s="2" t="n">
        <v>0.932230733</v>
      </c>
      <c r="M318" s="2" t="n">
        <f aca="false">IF(M$7=M$5,M$6,IF(NORMSDIST(M$9*SQRT($C$11)*NORMSINV($B318)+SQRT(1-M$9^2*$C$11)*NORMSINV(L318))&lt;M$8,M$5+SQRT(NORMSDIST(M$9*SQRT($C$11)*NORMSINV($B318)+SQRT(1-M$9^2*$C$11)*NORMSINV(L318))*(M$7-M$5)*(M$6-M$5)),M$7-SQRT((1-NORMSDIST(M$9*SQRT($C$11)*NORMSINV($B318)+SQRT(1-M$9^2*$C$11)*NORMSINV(L318)))*(M$7-M$5)*(M$7-M$6))))</f>
        <v>1722.33252941582</v>
      </c>
      <c r="N318" s="2" t="n">
        <v>0.785099545</v>
      </c>
      <c r="O318" s="2" t="n">
        <f aca="false">IF(O$7=O$5,O$6,IF(NORMSDIST(O$9*SQRT($C$11)*NORMSINV($B318)+SQRT(1-O$9^2*$C$11)*NORMSINV(N318))&lt;O$8,O$5+SQRT(NORMSDIST(O$9*SQRT($C$11)*NORMSINV($B318)+SQRT(1-O$9^2*$C$11)*NORMSINV(N318))*(O$7-O$5)*(O$6-O$5)),O$7-SQRT((1-NORMSDIST(O$9*SQRT($C$11)*NORMSINV($B318)+SQRT(1-O$9^2*$C$11)*NORMSINV(N318)))*(O$7-O$5)*(O$7-O$6))))</f>
        <v>0.177035326907043</v>
      </c>
      <c r="P318" s="2" t="n">
        <v>0.707440953</v>
      </c>
      <c r="Q318" s="2" t="n">
        <f aca="false">IF(Q$7=Q$5,Q$6,IF(NORMSDIST(Q$9*SQRT($C$11)*NORMSINV($B318)+SQRT(1-Q$9^2*$C$11)*NORMSINV(P318))&lt;Q$8,Q$5+SQRT(NORMSDIST(Q$9*SQRT($C$11)*NORMSINV($B318)+SQRT(1-Q$9^2*$C$11)*NORMSINV(P318))*(Q$7-Q$5)*(Q$6-Q$5)),Q$7-SQRT((1-NORMSDIST(Q$9*SQRT($C$11)*NORMSINV($B318)+SQRT(1-Q$9^2*$C$11)*NORMSINV(P318)))*(Q$7-Q$5)*(Q$7-Q$6))))</f>
        <v>0.0894027950557571</v>
      </c>
      <c r="R318" s="2" t="n">
        <v>0.545393421</v>
      </c>
      <c r="S318" s="2" t="n">
        <f aca="false">IF(S$7=S$5,S$6,IF(NORMSDIST(S$9*SQRT($C$11)*NORMSINV($B318)+SQRT(1-S$9^2*$C$11)*NORMSINV(R318))&lt;S$8,S$5+SQRT(NORMSDIST(S$9*SQRT($C$11)*NORMSINV($B318)+SQRT(1-S$9^2*$C$11)*NORMSINV(R318))*(S$7-S$5)*(S$6-S$5)),S$7-SQRT((1-NORMSDIST(S$9*SQRT($C$11)*NORMSINV($B318)+SQRT(1-S$9^2*$C$11)*NORMSINV(R318)))*(S$7-S$5)*(S$7-S$6))))</f>
        <v>0.602820523711249</v>
      </c>
      <c r="T318" s="2" t="n">
        <v>0.866916508</v>
      </c>
      <c r="U318" s="2" t="n">
        <f aca="false">IF(U$7=U$5,U$6,IF(NORMSDIST(U$9*SQRT($C$11)*NORMSINV($B318)+SQRT(1-U$9^2*$C$11)*NORMSINV(T318))&lt;U$8,U$5+SQRT(NORMSDIST(U$9*SQRT($C$11)*NORMSINV($B318)+SQRT(1-U$9^2*$C$11)*NORMSINV(T318))*(U$7-U$5)*(U$6-U$5)),U$7-SQRT((1-NORMSDIST(U$9*SQRT($C$11)*NORMSINV($B318)+SQRT(1-U$9^2*$C$11)*NORMSINV(T318)))*(U$7-U$5)*(U$7-U$6))))</f>
        <v>0.77081510378896</v>
      </c>
      <c r="V318" s="2" t="n">
        <v>0.035728854</v>
      </c>
      <c r="W318" s="2" t="n">
        <f aca="false">IF(W$7=W$5,W$6,IF(NORMSDIST(W$9*SQRT($C$11)*NORMSINV($B318)+SQRT(1-W$9^2*$C$11)*NORMSINV(V318))&lt;W$8,W$5+SQRT(NORMSDIST(W$9*SQRT($C$11)*NORMSINV($B318)+SQRT(1-W$9^2*$C$11)*NORMSINV(V318))*(W$7-W$5)*(W$6-W$5)),W$7-SQRT((1-NORMSDIST(W$9*SQRT($C$11)*NORMSINV($B318)+SQRT(1-W$9^2*$C$11)*NORMSINV(V318)))*(W$7-W$5)*(W$7-W$6))))</f>
        <v>9.12293807343231</v>
      </c>
      <c r="X318" s="2" t="n">
        <v>0.706581814</v>
      </c>
      <c r="Y318" s="2" t="n">
        <f aca="false">IF(Y$7=Y$5,Y$6,IF(NORMSDIST(Y$9*SQRT($C$11)*NORMSINV($B318)+SQRT(1-Y$9^2*$C$11)*NORMSINV(X318))&lt;Y$8,Y$5+SQRT(NORMSDIST(Y$9*SQRT($C$11)*NORMSINV($B318)+SQRT(1-Y$9^2*$C$11)*NORMSINV(X318))*(Y$7-Y$5)*(Y$6-Y$5)),Y$7-SQRT((1-NORMSDIST(Y$9*SQRT($C$11)*NORMSINV($B318)+SQRT(1-Y$9^2*$C$11)*NORMSINV(X318)))*(Y$7-Y$5)*(Y$7-Y$6))))</f>
        <v>0.616973769827705</v>
      </c>
      <c r="Z318" s="2" t="n">
        <v>0.551250413</v>
      </c>
      <c r="AA318" s="2" t="n">
        <f aca="false">IF(AA$7=AA$5,AA$6,IF(NORMSDIST(AA$9*SQRT($C$11)*NORMSINV($B318)+SQRT(1-AA$9^2*$C$11)*NORMSINV(Z318))&lt;AA$8,AA$5+SQRT(NORMSDIST(AA$9*SQRT($C$11)*NORMSINV($B318)+SQRT(1-AA$9^2*$C$11)*NORMSINV(Z318))*(AA$7-AA$5)*(AA$6-AA$5)),AA$7-SQRT((1-NORMSDIST(AA$9*SQRT($C$11)*NORMSINV($B318)+SQRT(1-AA$9^2*$C$11)*NORMSINV(Z318)))*(AA$7-AA$5)*(AA$7-AA$6))))</f>
        <v>0.733861990037924</v>
      </c>
      <c r="AB318" s="2" t="n">
        <v>0.159584453</v>
      </c>
      <c r="AC318" s="2" t="n">
        <f aca="false">IF(AC$7=AC$5,AC$6,IF(NORMSDIST(AC$9*SQRT($C$11)*NORMSINV($B318)+SQRT(1-AC$9^2*$C$11)*NORMSINV(AB318))&lt;AC$8,AC$5+SQRT(NORMSDIST(AC$9*SQRT($C$11)*NORMSINV($B318)+SQRT(1-AC$9^2*$C$11)*NORMSINV(AB318))*(AC$7-AC$5)*(AC$6-AC$5)),AC$7-SQRT((1-NORMSDIST(AC$9*SQRT($C$11)*NORMSINV($B318)+SQRT(1-AC$9^2*$C$11)*NORMSINV(AB318)))*(AC$7-AC$5)*(AC$7-AC$6))))</f>
        <v>9.14418564089323</v>
      </c>
      <c r="AD318" s="2" t="n">
        <f aca="false">Entrées!$C$8*(1+E318)</f>
        <v>7440.83295196269</v>
      </c>
      <c r="AE318" s="2" t="n">
        <f aca="false">I318*Hypothèses!$J$24/12/Hypothèses!$J$19</f>
        <v>98.5185519706379</v>
      </c>
      <c r="AF318" s="2" t="n">
        <f aca="false">Entrées!$C$36*S318*1000</f>
        <v>301.410261855624</v>
      </c>
      <c r="AG318" s="2" t="n">
        <f aca="false">-AF318/W318</f>
        <v>-33.0387271545104</v>
      </c>
      <c r="AH318" s="2" t="n">
        <f aca="false">AD318+AE318+AG318</f>
        <v>7506.31277677882</v>
      </c>
      <c r="AI318" s="2" t="n">
        <f aca="false">Entrées!$C$16-M318+Hypothèses!$J$22*1000-AF318+Hypothèses!$J$23</f>
        <v>22524.2572087286</v>
      </c>
      <c r="AJ318" s="2" t="n">
        <f aca="false">AI318/AH318</f>
        <v>3.0007085873651</v>
      </c>
      <c r="AK318" s="2" t="n">
        <f aca="false">AI318/(AH318+I318*(12-Hypothèses!$J$24)/12/Hypothèses!$J$19)</f>
        <v>2.97283873434373</v>
      </c>
      <c r="AL318" s="2" t="n">
        <f aca="false">(AD318+AG318+I318/Hypothèses!$J$19)*(1+G318)</f>
        <v>8018.44097695998</v>
      </c>
      <c r="AM318" s="2" t="n">
        <f aca="false">Entrées!$C$54*K318/Hypothèses!$J$19</f>
        <v>22.763130418351</v>
      </c>
      <c r="AN318" s="2" t="n">
        <f aca="false">Y318*1000/AC318</f>
        <v>67.4717021348045</v>
      </c>
      <c r="AO318" s="2" t="n">
        <f aca="false">(Entrées!$C$36*(1-S318)+MAX(0,Entrées!$C$30-Entrées!$C$35-Entrées!$C$36)*U318)*1000</f>
        <v>1277.73088344892</v>
      </c>
      <c r="AP318" s="2" t="n">
        <f aca="false">-AO318/W318</f>
        <v>-140.05695020225</v>
      </c>
      <c r="AQ318" s="2" t="n">
        <f aca="false">AL318+AM318+AN318+AP318</f>
        <v>7968.61885931089</v>
      </c>
      <c r="AR318" s="2" t="n">
        <f aca="false">O318*AQ318-Hypothèses!$J$25/Hypothèses!$J$19</f>
        <v>1391.5918824941</v>
      </c>
      <c r="AS318" s="2" t="n">
        <f aca="false">Entrées!$C$79*(1+Q318)+Hypothèses!$J$20</f>
        <v>1492.25367176628</v>
      </c>
      <c r="AT318" s="2" t="n">
        <f aca="false">AI318-AR318+AS318+Y318*1000-AO318+Hypothèses!$J$23</f>
        <v>21964.1618843795</v>
      </c>
      <c r="AU318" s="2" t="n">
        <f aca="false">AT318/AQ318</f>
        <v>2.75633234217441</v>
      </c>
      <c r="AV318" s="2" t="n">
        <f aca="false">Hypothèses!$J$26*AQ318-AT318</f>
        <v>1941.69469355315</v>
      </c>
      <c r="AW318" s="2" t="n">
        <f aca="false">IF(AC318&gt;Hypothèses!$J$26,MAX(0,AV318)/(1-Hypothèses!$J$26/AC318),0)</f>
        <v>2889.7591598821</v>
      </c>
      <c r="AX318" s="2" t="n">
        <f aca="false">AQ318-Entrées!$C$17*1000</f>
        <v>-31.3811406891127</v>
      </c>
      <c r="AY318" s="2" t="n">
        <f aca="false">AI318+(Entrées!$C$244-Entrées!$C$13)</f>
        <v>28271.2572087286</v>
      </c>
      <c r="AZ318" s="2" t="n">
        <f aca="false">AA318*AH318</f>
        <v>5508.597632214</v>
      </c>
      <c r="BA318" s="2" t="n">
        <f aca="false">AZ318/AY318</f>
        <v>0.194847989657611</v>
      </c>
      <c r="BB318" s="2" t="n">
        <f aca="false">AZ318/(Entrées!$C$151/100)-AY318</f>
        <v>2332.0629702381</v>
      </c>
      <c r="BC318" s="2" t="n">
        <f aca="false">AT318+(Entrées!$C$244-Entrées!$C$13)</f>
        <v>27711.1618843795</v>
      </c>
      <c r="BD318" s="2" t="n">
        <f aca="false">AA318*AQ318</f>
        <v>5847.86649394762</v>
      </c>
      <c r="BE318" s="2" t="n">
        <f aca="false">BD318/BC318</f>
        <v>0.211029278322826</v>
      </c>
      <c r="BF318" s="2" t="n">
        <f aca="false">BD318/(Entrées!$C$151/100)-BC318</f>
        <v>4776.98530421838</v>
      </c>
      <c r="BG318" s="2" t="n">
        <f aca="false">MIN(AV318,BF318)</f>
        <v>1941.69469355315</v>
      </c>
      <c r="BH318" s="2" t="n">
        <f aca="false">IF(AC318&gt;Hypothèses!$J$26,MAX(0,BG318)/(1-Hypothèses!$J$26/AC318),0)</f>
        <v>2889.7591598821</v>
      </c>
    </row>
    <row r="319" customFormat="false" ht="15" hidden="false" customHeight="false" outlineLevel="0" collapsed="false">
      <c r="A319" s="2" t="n">
        <v>304</v>
      </c>
      <c r="B319" s="2" t="n">
        <v>0.988192082</v>
      </c>
      <c r="C319" s="2"/>
      <c r="D319" s="2" t="n">
        <v>0.793672542</v>
      </c>
      <c r="E319" s="2" t="n">
        <f aca="false">IF(E$7=E$5,E$6,IF(NORMSDIST(E$9*SQRT($C$11)*NORMSINV($B319)+SQRT(1-E$9^2*$C$11)*NORMSINV(D319))&lt;E$8,E$5+SQRT(NORMSDIST(E$9*SQRT($C$11)*NORMSINV($B319)+SQRT(1-E$9^2*$C$11)*NORMSINV(D319))*(E$7-E$5)*(E$6-E$5)),E$7-SQRT((1-NORMSDIST(E$9*SQRT($C$11)*NORMSINV($B319)+SQRT(1-E$9^2*$C$11)*NORMSINV(D319)))*(E$7-E$5)*(E$7-E$6))))</f>
        <v>0.0590147814001644</v>
      </c>
      <c r="F319" s="2" t="n">
        <v>0.989147707</v>
      </c>
      <c r="G319" s="2" t="n">
        <f aca="false">IF(G$7=G$5,G$6,IF(NORMSDIST(G$9*SQRT($C$11)*NORMSINV($B319)+SQRT(1-G$9^2*$C$11)*NORMSINV(F319))&lt;G$8,G$5+SQRT(NORMSDIST(G$9*SQRT($C$11)*NORMSINV($B319)+SQRT(1-G$9^2*$C$11)*NORMSINV(F319))*(G$7-G$5)*(G$6-G$5)),G$7-SQRT((1-NORMSDIST(G$9*SQRT($C$11)*NORMSINV($B319)+SQRT(1-G$9^2*$C$11)*NORMSINV(F319)))*(G$7-G$5)*(G$7-G$6))))</f>
        <v>0.0694530665439368</v>
      </c>
      <c r="H319" s="2" t="n">
        <v>0.720925359</v>
      </c>
      <c r="I319" s="2" t="n">
        <f aca="false">IF(I$7=I$5,I$6,IF(NORMSDIST(I$9*SQRT($C$11)*NORMSINV($B319)+SQRT(1-I$9^2*$C$11)*NORMSINV(H319))&lt;I$8,I$5+SQRT(NORMSDIST(I$9*SQRT($C$11)*NORMSINV($B319)+SQRT(1-I$9^2*$C$11)*NORMSINV(H319))*(I$7-I$5)*(I$6-I$5)),I$7-SQRT((1-NORMSDIST(I$9*SQRT($C$11)*NORMSINV($B319)+SQRT(1-I$9^2*$C$11)*NORMSINV(H319)))*(I$7-I$5)*(I$7-I$6))))</f>
        <v>215.124622871795</v>
      </c>
      <c r="J319" s="2" t="n">
        <v>0.879871191</v>
      </c>
      <c r="K319" s="2" t="n">
        <f aca="false">IF(K$7=K$5,K$6,IF(NORMSDIST(K$9*SQRT($C$11)*NORMSINV($B319)+SQRT(1-K$9^2*$C$11)*NORMSINV(J319))&lt;K$8,K$5+SQRT(NORMSDIST(K$9*SQRT($C$11)*NORMSINV($B319)+SQRT(1-K$9^2*$C$11)*NORMSINV(J319))*(K$7-K$5)*(K$6-K$5)),K$7-SQRT((1-NORMSDIST(K$9*SQRT($C$11)*NORMSINV($B319)+SQRT(1-K$9^2*$C$11)*NORMSINV(J319)))*(K$7-K$5)*(K$7-K$6))))</f>
        <v>0.465334291121701</v>
      </c>
      <c r="L319" s="2" t="n">
        <v>0.405346992</v>
      </c>
      <c r="M319" s="2" t="n">
        <f aca="false">IF(M$7=M$5,M$6,IF(NORMSDIST(M$9*SQRT($C$11)*NORMSINV($B319)+SQRT(1-M$9^2*$C$11)*NORMSINV(L319))&lt;M$8,M$5+SQRT(NORMSDIST(M$9*SQRT($C$11)*NORMSINV($B319)+SQRT(1-M$9^2*$C$11)*NORMSINV(L319))*(M$7-M$5)*(M$6-M$5)),M$7-SQRT((1-NORMSDIST(M$9*SQRT($C$11)*NORMSINV($B319)+SQRT(1-M$9^2*$C$11)*NORMSINV(L319)))*(M$7-M$5)*(M$7-M$6))))</f>
        <v>1699.86572477602</v>
      </c>
      <c r="N319" s="2" t="n">
        <v>0.462073614</v>
      </c>
      <c r="O319" s="2" t="n">
        <f aca="false">IF(O$7=O$5,O$6,IF(NORMSDIST(O$9*SQRT($C$11)*NORMSINV($B319)+SQRT(1-O$9^2*$C$11)*NORMSINV(N319))&lt;O$8,O$5+SQRT(NORMSDIST(O$9*SQRT($C$11)*NORMSINV($B319)+SQRT(1-O$9^2*$C$11)*NORMSINV(N319))*(O$7-O$5)*(O$6-O$5)),O$7-SQRT((1-NORMSDIST(O$9*SQRT($C$11)*NORMSINV($B319)+SQRT(1-O$9^2*$C$11)*NORMSINV(N319)))*(O$7-O$5)*(O$7-O$6))))</f>
        <v>0.180357988149514</v>
      </c>
      <c r="P319" s="2" t="n">
        <v>0.551460109</v>
      </c>
      <c r="Q319" s="2" t="n">
        <f aca="false">IF(Q$7=Q$5,Q$6,IF(NORMSDIST(Q$9*SQRT($C$11)*NORMSINV($B319)+SQRT(1-Q$9^2*$C$11)*NORMSINV(P319))&lt;Q$8,Q$5+SQRT(NORMSDIST(Q$9*SQRT($C$11)*NORMSINV($B319)+SQRT(1-Q$9^2*$C$11)*NORMSINV(P319))*(Q$7-Q$5)*(Q$6-Q$5)),Q$7-SQRT((1-NORMSDIST(Q$9*SQRT($C$11)*NORMSINV($B319)+SQRT(1-Q$9^2*$C$11)*NORMSINV(P319)))*(Q$7-Q$5)*(Q$7-Q$6))))</f>
        <v>0.082114281698772</v>
      </c>
      <c r="R319" s="2" t="n">
        <v>0.843251727</v>
      </c>
      <c r="S319" s="2" t="n">
        <f aca="false">IF(S$7=S$5,S$6,IF(NORMSDIST(S$9*SQRT($C$11)*NORMSINV($B319)+SQRT(1-S$9^2*$C$11)*NORMSINV(R319))&lt;S$8,S$5+SQRT(NORMSDIST(S$9*SQRT($C$11)*NORMSINV($B319)+SQRT(1-S$9^2*$C$11)*NORMSINV(R319))*(S$7-S$5)*(S$6-S$5)),S$7-SQRT((1-NORMSDIST(S$9*SQRT($C$11)*NORMSINV($B319)+SQRT(1-S$9^2*$C$11)*NORMSINV(R319)))*(S$7-S$5)*(S$7-S$6))))</f>
        <v>0.917910880332181</v>
      </c>
      <c r="T319" s="2" t="n">
        <v>0.267385869</v>
      </c>
      <c r="U319" s="2" t="n">
        <f aca="false">IF(U$7=U$5,U$6,IF(NORMSDIST(U$9*SQRT($C$11)*NORMSINV($B319)+SQRT(1-U$9^2*$C$11)*NORMSINV(T319))&lt;U$8,U$5+SQRT(NORMSDIST(U$9*SQRT($C$11)*NORMSINV($B319)+SQRT(1-U$9^2*$C$11)*NORMSINV(T319))*(U$7-U$5)*(U$6-U$5)),U$7-SQRT((1-NORMSDIST(U$9*SQRT($C$11)*NORMSINV($B319)+SQRT(1-U$9^2*$C$11)*NORMSINV(T319)))*(U$7-U$5)*(U$7-U$6))))</f>
        <v>0.707684721366477</v>
      </c>
      <c r="V319" s="2" t="n">
        <v>0.85622556</v>
      </c>
      <c r="W319" s="2" t="n">
        <f aca="false">IF(W$7=W$5,W$6,IF(NORMSDIST(W$9*SQRT($C$11)*NORMSINV($B319)+SQRT(1-W$9^2*$C$11)*NORMSINV(V319))&lt;W$8,W$5+SQRT(NORMSDIST(W$9*SQRT($C$11)*NORMSINV($B319)+SQRT(1-W$9^2*$C$11)*NORMSINV(V319))*(W$7-W$5)*(W$6-W$5)),W$7-SQRT((1-NORMSDIST(W$9*SQRT($C$11)*NORMSINV($B319)+SQRT(1-W$9^2*$C$11)*NORMSINV(V319)))*(W$7-W$5)*(W$7-W$6))))</f>
        <v>11.6894009124865</v>
      </c>
      <c r="X319" s="2" t="n">
        <v>0.522227934</v>
      </c>
      <c r="Y319" s="2" t="n">
        <f aca="false">IF(Y$7=Y$5,Y$6,IF(NORMSDIST(Y$9*SQRT($C$11)*NORMSINV($B319)+SQRT(1-Y$9^2*$C$11)*NORMSINV(X319))&lt;Y$8,Y$5+SQRT(NORMSDIST(Y$9*SQRT($C$11)*NORMSINV($B319)+SQRT(1-Y$9^2*$C$11)*NORMSINV(X319))*(Y$7-Y$5)*(Y$6-Y$5)),Y$7-SQRT((1-NORMSDIST(Y$9*SQRT($C$11)*NORMSINV($B319)+SQRT(1-Y$9^2*$C$11)*NORMSINV(X319)))*(Y$7-Y$5)*(Y$7-Y$6))))</f>
        <v>0.511240311604977</v>
      </c>
      <c r="Z319" s="2" t="n">
        <v>0.439146461</v>
      </c>
      <c r="AA319" s="2" t="n">
        <f aca="false">IF(AA$7=AA$5,AA$6,IF(NORMSDIST(AA$9*SQRT($C$11)*NORMSINV($B319)+SQRT(1-AA$9^2*$C$11)*NORMSINV(Z319))&lt;AA$8,AA$5+SQRT(NORMSDIST(AA$9*SQRT($C$11)*NORMSINV($B319)+SQRT(1-AA$9^2*$C$11)*NORMSINV(Z319))*(AA$7-AA$5)*(AA$6-AA$5)),AA$7-SQRT((1-NORMSDIST(AA$9*SQRT($C$11)*NORMSINV($B319)+SQRT(1-AA$9^2*$C$11)*NORMSINV(Z319)))*(AA$7-AA$5)*(AA$7-AA$6))))</f>
        <v>0.742842824336512</v>
      </c>
      <c r="AB319" s="2" t="n">
        <v>0.509236059</v>
      </c>
      <c r="AC319" s="2" t="n">
        <f aca="false">IF(AC$7=AC$5,AC$6,IF(NORMSDIST(AC$9*SQRT($C$11)*NORMSINV($B319)+SQRT(1-AC$9^2*$C$11)*NORMSINV(AB319))&lt;AC$8,AC$5+SQRT(NORMSDIST(AC$9*SQRT($C$11)*NORMSINV($B319)+SQRT(1-AC$9^2*$C$11)*NORMSINV(AB319))*(AC$7-AC$5)*(AC$6-AC$5)),AC$7-SQRT((1-NORMSDIST(AC$9*SQRT($C$11)*NORMSINV($B319)+SQRT(1-AC$9^2*$C$11)*NORMSINV(AB319)))*(AC$7-AC$5)*(AC$7-AC$6))))</f>
        <v>10.4360701453815</v>
      </c>
      <c r="AD319" s="2" t="n">
        <f aca="false">Entrées!$C$8*(1+E319)</f>
        <v>7466.05420887116</v>
      </c>
      <c r="AE319" s="2" t="n">
        <f aca="false">I319*Hypothèses!$J$24/12/Hypothèses!$J$19</f>
        <v>106.722636873556</v>
      </c>
      <c r="AF319" s="2" t="n">
        <f aca="false">Entrées!$C$36*S319*1000</f>
        <v>458.95544016609</v>
      </c>
      <c r="AG319" s="2" t="n">
        <f aca="false">-AF319/W319</f>
        <v>-39.262528815813</v>
      </c>
      <c r="AH319" s="2" t="n">
        <f aca="false">AD319+AE319+AG319</f>
        <v>7533.5143169289</v>
      </c>
      <c r="AI319" s="2" t="n">
        <f aca="false">Entrées!$C$16-M319+Hypothèses!$J$22*1000-AF319+Hypothèses!$J$23</f>
        <v>22389.1788350579</v>
      </c>
      <c r="AJ319" s="2" t="n">
        <f aca="false">AI319/AH319</f>
        <v>2.97194349053617</v>
      </c>
      <c r="AK319" s="2" t="n">
        <f aca="false">AI319/(AH319+I319*(12-Hypothèses!$J$24)/12/Hypothèses!$J$19)</f>
        <v>2.94217211041212</v>
      </c>
      <c r="AL319" s="2" t="n">
        <f aca="false">(AD319+AG319+I319/Hypothèses!$J$19)*(1+G319)</f>
        <v>8138.26488185946</v>
      </c>
      <c r="AM319" s="2" t="n">
        <f aca="false">Entrées!$C$54*K319/Hypothèses!$J$19</f>
        <v>47.4893182213997</v>
      </c>
      <c r="AN319" s="2" t="n">
        <f aca="false">Y319*1000/AC319</f>
        <v>48.9878186408343</v>
      </c>
      <c r="AO319" s="2" t="n">
        <f aca="false">(Entrées!$C$36*(1-S319)+MAX(0,Entrées!$C$30-Entrées!$C$35-Entrées!$C$36)*U319)*1000</f>
        <v>1031.80316974698</v>
      </c>
      <c r="AP319" s="2" t="n">
        <f aca="false">-AO319/W319</f>
        <v>-88.2682677642462</v>
      </c>
      <c r="AQ319" s="2" t="n">
        <f aca="false">AL319+AM319+AN319+AP319</f>
        <v>8146.47375095745</v>
      </c>
      <c r="AR319" s="2" t="n">
        <f aca="false">O319*AQ319-Hypothèses!$J$25/Hypothèses!$J$19</f>
        <v>1450.14645397388</v>
      </c>
      <c r="AS319" s="2" t="n">
        <f aca="false">Entrées!$C$79*(1+Q319)+Hypothèses!$J$20</f>
        <v>1484.24359558695</v>
      </c>
      <c r="AT319" s="2" t="n">
        <f aca="false">AI319-AR319+AS319+Y319*1000-AO319+Hypothèses!$J$23</f>
        <v>21902.713118529</v>
      </c>
      <c r="AU319" s="2" t="n">
        <f aca="false">AT319/AQ319</f>
        <v>2.68861274069099</v>
      </c>
      <c r="AV319" s="2" t="n">
        <f aca="false">Hypothèses!$J$26*AQ319-AT319</f>
        <v>2536.7081343434</v>
      </c>
      <c r="AW319" s="2" t="n">
        <f aca="false">IF(AC319&gt;Hypothèses!$J$26,MAX(0,AV319)/(1-Hypothèses!$J$26/AC319),0)</f>
        <v>3560.11488740593</v>
      </c>
      <c r="AX319" s="2" t="n">
        <f aca="false">AQ319-Entrées!$C$17*1000</f>
        <v>146.473750957453</v>
      </c>
      <c r="AY319" s="2" t="n">
        <f aca="false">AI319+(Entrées!$C$244-Entrées!$C$13)</f>
        <v>28136.1788350579</v>
      </c>
      <c r="AZ319" s="2" t="n">
        <f aca="false">AA319*AH319</f>
        <v>5596.21705236701</v>
      </c>
      <c r="BA319" s="2" t="n">
        <f aca="false">AZ319/AY319</f>
        <v>0.198897550558432</v>
      </c>
      <c r="BB319" s="2" t="n">
        <f aca="false">AZ319/(Entrées!$C$151/100)-AY319</f>
        <v>2953.91590031439</v>
      </c>
      <c r="BC319" s="2" t="n">
        <f aca="false">AT319+(Entrées!$C$244-Entrées!$C$13)</f>
        <v>27649.713118529</v>
      </c>
      <c r="BD319" s="2" t="n">
        <f aca="false">AA319*AQ319</f>
        <v>6051.54956954449</v>
      </c>
      <c r="BE319" s="2" t="n">
        <f aca="false">BD319/BC319</f>
        <v>0.218864823067157</v>
      </c>
      <c r="BF319" s="2" t="n">
        <f aca="false">BD319/(Entrées!$C$151/100)-BC319</f>
        <v>5970.00671227377</v>
      </c>
      <c r="BG319" s="2" t="n">
        <f aca="false">MIN(AV319,BF319)</f>
        <v>2536.7081343434</v>
      </c>
      <c r="BH319" s="2" t="n">
        <f aca="false">IF(AC319&gt;Hypothèses!$J$26,MAX(0,BG319)/(1-Hypothèses!$J$26/AC319),0)</f>
        <v>3560.11488740593</v>
      </c>
    </row>
    <row r="320" customFormat="false" ht="15" hidden="false" customHeight="false" outlineLevel="0" collapsed="false">
      <c r="A320" s="2" t="n">
        <v>305</v>
      </c>
      <c r="B320" s="2" t="n">
        <v>0.406457614</v>
      </c>
      <c r="C320" s="2"/>
      <c r="D320" s="2" t="n">
        <v>0.908066738</v>
      </c>
      <c r="E320" s="2" t="n">
        <f aca="false">IF(E$7=E$5,E$6,IF(NORMSDIST(E$9*SQRT($C$11)*NORMSINV($B320)+SQRT(1-E$9^2*$C$11)*NORMSINV(D320))&lt;E$8,E$5+SQRT(NORMSDIST(E$9*SQRT($C$11)*NORMSINV($B320)+SQRT(1-E$9^2*$C$11)*NORMSINV(D320))*(E$7-E$5)*(E$6-E$5)),E$7-SQRT((1-NORMSDIST(E$9*SQRT($C$11)*NORMSINV($B320)+SQRT(1-E$9^2*$C$11)*NORMSINV(D320)))*(E$7-E$5)*(E$7-E$6))))</f>
        <v>0.0569217935772062</v>
      </c>
      <c r="F320" s="2" t="n">
        <v>0.060735106</v>
      </c>
      <c r="G320" s="2" t="n">
        <f aca="false">IF(G$7=G$5,G$6,IF(NORMSDIST(G$9*SQRT($C$11)*NORMSINV($B320)+SQRT(1-G$9^2*$C$11)*NORMSINV(F320))&lt;G$8,G$5+SQRT(NORMSDIST(G$9*SQRT($C$11)*NORMSINV($B320)+SQRT(1-G$9^2*$C$11)*NORMSINV(F320))*(G$7-G$5)*(G$6-G$5)),G$7-SQRT((1-NORMSDIST(G$9*SQRT($C$11)*NORMSINV($B320)+SQRT(1-G$9^2*$C$11)*NORMSINV(F320)))*(G$7-G$5)*(G$7-G$6))))</f>
        <v>0.046315299577214</v>
      </c>
      <c r="H320" s="2" t="n">
        <v>0.823287432</v>
      </c>
      <c r="I320" s="2" t="n">
        <f aca="false">IF(I$7=I$5,I$6,IF(NORMSDIST(I$9*SQRT($C$11)*NORMSINV($B320)+SQRT(1-I$9^2*$C$11)*NORMSINV(H320))&lt;I$8,I$5+SQRT(NORMSDIST(I$9*SQRT($C$11)*NORMSINV($B320)+SQRT(1-I$9^2*$C$11)*NORMSINV(H320))*(I$7-I$5)*(I$6-I$5)),I$7-SQRT((1-NORMSDIST(I$9*SQRT($C$11)*NORMSINV($B320)+SQRT(1-I$9^2*$C$11)*NORMSINV(H320)))*(I$7-I$5)*(I$7-I$6))))</f>
        <v>204.909924728346</v>
      </c>
      <c r="J320" s="2" t="n">
        <v>0.747473603</v>
      </c>
      <c r="K320" s="2" t="n">
        <f aca="false">IF(K$7=K$5,K$6,IF(NORMSDIST(K$9*SQRT($C$11)*NORMSINV($B320)+SQRT(1-K$9^2*$C$11)*NORMSINV(J320))&lt;K$8,K$5+SQRT(NORMSDIST(K$9*SQRT($C$11)*NORMSINV($B320)+SQRT(1-K$9^2*$C$11)*NORMSINV(J320))*(K$7-K$5)*(K$6-K$5)),K$7-SQRT((1-NORMSDIST(K$9*SQRT($C$11)*NORMSINV($B320)+SQRT(1-K$9^2*$C$11)*NORMSINV(J320)))*(K$7-K$5)*(K$7-K$6))))</f>
        <v>0.288769713222656</v>
      </c>
      <c r="L320" s="2" t="n">
        <v>0.805063204</v>
      </c>
      <c r="M320" s="2" t="n">
        <f aca="false">IF(M$7=M$5,M$6,IF(NORMSDIST(M$9*SQRT($C$11)*NORMSINV($B320)+SQRT(1-M$9^2*$C$11)*NORMSINV(L320))&lt;M$8,M$5+SQRT(NORMSDIST(M$9*SQRT($C$11)*NORMSINV($B320)+SQRT(1-M$9^2*$C$11)*NORMSINV(L320))*(M$7-M$5)*(M$6-M$5)),M$7-SQRT((1-NORMSDIST(M$9*SQRT($C$11)*NORMSINV($B320)+SQRT(1-M$9^2*$C$11)*NORMSINV(L320)))*(M$7-M$5)*(M$7-M$6))))</f>
        <v>1636.63897072667</v>
      </c>
      <c r="N320" s="2" t="n">
        <v>0.976977326</v>
      </c>
      <c r="O320" s="2" t="n">
        <f aca="false">IF(O$7=O$5,O$6,IF(NORMSDIST(O$9*SQRT($C$11)*NORMSINV($B320)+SQRT(1-O$9^2*$C$11)*NORMSINV(N320))&lt;O$8,O$5+SQRT(NORMSDIST(O$9*SQRT($C$11)*NORMSINV($B320)+SQRT(1-O$9^2*$C$11)*NORMSINV(N320))*(O$7-O$5)*(O$6-O$5)),O$7-SQRT((1-NORMSDIST(O$9*SQRT($C$11)*NORMSINV($B320)+SQRT(1-O$9^2*$C$11)*NORMSINV(N320)))*(O$7-O$5)*(O$7-O$6))))</f>
        <v>0.180687590515388</v>
      </c>
      <c r="P320" s="2" t="n">
        <v>0.842816177</v>
      </c>
      <c r="Q320" s="2" t="n">
        <f aca="false">IF(Q$7=Q$5,Q$6,IF(NORMSDIST(Q$9*SQRT($C$11)*NORMSINV($B320)+SQRT(1-Q$9^2*$C$11)*NORMSINV(P320))&lt;Q$8,Q$5+SQRT(NORMSDIST(Q$9*SQRT($C$11)*NORMSINV($B320)+SQRT(1-Q$9^2*$C$11)*NORMSINV(P320))*(Q$7-Q$5)*(Q$6-Q$5)),Q$7-SQRT((1-NORMSDIST(Q$9*SQRT($C$11)*NORMSINV($B320)+SQRT(1-Q$9^2*$C$11)*NORMSINV(P320)))*(Q$7-Q$5)*(Q$7-Q$6))))</f>
        <v>0.0975726008284509</v>
      </c>
      <c r="R320" s="2" t="n">
        <v>0.014346212</v>
      </c>
      <c r="S320" s="2" t="n">
        <f aca="false">IF(S$7=S$5,S$6,IF(NORMSDIST(S$9*SQRT($C$11)*NORMSINV($B320)+SQRT(1-S$9^2*$C$11)*NORMSINV(R320))&lt;S$8,S$5+SQRT(NORMSDIST(S$9*SQRT($C$11)*NORMSINV($B320)+SQRT(1-S$9^2*$C$11)*NORMSINV(R320))*(S$7-S$5)*(S$6-S$5)),S$7-SQRT((1-NORMSDIST(S$9*SQRT($C$11)*NORMSINV($B320)+SQRT(1-S$9^2*$C$11)*NORMSINV(R320)))*(S$7-S$5)*(S$7-S$6))))</f>
        <v>0.127618388928823</v>
      </c>
      <c r="T320" s="2" t="n">
        <v>0.515298258</v>
      </c>
      <c r="U320" s="2" t="n">
        <f aca="false">IF(U$7=U$5,U$6,IF(NORMSDIST(U$9*SQRT($C$11)*NORMSINV($B320)+SQRT(1-U$9^2*$C$11)*NORMSINV(T320))&lt;U$8,U$5+SQRT(NORMSDIST(U$9*SQRT($C$11)*NORMSINV($B320)+SQRT(1-U$9^2*$C$11)*NORMSINV(T320))*(U$7-U$5)*(U$6-U$5)),U$7-SQRT((1-NORMSDIST(U$9*SQRT($C$11)*NORMSINV($B320)+SQRT(1-U$9^2*$C$11)*NORMSINV(T320)))*(U$7-U$5)*(U$7-U$6))))</f>
        <v>0.475527737089233</v>
      </c>
      <c r="V320" s="2" t="n">
        <v>0.034135339</v>
      </c>
      <c r="W320" s="2" t="n">
        <f aca="false">IF(W$7=W$5,W$6,IF(NORMSDIST(W$9*SQRT($C$11)*NORMSINV($B320)+SQRT(1-W$9^2*$C$11)*NORMSINV(V320))&lt;W$8,W$5+SQRT(NORMSDIST(W$9*SQRT($C$11)*NORMSINV($B320)+SQRT(1-W$9^2*$C$11)*NORMSINV(V320))*(W$7-W$5)*(W$6-W$5)),W$7-SQRT((1-NORMSDIST(W$9*SQRT($C$11)*NORMSINV($B320)+SQRT(1-W$9^2*$C$11)*NORMSINV(V320)))*(W$7-W$5)*(W$7-W$6))))</f>
        <v>8.68790265051496</v>
      </c>
      <c r="X320" s="2" t="n">
        <v>0.363526237</v>
      </c>
      <c r="Y320" s="2" t="n">
        <f aca="false">IF(Y$7=Y$5,Y$6,IF(NORMSDIST(Y$9*SQRT($C$11)*NORMSINV($B320)+SQRT(1-Y$9^2*$C$11)*NORMSINV(X320))&lt;Y$8,Y$5+SQRT(NORMSDIST(Y$9*SQRT($C$11)*NORMSINV($B320)+SQRT(1-Y$9^2*$C$11)*NORMSINV(X320))*(Y$7-Y$5)*(Y$6-Y$5)),Y$7-SQRT((1-NORMSDIST(Y$9*SQRT($C$11)*NORMSINV($B320)+SQRT(1-Y$9^2*$C$11)*NORMSINV(X320)))*(Y$7-Y$5)*(Y$7-Y$6))))</f>
        <v>0.426336860358098</v>
      </c>
      <c r="Z320" s="2" t="n">
        <v>0.026529472</v>
      </c>
      <c r="AA320" s="2" t="n">
        <f aca="false">IF(AA$7=AA$5,AA$6,IF(NORMSDIST(AA$9*SQRT($C$11)*NORMSINV($B320)+SQRT(1-AA$9^2*$C$11)*NORMSINV(Z320))&lt;AA$8,AA$5+SQRT(NORMSDIST(AA$9*SQRT($C$11)*NORMSINV($B320)+SQRT(1-AA$9^2*$C$11)*NORMSINV(Z320))*(AA$7-AA$5)*(AA$6-AA$5)),AA$7-SQRT((1-NORMSDIST(AA$9*SQRT($C$11)*NORMSINV($B320)+SQRT(1-AA$9^2*$C$11)*NORMSINV(Z320)))*(AA$7-AA$5)*(AA$7-AA$6))))</f>
        <v>0.705635444105542</v>
      </c>
      <c r="AB320" s="2" t="n">
        <v>0.272793705</v>
      </c>
      <c r="AC320" s="2" t="n">
        <f aca="false">IF(AC$7=AC$5,AC$6,IF(NORMSDIST(AC$9*SQRT($C$11)*NORMSINV($B320)+SQRT(1-AC$9^2*$C$11)*NORMSINV(AB320))&lt;AC$8,AC$5+SQRT(NORMSDIST(AC$9*SQRT($C$11)*NORMSINV($B320)+SQRT(1-AC$9^2*$C$11)*NORMSINV(AB320))*(AC$7-AC$5)*(AC$6-AC$5)),AC$7-SQRT((1-NORMSDIST(AC$9*SQRT($C$11)*NORMSINV($B320)+SQRT(1-AC$9^2*$C$11)*NORMSINV(AB320)))*(AC$7-AC$5)*(AC$7-AC$6))))</f>
        <v>8.92265289590044</v>
      </c>
      <c r="AD320" s="2" t="n">
        <f aca="false">Entrées!$C$8*(1+E320)</f>
        <v>7451.2986447193</v>
      </c>
      <c r="AE320" s="2" t="n">
        <f aca="false">I320*Hypothèses!$J$24/12/Hypothèses!$J$19</f>
        <v>101.655157818005</v>
      </c>
      <c r="AF320" s="2" t="n">
        <f aca="false">Entrées!$C$36*S320*1000</f>
        <v>63.8091944644114</v>
      </c>
      <c r="AG320" s="2" t="n">
        <f aca="false">-AF320/W320</f>
        <v>-7.34460283813484</v>
      </c>
      <c r="AH320" s="2" t="n">
        <f aca="false">AD320+AE320+AG320</f>
        <v>7545.60919969917</v>
      </c>
      <c r="AI320" s="2" t="n">
        <f aca="false">Entrées!$C$16-M320+Hypothèses!$J$22*1000-AF320+Hypothèses!$J$23</f>
        <v>22847.5518348089</v>
      </c>
      <c r="AJ320" s="2" t="n">
        <f aca="false">AI320/AH320</f>
        <v>3.02792673595126</v>
      </c>
      <c r="AK320" s="2" t="n">
        <f aca="false">AI320/(AH320+I320*(12-Hypothèses!$J$24)/12/Hypothèses!$J$19)</f>
        <v>2.99906694145059</v>
      </c>
      <c r="AL320" s="2" t="n">
        <f aca="false">(AD320+AG320+I320/Hypothèses!$J$19)*(1+G320)</f>
        <v>7971.06016949433</v>
      </c>
      <c r="AM320" s="2" t="n">
        <f aca="false">Entrées!$C$54*K320/Hypothèses!$J$19</f>
        <v>29.4701617000465</v>
      </c>
      <c r="AN320" s="2" t="n">
        <f aca="false">Y320*1000/AC320</f>
        <v>47.7814014881135</v>
      </c>
      <c r="AO320" s="2" t="n">
        <f aca="false">(Entrées!$C$36*(1-S320)+MAX(0,Entrées!$C$30-Entrées!$C$35-Entrées!$C$36)*U320)*1000</f>
        <v>1101.92963746051</v>
      </c>
      <c r="AP320" s="2" t="n">
        <f aca="false">-AO320/W320</f>
        <v>-126.834942999183</v>
      </c>
      <c r="AQ320" s="2" t="n">
        <f aca="false">AL320+AM320+AN320+AP320</f>
        <v>7921.47678968331</v>
      </c>
      <c r="AR320" s="2" t="n">
        <f aca="false">O320*AQ320-Hypothèses!$J$25/Hypothèses!$J$19</f>
        <v>1412.17739218982</v>
      </c>
      <c r="AS320" s="2" t="n">
        <f aca="false">Entrées!$C$79*(1+Q320)+Hypothèses!$J$20</f>
        <v>1501.23228831047</v>
      </c>
      <c r="AT320" s="2" t="n">
        <f aca="false">AI320-AR320+AS320+Y320*1000-AO320+Hypothèses!$J$23</f>
        <v>22261.0139538271</v>
      </c>
      <c r="AU320" s="2" t="n">
        <f aca="false">AT320/AQ320</f>
        <v>2.81021008391001</v>
      </c>
      <c r="AV320" s="2" t="n">
        <f aca="false">Hypothèses!$J$26*AQ320-AT320</f>
        <v>1503.41641522279</v>
      </c>
      <c r="AW320" s="2" t="n">
        <f aca="false">IF(AC320&gt;Hypothèses!$J$26,MAX(0,AV320)/(1-Hypothèses!$J$26/AC320),0)</f>
        <v>2264.94158391708</v>
      </c>
      <c r="AX320" s="2" t="n">
        <f aca="false">AQ320-Entrées!$C$17*1000</f>
        <v>-78.5232103166909</v>
      </c>
      <c r="AY320" s="2" t="n">
        <f aca="false">AI320+(Entrées!$C$244-Entrées!$C$13)</f>
        <v>28594.5518348089</v>
      </c>
      <c r="AZ320" s="2" t="n">
        <f aca="false">AA320*AH320</f>
        <v>5324.44929867659</v>
      </c>
      <c r="BA320" s="2" t="n">
        <f aca="false">AZ320/AY320</f>
        <v>0.186205027077745</v>
      </c>
      <c r="BB320" s="2" t="n">
        <f aca="false">AZ320/(Entrées!$C$151/100)-AY320</f>
        <v>985.722046727678</v>
      </c>
      <c r="BC320" s="2" t="n">
        <f aca="false">AT320+(Entrées!$C$244-Entrées!$C$13)</f>
        <v>28008.0139538271</v>
      </c>
      <c r="BD320" s="2" t="n">
        <f aca="false">AA320*AQ320</f>
        <v>5589.67479245992</v>
      </c>
      <c r="BE320" s="2" t="n">
        <f aca="false">BD320/BC320</f>
        <v>0.199574121952197</v>
      </c>
      <c r="BF320" s="2" t="n">
        <f aca="false">BD320/(Entrées!$C$151/100)-BC320</f>
        <v>3045.73489317242</v>
      </c>
      <c r="BG320" s="2" t="n">
        <f aca="false">MIN(AV320,BF320)</f>
        <v>1503.41641522279</v>
      </c>
      <c r="BH320" s="2" t="n">
        <f aca="false">IF(AC320&gt;Hypothèses!$J$26,MAX(0,BG320)/(1-Hypothèses!$J$26/AC320),0)</f>
        <v>2264.94158391708</v>
      </c>
    </row>
    <row r="321" customFormat="false" ht="15" hidden="false" customHeight="false" outlineLevel="0" collapsed="false">
      <c r="A321" s="2" t="n">
        <v>306</v>
      </c>
      <c r="B321" s="2" t="n">
        <v>0.50652679</v>
      </c>
      <c r="C321" s="2"/>
      <c r="D321" s="2" t="n">
        <v>0.795618769</v>
      </c>
      <c r="E321" s="2" t="n">
        <f aca="false">IF(E$7=E$5,E$6,IF(NORMSDIST(E$9*SQRT($C$11)*NORMSINV($B321)+SQRT(1-E$9^2*$C$11)*NORMSINV(D321))&lt;E$8,E$5+SQRT(NORMSDIST(E$9*SQRT($C$11)*NORMSINV($B321)+SQRT(1-E$9^2*$C$11)*NORMSINV(D321))*(E$7-E$5)*(E$6-E$5)),E$7-SQRT((1-NORMSDIST(E$9*SQRT($C$11)*NORMSINV($B321)+SQRT(1-E$9^2*$C$11)*NORMSINV(D321)))*(E$7-E$5)*(E$7-E$6))))</f>
        <v>0.0564099119173986</v>
      </c>
      <c r="F321" s="2" t="n">
        <v>0.164713547</v>
      </c>
      <c r="G321" s="2" t="n">
        <f aca="false">IF(G$7=G$5,G$6,IF(NORMSDIST(G$9*SQRT($C$11)*NORMSINV($B321)+SQRT(1-G$9^2*$C$11)*NORMSINV(F321))&lt;G$8,G$5+SQRT(NORMSDIST(G$9*SQRT($C$11)*NORMSINV($B321)+SQRT(1-G$9^2*$C$11)*NORMSINV(F321))*(G$7-G$5)*(G$6-G$5)),G$7-SQRT((1-NORMSDIST(G$9*SQRT($C$11)*NORMSINV($B321)+SQRT(1-G$9^2*$C$11)*NORMSINV(F321)))*(G$7-G$5)*(G$7-G$6))))</f>
        <v>0.0501315647385764</v>
      </c>
      <c r="H321" s="2" t="n">
        <v>0.224885914</v>
      </c>
      <c r="I321" s="2" t="n">
        <f aca="false">IF(I$7=I$5,I$6,IF(NORMSDIST(I$9*SQRT($C$11)*NORMSINV($B321)+SQRT(1-I$9^2*$C$11)*NORMSINV(H321))&lt;I$8,I$5+SQRT(NORMSDIST(I$9*SQRT($C$11)*NORMSINV($B321)+SQRT(1-I$9^2*$C$11)*NORMSINV(H321))*(I$7-I$5)*(I$6-I$5)),I$7-SQRT((1-NORMSDIST(I$9*SQRT($C$11)*NORMSINV($B321)+SQRT(1-I$9^2*$C$11)*NORMSINV(H321)))*(I$7-I$5)*(I$7-I$6))))</f>
        <v>195.036369974681</v>
      </c>
      <c r="J321" s="2" t="n">
        <v>0.721979731</v>
      </c>
      <c r="K321" s="2" t="n">
        <f aca="false">IF(K$7=K$5,K$6,IF(NORMSDIST(K$9*SQRT($C$11)*NORMSINV($B321)+SQRT(1-K$9^2*$C$11)*NORMSINV(J321))&lt;K$8,K$5+SQRT(NORMSDIST(K$9*SQRT($C$11)*NORMSINV($B321)+SQRT(1-K$9^2*$C$11)*NORMSINV(J321))*(K$7-K$5)*(K$6-K$5)),K$7-SQRT((1-NORMSDIST(K$9*SQRT($C$11)*NORMSINV($B321)+SQRT(1-K$9^2*$C$11)*NORMSINV(J321)))*(K$7-K$5)*(K$7-K$6))))</f>
        <v>0.299852409755059</v>
      </c>
      <c r="L321" s="2" t="n">
        <v>0.84218098</v>
      </c>
      <c r="M321" s="2" t="n">
        <f aca="false">IF(M$7=M$5,M$6,IF(NORMSDIST(M$9*SQRT($C$11)*NORMSINV($B321)+SQRT(1-M$9^2*$C$11)*NORMSINV(L321))&lt;M$8,M$5+SQRT(NORMSDIST(M$9*SQRT($C$11)*NORMSINV($B321)+SQRT(1-M$9^2*$C$11)*NORMSINV(L321))*(M$7-M$5)*(M$6-M$5)),M$7-SQRT((1-NORMSDIST(M$9*SQRT($C$11)*NORMSINV($B321)+SQRT(1-M$9^2*$C$11)*NORMSINV(L321)))*(M$7-M$5)*(M$7-M$6))))</f>
        <v>1660.93271697568</v>
      </c>
      <c r="N321" s="2" t="n">
        <v>0.04099016</v>
      </c>
      <c r="O321" s="2" t="n">
        <f aca="false">IF(O$7=O$5,O$6,IF(NORMSDIST(O$9*SQRT($C$11)*NORMSINV($B321)+SQRT(1-O$9^2*$C$11)*NORMSINV(N321))&lt;O$8,O$5+SQRT(NORMSDIST(O$9*SQRT($C$11)*NORMSINV($B321)+SQRT(1-O$9^2*$C$11)*NORMSINV(N321))*(O$7-O$5)*(O$6-O$5)),O$7-SQRT((1-NORMSDIST(O$9*SQRT($C$11)*NORMSINV($B321)+SQRT(1-O$9^2*$C$11)*NORMSINV(N321)))*(O$7-O$5)*(O$7-O$6))))</f>
        <v>0.151403090842877</v>
      </c>
      <c r="P321" s="2" t="n">
        <v>0.070783638</v>
      </c>
      <c r="Q321" s="2" t="n">
        <f aca="false">IF(Q$7=Q$5,Q$6,IF(NORMSDIST(Q$9*SQRT($C$11)*NORMSINV($B321)+SQRT(1-Q$9^2*$C$11)*NORMSINV(P321))&lt;Q$8,Q$5+SQRT(NORMSDIST(Q$9*SQRT($C$11)*NORMSINV($B321)+SQRT(1-Q$9^2*$C$11)*NORMSINV(P321))*(Q$7-Q$5)*(Q$6-Q$5)),Q$7-SQRT((1-NORMSDIST(Q$9*SQRT($C$11)*NORMSINV($B321)+SQRT(1-Q$9^2*$C$11)*NORMSINV(P321)))*(Q$7-Q$5)*(Q$7-Q$6))))</f>
        <v>0.0550501708163064</v>
      </c>
      <c r="R321" s="2" t="n">
        <v>0.586483717</v>
      </c>
      <c r="S321" s="2" t="n">
        <f aca="false">IF(S$7=S$5,S$6,IF(NORMSDIST(S$9*SQRT($C$11)*NORMSINV($B321)+SQRT(1-S$9^2*$C$11)*NORMSINV(R321))&lt;S$8,S$5+SQRT(NORMSDIST(S$9*SQRT($C$11)*NORMSINV($B321)+SQRT(1-S$9^2*$C$11)*NORMSINV(R321))*(S$7-S$5)*(S$6-S$5)),S$7-SQRT((1-NORMSDIST(S$9*SQRT($C$11)*NORMSINV($B321)+SQRT(1-S$9^2*$C$11)*NORMSINV(R321)))*(S$7-S$5)*(S$7-S$6))))</f>
        <v>0.537003364921067</v>
      </c>
      <c r="T321" s="2" t="n">
        <v>0.12858411</v>
      </c>
      <c r="U321" s="2" t="n">
        <f aca="false">IF(U$7=U$5,U$6,IF(NORMSDIST(U$9*SQRT($C$11)*NORMSINV($B321)+SQRT(1-U$9^2*$C$11)*NORMSINV(T321))&lt;U$8,U$5+SQRT(NORMSDIST(U$9*SQRT($C$11)*NORMSINV($B321)+SQRT(1-U$9^2*$C$11)*NORMSINV(T321))*(U$7-U$5)*(U$6-U$5)),U$7-SQRT((1-NORMSDIST(U$9*SQRT($C$11)*NORMSINV($B321)+SQRT(1-U$9^2*$C$11)*NORMSINV(T321)))*(U$7-U$5)*(U$7-U$6))))</f>
        <v>0.310542804644574</v>
      </c>
      <c r="V321" s="2" t="n">
        <v>0.246227911</v>
      </c>
      <c r="W321" s="2" t="n">
        <f aca="false">IF(W$7=W$5,W$6,IF(NORMSDIST(W$9*SQRT($C$11)*NORMSINV($B321)+SQRT(1-W$9^2*$C$11)*NORMSINV(V321))&lt;W$8,W$5+SQRT(NORMSDIST(W$9*SQRT($C$11)*NORMSINV($B321)+SQRT(1-W$9^2*$C$11)*NORMSINV(V321))*(W$7-W$5)*(W$6-W$5)),W$7-SQRT((1-NORMSDIST(W$9*SQRT($C$11)*NORMSINV($B321)+SQRT(1-W$9^2*$C$11)*NORMSINV(V321)))*(W$7-W$5)*(W$7-W$6))))</f>
        <v>9.55193901506689</v>
      </c>
      <c r="X321" s="2" t="n">
        <v>0.872095151</v>
      </c>
      <c r="Y321" s="2" t="n">
        <f aca="false">IF(Y$7=Y$5,Y$6,IF(NORMSDIST(Y$9*SQRT($C$11)*NORMSINV($B321)+SQRT(1-Y$9^2*$C$11)*NORMSINV(X321))&lt;Y$8,Y$5+SQRT(NORMSDIST(Y$9*SQRT($C$11)*NORMSINV($B321)+SQRT(1-Y$9^2*$C$11)*NORMSINV(X321))*(Y$7-Y$5)*(Y$6-Y$5)),Y$7-SQRT((1-NORMSDIST(Y$9*SQRT($C$11)*NORMSINV($B321)+SQRT(1-Y$9^2*$C$11)*NORMSINV(X321)))*(Y$7-Y$5)*(Y$7-Y$6))))</f>
        <v>0.747111834005622</v>
      </c>
      <c r="Z321" s="2" t="n">
        <v>0.810902105</v>
      </c>
      <c r="AA321" s="2" t="n">
        <f aca="false">IF(AA$7=AA$5,AA$6,IF(NORMSDIST(AA$9*SQRT($C$11)*NORMSINV($B321)+SQRT(1-AA$9^2*$C$11)*NORMSINV(Z321))&lt;AA$8,AA$5+SQRT(NORMSDIST(AA$9*SQRT($C$11)*NORMSINV($B321)+SQRT(1-AA$9^2*$C$11)*NORMSINV(Z321))*(AA$7-AA$5)*(AA$6-AA$5)),AA$7-SQRT((1-NORMSDIST(AA$9*SQRT($C$11)*NORMSINV($B321)+SQRT(1-AA$9^2*$C$11)*NORMSINV(Z321)))*(AA$7-AA$5)*(AA$7-AA$6))))</f>
        <v>0.736154326884324</v>
      </c>
      <c r="AB321" s="2" t="n">
        <v>0.905155537</v>
      </c>
      <c r="AC321" s="2" t="n">
        <f aca="false">IF(AC$7=AC$5,AC$6,IF(NORMSDIST(AC$9*SQRT($C$11)*NORMSINV($B321)+SQRT(1-AC$9^2*$C$11)*NORMSINV(AB321))&lt;AC$8,AC$5+SQRT(NORMSDIST(AC$9*SQRT($C$11)*NORMSINV($B321)+SQRT(1-AC$9^2*$C$11)*NORMSINV(AB321))*(AC$7-AC$5)*(AC$6-AC$5)),AC$7-SQRT((1-NORMSDIST(AC$9*SQRT($C$11)*NORMSINV($B321)+SQRT(1-AC$9^2*$C$11)*NORMSINV(AB321)))*(AC$7-AC$5)*(AC$7-AC$6))))</f>
        <v>10.1886242444195</v>
      </c>
      <c r="AD321" s="2" t="n">
        <f aca="false">Entrées!$C$8*(1+E321)</f>
        <v>7447.68987901766</v>
      </c>
      <c r="AE321" s="2" t="n">
        <f aca="false">I321*Hypothèses!$J$24/12/Hypothèses!$J$19</f>
        <v>96.7569189062529</v>
      </c>
      <c r="AF321" s="2" t="n">
        <f aca="false">Entrées!$C$36*S321*1000</f>
        <v>268.501682460533</v>
      </c>
      <c r="AG321" s="2" t="n">
        <f aca="false">-AF321/W321</f>
        <v>-28.1096520860328</v>
      </c>
      <c r="AH321" s="2" t="n">
        <f aca="false">AD321+AE321+AG321</f>
        <v>7516.33714583788</v>
      </c>
      <c r="AI321" s="2" t="n">
        <f aca="false">Entrées!$C$16-M321+Hypothèses!$J$22*1000-AF321+Hypothèses!$J$23</f>
        <v>22618.5656005638</v>
      </c>
      <c r="AJ321" s="2" t="n">
        <f aca="false">AI321/AH321</f>
        <v>3.00925373113268</v>
      </c>
      <c r="AK321" s="2" t="n">
        <f aca="false">AI321/(AH321+I321*(12-Hypothèses!$J$24)/12/Hypothèses!$J$19)</f>
        <v>2.98183600106503</v>
      </c>
      <c r="AL321" s="2" t="n">
        <f aca="false">(AD321+AG321+I321/Hypothèses!$J$19)*(1+G321)</f>
        <v>7965.7196699545</v>
      </c>
      <c r="AM321" s="2" t="n">
        <f aca="false">Entrées!$C$54*K321/Hypothèses!$J$19</f>
        <v>30.601197414414</v>
      </c>
      <c r="AN321" s="2" t="n">
        <f aca="false">Y321*1000/AC321</f>
        <v>73.32803880905</v>
      </c>
      <c r="AO321" s="2" t="n">
        <f aca="false">(Entrées!$C$36*(1-S321)+MAX(0,Entrées!$C$30-Entrées!$C$35-Entrées!$C$36)*U321)*1000</f>
        <v>666.25824404187</v>
      </c>
      <c r="AP321" s="2" t="n">
        <f aca="false">-AO321/W321</f>
        <v>-69.751099016748</v>
      </c>
      <c r="AQ321" s="2" t="n">
        <f aca="false">AL321+AM321+AN321+AP321</f>
        <v>7999.89780716121</v>
      </c>
      <c r="AR321" s="2" t="n">
        <f aca="false">O321*AQ321-Hypothèses!$J$25/Hypothèses!$J$19</f>
        <v>1192.07409216973</v>
      </c>
      <c r="AS321" s="2" t="n">
        <f aca="false">Entrées!$C$79*(1+Q321)+Hypothèses!$J$20</f>
        <v>1454.50013772712</v>
      </c>
      <c r="AT321" s="2" t="n">
        <f aca="false">AI321-AR321+AS321+Y321*1000-AO321+Hypothèses!$J$23</f>
        <v>22961.8452360849</v>
      </c>
      <c r="AU321" s="2" t="n">
        <f aca="false">AT321/AQ321</f>
        <v>2.8702673196063</v>
      </c>
      <c r="AV321" s="2" t="n">
        <f aca="false">Hypothèses!$J$26*AQ321-AT321</f>
        <v>1037.84818539871</v>
      </c>
      <c r="AW321" s="2" t="n">
        <f aca="false">IF(AC321&gt;Hypothèses!$J$26,MAX(0,AV321)/(1-Hypothèses!$J$26/AC321),0)</f>
        <v>1470.96924588718</v>
      </c>
      <c r="AX321" s="2" t="n">
        <f aca="false">AQ321-Entrées!$C$17*1000</f>
        <v>-0.102192838789051</v>
      </c>
      <c r="AY321" s="2" t="n">
        <f aca="false">AI321+(Entrées!$C$244-Entrées!$C$13)</f>
        <v>28365.5656005638</v>
      </c>
      <c r="AZ321" s="2" t="n">
        <f aca="false">AA321*AH321</f>
        <v>5533.18411222993</v>
      </c>
      <c r="BA321" s="2" t="n">
        <f aca="false">AZ321/AY321</f>
        <v>0.195066941027961</v>
      </c>
      <c r="BB321" s="2" t="n">
        <f aca="false">AZ321/(Entrées!$C$151/100)-AY321</f>
        <v>2374.34613404691</v>
      </c>
      <c r="BC321" s="2" t="n">
        <f aca="false">AT321+(Entrées!$C$244-Entrées!$C$13)</f>
        <v>28708.8452360849</v>
      </c>
      <c r="BD321" s="2" t="n">
        <f aca="false">AA321*AQ321</f>
        <v>5889.15938537414</v>
      </c>
      <c r="BE321" s="2" t="n">
        <f aca="false">BD321/BC321</f>
        <v>0.205133969581329</v>
      </c>
      <c r="BF321" s="2" t="n">
        <f aca="false">BD321/(Entrées!$C$151/100)-BC321</f>
        <v>4008.70690488252</v>
      </c>
      <c r="BG321" s="2" t="n">
        <f aca="false">MIN(AV321,BF321)</f>
        <v>1037.84818539871</v>
      </c>
      <c r="BH321" s="2" t="n">
        <f aca="false">IF(AC321&gt;Hypothèses!$J$26,MAX(0,BG321)/(1-Hypothèses!$J$26/AC321),0)</f>
        <v>1470.96924588718</v>
      </c>
    </row>
    <row r="322" customFormat="false" ht="15" hidden="false" customHeight="false" outlineLevel="0" collapsed="false">
      <c r="A322" s="2" t="n">
        <v>307</v>
      </c>
      <c r="B322" s="2" t="n">
        <v>0.385301182</v>
      </c>
      <c r="C322" s="2"/>
      <c r="D322" s="2" t="n">
        <v>0.124003642</v>
      </c>
      <c r="E322" s="2" t="n">
        <f aca="false">IF(E$7=E$5,E$6,IF(NORMSDIST(E$9*SQRT($C$11)*NORMSINV($B322)+SQRT(1-E$9^2*$C$11)*NORMSINV(D322))&lt;E$8,E$5+SQRT(NORMSDIST(E$9*SQRT($C$11)*NORMSINV($B322)+SQRT(1-E$9^2*$C$11)*NORMSINV(D322))*(E$7-E$5)*(E$6-E$5)),E$7-SQRT((1-NORMSDIST(E$9*SQRT($C$11)*NORMSINV($B322)+SQRT(1-E$9^2*$C$11)*NORMSINV(D322)))*(E$7-E$5)*(E$7-E$6))))</f>
        <v>0.0526480378923542</v>
      </c>
      <c r="F322" s="2" t="n">
        <v>0.232401679</v>
      </c>
      <c r="G322" s="2" t="n">
        <f aca="false">IF(G$7=G$5,G$6,IF(NORMSDIST(G$9*SQRT($C$11)*NORMSINV($B322)+SQRT(1-G$9^2*$C$11)*NORMSINV(F322))&lt;G$8,G$5+SQRT(NORMSDIST(G$9*SQRT($C$11)*NORMSINV($B322)+SQRT(1-G$9^2*$C$11)*NORMSINV(F322))*(G$7-G$5)*(G$6-G$5)),G$7-SQRT((1-NORMSDIST(G$9*SQRT($C$11)*NORMSINV($B322)+SQRT(1-G$9^2*$C$11)*NORMSINV(F322)))*(G$7-G$5)*(G$7-G$6))))</f>
        <v>0.0500945006843666</v>
      </c>
      <c r="H322" s="2" t="n">
        <v>0.377574755</v>
      </c>
      <c r="I322" s="2" t="n">
        <f aca="false">IF(I$7=I$5,I$6,IF(NORMSDIST(I$9*SQRT($C$11)*NORMSINV($B322)+SQRT(1-I$9^2*$C$11)*NORMSINV(H322))&lt;I$8,I$5+SQRT(NORMSDIST(I$9*SQRT($C$11)*NORMSINV($B322)+SQRT(1-I$9^2*$C$11)*NORMSINV(H322))*(I$7-I$5)*(I$6-I$5)),I$7-SQRT((1-NORMSDIST(I$9*SQRT($C$11)*NORMSINV($B322)+SQRT(1-I$9^2*$C$11)*NORMSINV(H322)))*(I$7-I$5)*(I$7-I$6))))</f>
        <v>196.372210549464</v>
      </c>
      <c r="J322" s="2" t="n">
        <v>0.116912832</v>
      </c>
      <c r="K322" s="2" t="n">
        <f aca="false">IF(K$7=K$5,K$6,IF(NORMSDIST(K$9*SQRT($C$11)*NORMSINV($B322)+SQRT(1-K$9^2*$C$11)*NORMSINV(J322))&lt;K$8,K$5+SQRT(NORMSDIST(K$9*SQRT($C$11)*NORMSINV($B322)+SQRT(1-K$9^2*$C$11)*NORMSINV(J322))*(K$7-K$5)*(K$6-K$5)),K$7-SQRT((1-NORMSDIST(K$9*SQRT($C$11)*NORMSINV($B322)+SQRT(1-K$9^2*$C$11)*NORMSINV(J322)))*(K$7-K$5)*(K$7-K$6))))</f>
        <v>0.129532285000641</v>
      </c>
      <c r="L322" s="2" t="n">
        <v>0.874228573</v>
      </c>
      <c r="M322" s="2" t="n">
        <f aca="false">IF(M$7=M$5,M$6,IF(NORMSDIST(M$9*SQRT($C$11)*NORMSINV($B322)+SQRT(1-M$9^2*$C$11)*NORMSINV(L322))&lt;M$8,M$5+SQRT(NORMSDIST(M$9*SQRT($C$11)*NORMSINV($B322)+SQRT(1-M$9^2*$C$11)*NORMSINV(L322))*(M$7-M$5)*(M$6-M$5)),M$7-SQRT((1-NORMSDIST(M$9*SQRT($C$11)*NORMSINV($B322)+SQRT(1-M$9^2*$C$11)*NORMSINV(L322)))*(M$7-M$5)*(M$7-M$6))))</f>
        <v>1653.44573859175</v>
      </c>
      <c r="N322" s="2" t="n">
        <v>0.512654556</v>
      </c>
      <c r="O322" s="2" t="n">
        <f aca="false">IF(O$7=O$5,O$6,IF(NORMSDIST(O$9*SQRT($C$11)*NORMSINV($B322)+SQRT(1-O$9^2*$C$11)*NORMSINV(N322))&lt;O$8,O$5+SQRT(NORMSDIST(O$9*SQRT($C$11)*NORMSINV($B322)+SQRT(1-O$9^2*$C$11)*NORMSINV(N322))*(O$7-O$5)*(O$6-O$5)),O$7-SQRT((1-NORMSDIST(O$9*SQRT($C$11)*NORMSINV($B322)+SQRT(1-O$9^2*$C$11)*NORMSINV(N322)))*(O$7-O$5)*(O$7-O$6))))</f>
        <v>0.165026036693735</v>
      </c>
      <c r="P322" s="2" t="n">
        <v>0.934807645</v>
      </c>
      <c r="Q322" s="2" t="n">
        <f aca="false">IF(Q$7=Q$5,Q$6,IF(NORMSDIST(Q$9*SQRT($C$11)*NORMSINV($B322)+SQRT(1-Q$9^2*$C$11)*NORMSINV(P322))&lt;Q$8,Q$5+SQRT(NORMSDIST(Q$9*SQRT($C$11)*NORMSINV($B322)+SQRT(1-Q$9^2*$C$11)*NORMSINV(P322))*(Q$7-Q$5)*(Q$6-Q$5)),Q$7-SQRT((1-NORMSDIST(Q$9*SQRT($C$11)*NORMSINV($B322)+SQRT(1-Q$9^2*$C$11)*NORMSINV(P322)))*(Q$7-Q$5)*(Q$7-Q$6))))</f>
        <v>0.105556470791389</v>
      </c>
      <c r="R322" s="2" t="n">
        <v>0.416936971</v>
      </c>
      <c r="S322" s="2" t="n">
        <f aca="false">IF(S$7=S$5,S$6,IF(NORMSDIST(S$9*SQRT($C$11)*NORMSINV($B322)+SQRT(1-S$9^2*$C$11)*NORMSINV(R322))&lt;S$8,S$5+SQRT(NORMSDIST(S$9*SQRT($C$11)*NORMSINV($B322)+SQRT(1-S$9^2*$C$11)*NORMSINV(R322))*(S$7-S$5)*(S$6-S$5)),S$7-SQRT((1-NORMSDIST(S$9*SQRT($C$11)*NORMSINV($B322)+SQRT(1-S$9^2*$C$11)*NORMSINV(R322)))*(S$7-S$5)*(S$7-S$6))))</f>
        <v>0.426814989636136</v>
      </c>
      <c r="T322" s="2" t="n">
        <v>0.372134177</v>
      </c>
      <c r="U322" s="2" t="n">
        <f aca="false">IF(U$7=U$5,U$6,IF(NORMSDIST(U$9*SQRT($C$11)*NORMSINV($B322)+SQRT(1-U$9^2*$C$11)*NORMSINV(T322))&lt;U$8,U$5+SQRT(NORMSDIST(U$9*SQRT($C$11)*NORMSINV($B322)+SQRT(1-U$9^2*$C$11)*NORMSINV(T322))*(U$7-U$5)*(U$6-U$5)),U$7-SQRT((1-NORMSDIST(U$9*SQRT($C$11)*NORMSINV($B322)+SQRT(1-U$9^2*$C$11)*NORMSINV(T322)))*(U$7-U$5)*(U$7-U$6))))</f>
        <v>0.406830159667271</v>
      </c>
      <c r="V322" s="2" t="n">
        <v>0.343437731</v>
      </c>
      <c r="W322" s="2" t="n">
        <f aca="false">IF(W$7=W$5,W$6,IF(NORMSDIST(W$9*SQRT($C$11)*NORMSINV($B322)+SQRT(1-W$9^2*$C$11)*NORMSINV(V322))&lt;W$8,W$5+SQRT(NORMSDIST(W$9*SQRT($C$11)*NORMSINV($B322)+SQRT(1-W$9^2*$C$11)*NORMSINV(V322))*(W$7-W$5)*(W$6-W$5)),W$7-SQRT((1-NORMSDIST(W$9*SQRT($C$11)*NORMSINV($B322)+SQRT(1-W$9^2*$C$11)*NORMSINV(V322)))*(W$7-W$5)*(W$7-W$6))))</f>
        <v>9.57408057184009</v>
      </c>
      <c r="X322" s="2" t="n">
        <v>0.154562436</v>
      </c>
      <c r="Y322" s="2" t="n">
        <f aca="false">IF(Y$7=Y$5,Y$6,IF(NORMSDIST(Y$9*SQRT($C$11)*NORMSINV($B322)+SQRT(1-Y$9^2*$C$11)*NORMSINV(X322))&lt;Y$8,Y$5+SQRT(NORMSDIST(Y$9*SQRT($C$11)*NORMSINV($B322)+SQRT(1-Y$9^2*$C$11)*NORMSINV(X322))*(Y$7-Y$5)*(Y$6-Y$5)),Y$7-SQRT((1-NORMSDIST(Y$9*SQRT($C$11)*NORMSINV($B322)+SQRT(1-Y$9^2*$C$11)*NORMSINV(X322)))*(Y$7-Y$5)*(Y$7-Y$6))))</f>
        <v>0.277994996357848</v>
      </c>
      <c r="Z322" s="2" t="n">
        <v>0.321904196</v>
      </c>
      <c r="AA322" s="2" t="n">
        <f aca="false">IF(AA$7=AA$5,AA$6,IF(NORMSDIST(AA$9*SQRT($C$11)*NORMSINV($B322)+SQRT(1-AA$9^2*$C$11)*NORMSINV(Z322))&lt;AA$8,AA$5+SQRT(NORMSDIST(AA$9*SQRT($C$11)*NORMSINV($B322)+SQRT(1-AA$9^2*$C$11)*NORMSINV(Z322))*(AA$7-AA$5)*(AA$6-AA$5)),AA$7-SQRT((1-NORMSDIST(AA$9*SQRT($C$11)*NORMSINV($B322)+SQRT(1-AA$9^2*$C$11)*NORMSINV(Z322)))*(AA$7-AA$5)*(AA$7-AA$6))))</f>
        <v>0.72040628130938</v>
      </c>
      <c r="AB322" s="2" t="n">
        <v>0.367794329</v>
      </c>
      <c r="AC322" s="2" t="n">
        <f aca="false">IF(AC$7=AC$5,AC$6,IF(NORMSDIST(AC$9*SQRT($C$11)*NORMSINV($B322)+SQRT(1-AC$9^2*$C$11)*NORMSINV(AB322))&lt;AC$8,AC$5+SQRT(NORMSDIST(AC$9*SQRT($C$11)*NORMSINV($B322)+SQRT(1-AC$9^2*$C$11)*NORMSINV(AB322))*(AC$7-AC$5)*(AC$6-AC$5)),AC$7-SQRT((1-NORMSDIST(AC$9*SQRT($C$11)*NORMSINV($B322)+SQRT(1-AC$9^2*$C$11)*NORMSINV(AB322)))*(AC$7-AC$5)*(AC$7-AC$6))))</f>
        <v>9.08291028254741</v>
      </c>
      <c r="AD322" s="2" t="n">
        <f aca="false">Entrées!$C$8*(1+E322)</f>
        <v>7421.1686671411</v>
      </c>
      <c r="AE322" s="2" t="n">
        <f aca="false">I322*Hypothèses!$J$24/12/Hypothèses!$J$19</f>
        <v>97.4196251398784</v>
      </c>
      <c r="AF322" s="2" t="n">
        <f aca="false">Entrées!$C$36*S322*1000</f>
        <v>213.407494818068</v>
      </c>
      <c r="AG322" s="2" t="n">
        <f aca="false">-AF322/W322</f>
        <v>-22.2901293985091</v>
      </c>
      <c r="AH322" s="2" t="n">
        <f aca="false">AD322+AE322+AG322</f>
        <v>7496.29816288247</v>
      </c>
      <c r="AI322" s="2" t="n">
        <f aca="false">Entrées!$C$16-M322+Hypothèses!$J$22*1000-AF322+Hypothèses!$J$23</f>
        <v>22681.1467665902</v>
      </c>
      <c r="AJ322" s="2" t="n">
        <f aca="false">AI322/AH322</f>
        <v>3.02564629551353</v>
      </c>
      <c r="AK322" s="2" t="n">
        <f aca="false">AI322/(AH322+I322*(12-Hypothèses!$J$24)/12/Hypothèses!$J$19)</f>
        <v>2.99781862073293</v>
      </c>
      <c r="AL322" s="2" t="n">
        <f aca="false">(AD322+AG322+I322/Hypothèses!$J$19)*(1+G322)</f>
        <v>7944.89277106043</v>
      </c>
      <c r="AM322" s="2" t="n">
        <f aca="false">Entrées!$C$54*K322/Hypothèses!$J$19</f>
        <v>13.2193135552344</v>
      </c>
      <c r="AN322" s="2" t="n">
        <f aca="false">Y322*1000/AC322</f>
        <v>30.6063792011695</v>
      </c>
      <c r="AO322" s="2" t="n">
        <f aca="false">(Entrées!$C$36*(1-S322)+MAX(0,Entrées!$C$30-Entrées!$C$35-Entrées!$C$36)*U322)*1000</f>
        <v>856.154728716111</v>
      </c>
      <c r="AP322" s="2" t="n">
        <f aca="false">-AO322/W322</f>
        <v>-89.4242243202224</v>
      </c>
      <c r="AQ322" s="2" t="n">
        <f aca="false">AL322+AM322+AN322+AP322</f>
        <v>7899.29423949661</v>
      </c>
      <c r="AR322" s="2" t="n">
        <f aca="false">O322*AQ322-Hypothèses!$J$25/Hypothèses!$J$19</f>
        <v>1284.45405876015</v>
      </c>
      <c r="AS322" s="2" t="n">
        <f aca="false">Entrées!$C$79*(1+Q322)+Hypothèses!$J$20</f>
        <v>1510.00656139974</v>
      </c>
      <c r="AT322" s="2" t="n">
        <f aca="false">AI322-AR322+AS322+Y322*1000-AO322+Hypothèses!$J$23</f>
        <v>22328.5395368715</v>
      </c>
      <c r="AU322" s="2" t="n">
        <f aca="false">AT322/AQ322</f>
        <v>2.82664993351285</v>
      </c>
      <c r="AV322" s="2" t="n">
        <f aca="false">Hypothèses!$J$26*AQ322-AT322</f>
        <v>1369.34318161831</v>
      </c>
      <c r="AW322" s="2" t="n">
        <f aca="false">IF(AC322&gt;Hypothèses!$J$26,MAX(0,AV322)/(1-Hypothèses!$J$26/AC322),0)</f>
        <v>2044.68267440047</v>
      </c>
      <c r="AX322" s="2" t="n">
        <f aca="false">AQ322-Entrées!$C$17*1000</f>
        <v>-100.705760503392</v>
      </c>
      <c r="AY322" s="2" t="n">
        <f aca="false">AI322+(Entrées!$C$244-Entrées!$C$13)</f>
        <v>28428.1467665902</v>
      </c>
      <c r="AZ322" s="2" t="n">
        <f aca="false">AA322*AH322</f>
        <v>5400.3802831085</v>
      </c>
      <c r="BA322" s="2" t="n">
        <f aca="false">AZ322/AY322</f>
        <v>0.189965963221184</v>
      </c>
      <c r="BB322" s="2" t="n">
        <f aca="false">AZ322/(Entrées!$C$151/100)-AY322</f>
        <v>1573.9659173459</v>
      </c>
      <c r="BC322" s="2" t="n">
        <f aca="false">AT322+(Entrées!$C$244-Entrées!$C$13)</f>
        <v>28075.5395368715</v>
      </c>
      <c r="BD322" s="2" t="n">
        <f aca="false">AA322*AQ322</f>
        <v>5690.70118804436</v>
      </c>
      <c r="BE322" s="2" t="n">
        <f aca="false">BD322/BC322</f>
        <v>0.202692496098634</v>
      </c>
      <c r="BF322" s="2" t="n">
        <f aca="false">BD322/(Entrées!$C$151/100)-BC322</f>
        <v>3539.46706337494</v>
      </c>
      <c r="BG322" s="2" t="n">
        <f aca="false">MIN(AV322,BF322)</f>
        <v>1369.34318161831</v>
      </c>
      <c r="BH322" s="2" t="n">
        <f aca="false">IF(AC322&gt;Hypothèses!$J$26,MAX(0,BG322)/(1-Hypothèses!$J$26/AC322),0)</f>
        <v>2044.68267440047</v>
      </c>
    </row>
    <row r="323" customFormat="false" ht="15" hidden="false" customHeight="false" outlineLevel="0" collapsed="false">
      <c r="A323" s="2" t="n">
        <v>308</v>
      </c>
      <c r="B323" s="2" t="n">
        <v>0.871971316</v>
      </c>
      <c r="C323" s="2"/>
      <c r="D323" s="2" t="n">
        <v>0.980467269</v>
      </c>
      <c r="E323" s="2" t="n">
        <f aca="false">IF(E$7=E$5,E$6,IF(NORMSDIST(E$9*SQRT($C$11)*NORMSINV($B323)+SQRT(1-E$9^2*$C$11)*NORMSINV(D323))&lt;E$8,E$5+SQRT(NORMSDIST(E$9*SQRT($C$11)*NORMSINV($B323)+SQRT(1-E$9^2*$C$11)*NORMSINV(D323))*(E$7-E$5)*(E$6-E$5)),E$7-SQRT((1-NORMSDIST(E$9*SQRT($C$11)*NORMSINV($B323)+SQRT(1-E$9^2*$C$11)*NORMSINV(D323)))*(E$7-E$5)*(E$7-E$6))))</f>
        <v>0.0592837535141938</v>
      </c>
      <c r="F323" s="2" t="n">
        <v>0.990758455</v>
      </c>
      <c r="G323" s="2" t="n">
        <f aca="false">IF(G$7=G$5,G$6,IF(NORMSDIST(G$9*SQRT($C$11)*NORMSINV($B323)+SQRT(1-G$9^2*$C$11)*NORMSINV(F323))&lt;G$8,G$5+SQRT(NORMSDIST(G$9*SQRT($C$11)*NORMSINV($B323)+SQRT(1-G$9^2*$C$11)*NORMSINV(F323))*(G$7-G$5)*(G$6-G$5)),G$7-SQRT((1-NORMSDIST(G$9*SQRT($C$11)*NORMSINV($B323)+SQRT(1-G$9^2*$C$11)*NORMSINV(F323)))*(G$7-G$5)*(G$7-G$6))))</f>
        <v>0.0684277087545766</v>
      </c>
      <c r="H323" s="2" t="n">
        <v>0.763650362</v>
      </c>
      <c r="I323" s="2" t="n">
        <f aca="false">IF(I$7=I$5,I$6,IF(NORMSDIST(I$9*SQRT($C$11)*NORMSINV($B323)+SQRT(1-I$9^2*$C$11)*NORMSINV(H323))&lt;I$8,I$5+SQRT(NORMSDIST(I$9*SQRT($C$11)*NORMSINV($B323)+SQRT(1-I$9^2*$C$11)*NORMSINV(H323))*(I$7-I$5)*(I$6-I$5)),I$7-SQRT((1-NORMSDIST(I$9*SQRT($C$11)*NORMSINV($B323)+SQRT(1-I$9^2*$C$11)*NORMSINV(H323)))*(I$7-I$5)*(I$7-I$6))))</f>
        <v>211.000702213698</v>
      </c>
      <c r="J323" s="2" t="n">
        <v>0.789540993</v>
      </c>
      <c r="K323" s="2" t="n">
        <f aca="false">IF(K$7=K$5,K$6,IF(NORMSDIST(K$9*SQRT($C$11)*NORMSINV($B323)+SQRT(1-K$9^2*$C$11)*NORMSINV(J323))&lt;K$8,K$5+SQRT(NORMSDIST(K$9*SQRT($C$11)*NORMSINV($B323)+SQRT(1-K$9^2*$C$11)*NORMSINV(J323))*(K$7-K$5)*(K$6-K$5)),K$7-SQRT((1-NORMSDIST(K$9*SQRT($C$11)*NORMSINV($B323)+SQRT(1-K$9^2*$C$11)*NORMSINV(J323)))*(K$7-K$5)*(K$7-K$6))))</f>
        <v>0.394027783558935</v>
      </c>
      <c r="L323" s="2" t="n">
        <v>0.347908457</v>
      </c>
      <c r="M323" s="2" t="n">
        <f aca="false">IF(M$7=M$5,M$6,IF(NORMSDIST(M$9*SQRT($C$11)*NORMSINV($B323)+SQRT(1-M$9^2*$C$11)*NORMSINV(L323))&lt;M$8,M$5+SQRT(NORMSDIST(M$9*SQRT($C$11)*NORMSINV($B323)+SQRT(1-M$9^2*$C$11)*NORMSINV(L323))*(M$7-M$5)*(M$6-M$5)),M$7-SQRT((1-NORMSDIST(M$9*SQRT($C$11)*NORMSINV($B323)+SQRT(1-M$9^2*$C$11)*NORMSINV(L323)))*(M$7-M$5)*(M$7-M$6))))</f>
        <v>1627.63723919936</v>
      </c>
      <c r="N323" s="2" t="n">
        <v>0.098982764</v>
      </c>
      <c r="O323" s="2" t="n">
        <f aca="false">IF(O$7=O$5,O$6,IF(NORMSDIST(O$9*SQRT($C$11)*NORMSINV($B323)+SQRT(1-O$9^2*$C$11)*NORMSINV(N323))&lt;O$8,O$5+SQRT(NORMSDIST(O$9*SQRT($C$11)*NORMSINV($B323)+SQRT(1-O$9^2*$C$11)*NORMSINV(N323))*(O$7-O$5)*(O$6-O$5)),O$7-SQRT((1-NORMSDIST(O$9*SQRT($C$11)*NORMSINV($B323)+SQRT(1-O$9^2*$C$11)*NORMSINV(N323)))*(O$7-O$5)*(O$7-O$6))))</f>
        <v>0.163660591506683</v>
      </c>
      <c r="P323" s="2" t="n">
        <v>0.107673367</v>
      </c>
      <c r="Q323" s="2" t="n">
        <f aca="false">IF(Q$7=Q$5,Q$6,IF(NORMSDIST(Q$9*SQRT($C$11)*NORMSINV($B323)+SQRT(1-Q$9^2*$C$11)*NORMSINV(P323))&lt;Q$8,Q$5+SQRT(NORMSDIST(Q$9*SQRT($C$11)*NORMSINV($B323)+SQRT(1-Q$9^2*$C$11)*NORMSINV(P323))*(Q$7-Q$5)*(Q$6-Q$5)),Q$7-SQRT((1-NORMSDIST(Q$9*SQRT($C$11)*NORMSINV($B323)+SQRT(1-Q$9^2*$C$11)*NORMSINV(P323)))*(Q$7-Q$5)*(Q$7-Q$6))))</f>
        <v>0.0585621866815308</v>
      </c>
      <c r="R323" s="2" t="n">
        <v>0.682279642</v>
      </c>
      <c r="S323" s="2" t="n">
        <f aca="false">IF(S$7=S$5,S$6,IF(NORMSDIST(S$9*SQRT($C$11)*NORMSINV($B323)+SQRT(1-S$9^2*$C$11)*NORMSINV(R323))&lt;S$8,S$5+SQRT(NORMSDIST(S$9*SQRT($C$11)*NORMSINV($B323)+SQRT(1-S$9^2*$C$11)*NORMSINV(R323))*(S$7-S$5)*(S$6-S$5)),S$7-SQRT((1-NORMSDIST(S$9*SQRT($C$11)*NORMSINV($B323)+SQRT(1-S$9^2*$C$11)*NORMSINV(R323)))*(S$7-S$5)*(S$7-S$6))))</f>
        <v>0.736522093384573</v>
      </c>
      <c r="T323" s="2" t="n">
        <v>0.72923305</v>
      </c>
      <c r="U323" s="2" t="n">
        <f aca="false">IF(U$7=U$5,U$6,IF(NORMSDIST(U$9*SQRT($C$11)*NORMSINV($B323)+SQRT(1-U$9^2*$C$11)*NORMSINV(T323))&lt;U$8,U$5+SQRT(NORMSDIST(U$9*SQRT($C$11)*NORMSINV($B323)+SQRT(1-U$9^2*$C$11)*NORMSINV(T323))*(U$7-U$5)*(U$6-U$5)),U$7-SQRT((1-NORMSDIST(U$9*SQRT($C$11)*NORMSINV($B323)+SQRT(1-U$9^2*$C$11)*NORMSINV(T323)))*(U$7-U$5)*(U$7-U$6))))</f>
        <v>0.758352910973545</v>
      </c>
      <c r="V323" s="2" t="n">
        <v>0.957681092</v>
      </c>
      <c r="W323" s="2" t="n">
        <f aca="false">IF(W$7=W$5,W$6,IF(NORMSDIST(W$9*SQRT($C$11)*NORMSINV($B323)+SQRT(1-W$9^2*$C$11)*NORMSINV(V323))&lt;W$8,W$5+SQRT(NORMSDIST(W$9*SQRT($C$11)*NORMSINV($B323)+SQRT(1-W$9^2*$C$11)*NORMSINV(V323))*(W$7-W$5)*(W$6-W$5)),W$7-SQRT((1-NORMSDIST(W$9*SQRT($C$11)*NORMSINV($B323)+SQRT(1-W$9^2*$C$11)*NORMSINV(V323)))*(W$7-W$5)*(W$7-W$6))))</f>
        <v>11.6001324036947</v>
      </c>
      <c r="X323" s="2" t="n">
        <v>0.556053809</v>
      </c>
      <c r="Y323" s="2" t="n">
        <f aca="false">IF(Y$7=Y$5,Y$6,IF(NORMSDIST(Y$9*SQRT($C$11)*NORMSINV($B323)+SQRT(1-Y$9^2*$C$11)*NORMSINV(X323))&lt;Y$8,Y$5+SQRT(NORMSDIST(Y$9*SQRT($C$11)*NORMSINV($B323)+SQRT(1-Y$9^2*$C$11)*NORMSINV(X323))*(Y$7-Y$5)*(Y$6-Y$5)),Y$7-SQRT((1-NORMSDIST(Y$9*SQRT($C$11)*NORMSINV($B323)+SQRT(1-Y$9^2*$C$11)*NORMSINV(X323)))*(Y$7-Y$5)*(Y$7-Y$6))))</f>
        <v>0.528859792100059</v>
      </c>
      <c r="Z323" s="2" t="n">
        <v>0.418903631</v>
      </c>
      <c r="AA323" s="2" t="n">
        <f aca="false">IF(AA$7=AA$5,AA$6,IF(NORMSDIST(AA$9*SQRT($C$11)*NORMSINV($B323)+SQRT(1-AA$9^2*$C$11)*NORMSINV(Z323))&lt;AA$8,AA$5+SQRT(NORMSDIST(AA$9*SQRT($C$11)*NORMSINV($B323)+SQRT(1-AA$9^2*$C$11)*NORMSINV(Z323))*(AA$7-AA$5)*(AA$6-AA$5)),AA$7-SQRT((1-NORMSDIST(AA$9*SQRT($C$11)*NORMSINV($B323)+SQRT(1-AA$9^2*$C$11)*NORMSINV(Z323)))*(AA$7-AA$5)*(AA$7-AA$6))))</f>
        <v>0.734635736592382</v>
      </c>
      <c r="AB323" s="2" t="n">
        <v>0.324216647</v>
      </c>
      <c r="AC323" s="2" t="n">
        <f aca="false">IF(AC$7=AC$5,AC$6,IF(NORMSDIST(AC$9*SQRT($C$11)*NORMSINV($B323)+SQRT(1-AC$9^2*$C$11)*NORMSINV(AB323))&lt;AC$8,AC$5+SQRT(NORMSDIST(AC$9*SQRT($C$11)*NORMSINV($B323)+SQRT(1-AC$9^2*$C$11)*NORMSINV(AB323))*(AC$7-AC$5)*(AC$6-AC$5)),AC$7-SQRT((1-NORMSDIST(AC$9*SQRT($C$11)*NORMSINV($B323)+SQRT(1-AC$9^2*$C$11)*NORMSINV(AB323)))*(AC$7-AC$5)*(AC$7-AC$6))))</f>
        <v>9.75609744383613</v>
      </c>
      <c r="AD323" s="2" t="n">
        <f aca="false">Entrées!$C$8*(1+E323)</f>
        <v>7467.95046227507</v>
      </c>
      <c r="AE323" s="2" t="n">
        <f aca="false">I323*Hypothèses!$J$24/12/Hypothèses!$J$19</f>
        <v>104.676773034196</v>
      </c>
      <c r="AF323" s="2" t="n">
        <f aca="false">Entrées!$C$36*S323*1000</f>
        <v>368.261046692287</v>
      </c>
      <c r="AG323" s="2" t="n">
        <f aca="false">-AF323/W323</f>
        <v>-31.7462796006531</v>
      </c>
      <c r="AH323" s="2" t="n">
        <f aca="false">AD323+AE323+AG323</f>
        <v>7540.88095570861</v>
      </c>
      <c r="AI323" s="2" t="n">
        <f aca="false">Entrées!$C$16-M323+Hypothèses!$J$22*1000-AF323+Hypothèses!$J$23</f>
        <v>22552.1017141084</v>
      </c>
      <c r="AJ323" s="2" t="n">
        <f aca="false">AI323/AH323</f>
        <v>2.99064550237143</v>
      </c>
      <c r="AK323" s="2" t="n">
        <f aca="false">AI323/(AH323+I323*(12-Hypothèses!$J$24)/12/Hypothèses!$J$19)</f>
        <v>2.96128386667787</v>
      </c>
      <c r="AL323" s="2" t="n">
        <f aca="false">(AD323+AG323+I323/Hypothèses!$J$19)*(1+G323)</f>
        <v>8136.77156490788</v>
      </c>
      <c r="AM323" s="2" t="n">
        <f aca="false">Entrées!$C$54*K323/Hypothèses!$J$19</f>
        <v>40.2121897279416</v>
      </c>
      <c r="AN323" s="2" t="n">
        <f aca="false">Y323*1000/AC323</f>
        <v>54.208129341122</v>
      </c>
      <c r="AO323" s="2" t="n">
        <f aca="false">(Entrées!$C$36*(1-S323)+MAX(0,Entrées!$C$30-Entrées!$C$35-Entrées!$C$36)*U323)*1000</f>
        <v>1193.43302867068</v>
      </c>
      <c r="AP323" s="2" t="n">
        <f aca="false">-AO323/W323</f>
        <v>-102.880983348998</v>
      </c>
      <c r="AQ323" s="2" t="n">
        <f aca="false">AL323+AM323+AN323+AP323</f>
        <v>8128.31090062794</v>
      </c>
      <c r="AR323" s="2" t="n">
        <f aca="false">O323*AQ323-Hypothèses!$J$25/Hypothèses!$J$19</f>
        <v>1311.14900768536</v>
      </c>
      <c r="AS323" s="2" t="n">
        <f aca="false">Entrées!$C$79*(1+Q323)+Hypothèses!$J$20</f>
        <v>1458.359843163</v>
      </c>
      <c r="AT323" s="2" t="n">
        <f aca="false">AI323-AR323+AS323+Y323*1000-AO323+Hypothèses!$J$23</f>
        <v>22034.7393130154</v>
      </c>
      <c r="AU323" s="2" t="n">
        <f aca="false">AT323/AQ323</f>
        <v>2.71086325097544</v>
      </c>
      <c r="AV323" s="2" t="n">
        <f aca="false">Hypothèses!$J$26*AQ323-AT323</f>
        <v>2350.19338886845</v>
      </c>
      <c r="AW323" s="2" t="n">
        <f aca="false">IF(AC323&gt;Hypothèses!$J$26,MAX(0,AV323)/(1-Hypothèses!$J$26/AC323),0)</f>
        <v>3393.78108505212</v>
      </c>
      <c r="AX323" s="2" t="n">
        <f aca="false">AQ323-Entrées!$C$17*1000</f>
        <v>128.310900627943</v>
      </c>
      <c r="AY323" s="2" t="n">
        <f aca="false">AI323+(Entrées!$C$244-Entrées!$C$13)</f>
        <v>28299.1017141084</v>
      </c>
      <c r="AZ323" s="2" t="n">
        <f aca="false">AA323*AH323</f>
        <v>5539.80063545246</v>
      </c>
      <c r="BA323" s="2" t="n">
        <f aca="false">AZ323/AY323</f>
        <v>0.195758886321491</v>
      </c>
      <c r="BB323" s="2" t="n">
        <f aca="false">AZ323/(Entrées!$C$151/100)-AY323</f>
        <v>2477.56848284974</v>
      </c>
      <c r="BC323" s="2" t="n">
        <f aca="false">AT323+(Entrées!$C$244-Entrées!$C$13)</f>
        <v>27781.7393130154</v>
      </c>
      <c r="BD323" s="2" t="n">
        <f aca="false">AA323*AQ323</f>
        <v>5971.34766573469</v>
      </c>
      <c r="BE323" s="2" t="n">
        <f aca="false">BD323/BC323</f>
        <v>0.21493786254546</v>
      </c>
      <c r="BF323" s="2" t="n">
        <f aca="false">BD323/(Entrées!$C$151/100)-BC323</f>
        <v>5392.4143855107</v>
      </c>
      <c r="BG323" s="2" t="n">
        <f aca="false">MIN(AV323,BF323)</f>
        <v>2350.19338886845</v>
      </c>
      <c r="BH323" s="2" t="n">
        <f aca="false">IF(AC323&gt;Hypothèses!$J$26,MAX(0,BG323)/(1-Hypothèses!$J$26/AC323),0)</f>
        <v>3393.78108505212</v>
      </c>
    </row>
    <row r="324" customFormat="false" ht="15" hidden="false" customHeight="false" outlineLevel="0" collapsed="false">
      <c r="A324" s="2" t="n">
        <v>309</v>
      </c>
      <c r="B324" s="2" t="n">
        <v>0.677733844</v>
      </c>
      <c r="C324" s="2"/>
      <c r="D324" s="2" t="n">
        <v>0.77281091</v>
      </c>
      <c r="E324" s="2" t="n">
        <f aca="false">IF(E$7=E$5,E$6,IF(NORMSDIST(E$9*SQRT($C$11)*NORMSINV($B324)+SQRT(1-E$9^2*$C$11)*NORMSINV(D324))&lt;E$8,E$5+SQRT(NORMSDIST(E$9*SQRT($C$11)*NORMSINV($B324)+SQRT(1-E$9^2*$C$11)*NORMSINV(D324))*(E$7-E$5)*(E$6-E$5)),E$7-SQRT((1-NORMSDIST(E$9*SQRT($C$11)*NORMSINV($B324)+SQRT(1-E$9^2*$C$11)*NORMSINV(D324)))*(E$7-E$5)*(E$7-E$6))))</f>
        <v>0.05690326713881</v>
      </c>
      <c r="F324" s="2" t="n">
        <v>0.761013232</v>
      </c>
      <c r="G324" s="2" t="n">
        <f aca="false">IF(G$7=G$5,G$6,IF(NORMSDIST(G$9*SQRT($C$11)*NORMSINV($B324)+SQRT(1-G$9^2*$C$11)*NORMSINV(F324))&lt;G$8,G$5+SQRT(NORMSDIST(G$9*SQRT($C$11)*NORMSINV($B324)+SQRT(1-G$9^2*$C$11)*NORMSINV(F324))*(G$7-G$5)*(G$6-G$5)),G$7-SQRT((1-NORMSDIST(G$9*SQRT($C$11)*NORMSINV($B324)+SQRT(1-G$9^2*$C$11)*NORMSINV(F324)))*(G$7-G$5)*(G$7-G$6))))</f>
        <v>0.0605118570241968</v>
      </c>
      <c r="H324" s="2" t="n">
        <v>0.853126028</v>
      </c>
      <c r="I324" s="2" t="n">
        <f aca="false">IF(I$7=I$5,I$6,IF(NORMSDIST(I$9*SQRT($C$11)*NORMSINV($B324)+SQRT(1-I$9^2*$C$11)*NORMSINV(H324))&lt;I$8,I$5+SQRT(NORMSDIST(I$9*SQRT($C$11)*NORMSINV($B324)+SQRT(1-I$9^2*$C$11)*NORMSINV(H324))*(I$7-I$5)*(I$6-I$5)),I$7-SQRT((1-NORMSDIST(I$9*SQRT($C$11)*NORMSINV($B324)+SQRT(1-I$9^2*$C$11)*NORMSINV(H324)))*(I$7-I$5)*(I$7-I$6))))</f>
        <v>209.62449126771</v>
      </c>
      <c r="J324" s="2" t="n">
        <v>0.723239876</v>
      </c>
      <c r="K324" s="2" t="n">
        <f aca="false">IF(K$7=K$5,K$6,IF(NORMSDIST(K$9*SQRT($C$11)*NORMSINV($B324)+SQRT(1-K$9^2*$C$11)*NORMSINV(J324))&lt;K$8,K$5+SQRT(NORMSDIST(K$9*SQRT($C$11)*NORMSINV($B324)+SQRT(1-K$9^2*$C$11)*NORMSINV(J324))*(K$7-K$5)*(K$6-K$5)),K$7-SQRT((1-NORMSDIST(K$9*SQRT($C$11)*NORMSINV($B324)+SQRT(1-K$9^2*$C$11)*NORMSINV(J324)))*(K$7-K$5)*(K$7-K$6))))</f>
        <v>0.331772281821376</v>
      </c>
      <c r="L324" s="2" t="n">
        <v>0.724270127</v>
      </c>
      <c r="M324" s="2" t="n">
        <f aca="false">IF(M$7=M$5,M$6,IF(NORMSDIST(M$9*SQRT($C$11)*NORMSINV($B324)+SQRT(1-M$9^2*$C$11)*NORMSINV(L324))&lt;M$8,M$5+SQRT(NORMSDIST(M$9*SQRT($C$11)*NORMSINV($B324)+SQRT(1-M$9^2*$C$11)*NORMSINV(L324))*(M$7-M$5)*(M$6-M$5)),M$7-SQRT((1-NORMSDIST(M$9*SQRT($C$11)*NORMSINV($B324)+SQRT(1-M$9^2*$C$11)*NORMSINV(L324)))*(M$7-M$5)*(M$7-M$6))))</f>
        <v>1657.85984258405</v>
      </c>
      <c r="N324" s="2" t="n">
        <v>0.953970013</v>
      </c>
      <c r="O324" s="2" t="n">
        <f aca="false">IF(O$7=O$5,O$6,IF(NORMSDIST(O$9*SQRT($C$11)*NORMSINV($B324)+SQRT(1-O$9^2*$C$11)*NORMSINV(N324))&lt;O$8,O$5+SQRT(NORMSDIST(O$9*SQRT($C$11)*NORMSINV($B324)+SQRT(1-O$9^2*$C$11)*NORMSINV(N324))*(O$7-O$5)*(O$6-O$5)),O$7-SQRT((1-NORMSDIST(O$9*SQRT($C$11)*NORMSINV($B324)+SQRT(1-O$9^2*$C$11)*NORMSINV(N324)))*(O$7-O$5)*(O$7-O$6))))</f>
        <v>0.182334396768761</v>
      </c>
      <c r="P324" s="2" t="n">
        <v>0.235061938</v>
      </c>
      <c r="Q324" s="2" t="n">
        <f aca="false">IF(Q$7=Q$5,Q$6,IF(NORMSDIST(Q$9*SQRT($C$11)*NORMSINV($B324)+SQRT(1-Q$9^2*$C$11)*NORMSINV(P324))&lt;Q$8,Q$5+SQRT(NORMSDIST(Q$9*SQRT($C$11)*NORMSINV($B324)+SQRT(1-Q$9^2*$C$11)*NORMSINV(P324))*(Q$7-Q$5)*(Q$6-Q$5)),Q$7-SQRT((1-NORMSDIST(Q$9*SQRT($C$11)*NORMSINV($B324)+SQRT(1-Q$9^2*$C$11)*NORMSINV(P324)))*(Q$7-Q$5)*(Q$7-Q$6))))</f>
        <v>0.067426231997852</v>
      </c>
      <c r="R324" s="2" t="n">
        <v>0.481765703</v>
      </c>
      <c r="S324" s="2" t="n">
        <f aca="false">IF(S$7=S$5,S$6,IF(NORMSDIST(S$9*SQRT($C$11)*NORMSINV($B324)+SQRT(1-S$9^2*$C$11)*NORMSINV(R324))&lt;S$8,S$5+SQRT(NORMSDIST(S$9*SQRT($C$11)*NORMSINV($B324)+SQRT(1-S$9^2*$C$11)*NORMSINV(R324))*(S$7-S$5)*(S$6-S$5)),S$7-SQRT((1-NORMSDIST(S$9*SQRT($C$11)*NORMSINV($B324)+SQRT(1-S$9^2*$C$11)*NORMSINV(R324)))*(S$7-S$5)*(S$7-S$6))))</f>
        <v>0.553441706178594</v>
      </c>
      <c r="T324" s="2" t="n">
        <v>0.798458444</v>
      </c>
      <c r="U324" s="2" t="n">
        <f aca="false">IF(U$7=U$5,U$6,IF(NORMSDIST(U$9*SQRT($C$11)*NORMSINV($B324)+SQRT(1-U$9^2*$C$11)*NORMSINV(T324))&lt;U$8,U$5+SQRT(NORMSDIST(U$9*SQRT($C$11)*NORMSINV($B324)+SQRT(1-U$9^2*$C$11)*NORMSINV(T324))*(U$7-U$5)*(U$6-U$5)),U$7-SQRT((1-NORMSDIST(U$9*SQRT($C$11)*NORMSINV($B324)+SQRT(1-U$9^2*$C$11)*NORMSINV(T324)))*(U$7-U$5)*(U$7-U$6))))</f>
        <v>0.705256288057896</v>
      </c>
      <c r="V324" s="2" t="n">
        <v>0.514670437</v>
      </c>
      <c r="W324" s="2" t="n">
        <f aca="false">IF(W$7=W$5,W$6,IF(NORMSDIST(W$9*SQRT($C$11)*NORMSINV($B324)+SQRT(1-W$9^2*$C$11)*NORMSINV(V324))&lt;W$8,W$5+SQRT(NORMSDIST(W$9*SQRT($C$11)*NORMSINV($B324)+SQRT(1-W$9^2*$C$11)*NORMSINV(V324))*(W$7-W$5)*(W$6-W$5)),W$7-SQRT((1-NORMSDIST(W$9*SQRT($C$11)*NORMSINV($B324)+SQRT(1-W$9^2*$C$11)*NORMSINV(V324)))*(W$7-W$5)*(W$7-W$6))))</f>
        <v>10.2693928763332</v>
      </c>
      <c r="X324" s="2" t="n">
        <v>0.807033113</v>
      </c>
      <c r="Y324" s="2" t="n">
        <f aca="false">IF(Y$7=Y$5,Y$6,IF(NORMSDIST(Y$9*SQRT($C$11)*NORMSINV($B324)+SQRT(1-Y$9^2*$C$11)*NORMSINV(X324))&lt;Y$8,Y$5+SQRT(NORMSDIST(Y$9*SQRT($C$11)*NORMSINV($B324)+SQRT(1-Y$9^2*$C$11)*NORMSINV(X324))*(Y$7-Y$5)*(Y$6-Y$5)),Y$7-SQRT((1-NORMSDIST(Y$9*SQRT($C$11)*NORMSINV($B324)+SQRT(1-Y$9^2*$C$11)*NORMSINV(X324)))*(Y$7-Y$5)*(Y$7-Y$6))))</f>
        <v>0.689382158432585</v>
      </c>
      <c r="Z324" s="2" t="n">
        <v>0.850884667</v>
      </c>
      <c r="AA324" s="2" t="n">
        <f aca="false">IF(AA$7=AA$5,AA$6,IF(NORMSDIST(AA$9*SQRT($C$11)*NORMSINV($B324)+SQRT(1-AA$9^2*$C$11)*NORMSINV(Z324))&lt;AA$8,AA$5+SQRT(NORMSDIST(AA$9*SQRT($C$11)*NORMSINV($B324)+SQRT(1-AA$9^2*$C$11)*NORMSINV(Z324))*(AA$7-AA$5)*(AA$6-AA$5)),AA$7-SQRT((1-NORMSDIST(AA$9*SQRT($C$11)*NORMSINV($B324)+SQRT(1-AA$9^2*$C$11)*NORMSINV(Z324)))*(AA$7-AA$5)*(AA$7-AA$6))))</f>
        <v>0.740639523766654</v>
      </c>
      <c r="AB324" s="2" t="n">
        <v>0.138257049</v>
      </c>
      <c r="AC324" s="2" t="n">
        <f aca="false">IF(AC$7=AC$5,AC$6,IF(NORMSDIST(AC$9*SQRT($C$11)*NORMSINV($B324)+SQRT(1-AC$9^2*$C$11)*NORMSINV(AB324))&lt;AC$8,AC$5+SQRT(NORMSDIST(AC$9*SQRT($C$11)*NORMSINV($B324)+SQRT(1-AC$9^2*$C$11)*NORMSINV(AB324))*(AC$7-AC$5)*(AC$6-AC$5)),AC$7-SQRT((1-NORMSDIST(AC$9*SQRT($C$11)*NORMSINV($B324)+SQRT(1-AC$9^2*$C$11)*NORMSINV(AB324)))*(AC$7-AC$5)*(AC$7-AC$6))))</f>
        <v>8.98503687728065</v>
      </c>
      <c r="AD324" s="2" t="n">
        <f aca="false">Entrées!$C$8*(1+E324)</f>
        <v>7451.16803332861</v>
      </c>
      <c r="AE324" s="2" t="n">
        <f aca="false">I324*Hypothèses!$J$24/12/Hypothèses!$J$19</f>
        <v>103.994039188626</v>
      </c>
      <c r="AF324" s="2" t="n">
        <f aca="false">Entrées!$C$36*S324*1000</f>
        <v>276.720853089297</v>
      </c>
      <c r="AG324" s="2" t="n">
        <f aca="false">-AF324/W324</f>
        <v>-26.9461745617921</v>
      </c>
      <c r="AH324" s="2" t="n">
        <f aca="false">AD324+AE324+AG324</f>
        <v>7528.21589795544</v>
      </c>
      <c r="AI324" s="2" t="n">
        <f aca="false">Entrées!$C$16-M324+Hypothèses!$J$22*1000-AF324+Hypothèses!$J$23</f>
        <v>22613.4193043267</v>
      </c>
      <c r="AJ324" s="2" t="n">
        <f aca="false">AI324/AH324</f>
        <v>3.00382183652147</v>
      </c>
      <c r="AK324" s="2" t="n">
        <f aca="false">AI324/(AH324+I324*(12-Hypothèses!$J$24)/12/Hypothèses!$J$19)</f>
        <v>2.97447249894612</v>
      </c>
      <c r="AL324" s="2" t="n">
        <f aca="false">(AD324+AG324+I324/Hypothèses!$J$19)*(1+G324)</f>
        <v>8062.53858746222</v>
      </c>
      <c r="AM324" s="2" t="n">
        <f aca="false">Entrées!$C$54*K324/Hypothèses!$J$19</f>
        <v>33.8587543816636</v>
      </c>
      <c r="AN324" s="2" t="n">
        <f aca="false">Y324*1000/AC324</f>
        <v>76.7255791877427</v>
      </c>
      <c r="AO324" s="2" t="n">
        <f aca="false">(Entrées!$C$36*(1-S324)+MAX(0,Entrées!$C$30-Entrées!$C$35-Entrées!$C$36)*U324)*1000</f>
        <v>1210.63795019176</v>
      </c>
      <c r="AP324" s="2" t="n">
        <f aca="false">-AO324/W324</f>
        <v>-117.887976900932</v>
      </c>
      <c r="AQ324" s="2" t="n">
        <f aca="false">AL324+AM324+AN324+AP324</f>
        <v>8055.2349441307</v>
      </c>
      <c r="AR324" s="2" t="n">
        <f aca="false">O324*AQ324-Hypothèses!$J$25/Hypothèses!$J$19</f>
        <v>1449.61124210709</v>
      </c>
      <c r="AS324" s="2" t="n">
        <f aca="false">Entrées!$C$79*(1+Q324)+Hypothèses!$J$20</f>
        <v>1468.10142896564</v>
      </c>
      <c r="AT324" s="2" t="n">
        <f aca="false">AI324-AR324+AS324+Y324*1000-AO324+Hypothèses!$J$23</f>
        <v>22110.653699426</v>
      </c>
      <c r="AU324" s="2" t="n">
        <f aca="false">AT324/AQ324</f>
        <v>2.74488005039959</v>
      </c>
      <c r="AV324" s="2" t="n">
        <f aca="false">Hypothèses!$J$26*AQ324-AT324</f>
        <v>2055.05113296606</v>
      </c>
      <c r="AW324" s="2" t="n">
        <f aca="false">IF(AC324&gt;Hypothèses!$J$26,MAX(0,AV324)/(1-Hypothèses!$J$26/AC324),0)</f>
        <v>3085.1456044473</v>
      </c>
      <c r="AX324" s="2" t="n">
        <f aca="false">AQ324-Entrées!$C$17*1000</f>
        <v>55.234944130696</v>
      </c>
      <c r="AY324" s="2" t="n">
        <f aca="false">AI324+(Entrées!$C$244-Entrées!$C$13)</f>
        <v>28360.4193043267</v>
      </c>
      <c r="AZ324" s="2" t="n">
        <f aca="false">AA324*AH324</f>
        <v>5575.69423747427</v>
      </c>
      <c r="BA324" s="2" t="n">
        <f aca="false">AZ324/AY324</f>
        <v>0.196601262401774</v>
      </c>
      <c r="BB324" s="2" t="n">
        <f aca="false">AZ324/(Entrées!$C$151/100)-AY324</f>
        <v>2615.65979275262</v>
      </c>
      <c r="BC324" s="2" t="n">
        <f aca="false">AT324+(Entrées!$C$244-Entrées!$C$13)</f>
        <v>27857.653699426</v>
      </c>
      <c r="BD324" s="2" t="n">
        <f aca="false">AA324*AQ324</f>
        <v>5966.02537284947</v>
      </c>
      <c r="BE324" s="2" t="n">
        <f aca="false">BD324/BC324</f>
        <v>0.214161086113738</v>
      </c>
      <c r="BF324" s="2" t="n">
        <f aca="false">BD324/(Entrées!$C$151/100)-BC324</f>
        <v>5286.93170529322</v>
      </c>
      <c r="BG324" s="2" t="n">
        <f aca="false">MIN(AV324,BF324)</f>
        <v>2055.05113296606</v>
      </c>
      <c r="BH324" s="2" t="n">
        <f aca="false">IF(AC324&gt;Hypothèses!$J$26,MAX(0,BG324)/(1-Hypothèses!$J$26/AC324),0)</f>
        <v>3085.1456044473</v>
      </c>
    </row>
    <row r="325" customFormat="false" ht="15" hidden="false" customHeight="false" outlineLevel="0" collapsed="false">
      <c r="A325" s="2" t="n">
        <v>310</v>
      </c>
      <c r="B325" s="2" t="n">
        <v>0.554874017</v>
      </c>
      <c r="C325" s="2"/>
      <c r="D325" s="2" t="n">
        <v>0.679923614</v>
      </c>
      <c r="E325" s="2" t="n">
        <f aca="false">IF(E$7=E$5,E$6,IF(NORMSDIST(E$9*SQRT($C$11)*NORMSINV($B325)+SQRT(1-E$9^2*$C$11)*NORMSINV(D325))&lt;E$8,E$5+SQRT(NORMSDIST(E$9*SQRT($C$11)*NORMSINV($B325)+SQRT(1-E$9^2*$C$11)*NORMSINV(D325))*(E$7-E$5)*(E$6-E$5)),E$7-SQRT((1-NORMSDIST(E$9*SQRT($C$11)*NORMSINV($B325)+SQRT(1-E$9^2*$C$11)*NORMSINV(D325)))*(E$7-E$5)*(E$7-E$6))))</f>
        <v>0.0559590965234625</v>
      </c>
      <c r="F325" s="2" t="n">
        <v>0.865950095</v>
      </c>
      <c r="G325" s="2" t="n">
        <f aca="false">IF(G$7=G$5,G$6,IF(NORMSDIST(G$9*SQRT($C$11)*NORMSINV($B325)+SQRT(1-G$9^2*$C$11)*NORMSINV(F325))&lt;G$8,G$5+SQRT(NORMSDIST(G$9*SQRT($C$11)*NORMSINV($B325)+SQRT(1-G$9^2*$C$11)*NORMSINV(F325))*(G$7-G$5)*(G$6-G$5)),G$7-SQRT((1-NORMSDIST(G$9*SQRT($C$11)*NORMSINV($B325)+SQRT(1-G$9^2*$C$11)*NORMSINV(F325)))*(G$7-G$5)*(G$7-G$6))))</f>
        <v>0.0611944778704614</v>
      </c>
      <c r="H325" s="2" t="n">
        <v>0.398505657</v>
      </c>
      <c r="I325" s="2" t="n">
        <f aca="false">IF(I$7=I$5,I$6,IF(NORMSDIST(I$9*SQRT($C$11)*NORMSINV($B325)+SQRT(1-I$9^2*$C$11)*NORMSINV(H325))&lt;I$8,I$5+SQRT(NORMSDIST(I$9*SQRT($C$11)*NORMSINV($B325)+SQRT(1-I$9^2*$C$11)*NORMSINV(H325))*(I$7-I$5)*(I$6-I$5)),I$7-SQRT((1-NORMSDIST(I$9*SQRT($C$11)*NORMSINV($B325)+SQRT(1-I$9^2*$C$11)*NORMSINV(H325)))*(I$7-I$5)*(I$7-I$6))))</f>
        <v>199.087664983625</v>
      </c>
      <c r="J325" s="2" t="n">
        <v>0.287289889</v>
      </c>
      <c r="K325" s="2" t="n">
        <f aca="false">IF(K$7=K$5,K$6,IF(NORMSDIST(K$9*SQRT($C$11)*NORMSINV($B325)+SQRT(1-K$9^2*$C$11)*NORMSINV(J325))&lt;K$8,K$5+SQRT(NORMSDIST(K$9*SQRT($C$11)*NORMSINV($B325)+SQRT(1-K$9^2*$C$11)*NORMSINV(J325))*(K$7-K$5)*(K$6-K$5)),K$7-SQRT((1-NORMSDIST(K$9*SQRT($C$11)*NORMSINV($B325)+SQRT(1-K$9^2*$C$11)*NORMSINV(J325)))*(K$7-K$5)*(K$7-K$6))))</f>
        <v>0.213335968436452</v>
      </c>
      <c r="L325" s="2" t="n">
        <v>0.385604904</v>
      </c>
      <c r="M325" s="2" t="n">
        <f aca="false">IF(M$7=M$5,M$6,IF(NORMSDIST(M$9*SQRT($C$11)*NORMSINV($B325)+SQRT(1-M$9^2*$C$11)*NORMSINV(L325))&lt;M$8,M$5+SQRT(NORMSDIST(M$9*SQRT($C$11)*NORMSINV($B325)+SQRT(1-M$9^2*$C$11)*NORMSINV(L325))*(M$7-M$5)*(M$6-M$5)),M$7-SQRT((1-NORMSDIST(M$9*SQRT($C$11)*NORMSINV($B325)+SQRT(1-M$9^2*$C$11)*NORMSINV(L325)))*(M$7-M$5)*(M$7-M$6))))</f>
        <v>1569.41940200567</v>
      </c>
      <c r="N325" s="2" t="n">
        <v>0.976157791</v>
      </c>
      <c r="O325" s="2" t="n">
        <f aca="false">IF(O$7=O$5,O$6,IF(NORMSDIST(O$9*SQRT($C$11)*NORMSINV($B325)+SQRT(1-O$9^2*$C$11)*NORMSINV(N325))&lt;O$8,O$5+SQRT(NORMSDIST(O$9*SQRT($C$11)*NORMSINV($B325)+SQRT(1-O$9^2*$C$11)*NORMSINV(N325))*(O$7-O$5)*(O$6-O$5)),O$7-SQRT((1-NORMSDIST(O$9*SQRT($C$11)*NORMSINV($B325)+SQRT(1-O$9^2*$C$11)*NORMSINV(N325)))*(O$7-O$5)*(O$7-O$6))))</f>
        <v>0.182522052568758</v>
      </c>
      <c r="P325" s="2" t="n">
        <v>0.994680778</v>
      </c>
      <c r="Q325" s="2" t="n">
        <f aca="false">IF(Q$7=Q$5,Q$6,IF(NORMSDIST(Q$9*SQRT($C$11)*NORMSINV($B325)+SQRT(1-Q$9^2*$C$11)*NORMSINV(P325))&lt;Q$8,Q$5+SQRT(NORMSDIST(Q$9*SQRT($C$11)*NORMSINV($B325)+SQRT(1-Q$9^2*$C$11)*NORMSINV(P325))*(Q$7-Q$5)*(Q$6-Q$5)),Q$7-SQRT((1-NORMSDIST(Q$9*SQRT($C$11)*NORMSINV($B325)+SQRT(1-Q$9^2*$C$11)*NORMSINV(P325)))*(Q$7-Q$5)*(Q$7-Q$6))))</f>
        <v>0.115874286679858</v>
      </c>
      <c r="R325" s="2" t="n">
        <v>0.533010187</v>
      </c>
      <c r="S325" s="2" t="n">
        <f aca="false">IF(S$7=S$5,S$6,IF(NORMSDIST(S$9*SQRT($C$11)*NORMSINV($B325)+SQRT(1-S$9^2*$C$11)*NORMSINV(R325))&lt;S$8,S$5+SQRT(NORMSDIST(S$9*SQRT($C$11)*NORMSINV($B325)+SQRT(1-S$9^2*$C$11)*NORMSINV(R325))*(S$7-S$5)*(S$6-S$5)),S$7-SQRT((1-NORMSDIST(S$9*SQRT($C$11)*NORMSINV($B325)+SQRT(1-S$9^2*$C$11)*NORMSINV(R325)))*(S$7-S$5)*(S$7-S$6))))</f>
        <v>0.531056639399588</v>
      </c>
      <c r="T325" s="2" t="n">
        <v>0.96751532</v>
      </c>
      <c r="U325" s="2" t="n">
        <f aca="false">IF(U$7=U$5,U$6,IF(NORMSDIST(U$9*SQRT($C$11)*NORMSINV($B325)+SQRT(1-U$9^2*$C$11)*NORMSINV(T325))&lt;U$8,U$5+SQRT(NORMSDIST(U$9*SQRT($C$11)*NORMSINV($B325)+SQRT(1-U$9^2*$C$11)*NORMSINV(T325))*(U$7-U$5)*(U$6-U$5)),U$7-SQRT((1-NORMSDIST(U$9*SQRT($C$11)*NORMSINV($B325)+SQRT(1-U$9^2*$C$11)*NORMSINV(T325)))*(U$7-U$5)*(U$7-U$6))))</f>
        <v>0.820190127604217</v>
      </c>
      <c r="V325" s="2" t="n">
        <v>0.081904464</v>
      </c>
      <c r="W325" s="2" t="n">
        <f aca="false">IF(W$7=W$5,W$6,IF(NORMSDIST(W$9*SQRT($C$11)*NORMSINV($B325)+SQRT(1-W$9^2*$C$11)*NORMSINV(V325))&lt;W$8,W$5+SQRT(NORMSDIST(W$9*SQRT($C$11)*NORMSINV($B325)+SQRT(1-W$9^2*$C$11)*NORMSINV(V325))*(W$7-W$5)*(W$6-W$5)),W$7-SQRT((1-NORMSDIST(W$9*SQRT($C$11)*NORMSINV($B325)+SQRT(1-W$9^2*$C$11)*NORMSINV(V325)))*(W$7-W$5)*(W$7-W$6))))</f>
        <v>9.1341234433269</v>
      </c>
      <c r="X325" s="2" t="n">
        <v>0.144539532</v>
      </c>
      <c r="Y325" s="2" t="n">
        <f aca="false">IF(Y$7=Y$5,Y$6,IF(NORMSDIST(Y$9*SQRT($C$11)*NORMSINV($B325)+SQRT(1-Y$9^2*$C$11)*NORMSINV(X325))&lt;Y$8,Y$5+SQRT(NORMSDIST(Y$9*SQRT($C$11)*NORMSINV($B325)+SQRT(1-Y$9^2*$C$11)*NORMSINV(X325))*(Y$7-Y$5)*(Y$6-Y$5)),Y$7-SQRT((1-NORMSDIST(Y$9*SQRT($C$11)*NORMSINV($B325)+SQRT(1-Y$9^2*$C$11)*NORMSINV(X325)))*(Y$7-Y$5)*(Y$7-Y$6))))</f>
        <v>0.2688303665883</v>
      </c>
      <c r="Z325" s="2" t="n">
        <v>0.336666775</v>
      </c>
      <c r="AA325" s="2" t="n">
        <f aca="false">IF(AA$7=AA$5,AA$6,IF(NORMSDIST(AA$9*SQRT($C$11)*NORMSINV($B325)+SQRT(1-AA$9^2*$C$11)*NORMSINV(Z325))&lt;AA$8,AA$5+SQRT(NORMSDIST(AA$9*SQRT($C$11)*NORMSINV($B325)+SQRT(1-AA$9^2*$C$11)*NORMSINV(Z325))*(AA$7-AA$5)*(AA$6-AA$5)),AA$7-SQRT((1-NORMSDIST(AA$9*SQRT($C$11)*NORMSINV($B325)+SQRT(1-AA$9^2*$C$11)*NORMSINV(Z325)))*(AA$7-AA$5)*(AA$7-AA$6))))</f>
        <v>0.724794268027317</v>
      </c>
      <c r="AB325" s="2" t="n">
        <v>0.109411946</v>
      </c>
      <c r="AC325" s="2" t="n">
        <f aca="false">IF(AC$7=AC$5,AC$6,IF(NORMSDIST(AC$9*SQRT($C$11)*NORMSINV($B325)+SQRT(1-AC$9^2*$C$11)*NORMSINV(AB325))&lt;AC$8,AC$5+SQRT(NORMSDIST(AC$9*SQRT($C$11)*NORMSINV($B325)+SQRT(1-AC$9^2*$C$11)*NORMSINV(AB325))*(AC$7-AC$5)*(AC$6-AC$5)),AC$7-SQRT((1-NORMSDIST(AC$9*SQRT($C$11)*NORMSINV($B325)+SQRT(1-AC$9^2*$C$11)*NORMSINV(AB325)))*(AC$7-AC$5)*(AC$7-AC$6))))</f>
        <v>8.69285770920131</v>
      </c>
      <c r="AD325" s="2" t="n">
        <f aca="false">Entrées!$C$8*(1+E325)</f>
        <v>7444.51163049041</v>
      </c>
      <c r="AE325" s="2" t="n">
        <f aca="false">I325*Hypothèses!$J$24/12/Hypothèses!$J$19</f>
        <v>98.7667533935158</v>
      </c>
      <c r="AF325" s="2" t="n">
        <f aca="false">Entrées!$C$36*S325*1000</f>
        <v>265.528319699794</v>
      </c>
      <c r="AG325" s="2" t="n">
        <f aca="false">-AF325/W325</f>
        <v>-29.0699289698981</v>
      </c>
      <c r="AH325" s="2" t="n">
        <f aca="false">AD325+AE325+AG325</f>
        <v>7514.20845491403</v>
      </c>
      <c r="AI325" s="2" t="n">
        <f aca="false">Entrées!$C$16-M325+Hypothèses!$J$22*1000-AF325+Hypothèses!$J$23</f>
        <v>22713.0522782945</v>
      </c>
      <c r="AJ325" s="2" t="n">
        <f aca="false">AI325/AH325</f>
        <v>3.02268062092967</v>
      </c>
      <c r="AK325" s="2" t="n">
        <f aca="false">AI325/(AH325+I325*(12-Hypothèses!$J$24)/12/Hypothèses!$J$19)</f>
        <v>2.99456592556239</v>
      </c>
      <c r="AL325" s="2" t="n">
        <f aca="false">(AD325+AG325+I325/Hypothèses!$J$19)*(1+G325)</f>
        <v>8048.90132742115</v>
      </c>
      <c r="AM325" s="2" t="n">
        <f aca="false">Entrées!$C$54*K325/Hypothèses!$J$19</f>
        <v>21.7718313187874</v>
      </c>
      <c r="AN325" s="2" t="n">
        <f aca="false">Y325*1000/AC325</f>
        <v>30.925430460428</v>
      </c>
      <c r="AO325" s="2" t="n">
        <f aca="false">(Entrées!$C$36*(1-S325)+MAX(0,Entrées!$C$30-Entrées!$C$35-Entrées!$C$36)*U325)*1000</f>
        <v>1382.73785894611</v>
      </c>
      <c r="AP325" s="2" t="n">
        <f aca="false">-AO325/W325</f>
        <v>-151.381560313409</v>
      </c>
      <c r="AQ325" s="2" t="n">
        <f aca="false">AL325+AM325+AN325+AP325</f>
        <v>7950.21702888696</v>
      </c>
      <c r="AR325" s="2" t="n">
        <f aca="false">O325*AQ325-Hypothèses!$J$25/Hypothèses!$J$19</f>
        <v>1431.95476821792</v>
      </c>
      <c r="AS325" s="2" t="n">
        <f aca="false">Entrées!$C$79*(1+Q325)+Hypothèses!$J$20</f>
        <v>1521.34584106116</v>
      </c>
      <c r="AT325" s="2" t="n">
        <f aca="false">AI325-AR325+AS325+Y325*1000-AO325+Hypothèses!$J$23</f>
        <v>21688.53585878</v>
      </c>
      <c r="AU325" s="2" t="n">
        <f aca="false">AT325/AQ325</f>
        <v>2.72804324460265</v>
      </c>
      <c r="AV325" s="2" t="n">
        <f aca="false">Hypothèses!$J$26*AQ325-AT325</f>
        <v>2162.1152278809</v>
      </c>
      <c r="AW325" s="2" t="n">
        <f aca="false">IF(AC325&gt;Hypothèses!$J$26,MAX(0,AV325)/(1-Hypothèses!$J$26/AC325),0)</f>
        <v>3301.49829609967</v>
      </c>
      <c r="AX325" s="2" t="n">
        <f aca="false">AQ325-Entrées!$C$17*1000</f>
        <v>-49.7829711130416</v>
      </c>
      <c r="AY325" s="2" t="n">
        <f aca="false">AI325+(Entrées!$C$244-Entrées!$C$13)</f>
        <v>28460.0522782945</v>
      </c>
      <c r="AZ325" s="2" t="n">
        <f aca="false">AA325*AH325</f>
        <v>5446.25521688409</v>
      </c>
      <c r="BA325" s="2" t="n">
        <f aca="false">AZ325/AY325</f>
        <v>0.191364905574603</v>
      </c>
      <c r="BB325" s="2" t="n">
        <f aca="false">AZ325/(Entrées!$C$151/100)-AY325</f>
        <v>1796.9211488393</v>
      </c>
      <c r="BC325" s="2" t="n">
        <f aca="false">AT325+(Entrées!$C$244-Entrées!$C$13)</f>
        <v>27435.53585878</v>
      </c>
      <c r="BD325" s="2" t="n">
        <f aca="false">AA325*AQ325</f>
        <v>5762.27173211044</v>
      </c>
      <c r="BE325" s="2" t="n">
        <f aca="false">BD325/BC325</f>
        <v>0.210029494658709</v>
      </c>
      <c r="BF325" s="2" t="n">
        <f aca="false">BD325/(Entrées!$C$151/100)-BC325</f>
        <v>4577.08487516688</v>
      </c>
      <c r="BG325" s="2" t="n">
        <f aca="false">MIN(AV325,BF325)</f>
        <v>2162.1152278809</v>
      </c>
      <c r="BH325" s="2" t="n">
        <f aca="false">IF(AC325&gt;Hypothèses!$J$26,MAX(0,BG325)/(1-Hypothèses!$J$26/AC325),0)</f>
        <v>3301.49829609967</v>
      </c>
    </row>
    <row r="326" customFormat="false" ht="15" hidden="false" customHeight="false" outlineLevel="0" collapsed="false">
      <c r="A326" s="2" t="n">
        <v>311</v>
      </c>
      <c r="B326" s="2" t="n">
        <v>0.638470321</v>
      </c>
      <c r="C326" s="2"/>
      <c r="D326" s="2" t="n">
        <v>0.316771623</v>
      </c>
      <c r="E326" s="2" t="n">
        <f aca="false">IF(E$7=E$5,E$6,IF(NORMSDIST(E$9*SQRT($C$11)*NORMSINV($B326)+SQRT(1-E$9^2*$C$11)*NORMSINV(D326))&lt;E$8,E$5+SQRT(NORMSDIST(E$9*SQRT($C$11)*NORMSINV($B326)+SQRT(1-E$9^2*$C$11)*NORMSINV(D326))*(E$7-E$5)*(E$6-E$5)),E$7-SQRT((1-NORMSDIST(E$9*SQRT($C$11)*NORMSINV($B326)+SQRT(1-E$9^2*$C$11)*NORMSINV(D326)))*(E$7-E$5)*(E$7-E$6))))</f>
        <v>0.0547026168488256</v>
      </c>
      <c r="F326" s="2" t="n">
        <v>0.949668874</v>
      </c>
      <c r="G326" s="2" t="n">
        <f aca="false">IF(G$7=G$5,G$6,IF(NORMSDIST(G$9*SQRT($C$11)*NORMSINV($B326)+SQRT(1-G$9^2*$C$11)*NORMSINV(F326))&lt;G$8,G$5+SQRT(NORMSDIST(G$9*SQRT($C$11)*NORMSINV($B326)+SQRT(1-G$9^2*$C$11)*NORMSINV(F326))*(G$7-G$5)*(G$6-G$5)),G$7-SQRT((1-NORMSDIST(G$9*SQRT($C$11)*NORMSINV($B326)+SQRT(1-G$9^2*$C$11)*NORMSINV(F326)))*(G$7-G$5)*(G$7-G$6))))</f>
        <v>0.0644943531258011</v>
      </c>
      <c r="H326" s="2" t="n">
        <v>0.802383009</v>
      </c>
      <c r="I326" s="2" t="n">
        <f aca="false">IF(I$7=I$5,I$6,IF(NORMSDIST(I$9*SQRT($C$11)*NORMSINV($B326)+SQRT(1-I$9^2*$C$11)*NORMSINV(H326))&lt;I$8,I$5+SQRT(NORMSDIST(I$9*SQRT($C$11)*NORMSINV($B326)+SQRT(1-I$9^2*$C$11)*NORMSINV(H326))*(I$7-I$5)*(I$6-I$5)),I$7-SQRT((1-NORMSDIST(I$9*SQRT($C$11)*NORMSINV($B326)+SQRT(1-I$9^2*$C$11)*NORMSINV(H326)))*(I$7-I$5)*(I$7-I$6))))</f>
        <v>207.713090054001</v>
      </c>
      <c r="J326" s="2" t="n">
        <v>0.486706654</v>
      </c>
      <c r="K326" s="2" t="n">
        <f aca="false">IF(K$7=K$5,K$6,IF(NORMSDIST(K$9*SQRT($C$11)*NORMSINV($B326)+SQRT(1-K$9^2*$C$11)*NORMSINV(J326))&lt;K$8,K$5+SQRT(NORMSDIST(K$9*SQRT($C$11)*NORMSINV($B326)+SQRT(1-K$9^2*$C$11)*NORMSINV(J326))*(K$7-K$5)*(K$6-K$5)),K$7-SQRT((1-NORMSDIST(K$9*SQRT($C$11)*NORMSINV($B326)+SQRT(1-K$9^2*$C$11)*NORMSINV(J326)))*(K$7-K$5)*(K$7-K$6))))</f>
        <v>0.270489274171325</v>
      </c>
      <c r="L326" s="2" t="n">
        <v>0.718464734</v>
      </c>
      <c r="M326" s="2" t="n">
        <f aca="false">IF(M$7=M$5,M$6,IF(NORMSDIST(M$9*SQRT($C$11)*NORMSINV($B326)+SQRT(1-M$9^2*$C$11)*NORMSINV(L326))&lt;M$8,M$5+SQRT(NORMSDIST(M$9*SQRT($C$11)*NORMSINV($B326)+SQRT(1-M$9^2*$C$11)*NORMSINV(L326))*(M$7-M$5)*(M$6-M$5)),M$7-SQRT((1-NORMSDIST(M$9*SQRT($C$11)*NORMSINV($B326)+SQRT(1-M$9^2*$C$11)*NORMSINV(L326)))*(M$7-M$5)*(M$7-M$6))))</f>
        <v>1650.6069715567</v>
      </c>
      <c r="N326" s="2" t="n">
        <v>0.161967918</v>
      </c>
      <c r="O326" s="2" t="n">
        <f aca="false">IF(O$7=O$5,O$6,IF(NORMSDIST(O$9*SQRT($C$11)*NORMSINV($B326)+SQRT(1-O$9^2*$C$11)*NORMSINV(N326))&lt;O$8,O$5+SQRT(NORMSDIST(O$9*SQRT($C$11)*NORMSINV($B326)+SQRT(1-O$9^2*$C$11)*NORMSINV(N326))*(O$7-O$5)*(O$6-O$5)),O$7-SQRT((1-NORMSDIST(O$9*SQRT($C$11)*NORMSINV($B326)+SQRT(1-O$9^2*$C$11)*NORMSINV(N326)))*(O$7-O$5)*(O$7-O$6))))</f>
        <v>0.160560294104928</v>
      </c>
      <c r="P326" s="2" t="n">
        <v>0.400979408</v>
      </c>
      <c r="Q326" s="2" t="n">
        <f aca="false">IF(Q$7=Q$5,Q$6,IF(NORMSDIST(Q$9*SQRT($C$11)*NORMSINV($B326)+SQRT(1-Q$9^2*$C$11)*NORMSINV(P326))&lt;Q$8,Q$5+SQRT(NORMSDIST(Q$9*SQRT($C$11)*NORMSINV($B326)+SQRT(1-Q$9^2*$C$11)*NORMSINV(P326))*(Q$7-Q$5)*(Q$6-Q$5)),Q$7-SQRT((1-NORMSDIST(Q$9*SQRT($C$11)*NORMSINV($B326)+SQRT(1-Q$9^2*$C$11)*NORMSINV(P326)))*(Q$7-Q$5)*(Q$7-Q$6))))</f>
        <v>0.075820861318511</v>
      </c>
      <c r="R326" s="2" t="n">
        <v>0.560787296</v>
      </c>
      <c r="S326" s="2" t="n">
        <f aca="false">IF(S$7=S$5,S$6,IF(NORMSDIST(S$9*SQRT($C$11)*NORMSINV($B326)+SQRT(1-S$9^2*$C$11)*NORMSINV(R326))&lt;S$8,S$5+SQRT(NORMSDIST(S$9*SQRT($C$11)*NORMSINV($B326)+SQRT(1-S$9^2*$C$11)*NORMSINV(R326))*(S$7-S$5)*(S$6-S$5)),S$7-SQRT((1-NORMSDIST(S$9*SQRT($C$11)*NORMSINV($B326)+SQRT(1-S$9^2*$C$11)*NORMSINV(R326)))*(S$7-S$5)*(S$7-S$6))))</f>
        <v>0.572247000134471</v>
      </c>
      <c r="T326" s="2" t="n">
        <v>0.083950307</v>
      </c>
      <c r="U326" s="2" t="n">
        <f aca="false">IF(U$7=U$5,U$6,IF(NORMSDIST(U$9*SQRT($C$11)*NORMSINV($B326)+SQRT(1-U$9^2*$C$11)*NORMSINV(T326))&lt;U$8,U$5+SQRT(NORMSDIST(U$9*SQRT($C$11)*NORMSINV($B326)+SQRT(1-U$9^2*$C$11)*NORMSINV(T326))*(U$7-U$5)*(U$6-U$5)),U$7-SQRT((1-NORMSDIST(U$9*SQRT($C$11)*NORMSINV($B326)+SQRT(1-U$9^2*$C$11)*NORMSINV(T326)))*(U$7-U$5)*(U$7-U$6))))</f>
        <v>0.315694967041345</v>
      </c>
      <c r="V326" s="2" t="n">
        <v>0.797384616</v>
      </c>
      <c r="W326" s="2" t="n">
        <f aca="false">IF(W$7=W$5,W$6,IF(NORMSDIST(W$9*SQRT($C$11)*NORMSINV($B326)+SQRT(1-W$9^2*$C$11)*NORMSINV(V326))&lt;W$8,W$5+SQRT(NORMSDIST(W$9*SQRT($C$11)*NORMSINV($B326)+SQRT(1-W$9^2*$C$11)*NORMSINV(V326))*(W$7-W$5)*(W$6-W$5)),W$7-SQRT((1-NORMSDIST(W$9*SQRT($C$11)*NORMSINV($B326)+SQRT(1-W$9^2*$C$11)*NORMSINV(V326)))*(W$7-W$5)*(W$7-W$6))))</f>
        <v>10.7591327961239</v>
      </c>
      <c r="X326" s="2" t="n">
        <v>0.864066736</v>
      </c>
      <c r="Y326" s="2" t="n">
        <f aca="false">IF(Y$7=Y$5,Y$6,IF(NORMSDIST(Y$9*SQRT($C$11)*NORMSINV($B326)+SQRT(1-Y$9^2*$C$11)*NORMSINV(X326))&lt;Y$8,Y$5+SQRT(NORMSDIST(Y$9*SQRT($C$11)*NORMSINV($B326)+SQRT(1-Y$9^2*$C$11)*NORMSINV(X326))*(Y$7-Y$5)*(Y$6-Y$5)),Y$7-SQRT((1-NORMSDIST(Y$9*SQRT($C$11)*NORMSINV($B326)+SQRT(1-Y$9^2*$C$11)*NORMSINV(X326)))*(Y$7-Y$5)*(Y$7-Y$6))))</f>
        <v>0.739295891862057</v>
      </c>
      <c r="Z326" s="2" t="n">
        <v>0.818303514</v>
      </c>
      <c r="AA326" s="2" t="n">
        <f aca="false">IF(AA$7=AA$5,AA$6,IF(NORMSDIST(AA$9*SQRT($C$11)*NORMSINV($B326)+SQRT(1-AA$9^2*$C$11)*NORMSINV(Z326))&lt;AA$8,AA$5+SQRT(NORMSDIST(AA$9*SQRT($C$11)*NORMSINV($B326)+SQRT(1-AA$9^2*$C$11)*NORMSINV(Z326))*(AA$7-AA$5)*(AA$6-AA$5)),AA$7-SQRT((1-NORMSDIST(AA$9*SQRT($C$11)*NORMSINV($B326)+SQRT(1-AA$9^2*$C$11)*NORMSINV(Z326)))*(AA$7-AA$5)*(AA$7-AA$6))))</f>
        <v>0.738801595073818</v>
      </c>
      <c r="AB326" s="2" t="n">
        <v>0.905314743</v>
      </c>
      <c r="AC326" s="2" t="n">
        <f aca="false">IF(AC$7=AC$5,AC$6,IF(NORMSDIST(AC$9*SQRT($C$11)*NORMSINV($B326)+SQRT(1-AC$9^2*$C$11)*NORMSINV(AB326))&lt;AC$8,AC$5+SQRT(NORMSDIST(AC$9*SQRT($C$11)*NORMSINV($B326)+SQRT(1-AC$9^2*$C$11)*NORMSINV(AB326))*(AC$7-AC$5)*(AC$6-AC$5)),AC$7-SQRT((1-NORMSDIST(AC$9*SQRT($C$11)*NORMSINV($B326)+SQRT(1-AC$9^2*$C$11)*NORMSINV(AB326)))*(AC$7-AC$5)*(AC$7-AC$6))))</f>
        <v>10.3190034928682</v>
      </c>
      <c r="AD326" s="2" t="n">
        <f aca="false">Entrées!$C$8*(1+E326)</f>
        <v>7435.65344878422</v>
      </c>
      <c r="AE326" s="2" t="n">
        <f aca="false">I326*Hypothèses!$J$24/12/Hypothèses!$J$19</f>
        <v>103.045799164182</v>
      </c>
      <c r="AF326" s="2" t="n">
        <f aca="false">Entrées!$C$36*S326*1000</f>
        <v>286.123500067235</v>
      </c>
      <c r="AG326" s="2" t="n">
        <f aca="false">-AF326/W326</f>
        <v>-26.5935466630093</v>
      </c>
      <c r="AH326" s="2" t="n">
        <f aca="false">AD326+AE326+AG326</f>
        <v>7512.10570128539</v>
      </c>
      <c r="AI326" s="2" t="n">
        <f aca="false">Entrées!$C$16-M326+Hypothèses!$J$22*1000-AF326+Hypothèses!$J$23</f>
        <v>22611.2695283761</v>
      </c>
      <c r="AJ326" s="2" t="n">
        <f aca="false">AI326/AH326</f>
        <v>3.00997755190093</v>
      </c>
      <c r="AK326" s="2" t="n">
        <f aca="false">AI326/(AH326+I326*(12-Hypothèses!$J$24)/12/Hypothèses!$J$19)</f>
        <v>2.98077173985443</v>
      </c>
      <c r="AL326" s="2" t="n">
        <f aca="false">(AD326+AG326+I326/Hypothèses!$J$19)*(1+G326)</f>
        <v>8074.94529290502</v>
      </c>
      <c r="AM326" s="2" t="n">
        <f aca="false">Entrées!$C$54*K326/Hypothèses!$J$19</f>
        <v>27.6045661402545</v>
      </c>
      <c r="AN326" s="2" t="n">
        <f aca="false">Y326*1000/AC326</f>
        <v>71.6441168348288</v>
      </c>
      <c r="AO326" s="2" t="n">
        <f aca="false">(Entrées!$C$36*(1-S326)+MAX(0,Entrées!$C$30-Entrées!$C$35-Entrées!$C$36)*U326)*1000</f>
        <v>655.849453790647</v>
      </c>
      <c r="AP326" s="2" t="n">
        <f aca="false">-AO326/W326</f>
        <v>-60.9574643438664</v>
      </c>
      <c r="AQ326" s="2" t="n">
        <f aca="false">AL326+AM326+AN326+AP326</f>
        <v>8113.23651153623</v>
      </c>
      <c r="AR326" s="2" t="n">
        <f aca="false">O326*AQ326-Hypothèses!$J$25/Hypothèses!$J$19</f>
        <v>1283.52847817347</v>
      </c>
      <c r="AS326" s="2" t="n">
        <f aca="false">Entrées!$C$79*(1+Q326)+Hypothèses!$J$20</f>
        <v>1477.32712658904</v>
      </c>
      <c r="AT326" s="2" t="n">
        <f aca="false">AI326-AR326+AS326+Y326*1000-AO326+Hypothèses!$J$23</f>
        <v>22888.514614863</v>
      </c>
      <c r="AU326" s="2" t="n">
        <f aca="false">AT326/AQ326</f>
        <v>2.82113242752357</v>
      </c>
      <c r="AV326" s="2" t="n">
        <f aca="false">Hypothèses!$J$26*AQ326-AT326</f>
        <v>1451.19491974566</v>
      </c>
      <c r="AW326" s="2" t="n">
        <f aca="false">IF(AC326&gt;Hypothèses!$J$26,MAX(0,AV326)/(1-Hypothèses!$J$26/AC326),0)</f>
        <v>2046.02791353766</v>
      </c>
      <c r="AX326" s="2" t="n">
        <f aca="false">AQ326-Entrées!$C$17*1000</f>
        <v>113.236511536233</v>
      </c>
      <c r="AY326" s="2" t="n">
        <f aca="false">AI326+(Entrées!$C$244-Entrées!$C$13)</f>
        <v>28358.2695283761</v>
      </c>
      <c r="AZ326" s="2" t="n">
        <f aca="false">AA326*AH326</f>
        <v>5549.95567447277</v>
      </c>
      <c r="BA326" s="2" t="n">
        <f aca="false">AZ326/AY326</f>
        <v>0.195708545224148</v>
      </c>
      <c r="BB326" s="2" t="n">
        <f aca="false">AZ326/(Entrées!$C$151/100)-AY326</f>
        <v>2474.81755202821</v>
      </c>
      <c r="BC326" s="2" t="n">
        <f aca="false">AT326+(Entrées!$C$244-Entrées!$C$13)</f>
        <v>28635.514614863</v>
      </c>
      <c r="BD326" s="2" t="n">
        <f aca="false">AA326*AQ326</f>
        <v>5994.0720759341</v>
      </c>
      <c r="BE326" s="2" t="n">
        <f aca="false">BD326/BC326</f>
        <v>0.209323008737651</v>
      </c>
      <c r="BF326" s="2" t="n">
        <f aca="false">BD326/(Entrées!$C$151/100)-BC326</f>
        <v>4664.88580699309</v>
      </c>
      <c r="BG326" s="2" t="n">
        <f aca="false">MIN(AV326,BF326)</f>
        <v>1451.19491974566</v>
      </c>
      <c r="BH326" s="2" t="n">
        <f aca="false">IF(AC326&gt;Hypothèses!$J$26,MAX(0,BG326)/(1-Hypothèses!$J$26/AC326),0)</f>
        <v>2046.02791353766</v>
      </c>
    </row>
    <row r="327" customFormat="false" ht="15" hidden="false" customHeight="false" outlineLevel="0" collapsed="false">
      <c r="A327" s="2" t="n">
        <v>312</v>
      </c>
      <c r="B327" s="2" t="n">
        <v>0.134494273</v>
      </c>
      <c r="C327" s="2"/>
      <c r="D327" s="2" t="n">
        <v>0.777748165</v>
      </c>
      <c r="E327" s="2" t="n">
        <f aca="false">IF(E$7=E$5,E$6,IF(NORMSDIST(E$9*SQRT($C$11)*NORMSINV($B327)+SQRT(1-E$9^2*$C$11)*NORMSINV(D327))&lt;E$8,E$5+SQRT(NORMSDIST(E$9*SQRT($C$11)*NORMSINV($B327)+SQRT(1-E$9^2*$C$11)*NORMSINV(D327))*(E$7-E$5)*(E$6-E$5)),E$7-SQRT((1-NORMSDIST(E$9*SQRT($C$11)*NORMSINV($B327)+SQRT(1-E$9^2*$C$11)*NORMSINV(D327)))*(E$7-E$5)*(E$7-E$6))))</f>
        <v>0.0547825441699517</v>
      </c>
      <c r="F327" s="2" t="n">
        <v>0.155873646</v>
      </c>
      <c r="G327" s="2" t="n">
        <f aca="false">IF(G$7=G$5,G$6,IF(NORMSDIST(G$9*SQRT($C$11)*NORMSINV($B327)+SQRT(1-G$9^2*$C$11)*NORMSINV(F327))&lt;G$8,G$5+SQRT(NORMSDIST(G$9*SQRT($C$11)*NORMSINV($B327)+SQRT(1-G$9^2*$C$11)*NORMSINV(F327))*(G$7-G$5)*(G$6-G$5)),G$7-SQRT((1-NORMSDIST(G$9*SQRT($C$11)*NORMSINV($B327)+SQRT(1-G$9^2*$C$11)*NORMSINV(F327)))*(G$7-G$5)*(G$7-G$6))))</f>
        <v>0.0455755460475592</v>
      </c>
      <c r="H327" s="2" t="n">
        <v>0.114598993</v>
      </c>
      <c r="I327" s="2" t="n">
        <f aca="false">IF(I$7=I$5,I$6,IF(NORMSDIST(I$9*SQRT($C$11)*NORMSINV($B327)+SQRT(1-I$9^2*$C$11)*NORMSINV(H327))&lt;I$8,I$5+SQRT(NORMSDIST(I$9*SQRT($C$11)*NORMSINV($B327)+SQRT(1-I$9^2*$C$11)*NORMSINV(H327))*(I$7-I$5)*(I$6-I$5)),I$7-SQRT((1-NORMSDIST(I$9*SQRT($C$11)*NORMSINV($B327)+SQRT(1-I$9^2*$C$11)*NORMSINV(H327)))*(I$7-I$5)*(I$7-I$6))))</f>
        <v>186.418532482095</v>
      </c>
      <c r="J327" s="2" t="n">
        <v>0.532498135</v>
      </c>
      <c r="K327" s="2" t="n">
        <f aca="false">IF(K$7=K$5,K$6,IF(NORMSDIST(K$9*SQRT($C$11)*NORMSINV($B327)+SQRT(1-K$9^2*$C$11)*NORMSINV(J327))&lt;K$8,K$5+SQRT(NORMSDIST(K$9*SQRT($C$11)*NORMSINV($B327)+SQRT(1-K$9^2*$C$11)*NORMSINV(J327))*(K$7-K$5)*(K$6-K$5)),K$7-SQRT((1-NORMSDIST(K$9*SQRT($C$11)*NORMSINV($B327)+SQRT(1-K$9^2*$C$11)*NORMSINV(J327)))*(K$7-K$5)*(K$7-K$6))))</f>
        <v>0.181109943663589</v>
      </c>
      <c r="L327" s="2" t="n">
        <v>0.959496341</v>
      </c>
      <c r="M327" s="2" t="n">
        <f aca="false">IF(M$7=M$5,M$6,IF(NORMSDIST(M$9*SQRT($C$11)*NORMSINV($B327)+SQRT(1-M$9^2*$C$11)*NORMSINV(L327))&lt;M$8,M$5+SQRT(NORMSDIST(M$9*SQRT($C$11)*NORMSINV($B327)+SQRT(1-M$9^2*$C$11)*NORMSINV(L327))*(M$7-M$5)*(M$6-M$5)),M$7-SQRT((1-NORMSDIST(M$9*SQRT($C$11)*NORMSINV($B327)+SQRT(1-M$9^2*$C$11)*NORMSINV(L327)))*(M$7-M$5)*(M$7-M$6))))</f>
        <v>1648.84834547739</v>
      </c>
      <c r="N327" s="2" t="n">
        <v>0.935496902</v>
      </c>
      <c r="O327" s="2" t="n">
        <f aca="false">IF(O$7=O$5,O$6,IF(NORMSDIST(O$9*SQRT($C$11)*NORMSINV($B327)+SQRT(1-O$9^2*$C$11)*NORMSINV(N327))&lt;O$8,O$5+SQRT(NORMSDIST(O$9*SQRT($C$11)*NORMSINV($B327)+SQRT(1-O$9^2*$C$11)*NORMSINV(N327))*(O$7-O$5)*(O$6-O$5)),O$7-SQRT((1-NORMSDIST(O$9*SQRT($C$11)*NORMSINV($B327)+SQRT(1-O$9^2*$C$11)*NORMSINV(N327)))*(O$7-O$5)*(O$7-O$6))))</f>
        <v>0.171631065359145</v>
      </c>
      <c r="P327" s="2" t="n">
        <v>0.247115455</v>
      </c>
      <c r="Q327" s="2" t="n">
        <f aca="false">IF(Q$7=Q$5,Q$6,IF(NORMSDIST(Q$9*SQRT($C$11)*NORMSINV($B327)+SQRT(1-Q$9^2*$C$11)*NORMSINV(P327))&lt;Q$8,Q$5+SQRT(NORMSDIST(Q$9*SQRT($C$11)*NORMSINV($B327)+SQRT(1-Q$9^2*$C$11)*NORMSINV(P327))*(Q$7-Q$5)*(Q$6-Q$5)),Q$7-SQRT((1-NORMSDIST(Q$9*SQRT($C$11)*NORMSINV($B327)+SQRT(1-Q$9^2*$C$11)*NORMSINV(P327)))*(Q$7-Q$5)*(Q$7-Q$6))))</f>
        <v>0.0681206233216833</v>
      </c>
      <c r="R327" s="2" t="n">
        <v>0.372265766</v>
      </c>
      <c r="S327" s="2" t="n">
        <f aca="false">IF(S$7=S$5,S$6,IF(NORMSDIST(S$9*SQRT($C$11)*NORMSINV($B327)+SQRT(1-S$9^2*$C$11)*NORMSINV(R327))&lt;S$8,S$5+SQRT(NORMSDIST(S$9*SQRT($C$11)*NORMSINV($B327)+SQRT(1-S$9^2*$C$11)*NORMSINV(R327))*(S$7-S$5)*(S$6-S$5)),S$7-SQRT((1-NORMSDIST(S$9*SQRT($C$11)*NORMSINV($B327)+SQRT(1-S$9^2*$C$11)*NORMSINV(R327)))*(S$7-S$5)*(S$7-S$6))))</f>
        <v>0.292121347546939</v>
      </c>
      <c r="T327" s="2" t="n">
        <v>0.624618728</v>
      </c>
      <c r="U327" s="2" t="n">
        <f aca="false">IF(U$7=U$5,U$6,IF(NORMSDIST(U$9*SQRT($C$11)*NORMSINV($B327)+SQRT(1-U$9^2*$C$11)*NORMSINV(T327))&lt;U$8,U$5+SQRT(NORMSDIST(U$9*SQRT($C$11)*NORMSINV($B327)+SQRT(1-U$9^2*$C$11)*NORMSINV(T327))*(U$7-U$5)*(U$6-U$5)),U$7-SQRT((1-NORMSDIST(U$9*SQRT($C$11)*NORMSINV($B327)+SQRT(1-U$9^2*$C$11)*NORMSINV(T327)))*(U$7-U$5)*(U$7-U$6))))</f>
        <v>0.403266315237659</v>
      </c>
      <c r="V327" s="2" t="n">
        <v>0.984990495</v>
      </c>
      <c r="W327" s="2" t="n">
        <f aca="false">IF(W$7=W$5,W$6,IF(NORMSDIST(W$9*SQRT($C$11)*NORMSINV($B327)+SQRT(1-W$9^2*$C$11)*NORMSINV(V327))&lt;W$8,W$5+SQRT(NORMSDIST(W$9*SQRT($C$11)*NORMSINV($B327)+SQRT(1-W$9^2*$C$11)*NORMSINV(V327))*(W$7-W$5)*(W$6-W$5)),W$7-SQRT((1-NORMSDIST(W$9*SQRT($C$11)*NORMSINV($B327)+SQRT(1-W$9^2*$C$11)*NORMSINV(V327)))*(W$7-W$5)*(W$7-W$6))))</f>
        <v>10.8575840655369</v>
      </c>
      <c r="X327" s="2" t="n">
        <v>0.291148494</v>
      </c>
      <c r="Y327" s="2" t="n">
        <f aca="false">IF(Y$7=Y$5,Y$6,IF(NORMSDIST(Y$9*SQRT($C$11)*NORMSINV($B327)+SQRT(1-Y$9^2*$C$11)*NORMSINV(X327))&lt;Y$8,Y$5+SQRT(NORMSDIST(Y$9*SQRT($C$11)*NORMSINV($B327)+SQRT(1-Y$9^2*$C$11)*NORMSINV(X327))*(Y$7-Y$5)*(Y$6-Y$5)),Y$7-SQRT((1-NORMSDIST(Y$9*SQRT($C$11)*NORMSINV($B327)+SQRT(1-Y$9^2*$C$11)*NORMSINV(X327)))*(Y$7-Y$5)*(Y$7-Y$6))))</f>
        <v>0.381541933475208</v>
      </c>
      <c r="Z327" s="2" t="n">
        <v>0.116821447</v>
      </c>
      <c r="AA327" s="2" t="n">
        <f aca="false">IF(AA$7=AA$5,AA$6,IF(NORMSDIST(AA$9*SQRT($C$11)*NORMSINV($B327)+SQRT(1-AA$9^2*$C$11)*NORMSINV(Z327))&lt;AA$8,AA$5+SQRT(NORMSDIST(AA$9*SQRT($C$11)*NORMSINV($B327)+SQRT(1-AA$9^2*$C$11)*NORMSINV(Z327))*(AA$7-AA$5)*(AA$6-AA$5)),AA$7-SQRT((1-NORMSDIST(AA$9*SQRT($C$11)*NORMSINV($B327)+SQRT(1-AA$9^2*$C$11)*NORMSINV(Z327)))*(AA$7-AA$5)*(AA$7-AA$6))))</f>
        <v>0.705919143655536</v>
      </c>
      <c r="AB327" s="2" t="n">
        <v>0.708656097</v>
      </c>
      <c r="AC327" s="2" t="n">
        <f aca="false">IF(AC$7=AC$5,AC$6,IF(NORMSDIST(AC$9*SQRT($C$11)*NORMSINV($B327)+SQRT(1-AC$9^2*$C$11)*NORMSINV(AB327))&lt;AC$8,AC$5+SQRT(NORMSDIST(AC$9*SQRT($C$11)*NORMSINV($B327)+SQRT(1-AC$9^2*$C$11)*NORMSINV(AB327))*(AC$7-AC$5)*(AC$6-AC$5)),AC$7-SQRT((1-NORMSDIST(AC$9*SQRT($C$11)*NORMSINV($B327)+SQRT(1-AC$9^2*$C$11)*NORMSINV(AB327)))*(AC$7-AC$5)*(AC$7-AC$6))))</f>
        <v>9.24089721169354</v>
      </c>
      <c r="AD327" s="2" t="n">
        <f aca="false">Entrées!$C$8*(1+E327)</f>
        <v>7436.21693639816</v>
      </c>
      <c r="AE327" s="2" t="n">
        <f aca="false">I327*Hypothèses!$J$24/12/Hypothèses!$J$19</f>
        <v>92.4816373086425</v>
      </c>
      <c r="AF327" s="2" t="n">
        <f aca="false">Entrées!$C$36*S327*1000</f>
        <v>146.060673773469</v>
      </c>
      <c r="AG327" s="2" t="n">
        <f aca="false">-AF327/W327</f>
        <v>-13.4524101210582</v>
      </c>
      <c r="AH327" s="2" t="n">
        <f aca="false">AD327+AE327+AG327</f>
        <v>7515.24616358574</v>
      </c>
      <c r="AI327" s="2" t="n">
        <f aca="false">Entrées!$C$16-M327+Hypothèses!$J$22*1000-AF327+Hypothèses!$J$23</f>
        <v>22753.0909807491</v>
      </c>
      <c r="AJ327" s="2" t="n">
        <f aca="false">AI327/AH327</f>
        <v>3.02759091125938</v>
      </c>
      <c r="AK327" s="2" t="n">
        <f aca="false">AI327/(AH327+I327*(12-Hypothèses!$J$24)/12/Hypothèses!$J$19)</f>
        <v>3.00121055062899</v>
      </c>
      <c r="AL327" s="2" t="n">
        <f aca="false">(AD327+AG327+I327/Hypothèses!$J$19)*(1+G327)</f>
        <v>7926.82656719324</v>
      </c>
      <c r="AM327" s="2" t="n">
        <f aca="false">Entrées!$C$54*K327/Hypothèses!$J$19</f>
        <v>18.4830301823825</v>
      </c>
      <c r="AN327" s="2" t="n">
        <f aca="false">Y327*1000/AC327</f>
        <v>41.2884079039858</v>
      </c>
      <c r="AO327" s="2" t="n">
        <f aca="false">(Entrées!$C$36*(1-S327)+MAX(0,Entrées!$C$30-Entrées!$C$35-Entrées!$C$36)*U327)*1000</f>
        <v>918.512167559254</v>
      </c>
      <c r="AP327" s="2" t="n">
        <f aca="false">-AO327/W327</f>
        <v>-84.5963671121555</v>
      </c>
      <c r="AQ327" s="2" t="n">
        <f aca="false">AL327+AM327+AN327+AP327</f>
        <v>7902.00163816745</v>
      </c>
      <c r="AR327" s="2" t="n">
        <f aca="false">O327*AQ327-Hypothèses!$J$25/Hypothèses!$J$19</f>
        <v>1337.09379736676</v>
      </c>
      <c r="AS327" s="2" t="n">
        <f aca="false">Entrées!$C$79*(1+Q327)+Hypothèses!$J$20</f>
        <v>1468.86456503053</v>
      </c>
      <c r="AT327" s="2" t="n">
        <f aca="false">AI327-AR327+AS327+Y327*1000-AO327+Hypothèses!$J$23</f>
        <v>22347.8915143289</v>
      </c>
      <c r="AU327" s="2" t="n">
        <f aca="false">AT327/AQ327</f>
        <v>2.82813045828621</v>
      </c>
      <c r="AV327" s="2" t="n">
        <f aca="false">Hypothèses!$J$26*AQ327-AT327</f>
        <v>1358.1134001735</v>
      </c>
      <c r="AW327" s="2" t="n">
        <f aca="false">IF(AC327&gt;Hypothèses!$J$26,MAX(0,AV327)/(1-Hypothèses!$J$26/AC327),0)</f>
        <v>2010.95866621736</v>
      </c>
      <c r="AX327" s="2" t="n">
        <f aca="false">AQ327-Entrées!$C$17*1000</f>
        <v>-97.9983618325459</v>
      </c>
      <c r="AY327" s="2" t="n">
        <f aca="false">AI327+(Entrées!$C$244-Entrées!$C$13)</f>
        <v>28500.0909807491</v>
      </c>
      <c r="AZ327" s="2" t="n">
        <f aca="false">AA327*AH327</f>
        <v>5305.156136159</v>
      </c>
      <c r="BA327" s="2" t="n">
        <f aca="false">AZ327/AY327</f>
        <v>0.186145235106178</v>
      </c>
      <c r="BB327" s="2" t="n">
        <f aca="false">AZ327/(Entrées!$C$151/100)-AY327</f>
        <v>972.998664578638</v>
      </c>
      <c r="BC327" s="2" t="n">
        <f aca="false">AT327+(Entrées!$C$244-Entrées!$C$13)</f>
        <v>28094.8915143289</v>
      </c>
      <c r="BD327" s="2" t="n">
        <f aca="false">AA327*AQ327</f>
        <v>5578.17422957981</v>
      </c>
      <c r="BE327" s="2" t="n">
        <f aca="false">BD327/BC327</f>
        <v>0.198547633712515</v>
      </c>
      <c r="BF327" s="2" t="n">
        <f aca="false">BD327/(Entrées!$C$151/100)-BC327</f>
        <v>2894.96531667009</v>
      </c>
      <c r="BG327" s="2" t="n">
        <f aca="false">MIN(AV327,BF327)</f>
        <v>1358.1134001735</v>
      </c>
      <c r="BH327" s="2" t="n">
        <f aca="false">IF(AC327&gt;Hypothèses!$J$26,MAX(0,BG327)/(1-Hypothèses!$J$26/AC327),0)</f>
        <v>2010.95866621736</v>
      </c>
    </row>
    <row r="328" customFormat="false" ht="15" hidden="false" customHeight="false" outlineLevel="0" collapsed="false">
      <c r="A328" s="2" t="n">
        <v>313</v>
      </c>
      <c r="B328" s="2" t="n">
        <v>0.465065155</v>
      </c>
      <c r="C328" s="2"/>
      <c r="D328" s="2" t="n">
        <v>0.343996615</v>
      </c>
      <c r="E328" s="2" t="n">
        <f aca="false">IF(E$7=E$5,E$6,IF(NORMSDIST(E$9*SQRT($C$11)*NORMSINV($B328)+SQRT(1-E$9^2*$C$11)*NORMSINV(D328))&lt;E$8,E$5+SQRT(NORMSDIST(E$9*SQRT($C$11)*NORMSINV($B328)+SQRT(1-E$9^2*$C$11)*NORMSINV(D328))*(E$7-E$5)*(E$6-E$5)),E$7-SQRT((1-NORMSDIST(E$9*SQRT($C$11)*NORMSINV($B328)+SQRT(1-E$9^2*$C$11)*NORMSINV(D328)))*(E$7-E$5)*(E$7-E$6))))</f>
        <v>0.0542248655175701</v>
      </c>
      <c r="F328" s="2" t="n">
        <v>0.041812044</v>
      </c>
      <c r="G328" s="2" t="n">
        <f aca="false">IF(G$7=G$5,G$6,IF(NORMSDIST(G$9*SQRT($C$11)*NORMSINV($B328)+SQRT(1-G$9^2*$C$11)*NORMSINV(F328))&lt;G$8,G$5+SQRT(NORMSDIST(G$9*SQRT($C$11)*NORMSINV($B328)+SQRT(1-G$9^2*$C$11)*NORMSINV(F328))*(G$7-G$5)*(G$6-G$5)),G$7-SQRT((1-NORMSDIST(G$9*SQRT($C$11)*NORMSINV($B328)+SQRT(1-G$9^2*$C$11)*NORMSINV(F328)))*(G$7-G$5)*(G$7-G$6))))</f>
        <v>0.0460532959035571</v>
      </c>
      <c r="H328" s="2" t="n">
        <v>0.898835853</v>
      </c>
      <c r="I328" s="2" t="n">
        <f aca="false">IF(I$7=I$5,I$6,IF(NORMSDIST(I$9*SQRT($C$11)*NORMSINV($B328)+SQRT(1-I$9^2*$C$11)*NORMSINV(H328))&lt;I$8,I$5+SQRT(NORMSDIST(I$9*SQRT($C$11)*NORMSINV($B328)+SQRT(1-I$9^2*$C$11)*NORMSINV(H328))*(I$7-I$5)*(I$6-I$5)),I$7-SQRT((1-NORMSDIST(I$9*SQRT($C$11)*NORMSINV($B328)+SQRT(1-I$9^2*$C$11)*NORMSINV(H328)))*(I$7-I$5)*(I$7-I$6))))</f>
        <v>208.14627144792</v>
      </c>
      <c r="J328" s="2" t="n">
        <v>0.501603161</v>
      </c>
      <c r="K328" s="2" t="n">
        <f aca="false">IF(K$7=K$5,K$6,IF(NORMSDIST(K$9*SQRT($C$11)*NORMSINV($B328)+SQRT(1-K$9^2*$C$11)*NORMSINV(J328))&lt;K$8,K$5+SQRT(NORMSDIST(K$9*SQRT($C$11)*NORMSINV($B328)+SQRT(1-K$9^2*$C$11)*NORMSINV(J328))*(K$7-K$5)*(K$6-K$5)),K$7-SQRT((1-NORMSDIST(K$9*SQRT($C$11)*NORMSINV($B328)+SQRT(1-K$9^2*$C$11)*NORMSINV(J328)))*(K$7-K$5)*(K$7-K$6))))</f>
        <v>0.244726451113282</v>
      </c>
      <c r="L328" s="2" t="n">
        <v>0.346235447</v>
      </c>
      <c r="M328" s="2" t="n">
        <f aca="false">IF(M$7=M$5,M$6,IF(NORMSDIST(M$9*SQRT($C$11)*NORMSINV($B328)+SQRT(1-M$9^2*$C$11)*NORMSINV(L328))&lt;M$8,M$5+SQRT(NORMSDIST(M$9*SQRT($C$11)*NORMSINV($B328)+SQRT(1-M$9^2*$C$11)*NORMSINV(L328))*(M$7-M$5)*(M$6-M$5)),M$7-SQRT((1-NORMSDIST(M$9*SQRT($C$11)*NORMSINV($B328)+SQRT(1-M$9^2*$C$11)*NORMSINV(L328)))*(M$7-M$5)*(M$7-M$6))))</f>
        <v>1542.1960693079</v>
      </c>
      <c r="N328" s="2" t="n">
        <v>0.918571556</v>
      </c>
      <c r="O328" s="2" t="n">
        <f aca="false">IF(O$7=O$5,O$6,IF(NORMSDIST(O$9*SQRT($C$11)*NORMSINV($B328)+SQRT(1-O$9^2*$C$11)*NORMSINV(N328))&lt;O$8,O$5+SQRT(NORMSDIST(O$9*SQRT($C$11)*NORMSINV($B328)+SQRT(1-O$9^2*$C$11)*NORMSINV(N328))*(O$7-O$5)*(O$6-O$5)),O$7-SQRT((1-NORMSDIST(O$9*SQRT($C$11)*NORMSINV($B328)+SQRT(1-O$9^2*$C$11)*NORMSINV(N328)))*(O$7-O$5)*(O$7-O$6))))</f>
        <v>0.177252299033501</v>
      </c>
      <c r="P328" s="2" t="n">
        <v>0.681425795</v>
      </c>
      <c r="Q328" s="2" t="n">
        <f aca="false">IF(Q$7=Q$5,Q$6,IF(NORMSDIST(Q$9*SQRT($C$11)*NORMSINV($B328)+SQRT(1-Q$9^2*$C$11)*NORMSINV(P328))&lt;Q$8,Q$5+SQRT(NORMSDIST(Q$9*SQRT($C$11)*NORMSINV($B328)+SQRT(1-Q$9^2*$C$11)*NORMSINV(P328))*(Q$7-Q$5)*(Q$6-Q$5)),Q$7-SQRT((1-NORMSDIST(Q$9*SQRT($C$11)*NORMSINV($B328)+SQRT(1-Q$9^2*$C$11)*NORMSINV(P328)))*(Q$7-Q$5)*(Q$7-Q$6))))</f>
        <v>0.0880713693372234</v>
      </c>
      <c r="R328" s="2" t="n">
        <v>0.754206301</v>
      </c>
      <c r="S328" s="2" t="n">
        <f aca="false">IF(S$7=S$5,S$6,IF(NORMSDIST(S$9*SQRT($C$11)*NORMSINV($B328)+SQRT(1-S$9^2*$C$11)*NORMSINV(R328))&lt;S$8,S$5+SQRT(NORMSDIST(S$9*SQRT($C$11)*NORMSINV($B328)+SQRT(1-S$9^2*$C$11)*NORMSINV(R328))*(S$7-S$5)*(S$6-S$5)),S$7-SQRT((1-NORMSDIST(S$9*SQRT($C$11)*NORMSINV($B328)+SQRT(1-S$9^2*$C$11)*NORMSINV(R328)))*(S$7-S$5)*(S$7-S$6))))</f>
        <v>0.602147449529955</v>
      </c>
      <c r="T328" s="2" t="n">
        <v>0.903224782</v>
      </c>
      <c r="U328" s="2" t="n">
        <f aca="false">IF(U$7=U$5,U$6,IF(NORMSDIST(U$9*SQRT($C$11)*NORMSINV($B328)+SQRT(1-U$9^2*$C$11)*NORMSINV(T328))&lt;U$8,U$5+SQRT(NORMSDIST(U$9*SQRT($C$11)*NORMSINV($B328)+SQRT(1-U$9^2*$C$11)*NORMSINV(T328))*(U$7-U$5)*(U$6-U$5)),U$7-SQRT((1-NORMSDIST(U$9*SQRT($C$11)*NORMSINV($B328)+SQRT(1-U$9^2*$C$11)*NORMSINV(T328)))*(U$7-U$5)*(U$7-U$6))))</f>
        <v>0.707903351672404</v>
      </c>
      <c r="V328" s="2" t="n">
        <v>0.039204012</v>
      </c>
      <c r="W328" s="2" t="n">
        <f aca="false">IF(W$7=W$5,W$6,IF(NORMSDIST(W$9*SQRT($C$11)*NORMSINV($B328)+SQRT(1-W$9^2*$C$11)*NORMSINV(V328))&lt;W$8,W$5+SQRT(NORMSDIST(W$9*SQRT($C$11)*NORMSINV($B328)+SQRT(1-W$9^2*$C$11)*NORMSINV(V328))*(W$7-W$5)*(W$6-W$5)),W$7-SQRT((1-NORMSDIST(W$9*SQRT($C$11)*NORMSINV($B328)+SQRT(1-W$9^2*$C$11)*NORMSINV(V328)))*(W$7-W$5)*(W$7-W$6))))</f>
        <v>8.7898704631469</v>
      </c>
      <c r="X328" s="2" t="n">
        <v>0.181464339</v>
      </c>
      <c r="Y328" s="2" t="n">
        <f aca="false">IF(Y$7=Y$5,Y$6,IF(NORMSDIST(Y$9*SQRT($C$11)*NORMSINV($B328)+SQRT(1-Y$9^2*$C$11)*NORMSINV(X328))&lt;Y$8,Y$5+SQRT(NORMSDIST(Y$9*SQRT($C$11)*NORMSINV($B328)+SQRT(1-Y$9^2*$C$11)*NORMSINV(X328))*(Y$7-Y$5)*(Y$6-Y$5)),Y$7-SQRT((1-NORMSDIST(Y$9*SQRT($C$11)*NORMSINV($B328)+SQRT(1-Y$9^2*$C$11)*NORMSINV(X328)))*(Y$7-Y$5)*(Y$7-Y$6))))</f>
        <v>0.301217810728383</v>
      </c>
      <c r="Z328" s="2" t="n">
        <v>0.905225618</v>
      </c>
      <c r="AA328" s="2" t="n">
        <f aca="false">IF(AA$7=AA$5,AA$6,IF(NORMSDIST(AA$9*SQRT($C$11)*NORMSINV($B328)+SQRT(1-AA$9^2*$C$11)*NORMSINV(Z328))&lt;AA$8,AA$5+SQRT(NORMSDIST(AA$9*SQRT($C$11)*NORMSINV($B328)+SQRT(1-AA$9^2*$C$11)*NORMSINV(Z328))*(AA$7-AA$5)*(AA$6-AA$5)),AA$7-SQRT((1-NORMSDIST(AA$9*SQRT($C$11)*NORMSINV($B328)+SQRT(1-AA$9^2*$C$11)*NORMSINV(Z328)))*(AA$7-AA$5)*(AA$7-AA$6))))</f>
        <v>0.739160797335644</v>
      </c>
      <c r="AB328" s="2" t="n">
        <v>0.471696545</v>
      </c>
      <c r="AC328" s="2" t="n">
        <f aca="false">IF(AC$7=AC$5,AC$6,IF(NORMSDIST(AC$9*SQRT($C$11)*NORMSINV($B328)+SQRT(1-AC$9^2*$C$11)*NORMSINV(AB328))&lt;AC$8,AC$5+SQRT(NORMSDIST(AC$9*SQRT($C$11)*NORMSINV($B328)+SQRT(1-AC$9^2*$C$11)*NORMSINV(AB328))*(AC$7-AC$5)*(AC$6-AC$5)),AC$7-SQRT((1-NORMSDIST(AC$9*SQRT($C$11)*NORMSINV($B328)+SQRT(1-AC$9^2*$C$11)*NORMSINV(AB328)))*(AC$7-AC$5)*(AC$7-AC$6))))</f>
        <v>9.38495569316867</v>
      </c>
      <c r="AD328" s="2" t="n">
        <f aca="false">Entrées!$C$8*(1+E328)</f>
        <v>7432.28530189887</v>
      </c>
      <c r="AE328" s="2" t="n">
        <f aca="false">I328*Hypothèses!$J$24/12/Hypothèses!$J$19</f>
        <v>103.260699067254</v>
      </c>
      <c r="AF328" s="2" t="n">
        <f aca="false">Entrées!$C$36*S328*1000</f>
        <v>301.073724764977</v>
      </c>
      <c r="AG328" s="2" t="n">
        <f aca="false">-AF328/W328</f>
        <v>-34.2523505923418</v>
      </c>
      <c r="AH328" s="2" t="n">
        <f aca="false">AD328+AE328+AG328</f>
        <v>7501.29365037378</v>
      </c>
      <c r="AI328" s="2" t="n">
        <f aca="false">Entrées!$C$16-M328+Hypothèses!$J$22*1000-AF328+Hypothèses!$J$23</f>
        <v>22704.7302059271</v>
      </c>
      <c r="AJ328" s="2" t="n">
        <f aca="false">AI328/AH328</f>
        <v>3.02677528226025</v>
      </c>
      <c r="AK328" s="2" t="n">
        <f aca="false">AI328/(AH328+I328*(12-Hypothèses!$J$24)/12/Hypothèses!$J$19)</f>
        <v>2.99730382396394</v>
      </c>
      <c r="AL328" s="2" t="n">
        <f aca="false">(AD328+AG328+I328/Hypothèses!$J$19)*(1+G328)</f>
        <v>7923.90737122578</v>
      </c>
      <c r="AM328" s="2" t="n">
        <f aca="false">Entrées!$C$54*K328/Hypothèses!$J$19</f>
        <v>24.9753618760775</v>
      </c>
      <c r="AN328" s="2" t="n">
        <f aca="false">Y328*1000/AC328</f>
        <v>32.0958159608191</v>
      </c>
      <c r="AO328" s="2" t="n">
        <f aca="false">(Entrées!$C$36*(1-S328)+MAX(0,Entrées!$C$30-Entrées!$C$35-Entrées!$C$36)*U328)*1000</f>
        <v>1189.99096757639</v>
      </c>
      <c r="AP328" s="2" t="n">
        <f aca="false">-AO328/W328</f>
        <v>-135.382082428363</v>
      </c>
      <c r="AQ328" s="2" t="n">
        <f aca="false">AL328+AM328+AN328+AP328</f>
        <v>7845.59646663432</v>
      </c>
      <c r="AR328" s="2" t="n">
        <f aca="false">O328*AQ328-Hypothèses!$J$25/Hypothèses!$J$19</f>
        <v>1371.51484873842</v>
      </c>
      <c r="AS328" s="2" t="n">
        <f aca="false">Entrées!$C$79*(1+Q328)+Hypothèses!$J$20</f>
        <v>1490.79043490161</v>
      </c>
      <c r="AT328" s="2" t="n">
        <f aca="false">AI328-AR328+AS328+Y328*1000-AO328+Hypothèses!$J$23</f>
        <v>21935.2326352423</v>
      </c>
      <c r="AU328" s="2" t="n">
        <f aca="false">AT328/AQ328</f>
        <v>2.79586551876945</v>
      </c>
      <c r="AV328" s="2" t="n">
        <f aca="false">Hypothèses!$J$26*AQ328-AT328</f>
        <v>1601.55676466064</v>
      </c>
      <c r="AW328" s="2" t="n">
        <f aca="false">IF(AC328&gt;Hypothèses!$J$26,MAX(0,AV328)/(1-Hypothèses!$J$26/AC328),0)</f>
        <v>2354.05537622069</v>
      </c>
      <c r="AX328" s="2" t="n">
        <f aca="false">AQ328-Entrées!$C$17*1000</f>
        <v>-154.403533365685</v>
      </c>
      <c r="AY328" s="2" t="n">
        <f aca="false">AI328+(Entrées!$C$244-Entrées!$C$13)</f>
        <v>28451.7302059271</v>
      </c>
      <c r="AZ328" s="2" t="n">
        <f aca="false">AA328*AH328</f>
        <v>5544.66219565909</v>
      </c>
      <c r="BA328" s="2" t="n">
        <f aca="false">AZ328/AY328</f>
        <v>0.194879613841692</v>
      </c>
      <c r="BB328" s="2" t="n">
        <f aca="false">AZ328/(Entrées!$C$151/100)-AY328</f>
        <v>2351.94865884557</v>
      </c>
      <c r="BC328" s="2" t="n">
        <f aca="false">AT328+(Entrées!$C$244-Entrées!$C$13)</f>
        <v>27682.2326352423</v>
      </c>
      <c r="BD328" s="2" t="n">
        <f aca="false">AA328*AQ328</f>
        <v>5799.15733985113</v>
      </c>
      <c r="BE328" s="2" t="n">
        <f aca="false">BD328/BC328</f>
        <v>0.209490232101735</v>
      </c>
      <c r="BF328" s="2" t="n">
        <f aca="false">BD328/(Entrées!$C$151/100)-BC328</f>
        <v>4535.3081417084</v>
      </c>
      <c r="BG328" s="2" t="n">
        <f aca="false">MIN(AV328,BF328)</f>
        <v>1601.55676466064</v>
      </c>
      <c r="BH328" s="2" t="n">
        <f aca="false">IF(AC328&gt;Hypothèses!$J$26,MAX(0,BG328)/(1-Hypothèses!$J$26/AC328),0)</f>
        <v>2354.05537622069</v>
      </c>
    </row>
    <row r="329" customFormat="false" ht="15" hidden="false" customHeight="false" outlineLevel="0" collapsed="false">
      <c r="A329" s="2" t="n">
        <v>314</v>
      </c>
      <c r="B329" s="2" t="n">
        <v>0.645557175</v>
      </c>
      <c r="C329" s="2"/>
      <c r="D329" s="2" t="n">
        <v>0.214575525</v>
      </c>
      <c r="E329" s="2" t="n">
        <f aca="false">IF(E$7=E$5,E$6,IF(NORMSDIST(E$9*SQRT($C$11)*NORMSINV($B329)+SQRT(1-E$9^2*$C$11)*NORMSINV(D329))&lt;E$8,E$5+SQRT(NORMSDIST(E$9*SQRT($C$11)*NORMSINV($B329)+SQRT(1-E$9^2*$C$11)*NORMSINV(D329))*(E$7-E$5)*(E$6-E$5)),E$7-SQRT((1-NORMSDIST(E$9*SQRT($C$11)*NORMSINV($B329)+SQRT(1-E$9^2*$C$11)*NORMSINV(D329)))*(E$7-E$5)*(E$7-E$6))))</f>
        <v>0.0542032501040699</v>
      </c>
      <c r="F329" s="2" t="n">
        <v>0.403577569</v>
      </c>
      <c r="G329" s="2" t="n">
        <f aca="false">IF(G$7=G$5,G$6,IF(NORMSDIST(G$9*SQRT($C$11)*NORMSINV($B329)+SQRT(1-G$9^2*$C$11)*NORMSINV(F329))&lt;G$8,G$5+SQRT(NORMSDIST(G$9*SQRT($C$11)*NORMSINV($B329)+SQRT(1-G$9^2*$C$11)*NORMSINV(F329))*(G$7-G$5)*(G$6-G$5)),G$7-SQRT((1-NORMSDIST(G$9*SQRT($C$11)*NORMSINV($B329)+SQRT(1-G$9^2*$C$11)*NORMSINV(F329)))*(G$7-G$5)*(G$7-G$6))))</f>
        <v>0.0552841528213308</v>
      </c>
      <c r="H329" s="2" t="n">
        <v>0.868176296</v>
      </c>
      <c r="I329" s="2" t="n">
        <f aca="false">IF(I$7=I$5,I$6,IF(NORMSDIST(I$9*SQRT($C$11)*NORMSINV($B329)+SQRT(1-I$9^2*$C$11)*NORMSINV(H329))&lt;I$8,I$5+SQRT(NORMSDIST(I$9*SQRT($C$11)*NORMSINV($B329)+SQRT(1-I$9^2*$C$11)*NORMSINV(H329))*(I$7-I$5)*(I$6-I$5)),I$7-SQRT((1-NORMSDIST(I$9*SQRT($C$11)*NORMSINV($B329)+SQRT(1-I$9^2*$C$11)*NORMSINV(H329)))*(I$7-I$5)*(I$7-I$6))))</f>
        <v>209.598667701343</v>
      </c>
      <c r="J329" s="2" t="n">
        <v>0.316491682</v>
      </c>
      <c r="K329" s="2" t="n">
        <f aca="false">IF(K$7=K$5,K$6,IF(NORMSDIST(K$9*SQRT($C$11)*NORMSINV($B329)+SQRT(1-K$9^2*$C$11)*NORMSINV(J329))&lt;K$8,K$5+SQRT(NORMSDIST(K$9*SQRT($C$11)*NORMSINV($B329)+SQRT(1-K$9^2*$C$11)*NORMSINV(J329))*(K$7-K$5)*(K$6-K$5)),K$7-SQRT((1-NORMSDIST(K$9*SQRT($C$11)*NORMSINV($B329)+SQRT(1-K$9^2*$C$11)*NORMSINV(J329)))*(K$7-K$5)*(K$7-K$6))))</f>
        <v>0.236324467922189</v>
      </c>
      <c r="L329" s="2" t="n">
        <v>0.60235884</v>
      </c>
      <c r="M329" s="2" t="n">
        <f aca="false">IF(M$7=M$5,M$6,IF(NORMSDIST(M$9*SQRT($C$11)*NORMSINV($B329)+SQRT(1-M$9^2*$C$11)*NORMSINV(L329))&lt;M$8,M$5+SQRT(NORMSDIST(M$9*SQRT($C$11)*NORMSINV($B329)+SQRT(1-M$9^2*$C$11)*NORMSINV(L329))*(M$7-M$5)*(M$6-M$5)),M$7-SQRT((1-NORMSDIST(M$9*SQRT($C$11)*NORMSINV($B329)+SQRT(1-M$9^2*$C$11)*NORMSINV(L329)))*(M$7-M$5)*(M$7-M$6))))</f>
        <v>1629.56675609558</v>
      </c>
      <c r="N329" s="2" t="n">
        <v>0.069120168</v>
      </c>
      <c r="O329" s="2" t="n">
        <f aca="false">IF(O$7=O$5,O$6,IF(NORMSDIST(O$9*SQRT($C$11)*NORMSINV($B329)+SQRT(1-O$9^2*$C$11)*NORMSINV(N329))&lt;O$8,O$5+SQRT(NORMSDIST(O$9*SQRT($C$11)*NORMSINV($B329)+SQRT(1-O$9^2*$C$11)*NORMSINV(N329))*(O$7-O$5)*(O$6-O$5)),O$7-SQRT((1-NORMSDIST(O$9*SQRT($C$11)*NORMSINV($B329)+SQRT(1-O$9^2*$C$11)*NORMSINV(N329)))*(O$7-O$5)*(O$7-O$6))))</f>
        <v>0.156108789143594</v>
      </c>
      <c r="P329" s="2" t="n">
        <v>0.63621329</v>
      </c>
      <c r="Q329" s="2" t="n">
        <f aca="false">IF(Q$7=Q$5,Q$6,IF(NORMSDIST(Q$9*SQRT($C$11)*NORMSINV($B329)+SQRT(1-Q$9^2*$C$11)*NORMSINV(P329))&lt;Q$8,Q$5+SQRT(NORMSDIST(Q$9*SQRT($C$11)*NORMSINV($B329)+SQRT(1-Q$9^2*$C$11)*NORMSINV(P329))*(Q$7-Q$5)*(Q$6-Q$5)),Q$7-SQRT((1-NORMSDIST(Q$9*SQRT($C$11)*NORMSINV($B329)+SQRT(1-Q$9^2*$C$11)*NORMSINV(P329)))*(Q$7-Q$5)*(Q$7-Q$6))))</f>
        <v>0.0858808342423206</v>
      </c>
      <c r="R329" s="2" t="n">
        <v>0.168504305</v>
      </c>
      <c r="S329" s="2" t="n">
        <f aca="false">IF(S$7=S$5,S$6,IF(NORMSDIST(S$9*SQRT($C$11)*NORMSINV($B329)+SQRT(1-S$9^2*$C$11)*NORMSINV(R329))&lt;S$8,S$5+SQRT(NORMSDIST(S$9*SQRT($C$11)*NORMSINV($B329)+SQRT(1-S$9^2*$C$11)*NORMSINV(R329))*(S$7-S$5)*(S$6-S$5)),S$7-SQRT((1-NORMSDIST(S$9*SQRT($C$11)*NORMSINV($B329)+SQRT(1-S$9^2*$C$11)*NORMSINV(R329)))*(S$7-S$5)*(S$7-S$6))))</f>
        <v>0.391077118809095</v>
      </c>
      <c r="T329" s="2" t="n">
        <v>0.860567706</v>
      </c>
      <c r="U329" s="2" t="n">
        <f aca="false">IF(U$7=U$5,U$6,IF(NORMSDIST(U$9*SQRT($C$11)*NORMSINV($B329)+SQRT(1-U$9^2*$C$11)*NORMSINV(T329))&lt;U$8,U$5+SQRT(NORMSDIST(U$9*SQRT($C$11)*NORMSINV($B329)+SQRT(1-U$9^2*$C$11)*NORMSINV(T329))*(U$7-U$5)*(U$6-U$5)),U$7-SQRT((1-NORMSDIST(U$9*SQRT($C$11)*NORMSINV($B329)+SQRT(1-U$9^2*$C$11)*NORMSINV(T329)))*(U$7-U$5)*(U$7-U$6))))</f>
        <v>0.734288312639575</v>
      </c>
      <c r="V329" s="2" t="n">
        <v>0.272207633</v>
      </c>
      <c r="W329" s="2" t="n">
        <f aca="false">IF(W$7=W$5,W$6,IF(NORMSDIST(W$9*SQRT($C$11)*NORMSINV($B329)+SQRT(1-W$9^2*$C$11)*NORMSINV(V329))&lt;W$8,W$5+SQRT(NORMSDIST(W$9*SQRT($C$11)*NORMSINV($B329)+SQRT(1-W$9^2*$C$11)*NORMSINV(V329))*(W$7-W$5)*(W$6-W$5)),W$7-SQRT((1-NORMSDIST(W$9*SQRT($C$11)*NORMSINV($B329)+SQRT(1-W$9^2*$C$11)*NORMSINV(V329)))*(W$7-W$5)*(W$7-W$6))))</f>
        <v>9.80605284333307</v>
      </c>
      <c r="X329" s="2" t="n">
        <v>0.273386573</v>
      </c>
      <c r="Y329" s="2" t="n">
        <f aca="false">IF(Y$7=Y$5,Y$6,IF(NORMSDIST(Y$9*SQRT($C$11)*NORMSINV($B329)+SQRT(1-Y$9^2*$C$11)*NORMSINV(X329))&lt;Y$8,Y$5+SQRT(NORMSDIST(Y$9*SQRT($C$11)*NORMSINV($B329)+SQRT(1-Y$9^2*$C$11)*NORMSINV(X329))*(Y$7-Y$5)*(Y$6-Y$5)),Y$7-SQRT((1-NORMSDIST(Y$9*SQRT($C$11)*NORMSINV($B329)+SQRT(1-Y$9^2*$C$11)*NORMSINV(X329)))*(Y$7-Y$5)*(Y$7-Y$6))))</f>
        <v>0.369720551903732</v>
      </c>
      <c r="Z329" s="2" t="n">
        <v>0.04966773</v>
      </c>
      <c r="AA329" s="2" t="n">
        <f aca="false">IF(AA$7=AA$5,AA$6,IF(NORMSDIST(AA$9*SQRT($C$11)*NORMSINV($B329)+SQRT(1-AA$9^2*$C$11)*NORMSINV(Z329))&lt;AA$8,AA$5+SQRT(NORMSDIST(AA$9*SQRT($C$11)*NORMSINV($B329)+SQRT(1-AA$9^2*$C$11)*NORMSINV(Z329))*(AA$7-AA$5)*(AA$6-AA$5)),AA$7-SQRT((1-NORMSDIST(AA$9*SQRT($C$11)*NORMSINV($B329)+SQRT(1-AA$9^2*$C$11)*NORMSINV(Z329)))*(AA$7-AA$5)*(AA$7-AA$6))))</f>
        <v>0.713191099253907</v>
      </c>
      <c r="AB329" s="2" t="n">
        <v>0.363437522</v>
      </c>
      <c r="AC329" s="2" t="n">
        <f aca="false">IF(AC$7=AC$5,AC$6,IF(NORMSDIST(AC$9*SQRT($C$11)*NORMSINV($B329)+SQRT(1-AC$9^2*$C$11)*NORMSINV(AB329))&lt;AC$8,AC$5+SQRT(NORMSDIST(AC$9*SQRT($C$11)*NORMSINV($B329)+SQRT(1-AC$9^2*$C$11)*NORMSINV(AB329))*(AC$7-AC$5)*(AC$6-AC$5)),AC$7-SQRT((1-NORMSDIST(AC$9*SQRT($C$11)*NORMSINV($B329)+SQRT(1-AC$9^2*$C$11)*NORMSINV(AB329)))*(AC$7-AC$5)*(AC$7-AC$6))))</f>
        <v>9.44972230153785</v>
      </c>
      <c r="AD329" s="2" t="n">
        <f aca="false">Entrées!$C$8*(1+E329)</f>
        <v>7432.13291323369</v>
      </c>
      <c r="AE329" s="2" t="n">
        <f aca="false">I329*Hypothèses!$J$24/12/Hypothèses!$J$19</f>
        <v>103.981228200003</v>
      </c>
      <c r="AF329" s="2" t="n">
        <f aca="false">Entrées!$C$36*S329*1000</f>
        <v>195.538559404547</v>
      </c>
      <c r="AG329" s="2" t="n">
        <f aca="false">-AF329/W329</f>
        <v>-19.9405981722289</v>
      </c>
      <c r="AH329" s="2" t="n">
        <f aca="false">AD329+AE329+AG329</f>
        <v>7516.17354326147</v>
      </c>
      <c r="AI329" s="2" t="n">
        <f aca="false">Entrées!$C$16-M329+Hypothèses!$J$22*1000-AF329+Hypothèses!$J$23</f>
        <v>22722.8946844999</v>
      </c>
      <c r="AJ329" s="2" t="n">
        <f aca="false">AI329/AH329</f>
        <v>3.02319984413769</v>
      </c>
      <c r="AK329" s="2" t="n">
        <f aca="false">AI329/(AH329+I329*(12-Hypothèses!$J$24)/12/Hypothèses!$J$19)</f>
        <v>2.99361791601984</v>
      </c>
      <c r="AL329" s="2" t="n">
        <f aca="false">(AD329+AG329+I329/Hypothèses!$J$19)*(1+G329)</f>
        <v>8010.07721742332</v>
      </c>
      <c r="AM329" s="2" t="n">
        <f aca="false">Entrées!$C$54*K329/Hypothèses!$J$19</f>
        <v>24.1179042137787</v>
      </c>
      <c r="AN329" s="2" t="n">
        <f aca="false">Y329*1000/AC329</f>
        <v>39.1250176572452</v>
      </c>
      <c r="AO329" s="2" t="n">
        <f aca="false">(Entrées!$C$36*(1-S329)+MAX(0,Entrées!$C$30-Entrées!$C$35-Entrées!$C$36)*U329)*1000</f>
        <v>1332.46507829086</v>
      </c>
      <c r="AP329" s="2" t="n">
        <f aca="false">-AO329/W329</f>
        <v>-135.881898617013</v>
      </c>
      <c r="AQ329" s="2" t="n">
        <f aca="false">AL329+AM329+AN329+AP329</f>
        <v>7937.43824067733</v>
      </c>
      <c r="AR329" s="2" t="n">
        <f aca="false">O329*AQ329-Hypothèses!$J$25/Hypothèses!$J$19</f>
        <v>1219.96871039257</v>
      </c>
      <c r="AS329" s="2" t="n">
        <f aca="false">Entrées!$C$79*(1+Q329)+Hypothèses!$J$20</f>
        <v>1488.38303683231</v>
      </c>
      <c r="AT329" s="2" t="n">
        <f aca="false">AI329-AR329+AS329+Y329*1000-AO329+Hypothèses!$J$23</f>
        <v>22028.5644845525</v>
      </c>
      <c r="AU329" s="2" t="n">
        <f aca="false">AT329/AQ329</f>
        <v>2.77527381210499</v>
      </c>
      <c r="AV329" s="2" t="n">
        <f aca="false">Hypothèses!$J$26*AQ329-AT329</f>
        <v>1783.75023747951</v>
      </c>
      <c r="AW329" s="2" t="n">
        <f aca="false">IF(AC329&gt;Hypothèses!$J$26,MAX(0,AV329)/(1-Hypothèses!$J$26/AC329),0)</f>
        <v>2613.43723209052</v>
      </c>
      <c r="AX329" s="2" t="n">
        <f aca="false">AQ329-Entrées!$C$17*1000</f>
        <v>-62.5617593226689</v>
      </c>
      <c r="AY329" s="2" t="n">
        <f aca="false">AI329+(Entrées!$C$244-Entrées!$C$13)</f>
        <v>28469.8946844999</v>
      </c>
      <c r="AZ329" s="2" t="n">
        <f aca="false">AA329*AH329</f>
        <v>5360.46807150178</v>
      </c>
      <c r="BA329" s="2" t="n">
        <f aca="false">AZ329/AY329</f>
        <v>0.188285490020454</v>
      </c>
      <c r="BB329" s="2" t="n">
        <f aca="false">AZ329/(Entrées!$C$151/100)-AY329</f>
        <v>1310.48349051001</v>
      </c>
      <c r="BC329" s="2" t="n">
        <f aca="false">AT329+(Entrées!$C$244-Entrées!$C$13)</f>
        <v>27775.5644845525</v>
      </c>
      <c r="BD329" s="2" t="n">
        <f aca="false">AA329*AQ329</f>
        <v>5660.91030412866</v>
      </c>
      <c r="BE329" s="2" t="n">
        <f aca="false">BD329/BC329</f>
        <v>0.203809010156284</v>
      </c>
      <c r="BF329" s="2" t="n">
        <f aca="false">BD329/(Entrées!$C$151/100)-BC329</f>
        <v>3673.93720505121</v>
      </c>
      <c r="BG329" s="2" t="n">
        <f aca="false">MIN(AV329,BF329)</f>
        <v>1783.75023747951</v>
      </c>
      <c r="BH329" s="2" t="n">
        <f aca="false">IF(AC329&gt;Hypothèses!$J$26,MAX(0,BG329)/(1-Hypothèses!$J$26/AC329),0)</f>
        <v>2613.43723209052</v>
      </c>
    </row>
    <row r="330" customFormat="false" ht="15" hidden="false" customHeight="false" outlineLevel="0" collapsed="false">
      <c r="A330" s="2" t="n">
        <v>315</v>
      </c>
      <c r="B330" s="2" t="n">
        <v>0.982414566</v>
      </c>
      <c r="C330" s="2"/>
      <c r="D330" s="2" t="n">
        <v>0.763897037</v>
      </c>
      <c r="E330" s="2" t="n">
        <f aca="false">IF(E$7=E$5,E$6,IF(NORMSDIST(E$9*SQRT($C$11)*NORMSINV($B330)+SQRT(1-E$9^2*$C$11)*NORMSINV(D330))&lt;E$8,E$5+SQRT(NORMSDIST(E$9*SQRT($C$11)*NORMSINV($B330)+SQRT(1-E$9^2*$C$11)*NORMSINV(D330))*(E$7-E$5)*(E$6-E$5)),E$7-SQRT((1-NORMSDIST(E$9*SQRT($C$11)*NORMSINV($B330)+SQRT(1-E$9^2*$C$11)*NORMSINV(D330)))*(E$7-E$5)*(E$7-E$6))))</f>
        <v>0.0587866850587277</v>
      </c>
      <c r="F330" s="2" t="n">
        <v>0.034641843</v>
      </c>
      <c r="G330" s="2" t="n">
        <f aca="false">IF(G$7=G$5,G$6,IF(NORMSDIST(G$9*SQRT($C$11)*NORMSINV($B330)+SQRT(1-G$9^2*$C$11)*NORMSINV(F330))&lt;G$8,G$5+SQRT(NORMSDIST(G$9*SQRT($C$11)*NORMSINV($B330)+SQRT(1-G$9^2*$C$11)*NORMSINV(F330))*(G$7-G$5)*(G$6-G$5)),G$7-SQRT((1-NORMSDIST(G$9*SQRT($C$11)*NORMSINV($B330)+SQRT(1-G$9^2*$C$11)*NORMSINV(F330)))*(G$7-G$5)*(G$7-G$6))))</f>
        <v>0.0545452526945522</v>
      </c>
      <c r="H330" s="2" t="n">
        <v>0.445746996</v>
      </c>
      <c r="I330" s="2" t="n">
        <f aca="false">IF(I$7=I$5,I$6,IF(NORMSDIST(I$9*SQRT($C$11)*NORMSINV($B330)+SQRT(1-I$9^2*$C$11)*NORMSINV(H330))&lt;I$8,I$5+SQRT(NORMSDIST(I$9*SQRT($C$11)*NORMSINV($B330)+SQRT(1-I$9^2*$C$11)*NORMSINV(H330))*(I$7-I$5)*(I$6-I$5)),I$7-SQRT((1-NORMSDIST(I$9*SQRT($C$11)*NORMSINV($B330)+SQRT(1-I$9^2*$C$11)*NORMSINV(H330)))*(I$7-I$5)*(I$7-I$6))))</f>
        <v>210.619178771141</v>
      </c>
      <c r="J330" s="2" t="n">
        <v>0.785140303</v>
      </c>
      <c r="K330" s="2" t="n">
        <f aca="false">IF(K$7=K$5,K$6,IF(NORMSDIST(K$9*SQRT($C$11)*NORMSINV($B330)+SQRT(1-K$9^2*$C$11)*NORMSINV(J330))&lt;K$8,K$5+SQRT(NORMSDIST(K$9*SQRT($C$11)*NORMSINV($B330)+SQRT(1-K$9^2*$C$11)*NORMSINV(J330))*(K$7-K$5)*(K$6-K$5)),K$7-SQRT((1-NORMSDIST(K$9*SQRT($C$11)*NORMSINV($B330)+SQRT(1-K$9^2*$C$11)*NORMSINV(J330)))*(K$7-K$5)*(K$7-K$6))))</f>
        <v>0.44304012940463</v>
      </c>
      <c r="L330" s="2" t="n">
        <v>0.701276168</v>
      </c>
      <c r="M330" s="2" t="n">
        <f aca="false">IF(M$7=M$5,M$6,IF(NORMSDIST(M$9*SQRT($C$11)*NORMSINV($B330)+SQRT(1-M$9^2*$C$11)*NORMSINV(L330))&lt;M$8,M$5+SQRT(NORMSDIST(M$9*SQRT($C$11)*NORMSINV($B330)+SQRT(1-M$9^2*$C$11)*NORMSINV(L330))*(M$7-M$5)*(M$6-M$5)),M$7-SQRT((1-NORMSDIST(M$9*SQRT($C$11)*NORMSINV($B330)+SQRT(1-M$9^2*$C$11)*NORMSINV(L330)))*(M$7-M$5)*(M$7-M$6))))</f>
        <v>1734.89377659012</v>
      </c>
      <c r="N330" s="2" t="n">
        <v>0.810246086</v>
      </c>
      <c r="O330" s="2" t="n">
        <f aca="false">IF(O$7=O$5,O$6,IF(NORMSDIST(O$9*SQRT($C$11)*NORMSINV($B330)+SQRT(1-O$9^2*$C$11)*NORMSINV(N330))&lt;O$8,O$5+SQRT(NORMSDIST(O$9*SQRT($C$11)*NORMSINV($B330)+SQRT(1-O$9^2*$C$11)*NORMSINV(N330))*(O$7-O$5)*(O$6-O$5)),O$7-SQRT((1-NORMSDIST(O$9*SQRT($C$11)*NORMSINV($B330)+SQRT(1-O$9^2*$C$11)*NORMSINV(N330)))*(O$7-O$5)*(O$7-O$6))))</f>
        <v>0.185152330877987</v>
      </c>
      <c r="P330" s="2" t="n">
        <v>0.859586197</v>
      </c>
      <c r="Q330" s="2" t="n">
        <f aca="false">IF(Q$7=Q$5,Q$6,IF(NORMSDIST(Q$9*SQRT($C$11)*NORMSINV($B330)+SQRT(1-Q$9^2*$C$11)*NORMSINV(P330))&lt;Q$8,Q$5+SQRT(NORMSDIST(Q$9*SQRT($C$11)*NORMSINV($B330)+SQRT(1-Q$9^2*$C$11)*NORMSINV(P330))*(Q$7-Q$5)*(Q$6-Q$5)),Q$7-SQRT((1-NORMSDIST(Q$9*SQRT($C$11)*NORMSINV($B330)+SQRT(1-Q$9^2*$C$11)*NORMSINV(P330)))*(Q$7-Q$5)*(Q$7-Q$6))))</f>
        <v>0.0988027320250934</v>
      </c>
      <c r="R330" s="2" t="n">
        <v>0.169499586</v>
      </c>
      <c r="S330" s="2" t="n">
        <f aca="false">IF(S$7=S$5,S$6,IF(NORMSDIST(S$9*SQRT($C$11)*NORMSINV($B330)+SQRT(1-S$9^2*$C$11)*NORMSINV(R330))&lt;S$8,S$5+SQRT(NORMSDIST(S$9*SQRT($C$11)*NORMSINV($B330)+SQRT(1-S$9^2*$C$11)*NORMSINV(R330))*(S$7-S$5)*(S$6-S$5)),S$7-SQRT((1-NORMSDIST(S$9*SQRT($C$11)*NORMSINV($B330)+SQRT(1-S$9^2*$C$11)*NORMSINV(R330)))*(S$7-S$5)*(S$7-S$6))))</f>
        <v>0.627797310785527</v>
      </c>
      <c r="T330" s="2" t="n">
        <v>0.896309387</v>
      </c>
      <c r="U330" s="2" t="n">
        <f aca="false">IF(U$7=U$5,U$6,IF(NORMSDIST(U$9*SQRT($C$11)*NORMSINV($B330)+SQRT(1-U$9^2*$C$11)*NORMSINV(T330))&lt;U$8,U$5+SQRT(NORMSDIST(U$9*SQRT($C$11)*NORMSINV($B330)+SQRT(1-U$9^2*$C$11)*NORMSINV(T330))*(U$7-U$5)*(U$6-U$5)),U$7-SQRT((1-NORMSDIST(U$9*SQRT($C$11)*NORMSINV($B330)+SQRT(1-U$9^2*$C$11)*NORMSINV(T330)))*(U$7-U$5)*(U$7-U$6))))</f>
        <v>0.927621920203731</v>
      </c>
      <c r="V330" s="2" t="n">
        <v>0.815691054</v>
      </c>
      <c r="W330" s="2" t="n">
        <f aca="false">IF(W$7=W$5,W$6,IF(NORMSDIST(W$9*SQRT($C$11)*NORMSINV($B330)+SQRT(1-W$9^2*$C$11)*NORMSINV(V330))&lt;W$8,W$5+SQRT(NORMSDIST(W$9*SQRT($C$11)*NORMSINV($B330)+SQRT(1-W$9^2*$C$11)*NORMSINV(V330))*(W$7-W$5)*(W$6-W$5)),W$7-SQRT((1-NORMSDIST(W$9*SQRT($C$11)*NORMSINV($B330)+SQRT(1-W$9^2*$C$11)*NORMSINV(V330)))*(W$7-W$5)*(W$7-W$6))))</f>
        <v>11.5876981155685</v>
      </c>
      <c r="X330" s="2" t="n">
        <v>0.045472111</v>
      </c>
      <c r="Y330" s="2" t="n">
        <f aca="false">IF(Y$7=Y$5,Y$6,IF(NORMSDIST(Y$9*SQRT($C$11)*NORMSINV($B330)+SQRT(1-Y$9^2*$C$11)*NORMSINV(X330))&lt;Y$8,Y$5+SQRT(NORMSDIST(Y$9*SQRT($C$11)*NORMSINV($B330)+SQRT(1-Y$9^2*$C$11)*NORMSINV(X330))*(Y$7-Y$5)*(Y$6-Y$5)),Y$7-SQRT((1-NORMSDIST(Y$9*SQRT($C$11)*NORMSINV($B330)+SQRT(1-Y$9^2*$C$11)*NORMSINV(X330)))*(Y$7-Y$5)*(Y$7-Y$6))))</f>
        <v>0.150784798636998</v>
      </c>
      <c r="Z330" s="2" t="n">
        <v>0.010591625</v>
      </c>
      <c r="AA330" s="2" t="n">
        <f aca="false">IF(AA$7=AA$5,AA$6,IF(NORMSDIST(AA$9*SQRT($C$11)*NORMSINV($B330)+SQRT(1-AA$9^2*$C$11)*NORMSINV(Z330))&lt;AA$8,AA$5+SQRT(NORMSDIST(AA$9*SQRT($C$11)*NORMSINV($B330)+SQRT(1-AA$9^2*$C$11)*NORMSINV(Z330))*(AA$7-AA$5)*(AA$6-AA$5)),AA$7-SQRT((1-NORMSDIST(AA$9*SQRT($C$11)*NORMSINV($B330)+SQRT(1-AA$9^2*$C$11)*NORMSINV(Z330)))*(AA$7-AA$5)*(AA$7-AA$6))))</f>
        <v>0.721719567649819</v>
      </c>
      <c r="AB330" s="2" t="n">
        <v>0.344886638</v>
      </c>
      <c r="AC330" s="2" t="n">
        <f aca="false">IF(AC$7=AC$5,AC$6,IF(NORMSDIST(AC$9*SQRT($C$11)*NORMSINV($B330)+SQRT(1-AC$9^2*$C$11)*NORMSINV(AB330))&lt;AC$8,AC$5+SQRT(NORMSDIST(AC$9*SQRT($C$11)*NORMSINV($B330)+SQRT(1-AC$9^2*$C$11)*NORMSINV(AB330))*(AC$7-AC$5)*(AC$6-AC$5)),AC$7-SQRT((1-NORMSDIST(AC$9*SQRT($C$11)*NORMSINV($B330)+SQRT(1-AC$9^2*$C$11)*NORMSINV(AB330)))*(AC$7-AC$5)*(AC$7-AC$6))))</f>
        <v>10.186599889289</v>
      </c>
      <c r="AD330" s="2" t="n">
        <f aca="false">Entrées!$C$8*(1+E330)</f>
        <v>7464.44612966403</v>
      </c>
      <c r="AE330" s="2" t="n">
        <f aca="false">I330*Hypothèses!$J$24/12/Hypothèses!$J$19</f>
        <v>104.487500475457</v>
      </c>
      <c r="AF330" s="2" t="n">
        <f aca="false">Entrées!$C$36*S330*1000</f>
        <v>313.898655392764</v>
      </c>
      <c r="AG330" s="2" t="n">
        <f aca="false">-AF330/W330</f>
        <v>-27.088956949183</v>
      </c>
      <c r="AH330" s="2" t="n">
        <f aca="false">AD330+AE330+AG330</f>
        <v>7541.8446731903</v>
      </c>
      <c r="AI330" s="2" t="n">
        <f aca="false">Entrées!$C$16-M330+Hypothèses!$J$22*1000-AF330+Hypothèses!$J$23</f>
        <v>22499.2075680171</v>
      </c>
      <c r="AJ330" s="2" t="n">
        <f aca="false">AI330/AH330</f>
        <v>2.98324992663892</v>
      </c>
      <c r="AK330" s="2" t="n">
        <f aca="false">AI330/(AH330+I330*(12-Hypothèses!$J$24)/12/Hypothèses!$J$19)</f>
        <v>2.95401703903031</v>
      </c>
      <c r="AL330" s="2" t="n">
        <f aca="false">(AD330+AG330+I330/Hypothèses!$J$19)*(1+G330)</f>
        <v>8031.92135209561</v>
      </c>
      <c r="AM330" s="2" t="n">
        <f aca="false">Entrées!$C$54*K330/Hypothèses!$J$19</f>
        <v>45.2141054110365</v>
      </c>
      <c r="AN330" s="2" t="n">
        <f aca="false">Y330*1000/AC330</f>
        <v>14.8022696754336</v>
      </c>
      <c r="AO330" s="2" t="n">
        <f aca="false">(Entrées!$C$36*(1-S330)+MAX(0,Entrées!$C$30-Entrées!$C$35-Entrées!$C$36)*U330)*1000</f>
        <v>1484.77203289246</v>
      </c>
      <c r="AP330" s="2" t="n">
        <f aca="false">-AO330/W330</f>
        <v>-128.133475525878</v>
      </c>
      <c r="AQ330" s="2" t="n">
        <f aca="false">AL330+AM330+AN330+AP330</f>
        <v>7963.8042516562</v>
      </c>
      <c r="AR330" s="2" t="n">
        <f aca="false">O330*AQ330-Hypothèses!$J$25/Hypothèses!$J$19</f>
        <v>1455.38175758854</v>
      </c>
      <c r="AS330" s="2" t="n">
        <f aca="false">Entrées!$C$79*(1+Q330)+Hypothèses!$J$20</f>
        <v>1502.58420249558</v>
      </c>
      <c r="AT330" s="2" t="n">
        <f aca="false">AI330-AR330+AS330+Y330*1000-AO330+Hypothèses!$J$23</f>
        <v>21212.4227786687</v>
      </c>
      <c r="AU330" s="2" t="n">
        <f aca="false">AT330/AQ330</f>
        <v>2.66360424093262</v>
      </c>
      <c r="AV330" s="2" t="n">
        <f aca="false">Hypothèses!$J$26*AQ330-AT330</f>
        <v>2678.98997629992</v>
      </c>
      <c r="AW330" s="2" t="n">
        <f aca="false">IF(AC330&gt;Hypothèses!$J$26,MAX(0,AV330)/(1-Hypothèses!$J$26/AC330),0)</f>
        <v>3797.31714807946</v>
      </c>
      <c r="AX330" s="2" t="n">
        <f aca="false">AQ330-Entrées!$C$17*1000</f>
        <v>-36.1957483437964</v>
      </c>
      <c r="AY330" s="2" t="n">
        <f aca="false">AI330+(Entrées!$C$244-Entrées!$C$13)</f>
        <v>28246.2075680171</v>
      </c>
      <c r="AZ330" s="2" t="n">
        <f aca="false">AA330*AH330</f>
        <v>5443.096876817</v>
      </c>
      <c r="BA330" s="2" t="n">
        <f aca="false">AZ330/AY330</f>
        <v>0.192701864974616</v>
      </c>
      <c r="BB330" s="2" t="n">
        <f aca="false">AZ330/(Entrées!$C$151/100)-AY330</f>
        <v>1993.21952541066</v>
      </c>
      <c r="BC330" s="2" t="n">
        <f aca="false">AT330+(Entrées!$C$244-Entrées!$C$13)</f>
        <v>26959.4227786687</v>
      </c>
      <c r="BD330" s="2" t="n">
        <f aca="false">AA330*AQ330</f>
        <v>5747.63336135311</v>
      </c>
      <c r="BE330" s="2" t="n">
        <f aca="false">BD330/BC330</f>
        <v>0.213195712999495</v>
      </c>
      <c r="BF330" s="2" t="n">
        <f aca="false">BD330/(Entrées!$C$151/100)-BC330</f>
        <v>4971.87367329302</v>
      </c>
      <c r="BG330" s="2" t="n">
        <f aca="false">MIN(AV330,BF330)</f>
        <v>2678.98997629992</v>
      </c>
      <c r="BH330" s="2" t="n">
        <f aca="false">IF(AC330&gt;Hypothèses!$J$26,MAX(0,BG330)/(1-Hypothèses!$J$26/AC330),0)</f>
        <v>3797.31714807946</v>
      </c>
    </row>
    <row r="331" customFormat="false" ht="15" hidden="false" customHeight="false" outlineLevel="0" collapsed="false">
      <c r="A331" s="2" t="n">
        <v>316</v>
      </c>
      <c r="B331" s="2" t="n">
        <v>0.839323125</v>
      </c>
      <c r="C331" s="2"/>
      <c r="D331" s="2" t="n">
        <v>0.448165369</v>
      </c>
      <c r="E331" s="2" t="n">
        <f aca="false">IF(E$7=E$5,E$6,IF(NORMSDIST(E$9*SQRT($C$11)*NORMSINV($B331)+SQRT(1-E$9^2*$C$11)*NORMSINV(D331))&lt;E$8,E$5+SQRT(NORMSDIST(E$9*SQRT($C$11)*NORMSINV($B331)+SQRT(1-E$9^2*$C$11)*NORMSINV(D331))*(E$7-E$5)*(E$6-E$5)),E$7-SQRT((1-NORMSDIST(E$9*SQRT($C$11)*NORMSINV($B331)+SQRT(1-E$9^2*$C$11)*NORMSINV(D331)))*(E$7-E$5)*(E$7-E$6))))</f>
        <v>0.05613120153447</v>
      </c>
      <c r="F331" s="2" t="n">
        <v>0.253964416</v>
      </c>
      <c r="G331" s="2" t="n">
        <f aca="false">IF(G$7=G$5,G$6,IF(NORMSDIST(G$9*SQRT($C$11)*NORMSINV($B331)+SQRT(1-G$9^2*$C$11)*NORMSINV(F331))&lt;G$8,G$5+SQRT(NORMSDIST(G$9*SQRT($C$11)*NORMSINV($B331)+SQRT(1-G$9^2*$C$11)*NORMSINV(F331))*(G$7-G$5)*(G$6-G$5)),G$7-SQRT((1-NORMSDIST(G$9*SQRT($C$11)*NORMSINV($B331)+SQRT(1-G$9^2*$C$11)*NORMSINV(F331)))*(G$7-G$5)*(G$7-G$6))))</f>
        <v>0.0556991452100617</v>
      </c>
      <c r="H331" s="2" t="n">
        <v>0.004088503</v>
      </c>
      <c r="I331" s="2" t="n">
        <f aca="false">IF(I$7=I$5,I$6,IF(NORMSDIST(I$9*SQRT($C$11)*NORMSINV($B331)+SQRT(1-I$9^2*$C$11)*NORMSINV(H331))&lt;I$8,I$5+SQRT(NORMSDIST(I$9*SQRT($C$11)*NORMSINV($B331)+SQRT(1-I$9^2*$C$11)*NORMSINV(H331))*(I$7-I$5)*(I$6-I$5)),I$7-SQRT((1-NORMSDIST(I$9*SQRT($C$11)*NORMSINV($B331)+SQRT(1-I$9^2*$C$11)*NORMSINV(H331)))*(I$7-I$5)*(I$7-I$6))))</f>
        <v>187.879386759085</v>
      </c>
      <c r="J331" s="2" t="n">
        <v>0.907950623</v>
      </c>
      <c r="K331" s="2" t="n">
        <f aca="false">IF(K$7=K$5,K$6,IF(NORMSDIST(K$9*SQRT($C$11)*NORMSINV($B331)+SQRT(1-K$9^2*$C$11)*NORMSINV(J331))&lt;K$8,K$5+SQRT(NORMSDIST(K$9*SQRT($C$11)*NORMSINV($B331)+SQRT(1-K$9^2*$C$11)*NORMSINV(J331))*(K$7-K$5)*(K$6-K$5)),K$7-SQRT((1-NORMSDIST(K$9*SQRT($C$11)*NORMSINV($B331)+SQRT(1-K$9^2*$C$11)*NORMSINV(J331)))*(K$7-K$5)*(K$7-K$6))))</f>
        <v>0.42185232690899</v>
      </c>
      <c r="L331" s="2" t="n">
        <v>0.338371948</v>
      </c>
      <c r="M331" s="2" t="n">
        <f aca="false">IF(M$7=M$5,M$6,IF(NORMSDIST(M$9*SQRT($C$11)*NORMSINV($B331)+SQRT(1-M$9^2*$C$11)*NORMSINV(L331))&lt;M$8,M$5+SQRT(NORMSDIST(M$9*SQRT($C$11)*NORMSINV($B331)+SQRT(1-M$9^2*$C$11)*NORMSINV(L331))*(M$7-M$5)*(M$6-M$5)),M$7-SQRT((1-NORMSDIST(M$9*SQRT($C$11)*NORMSINV($B331)+SQRT(1-M$9^2*$C$11)*NORMSINV(L331)))*(M$7-M$5)*(M$7-M$6))))</f>
        <v>1617.27192696576</v>
      </c>
      <c r="N331" s="2" t="n">
        <v>0.469415073</v>
      </c>
      <c r="O331" s="2" t="n">
        <f aca="false">IF(O$7=O$5,O$6,IF(NORMSDIST(O$9*SQRT($C$11)*NORMSINV($B331)+SQRT(1-O$9^2*$C$11)*NORMSINV(N331))&lt;O$8,O$5+SQRT(NORMSDIST(O$9*SQRT($C$11)*NORMSINV($B331)+SQRT(1-O$9^2*$C$11)*NORMSINV(N331))*(O$7-O$5)*(O$6-O$5)),O$7-SQRT((1-NORMSDIST(O$9*SQRT($C$11)*NORMSINV($B331)+SQRT(1-O$9^2*$C$11)*NORMSINV(N331)))*(O$7-O$5)*(O$7-O$6))))</f>
        <v>0.172573421685452</v>
      </c>
      <c r="P331" s="2" t="n">
        <v>0.373726679</v>
      </c>
      <c r="Q331" s="2" t="n">
        <f aca="false">IF(Q$7=Q$5,Q$6,IF(NORMSDIST(Q$9*SQRT($C$11)*NORMSINV($B331)+SQRT(1-Q$9^2*$C$11)*NORMSINV(P331))&lt;Q$8,Q$5+SQRT(NORMSDIST(Q$9*SQRT($C$11)*NORMSINV($B331)+SQRT(1-Q$9^2*$C$11)*NORMSINV(P331))*(Q$7-Q$5)*(Q$6-Q$5)),Q$7-SQRT((1-NORMSDIST(Q$9*SQRT($C$11)*NORMSINV($B331)+SQRT(1-Q$9^2*$C$11)*NORMSINV(P331)))*(Q$7-Q$5)*(Q$7-Q$6))))</f>
        <v>0.0745821539641475</v>
      </c>
      <c r="R331" s="2" t="n">
        <v>0.065233137</v>
      </c>
      <c r="S331" s="2" t="n">
        <f aca="false">IF(S$7=S$5,S$6,IF(NORMSDIST(S$9*SQRT($C$11)*NORMSINV($B331)+SQRT(1-S$9^2*$C$11)*NORMSINV(R331))&lt;S$8,S$5+SQRT(NORMSDIST(S$9*SQRT($C$11)*NORMSINV($B331)+SQRT(1-S$9^2*$C$11)*NORMSINV(R331))*(S$7-S$5)*(S$6-S$5)),S$7-SQRT((1-NORMSDIST(S$9*SQRT($C$11)*NORMSINV($B331)+SQRT(1-S$9^2*$C$11)*NORMSINV(R331)))*(S$7-S$5)*(S$7-S$6))))</f>
        <v>0.38285181297378</v>
      </c>
      <c r="T331" s="2" t="n">
        <v>0.084360808</v>
      </c>
      <c r="U331" s="2" t="n">
        <f aca="false">IF(U$7=U$5,U$6,IF(NORMSDIST(U$9*SQRT($C$11)*NORMSINV($B331)+SQRT(1-U$9^2*$C$11)*NORMSINV(T331))&lt;U$8,U$5+SQRT(NORMSDIST(U$9*SQRT($C$11)*NORMSINV($B331)+SQRT(1-U$9^2*$C$11)*NORMSINV(T331))*(U$7-U$5)*(U$6-U$5)),U$7-SQRT((1-NORMSDIST(U$9*SQRT($C$11)*NORMSINV($B331)+SQRT(1-U$9^2*$C$11)*NORMSINV(T331)))*(U$7-U$5)*(U$7-U$6))))</f>
        <v>0.406427297678543</v>
      </c>
      <c r="V331" s="2" t="n">
        <v>0.227101044</v>
      </c>
      <c r="W331" s="2" t="n">
        <f aca="false">IF(W$7=W$5,W$6,IF(NORMSDIST(W$9*SQRT($C$11)*NORMSINV($B331)+SQRT(1-W$9^2*$C$11)*NORMSINV(V331))&lt;W$8,W$5+SQRT(NORMSDIST(W$9*SQRT($C$11)*NORMSINV($B331)+SQRT(1-W$9^2*$C$11)*NORMSINV(V331))*(W$7-W$5)*(W$6-W$5)),W$7-SQRT((1-NORMSDIST(W$9*SQRT($C$11)*NORMSINV($B331)+SQRT(1-W$9^2*$C$11)*NORMSINV(V331)))*(W$7-W$5)*(W$7-W$6))))</f>
        <v>10.0382214798084</v>
      </c>
      <c r="X331" s="2" t="n">
        <v>0.178185213</v>
      </c>
      <c r="Y331" s="2" t="n">
        <f aca="false">IF(Y$7=Y$5,Y$6,IF(NORMSDIST(Y$9*SQRT($C$11)*NORMSINV($B331)+SQRT(1-Y$9^2*$C$11)*NORMSINV(X331))&lt;Y$8,Y$5+SQRT(NORMSDIST(Y$9*SQRT($C$11)*NORMSINV($B331)+SQRT(1-Y$9^2*$C$11)*NORMSINV(X331))*(Y$7-Y$5)*(Y$6-Y$5)),Y$7-SQRT((1-NORMSDIST(Y$9*SQRT($C$11)*NORMSINV($B331)+SQRT(1-Y$9^2*$C$11)*NORMSINV(X331)))*(Y$7-Y$5)*(Y$7-Y$6))))</f>
        <v>0.298483846296579</v>
      </c>
      <c r="Z331" s="2" t="n">
        <v>0.203384494</v>
      </c>
      <c r="AA331" s="2" t="n">
        <f aca="false">IF(AA$7=AA$5,AA$6,IF(NORMSDIST(AA$9*SQRT($C$11)*NORMSINV($B331)+SQRT(1-AA$9^2*$C$11)*NORMSINV(Z331))&lt;AA$8,AA$5+SQRT(NORMSDIST(AA$9*SQRT($C$11)*NORMSINV($B331)+SQRT(1-AA$9^2*$C$11)*NORMSINV(Z331))*(AA$7-AA$5)*(AA$6-AA$5)),AA$7-SQRT((1-NORMSDIST(AA$9*SQRT($C$11)*NORMSINV($B331)+SQRT(1-AA$9^2*$C$11)*NORMSINV(Z331)))*(AA$7-AA$5)*(AA$7-AA$6))))</f>
        <v>0.727849581330742</v>
      </c>
      <c r="AB331" s="2" t="n">
        <v>0.901993251</v>
      </c>
      <c r="AC331" s="2" t="n">
        <f aca="false">IF(AC$7=AC$5,AC$6,IF(NORMSDIST(AC$9*SQRT($C$11)*NORMSINV($B331)+SQRT(1-AC$9^2*$C$11)*NORMSINV(AB331))&lt;AC$8,AC$5+SQRT(NORMSDIST(AC$9*SQRT($C$11)*NORMSINV($B331)+SQRT(1-AC$9^2*$C$11)*NORMSINV(AB331))*(AC$7-AC$5)*(AC$6-AC$5)),AC$7-SQRT((1-NORMSDIST(AC$9*SQRT($C$11)*NORMSINV($B331)+SQRT(1-AC$9^2*$C$11)*NORMSINV(AB331)))*(AC$7-AC$5)*(AC$7-AC$6))))</f>
        <v>10.527480803142</v>
      </c>
      <c r="AD331" s="2" t="n">
        <f aca="false">Entrées!$C$8*(1+E331)</f>
        <v>7445.72497081801</v>
      </c>
      <c r="AE331" s="2" t="n">
        <f aca="false">I331*Hypothèses!$J$24/12/Hypothèses!$J$19</f>
        <v>93.2063624398113</v>
      </c>
      <c r="AF331" s="2" t="n">
        <f aca="false">Entrées!$C$36*S331*1000</f>
        <v>191.42590648689</v>
      </c>
      <c r="AG331" s="2" t="n">
        <f aca="false">-AF331/W331</f>
        <v>-19.069703420266</v>
      </c>
      <c r="AH331" s="2" t="n">
        <f aca="false">AD331+AE331+AG331</f>
        <v>7519.86162983756</v>
      </c>
      <c r="AI331" s="2" t="n">
        <f aca="false">Entrées!$C$16-M331+Hypothèses!$J$22*1000-AF331+Hypothèses!$J$23</f>
        <v>22739.3021665474</v>
      </c>
      <c r="AJ331" s="2" t="n">
        <f aca="false">AI331/AH331</f>
        <v>3.02389901382249</v>
      </c>
      <c r="AK331" s="2" t="n">
        <f aca="false">AI331/(AH331+I331*(12-Hypothèses!$J$24)/12/Hypothèses!$J$19)</f>
        <v>2.99736231370686</v>
      </c>
      <c r="AL331" s="2" t="n">
        <f aca="false">(AD331+AG331+I331/Hypothèses!$J$19)*(1+G331)</f>
        <v>8008.99569268592</v>
      </c>
      <c r="AM331" s="2" t="n">
        <f aca="false">Entrées!$C$54*K331/Hypothèses!$J$19</f>
        <v>43.0518012045227</v>
      </c>
      <c r="AN331" s="2" t="n">
        <f aca="false">Y331*1000/AC331</f>
        <v>28.3528274121852</v>
      </c>
      <c r="AO331" s="2" t="n">
        <f aca="false">(Entrées!$C$36*(1-S331)+MAX(0,Entrées!$C$30-Entrées!$C$35-Entrées!$C$36)*U331)*1000</f>
        <v>877.572310263071</v>
      </c>
      <c r="AP331" s="2" t="n">
        <f aca="false">-AO331/W331</f>
        <v>-87.4230870506574</v>
      </c>
      <c r="AQ331" s="2" t="n">
        <f aca="false">AL331+AM331+AN331+AP331</f>
        <v>7992.97723425197</v>
      </c>
      <c r="AR331" s="2" t="n">
        <f aca="false">O331*AQ331-Hypothèses!$J$25/Hypothèses!$J$19</f>
        <v>1360.24026850716</v>
      </c>
      <c r="AS331" s="2" t="n">
        <f aca="false">Entrées!$C$79*(1+Q331)+Hypothèses!$J$20</f>
        <v>1475.9657872066</v>
      </c>
      <c r="AT331" s="2" t="n">
        <f aca="false">AI331-AR331+AS331+Y331*1000-AO331+Hypothèses!$J$23</f>
        <v>22275.9392212803</v>
      </c>
      <c r="AU331" s="2" t="n">
        <f aca="false">AT331/AQ331</f>
        <v>2.78693890504556</v>
      </c>
      <c r="AV331" s="2" t="n">
        <f aca="false">Hypothèses!$J$26*AQ331-AT331</f>
        <v>1702.9924814756</v>
      </c>
      <c r="AW331" s="2" t="n">
        <f aca="false">IF(AC331&gt;Hypothèses!$J$26,MAX(0,AV331)/(1-Hypothèses!$J$26/AC331),0)</f>
        <v>2381.70260748406</v>
      </c>
      <c r="AX331" s="2" t="n">
        <f aca="false">AQ331-Entrées!$C$17*1000</f>
        <v>-7.02276574803454</v>
      </c>
      <c r="AY331" s="2" t="n">
        <f aca="false">AI331+(Entrées!$C$244-Entrées!$C$13)</f>
        <v>28486.3021665474</v>
      </c>
      <c r="AZ331" s="2" t="n">
        <f aca="false">AA331*AH331</f>
        <v>5473.32813894238</v>
      </c>
      <c r="BA331" s="2" t="n">
        <f aca="false">AZ331/AY331</f>
        <v>0.192138948289678</v>
      </c>
      <c r="BB331" s="2" t="n">
        <f aca="false">AZ331/(Entrées!$C$151/100)-AY331</f>
        <v>1921.07638313253</v>
      </c>
      <c r="BC331" s="2" t="n">
        <f aca="false">AT331+(Entrées!$C$244-Entrées!$C$13)</f>
        <v>28022.9392212803</v>
      </c>
      <c r="BD331" s="2" t="n">
        <f aca="false">AA331*AQ331</f>
        <v>5817.68513353644</v>
      </c>
      <c r="BE331" s="2" t="n">
        <f aca="false">BD331/BC331</f>
        <v>0.207604387519727</v>
      </c>
      <c r="BF331" s="2" t="n">
        <f aca="false">BD331/(Entrées!$C$151/100)-BC331</f>
        <v>4297.53374281107</v>
      </c>
      <c r="BG331" s="2" t="n">
        <f aca="false">MIN(AV331,BF331)</f>
        <v>1702.9924814756</v>
      </c>
      <c r="BH331" s="2" t="n">
        <f aca="false">IF(AC331&gt;Hypothèses!$J$26,MAX(0,BG331)/(1-Hypothèses!$J$26/AC331),0)</f>
        <v>2381.70260748406</v>
      </c>
    </row>
    <row r="332" customFormat="false" ht="15" hidden="false" customHeight="false" outlineLevel="0" collapsed="false">
      <c r="A332" s="2" t="n">
        <v>317</v>
      </c>
      <c r="B332" s="2" t="n">
        <v>0.08240823</v>
      </c>
      <c r="C332" s="2"/>
      <c r="D332" s="2" t="n">
        <v>0.358035749</v>
      </c>
      <c r="E332" s="2" t="n">
        <f aca="false">IF(E$7=E$5,E$6,IF(NORMSDIST(E$9*SQRT($C$11)*NORMSINV($B332)+SQRT(1-E$9^2*$C$11)*NORMSINV(D332))&lt;E$8,E$5+SQRT(NORMSDIST(E$9*SQRT($C$11)*NORMSINV($B332)+SQRT(1-E$9^2*$C$11)*NORMSINV(D332))*(E$7-E$5)*(E$6-E$5)),E$7-SQRT((1-NORMSDIST(E$9*SQRT($C$11)*NORMSINV($B332)+SQRT(1-E$9^2*$C$11)*NORMSINV(D332)))*(E$7-E$5)*(E$7-E$6))))</f>
        <v>0.0524796598338013</v>
      </c>
      <c r="F332" s="2" t="n">
        <v>0.9966334</v>
      </c>
      <c r="G332" s="2" t="n">
        <f aca="false">IF(G$7=G$5,G$6,IF(NORMSDIST(G$9*SQRT($C$11)*NORMSINV($B332)+SQRT(1-G$9^2*$C$11)*NORMSINV(F332))&lt;G$8,G$5+SQRT(NORMSDIST(G$9*SQRT($C$11)*NORMSINV($B332)+SQRT(1-G$9^2*$C$11)*NORMSINV(F332))*(G$7-G$5)*(G$6-G$5)),G$7-SQRT((1-NORMSDIST(G$9*SQRT($C$11)*NORMSINV($B332)+SQRT(1-G$9^2*$C$11)*NORMSINV(F332)))*(G$7-G$5)*(G$7-G$6))))</f>
        <v>0.0629278218248268</v>
      </c>
      <c r="H332" s="2" t="n">
        <v>0.838774939</v>
      </c>
      <c r="I332" s="2" t="n">
        <f aca="false">IF(I$7=I$5,I$6,IF(NORMSDIST(I$9*SQRT($C$11)*NORMSINV($B332)+SQRT(1-I$9^2*$C$11)*NORMSINV(H332))&lt;I$8,I$5+SQRT(NORMSDIST(I$9*SQRT($C$11)*NORMSINV($B332)+SQRT(1-I$9^2*$C$11)*NORMSINV(H332))*(I$7-I$5)*(I$6-I$5)),I$7-SQRT((1-NORMSDIST(I$9*SQRT($C$11)*NORMSINV($B332)+SQRT(1-I$9^2*$C$11)*NORMSINV(H332)))*(I$7-I$5)*(I$7-I$6))))</f>
        <v>199.086573031934</v>
      </c>
      <c r="J332" s="2" t="n">
        <v>0.427775867</v>
      </c>
      <c r="K332" s="2" t="n">
        <f aca="false">IF(K$7=K$5,K$6,IF(NORMSDIST(K$9*SQRT($C$11)*NORMSINV($B332)+SQRT(1-K$9^2*$C$11)*NORMSINV(J332))&lt;K$8,K$5+SQRT(NORMSDIST(K$9*SQRT($C$11)*NORMSINV($B332)+SQRT(1-K$9^2*$C$11)*NORMSINV(J332))*(K$7-K$5)*(K$6-K$5)),K$7-SQRT((1-NORMSDIST(K$9*SQRT($C$11)*NORMSINV($B332)+SQRT(1-K$9^2*$C$11)*NORMSINV(J332)))*(K$7-K$5)*(K$7-K$6))))</f>
        <v>0.13873430293398</v>
      </c>
      <c r="L332" s="2" t="n">
        <v>0.880986371</v>
      </c>
      <c r="M332" s="2" t="n">
        <f aca="false">IF(M$7=M$5,M$6,IF(NORMSDIST(M$9*SQRT($C$11)*NORMSINV($B332)+SQRT(1-M$9^2*$C$11)*NORMSINV(L332))&lt;M$8,M$5+SQRT(NORMSDIST(M$9*SQRT($C$11)*NORMSINV($B332)+SQRT(1-M$9^2*$C$11)*NORMSINV(L332))*(M$7-M$5)*(M$6-M$5)),M$7-SQRT((1-NORMSDIST(M$9*SQRT($C$11)*NORMSINV($B332)+SQRT(1-M$9^2*$C$11)*NORMSINV(L332)))*(M$7-M$5)*(M$7-M$6))))</f>
        <v>1589.31350368156</v>
      </c>
      <c r="N332" s="2" t="n">
        <v>0.689918438</v>
      </c>
      <c r="O332" s="2" t="n">
        <f aca="false">IF(O$7=O$5,O$6,IF(NORMSDIST(O$9*SQRT($C$11)*NORMSINV($B332)+SQRT(1-O$9^2*$C$11)*NORMSINV(N332))&lt;O$8,O$5+SQRT(NORMSDIST(O$9*SQRT($C$11)*NORMSINV($B332)+SQRT(1-O$9^2*$C$11)*NORMSINV(N332))*(O$7-O$5)*(O$6-O$5)),O$7-SQRT((1-NORMSDIST(O$9*SQRT($C$11)*NORMSINV($B332)+SQRT(1-O$9^2*$C$11)*NORMSINV(N332)))*(O$7-O$5)*(O$7-O$6))))</f>
        <v>0.161105020089804</v>
      </c>
      <c r="P332" s="2" t="n">
        <v>0.479669351</v>
      </c>
      <c r="Q332" s="2" t="n">
        <f aca="false">IF(Q$7=Q$5,Q$6,IF(NORMSDIST(Q$9*SQRT($C$11)*NORMSINV($B332)+SQRT(1-Q$9^2*$C$11)*NORMSINV(P332))&lt;Q$8,Q$5+SQRT(NORMSDIST(Q$9*SQRT($C$11)*NORMSINV($B332)+SQRT(1-Q$9^2*$C$11)*NORMSINV(P332))*(Q$7-Q$5)*(Q$6-Q$5)),Q$7-SQRT((1-NORMSDIST(Q$9*SQRT($C$11)*NORMSINV($B332)+SQRT(1-Q$9^2*$C$11)*NORMSINV(P332)))*(Q$7-Q$5)*(Q$7-Q$6))))</f>
        <v>0.0791783348701805</v>
      </c>
      <c r="R332" s="2" t="n">
        <v>0.09168567</v>
      </c>
      <c r="S332" s="2" t="n">
        <f aca="false">IF(S$7=S$5,S$6,IF(NORMSDIST(S$9*SQRT($C$11)*NORMSINV($B332)+SQRT(1-S$9^2*$C$11)*NORMSINV(R332))&lt;S$8,S$5+SQRT(NORMSDIST(S$9*SQRT($C$11)*NORMSINV($B332)+SQRT(1-S$9^2*$C$11)*NORMSINV(R332))*(S$7-S$5)*(S$6-S$5)),S$7-SQRT((1-NORMSDIST(S$9*SQRT($C$11)*NORMSINV($B332)+SQRT(1-S$9^2*$C$11)*NORMSINV(R332)))*(S$7-S$5)*(S$7-S$6))))</f>
        <v>0.118588134218024</v>
      </c>
      <c r="T332" s="2" t="n">
        <v>0.599656242</v>
      </c>
      <c r="U332" s="2" t="n">
        <f aca="false">IF(U$7=U$5,U$6,IF(NORMSDIST(U$9*SQRT($C$11)*NORMSINV($B332)+SQRT(1-U$9^2*$C$11)*NORMSINV(T332))&lt;U$8,U$5+SQRT(NORMSDIST(U$9*SQRT($C$11)*NORMSINV($B332)+SQRT(1-U$9^2*$C$11)*NORMSINV(T332))*(U$7-U$5)*(U$6-U$5)),U$7-SQRT((1-NORMSDIST(U$9*SQRT($C$11)*NORMSINV($B332)+SQRT(1-U$9^2*$C$11)*NORMSINV(T332)))*(U$7-U$5)*(U$7-U$6))))</f>
        <v>0.351650002404351</v>
      </c>
      <c r="V332" s="2" t="n">
        <v>0.317506767</v>
      </c>
      <c r="W332" s="2" t="n">
        <f aca="false">IF(W$7=W$5,W$6,IF(NORMSDIST(W$9*SQRT($C$11)*NORMSINV($B332)+SQRT(1-W$9^2*$C$11)*NORMSINV(V332))&lt;W$8,W$5+SQRT(NORMSDIST(W$9*SQRT($C$11)*NORMSINV($B332)+SQRT(1-W$9^2*$C$11)*NORMSINV(V332))*(W$7-W$5)*(W$6-W$5)),W$7-SQRT((1-NORMSDIST(W$9*SQRT($C$11)*NORMSINV($B332)+SQRT(1-W$9^2*$C$11)*NORMSINV(V332)))*(W$7-W$5)*(W$7-W$6))))</f>
        <v>8.92236718150972</v>
      </c>
      <c r="X332" s="2" t="n">
        <v>0.468698982</v>
      </c>
      <c r="Y332" s="2" t="n">
        <f aca="false">IF(Y$7=Y$5,Y$6,IF(NORMSDIST(Y$9*SQRT($C$11)*NORMSINV($B332)+SQRT(1-Y$9^2*$C$11)*NORMSINV(X332))&lt;Y$8,Y$5+SQRT(NORMSDIST(Y$9*SQRT($C$11)*NORMSINV($B332)+SQRT(1-Y$9^2*$C$11)*NORMSINV(X332))*(Y$7-Y$5)*(Y$6-Y$5)),Y$7-SQRT((1-NORMSDIST(Y$9*SQRT($C$11)*NORMSINV($B332)+SQRT(1-Y$9^2*$C$11)*NORMSINV(X332)))*(Y$7-Y$5)*(Y$7-Y$6))))</f>
        <v>0.484096571977121</v>
      </c>
      <c r="Z332" s="2" t="n">
        <v>0.241895521</v>
      </c>
      <c r="AA332" s="2" t="n">
        <f aca="false">IF(AA$7=AA$5,AA$6,IF(NORMSDIST(AA$9*SQRT($C$11)*NORMSINV($B332)+SQRT(1-AA$9^2*$C$11)*NORMSINV(Z332))&lt;AA$8,AA$5+SQRT(NORMSDIST(AA$9*SQRT($C$11)*NORMSINV($B332)+SQRT(1-AA$9^2*$C$11)*NORMSINV(Z332))*(AA$7-AA$5)*(AA$6-AA$5)),AA$7-SQRT((1-NORMSDIST(AA$9*SQRT($C$11)*NORMSINV($B332)+SQRT(1-AA$9^2*$C$11)*NORMSINV(Z332)))*(AA$7-AA$5)*(AA$7-AA$6))))</f>
        <v>0.708220192888026</v>
      </c>
      <c r="AB332" s="2" t="n">
        <v>0.474787386</v>
      </c>
      <c r="AC332" s="2" t="n">
        <f aca="false">IF(AC$7=AC$5,AC$6,IF(NORMSDIST(AC$9*SQRT($C$11)*NORMSINV($B332)+SQRT(1-AC$9^2*$C$11)*NORMSINV(AB332))&lt;AC$8,AC$5+SQRT(NORMSDIST(AC$9*SQRT($C$11)*NORMSINV($B332)+SQRT(1-AC$9^2*$C$11)*NORMSINV(AB332))*(AC$7-AC$5)*(AC$6-AC$5)),AC$7-SQRT((1-NORMSDIST(AC$9*SQRT($C$11)*NORMSINV($B332)+SQRT(1-AC$9^2*$C$11)*NORMSINV(AB332)))*(AC$7-AC$5)*(AC$7-AC$6))))</f>
        <v>8.63605817164908</v>
      </c>
      <c r="AD332" s="2" t="n">
        <f aca="false">Entrées!$C$8*(1+E332)</f>
        <v>7419.9816018283</v>
      </c>
      <c r="AE332" s="2" t="n">
        <f aca="false">I332*Hypothèses!$J$24/12/Hypothèses!$J$19</f>
        <v>98.7662116797767</v>
      </c>
      <c r="AF332" s="2" t="n">
        <f aca="false">Entrées!$C$36*S332*1000</f>
        <v>59.294067109012</v>
      </c>
      <c r="AG332" s="2" t="n">
        <f aca="false">-AF332/W332</f>
        <v>-6.64555334955169</v>
      </c>
      <c r="AH332" s="2" t="n">
        <f aca="false">AD332+AE332+AG332</f>
        <v>7512.10226015852</v>
      </c>
      <c r="AI332" s="2" t="n">
        <f aca="false">Entrées!$C$16-M332+Hypothèses!$J$22*1000-AF332+Hypothèses!$J$23</f>
        <v>22899.3924292094</v>
      </c>
      <c r="AJ332" s="2" t="n">
        <f aca="false">AI332/AH332</f>
        <v>3.04833342733625</v>
      </c>
      <c r="AK332" s="2" t="n">
        <f aca="false">AI332/(AH332+I332*(12-Hypothèses!$J$24)/12/Hypothèses!$J$19)</f>
        <v>3.01997240746524</v>
      </c>
      <c r="AL332" s="2" t="n">
        <f aca="false">(AD332+AG332+I332/Hypothèses!$J$19)*(1+G332)</f>
        <v>8059.80917432328</v>
      </c>
      <c r="AM332" s="2" t="n">
        <f aca="false">Entrées!$C$54*K332/Hypothèses!$J$19</f>
        <v>14.1584181221081</v>
      </c>
      <c r="AN332" s="2" t="n">
        <f aca="false">Y332*1000/AC332</f>
        <v>56.0552699339543</v>
      </c>
      <c r="AO332" s="2" t="n">
        <f aca="false">(Entrées!$C$36*(1-S332)+MAX(0,Entrées!$C$30-Entrées!$C$35-Entrées!$C$36)*U332)*1000</f>
        <v>933.01593625708</v>
      </c>
      <c r="AP332" s="2" t="n">
        <f aca="false">-AO332/W332</f>
        <v>-104.570448321228</v>
      </c>
      <c r="AQ332" s="2" t="n">
        <f aca="false">AL332+AM332+AN332+AP332</f>
        <v>8025.45241405812</v>
      </c>
      <c r="AR332" s="2" t="n">
        <f aca="false">O332*AQ332-Hypothèses!$J$25/Hypothèses!$J$19</f>
        <v>1273.80551013497</v>
      </c>
      <c r="AS332" s="2" t="n">
        <f aca="false">Entrées!$C$79*(1+Q332)+Hypothèses!$J$20</f>
        <v>1481.01699002233</v>
      </c>
      <c r="AT332" s="2" t="n">
        <f aca="false">AI332-AR332+AS332+Y332*1000-AO332+Hypothèses!$J$23</f>
        <v>22657.6845448168</v>
      </c>
      <c r="AU332" s="2" t="n">
        <f aca="false">AT332/AQ332</f>
        <v>2.82322832107602</v>
      </c>
      <c r="AV332" s="2" t="n">
        <f aca="false">Hypothèses!$J$26*AQ332-AT332</f>
        <v>1418.67269735753</v>
      </c>
      <c r="AW332" s="2" t="n">
        <f aca="false">IF(AC332&gt;Hypothèses!$J$26,MAX(0,AV332)/(1-Hypothèses!$J$26/AC332),0)</f>
        <v>2173.81360656275</v>
      </c>
      <c r="AX332" s="2" t="n">
        <f aca="false">AQ332-Entrées!$C$17*1000</f>
        <v>25.452414058117</v>
      </c>
      <c r="AY332" s="2" t="n">
        <f aca="false">AI332+(Entrées!$C$244-Entrées!$C$13)</f>
        <v>28646.3924292094</v>
      </c>
      <c r="AZ332" s="2" t="n">
        <f aca="false">AA332*AH332</f>
        <v>5320.22251168405</v>
      </c>
      <c r="BA332" s="2" t="n">
        <f aca="false">AZ332/AY332</f>
        <v>0.185720506511642</v>
      </c>
      <c r="BB332" s="2" t="n">
        <f aca="false">AZ332/(Entrées!$C$151/100)-AY332</f>
        <v>910.399302368602</v>
      </c>
      <c r="BC332" s="2" t="n">
        <f aca="false">AT332+(Entrées!$C$244-Entrées!$C$13)</f>
        <v>28404.6845448168</v>
      </c>
      <c r="BD332" s="2" t="n">
        <f aca="false">AA332*AQ332</f>
        <v>5683.78745669791</v>
      </c>
      <c r="BE332" s="2" t="n">
        <f aca="false">BD332/BC332</f>
        <v>0.200100354845696</v>
      </c>
      <c r="BF332" s="2" t="n">
        <f aca="false">BD332/(Entrées!$C$151/100)-BC332</f>
        <v>3171.91243683825</v>
      </c>
      <c r="BG332" s="2" t="n">
        <f aca="false">MIN(AV332,BF332)</f>
        <v>1418.67269735753</v>
      </c>
      <c r="BH332" s="2" t="n">
        <f aca="false">IF(AC332&gt;Hypothèses!$J$26,MAX(0,BG332)/(1-Hypothèses!$J$26/AC332),0)</f>
        <v>2173.81360656275</v>
      </c>
    </row>
    <row r="333" customFormat="false" ht="15" hidden="false" customHeight="false" outlineLevel="0" collapsed="false">
      <c r="A333" s="2" t="n">
        <v>318</v>
      </c>
      <c r="B333" s="2" t="n">
        <v>0.838947398</v>
      </c>
      <c r="C333" s="2"/>
      <c r="D333" s="2" t="n">
        <v>0.11395114</v>
      </c>
      <c r="E333" s="2" t="n">
        <f aca="false">IF(E$7=E$5,E$6,IF(NORMSDIST(E$9*SQRT($C$11)*NORMSINV($B333)+SQRT(1-E$9^2*$C$11)*NORMSINV(D333))&lt;E$8,E$5+SQRT(NORMSDIST(E$9*SQRT($C$11)*NORMSINV($B333)+SQRT(1-E$9^2*$C$11)*NORMSINV(D333))*(E$7-E$5)*(E$6-E$5)),E$7-SQRT((1-NORMSDIST(E$9*SQRT($C$11)*NORMSINV($B333)+SQRT(1-E$9^2*$C$11)*NORMSINV(D333)))*(E$7-E$5)*(E$7-E$6))))</f>
        <v>0.0543538918803734</v>
      </c>
      <c r="F333" s="2" t="n">
        <v>0.397536272</v>
      </c>
      <c r="G333" s="2" t="n">
        <f aca="false">IF(G$7=G$5,G$6,IF(NORMSDIST(G$9*SQRT($C$11)*NORMSINV($B333)+SQRT(1-G$9^2*$C$11)*NORMSINV(F333))&lt;G$8,G$5+SQRT(NORMSDIST(G$9*SQRT($C$11)*NORMSINV($B333)+SQRT(1-G$9^2*$C$11)*NORMSINV(F333))*(G$7-G$5)*(G$6-G$5)),G$7-SQRT((1-NORMSDIST(G$9*SQRT($C$11)*NORMSINV($B333)+SQRT(1-G$9^2*$C$11)*NORMSINV(F333)))*(G$7-G$5)*(G$7-G$6))))</f>
        <v>0.0577145383831979</v>
      </c>
      <c r="H333" s="2" t="n">
        <v>0.442367608</v>
      </c>
      <c r="I333" s="2" t="n">
        <f aca="false">IF(I$7=I$5,I$6,IF(NORMSDIST(I$9*SQRT($C$11)*NORMSINV($B333)+SQRT(1-I$9^2*$C$11)*NORMSINV(H333))&lt;I$8,I$5+SQRT(NORMSDIST(I$9*SQRT($C$11)*NORMSINV($B333)+SQRT(1-I$9^2*$C$11)*NORMSINV(H333))*(I$7-I$5)*(I$6-I$5)),I$7-SQRT((1-NORMSDIST(I$9*SQRT($C$11)*NORMSINV($B333)+SQRT(1-I$9^2*$C$11)*NORMSINV(H333)))*(I$7-I$5)*(I$7-I$6))))</f>
        <v>204.414074747406</v>
      </c>
      <c r="J333" s="2" t="n">
        <v>0.557779543</v>
      </c>
      <c r="K333" s="2" t="n">
        <f aca="false">IF(K$7=K$5,K$6,IF(NORMSDIST(K$9*SQRT($C$11)*NORMSINV($B333)+SQRT(1-K$9^2*$C$11)*NORMSINV(J333))&lt;K$8,K$5+SQRT(NORMSDIST(K$9*SQRT($C$11)*NORMSINV($B333)+SQRT(1-K$9^2*$C$11)*NORMSINV(J333))*(K$7-K$5)*(K$6-K$5)),K$7-SQRT((1-NORMSDIST(K$9*SQRT($C$11)*NORMSINV($B333)+SQRT(1-K$9^2*$C$11)*NORMSINV(J333)))*(K$7-K$5)*(K$7-K$6))))</f>
        <v>0.330436677671541</v>
      </c>
      <c r="L333" s="2" t="n">
        <v>0.137348035</v>
      </c>
      <c r="M333" s="2" t="n">
        <f aca="false">IF(M$7=M$5,M$6,IF(NORMSDIST(M$9*SQRT($C$11)*NORMSINV($B333)+SQRT(1-M$9^2*$C$11)*NORMSINV(L333))&lt;M$8,M$5+SQRT(NORMSDIST(M$9*SQRT($C$11)*NORMSINV($B333)+SQRT(1-M$9^2*$C$11)*NORMSINV(L333))*(M$7-M$5)*(M$6-M$5)),M$7-SQRT((1-NORMSDIST(M$9*SQRT($C$11)*NORMSINV($B333)+SQRT(1-M$9^2*$C$11)*NORMSINV(L333)))*(M$7-M$5)*(M$7-M$6))))</f>
        <v>1559.62610781328</v>
      </c>
      <c r="N333" s="2" t="n">
        <v>0.042563525</v>
      </c>
      <c r="O333" s="2" t="n">
        <f aca="false">IF(O$7=O$5,O$6,IF(NORMSDIST(O$9*SQRT($C$11)*NORMSINV($B333)+SQRT(1-O$9^2*$C$11)*NORMSINV(N333))&lt;O$8,O$5+SQRT(NORMSDIST(O$9*SQRT($C$11)*NORMSINV($B333)+SQRT(1-O$9^2*$C$11)*NORMSINV(N333))*(O$7-O$5)*(O$6-O$5)),O$7-SQRT((1-NORMSDIST(O$9*SQRT($C$11)*NORMSINV($B333)+SQRT(1-O$9^2*$C$11)*NORMSINV(N333)))*(O$7-O$5)*(O$7-O$6))))</f>
        <v>0.15854378042976</v>
      </c>
      <c r="P333" s="2" t="n">
        <v>0.544449188</v>
      </c>
      <c r="Q333" s="2" t="n">
        <f aca="false">IF(Q$7=Q$5,Q$6,IF(NORMSDIST(Q$9*SQRT($C$11)*NORMSINV($B333)+SQRT(1-Q$9^2*$C$11)*NORMSINV(P333))&lt;Q$8,Q$5+SQRT(NORMSDIST(Q$9*SQRT($C$11)*NORMSINV($B333)+SQRT(1-Q$9^2*$C$11)*NORMSINV(P333))*(Q$7-Q$5)*(Q$6-Q$5)),Q$7-SQRT((1-NORMSDIST(Q$9*SQRT($C$11)*NORMSINV($B333)+SQRT(1-Q$9^2*$C$11)*NORMSINV(P333)))*(Q$7-Q$5)*(Q$7-Q$6))))</f>
        <v>0.0818193426143551</v>
      </c>
      <c r="R333" s="2" t="n">
        <v>0.159885129</v>
      </c>
      <c r="S333" s="2" t="n">
        <f aca="false">IF(S$7=S$5,S$6,IF(NORMSDIST(S$9*SQRT($C$11)*NORMSINV($B333)+SQRT(1-S$9^2*$C$11)*NORMSINV(R333))&lt;S$8,S$5+SQRT(NORMSDIST(S$9*SQRT($C$11)*NORMSINV($B333)+SQRT(1-S$9^2*$C$11)*NORMSINV(R333))*(S$7-S$5)*(S$6-S$5)),S$7-SQRT((1-NORMSDIST(S$9*SQRT($C$11)*NORMSINV($B333)+SQRT(1-S$9^2*$C$11)*NORMSINV(R333)))*(S$7-S$5)*(S$7-S$6))))</f>
        <v>0.470410888414377</v>
      </c>
      <c r="T333" s="2" t="n">
        <v>0.991224592</v>
      </c>
      <c r="U333" s="2" t="n">
        <f aca="false">IF(U$7=U$5,U$6,IF(NORMSDIST(U$9*SQRT($C$11)*NORMSINV($B333)+SQRT(1-U$9^2*$C$11)*NORMSINV(T333))&lt;U$8,U$5+SQRT(NORMSDIST(U$9*SQRT($C$11)*NORMSINV($B333)+SQRT(1-U$9^2*$C$11)*NORMSINV(T333))*(U$7-U$5)*(U$6-U$5)),U$7-SQRT((1-NORMSDIST(U$9*SQRT($C$11)*NORMSINV($B333)+SQRT(1-U$9^2*$C$11)*NORMSINV(T333)))*(U$7-U$5)*(U$7-U$6))))</f>
        <v>0.941543616943652</v>
      </c>
      <c r="V333" s="2" t="n">
        <v>0.901465698</v>
      </c>
      <c r="W333" s="2" t="n">
        <f aca="false">IF(W$7=W$5,W$6,IF(NORMSDIST(W$9*SQRT($C$11)*NORMSINV($B333)+SQRT(1-W$9^2*$C$11)*NORMSINV(V333))&lt;W$8,W$5+SQRT(NORMSDIST(W$9*SQRT($C$11)*NORMSINV($B333)+SQRT(1-W$9^2*$C$11)*NORMSINV(V333))*(W$7-W$5)*(W$6-W$5)),W$7-SQRT((1-NORMSDIST(W$9*SQRT($C$11)*NORMSINV($B333)+SQRT(1-W$9^2*$C$11)*NORMSINV(V333)))*(W$7-W$5)*(W$7-W$6))))</f>
        <v>11.3547860381273</v>
      </c>
      <c r="X333" s="2" t="n">
        <v>0.899561825</v>
      </c>
      <c r="Y333" s="2" t="n">
        <f aca="false">IF(Y$7=Y$5,Y$6,IF(NORMSDIST(Y$9*SQRT($C$11)*NORMSINV($B333)+SQRT(1-Y$9^2*$C$11)*NORMSINV(X333))&lt;Y$8,Y$5+SQRT(NORMSDIST(Y$9*SQRT($C$11)*NORMSINV($B333)+SQRT(1-Y$9^2*$C$11)*NORMSINV(X333))*(Y$7-Y$5)*(Y$6-Y$5)),Y$7-SQRT((1-NORMSDIST(Y$9*SQRT($C$11)*NORMSINV($B333)+SQRT(1-Y$9^2*$C$11)*NORMSINV(X333)))*(Y$7-Y$5)*(Y$7-Y$6))))</f>
        <v>0.775903843183334</v>
      </c>
      <c r="Z333" s="2" t="n">
        <v>0.719779578</v>
      </c>
      <c r="AA333" s="2" t="n">
        <f aca="false">IF(AA$7=AA$5,AA$6,IF(NORMSDIST(AA$9*SQRT($C$11)*NORMSINV($B333)+SQRT(1-AA$9^2*$C$11)*NORMSINV(Z333))&lt;AA$8,AA$5+SQRT(NORMSDIST(AA$9*SQRT($C$11)*NORMSINV($B333)+SQRT(1-AA$9^2*$C$11)*NORMSINV(Z333))*(AA$7-AA$5)*(AA$6-AA$5)),AA$7-SQRT((1-NORMSDIST(AA$9*SQRT($C$11)*NORMSINV($B333)+SQRT(1-AA$9^2*$C$11)*NORMSINV(Z333)))*(AA$7-AA$5)*(AA$7-AA$6))))</f>
        <v>0.740422624895197</v>
      </c>
      <c r="AB333" s="2" t="n">
        <v>0.428774053</v>
      </c>
      <c r="AC333" s="2" t="n">
        <f aca="false">IF(AC$7=AC$5,AC$6,IF(NORMSDIST(AC$9*SQRT($C$11)*NORMSINV($B333)+SQRT(1-AC$9^2*$C$11)*NORMSINV(AB333))&lt;AC$8,AC$5+SQRT(NORMSDIST(AC$9*SQRT($C$11)*NORMSINV($B333)+SQRT(1-AC$9^2*$C$11)*NORMSINV(AB333))*(AC$7-AC$5)*(AC$6-AC$5)),AC$7-SQRT((1-NORMSDIST(AC$9*SQRT($C$11)*NORMSINV($B333)+SQRT(1-AC$9^2*$C$11)*NORMSINV(AB333)))*(AC$7-AC$5)*(AC$7-AC$6))))</f>
        <v>9.83705637080219</v>
      </c>
      <c r="AD333" s="2" t="n">
        <f aca="false">Entrées!$C$8*(1+E333)</f>
        <v>7433.19493775663</v>
      </c>
      <c r="AE333" s="2" t="n">
        <f aca="false">I333*Hypothèses!$J$24/12/Hypothèses!$J$19</f>
        <v>101.40916822949</v>
      </c>
      <c r="AF333" s="2" t="n">
        <f aca="false">Entrées!$C$36*S333*1000</f>
        <v>235.205444207188</v>
      </c>
      <c r="AG333" s="2" t="n">
        <f aca="false">-AF333/W333</f>
        <v>-20.714211911824</v>
      </c>
      <c r="AH333" s="2" t="n">
        <f aca="false">AD333+AE333+AG333</f>
        <v>7513.8898940743</v>
      </c>
      <c r="AI333" s="2" t="n">
        <f aca="false">Entrées!$C$16-M333+Hypothèses!$J$22*1000-AF333+Hypothèses!$J$23</f>
        <v>22753.1684479795</v>
      </c>
      <c r="AJ333" s="2" t="n">
        <f aca="false">AI333/AH333</f>
        <v>3.02814770627973</v>
      </c>
      <c r="AK333" s="2" t="n">
        <f aca="false">AI333/(AH333+I333*(12-Hypothèses!$J$24)/12/Hypothèses!$J$19)</f>
        <v>2.99923459715683</v>
      </c>
      <c r="AL333" s="2" t="n">
        <f aca="false">(AD333+AG333+I333/Hypothèses!$J$19)*(1+G333)</f>
        <v>8024.16626045989</v>
      </c>
      <c r="AM333" s="2" t="n">
        <f aca="false">Entrées!$C$54*K333/Hypothèses!$J$19</f>
        <v>33.7224503703335</v>
      </c>
      <c r="AN333" s="2" t="n">
        <f aca="false">Y333*1000/AC333</f>
        <v>78.8756121685272</v>
      </c>
      <c r="AO333" s="2" t="n">
        <f aca="false">(Entrées!$C$36*(1-S333)+MAX(0,Entrées!$C$30-Entrées!$C$35-Entrées!$C$36)*U333)*1000</f>
        <v>1582.95561951392</v>
      </c>
      <c r="AP333" s="2" t="n">
        <f aca="false">-AO333/W333</f>
        <v>-139.408669982742</v>
      </c>
      <c r="AQ333" s="2" t="n">
        <f aca="false">AL333+AM333+AN333+AP333</f>
        <v>7997.35565301601</v>
      </c>
      <c r="AR333" s="2" t="n">
        <f aca="false">O333*AQ333-Hypothèses!$J$25/Hypothèses!$J$19</f>
        <v>1248.79583640884</v>
      </c>
      <c r="AS333" s="2" t="n">
        <f aca="false">Entrées!$C$79*(1+Q333)+Hypothèses!$J$20</f>
        <v>1483.91945753318</v>
      </c>
      <c r="AT333" s="2" t="n">
        <f aca="false">AI333-AR333+AS333+Y333*1000-AO333+Hypothèses!$J$23</f>
        <v>22181.2402927733</v>
      </c>
      <c r="AU333" s="2" t="n">
        <f aca="false">AT333/AQ333</f>
        <v>2.77357182238208</v>
      </c>
      <c r="AV333" s="2" t="n">
        <f aca="false">Hypothèses!$J$26*AQ333-AT333</f>
        <v>1810.82666627474</v>
      </c>
      <c r="AW333" s="2" t="n">
        <f aca="false">IF(AC333&gt;Hypothèses!$J$26,MAX(0,AV333)/(1-Hypothèses!$J$26/AC333),0)</f>
        <v>2605.390833103</v>
      </c>
      <c r="AX333" s="2" t="n">
        <f aca="false">AQ333-Entrées!$C$17*1000</f>
        <v>-2.64434698399509</v>
      </c>
      <c r="AY333" s="2" t="n">
        <f aca="false">AI333+(Entrées!$C$244-Entrées!$C$13)</f>
        <v>28500.1684479795</v>
      </c>
      <c r="AZ333" s="2" t="n">
        <f aca="false">AA333*AH333</f>
        <v>5563.45407854399</v>
      </c>
      <c r="BA333" s="2" t="n">
        <f aca="false">AZ333/AY333</f>
        <v>0.19520776126986</v>
      </c>
      <c r="BB333" s="2" t="n">
        <f aca="false">AZ333/(Entrées!$C$151/100)-AY333</f>
        <v>2407.90976615373</v>
      </c>
      <c r="BC333" s="2" t="n">
        <f aca="false">AT333+(Entrées!$C$244-Entrées!$C$13)</f>
        <v>27928.2402927733</v>
      </c>
      <c r="BD333" s="2" t="n">
        <f aca="false">AA333*AQ333</f>
        <v>5921.42306482655</v>
      </c>
      <c r="BE333" s="2" t="n">
        <f aca="false">BD333/BC333</f>
        <v>0.212022777044023</v>
      </c>
      <c r="BF333" s="2" t="n">
        <f aca="false">BD333/(Entrées!$C$151/100)-BC333</f>
        <v>4968.5545118187</v>
      </c>
      <c r="BG333" s="2" t="n">
        <f aca="false">MIN(AV333,BF333)</f>
        <v>1810.82666627474</v>
      </c>
      <c r="BH333" s="2" t="n">
        <f aca="false">IF(AC333&gt;Hypothèses!$J$26,MAX(0,BG333)/(1-Hypothèses!$J$26/AC333),0)</f>
        <v>2605.390833103</v>
      </c>
    </row>
    <row r="334" customFormat="false" ht="15" hidden="false" customHeight="false" outlineLevel="0" collapsed="false">
      <c r="A334" s="2" t="n">
        <v>319</v>
      </c>
      <c r="B334" s="2" t="n">
        <v>0.469709363</v>
      </c>
      <c r="C334" s="2"/>
      <c r="D334" s="2" t="n">
        <v>0.470811565</v>
      </c>
      <c r="E334" s="2" t="n">
        <f aca="false">IF(E$7=E$5,E$6,IF(NORMSDIST(E$9*SQRT($C$11)*NORMSINV($B334)+SQRT(1-E$9^2*$C$11)*NORMSINV(D334))&lt;E$8,E$5+SQRT(NORMSDIST(E$9*SQRT($C$11)*NORMSINV($B334)+SQRT(1-E$9^2*$C$11)*NORMSINV(D334))*(E$7-E$5)*(E$6-E$5)),E$7-SQRT((1-NORMSDIST(E$9*SQRT($C$11)*NORMSINV($B334)+SQRT(1-E$9^2*$C$11)*NORMSINV(D334)))*(E$7-E$5)*(E$7-E$6))))</f>
        <v>0.0547868099315584</v>
      </c>
      <c r="F334" s="2" t="n">
        <v>0.767570643</v>
      </c>
      <c r="G334" s="2" t="n">
        <f aca="false">IF(G$7=G$5,G$6,IF(NORMSDIST(G$9*SQRT($C$11)*NORMSINV($B334)+SQRT(1-G$9^2*$C$11)*NORMSINV(F334))&lt;G$8,G$5+SQRT(NORMSDIST(G$9*SQRT($C$11)*NORMSINV($B334)+SQRT(1-G$9^2*$C$11)*NORMSINV(F334))*(G$7-G$5)*(G$6-G$5)),G$7-SQRT((1-NORMSDIST(G$9*SQRT($C$11)*NORMSINV($B334)+SQRT(1-G$9^2*$C$11)*NORMSINV(F334)))*(G$7-G$5)*(G$7-G$6))))</f>
        <v>0.0583383825537191</v>
      </c>
      <c r="H334" s="2" t="n">
        <v>0.599404563</v>
      </c>
      <c r="I334" s="2" t="n">
        <f aca="false">IF(I$7=I$5,I$6,IF(NORMSDIST(I$9*SQRT($C$11)*NORMSINV($B334)+SQRT(1-I$9^2*$C$11)*NORMSINV(H334))&lt;I$8,I$5+SQRT(NORMSDIST(I$9*SQRT($C$11)*NORMSINV($B334)+SQRT(1-I$9^2*$C$11)*NORMSINV(H334))*(I$7-I$5)*(I$6-I$5)),I$7-SQRT((1-NORMSDIST(I$9*SQRT($C$11)*NORMSINV($B334)+SQRT(1-I$9^2*$C$11)*NORMSINV(H334)))*(I$7-I$5)*(I$7-I$6))))</f>
        <v>201.204822256627</v>
      </c>
      <c r="J334" s="2" t="n">
        <v>0.510786568</v>
      </c>
      <c r="K334" s="2" t="n">
        <f aca="false">IF(K$7=K$5,K$6,IF(NORMSDIST(K$9*SQRT($C$11)*NORMSINV($B334)+SQRT(1-K$9^2*$C$11)*NORMSINV(J334))&lt;K$8,K$5+SQRT(NORMSDIST(K$9*SQRT($C$11)*NORMSINV($B334)+SQRT(1-K$9^2*$C$11)*NORMSINV(J334))*(K$7-K$5)*(K$6-K$5)),K$7-SQRT((1-NORMSDIST(K$9*SQRT($C$11)*NORMSINV($B334)+SQRT(1-K$9^2*$C$11)*NORMSINV(J334)))*(K$7-K$5)*(K$7-K$6))))</f>
        <v>0.24728062473485</v>
      </c>
      <c r="L334" s="2" t="n">
        <v>0.035914915</v>
      </c>
      <c r="M334" s="2" t="n">
        <f aca="false">IF(M$7=M$5,M$6,IF(NORMSDIST(M$9*SQRT($C$11)*NORMSINV($B334)+SQRT(1-M$9^2*$C$11)*NORMSINV(L334))&lt;M$8,M$5+SQRT(NORMSDIST(M$9*SQRT($C$11)*NORMSINV($B334)+SQRT(1-M$9^2*$C$11)*NORMSINV(L334))*(M$7-M$5)*(M$6-M$5)),M$7-SQRT((1-NORMSDIST(M$9*SQRT($C$11)*NORMSINV($B334)+SQRT(1-M$9^2*$C$11)*NORMSINV(L334)))*(M$7-M$5)*(M$7-M$6))))</f>
        <v>1412.1715544016</v>
      </c>
      <c r="N334" s="2" t="n">
        <v>0.670420837</v>
      </c>
      <c r="O334" s="2" t="n">
        <f aca="false">IF(O$7=O$5,O$6,IF(NORMSDIST(O$9*SQRT($C$11)*NORMSINV($B334)+SQRT(1-O$9^2*$C$11)*NORMSINV(N334))&lt;O$8,O$5+SQRT(NORMSDIST(O$9*SQRT($C$11)*NORMSINV($B334)+SQRT(1-O$9^2*$C$11)*NORMSINV(N334))*(O$7-O$5)*(O$6-O$5)),O$7-SQRT((1-NORMSDIST(O$9*SQRT($C$11)*NORMSINV($B334)+SQRT(1-O$9^2*$C$11)*NORMSINV(N334)))*(O$7-O$5)*(O$7-O$6))))</f>
        <v>0.169761402031648</v>
      </c>
      <c r="P334" s="2" t="n">
        <v>0.808205765</v>
      </c>
      <c r="Q334" s="2" t="n">
        <f aca="false">IF(Q$7=Q$5,Q$6,IF(NORMSDIST(Q$9*SQRT($C$11)*NORMSINV($B334)+SQRT(1-Q$9^2*$C$11)*NORMSINV(P334))&lt;Q$8,Q$5+SQRT(NORMSDIST(Q$9*SQRT($C$11)*NORMSINV($B334)+SQRT(1-Q$9^2*$C$11)*NORMSINV(P334))*(Q$7-Q$5)*(Q$6-Q$5)),Q$7-SQRT((1-NORMSDIST(Q$9*SQRT($C$11)*NORMSINV($B334)+SQRT(1-Q$9^2*$C$11)*NORMSINV(P334)))*(Q$7-Q$5)*(Q$7-Q$6))))</f>
        <v>0.0952261922183932</v>
      </c>
      <c r="R334" s="2" t="n">
        <v>0.163107597</v>
      </c>
      <c r="S334" s="2" t="n">
        <f aca="false">IF(S$7=S$5,S$6,IF(NORMSDIST(S$9*SQRT($C$11)*NORMSINV($B334)+SQRT(1-S$9^2*$C$11)*NORMSINV(R334))&lt;S$8,S$5+SQRT(NORMSDIST(S$9*SQRT($C$11)*NORMSINV($B334)+SQRT(1-S$9^2*$C$11)*NORMSINV(R334))*(S$7-S$5)*(S$6-S$5)),S$7-SQRT((1-NORMSDIST(S$9*SQRT($C$11)*NORMSINV($B334)+SQRT(1-S$9^2*$C$11)*NORMSINV(R334)))*(S$7-S$5)*(S$7-S$6))))</f>
        <v>0.32356609529665</v>
      </c>
      <c r="T334" s="2" t="n">
        <v>0.156215536</v>
      </c>
      <c r="U334" s="2" t="n">
        <f aca="false">IF(U$7=U$5,U$6,IF(NORMSDIST(U$9*SQRT($C$11)*NORMSINV($B334)+SQRT(1-U$9^2*$C$11)*NORMSINV(T334))&lt;U$8,U$5+SQRT(NORMSDIST(U$9*SQRT($C$11)*NORMSINV($B334)+SQRT(1-U$9^2*$C$11)*NORMSINV(T334))*(U$7-U$5)*(U$6-U$5)),U$7-SQRT((1-NORMSDIST(U$9*SQRT($C$11)*NORMSINV($B334)+SQRT(1-U$9^2*$C$11)*NORMSINV(T334)))*(U$7-U$5)*(U$7-U$6))))</f>
        <v>0.318688163941515</v>
      </c>
      <c r="V334" s="2" t="n">
        <v>0.720759798</v>
      </c>
      <c r="W334" s="2" t="n">
        <f aca="false">IF(W$7=W$5,W$6,IF(NORMSDIST(W$9*SQRT($C$11)*NORMSINV($B334)+SQRT(1-W$9^2*$C$11)*NORMSINV(V334))&lt;W$8,W$5+SQRT(NORMSDIST(W$9*SQRT($C$11)*NORMSINV($B334)+SQRT(1-W$9^2*$C$11)*NORMSINV(V334))*(W$7-W$5)*(W$6-W$5)),W$7-SQRT((1-NORMSDIST(W$9*SQRT($C$11)*NORMSINV($B334)+SQRT(1-W$9^2*$C$11)*NORMSINV(V334)))*(W$7-W$5)*(W$7-W$6))))</f>
        <v>10.3442615064373</v>
      </c>
      <c r="X334" s="2" t="n">
        <v>0.728043208</v>
      </c>
      <c r="Y334" s="2" t="n">
        <f aca="false">IF(Y$7=Y$5,Y$6,IF(NORMSDIST(Y$9*SQRT($C$11)*NORMSINV($B334)+SQRT(1-Y$9^2*$C$11)*NORMSINV(X334))&lt;Y$8,Y$5+SQRT(NORMSDIST(Y$9*SQRT($C$11)*NORMSINV($B334)+SQRT(1-Y$9^2*$C$11)*NORMSINV(X334))*(Y$7-Y$5)*(Y$6-Y$5)),Y$7-SQRT((1-NORMSDIST(Y$9*SQRT($C$11)*NORMSINV($B334)+SQRT(1-Y$9^2*$C$11)*NORMSINV(X334)))*(Y$7-Y$5)*(Y$7-Y$6))))</f>
        <v>0.631247513906686</v>
      </c>
      <c r="Z334" s="2" t="n">
        <v>0.182383434</v>
      </c>
      <c r="AA334" s="2" t="n">
        <f aca="false">IF(AA$7=AA$5,AA$6,IF(NORMSDIST(AA$9*SQRT($C$11)*NORMSINV($B334)+SQRT(1-AA$9^2*$C$11)*NORMSINV(Z334))&lt;AA$8,AA$5+SQRT(NORMSDIST(AA$9*SQRT($C$11)*NORMSINV($B334)+SQRT(1-AA$9^2*$C$11)*NORMSINV(Z334))*(AA$7-AA$5)*(AA$6-AA$5)),AA$7-SQRT((1-NORMSDIST(AA$9*SQRT($C$11)*NORMSINV($B334)+SQRT(1-AA$9^2*$C$11)*NORMSINV(Z334)))*(AA$7-AA$5)*(AA$7-AA$6))))</f>
        <v>0.717354411218532</v>
      </c>
      <c r="AB334" s="2" t="n">
        <v>0.168155485</v>
      </c>
      <c r="AC334" s="2" t="n">
        <f aca="false">IF(AC$7=AC$5,AC$6,IF(NORMSDIST(AC$9*SQRT($C$11)*NORMSINV($B334)+SQRT(1-AC$9^2*$C$11)*NORMSINV(AB334))&lt;AC$8,AC$5+SQRT(NORMSDIST(AC$9*SQRT($C$11)*NORMSINV($B334)+SQRT(1-AC$9^2*$C$11)*NORMSINV(AB334))*(AC$7-AC$5)*(AC$6-AC$5)),AC$7-SQRT((1-NORMSDIST(AC$9*SQRT($C$11)*NORMSINV($B334)+SQRT(1-AC$9^2*$C$11)*NORMSINV(AB334)))*(AC$7-AC$5)*(AC$7-AC$6))))</f>
        <v>8.75957280971069</v>
      </c>
      <c r="AD334" s="2" t="n">
        <f aca="false">Entrées!$C$8*(1+E334)</f>
        <v>7436.24701001749</v>
      </c>
      <c r="AE334" s="2" t="n">
        <f aca="false">I334*Hypothèses!$J$24/12/Hypothèses!$J$19</f>
        <v>99.8170683404265</v>
      </c>
      <c r="AF334" s="2" t="n">
        <f aca="false">Entrées!$C$36*S334*1000</f>
        <v>161.783047648325</v>
      </c>
      <c r="AG334" s="2" t="n">
        <f aca="false">-AF334/W334</f>
        <v>-15.6398837701123</v>
      </c>
      <c r="AH334" s="2" t="n">
        <f aca="false">AD334+AE334+AG334</f>
        <v>7520.4241945878</v>
      </c>
      <c r="AI334" s="2" t="n">
        <f aca="false">Entrées!$C$16-M334+Hypothèses!$J$22*1000-AF334+Hypothèses!$J$23</f>
        <v>22974.0453979501</v>
      </c>
      <c r="AJ334" s="2" t="n">
        <f aca="false">AI334/AH334</f>
        <v>3.05488690577903</v>
      </c>
      <c r="AK334" s="2" t="n">
        <f aca="false">AI334/(AH334+I334*(12-Hypothèses!$J$24)/12/Hypothèses!$J$19)</f>
        <v>3.02619683566922</v>
      </c>
      <c r="AL334" s="2" t="n">
        <f aca="false">(AD334+AG334+I334/Hypothèses!$J$19)*(1+G334)</f>
        <v>8034.61088868838</v>
      </c>
      <c r="AM334" s="2" t="n">
        <f aca="false">Entrées!$C$54*K334/Hypothèses!$J$19</f>
        <v>25.2360260184405</v>
      </c>
      <c r="AN334" s="2" t="n">
        <f aca="false">Y334*1000/AC334</f>
        <v>72.0637327435531</v>
      </c>
      <c r="AO334" s="2" t="n">
        <f aca="false">(Entrées!$C$36*(1-S334)+MAX(0,Entrées!$C$30-Entrées!$C$35-Entrées!$C$36)*U334)*1000</f>
        <v>784.380381869796</v>
      </c>
      <c r="AP334" s="2" t="n">
        <f aca="false">-AO334/W334</f>
        <v>-75.8275862787957</v>
      </c>
      <c r="AQ334" s="2" t="n">
        <f aca="false">AL334+AM334+AN334+AP334</f>
        <v>8056.08306117158</v>
      </c>
      <c r="AR334" s="2" t="n">
        <f aca="false">O334*AQ334-Hypothèses!$J$25/Hypothèses!$J$19</f>
        <v>1348.47679308628</v>
      </c>
      <c r="AS334" s="2" t="n">
        <f aca="false">Entrées!$C$79*(1+Q334)+Hypothèses!$J$20</f>
        <v>1498.65358524801</v>
      </c>
      <c r="AT334" s="2" t="n">
        <f aca="false">AI334-AR334+AS334+Y334*1000-AO334+Hypothèses!$J$23</f>
        <v>22971.0893221487</v>
      </c>
      <c r="AU334" s="2" t="n">
        <f aca="false">AT334/AQ334</f>
        <v>2.8513967827447</v>
      </c>
      <c r="AV334" s="2" t="n">
        <f aca="false">Hypothèses!$J$26*AQ334-AT334</f>
        <v>1197.15986136604</v>
      </c>
      <c r="AW334" s="2" t="n">
        <f aca="false">IF(AC334&gt;Hypothèses!$J$26,MAX(0,AV334)/(1-Hypothèses!$J$26/AC334),0)</f>
        <v>1820.72686932934</v>
      </c>
      <c r="AX334" s="2" t="n">
        <f aca="false">AQ334-Entrées!$C$17*1000</f>
        <v>56.0830611715792</v>
      </c>
      <c r="AY334" s="2" t="n">
        <f aca="false">AI334+(Entrées!$C$244-Entrées!$C$13)</f>
        <v>28721.0453979501</v>
      </c>
      <c r="AZ334" s="2" t="n">
        <f aca="false">AA334*AH334</f>
        <v>5394.80947022213</v>
      </c>
      <c r="BA334" s="2" t="n">
        <f aca="false">AZ334/AY334</f>
        <v>0.187834718251836</v>
      </c>
      <c r="BB334" s="2" t="n">
        <f aca="false">AZ334/(Entrées!$C$151/100)-AY334</f>
        <v>1250.11832550622</v>
      </c>
      <c r="BC334" s="2" t="n">
        <f aca="false">AT334+(Entrées!$C$244-Entrées!$C$13)</f>
        <v>28718.0893221487</v>
      </c>
      <c r="BD334" s="2" t="n">
        <f aca="false">AA334*AQ334</f>
        <v>5779.06672107433</v>
      </c>
      <c r="BE334" s="2" t="n">
        <f aca="false">BD334/BC334</f>
        <v>0.201234373786046</v>
      </c>
      <c r="BF334" s="2" t="n">
        <f aca="false">BD334/(Entrées!$C$151/100)-BC334</f>
        <v>3387.83690604199</v>
      </c>
      <c r="BG334" s="2" t="n">
        <f aca="false">MIN(AV334,BF334)</f>
        <v>1197.15986136604</v>
      </c>
      <c r="BH334" s="2" t="n">
        <f aca="false">IF(AC334&gt;Hypothèses!$J$26,MAX(0,BG334)/(1-Hypothèses!$J$26/AC334),0)</f>
        <v>1820.72686932934</v>
      </c>
    </row>
    <row r="335" customFormat="false" ht="15" hidden="false" customHeight="false" outlineLevel="0" collapsed="false">
      <c r="A335" s="2" t="n">
        <v>320</v>
      </c>
      <c r="B335" s="2" t="n">
        <v>0.082124422</v>
      </c>
      <c r="C335" s="2"/>
      <c r="D335" s="2" t="n">
        <v>0.278193277</v>
      </c>
      <c r="E335" s="2" t="n">
        <f aca="false">IF(E$7=E$5,E$6,IF(NORMSDIST(E$9*SQRT($C$11)*NORMSINV($B335)+SQRT(1-E$9^2*$C$11)*NORMSINV(D335))&lt;E$8,E$5+SQRT(NORMSDIST(E$9*SQRT($C$11)*NORMSINV($B335)+SQRT(1-E$9^2*$C$11)*NORMSINV(D335))*(E$7-E$5)*(E$6-E$5)),E$7-SQRT((1-NORMSDIST(E$9*SQRT($C$11)*NORMSINV($B335)+SQRT(1-E$9^2*$C$11)*NORMSINV(D335)))*(E$7-E$5)*(E$7-E$6))))</f>
        <v>0.0521317191951848</v>
      </c>
      <c r="F335" s="2" t="n">
        <v>0.229027881</v>
      </c>
      <c r="G335" s="2" t="n">
        <f aca="false">IF(G$7=G$5,G$6,IF(NORMSDIST(G$9*SQRT($C$11)*NORMSINV($B335)+SQRT(1-G$9^2*$C$11)*NORMSINV(F335))&lt;G$8,G$5+SQRT(NORMSDIST(G$9*SQRT($C$11)*NORMSINV($B335)+SQRT(1-G$9^2*$C$11)*NORMSINV(F335))*(G$7-G$5)*(G$6-G$5)),G$7-SQRT((1-NORMSDIST(G$9*SQRT($C$11)*NORMSINV($B335)+SQRT(1-G$9^2*$C$11)*NORMSINV(F335)))*(G$7-G$5)*(G$7-G$6))))</f>
        <v>0.0457277826554882</v>
      </c>
      <c r="H335" s="2" t="n">
        <v>0.945847359</v>
      </c>
      <c r="I335" s="2" t="n">
        <f aca="false">IF(I$7=I$5,I$6,IF(NORMSDIST(I$9*SQRT($C$11)*NORMSINV($B335)+SQRT(1-I$9^2*$C$11)*NORMSINV(H335))&lt;I$8,I$5+SQRT(NORMSDIST(I$9*SQRT($C$11)*NORMSINV($B335)+SQRT(1-I$9^2*$C$11)*NORMSINV(H335))*(I$7-I$5)*(I$6-I$5)),I$7-SQRT((1-NORMSDIST(I$9*SQRT($C$11)*NORMSINV($B335)+SQRT(1-I$9^2*$C$11)*NORMSINV(H335)))*(I$7-I$5)*(I$7-I$6))))</f>
        <v>203.080041285991</v>
      </c>
      <c r="J335" s="2" t="n">
        <v>0.252797995</v>
      </c>
      <c r="K335" s="2" t="n">
        <f aca="false">IF(K$7=K$5,K$6,IF(NORMSDIST(K$9*SQRT($C$11)*NORMSINV($B335)+SQRT(1-K$9^2*$C$11)*NORMSINV(J335))&lt;K$8,K$5+SQRT(NORMSDIST(K$9*SQRT($C$11)*NORMSINV($B335)+SQRT(1-K$9^2*$C$11)*NORMSINV(J335))*(K$7-K$5)*(K$6-K$5)),K$7-SQRT((1-NORMSDIST(K$9*SQRT($C$11)*NORMSINV($B335)+SQRT(1-K$9^2*$C$11)*NORMSINV(J335)))*(K$7-K$5)*(K$7-K$6))))</f>
        <v>0.100904989438752</v>
      </c>
      <c r="L335" s="2" t="n">
        <v>0.586181583</v>
      </c>
      <c r="M335" s="2" t="n">
        <f aca="false">IF(M$7=M$5,M$6,IF(NORMSDIST(M$9*SQRT($C$11)*NORMSINV($B335)+SQRT(1-M$9^2*$C$11)*NORMSINV(L335))&lt;M$8,M$5+SQRT(NORMSDIST(M$9*SQRT($C$11)*NORMSINV($B335)+SQRT(1-M$9^2*$C$11)*NORMSINV(L335))*(M$7-M$5)*(M$6-M$5)),M$7-SQRT((1-NORMSDIST(M$9*SQRT($C$11)*NORMSINV($B335)+SQRT(1-M$9^2*$C$11)*NORMSINV(L335)))*(M$7-M$5)*(M$7-M$6))))</f>
        <v>1498.08015395927</v>
      </c>
      <c r="N335" s="2" t="n">
        <v>0.860603231</v>
      </c>
      <c r="O335" s="2" t="n">
        <f aca="false">IF(O$7=O$5,O$6,IF(NORMSDIST(O$9*SQRT($C$11)*NORMSINV($B335)+SQRT(1-O$9^2*$C$11)*NORMSINV(N335))&lt;O$8,O$5+SQRT(NORMSDIST(O$9*SQRT($C$11)*NORMSINV($B335)+SQRT(1-O$9^2*$C$11)*NORMSINV(N335))*(O$7-O$5)*(O$6-O$5)),O$7-SQRT((1-NORMSDIST(O$9*SQRT($C$11)*NORMSINV($B335)+SQRT(1-O$9^2*$C$11)*NORMSINV(N335)))*(O$7-O$5)*(O$7-O$6))))</f>
        <v>0.166345231173381</v>
      </c>
      <c r="P335" s="2" t="n">
        <v>0.574004281</v>
      </c>
      <c r="Q335" s="2" t="n">
        <f aca="false">IF(Q$7=Q$5,Q$6,IF(NORMSDIST(Q$9*SQRT($C$11)*NORMSINV($B335)+SQRT(1-Q$9^2*$C$11)*NORMSINV(P335))&lt;Q$8,Q$5+SQRT(NORMSDIST(Q$9*SQRT($C$11)*NORMSINV($B335)+SQRT(1-Q$9^2*$C$11)*NORMSINV(P335))*(Q$7-Q$5)*(Q$6-Q$5)),Q$7-SQRT((1-NORMSDIST(Q$9*SQRT($C$11)*NORMSINV($B335)+SQRT(1-Q$9^2*$C$11)*NORMSINV(P335)))*(Q$7-Q$5)*(Q$7-Q$6))))</f>
        <v>0.0830786470887103</v>
      </c>
      <c r="R335" s="2" t="n">
        <v>0.404007428</v>
      </c>
      <c r="S335" s="2" t="n">
        <f aca="false">IF(S$7=S$5,S$6,IF(NORMSDIST(S$9*SQRT($C$11)*NORMSINV($B335)+SQRT(1-S$9^2*$C$11)*NORMSINV(R335))&lt;S$8,S$5+SQRT(NORMSDIST(S$9*SQRT($C$11)*NORMSINV($B335)+SQRT(1-S$9^2*$C$11)*NORMSINV(R335))*(S$7-S$5)*(S$6-S$5)),S$7-SQRT((1-NORMSDIST(S$9*SQRT($C$11)*NORMSINV($B335)+SQRT(1-S$9^2*$C$11)*NORMSINV(R335)))*(S$7-S$5)*(S$7-S$6))))</f>
        <v>0.267188675497845</v>
      </c>
      <c r="T335" s="2" t="n">
        <v>0.532199111</v>
      </c>
      <c r="U335" s="2" t="n">
        <f aca="false">IF(U$7=U$5,U$6,IF(NORMSDIST(U$9*SQRT($C$11)*NORMSINV($B335)+SQRT(1-U$9^2*$C$11)*NORMSINV(T335))&lt;U$8,U$5+SQRT(NORMSDIST(U$9*SQRT($C$11)*NORMSINV($B335)+SQRT(1-U$9^2*$C$11)*NORMSINV(T335))*(U$7-U$5)*(U$6-U$5)),U$7-SQRT((1-NORMSDIST(U$9*SQRT($C$11)*NORMSINV($B335)+SQRT(1-U$9^2*$C$11)*NORMSINV(T335)))*(U$7-U$5)*(U$7-U$6))))</f>
        <v>0.321661889700165</v>
      </c>
      <c r="V335" s="2" t="n">
        <v>0.425528711</v>
      </c>
      <c r="W335" s="2" t="n">
        <f aca="false">IF(W$7=W$5,W$6,IF(NORMSDIST(W$9*SQRT($C$11)*NORMSINV($B335)+SQRT(1-W$9^2*$C$11)*NORMSINV(V335))&lt;W$8,W$5+SQRT(NORMSDIST(W$9*SQRT($C$11)*NORMSINV($B335)+SQRT(1-W$9^2*$C$11)*NORMSINV(V335))*(W$7-W$5)*(W$6-W$5)),W$7-SQRT((1-NORMSDIST(W$9*SQRT($C$11)*NORMSINV($B335)+SQRT(1-W$9^2*$C$11)*NORMSINV(V335)))*(W$7-W$5)*(W$7-W$6))))</f>
        <v>9.10507197959818</v>
      </c>
      <c r="X335" s="2" t="n">
        <v>0.579161895</v>
      </c>
      <c r="Y335" s="2" t="n">
        <f aca="false">IF(Y$7=Y$5,Y$6,IF(NORMSDIST(Y$9*SQRT($C$11)*NORMSINV($B335)+SQRT(1-Y$9^2*$C$11)*NORMSINV(X335))&lt;Y$8,Y$5+SQRT(NORMSDIST(Y$9*SQRT($C$11)*NORMSINV($B335)+SQRT(1-Y$9^2*$C$11)*NORMSINV(X335))*(Y$7-Y$5)*(Y$6-Y$5)),Y$7-SQRT((1-NORMSDIST(Y$9*SQRT($C$11)*NORMSINV($B335)+SQRT(1-Y$9^2*$C$11)*NORMSINV(X335)))*(Y$7-Y$5)*(Y$7-Y$6))))</f>
        <v>0.541285434611021</v>
      </c>
      <c r="Z335" s="2" t="n">
        <v>0.093854326</v>
      </c>
      <c r="AA335" s="2" t="n">
        <f aca="false">IF(AA$7=AA$5,AA$6,IF(NORMSDIST(AA$9*SQRT($C$11)*NORMSINV($B335)+SQRT(1-AA$9^2*$C$11)*NORMSINV(Z335))&lt;AA$8,AA$5+SQRT(NORMSDIST(AA$9*SQRT($C$11)*NORMSINV($B335)+SQRT(1-AA$9^2*$C$11)*NORMSINV(Z335))*(AA$7-AA$5)*(AA$6-AA$5)),AA$7-SQRT((1-NORMSDIST(AA$9*SQRT($C$11)*NORMSINV($B335)+SQRT(1-AA$9^2*$C$11)*NORMSINV(Z335)))*(AA$7-AA$5)*(AA$7-AA$6))))</f>
        <v>0.703162231752598</v>
      </c>
      <c r="AB335" s="2" t="n">
        <v>0.530811952</v>
      </c>
      <c r="AC335" s="2" t="n">
        <f aca="false">IF(AC$7=AC$5,AC$6,IF(NORMSDIST(AC$9*SQRT($C$11)*NORMSINV($B335)+SQRT(1-AC$9^2*$C$11)*NORMSINV(AB335))&lt;AC$8,AC$5+SQRT(NORMSDIST(AC$9*SQRT($C$11)*NORMSINV($B335)+SQRT(1-AC$9^2*$C$11)*NORMSINV(AB335))*(AC$7-AC$5)*(AC$6-AC$5)),AC$7-SQRT((1-NORMSDIST(AC$9*SQRT($C$11)*NORMSINV($B335)+SQRT(1-AC$9^2*$C$11)*NORMSINV(AB335)))*(AC$7-AC$5)*(AC$7-AC$6))))</f>
        <v>8.73462983771566</v>
      </c>
      <c r="AD335" s="2" t="n">
        <f aca="false">Entrées!$C$8*(1+E335)</f>
        <v>7417.52862032605</v>
      </c>
      <c r="AE335" s="2" t="n">
        <f aca="false">I335*Hypothèses!$J$24/12/Hypothèses!$J$19</f>
        <v>100.747358499022</v>
      </c>
      <c r="AF335" s="2" t="n">
        <f aca="false">Entrées!$C$36*S335*1000</f>
        <v>133.594337748923</v>
      </c>
      <c r="AG335" s="2" t="n">
        <f aca="false">-AF335/W335</f>
        <v>-14.6725185751709</v>
      </c>
      <c r="AH335" s="2" t="n">
        <f aca="false">AD335+AE335+AG335</f>
        <v>7503.60346024991</v>
      </c>
      <c r="AI335" s="2" t="n">
        <f aca="false">Entrées!$C$16-M335+Hypothèses!$J$22*1000-AF335+Hypothèses!$J$23</f>
        <v>22916.3255082918</v>
      </c>
      <c r="AJ335" s="2" t="n">
        <f aca="false">AI335/AH335</f>
        <v>3.05404271823402</v>
      </c>
      <c r="AK335" s="2" t="n">
        <f aca="false">AI335/(AH335+I335*(12-Hypothèses!$J$24)/12/Hypothèses!$J$19)</f>
        <v>3.0250315203225</v>
      </c>
      <c r="AL335" s="2" t="n">
        <f aca="false">(AD335+AG335+I335/Hypothèses!$J$19)*(1+G335)</f>
        <v>7921.9796882786</v>
      </c>
      <c r="AM335" s="2" t="n">
        <f aca="false">Entrées!$C$54*K335/Hypothèses!$J$19</f>
        <v>10.297777844897</v>
      </c>
      <c r="AN335" s="2" t="n">
        <f aca="false">Y335*1000/AC335</f>
        <v>61.9700484929286</v>
      </c>
      <c r="AO335" s="2" t="n">
        <f aca="false">(Entrées!$C$36*(1-S335)+MAX(0,Entrées!$C$30-Entrées!$C$35-Entrées!$C$36)*U335)*1000</f>
        <v>816.732307831308</v>
      </c>
      <c r="AP335" s="2" t="n">
        <f aca="false">-AO335/W335</f>
        <v>-89.7008073809156</v>
      </c>
      <c r="AQ335" s="2" t="n">
        <f aca="false">AL335+AM335+AN335+AP335</f>
        <v>7904.54670723551</v>
      </c>
      <c r="AR335" s="2" t="n">
        <f aca="false">O335*AQ335-Hypothèses!$J$25/Hypothèses!$J$19</f>
        <v>1295.74848707426</v>
      </c>
      <c r="AS335" s="2" t="n">
        <f aca="false">Entrées!$C$79*(1+Q335)+Hypothèses!$J$20</f>
        <v>1485.30343315049</v>
      </c>
      <c r="AT335" s="2" t="n">
        <f aca="false">AI335-AR335+AS335+Y335*1000-AO335+Hypothèses!$J$23</f>
        <v>22830.4335811478</v>
      </c>
      <c r="AU335" s="2" t="n">
        <f aca="false">AT335/AQ335</f>
        <v>2.88826601027605</v>
      </c>
      <c r="AV335" s="2" t="n">
        <f aca="false">Hypothèses!$J$26*AQ335-AT335</f>
        <v>883.206540558764</v>
      </c>
      <c r="AW335" s="2" t="n">
        <f aca="false">IF(AC335&gt;Hypothèses!$J$26,MAX(0,AV335)/(1-Hypothèses!$J$26/AC335),0)</f>
        <v>1345.24501499528</v>
      </c>
      <c r="AX335" s="2" t="n">
        <f aca="false">AQ335-Entrées!$C$17*1000</f>
        <v>-95.4532927644941</v>
      </c>
      <c r="AY335" s="2" t="n">
        <f aca="false">AI335+(Entrées!$C$244-Entrées!$C$13)</f>
        <v>28663.3255082918</v>
      </c>
      <c r="AZ335" s="2" t="n">
        <f aca="false">AA335*AH335</f>
        <v>5276.25055529584</v>
      </c>
      <c r="BA335" s="2" t="n">
        <f aca="false">AZ335/AY335</f>
        <v>0.184076706443902</v>
      </c>
      <c r="BB335" s="2" t="n">
        <f aca="false">AZ335/(Entrées!$C$151/100)-AY335</f>
        <v>649.177576685077</v>
      </c>
      <c r="BC335" s="2" t="n">
        <f aca="false">AT335+(Entrées!$C$244-Entrées!$C$13)</f>
        <v>28577.4335811478</v>
      </c>
      <c r="BD335" s="2" t="n">
        <f aca="false">AA335*AQ335</f>
        <v>5558.17870365237</v>
      </c>
      <c r="BE335" s="2" t="n">
        <f aca="false">BD335/BC335</f>
        <v>0.194495376495916</v>
      </c>
      <c r="BF335" s="2" t="n">
        <f aca="false">BD335/(Entrées!$C$151/100)-BC335</f>
        <v>2301.33699469873</v>
      </c>
      <c r="BG335" s="2" t="n">
        <f aca="false">MIN(AV335,BF335)</f>
        <v>883.206540558764</v>
      </c>
      <c r="BH335" s="2" t="n">
        <f aca="false">IF(AC335&gt;Hypothèses!$J$26,MAX(0,BG335)/(1-Hypothèses!$J$26/AC335),0)</f>
        <v>1345.24501499528</v>
      </c>
    </row>
    <row r="336" customFormat="false" ht="15" hidden="false" customHeight="false" outlineLevel="0" collapsed="false">
      <c r="A336" s="2" t="n">
        <v>321</v>
      </c>
      <c r="B336" s="2" t="n">
        <v>0.462399849</v>
      </c>
      <c r="C336" s="2"/>
      <c r="D336" s="2" t="n">
        <v>0.475826399</v>
      </c>
      <c r="E336" s="2" t="n">
        <f aca="false">IF(E$7=E$5,E$6,IF(NORMSDIST(E$9*SQRT($C$11)*NORMSINV($B336)+SQRT(1-E$9^2*$C$11)*NORMSINV(D336))&lt;E$8,E$5+SQRT(NORMSDIST(E$9*SQRT($C$11)*NORMSINV($B336)+SQRT(1-E$9^2*$C$11)*NORMSINV(D336))*(E$7-E$5)*(E$6-E$5)),E$7-SQRT((1-NORMSDIST(E$9*SQRT($C$11)*NORMSINV($B336)+SQRT(1-E$9^2*$C$11)*NORMSINV(D336)))*(E$7-E$5)*(E$7-E$6))))</f>
        <v>0.0547829308086002</v>
      </c>
      <c r="F336" s="2" t="n">
        <v>0.900374224</v>
      </c>
      <c r="G336" s="2" t="n">
        <f aca="false">IF(G$7=G$5,G$6,IF(NORMSDIST(G$9*SQRT($C$11)*NORMSINV($B336)+SQRT(1-G$9^2*$C$11)*NORMSINV(F336))&lt;G$8,G$5+SQRT(NORMSDIST(G$9*SQRT($C$11)*NORMSINV($B336)+SQRT(1-G$9^2*$C$11)*NORMSINV(F336))*(G$7-G$5)*(G$6-G$5)),G$7-SQRT((1-NORMSDIST(G$9*SQRT($C$11)*NORMSINV($B336)+SQRT(1-G$9^2*$C$11)*NORMSINV(F336)))*(G$7-G$5)*(G$7-G$6))))</f>
        <v>0.0611262270419897</v>
      </c>
      <c r="H336" s="2" t="n">
        <v>0.944491298</v>
      </c>
      <c r="I336" s="2" t="n">
        <f aca="false">IF(I$7=I$5,I$6,IF(NORMSDIST(I$9*SQRT($C$11)*NORMSINV($B336)+SQRT(1-I$9^2*$C$11)*NORMSINV(H336))&lt;I$8,I$5+SQRT(NORMSDIST(I$9*SQRT($C$11)*NORMSINV($B336)+SQRT(1-I$9^2*$C$11)*NORMSINV(H336))*(I$7-I$5)*(I$6-I$5)),I$7-SQRT((1-NORMSDIST(I$9*SQRT($C$11)*NORMSINV($B336)+SQRT(1-I$9^2*$C$11)*NORMSINV(H336)))*(I$7-I$5)*(I$7-I$6))))</f>
        <v>210.199932054019</v>
      </c>
      <c r="J336" s="2" t="n">
        <v>0.567539345</v>
      </c>
      <c r="K336" s="2" t="n">
        <f aca="false">IF(K$7=K$5,K$6,IF(NORMSDIST(K$9*SQRT($C$11)*NORMSINV($B336)+SQRT(1-K$9^2*$C$11)*NORMSINV(J336))&lt;K$8,K$5+SQRT(NORMSDIST(K$9*SQRT($C$11)*NORMSINV($B336)+SQRT(1-K$9^2*$C$11)*NORMSINV(J336))*(K$7-K$5)*(K$6-K$5)),K$7-SQRT((1-NORMSDIST(K$9*SQRT($C$11)*NORMSINV($B336)+SQRT(1-K$9^2*$C$11)*NORMSINV(J336)))*(K$7-K$5)*(K$7-K$6))))</f>
        <v>0.257288129267058</v>
      </c>
      <c r="L336" s="2" t="n">
        <v>0.742939155</v>
      </c>
      <c r="M336" s="2" t="n">
        <f aca="false">IF(M$7=M$5,M$6,IF(NORMSDIST(M$9*SQRT($C$11)*NORMSINV($B336)+SQRT(1-M$9^2*$C$11)*NORMSINV(L336))&lt;M$8,M$5+SQRT(NORMSDIST(M$9*SQRT($C$11)*NORMSINV($B336)+SQRT(1-M$9^2*$C$11)*NORMSINV(L336))*(M$7-M$5)*(M$6-M$5)),M$7-SQRT((1-NORMSDIST(M$9*SQRT($C$11)*NORMSINV($B336)+SQRT(1-M$9^2*$C$11)*NORMSINV(L336)))*(M$7-M$5)*(M$7-M$6))))</f>
        <v>1630.32918481237</v>
      </c>
      <c r="N336" s="2" t="n">
        <v>0.440377018</v>
      </c>
      <c r="O336" s="2" t="n">
        <f aca="false">IF(O$7=O$5,O$6,IF(NORMSDIST(O$9*SQRT($C$11)*NORMSINV($B336)+SQRT(1-O$9^2*$C$11)*NORMSINV(N336))&lt;O$8,O$5+SQRT(NORMSDIST(O$9*SQRT($C$11)*NORMSINV($B336)+SQRT(1-O$9^2*$C$11)*NORMSINV(N336))*(O$7-O$5)*(O$6-O$5)),O$7-SQRT((1-NORMSDIST(O$9*SQRT($C$11)*NORMSINV($B336)+SQRT(1-O$9^2*$C$11)*NORMSINV(N336)))*(O$7-O$5)*(O$7-O$6))))</f>
        <v>0.164844329575563</v>
      </c>
      <c r="P336" s="2" t="n">
        <v>0.348896678</v>
      </c>
      <c r="Q336" s="2" t="n">
        <f aca="false">IF(Q$7=Q$5,Q$6,IF(NORMSDIST(Q$9*SQRT($C$11)*NORMSINV($B336)+SQRT(1-Q$9^2*$C$11)*NORMSINV(P336))&lt;Q$8,Q$5+SQRT(NORMSDIST(Q$9*SQRT($C$11)*NORMSINV($B336)+SQRT(1-Q$9^2*$C$11)*NORMSINV(P336))*(Q$7-Q$5)*(Q$6-Q$5)),Q$7-SQRT((1-NORMSDIST(Q$9*SQRT($C$11)*NORMSINV($B336)+SQRT(1-Q$9^2*$C$11)*NORMSINV(P336)))*(Q$7-Q$5)*(Q$7-Q$6))))</f>
        <v>0.0734136105442079</v>
      </c>
      <c r="R336" s="2" t="n">
        <v>0.559759915</v>
      </c>
      <c r="S336" s="2" t="n">
        <f aca="false">IF(S$7=S$5,S$6,IF(NORMSDIST(S$9*SQRT($C$11)*NORMSINV($B336)+SQRT(1-S$9^2*$C$11)*NORMSINV(R336))&lt;S$8,S$5+SQRT(NORMSDIST(S$9*SQRT($C$11)*NORMSINV($B336)+SQRT(1-S$9^2*$C$11)*NORMSINV(R336))*(S$7-S$5)*(S$6-S$5)),S$7-SQRT((1-NORMSDIST(S$9*SQRT($C$11)*NORMSINV($B336)+SQRT(1-S$9^2*$C$11)*NORMSINV(R336)))*(S$7-S$5)*(S$7-S$6))))</f>
        <v>0.511449295524065</v>
      </c>
      <c r="T336" s="2" t="n">
        <v>0.219760789</v>
      </c>
      <c r="U336" s="2" t="n">
        <f aca="false">IF(U$7=U$5,U$6,IF(NORMSDIST(U$9*SQRT($C$11)*NORMSINV($B336)+SQRT(1-U$9^2*$C$11)*NORMSINV(T336))&lt;U$8,U$5+SQRT(NORMSDIST(U$9*SQRT($C$11)*NORMSINV($B336)+SQRT(1-U$9^2*$C$11)*NORMSINV(T336))*(U$7-U$5)*(U$6-U$5)),U$7-SQRT((1-NORMSDIST(U$9*SQRT($C$11)*NORMSINV($B336)+SQRT(1-U$9^2*$C$11)*NORMSINV(T336)))*(U$7-U$5)*(U$7-U$6))))</f>
        <v>0.357156001887923</v>
      </c>
      <c r="V336" s="2" t="n">
        <v>0.312346527</v>
      </c>
      <c r="W336" s="2" t="n">
        <f aca="false">IF(W$7=W$5,W$6,IF(NORMSDIST(W$9*SQRT($C$11)*NORMSINV($B336)+SQRT(1-W$9^2*$C$11)*NORMSINV(V336))&lt;W$8,W$5+SQRT(NORMSDIST(W$9*SQRT($C$11)*NORMSINV($B336)+SQRT(1-W$9^2*$C$11)*NORMSINV(V336))*(W$7-W$5)*(W$6-W$5)),W$7-SQRT((1-NORMSDIST(W$9*SQRT($C$11)*NORMSINV($B336)+SQRT(1-W$9^2*$C$11)*NORMSINV(V336)))*(W$7-W$5)*(W$7-W$6))))</f>
        <v>9.62594481375449</v>
      </c>
      <c r="X336" s="2" t="n">
        <v>0.09651186</v>
      </c>
      <c r="Y336" s="2" t="n">
        <f aca="false">IF(Y$7=Y$5,Y$6,IF(NORMSDIST(Y$9*SQRT($C$11)*NORMSINV($B336)+SQRT(1-Y$9^2*$C$11)*NORMSINV(X336))&lt;Y$8,Y$5+SQRT(NORMSDIST(Y$9*SQRT($C$11)*NORMSINV($B336)+SQRT(1-Y$9^2*$C$11)*NORMSINV(X336))*(Y$7-Y$5)*(Y$6-Y$5)),Y$7-SQRT((1-NORMSDIST(Y$9*SQRT($C$11)*NORMSINV($B336)+SQRT(1-Y$9^2*$C$11)*NORMSINV(X336)))*(Y$7-Y$5)*(Y$7-Y$6))))</f>
        <v>0.219672324155775</v>
      </c>
      <c r="Z336" s="2" t="n">
        <v>0.611807364</v>
      </c>
      <c r="AA336" s="2" t="n">
        <f aca="false">IF(AA$7=AA$5,AA$6,IF(NORMSDIST(AA$9*SQRT($C$11)*NORMSINV($B336)+SQRT(1-AA$9^2*$C$11)*NORMSINV(Z336))&lt;AA$8,AA$5+SQRT(NORMSDIST(AA$9*SQRT($C$11)*NORMSINV($B336)+SQRT(1-AA$9^2*$C$11)*NORMSINV(Z336))*(AA$7-AA$5)*(AA$6-AA$5)),AA$7-SQRT((1-NORMSDIST(AA$9*SQRT($C$11)*NORMSINV($B336)+SQRT(1-AA$9^2*$C$11)*NORMSINV(Z336)))*(AA$7-AA$5)*(AA$7-AA$6))))</f>
        <v>0.730073408779672</v>
      </c>
      <c r="AB336" s="2" t="n">
        <v>0.823358198</v>
      </c>
      <c r="AC336" s="2" t="n">
        <f aca="false">IF(AC$7=AC$5,AC$6,IF(NORMSDIST(AC$9*SQRT($C$11)*NORMSINV($B336)+SQRT(1-AC$9^2*$C$11)*NORMSINV(AB336))&lt;AC$8,AC$5+SQRT(NORMSDIST(AC$9*SQRT($C$11)*NORMSINV($B336)+SQRT(1-AC$9^2*$C$11)*NORMSINV(AB336))*(AC$7-AC$5)*(AC$6-AC$5)),AC$7-SQRT((1-NORMSDIST(AC$9*SQRT($C$11)*NORMSINV($B336)+SQRT(1-AC$9^2*$C$11)*NORMSINV(AB336)))*(AC$7-AC$5)*(AC$7-AC$6))))</f>
        <v>9.95074317855089</v>
      </c>
      <c r="AD336" s="2" t="n">
        <f aca="false">Entrées!$C$8*(1+E336)</f>
        <v>7436.21966220063</v>
      </c>
      <c r="AE336" s="2" t="n">
        <f aca="false">I336*Hypothèses!$J$24/12/Hypothèses!$J$19</f>
        <v>104.279513520944</v>
      </c>
      <c r="AF336" s="2" t="n">
        <f aca="false">Entrées!$C$36*S336*1000</f>
        <v>255.724647762032</v>
      </c>
      <c r="AG336" s="2" t="n">
        <f aca="false">-AF336/W336</f>
        <v>-26.56618677022</v>
      </c>
      <c r="AH336" s="2" t="n">
        <f aca="false">AD336+AE336+AG336</f>
        <v>7513.93298895136</v>
      </c>
      <c r="AI336" s="2" t="n">
        <f aca="false">Entrées!$C$16-M336+Hypothèses!$J$22*1000-AF336+Hypothèses!$J$23</f>
        <v>22661.9461674256</v>
      </c>
      <c r="AJ336" s="2" t="n">
        <f aca="false">AI336/AH336</f>
        <v>3.01598992175578</v>
      </c>
      <c r="AK336" s="2" t="n">
        <f aca="false">AI336/(AH336+I336*(12-Hypothèses!$J$24)/12/Hypothèses!$J$19)</f>
        <v>2.9863859772897</v>
      </c>
      <c r="AL336" s="2" t="n">
        <f aca="false">(AD336+AG336+I336/Hypothèses!$J$19)*(1+G336)</f>
        <v>8052.26973905533</v>
      </c>
      <c r="AM336" s="2" t="n">
        <f aca="false">Entrées!$C$54*K336/Hypothèses!$J$19</f>
        <v>26.2573338747485</v>
      </c>
      <c r="AN336" s="2" t="n">
        <f aca="false">Y336*1000/AC336</f>
        <v>22.0759716348911</v>
      </c>
      <c r="AO336" s="2" t="n">
        <f aca="false">(Entrées!$C$36*(1-S336)+MAX(0,Entrées!$C$30-Entrées!$C$35-Entrées!$C$36)*U336)*1000</f>
        <v>744.29375488106</v>
      </c>
      <c r="AP336" s="2" t="n">
        <f aca="false">-AO336/W336</f>
        <v>-77.3216312041952</v>
      </c>
      <c r="AQ336" s="2" t="n">
        <f aca="false">AL336+AM336+AN336+AP336</f>
        <v>8023.28141336078</v>
      </c>
      <c r="AR336" s="2" t="n">
        <f aca="false">O336*AQ336-Hypothèses!$J$25/Hypothèses!$J$19</f>
        <v>1303.45728331991</v>
      </c>
      <c r="AS336" s="2" t="n">
        <f aca="false">Entrées!$C$79*(1+Q336)+Hypothèses!$J$20</f>
        <v>1474.68155798808</v>
      </c>
      <c r="AT336" s="2" t="n">
        <f aca="false">AI336-AR336+AS336+Y336*1000-AO336+Hypothèses!$J$23</f>
        <v>22308.5490113685</v>
      </c>
      <c r="AU336" s="2" t="n">
        <f aca="false">AT336/AQ336</f>
        <v>2.78047694727735</v>
      </c>
      <c r="AV336" s="2" t="n">
        <f aca="false">Hypothèses!$J$26*AQ336-AT336</f>
        <v>1761.29522871383</v>
      </c>
      <c r="AW336" s="2" t="n">
        <f aca="false">IF(AC336&gt;Hypothèses!$J$26,MAX(0,AV336)/(1-Hypothèses!$J$26/AC336),0)</f>
        <v>2521.48526169432</v>
      </c>
      <c r="AX336" s="2" t="n">
        <f aca="false">AQ336-Entrées!$C$17*1000</f>
        <v>23.2814133607753</v>
      </c>
      <c r="AY336" s="2" t="n">
        <f aca="false">AI336+(Entrées!$C$244-Entrées!$C$13)</f>
        <v>28408.9461674256</v>
      </c>
      <c r="AZ336" s="2" t="n">
        <f aca="false">AA336*AH336</f>
        <v>5485.72267058575</v>
      </c>
      <c r="BA336" s="2" t="n">
        <f aca="false">AZ336/AY336</f>
        <v>0.193098421823046</v>
      </c>
      <c r="BB336" s="2" t="n">
        <f aca="false">AZ336/(Entrées!$C$151/100)-AY336</f>
        <v>2067.29089138409</v>
      </c>
      <c r="BC336" s="2" t="n">
        <f aca="false">AT336+(Entrées!$C$244-Entrées!$C$13)</f>
        <v>28055.5490113685</v>
      </c>
      <c r="BD336" s="2" t="n">
        <f aca="false">AA336*AQ336</f>
        <v>5857.58441105089</v>
      </c>
      <c r="BE336" s="2" t="n">
        <f aca="false">BD336/BC336</f>
        <v>0.208785235629405</v>
      </c>
      <c r="BF336" s="2" t="n">
        <f aca="false">BD336/(Entrées!$C$151/100)-BC336</f>
        <v>4486.58660558087</v>
      </c>
      <c r="BG336" s="2" t="n">
        <f aca="false">MIN(AV336,BF336)</f>
        <v>1761.29522871383</v>
      </c>
      <c r="BH336" s="2" t="n">
        <f aca="false">IF(AC336&gt;Hypothèses!$J$26,MAX(0,BG336)/(1-Hypothèses!$J$26/AC336),0)</f>
        <v>2521.48526169432</v>
      </c>
    </row>
    <row r="337" customFormat="false" ht="15" hidden="false" customHeight="false" outlineLevel="0" collapsed="false">
      <c r="A337" s="2" t="n">
        <v>322</v>
      </c>
      <c r="B337" s="2" t="n">
        <v>0.88145386</v>
      </c>
      <c r="C337" s="2"/>
      <c r="D337" s="2" t="n">
        <v>0.028352467</v>
      </c>
      <c r="E337" s="2" t="n">
        <f aca="false">IF(E$7=E$5,E$6,IF(NORMSDIST(E$9*SQRT($C$11)*NORMSINV($B337)+SQRT(1-E$9^2*$C$11)*NORMSINV(D337))&lt;E$8,E$5+SQRT(NORMSDIST(E$9*SQRT($C$11)*NORMSINV($B337)+SQRT(1-E$9^2*$C$11)*NORMSINV(D337))*(E$7-E$5)*(E$6-E$5)),E$7-SQRT((1-NORMSDIST(E$9*SQRT($C$11)*NORMSINV($B337)+SQRT(1-E$9^2*$C$11)*NORMSINV(D337)))*(E$7-E$5)*(E$7-E$6))))</f>
        <v>0.0534147583946467</v>
      </c>
      <c r="F337" s="2" t="n">
        <v>0.923727729</v>
      </c>
      <c r="G337" s="2" t="n">
        <f aca="false">IF(G$7=G$5,G$6,IF(NORMSDIST(G$9*SQRT($C$11)*NORMSINV($B337)+SQRT(1-G$9^2*$C$11)*NORMSINV(F337))&lt;G$8,G$5+SQRT(NORMSDIST(G$9*SQRT($C$11)*NORMSINV($B337)+SQRT(1-G$9^2*$C$11)*NORMSINV(F337))*(G$7-G$5)*(G$6-G$5)),G$7-SQRT((1-NORMSDIST(G$9*SQRT($C$11)*NORMSINV($B337)+SQRT(1-G$9^2*$C$11)*NORMSINV(F337)))*(G$7-G$5)*(G$7-G$6))))</f>
        <v>0.0662210015312654</v>
      </c>
      <c r="H337" s="2" t="n">
        <v>0.919888997</v>
      </c>
      <c r="I337" s="2" t="n">
        <f aca="false">IF(I$7=I$5,I$6,IF(NORMSDIST(I$9*SQRT($C$11)*NORMSINV($B337)+SQRT(1-I$9^2*$C$11)*NORMSINV(H337))&lt;I$8,I$5+SQRT(NORMSDIST(I$9*SQRT($C$11)*NORMSINV($B337)+SQRT(1-I$9^2*$C$11)*NORMSINV(H337))*(I$7-I$5)*(I$6-I$5)),I$7-SQRT((1-NORMSDIST(I$9*SQRT($C$11)*NORMSINV($B337)+SQRT(1-I$9^2*$C$11)*NORMSINV(H337)))*(I$7-I$5)*(I$7-I$6))))</f>
        <v>214.845299087263</v>
      </c>
      <c r="J337" s="2" t="n">
        <v>0.297665698</v>
      </c>
      <c r="K337" s="2" t="n">
        <f aca="false">IF(K$7=K$5,K$6,IF(NORMSDIST(K$9*SQRT($C$11)*NORMSINV($B337)+SQRT(1-K$9^2*$C$11)*NORMSINV(J337))&lt;K$8,K$5+SQRT(NORMSDIST(K$9*SQRT($C$11)*NORMSINV($B337)+SQRT(1-K$9^2*$C$11)*NORMSINV(J337))*(K$7-K$5)*(K$6-K$5)),K$7-SQRT((1-NORMSDIST(K$9*SQRT($C$11)*NORMSINV($B337)+SQRT(1-K$9^2*$C$11)*NORMSINV(J337)))*(K$7-K$5)*(K$7-K$6))))</f>
        <v>0.285433802107632</v>
      </c>
      <c r="L337" s="2" t="n">
        <v>0.0789614</v>
      </c>
      <c r="M337" s="2" t="n">
        <f aca="false">IF(M$7=M$5,M$6,IF(NORMSDIST(M$9*SQRT($C$11)*NORMSINV($B337)+SQRT(1-M$9^2*$C$11)*NORMSINV(L337))&lt;M$8,M$5+SQRT(NORMSDIST(M$9*SQRT($C$11)*NORMSINV($B337)+SQRT(1-M$9^2*$C$11)*NORMSINV(L337))*(M$7-M$5)*(M$6-M$5)),M$7-SQRT((1-NORMSDIST(M$9*SQRT($C$11)*NORMSINV($B337)+SQRT(1-M$9^2*$C$11)*NORMSINV(L337)))*(M$7-M$5)*(M$7-M$6))))</f>
        <v>1544.15414517283</v>
      </c>
      <c r="N337" s="2" t="n">
        <v>0.931071804</v>
      </c>
      <c r="O337" s="2" t="n">
        <f aca="false">IF(O$7=O$5,O$6,IF(NORMSDIST(O$9*SQRT($C$11)*NORMSINV($B337)+SQRT(1-O$9^2*$C$11)*NORMSINV(N337))&lt;O$8,O$5+SQRT(NORMSDIST(O$9*SQRT($C$11)*NORMSINV($B337)+SQRT(1-O$9^2*$C$11)*NORMSINV(N337))*(O$7-O$5)*(O$6-O$5)),O$7-SQRT((1-NORMSDIST(O$9*SQRT($C$11)*NORMSINV($B337)+SQRT(1-O$9^2*$C$11)*NORMSINV(N337)))*(O$7-O$5)*(O$7-O$6))))</f>
        <v>0.184451020459917</v>
      </c>
      <c r="P337" s="2" t="n">
        <v>0.668554927</v>
      </c>
      <c r="Q337" s="2" t="n">
        <f aca="false">IF(Q$7=Q$5,Q$6,IF(NORMSDIST(Q$9*SQRT($C$11)*NORMSINV($B337)+SQRT(1-Q$9^2*$C$11)*NORMSINV(P337))&lt;Q$8,Q$5+SQRT(NORMSDIST(Q$9*SQRT($C$11)*NORMSINV($B337)+SQRT(1-Q$9^2*$C$11)*NORMSINV(P337))*(Q$7-Q$5)*(Q$6-Q$5)),Q$7-SQRT((1-NORMSDIST(Q$9*SQRT($C$11)*NORMSINV($B337)+SQRT(1-Q$9^2*$C$11)*NORMSINV(P337)))*(Q$7-Q$5)*(Q$7-Q$6))))</f>
        <v>0.0874327736274641</v>
      </c>
      <c r="R337" s="2" t="n">
        <v>0.456360774</v>
      </c>
      <c r="S337" s="2" t="n">
        <f aca="false">IF(S$7=S$5,S$6,IF(NORMSDIST(S$9*SQRT($C$11)*NORMSINV($B337)+SQRT(1-S$9^2*$C$11)*NORMSINV(R337))&lt;S$8,S$5+SQRT(NORMSDIST(S$9*SQRT($C$11)*NORMSINV($B337)+SQRT(1-S$9^2*$C$11)*NORMSINV(R337))*(S$7-S$5)*(S$6-S$5)),S$7-SQRT((1-NORMSDIST(S$9*SQRT($C$11)*NORMSINV($B337)+SQRT(1-S$9^2*$C$11)*NORMSINV(R337)))*(S$7-S$5)*(S$7-S$6))))</f>
        <v>0.643828896131818</v>
      </c>
      <c r="T337" s="2" t="n">
        <v>0.703317525</v>
      </c>
      <c r="U337" s="2" t="n">
        <f aca="false">IF(U$7=U$5,U$6,IF(NORMSDIST(U$9*SQRT($C$11)*NORMSINV($B337)+SQRT(1-U$9^2*$C$11)*NORMSINV(T337))&lt;U$8,U$5+SQRT(NORMSDIST(U$9*SQRT($C$11)*NORMSINV($B337)+SQRT(1-U$9^2*$C$11)*NORMSINV(T337))*(U$7-U$5)*(U$6-U$5)),U$7-SQRT((1-NORMSDIST(U$9*SQRT($C$11)*NORMSINV($B337)+SQRT(1-U$9^2*$C$11)*NORMSINV(T337)))*(U$7-U$5)*(U$7-U$6))))</f>
        <v>0.752260762827861</v>
      </c>
      <c r="V337" s="2" t="n">
        <v>0.240827447</v>
      </c>
      <c r="W337" s="2" t="n">
        <f aca="false">IF(W$7=W$5,W$6,IF(NORMSDIST(W$9*SQRT($C$11)*NORMSINV($B337)+SQRT(1-W$9^2*$C$11)*NORMSINV(V337))&lt;W$8,W$5+SQRT(NORMSDIST(W$9*SQRT($C$11)*NORMSINV($B337)+SQRT(1-W$9^2*$C$11)*NORMSINV(V337))*(W$7-W$5)*(W$6-W$5)),W$7-SQRT((1-NORMSDIST(W$9*SQRT($C$11)*NORMSINV($B337)+SQRT(1-W$9^2*$C$11)*NORMSINV(V337)))*(W$7-W$5)*(W$7-W$6))))</f>
        <v>10.1676606952992</v>
      </c>
      <c r="X337" s="2" t="n">
        <v>0.511784766</v>
      </c>
      <c r="Y337" s="2" t="n">
        <f aca="false">IF(Y$7=Y$5,Y$6,IF(NORMSDIST(Y$9*SQRT($C$11)*NORMSINV($B337)+SQRT(1-Y$9^2*$C$11)*NORMSINV(X337))&lt;Y$8,Y$5+SQRT(NORMSDIST(Y$9*SQRT($C$11)*NORMSINV($B337)+SQRT(1-Y$9^2*$C$11)*NORMSINV(X337))*(Y$7-Y$5)*(Y$6-Y$5)),Y$7-SQRT((1-NORMSDIST(Y$9*SQRT($C$11)*NORMSINV($B337)+SQRT(1-Y$9^2*$C$11)*NORMSINV(X337)))*(Y$7-Y$5)*(Y$7-Y$6))))</f>
        <v>0.505927518475275</v>
      </c>
      <c r="Z337" s="2" t="n">
        <v>0.790592459</v>
      </c>
      <c r="AA337" s="2" t="n">
        <f aca="false">IF(AA$7=AA$5,AA$6,IF(NORMSDIST(AA$9*SQRT($C$11)*NORMSINV($B337)+SQRT(1-AA$9^2*$C$11)*NORMSINV(Z337))&lt;AA$8,AA$5+SQRT(NORMSDIST(AA$9*SQRT($C$11)*NORMSINV($B337)+SQRT(1-AA$9^2*$C$11)*NORMSINV(Z337))*(AA$7-AA$5)*(AA$6-AA$5)),AA$7-SQRT((1-NORMSDIST(AA$9*SQRT($C$11)*NORMSINV($B337)+SQRT(1-AA$9^2*$C$11)*NORMSINV(Z337)))*(AA$7-AA$5)*(AA$7-AA$6))))</f>
        <v>0.74343557182475</v>
      </c>
      <c r="AB337" s="2" t="n">
        <v>0.031290008</v>
      </c>
      <c r="AC337" s="2" t="n">
        <f aca="false">IF(AC$7=AC$5,AC$6,IF(NORMSDIST(AC$9*SQRT($C$11)*NORMSINV($B337)+SQRT(1-AC$9^2*$C$11)*NORMSINV(AB337))&lt;AC$8,AC$5+SQRT(NORMSDIST(AC$9*SQRT($C$11)*NORMSINV($B337)+SQRT(1-AC$9^2*$C$11)*NORMSINV(AB337))*(AC$7-AC$5)*(AC$6-AC$5)),AC$7-SQRT((1-NORMSDIST(AC$9*SQRT($C$11)*NORMSINV($B337)+SQRT(1-AC$9^2*$C$11)*NORMSINV(AB337)))*(AC$7-AC$5)*(AC$7-AC$6))))</f>
        <v>8.85084058209688</v>
      </c>
      <c r="AD337" s="2" t="n">
        <f aca="false">Entrées!$C$8*(1+E337)</f>
        <v>7426.57404668226</v>
      </c>
      <c r="AE337" s="2" t="n">
        <f aca="false">I337*Hypothèses!$J$24/12/Hypothèses!$J$19</f>
        <v>106.58406523806</v>
      </c>
      <c r="AF337" s="2" t="n">
        <f aca="false">Entrées!$C$36*S337*1000</f>
        <v>321.914448065909</v>
      </c>
      <c r="AG337" s="2" t="n">
        <f aca="false">-AF337/W337</f>
        <v>-31.6606206395871</v>
      </c>
      <c r="AH337" s="2" t="n">
        <f aca="false">AD337+AE337+AG337</f>
        <v>7501.49749128073</v>
      </c>
      <c r="AI337" s="2" t="n">
        <f aca="false">Entrées!$C$16-M337+Hypothèses!$J$22*1000-AF337+Hypothèses!$J$23</f>
        <v>22681.9314067613</v>
      </c>
      <c r="AJ337" s="2" t="n">
        <f aca="false">AI337/AH337</f>
        <v>3.023653801541</v>
      </c>
      <c r="AK337" s="2" t="n">
        <f aca="false">AI337/(AH337+I337*(12-Hypothèses!$J$24)/12/Hypothèses!$J$19)</f>
        <v>2.99327553607907</v>
      </c>
      <c r="AL337" s="2" t="n">
        <f aca="false">(AD337+AG337+I337/Hypothèses!$J$19)*(1+G337)</f>
        <v>8079.42714584147</v>
      </c>
      <c r="AM337" s="2" t="n">
        <f aca="false">Entrées!$C$54*K337/Hypothèses!$J$19</f>
        <v>29.1297179641726</v>
      </c>
      <c r="AN337" s="2" t="n">
        <f aca="false">Y337*1000/AC337</f>
        <v>57.1615219800303</v>
      </c>
      <c r="AO337" s="2" t="n">
        <f aca="false">(Entrées!$C$36*(1-S337)+MAX(0,Entrées!$C$30-Entrées!$C$35-Entrées!$C$36)*U337)*1000</f>
        <v>1231.2506198931</v>
      </c>
      <c r="AP337" s="2" t="n">
        <f aca="false">-AO337/W337</f>
        <v>-121.09477851305</v>
      </c>
      <c r="AQ337" s="2" t="n">
        <f aca="false">AL337+AM337+AN337+AP337</f>
        <v>8044.62360727263</v>
      </c>
      <c r="AR337" s="2" t="n">
        <f aca="false">O337*AQ337-Hypothèses!$J$25/Hypothèses!$J$19</f>
        <v>1464.70387131575</v>
      </c>
      <c r="AS337" s="2" t="n">
        <f aca="false">Entrées!$C$79*(1+Q337)+Hypothèses!$J$20</f>
        <v>1490.08861821658</v>
      </c>
      <c r="AT337" s="2" t="n">
        <f aca="false">AI337-AR337+AS337+Y337*1000-AO337+Hypothèses!$J$23</f>
        <v>21981.9930522443</v>
      </c>
      <c r="AU337" s="2" t="n">
        <f aca="false">AT337/AQ337</f>
        <v>2.73250733973082</v>
      </c>
      <c r="AV337" s="2" t="n">
        <f aca="false">Hypothèses!$J$26*AQ337-AT337</f>
        <v>2151.87776957361</v>
      </c>
      <c r="AW337" s="2" t="n">
        <f aca="false">IF(AC337&gt;Hypothèses!$J$26,MAX(0,AV337)/(1-Hypothèses!$J$26/AC337),0)</f>
        <v>3255.24628870138</v>
      </c>
      <c r="AX337" s="2" t="n">
        <f aca="false">AQ337-Entrées!$C$17*1000</f>
        <v>44.6236072726269</v>
      </c>
      <c r="AY337" s="2" t="n">
        <f aca="false">AI337+(Entrées!$C$244-Entrées!$C$13)</f>
        <v>28428.9314067613</v>
      </c>
      <c r="AZ337" s="2" t="n">
        <f aca="false">AA337*AH337</f>
        <v>5576.88007697222</v>
      </c>
      <c r="BA337" s="2" t="n">
        <f aca="false">AZ337/AY337</f>
        <v>0.19616917699713</v>
      </c>
      <c r="BB337" s="2" t="n">
        <f aca="false">AZ337/(Entrées!$C$151/100)-AY337</f>
        <v>2553.73568752886</v>
      </c>
      <c r="BC337" s="2" t="n">
        <f aca="false">AT337+(Entrées!$C$244-Entrées!$C$13)</f>
        <v>27728.9930522443</v>
      </c>
      <c r="BD337" s="2" t="n">
        <f aca="false">AA337*AQ337</f>
        <v>5980.65935158761</v>
      </c>
      <c r="BE337" s="2" t="n">
        <f aca="false">BD337/BC337</f>
        <v>0.21568252912464</v>
      </c>
      <c r="BF337" s="2" t="n">
        <f aca="false">BD337/(Entrées!$C$151/100)-BC337</f>
        <v>5496.89223435357</v>
      </c>
      <c r="BG337" s="2" t="n">
        <f aca="false">MIN(AV337,BF337)</f>
        <v>2151.87776957361</v>
      </c>
      <c r="BH337" s="2" t="n">
        <f aca="false">IF(AC337&gt;Hypothèses!$J$26,MAX(0,BG337)/(1-Hypothèses!$J$26/AC337),0)</f>
        <v>3255.24628870138</v>
      </c>
    </row>
    <row r="338" customFormat="false" ht="15" hidden="false" customHeight="false" outlineLevel="0" collapsed="false">
      <c r="A338" s="2" t="n">
        <v>323</v>
      </c>
      <c r="B338" s="2" t="n">
        <v>0.49528575</v>
      </c>
      <c r="C338" s="2"/>
      <c r="D338" s="2" t="n">
        <v>0.468148131</v>
      </c>
      <c r="E338" s="2" t="n">
        <f aca="false">IF(E$7=E$5,E$6,IF(NORMSDIST(E$9*SQRT($C$11)*NORMSINV($B338)+SQRT(1-E$9^2*$C$11)*NORMSINV(D338))&lt;E$8,E$5+SQRT(NORMSDIST(E$9*SQRT($C$11)*NORMSINV($B338)+SQRT(1-E$9^2*$C$11)*NORMSINV(D338))*(E$7-E$5)*(E$6-E$5)),E$7-SQRT((1-NORMSDIST(E$9*SQRT($C$11)*NORMSINV($B338)+SQRT(1-E$9^2*$C$11)*NORMSINV(D338)))*(E$7-E$5)*(E$7-E$6))))</f>
        <v>0.0548597425227781</v>
      </c>
      <c r="F338" s="2" t="n">
        <v>0.828248336</v>
      </c>
      <c r="G338" s="2" t="n">
        <f aca="false">IF(G$7=G$5,G$6,IF(NORMSDIST(G$9*SQRT($C$11)*NORMSINV($B338)+SQRT(1-G$9^2*$C$11)*NORMSINV(F338))&lt;G$8,G$5+SQRT(NORMSDIST(G$9*SQRT($C$11)*NORMSINV($B338)+SQRT(1-G$9^2*$C$11)*NORMSINV(F338))*(G$7-G$5)*(G$6-G$5)),G$7-SQRT((1-NORMSDIST(G$9*SQRT($C$11)*NORMSINV($B338)+SQRT(1-G$9^2*$C$11)*NORMSINV(F338)))*(G$7-G$5)*(G$7-G$6))))</f>
        <v>0.0597420384807206</v>
      </c>
      <c r="H338" s="2" t="n">
        <v>0.707516767</v>
      </c>
      <c r="I338" s="2" t="n">
        <f aca="false">IF(I$7=I$5,I$6,IF(NORMSDIST(I$9*SQRT($C$11)*NORMSINV($B338)+SQRT(1-I$9^2*$C$11)*NORMSINV(H338))&lt;I$8,I$5+SQRT(NORMSDIST(I$9*SQRT($C$11)*NORMSINV($B338)+SQRT(1-I$9^2*$C$11)*NORMSINV(H338))*(I$7-I$5)*(I$6-I$5)),I$7-SQRT((1-NORMSDIST(I$9*SQRT($C$11)*NORMSINV($B338)+SQRT(1-I$9^2*$C$11)*NORMSINV(H338)))*(I$7-I$5)*(I$7-I$6))))</f>
        <v>203.535175606785</v>
      </c>
      <c r="J338" s="2" t="n">
        <v>0.224009877</v>
      </c>
      <c r="K338" s="2" t="n">
        <f aca="false">IF(K$7=K$5,K$6,IF(NORMSDIST(K$9*SQRT($C$11)*NORMSINV($B338)+SQRT(1-K$9^2*$C$11)*NORMSINV(J338))&lt;K$8,K$5+SQRT(NORMSDIST(K$9*SQRT($C$11)*NORMSINV($B338)+SQRT(1-K$9^2*$C$11)*NORMSINV(J338))*(K$7-K$5)*(K$6-K$5)),K$7-SQRT((1-NORMSDIST(K$9*SQRT($C$11)*NORMSINV($B338)+SQRT(1-K$9^2*$C$11)*NORMSINV(J338)))*(K$7-K$5)*(K$7-K$6))))</f>
        <v>0.185695598983967</v>
      </c>
      <c r="L338" s="2" t="n">
        <v>0.61074109</v>
      </c>
      <c r="M338" s="2" t="n">
        <f aca="false">IF(M$7=M$5,M$6,IF(NORMSDIST(M$9*SQRT($C$11)*NORMSINV($B338)+SQRT(1-M$9^2*$C$11)*NORMSINV(L338))&lt;M$8,M$5+SQRT(NORMSDIST(M$9*SQRT($C$11)*NORMSINV($B338)+SQRT(1-M$9^2*$C$11)*NORMSINV(L338))*(M$7-M$5)*(M$6-M$5)),M$7-SQRT((1-NORMSDIST(M$9*SQRT($C$11)*NORMSINV($B338)+SQRT(1-M$9^2*$C$11)*NORMSINV(L338)))*(M$7-M$5)*(M$7-M$6))))</f>
        <v>1607.95329962679</v>
      </c>
      <c r="N338" s="2" t="n">
        <v>0.092815278</v>
      </c>
      <c r="O338" s="2" t="n">
        <f aca="false">IF(O$7=O$5,O$6,IF(NORMSDIST(O$9*SQRT($C$11)*NORMSINV($B338)+SQRT(1-O$9^2*$C$11)*NORMSINV(N338))&lt;O$8,O$5+SQRT(NORMSDIST(O$9*SQRT($C$11)*NORMSINV($B338)+SQRT(1-O$9^2*$C$11)*NORMSINV(N338))*(O$7-O$5)*(O$6-O$5)),O$7-SQRT((1-NORMSDIST(O$9*SQRT($C$11)*NORMSINV($B338)+SQRT(1-O$9^2*$C$11)*NORMSINV(N338)))*(O$7-O$5)*(O$7-O$6))))</f>
        <v>0.154712574598936</v>
      </c>
      <c r="P338" s="2" t="n">
        <v>0.640341813</v>
      </c>
      <c r="Q338" s="2" t="n">
        <f aca="false">IF(Q$7=Q$5,Q$6,IF(NORMSDIST(Q$9*SQRT($C$11)*NORMSINV($B338)+SQRT(1-Q$9^2*$C$11)*NORMSINV(P338))&lt;Q$8,Q$5+SQRT(NORMSDIST(Q$9*SQRT($C$11)*NORMSINV($B338)+SQRT(1-Q$9^2*$C$11)*NORMSINV(P338))*(Q$7-Q$5)*(Q$6-Q$5)),Q$7-SQRT((1-NORMSDIST(Q$9*SQRT($C$11)*NORMSINV($B338)+SQRT(1-Q$9^2*$C$11)*NORMSINV(P338)))*(Q$7-Q$5)*(Q$7-Q$6))))</f>
        <v>0.0860749915490062</v>
      </c>
      <c r="R338" s="2" t="n">
        <v>0.820337189</v>
      </c>
      <c r="S338" s="2" t="n">
        <f aca="false">IF(S$7=S$5,S$6,IF(NORMSDIST(S$9*SQRT($C$11)*NORMSINV($B338)+SQRT(1-S$9^2*$C$11)*NORMSINV(R338))&lt;S$8,S$5+SQRT(NORMSDIST(S$9*SQRT($C$11)*NORMSINV($B338)+SQRT(1-S$9^2*$C$11)*NORMSINV(R338))*(S$7-S$5)*(S$6-S$5)),S$7-SQRT((1-NORMSDIST(S$9*SQRT($C$11)*NORMSINV($B338)+SQRT(1-S$9^2*$C$11)*NORMSINV(R338)))*(S$7-S$5)*(S$7-S$6))))</f>
        <v>0.652750289542648</v>
      </c>
      <c r="T338" s="2" t="n">
        <v>0.686213015</v>
      </c>
      <c r="U338" s="2" t="n">
        <f aca="false">IF(U$7=U$5,U$6,IF(NORMSDIST(U$9*SQRT($C$11)*NORMSINV($B338)+SQRT(1-U$9^2*$C$11)*NORMSINV(T338))&lt;U$8,U$5+SQRT(NORMSDIST(U$9*SQRT($C$11)*NORMSINV($B338)+SQRT(1-U$9^2*$C$11)*NORMSINV(T338))*(U$7-U$5)*(U$6-U$5)),U$7-SQRT((1-NORMSDIST(U$9*SQRT($C$11)*NORMSINV($B338)+SQRT(1-U$9^2*$C$11)*NORMSINV(T338)))*(U$7-U$5)*(U$7-U$6))))</f>
        <v>0.577910966298193</v>
      </c>
      <c r="V338" s="2" t="n">
        <v>0.924508791</v>
      </c>
      <c r="W338" s="2" t="n">
        <f aca="false">IF(W$7=W$5,W$6,IF(NORMSDIST(W$9*SQRT($C$11)*NORMSINV($B338)+SQRT(1-W$9^2*$C$11)*NORMSINV(V338))&lt;W$8,W$5+SQRT(NORMSDIST(W$9*SQRT($C$11)*NORMSINV($B338)+SQRT(1-W$9^2*$C$11)*NORMSINV(V338))*(W$7-W$5)*(W$6-W$5)),W$7-SQRT((1-NORMSDIST(W$9*SQRT($C$11)*NORMSINV($B338)+SQRT(1-W$9^2*$C$11)*NORMSINV(V338)))*(W$7-W$5)*(W$7-W$6))))</f>
        <v>10.9623056563256</v>
      </c>
      <c r="X338" s="2" t="n">
        <v>0.773049576</v>
      </c>
      <c r="Y338" s="2" t="n">
        <f aca="false">IF(Y$7=Y$5,Y$6,IF(NORMSDIST(Y$9*SQRT($C$11)*NORMSINV($B338)+SQRT(1-Y$9^2*$C$11)*NORMSINV(X338))&lt;Y$8,Y$5+SQRT(NORMSDIST(Y$9*SQRT($C$11)*NORMSINV($B338)+SQRT(1-Y$9^2*$C$11)*NORMSINV(X338))*(Y$7-Y$5)*(Y$6-Y$5)),Y$7-SQRT((1-NORMSDIST(Y$9*SQRT($C$11)*NORMSINV($B338)+SQRT(1-Y$9^2*$C$11)*NORMSINV(X338)))*(Y$7-Y$5)*(Y$7-Y$6))))</f>
        <v>0.663139180075806</v>
      </c>
      <c r="Z338" s="2" t="n">
        <v>0.4745635</v>
      </c>
      <c r="AA338" s="2" t="n">
        <f aca="false">IF(AA$7=AA$5,AA$6,IF(NORMSDIST(AA$9*SQRT($C$11)*NORMSINV($B338)+SQRT(1-AA$9^2*$C$11)*NORMSINV(Z338))&lt;AA$8,AA$5+SQRT(NORMSDIST(AA$9*SQRT($C$11)*NORMSINV($B338)+SQRT(1-AA$9^2*$C$11)*NORMSINV(Z338))*(AA$7-AA$5)*(AA$6-AA$5)),AA$7-SQRT((1-NORMSDIST(AA$9*SQRT($C$11)*NORMSINV($B338)+SQRT(1-AA$9^2*$C$11)*NORMSINV(Z338)))*(AA$7-AA$5)*(AA$7-AA$6))))</f>
        <v>0.727300202501744</v>
      </c>
      <c r="AB338" s="2" t="n">
        <v>0.771789245</v>
      </c>
      <c r="AC338" s="2" t="n">
        <f aca="false">IF(AC$7=AC$5,AC$6,IF(NORMSDIST(AC$9*SQRT($C$11)*NORMSINV($B338)+SQRT(1-AC$9^2*$C$11)*NORMSINV(AB338))&lt;AC$8,AC$5+SQRT(NORMSDIST(AC$9*SQRT($C$11)*NORMSINV($B338)+SQRT(1-AC$9^2*$C$11)*NORMSINV(AB338))*(AC$7-AC$5)*(AC$6-AC$5)),AC$7-SQRT((1-NORMSDIST(AC$9*SQRT($C$11)*NORMSINV($B338)+SQRT(1-AC$9^2*$C$11)*NORMSINV(AB338)))*(AC$7-AC$5)*(AC$7-AC$6))))</f>
        <v>9.89130251602309</v>
      </c>
      <c r="AD338" s="2" t="n">
        <f aca="false">Entrées!$C$8*(1+E338)</f>
        <v>7436.76118478559</v>
      </c>
      <c r="AE338" s="2" t="n">
        <f aca="false">I338*Hypothèses!$J$24/12/Hypothèses!$J$19</f>
        <v>100.973149178854</v>
      </c>
      <c r="AF338" s="2" t="n">
        <f aca="false">Entrées!$C$36*S338*1000</f>
        <v>326.375144771324</v>
      </c>
      <c r="AG338" s="2" t="n">
        <f aca="false">-AF338/W338</f>
        <v>-29.7724908430184</v>
      </c>
      <c r="AH338" s="2" t="n">
        <f aca="false">AD338+AE338+AG338</f>
        <v>7507.96184312142</v>
      </c>
      <c r="AI338" s="2" t="n">
        <f aca="false">Entrées!$C$16-M338+Hypothèses!$J$22*1000-AF338+Hypothèses!$J$23</f>
        <v>22613.6715556019</v>
      </c>
      <c r="AJ338" s="2" t="n">
        <f aca="false">AI338/AH338</f>
        <v>3.01195877497964</v>
      </c>
      <c r="AK338" s="2" t="n">
        <f aca="false">AI338/(AH338+I338*(12-Hypothèses!$J$24)/12/Hypothèses!$J$19)</f>
        <v>2.98330031932165</v>
      </c>
      <c r="AL338" s="2" t="n">
        <f aca="false">(AD338+AG338+I338/Hypothèses!$J$19)*(1+G338)</f>
        <v>8032.9352819954</v>
      </c>
      <c r="AM338" s="2" t="n">
        <f aca="false">Entrées!$C$54*K338/Hypothèses!$J$19</f>
        <v>18.9510155617495</v>
      </c>
      <c r="AN338" s="2" t="n">
        <f aca="false">Y338*1000/AC338</f>
        <v>67.0426547971388</v>
      </c>
      <c r="AO338" s="2" t="n">
        <f aca="false">(Entrées!$C$36*(1-S338)+MAX(0,Entrées!$C$30-Entrées!$C$35-Entrées!$C$36)*U338)*1000</f>
        <v>982.700208046146</v>
      </c>
      <c r="AP338" s="2" t="n">
        <f aca="false">-AO338/W338</f>
        <v>-89.6435694145321</v>
      </c>
      <c r="AQ338" s="2" t="n">
        <f aca="false">AL338+AM338+AN338+AP338</f>
        <v>8029.28538293976</v>
      </c>
      <c r="AR338" s="2" t="n">
        <f aca="false">O338*AQ338-Hypothèses!$J$25/Hypothèses!$J$19</f>
        <v>1223.09625152259</v>
      </c>
      <c r="AS338" s="2" t="n">
        <f aca="false">Entrées!$C$79*(1+Q338)+Hypothèses!$J$20</f>
        <v>1488.59641571236</v>
      </c>
      <c r="AT338" s="2" t="n">
        <f aca="false">AI338-AR338+AS338+Y338*1000-AO338+Hypothèses!$J$23</f>
        <v>22559.6106918213</v>
      </c>
      <c r="AU338" s="2" t="n">
        <f aca="false">AT338/AQ338</f>
        <v>2.80966606813539</v>
      </c>
      <c r="AV338" s="2" t="n">
        <f aca="false">Hypothèses!$J$26*AQ338-AT338</f>
        <v>1528.24545699797</v>
      </c>
      <c r="AW338" s="2" t="n">
        <f aca="false">IF(AC338&gt;Hypothèses!$J$26,MAX(0,AV338)/(1-Hypothèses!$J$26/AC338),0)</f>
        <v>2193.53860881272</v>
      </c>
      <c r="AX338" s="2" t="n">
        <f aca="false">AQ338-Entrées!$C$17*1000</f>
        <v>29.2853829397609</v>
      </c>
      <c r="AY338" s="2" t="n">
        <f aca="false">AI338+(Entrées!$C$244-Entrées!$C$13)</f>
        <v>28360.6715556019</v>
      </c>
      <c r="AZ338" s="2" t="n">
        <f aca="false">AA338*AH338</f>
        <v>5460.54216887757</v>
      </c>
      <c r="BA338" s="2" t="n">
        <f aca="false">AZ338/AY338</f>
        <v>0.19253924076417</v>
      </c>
      <c r="BB338" s="2" t="n">
        <f aca="false">AZ338/(Entrées!$C$151/100)-AY338</f>
        <v>1975.67382705131</v>
      </c>
      <c r="BC338" s="2" t="n">
        <f aca="false">AT338+(Entrées!$C$244-Entrées!$C$13)</f>
        <v>28306.6106918213</v>
      </c>
      <c r="BD338" s="2" t="n">
        <f aca="false">AA338*AQ338</f>
        <v>5839.70088495638</v>
      </c>
      <c r="BE338" s="2" t="n">
        <f aca="false">BD338/BC338</f>
        <v>0.206301663895199</v>
      </c>
      <c r="BF338" s="2" t="n">
        <f aca="false">BD338/(Entrées!$C$151/100)-BC338</f>
        <v>4136.17200238079</v>
      </c>
      <c r="BG338" s="2" t="n">
        <f aca="false">MIN(AV338,BF338)</f>
        <v>1528.24545699797</v>
      </c>
      <c r="BH338" s="2" t="n">
        <f aca="false">IF(AC338&gt;Hypothèses!$J$26,MAX(0,BG338)/(1-Hypothèses!$J$26/AC338),0)</f>
        <v>2193.53860881272</v>
      </c>
    </row>
    <row r="339" customFormat="false" ht="15" hidden="false" customHeight="false" outlineLevel="0" collapsed="false">
      <c r="A339" s="2" t="n">
        <v>324</v>
      </c>
      <c r="B339" s="2" t="n">
        <v>0.072777322</v>
      </c>
      <c r="C339" s="2"/>
      <c r="D339" s="2" t="n">
        <v>0.472974452</v>
      </c>
      <c r="E339" s="2" t="n">
        <f aca="false">IF(E$7=E$5,E$6,IF(NORMSDIST(E$9*SQRT($C$11)*NORMSINV($B339)+SQRT(1-E$9^2*$C$11)*NORMSINV(D339))&lt;E$8,E$5+SQRT(NORMSDIST(E$9*SQRT($C$11)*NORMSINV($B339)+SQRT(1-E$9^2*$C$11)*NORMSINV(D339))*(E$7-E$5)*(E$6-E$5)),E$7-SQRT((1-NORMSDIST(E$9*SQRT($C$11)*NORMSINV($B339)+SQRT(1-E$9^2*$C$11)*NORMSINV(D339)))*(E$7-E$5)*(E$7-E$6))))</f>
        <v>0.0528746916503244</v>
      </c>
      <c r="F339" s="2" t="n">
        <v>0.282443688</v>
      </c>
      <c r="G339" s="2" t="n">
        <f aca="false">IF(G$7=G$5,G$6,IF(NORMSDIST(G$9*SQRT($C$11)*NORMSINV($B339)+SQRT(1-G$9^2*$C$11)*NORMSINV(F339))&lt;G$8,G$5+SQRT(NORMSDIST(G$9*SQRT($C$11)*NORMSINV($B339)+SQRT(1-G$9^2*$C$11)*NORMSINV(F339))*(G$7-G$5)*(G$6-G$5)),G$7-SQRT((1-NORMSDIST(G$9*SQRT($C$11)*NORMSINV($B339)+SQRT(1-G$9^2*$C$11)*NORMSINV(F339)))*(G$7-G$5)*(G$7-G$6))))</f>
        <v>0.0462178955480312</v>
      </c>
      <c r="H339" s="2" t="n">
        <v>0.311429621</v>
      </c>
      <c r="I339" s="2" t="n">
        <f aca="false">IF(I$7=I$5,I$6,IF(NORMSDIST(I$9*SQRT($C$11)*NORMSINV($B339)+SQRT(1-I$9^2*$C$11)*NORMSINV(H339))&lt;I$8,I$5+SQRT(NORMSDIST(I$9*SQRT($C$11)*NORMSINV($B339)+SQRT(1-I$9^2*$C$11)*NORMSINV(H339))*(I$7-I$5)*(I$6-I$5)),I$7-SQRT((1-NORMSDIST(I$9*SQRT($C$11)*NORMSINV($B339)+SQRT(1-I$9^2*$C$11)*NORMSINV(H339)))*(I$7-I$5)*(I$7-I$6))))</f>
        <v>188.788863015696</v>
      </c>
      <c r="J339" s="2" t="n">
        <v>0.57440755</v>
      </c>
      <c r="K339" s="2" t="n">
        <f aca="false">IF(K$7=K$5,K$6,IF(NORMSDIST(K$9*SQRT($C$11)*NORMSINV($B339)+SQRT(1-K$9^2*$C$11)*NORMSINV(J339))&lt;K$8,K$5+SQRT(NORMSDIST(K$9*SQRT($C$11)*NORMSINV($B339)+SQRT(1-K$9^2*$C$11)*NORMSINV(J339))*(K$7-K$5)*(K$6-K$5)),K$7-SQRT((1-NORMSDIST(K$9*SQRT($C$11)*NORMSINV($B339)+SQRT(1-K$9^2*$C$11)*NORMSINV(J339)))*(K$7-K$5)*(K$7-K$6))))</f>
        <v>0.165499639705806</v>
      </c>
      <c r="L339" s="2" t="n">
        <v>0.586623657</v>
      </c>
      <c r="M339" s="2" t="n">
        <f aca="false">IF(M$7=M$5,M$6,IF(NORMSDIST(M$9*SQRT($C$11)*NORMSINV($B339)+SQRT(1-M$9^2*$C$11)*NORMSINV(L339))&lt;M$8,M$5+SQRT(NORMSDIST(M$9*SQRT($C$11)*NORMSINV($B339)+SQRT(1-M$9^2*$C$11)*NORMSINV(L339))*(M$7-M$5)*(M$6-M$5)),M$7-SQRT((1-NORMSDIST(M$9*SQRT($C$11)*NORMSINV($B339)+SQRT(1-M$9^2*$C$11)*NORMSINV(L339)))*(M$7-M$5)*(M$7-M$6))))</f>
        <v>1493.03603326269</v>
      </c>
      <c r="N339" s="2" t="n">
        <v>0.952890351</v>
      </c>
      <c r="O339" s="2" t="n">
        <f aca="false">IF(O$7=O$5,O$6,IF(NORMSDIST(O$9*SQRT($C$11)*NORMSINV($B339)+SQRT(1-O$9^2*$C$11)*NORMSINV(N339))&lt;O$8,O$5+SQRT(NORMSDIST(O$9*SQRT($C$11)*NORMSINV($B339)+SQRT(1-O$9^2*$C$11)*NORMSINV(N339))*(O$7-O$5)*(O$6-O$5)),O$7-SQRT((1-NORMSDIST(O$9*SQRT($C$11)*NORMSINV($B339)+SQRT(1-O$9^2*$C$11)*NORMSINV(N339)))*(O$7-O$5)*(O$7-O$6))))</f>
        <v>0.170594830671933</v>
      </c>
      <c r="P339" s="2" t="n">
        <v>0.412440832</v>
      </c>
      <c r="Q339" s="2" t="n">
        <f aca="false">IF(Q$7=Q$5,Q$6,IF(NORMSDIST(Q$9*SQRT($C$11)*NORMSINV($B339)+SQRT(1-Q$9^2*$C$11)*NORMSINV(P339))&lt;Q$8,Q$5+SQRT(NORMSDIST(Q$9*SQRT($C$11)*NORMSINV($B339)+SQRT(1-Q$9^2*$C$11)*NORMSINV(P339))*(Q$7-Q$5)*(Q$6-Q$5)),Q$7-SQRT((1-NORMSDIST(Q$9*SQRT($C$11)*NORMSINV($B339)+SQRT(1-Q$9^2*$C$11)*NORMSINV(P339)))*(Q$7-Q$5)*(Q$7-Q$6))))</f>
        <v>0.0763291984827632</v>
      </c>
      <c r="R339" s="2" t="n">
        <v>0.276446947</v>
      </c>
      <c r="S339" s="2" t="n">
        <f aca="false">IF(S$7=S$5,S$6,IF(NORMSDIST(S$9*SQRT($C$11)*NORMSINV($B339)+SQRT(1-S$9^2*$C$11)*NORMSINV(R339))&lt;S$8,S$5+SQRT(NORMSDIST(S$9*SQRT($C$11)*NORMSINV($B339)+SQRT(1-S$9^2*$C$11)*NORMSINV(R339))*(S$7-S$5)*(S$6-S$5)),S$7-SQRT((1-NORMSDIST(S$9*SQRT($C$11)*NORMSINV($B339)+SQRT(1-S$9^2*$C$11)*NORMSINV(R339)))*(S$7-S$5)*(S$7-S$6))))</f>
        <v>0.204657957945379</v>
      </c>
      <c r="T339" s="2" t="n">
        <v>0.011292364</v>
      </c>
      <c r="U339" s="2" t="n">
        <f aca="false">IF(U$7=U$5,U$6,IF(NORMSDIST(U$9*SQRT($C$11)*NORMSINV($B339)+SQRT(1-U$9^2*$C$11)*NORMSINV(T339))&lt;U$8,U$5+SQRT(NORMSDIST(U$9*SQRT($C$11)*NORMSINV($B339)+SQRT(1-U$9^2*$C$11)*NORMSINV(T339))*(U$7-U$5)*(U$6-U$5)),U$7-SQRT((1-NORMSDIST(U$9*SQRT($C$11)*NORMSINV($B339)+SQRT(1-U$9^2*$C$11)*NORMSINV(T339)))*(U$7-U$5)*(U$7-U$6))))</f>
        <v>0.0424635338457469</v>
      </c>
      <c r="V339" s="2" t="n">
        <v>0.366720155</v>
      </c>
      <c r="W339" s="2" t="n">
        <f aca="false">IF(W$7=W$5,W$6,IF(NORMSDIST(W$9*SQRT($C$11)*NORMSINV($B339)+SQRT(1-W$9^2*$C$11)*NORMSINV(V339))&lt;W$8,W$5+SQRT(NORMSDIST(W$9*SQRT($C$11)*NORMSINV($B339)+SQRT(1-W$9^2*$C$11)*NORMSINV(V339))*(W$7-W$5)*(W$6-W$5)),W$7-SQRT((1-NORMSDIST(W$9*SQRT($C$11)*NORMSINV($B339)+SQRT(1-W$9^2*$C$11)*NORMSINV(V339)))*(W$7-W$5)*(W$7-W$6))))</f>
        <v>8.97222204599592</v>
      </c>
      <c r="X339" s="2" t="n">
        <v>0.812855063</v>
      </c>
      <c r="Y339" s="2" t="n">
        <f aca="false">IF(Y$7=Y$5,Y$6,IF(NORMSDIST(Y$9*SQRT($C$11)*NORMSINV($B339)+SQRT(1-Y$9^2*$C$11)*NORMSINV(X339))&lt;Y$8,Y$5+SQRT(NORMSDIST(Y$9*SQRT($C$11)*NORMSINV($B339)+SQRT(1-Y$9^2*$C$11)*NORMSINV(X339))*(Y$7-Y$5)*(Y$6-Y$5)),Y$7-SQRT((1-NORMSDIST(Y$9*SQRT($C$11)*NORMSINV($B339)+SQRT(1-Y$9^2*$C$11)*NORMSINV(X339)))*(Y$7-Y$5)*(Y$7-Y$6))))</f>
        <v>0.694103827255064</v>
      </c>
      <c r="Z339" s="2" t="n">
        <v>0.738869659</v>
      </c>
      <c r="AA339" s="2" t="n">
        <f aca="false">IF(AA$7=AA$5,AA$6,IF(NORMSDIST(AA$9*SQRT($C$11)*NORMSINV($B339)+SQRT(1-AA$9^2*$C$11)*NORMSINV(Z339))&lt;AA$8,AA$5+SQRT(NORMSDIST(AA$9*SQRT($C$11)*NORMSINV($B339)+SQRT(1-AA$9^2*$C$11)*NORMSINV(Z339))*(AA$7-AA$5)*(AA$6-AA$5)),AA$7-SQRT((1-NORMSDIST(AA$9*SQRT($C$11)*NORMSINV($B339)+SQRT(1-AA$9^2*$C$11)*NORMSINV(Z339)))*(AA$7-AA$5)*(AA$7-AA$6))))</f>
        <v>0.722130573773249</v>
      </c>
      <c r="AB339" s="2" t="n">
        <v>0.659823493</v>
      </c>
      <c r="AC339" s="2" t="n">
        <f aca="false">IF(AC$7=AC$5,AC$6,IF(NORMSDIST(AC$9*SQRT($C$11)*NORMSINV($B339)+SQRT(1-AC$9^2*$C$11)*NORMSINV(AB339))&lt;AC$8,AC$5+SQRT(NORMSDIST(AC$9*SQRT($C$11)*NORMSINV($B339)+SQRT(1-AC$9^2*$C$11)*NORMSINV(AB339))*(AC$7-AC$5)*(AC$6-AC$5)),AC$7-SQRT((1-NORMSDIST(AC$9*SQRT($C$11)*NORMSINV($B339)+SQRT(1-AC$9^2*$C$11)*NORMSINV(AB339)))*(AC$7-AC$5)*(AC$7-AC$6))))</f>
        <v>8.93805652782397</v>
      </c>
      <c r="AD339" s="2" t="n">
        <f aca="false">Entrées!$C$8*(1+E339)</f>
        <v>7422.76657613479</v>
      </c>
      <c r="AE339" s="2" t="n">
        <f aca="false">I339*Hypothèses!$J$24/12/Hypothèses!$J$19</f>
        <v>93.6575506998241</v>
      </c>
      <c r="AF339" s="2" t="n">
        <f aca="false">Entrées!$C$36*S339*1000</f>
        <v>102.328978972689</v>
      </c>
      <c r="AG339" s="2" t="n">
        <f aca="false">-AF339/W339</f>
        <v>-11.4050876636916</v>
      </c>
      <c r="AH339" s="2" t="n">
        <f aca="false">AD339+AE339+AG339</f>
        <v>7505.01903917092</v>
      </c>
      <c r="AI339" s="2" t="n">
        <f aca="false">Entrées!$C$16-M339+Hypothèses!$J$22*1000-AF339+Hypothèses!$J$23</f>
        <v>22952.6349877646</v>
      </c>
      <c r="AJ339" s="2" t="n">
        <f aca="false">AI339/AH339</f>
        <v>3.05830469822502</v>
      </c>
      <c r="AK339" s="2" t="n">
        <f aca="false">AI339/(AH339+I339*(12-Hypothèses!$J$24)/12/Hypothèses!$J$19)</f>
        <v>3.03128443030874</v>
      </c>
      <c r="AL339" s="2" t="n">
        <f aca="false">(AD339+AG339+I339/Hypothèses!$J$19)*(1+G339)</f>
        <v>7921.87537206313</v>
      </c>
      <c r="AM339" s="2" t="n">
        <f aca="false">Entrées!$C$54*K339/Hypothèses!$J$19</f>
        <v>16.8899331200599</v>
      </c>
      <c r="AN339" s="2" t="n">
        <f aca="false">Y339*1000/AC339</f>
        <v>77.6571310658345</v>
      </c>
      <c r="AO339" s="2" t="n">
        <f aca="false">(Entrées!$C$36*(1-S339)+MAX(0,Entrées!$C$30-Entrées!$C$35-Entrées!$C$36)*U339)*1000</f>
        <v>457.119968411356</v>
      </c>
      <c r="AP339" s="2" t="n">
        <f aca="false">-AO339/W339</f>
        <v>-50.9483566131043</v>
      </c>
      <c r="AQ339" s="2" t="n">
        <f aca="false">AL339+AM339+AN339+AP339</f>
        <v>7965.47407963592</v>
      </c>
      <c r="AR339" s="2" t="n">
        <f aca="false">O339*AQ339-Hypothèses!$J$25/Hypothèses!$J$19</f>
        <v>1339.73353957554</v>
      </c>
      <c r="AS339" s="2" t="n">
        <f aca="false">Entrées!$C$79*(1+Q339)+Hypothèses!$J$20</f>
        <v>1477.88578913256</v>
      </c>
      <c r="AT339" s="2" t="n">
        <f aca="false">AI339-AR339+AS339+Y339*1000-AO339+Hypothèses!$J$23</f>
        <v>23327.7710961654</v>
      </c>
      <c r="AU339" s="2" t="n">
        <f aca="false">AT339/AQ339</f>
        <v>2.92861050867064</v>
      </c>
      <c r="AV339" s="2" t="n">
        <f aca="false">Hypothèses!$J$26*AQ339-AT339</f>
        <v>568.651142742416</v>
      </c>
      <c r="AW339" s="2" t="n">
        <f aca="false">IF(AC339&gt;Hypothèses!$J$26,MAX(0,AV339)/(1-Hypothèses!$J$26/AC339),0)</f>
        <v>855.942686740634</v>
      </c>
      <c r="AX339" s="2" t="n">
        <f aca="false">AQ339-Entrées!$C$17*1000</f>
        <v>-34.5259203640781</v>
      </c>
      <c r="AY339" s="2" t="n">
        <f aca="false">AI339+(Entrées!$C$244-Entrées!$C$13)</f>
        <v>28699.6349877646</v>
      </c>
      <c r="AZ339" s="2" t="n">
        <f aca="false">AA339*AH339</f>
        <v>5419.60370493566</v>
      </c>
      <c r="BA339" s="2" t="n">
        <f aca="false">AZ339/AY339</f>
        <v>0.18883876771416</v>
      </c>
      <c r="BB339" s="2" t="n">
        <f aca="false">AZ339/(Entrées!$C$151/100)-AY339</f>
        <v>1409.27448410013</v>
      </c>
      <c r="BC339" s="2" t="n">
        <f aca="false">AT339+(Entrées!$C$244-Entrées!$C$13)</f>
        <v>29074.7710961654</v>
      </c>
      <c r="BD339" s="2" t="n">
        <f aca="false">AA339*AQ339</f>
        <v>5752.11236750343</v>
      </c>
      <c r="BE339" s="2" t="n">
        <f aca="false">BD339/BC339</f>
        <v>0.197838612330883</v>
      </c>
      <c r="BF339" s="2" t="n">
        <f aca="false">BD339/(Entrées!$C$151/100)-BC339</f>
        <v>2881.40872329816</v>
      </c>
      <c r="BG339" s="2" t="n">
        <f aca="false">MIN(AV339,BF339)</f>
        <v>568.651142742416</v>
      </c>
      <c r="BH339" s="2" t="n">
        <f aca="false">IF(AC339&gt;Hypothèses!$J$26,MAX(0,BG339)/(1-Hypothèses!$J$26/AC339),0)</f>
        <v>855.942686740634</v>
      </c>
    </row>
    <row r="340" customFormat="false" ht="15" hidden="false" customHeight="false" outlineLevel="0" collapsed="false">
      <c r="A340" s="2" t="n">
        <v>325</v>
      </c>
      <c r="B340" s="2" t="n">
        <v>0.359214712</v>
      </c>
      <c r="C340" s="2"/>
      <c r="D340" s="2" t="n">
        <v>0.239675161</v>
      </c>
      <c r="E340" s="2" t="n">
        <f aca="false">IF(E$7=E$5,E$6,IF(NORMSDIST(E$9*SQRT($C$11)*NORMSINV($B340)+SQRT(1-E$9^2*$C$11)*NORMSINV(D340))&lt;E$8,E$5+SQRT(NORMSDIST(E$9*SQRT($C$11)*NORMSINV($B340)+SQRT(1-E$9^2*$C$11)*NORMSINV(D340))*(E$7-E$5)*(E$6-E$5)),E$7-SQRT((1-NORMSDIST(E$9*SQRT($C$11)*NORMSINV($B340)+SQRT(1-E$9^2*$C$11)*NORMSINV(D340)))*(E$7-E$5)*(E$7-E$6))))</f>
        <v>0.0533082492127253</v>
      </c>
      <c r="F340" s="2" t="n">
        <v>0.043476911</v>
      </c>
      <c r="G340" s="2" t="n">
        <f aca="false">IF(G$7=G$5,G$6,IF(NORMSDIST(G$9*SQRT($C$11)*NORMSINV($B340)+SQRT(1-G$9^2*$C$11)*NORMSINV(F340))&lt;G$8,G$5+SQRT(NORMSDIST(G$9*SQRT($C$11)*NORMSINV($B340)+SQRT(1-G$9^2*$C$11)*NORMSINV(F340))*(G$7-G$5)*(G$6-G$5)),G$7-SQRT((1-NORMSDIST(G$9*SQRT($C$11)*NORMSINV($B340)+SQRT(1-G$9^2*$C$11)*NORMSINV(F340)))*(G$7-G$5)*(G$7-G$6))))</f>
        <v>0.045200625469693</v>
      </c>
      <c r="H340" s="2" t="n">
        <v>0.428597645</v>
      </c>
      <c r="I340" s="2" t="n">
        <f aca="false">IF(I$7=I$5,I$6,IF(NORMSDIST(I$9*SQRT($C$11)*NORMSINV($B340)+SQRT(1-I$9^2*$C$11)*NORMSINV(H340))&lt;I$8,I$5+SQRT(NORMSDIST(I$9*SQRT($C$11)*NORMSINV($B340)+SQRT(1-I$9^2*$C$11)*NORMSINV(H340))*(I$7-I$5)*(I$6-I$5)),I$7-SQRT((1-NORMSDIST(I$9*SQRT($C$11)*NORMSINV($B340)+SQRT(1-I$9^2*$C$11)*NORMSINV(H340)))*(I$7-I$5)*(I$7-I$6))))</f>
        <v>196.891463607971</v>
      </c>
      <c r="J340" s="2" t="n">
        <v>0.356737826</v>
      </c>
      <c r="K340" s="2" t="n">
        <f aca="false">IF(K$7=K$5,K$6,IF(NORMSDIST(K$9*SQRT($C$11)*NORMSINV($B340)+SQRT(1-K$9^2*$C$11)*NORMSINV(J340))&lt;K$8,K$5+SQRT(NORMSDIST(K$9*SQRT($C$11)*NORMSINV($B340)+SQRT(1-K$9^2*$C$11)*NORMSINV(J340))*(K$7-K$5)*(K$6-K$5)),K$7-SQRT((1-NORMSDIST(K$9*SQRT($C$11)*NORMSINV($B340)+SQRT(1-K$9^2*$C$11)*NORMSINV(J340)))*(K$7-K$5)*(K$7-K$6))))</f>
        <v>0.194988284735499</v>
      </c>
      <c r="L340" s="2" t="n">
        <v>0.579644127</v>
      </c>
      <c r="M340" s="2" t="n">
        <f aca="false">IF(M$7=M$5,M$6,IF(NORMSDIST(M$9*SQRT($C$11)*NORMSINV($B340)+SQRT(1-M$9^2*$C$11)*NORMSINV(L340))&lt;M$8,M$5+SQRT(NORMSDIST(M$9*SQRT($C$11)*NORMSINV($B340)+SQRT(1-M$9^2*$C$11)*NORMSINV(L340))*(M$7-M$5)*(M$6-M$5)),M$7-SQRT((1-NORMSDIST(M$9*SQRT($C$11)*NORMSINV($B340)+SQRT(1-M$9^2*$C$11)*NORMSINV(L340)))*(M$7-M$5)*(M$7-M$6))))</f>
        <v>1577.09273788998</v>
      </c>
      <c r="N340" s="2" t="n">
        <v>0.285171031</v>
      </c>
      <c r="O340" s="2" t="n">
        <f aca="false">IF(O$7=O$5,O$6,IF(NORMSDIST(O$9*SQRT($C$11)*NORMSINV($B340)+SQRT(1-O$9^2*$C$11)*NORMSINV(N340))&lt;O$8,O$5+SQRT(NORMSDIST(O$9*SQRT($C$11)*NORMSINV($B340)+SQRT(1-O$9^2*$C$11)*NORMSINV(N340))*(O$7-O$5)*(O$6-O$5)),O$7-SQRT((1-NORMSDIST(O$9*SQRT($C$11)*NORMSINV($B340)+SQRT(1-O$9^2*$C$11)*NORMSINV(N340)))*(O$7-O$5)*(O$7-O$6))))</f>
        <v>0.159021742782377</v>
      </c>
      <c r="P340" s="2" t="n">
        <v>0.906967521</v>
      </c>
      <c r="Q340" s="2" t="n">
        <f aca="false">IF(Q$7=Q$5,Q$6,IF(NORMSDIST(Q$9*SQRT($C$11)*NORMSINV($B340)+SQRT(1-Q$9^2*$C$11)*NORMSINV(P340))&lt;Q$8,Q$5+SQRT(NORMSDIST(Q$9*SQRT($C$11)*NORMSINV($B340)+SQRT(1-Q$9^2*$C$11)*NORMSINV(P340))*(Q$7-Q$5)*(Q$6-Q$5)),Q$7-SQRT((1-NORMSDIST(Q$9*SQRT($C$11)*NORMSINV($B340)+SQRT(1-Q$9^2*$C$11)*NORMSINV(P340)))*(Q$7-Q$5)*(Q$7-Q$6))))</f>
        <v>0.102745900985563</v>
      </c>
      <c r="R340" s="2" t="n">
        <v>0.145483671</v>
      </c>
      <c r="S340" s="2" t="n">
        <f aca="false">IF(S$7=S$5,S$6,IF(NORMSDIST(S$9*SQRT($C$11)*NORMSINV($B340)+SQRT(1-S$9^2*$C$11)*NORMSINV(R340))&lt;S$8,S$5+SQRT(NORMSDIST(S$9*SQRT($C$11)*NORMSINV($B340)+SQRT(1-S$9^2*$C$11)*NORMSINV(R340))*(S$7-S$5)*(S$6-S$5)),S$7-SQRT((1-NORMSDIST(S$9*SQRT($C$11)*NORMSINV($B340)+SQRT(1-S$9^2*$C$11)*NORMSINV(R340)))*(S$7-S$5)*(S$7-S$6))))</f>
        <v>0.271824895481699</v>
      </c>
      <c r="T340" s="2" t="n">
        <v>0.197873703</v>
      </c>
      <c r="U340" s="2" t="n">
        <f aca="false">IF(U$7=U$5,U$6,IF(NORMSDIST(U$9*SQRT($C$11)*NORMSINV($B340)+SQRT(1-U$9^2*$C$11)*NORMSINV(T340))&lt;U$8,U$5+SQRT(NORMSDIST(U$9*SQRT($C$11)*NORMSINV($B340)+SQRT(1-U$9^2*$C$11)*NORMSINV(T340))*(U$7-U$5)*(U$6-U$5)),U$7-SQRT((1-NORMSDIST(U$9*SQRT($C$11)*NORMSINV($B340)+SQRT(1-U$9^2*$C$11)*NORMSINV(T340)))*(U$7-U$5)*(U$7-U$6))))</f>
        <v>0.306469813368525</v>
      </c>
      <c r="V340" s="2" t="n">
        <v>0.163003443</v>
      </c>
      <c r="W340" s="2" t="n">
        <f aca="false">IF(W$7=W$5,W$6,IF(NORMSDIST(W$9*SQRT($C$11)*NORMSINV($B340)+SQRT(1-W$9^2*$C$11)*NORMSINV(V340))&lt;W$8,W$5+SQRT(NORMSDIST(W$9*SQRT($C$11)*NORMSINV($B340)+SQRT(1-W$9^2*$C$11)*NORMSINV(V340))*(W$7-W$5)*(W$6-W$5)),W$7-SQRT((1-NORMSDIST(W$9*SQRT($C$11)*NORMSINV($B340)+SQRT(1-W$9^2*$C$11)*NORMSINV(V340)))*(W$7-W$5)*(W$7-W$6))))</f>
        <v>9.13620896028647</v>
      </c>
      <c r="X340" s="2" t="n">
        <v>0.082433546</v>
      </c>
      <c r="Y340" s="2" t="n">
        <f aca="false">IF(Y$7=Y$5,Y$6,IF(NORMSDIST(Y$9*SQRT($C$11)*NORMSINV($B340)+SQRT(1-Y$9^2*$C$11)*NORMSINV(X340))&lt;Y$8,Y$5+SQRT(NORMSDIST(Y$9*SQRT($C$11)*NORMSINV($B340)+SQRT(1-Y$9^2*$C$11)*NORMSINV(X340))*(Y$7-Y$5)*(Y$6-Y$5)),Y$7-SQRT((1-NORMSDIST(Y$9*SQRT($C$11)*NORMSINV($B340)+SQRT(1-Y$9^2*$C$11)*NORMSINV(X340)))*(Y$7-Y$5)*(Y$7-Y$6))))</f>
        <v>0.203019144417466</v>
      </c>
      <c r="Z340" s="2" t="n">
        <v>0.471185564</v>
      </c>
      <c r="AA340" s="2" t="n">
        <f aca="false">IF(AA$7=AA$5,AA$6,IF(NORMSDIST(AA$9*SQRT($C$11)*NORMSINV($B340)+SQRT(1-AA$9^2*$C$11)*NORMSINV(Z340))&lt;AA$8,AA$5+SQRT(NORMSDIST(AA$9*SQRT($C$11)*NORMSINV($B340)+SQRT(1-AA$9^2*$C$11)*NORMSINV(Z340))*(AA$7-AA$5)*(AA$6-AA$5)),AA$7-SQRT((1-NORMSDIST(AA$9*SQRT($C$11)*NORMSINV($B340)+SQRT(1-AA$9^2*$C$11)*NORMSINV(Z340)))*(AA$7-AA$5)*(AA$7-AA$6))))</f>
        <v>0.724160407011637</v>
      </c>
      <c r="AB340" s="2" t="n">
        <v>0.412368289</v>
      </c>
      <c r="AC340" s="2" t="n">
        <f aca="false">IF(AC$7=AC$5,AC$6,IF(NORMSDIST(AC$9*SQRT($C$11)*NORMSINV($B340)+SQRT(1-AC$9^2*$C$11)*NORMSINV(AB340))&lt;AC$8,AC$5+SQRT(NORMSDIST(AC$9*SQRT($C$11)*NORMSINV($B340)+SQRT(1-AC$9^2*$C$11)*NORMSINV(AB340))*(AC$7-AC$5)*(AC$6-AC$5)),AC$7-SQRT((1-NORMSDIST(AC$9*SQRT($C$11)*NORMSINV($B340)+SQRT(1-AC$9^2*$C$11)*NORMSINV(AB340)))*(AC$7-AC$5)*(AC$7-AC$6))))</f>
        <v>9.12583359366668</v>
      </c>
      <c r="AD340" s="2" t="n">
        <f aca="false">Entrées!$C$8*(1+E340)</f>
        <v>7425.82315694971</v>
      </c>
      <c r="AE340" s="2" t="n">
        <f aca="false">I340*Hypothèses!$J$24/12/Hypothèses!$J$19</f>
        <v>97.6772249202696</v>
      </c>
      <c r="AF340" s="2" t="n">
        <f aca="false">Entrées!$C$36*S340*1000</f>
        <v>135.91244774085</v>
      </c>
      <c r="AG340" s="2" t="n">
        <f aca="false">-AF340/W340</f>
        <v>-14.8762411555644</v>
      </c>
      <c r="AH340" s="2" t="n">
        <f aca="false">AD340+AE340+AG340</f>
        <v>7508.62414071442</v>
      </c>
      <c r="AI340" s="2" t="n">
        <f aca="false">Entrées!$C$16-M340+Hypothèses!$J$22*1000-AF340+Hypothèses!$J$23</f>
        <v>22834.9948143692</v>
      </c>
      <c r="AJ340" s="2" t="n">
        <f aca="false">AI340/AH340</f>
        <v>3.04116897935399</v>
      </c>
      <c r="AK340" s="2" t="n">
        <f aca="false">AI340/(AH340+I340*(12-Hypothèses!$J$24)/12/Hypothèses!$J$19)</f>
        <v>3.01317087215965</v>
      </c>
      <c r="AL340" s="2" t="n">
        <f aca="false">(AD340+AG340+I340/Hypothèses!$J$19)*(1+G340)</f>
        <v>7920.94171727784</v>
      </c>
      <c r="AM340" s="2" t="n">
        <f aca="false">Entrées!$C$54*K340/Hypothèses!$J$19</f>
        <v>19.8993731601594</v>
      </c>
      <c r="AN340" s="2" t="n">
        <f aca="false">Y340*1000/AC340</f>
        <v>22.2466410694099</v>
      </c>
      <c r="AO340" s="2" t="n">
        <f aca="false">(Entrées!$C$36*(1-S340)+MAX(0,Entrées!$C$30-Entrées!$C$35-Entrées!$C$36)*U340)*1000</f>
        <v>793.145290975086</v>
      </c>
      <c r="AP340" s="2" t="n">
        <f aca="false">-AO340/W340</f>
        <v>-86.8133921216943</v>
      </c>
      <c r="AQ340" s="2" t="n">
        <f aca="false">AL340+AM340+AN340+AP340</f>
        <v>7876.27433938571</v>
      </c>
      <c r="AR340" s="2" t="n">
        <f aca="false">O340*AQ340-Hypothèses!$J$25/Hypothèses!$J$19</f>
        <v>1233.36370981961</v>
      </c>
      <c r="AS340" s="2" t="n">
        <f aca="false">Entrées!$C$79*(1+Q340)+Hypothèses!$J$20</f>
        <v>1506.91774518313</v>
      </c>
      <c r="AT340" s="2" t="n">
        <f aca="false">AI340-AR340+AS340+Y340*1000-AO340+Hypothèses!$J$23</f>
        <v>22518.4227031751</v>
      </c>
      <c r="AU340" s="2" t="n">
        <f aca="false">AT340/AQ340</f>
        <v>2.85901959897087</v>
      </c>
      <c r="AV340" s="2" t="n">
        <f aca="false">Hypothèses!$J$26*AQ340-AT340</f>
        <v>1110.40031498206</v>
      </c>
      <c r="AW340" s="2" t="n">
        <f aca="false">IF(AC340&gt;Hypothèses!$J$26,MAX(0,AV340)/(1-Hypothèses!$J$26/AC340),0)</f>
        <v>1654.1958481141</v>
      </c>
      <c r="AX340" s="2" t="n">
        <f aca="false">AQ340-Entrées!$C$17*1000</f>
        <v>-123.725660614286</v>
      </c>
      <c r="AY340" s="2" t="n">
        <f aca="false">AI340+(Entrées!$C$244-Entrées!$C$13)</f>
        <v>28581.9948143692</v>
      </c>
      <c r="AZ340" s="2" t="n">
        <f aca="false">AA340*AH340</f>
        <v>5437.44831383716</v>
      </c>
      <c r="BA340" s="2" t="n">
        <f aca="false">AZ340/AY340</f>
        <v>0.190240336587828</v>
      </c>
      <c r="BB340" s="2" t="n">
        <f aca="false">AZ340/(Entrées!$C$151/100)-AY340</f>
        <v>1626.05137361504</v>
      </c>
      <c r="BC340" s="2" t="n">
        <f aca="false">AT340+(Entrées!$C$244-Entrées!$C$13)</f>
        <v>28265.4227031751</v>
      </c>
      <c r="BD340" s="2" t="n">
        <f aca="false">AA340*AQ340</f>
        <v>5703.68603134487</v>
      </c>
      <c r="BE340" s="2" t="n">
        <f aca="false">BD340/BC340</f>
        <v>0.201790225861514</v>
      </c>
      <c r="BF340" s="2" t="n">
        <f aca="false">BD340/(Entrées!$C$151/100)-BC340</f>
        <v>3421.72191540754</v>
      </c>
      <c r="BG340" s="2" t="n">
        <f aca="false">MIN(AV340,BF340)</f>
        <v>1110.40031498206</v>
      </c>
      <c r="BH340" s="2" t="n">
        <f aca="false">IF(AC340&gt;Hypothèses!$J$26,MAX(0,BG340)/(1-Hypothèses!$J$26/AC340),0)</f>
        <v>1654.1958481141</v>
      </c>
    </row>
    <row r="341" customFormat="false" ht="15" hidden="false" customHeight="false" outlineLevel="0" collapsed="false">
      <c r="A341" s="2" t="n">
        <v>326</v>
      </c>
      <c r="B341" s="2" t="n">
        <v>0.264747069</v>
      </c>
      <c r="C341" s="2"/>
      <c r="D341" s="2" t="n">
        <v>0.685143946</v>
      </c>
      <c r="E341" s="2" t="n">
        <f aca="false">IF(E$7=E$5,E$6,IF(NORMSDIST(E$9*SQRT($C$11)*NORMSINV($B341)+SQRT(1-E$9^2*$C$11)*NORMSINV(D341))&lt;E$8,E$5+SQRT(NORMSDIST(E$9*SQRT($C$11)*NORMSINV($B341)+SQRT(1-E$9^2*$C$11)*NORMSINV(D341))*(E$7-E$5)*(E$6-E$5)),E$7-SQRT((1-NORMSDIST(E$9*SQRT($C$11)*NORMSINV($B341)+SQRT(1-E$9^2*$C$11)*NORMSINV(D341)))*(E$7-E$5)*(E$7-E$6))))</f>
        <v>0.0549514642932883</v>
      </c>
      <c r="F341" s="2" t="n">
        <v>0.574084675</v>
      </c>
      <c r="G341" s="2" t="n">
        <f aca="false">IF(G$7=G$5,G$6,IF(NORMSDIST(G$9*SQRT($C$11)*NORMSINV($B341)+SQRT(1-G$9^2*$C$11)*NORMSINV(F341))&lt;G$8,G$5+SQRT(NORMSDIST(G$9*SQRT($C$11)*NORMSINV($B341)+SQRT(1-G$9^2*$C$11)*NORMSINV(F341))*(G$7-G$5)*(G$6-G$5)),G$7-SQRT((1-NORMSDIST(G$9*SQRT($C$11)*NORMSINV($B341)+SQRT(1-G$9^2*$C$11)*NORMSINV(F341)))*(G$7-G$5)*(G$7-G$6))))</f>
        <v>0.0534187035675346</v>
      </c>
      <c r="H341" s="2" t="n">
        <v>0.60289101</v>
      </c>
      <c r="I341" s="2" t="n">
        <f aca="false">IF(I$7=I$5,I$6,IF(NORMSDIST(I$9*SQRT($C$11)*NORMSINV($B341)+SQRT(1-I$9^2*$C$11)*NORMSINV(H341))&lt;I$8,I$5+SQRT(NORMSDIST(I$9*SQRT($C$11)*NORMSINV($B341)+SQRT(1-I$9^2*$C$11)*NORMSINV(H341))*(I$7-I$5)*(I$6-I$5)),I$7-SQRT((1-NORMSDIST(I$9*SQRT($C$11)*NORMSINV($B341)+SQRT(1-I$9^2*$C$11)*NORMSINV(H341)))*(I$7-I$5)*(I$7-I$6))))</f>
        <v>198.38368020996</v>
      </c>
      <c r="J341" s="2" t="n">
        <v>0.765817563</v>
      </c>
      <c r="K341" s="2" t="n">
        <f aca="false">IF(K$7=K$5,K$6,IF(NORMSDIST(K$9*SQRT($C$11)*NORMSINV($B341)+SQRT(1-K$9^2*$C$11)*NORMSINV(J341))&lt;K$8,K$5+SQRT(NORMSDIST(K$9*SQRT($C$11)*NORMSINV($B341)+SQRT(1-K$9^2*$C$11)*NORMSINV(J341))*(K$7-K$5)*(K$6-K$5)),K$7-SQRT((1-NORMSDIST(K$9*SQRT($C$11)*NORMSINV($B341)+SQRT(1-K$9^2*$C$11)*NORMSINV(J341)))*(K$7-K$5)*(K$7-K$6))))</f>
        <v>0.266853483084214</v>
      </c>
      <c r="L341" s="2" t="n">
        <v>0.546368315</v>
      </c>
      <c r="M341" s="2" t="n">
        <f aca="false">IF(M$7=M$5,M$6,IF(NORMSDIST(M$9*SQRT($C$11)*NORMSINV($B341)+SQRT(1-M$9^2*$C$11)*NORMSINV(L341))&lt;M$8,M$5+SQRT(NORMSDIST(M$9*SQRT($C$11)*NORMSINV($B341)+SQRT(1-M$9^2*$C$11)*NORMSINV(L341))*(M$7-M$5)*(M$6-M$5)),M$7-SQRT((1-NORMSDIST(M$9*SQRT($C$11)*NORMSINV($B341)+SQRT(1-M$9^2*$C$11)*NORMSINV(L341)))*(M$7-M$5)*(M$7-M$6))))</f>
        <v>1548.93202555378</v>
      </c>
      <c r="N341" s="2" t="n">
        <v>0.467668511</v>
      </c>
      <c r="O341" s="2" t="n">
        <f aca="false">IF(O$7=O$5,O$6,IF(NORMSDIST(O$9*SQRT($C$11)*NORMSINV($B341)+SQRT(1-O$9^2*$C$11)*NORMSINV(N341))&lt;O$8,O$5+SQRT(NORMSDIST(O$9*SQRT($C$11)*NORMSINV($B341)+SQRT(1-O$9^2*$C$11)*NORMSINV(N341))*(O$7-O$5)*(O$6-O$5)),O$7-SQRT((1-NORMSDIST(O$9*SQRT($C$11)*NORMSINV($B341)+SQRT(1-O$9^2*$C$11)*NORMSINV(N341)))*(O$7-O$5)*(O$7-O$6))))</f>
        <v>0.161513531521854</v>
      </c>
      <c r="P341" s="2" t="n">
        <v>0.726076893</v>
      </c>
      <c r="Q341" s="2" t="n">
        <f aca="false">IF(Q$7=Q$5,Q$6,IF(NORMSDIST(Q$9*SQRT($C$11)*NORMSINV($B341)+SQRT(1-Q$9^2*$C$11)*NORMSINV(P341))&lt;Q$8,Q$5+SQRT(NORMSDIST(Q$9*SQRT($C$11)*NORMSINV($B341)+SQRT(1-Q$9^2*$C$11)*NORMSINV(P341))*(Q$7-Q$5)*(Q$6-Q$5)),Q$7-SQRT((1-NORMSDIST(Q$9*SQRT($C$11)*NORMSINV($B341)+SQRT(1-Q$9^2*$C$11)*NORMSINV(P341)))*(Q$7-Q$5)*(Q$7-Q$6))))</f>
        <v>0.0903933463153973</v>
      </c>
      <c r="R341" s="2" t="n">
        <v>0.689980405</v>
      </c>
      <c r="S341" s="2" t="n">
        <f aca="false">IF(S$7=S$5,S$6,IF(NORMSDIST(S$9*SQRT($C$11)*NORMSINV($B341)+SQRT(1-S$9^2*$C$11)*NORMSINV(R341))&lt;S$8,S$5+SQRT(NORMSDIST(S$9*SQRT($C$11)*NORMSINV($B341)+SQRT(1-S$9^2*$C$11)*NORMSINV(R341))*(S$7-S$5)*(S$6-S$5)),S$7-SQRT((1-NORMSDIST(S$9*SQRT($C$11)*NORMSINV($B341)+SQRT(1-S$9^2*$C$11)*NORMSINV(R341)))*(S$7-S$5)*(S$7-S$6))))</f>
        <v>0.49727318342602</v>
      </c>
      <c r="T341" s="2" t="n">
        <v>0.682384681</v>
      </c>
      <c r="U341" s="2" t="n">
        <f aca="false">IF(U$7=U$5,U$6,IF(NORMSDIST(U$9*SQRT($C$11)*NORMSINV($B341)+SQRT(1-U$9^2*$C$11)*NORMSINV(T341))&lt;U$8,U$5+SQRT(NORMSDIST(U$9*SQRT($C$11)*NORMSINV($B341)+SQRT(1-U$9^2*$C$11)*NORMSINV(T341))*(U$7-U$5)*(U$6-U$5)),U$7-SQRT((1-NORMSDIST(U$9*SQRT($C$11)*NORMSINV($B341)+SQRT(1-U$9^2*$C$11)*NORMSINV(T341)))*(U$7-U$5)*(U$7-U$6))))</f>
        <v>0.493935514325114</v>
      </c>
      <c r="V341" s="2" t="n">
        <v>0.816482835</v>
      </c>
      <c r="W341" s="2" t="n">
        <f aca="false">IF(W$7=W$5,W$6,IF(NORMSDIST(W$9*SQRT($C$11)*NORMSINV($B341)+SQRT(1-W$9^2*$C$11)*NORMSINV(V341))&lt;W$8,W$5+SQRT(NORMSDIST(W$9*SQRT($C$11)*NORMSINV($B341)+SQRT(1-W$9^2*$C$11)*NORMSINV(V341))*(W$7-W$5)*(W$6-W$5)),W$7-SQRT((1-NORMSDIST(W$9*SQRT($C$11)*NORMSINV($B341)+SQRT(1-W$9^2*$C$11)*NORMSINV(V341)))*(W$7-W$5)*(W$7-W$6))))</f>
        <v>10.2525671104576</v>
      </c>
      <c r="X341" s="2" t="n">
        <v>0.269887848</v>
      </c>
      <c r="Y341" s="2" t="n">
        <f aca="false">IF(Y$7=Y$5,Y$6,IF(NORMSDIST(Y$9*SQRT($C$11)*NORMSINV($B341)+SQRT(1-Y$9^2*$C$11)*NORMSINV(X341))&lt;Y$8,Y$5+SQRT(NORMSDIST(Y$9*SQRT($C$11)*NORMSINV($B341)+SQRT(1-Y$9^2*$C$11)*NORMSINV(X341))*(Y$7-Y$5)*(Y$6-Y$5)),Y$7-SQRT((1-NORMSDIST(Y$9*SQRT($C$11)*NORMSINV($B341)+SQRT(1-Y$9^2*$C$11)*NORMSINV(X341)))*(Y$7-Y$5)*(Y$7-Y$6))))</f>
        <v>0.367347143721031</v>
      </c>
      <c r="Z341" s="2" t="n">
        <v>0.673456484</v>
      </c>
      <c r="AA341" s="2" t="n">
        <f aca="false">IF(AA$7=AA$5,AA$6,IF(NORMSDIST(AA$9*SQRT($C$11)*NORMSINV($B341)+SQRT(1-AA$9^2*$C$11)*NORMSINV(Z341))&lt;AA$8,AA$5+SQRT(NORMSDIST(AA$9*SQRT($C$11)*NORMSINV($B341)+SQRT(1-AA$9^2*$C$11)*NORMSINV(Z341))*(AA$7-AA$5)*(AA$6-AA$5)),AA$7-SQRT((1-NORMSDIST(AA$9*SQRT($C$11)*NORMSINV($B341)+SQRT(1-AA$9^2*$C$11)*NORMSINV(Z341)))*(AA$7-AA$5)*(AA$7-AA$6))))</f>
        <v>0.727398613146132</v>
      </c>
      <c r="AB341" s="2" t="n">
        <v>0.250781988</v>
      </c>
      <c r="AC341" s="2" t="n">
        <f aca="false">IF(AC$7=AC$5,AC$6,IF(NORMSDIST(AC$9*SQRT($C$11)*NORMSINV($B341)+SQRT(1-AC$9^2*$C$11)*NORMSINV(AB341))&lt;AC$8,AC$5+SQRT(NORMSDIST(AC$9*SQRT($C$11)*NORMSINV($B341)+SQRT(1-AC$9^2*$C$11)*NORMSINV(AB341))*(AC$7-AC$5)*(AC$6-AC$5)),AC$7-SQRT((1-NORMSDIST(AC$9*SQRT($C$11)*NORMSINV($B341)+SQRT(1-AC$9^2*$C$11)*NORMSINV(AB341)))*(AC$7-AC$5)*(AC$7-AC$6))))</f>
        <v>8.64447554812056</v>
      </c>
      <c r="AD341" s="2" t="n">
        <f aca="false">Entrées!$C$8*(1+E341)</f>
        <v>7437.40782326768</v>
      </c>
      <c r="AE341" s="2" t="n">
        <f aca="false">I341*Hypothèses!$J$24/12/Hypothèses!$J$19</f>
        <v>98.4175088004914</v>
      </c>
      <c r="AF341" s="2" t="n">
        <f aca="false">Entrées!$C$36*S341*1000</f>
        <v>248.63659171301</v>
      </c>
      <c r="AG341" s="2" t="n">
        <f aca="false">-AF341/W341</f>
        <v>-24.2511547629276</v>
      </c>
      <c r="AH341" s="2" t="n">
        <f aca="false">AD341+AE341+AG341</f>
        <v>7511.57417730525</v>
      </c>
      <c r="AI341" s="2" t="n">
        <f aca="false">Entrées!$C$16-M341+Hypothèses!$J$22*1000-AF341+Hypothèses!$J$23</f>
        <v>22750.4313827332</v>
      </c>
      <c r="AJ341" s="2" t="n">
        <f aca="false">AI341/AH341</f>
        <v>3.02871686356625</v>
      </c>
      <c r="AK341" s="2" t="n">
        <f aca="false">AI341/(AH341+I341*(12-Hypothèses!$J$24)/12/Hypothèses!$J$19)</f>
        <v>3.00063496044902</v>
      </c>
      <c r="AL341" s="2" t="n">
        <f aca="false">(AD341+AG341+I341/Hypothèses!$J$19)*(1+G341)</f>
        <v>7986.88619198609</v>
      </c>
      <c r="AM341" s="2" t="n">
        <f aca="false">Entrées!$C$54*K341/Hypothèses!$J$19</f>
        <v>27.2335183941146</v>
      </c>
      <c r="AN341" s="2" t="n">
        <f aca="false">Y341*1000/AC341</f>
        <v>42.495017965653</v>
      </c>
      <c r="AO341" s="2" t="n">
        <f aca="false">(Entrées!$C$36*(1-S341)+MAX(0,Entrées!$C$30-Entrées!$C$35-Entrées!$C$36)*U341)*1000</f>
        <v>942.873128342149</v>
      </c>
      <c r="AP341" s="2" t="n">
        <f aca="false">-AO341/W341</f>
        <v>-91.9645897641007</v>
      </c>
      <c r="AQ341" s="2" t="n">
        <f aca="false">AL341+AM341+AN341+AP341</f>
        <v>7964.65013858176</v>
      </c>
      <c r="AR341" s="2" t="n">
        <f aca="false">O341*AQ341-Hypothèses!$J$25/Hypothèses!$J$19</f>
        <v>1267.26360895674</v>
      </c>
      <c r="AS341" s="2" t="n">
        <f aca="false">Entrées!$C$79*(1+Q341)+Hypothèses!$J$20</f>
        <v>1493.34228760062</v>
      </c>
      <c r="AT341" s="2" t="n">
        <f aca="false">AI341-AR341+AS341+Y341*1000-AO341+Hypothèses!$J$23</f>
        <v>22400.984076756</v>
      </c>
      <c r="AU341" s="2" t="n">
        <f aca="false">AT341/AQ341</f>
        <v>2.81255092025233</v>
      </c>
      <c r="AV341" s="2" t="n">
        <f aca="false">Hypothèses!$J$26*AQ341-AT341</f>
        <v>1492.9663389893</v>
      </c>
      <c r="AW341" s="2" t="n">
        <f aca="false">IF(AC341&gt;Hypothèses!$J$26,MAX(0,AV341)/(1-Hypothèses!$J$26/AC341),0)</f>
        <v>2286.46769775756</v>
      </c>
      <c r="AX341" s="2" t="n">
        <f aca="false">AQ341-Entrées!$C$17*1000</f>
        <v>-35.3498614182408</v>
      </c>
      <c r="AY341" s="2" t="n">
        <f aca="false">AI341+(Entrées!$C$244-Entrées!$C$13)</f>
        <v>28497.4313827332</v>
      </c>
      <c r="AZ341" s="2" t="n">
        <f aca="false">AA341*AH341</f>
        <v>5463.90863911613</v>
      </c>
      <c r="BA341" s="2" t="n">
        <f aca="false">AZ341/AY341</f>
        <v>0.191733372939245</v>
      </c>
      <c r="BB341" s="2" t="n">
        <f aca="false">AZ341/(Entrées!$C$151/100)-AY341</f>
        <v>1857.61661235641</v>
      </c>
      <c r="BC341" s="2" t="n">
        <f aca="false">AT341+(Entrées!$C$244-Entrées!$C$13)</f>
        <v>28147.984076756</v>
      </c>
      <c r="BD341" s="2" t="n">
        <f aca="false">AA341*AQ341</f>
        <v>5793.47546499852</v>
      </c>
      <c r="BE341" s="2" t="n">
        <f aca="false">BD341/BC341</f>
        <v>0.205822038594325</v>
      </c>
      <c r="BF341" s="2" t="n">
        <f aca="false">BD341/(Entrées!$C$151/100)-BC341</f>
        <v>4037.99072879134</v>
      </c>
      <c r="BG341" s="2" t="n">
        <f aca="false">MIN(AV341,BF341)</f>
        <v>1492.9663389893</v>
      </c>
      <c r="BH341" s="2" t="n">
        <f aca="false">IF(AC341&gt;Hypothèses!$J$26,MAX(0,BG341)/(1-Hypothèses!$J$26/AC341),0)</f>
        <v>2286.46769775756</v>
      </c>
    </row>
    <row r="342" customFormat="false" ht="15" hidden="false" customHeight="false" outlineLevel="0" collapsed="false">
      <c r="A342" s="2" t="n">
        <v>327</v>
      </c>
      <c r="B342" s="2" t="n">
        <v>0.942038826</v>
      </c>
      <c r="C342" s="2"/>
      <c r="D342" s="2" t="n">
        <v>0.118595968</v>
      </c>
      <c r="E342" s="2" t="n">
        <f aca="false">IF(E$7=E$5,E$6,IF(NORMSDIST(E$9*SQRT($C$11)*NORMSINV($B342)+SQRT(1-E$9^2*$C$11)*NORMSINV(D342))&lt;E$8,E$5+SQRT(NORMSDIST(E$9*SQRT($C$11)*NORMSINV($B342)+SQRT(1-E$9^2*$C$11)*NORMSINV(D342))*(E$7-E$5)*(E$6-E$5)),E$7-SQRT((1-NORMSDIST(E$9*SQRT($C$11)*NORMSINV($B342)+SQRT(1-E$9^2*$C$11)*NORMSINV(D342)))*(E$7-E$5)*(E$7-E$6))))</f>
        <v>0.0551593550899508</v>
      </c>
      <c r="F342" s="2" t="n">
        <v>0.082559687</v>
      </c>
      <c r="G342" s="2" t="n">
        <f aca="false">IF(G$7=G$5,G$6,IF(NORMSDIST(G$9*SQRT($C$11)*NORMSINV($B342)+SQRT(1-G$9^2*$C$11)*NORMSINV(F342))&lt;G$8,G$5+SQRT(NORMSDIST(G$9*SQRT($C$11)*NORMSINV($B342)+SQRT(1-G$9^2*$C$11)*NORMSINV(F342))*(G$7-G$5)*(G$6-G$5)),G$7-SQRT((1-NORMSDIST(G$9*SQRT($C$11)*NORMSINV($B342)+SQRT(1-G$9^2*$C$11)*NORMSINV(F342)))*(G$7-G$5)*(G$7-G$6))))</f>
        <v>0.0545084272041819</v>
      </c>
      <c r="H342" s="2" t="n">
        <v>0.061336253</v>
      </c>
      <c r="I342" s="2" t="n">
        <f aca="false">IF(I$7=I$5,I$6,IF(NORMSDIST(I$9*SQRT($C$11)*NORMSINV($B342)+SQRT(1-I$9^2*$C$11)*NORMSINV(H342))&lt;I$8,I$5+SQRT(NORMSDIST(I$9*SQRT($C$11)*NORMSINV($B342)+SQRT(1-I$9^2*$C$11)*NORMSINV(H342))*(I$7-I$5)*(I$6-I$5)),I$7-SQRT((1-NORMSDIST(I$9*SQRT($C$11)*NORMSINV($B342)+SQRT(1-I$9^2*$C$11)*NORMSINV(H342)))*(I$7-I$5)*(I$7-I$6))))</f>
        <v>198.334416578805</v>
      </c>
      <c r="J342" s="2" t="n">
        <v>0.15734989</v>
      </c>
      <c r="K342" s="2" t="n">
        <f aca="false">IF(K$7=K$5,K$6,IF(NORMSDIST(K$9*SQRT($C$11)*NORMSINV($B342)+SQRT(1-K$9^2*$C$11)*NORMSINV(J342))&lt;K$8,K$5+SQRT(NORMSDIST(K$9*SQRT($C$11)*NORMSINV($B342)+SQRT(1-K$9^2*$C$11)*NORMSINV(J342))*(K$7-K$5)*(K$6-K$5)),K$7-SQRT((1-NORMSDIST(K$9*SQRT($C$11)*NORMSINV($B342)+SQRT(1-K$9^2*$C$11)*NORMSINV(J342)))*(K$7-K$5)*(K$7-K$6))))</f>
        <v>0.272325685578908</v>
      </c>
      <c r="L342" s="2" t="n">
        <v>0.667780074</v>
      </c>
      <c r="M342" s="2" t="n">
        <f aca="false">IF(M$7=M$5,M$6,IF(NORMSDIST(M$9*SQRT($C$11)*NORMSINV($B342)+SQRT(1-M$9^2*$C$11)*NORMSINV(L342))&lt;M$8,M$5+SQRT(NORMSDIST(M$9*SQRT($C$11)*NORMSINV($B342)+SQRT(1-M$9^2*$C$11)*NORMSINV(L342))*(M$7-M$5)*(M$6-M$5)),M$7-SQRT((1-NORMSDIST(M$9*SQRT($C$11)*NORMSINV($B342)+SQRT(1-M$9^2*$C$11)*NORMSINV(L342)))*(M$7-M$5)*(M$7-M$6))))</f>
        <v>1706.45526220765</v>
      </c>
      <c r="N342" s="2" t="n">
        <v>0.803590386</v>
      </c>
      <c r="O342" s="2" t="n">
        <f aca="false">IF(O$7=O$5,O$6,IF(NORMSDIST(O$9*SQRT($C$11)*NORMSINV($B342)+SQRT(1-O$9^2*$C$11)*NORMSINV(N342))&lt;O$8,O$5+SQRT(NORMSDIST(O$9*SQRT($C$11)*NORMSINV($B342)+SQRT(1-O$9^2*$C$11)*NORMSINV(N342))*(O$7-O$5)*(O$6-O$5)),O$7-SQRT((1-NORMSDIST(O$9*SQRT($C$11)*NORMSINV($B342)+SQRT(1-O$9^2*$C$11)*NORMSINV(N342)))*(O$7-O$5)*(O$7-O$6))))</f>
        <v>0.182787236958975</v>
      </c>
      <c r="P342" s="2" t="n">
        <v>0.667589259</v>
      </c>
      <c r="Q342" s="2" t="n">
        <f aca="false">IF(Q$7=Q$5,Q$6,IF(NORMSDIST(Q$9*SQRT($C$11)*NORMSINV($B342)+SQRT(1-Q$9^2*$C$11)*NORMSINV(P342))&lt;Q$8,Q$5+SQRT(NORMSDIST(Q$9*SQRT($C$11)*NORMSINV($B342)+SQRT(1-Q$9^2*$C$11)*NORMSINV(P342))*(Q$7-Q$5)*(Q$6-Q$5)),Q$7-SQRT((1-NORMSDIST(Q$9*SQRT($C$11)*NORMSINV($B342)+SQRT(1-Q$9^2*$C$11)*NORMSINV(P342)))*(Q$7-Q$5)*(Q$7-Q$6))))</f>
        <v>0.0873853656896172</v>
      </c>
      <c r="R342" s="2" t="n">
        <v>0.015082827</v>
      </c>
      <c r="S342" s="2" t="n">
        <f aca="false">IF(S$7=S$5,S$6,IF(NORMSDIST(S$9*SQRT($C$11)*NORMSINV($B342)+SQRT(1-S$9^2*$C$11)*NORMSINV(R342))&lt;S$8,S$5+SQRT(NORMSDIST(S$9*SQRT($C$11)*NORMSINV($B342)+SQRT(1-S$9^2*$C$11)*NORMSINV(R342))*(S$7-S$5)*(S$6-S$5)),S$7-SQRT((1-NORMSDIST(S$9*SQRT($C$11)*NORMSINV($B342)+SQRT(1-S$9^2*$C$11)*NORMSINV(R342)))*(S$7-S$5)*(S$7-S$6))))</f>
        <v>0.351201741995657</v>
      </c>
      <c r="T342" s="2" t="n">
        <v>0.070273879</v>
      </c>
      <c r="U342" s="2" t="n">
        <f aca="false">IF(U$7=U$5,U$6,IF(NORMSDIST(U$9*SQRT($C$11)*NORMSINV($B342)+SQRT(1-U$9^2*$C$11)*NORMSINV(T342))&lt;U$8,U$5+SQRT(NORMSDIST(U$9*SQRT($C$11)*NORMSINV($B342)+SQRT(1-U$9^2*$C$11)*NORMSINV(T342))*(U$7-U$5)*(U$6-U$5)),U$7-SQRT((1-NORMSDIST(U$9*SQRT($C$11)*NORMSINV($B342)+SQRT(1-U$9^2*$C$11)*NORMSINV(T342)))*(U$7-U$5)*(U$7-U$6))))</f>
        <v>0.469819212339762</v>
      </c>
      <c r="V342" s="2" t="n">
        <v>0.037475842</v>
      </c>
      <c r="W342" s="2" t="n">
        <f aca="false">IF(W$7=W$5,W$6,IF(NORMSDIST(W$9*SQRT($C$11)*NORMSINV($B342)+SQRT(1-W$9^2*$C$11)*NORMSINV(V342))&lt;W$8,W$5+SQRT(NORMSDIST(W$9*SQRT($C$11)*NORMSINV($B342)+SQRT(1-W$9^2*$C$11)*NORMSINV(V342))*(W$7-W$5)*(W$6-W$5)),W$7-SQRT((1-NORMSDIST(W$9*SQRT($C$11)*NORMSINV($B342)+SQRT(1-W$9^2*$C$11)*NORMSINV(V342)))*(W$7-W$5)*(W$7-W$6))))</f>
        <v>9.67353857236423</v>
      </c>
      <c r="X342" s="2" t="n">
        <v>0.097902909</v>
      </c>
      <c r="Y342" s="2" t="n">
        <f aca="false">IF(Y$7=Y$5,Y$6,IF(NORMSDIST(Y$9*SQRT($C$11)*NORMSINV($B342)+SQRT(1-Y$9^2*$C$11)*NORMSINV(X342))&lt;Y$8,Y$5+SQRT(NORMSDIST(Y$9*SQRT($C$11)*NORMSINV($B342)+SQRT(1-Y$9^2*$C$11)*NORMSINV(X342))*(Y$7-Y$5)*(Y$6-Y$5)),Y$7-SQRT((1-NORMSDIST(Y$9*SQRT($C$11)*NORMSINV($B342)+SQRT(1-Y$9^2*$C$11)*NORMSINV(X342)))*(Y$7-Y$5)*(Y$7-Y$6))))</f>
        <v>0.221249755932069</v>
      </c>
      <c r="Z342" s="2" t="n">
        <v>0.862671593</v>
      </c>
      <c r="AA342" s="2" t="n">
        <f aca="false">IF(AA$7=AA$5,AA$6,IF(NORMSDIST(AA$9*SQRT($C$11)*NORMSINV($B342)+SQRT(1-AA$9^2*$C$11)*NORMSINV(Z342))&lt;AA$8,AA$5+SQRT(NORMSDIST(AA$9*SQRT($C$11)*NORMSINV($B342)+SQRT(1-AA$9^2*$C$11)*NORMSINV(Z342))*(AA$7-AA$5)*(AA$6-AA$5)),AA$7-SQRT((1-NORMSDIST(AA$9*SQRT($C$11)*NORMSINV($B342)+SQRT(1-AA$9^2*$C$11)*NORMSINV(Z342)))*(AA$7-AA$5)*(AA$7-AA$6))))</f>
        <v>0.747373546530806</v>
      </c>
      <c r="AB342" s="2" t="n">
        <v>0.426431866</v>
      </c>
      <c r="AC342" s="2" t="n">
        <f aca="false">IF(AC$7=AC$5,AC$6,IF(NORMSDIST(AC$9*SQRT($C$11)*NORMSINV($B342)+SQRT(1-AC$9^2*$C$11)*NORMSINV(AB342))&lt;AC$8,AC$5+SQRT(NORMSDIST(AC$9*SQRT($C$11)*NORMSINV($B342)+SQRT(1-AC$9^2*$C$11)*NORMSINV(AB342))*(AC$7-AC$5)*(AC$6-AC$5)),AC$7-SQRT((1-NORMSDIST(AC$9*SQRT($C$11)*NORMSINV($B342)+SQRT(1-AC$9^2*$C$11)*NORMSINV(AB342)))*(AC$7-AC$5)*(AC$7-AC$6))))</f>
        <v>10.0763448706456</v>
      </c>
      <c r="AD342" s="2" t="n">
        <f aca="false">Entrées!$C$8*(1+E342)</f>
        <v>7438.87345338415</v>
      </c>
      <c r="AE342" s="2" t="n">
        <f aca="false">I342*Hypothèses!$J$24/12/Hypothèses!$J$19</f>
        <v>98.3930692707501</v>
      </c>
      <c r="AF342" s="2" t="n">
        <f aca="false">Entrées!$C$36*S342*1000</f>
        <v>175.600870997828</v>
      </c>
      <c r="AG342" s="2" t="n">
        <f aca="false">-AF342/W342</f>
        <v>-18.1527028278455</v>
      </c>
      <c r="AH342" s="2" t="n">
        <f aca="false">AD342+AE342+AG342</f>
        <v>7519.11381982706</v>
      </c>
      <c r="AI342" s="2" t="n">
        <f aca="false">Entrées!$C$16-M342+Hypothèses!$J$22*1000-AF342+Hypothèses!$J$23</f>
        <v>22665.9438667945</v>
      </c>
      <c r="AJ342" s="2" t="n">
        <f aca="false">AI342/AH342</f>
        <v>3.01444351155145</v>
      </c>
      <c r="AK342" s="2" t="n">
        <f aca="false">AI342/(AH342+I342*(12-Hypothèses!$J$24)/12/Hypothèses!$J$19)</f>
        <v>2.98652858500701</v>
      </c>
      <c r="AL342" s="2" t="n">
        <f aca="false">(AD342+AG342+I342/Hypothèses!$J$19)*(1+G342)</f>
        <v>8003.08054577541</v>
      </c>
      <c r="AM342" s="2" t="n">
        <f aca="false">Entrées!$C$54*K342/Hypothèses!$J$19</f>
        <v>27.7919796349916</v>
      </c>
      <c r="AN342" s="2" t="n">
        <f aca="false">Y342*1000/AC342</f>
        <v>21.9573425455706</v>
      </c>
      <c r="AO342" s="2" t="n">
        <f aca="false">(Entrées!$C$36*(1-S342)+MAX(0,Entrées!$C$30-Entrées!$C$35-Entrées!$C$36)*U342)*1000</f>
        <v>982.146026277839</v>
      </c>
      <c r="AP342" s="2" t="n">
        <f aca="false">-AO342/W342</f>
        <v>-101.52913734005</v>
      </c>
      <c r="AQ342" s="2" t="n">
        <f aca="false">AL342+AM342+AN342+AP342</f>
        <v>7951.30073061592</v>
      </c>
      <c r="AR342" s="2" t="n">
        <f aca="false">O342*AQ342-Hypothèses!$J$25/Hypothèses!$J$19</f>
        <v>1434.26112851754</v>
      </c>
      <c r="AS342" s="2" t="n">
        <f aca="false">Entrées!$C$79*(1+Q342)+Hypothèses!$J$20</f>
        <v>1490.03651689289</v>
      </c>
      <c r="AT342" s="2" t="n">
        <f aca="false">AI342-AR342+AS342+Y342*1000-AO342+Hypothèses!$J$23</f>
        <v>21960.8229848241</v>
      </c>
      <c r="AU342" s="2" t="n">
        <f aca="false">AT342/AQ342</f>
        <v>2.76191578319576</v>
      </c>
      <c r="AV342" s="2" t="n">
        <f aca="false">Hypothèses!$J$26*AQ342-AT342</f>
        <v>1893.07920702367</v>
      </c>
      <c r="AW342" s="2" t="n">
        <f aca="false">IF(AC342&gt;Hypothèses!$J$26,MAX(0,AV342)/(1-Hypothèses!$J$26/AC342),0)</f>
        <v>2695.64574736144</v>
      </c>
      <c r="AX342" s="2" t="n">
        <f aca="false">AQ342-Entrées!$C$17*1000</f>
        <v>-48.6992693840775</v>
      </c>
      <c r="AY342" s="2" t="n">
        <f aca="false">AI342+(Entrées!$C$244-Entrées!$C$13)</f>
        <v>28412.9438667945</v>
      </c>
      <c r="AZ342" s="2" t="n">
        <f aca="false">AA342*AH342</f>
        <v>5619.58676229294</v>
      </c>
      <c r="BA342" s="2" t="n">
        <f aca="false">AZ342/AY342</f>
        <v>0.197782629939322</v>
      </c>
      <c r="BB342" s="2" t="n">
        <f aca="false">AZ342/(Entrées!$C$151/100)-AY342</f>
        <v>2806.98259038849</v>
      </c>
      <c r="BC342" s="2" t="n">
        <f aca="false">AT342+(Entrées!$C$244-Entrées!$C$13)</f>
        <v>27707.8229848241</v>
      </c>
      <c r="BD342" s="2" t="n">
        <f aca="false">AA342*AQ342</f>
        <v>5942.59182657341</v>
      </c>
      <c r="BE342" s="2" t="n">
        <f aca="false">BD342/BC342</f>
        <v>0.214473429754053</v>
      </c>
      <c r="BF342" s="2" t="n">
        <f aca="false">BD342/(Entrées!$C$151/100)-BC342</f>
        <v>5306.57605169484</v>
      </c>
      <c r="BG342" s="2" t="n">
        <f aca="false">MIN(AV342,BF342)</f>
        <v>1893.07920702367</v>
      </c>
      <c r="BH342" s="2" t="n">
        <f aca="false">IF(AC342&gt;Hypothèses!$J$26,MAX(0,BG342)/(1-Hypothèses!$J$26/AC342),0)</f>
        <v>2695.64574736144</v>
      </c>
    </row>
    <row r="343" customFormat="false" ht="15" hidden="false" customHeight="false" outlineLevel="0" collapsed="false">
      <c r="A343" s="2" t="n">
        <v>328</v>
      </c>
      <c r="B343" s="2" t="n">
        <v>0.911756855</v>
      </c>
      <c r="C343" s="2"/>
      <c r="D343" s="2" t="n">
        <v>0.829509459</v>
      </c>
      <c r="E343" s="2" t="n">
        <f aca="false">IF(E$7=E$5,E$6,IF(NORMSDIST(E$9*SQRT($C$11)*NORMSINV($B343)+SQRT(1-E$9^2*$C$11)*NORMSINV(D343))&lt;E$8,E$5+SQRT(NORMSDIST(E$9*SQRT($C$11)*NORMSINV($B343)+SQRT(1-E$9^2*$C$11)*NORMSINV(D343))*(E$7-E$5)*(E$6-E$5)),E$7-SQRT((1-NORMSDIST(E$9*SQRT($C$11)*NORMSINV($B343)+SQRT(1-E$9^2*$C$11)*NORMSINV(D343)))*(E$7-E$5)*(E$7-E$6))))</f>
        <v>0.058332046002421</v>
      </c>
      <c r="F343" s="2" t="n">
        <v>0.793950707</v>
      </c>
      <c r="G343" s="2" t="n">
        <f aca="false">IF(G$7=G$5,G$6,IF(NORMSDIST(G$9*SQRT($C$11)*NORMSINV($B343)+SQRT(1-G$9^2*$C$11)*NORMSINV(F343))&lt;G$8,G$5+SQRT(NORMSDIST(G$9*SQRT($C$11)*NORMSINV($B343)+SQRT(1-G$9^2*$C$11)*NORMSINV(F343))*(G$7-G$5)*(G$6-G$5)),G$7-SQRT((1-NORMSDIST(G$9*SQRT($C$11)*NORMSINV($B343)+SQRT(1-G$9^2*$C$11)*NORMSINV(F343)))*(G$7-G$5)*(G$7-G$6))))</f>
        <v>0.0644647272947205</v>
      </c>
      <c r="H343" s="2" t="n">
        <v>0.204524477</v>
      </c>
      <c r="I343" s="2" t="n">
        <f aca="false">IF(I$7=I$5,I$6,IF(NORMSDIST(I$9*SQRT($C$11)*NORMSINV($B343)+SQRT(1-I$9^2*$C$11)*NORMSINV(H343))&lt;I$8,I$5+SQRT(NORMSDIST(I$9*SQRT($C$11)*NORMSINV($B343)+SQRT(1-I$9^2*$C$11)*NORMSINV(H343))*(I$7-I$5)*(I$6-I$5)),I$7-SQRT((1-NORMSDIST(I$9*SQRT($C$11)*NORMSINV($B343)+SQRT(1-I$9^2*$C$11)*NORMSINV(H343)))*(I$7-I$5)*(I$7-I$6))))</f>
        <v>201.784922322601</v>
      </c>
      <c r="J343" s="2" t="n">
        <v>0.71257893</v>
      </c>
      <c r="K343" s="2" t="n">
        <f aca="false">IF(K$7=K$5,K$6,IF(NORMSDIST(K$9*SQRT($C$11)*NORMSINV($B343)+SQRT(1-K$9^2*$C$11)*NORMSINV(J343))&lt;K$8,K$5+SQRT(NORMSDIST(K$9*SQRT($C$11)*NORMSINV($B343)+SQRT(1-K$9^2*$C$11)*NORMSINV(J343))*(K$7-K$5)*(K$6-K$5)),K$7-SQRT((1-NORMSDIST(K$9*SQRT($C$11)*NORMSINV($B343)+SQRT(1-K$9^2*$C$11)*NORMSINV(J343)))*(K$7-K$5)*(K$7-K$6))))</f>
        <v>0.388961309264273</v>
      </c>
      <c r="L343" s="2" t="n">
        <v>0.008091364</v>
      </c>
      <c r="M343" s="2" t="n">
        <f aca="false">IF(M$7=M$5,M$6,IF(NORMSDIST(M$9*SQRT($C$11)*NORMSINV($B343)+SQRT(1-M$9^2*$C$11)*NORMSINV(L343))&lt;M$8,M$5+SQRT(NORMSDIST(M$9*SQRT($C$11)*NORMSINV($B343)+SQRT(1-M$9^2*$C$11)*NORMSINV(L343))*(M$7-M$5)*(M$6-M$5)),M$7-SQRT((1-NORMSDIST(M$9*SQRT($C$11)*NORMSINV($B343)+SQRT(1-M$9^2*$C$11)*NORMSINV(L343)))*(M$7-M$5)*(M$7-M$6))))</f>
        <v>1461.18427924328</v>
      </c>
      <c r="N343" s="2" t="n">
        <v>0.231007808</v>
      </c>
      <c r="O343" s="2" t="n">
        <f aca="false">IF(O$7=O$5,O$6,IF(NORMSDIST(O$9*SQRT($C$11)*NORMSINV($B343)+SQRT(1-O$9^2*$C$11)*NORMSINV(N343))&lt;O$8,O$5+SQRT(NORMSDIST(O$9*SQRT($C$11)*NORMSINV($B343)+SQRT(1-O$9^2*$C$11)*NORMSINV(N343))*(O$7-O$5)*(O$6-O$5)),O$7-SQRT((1-NORMSDIST(O$9*SQRT($C$11)*NORMSINV($B343)+SQRT(1-O$9^2*$C$11)*NORMSINV(N343)))*(O$7-O$5)*(O$7-O$6))))</f>
        <v>0.169676317914488</v>
      </c>
      <c r="P343" s="2" t="n">
        <v>0.141627401</v>
      </c>
      <c r="Q343" s="2" t="n">
        <f aca="false">IF(Q$7=Q$5,Q$6,IF(NORMSDIST(Q$9*SQRT($C$11)*NORMSINV($B343)+SQRT(1-Q$9^2*$C$11)*NORMSINV(P343))&lt;Q$8,Q$5+SQRT(NORMSDIST(Q$9*SQRT($C$11)*NORMSINV($B343)+SQRT(1-Q$9^2*$C$11)*NORMSINV(P343))*(Q$7-Q$5)*(Q$6-Q$5)),Q$7-SQRT((1-NORMSDIST(Q$9*SQRT($C$11)*NORMSINV($B343)+SQRT(1-Q$9^2*$C$11)*NORMSINV(P343)))*(Q$7-Q$5)*(Q$7-Q$6))))</f>
        <v>0.0612886749986936</v>
      </c>
      <c r="R343" s="2" t="n">
        <v>0.377099315</v>
      </c>
      <c r="S343" s="2" t="n">
        <f aca="false">IF(S$7=S$5,S$6,IF(NORMSDIST(S$9*SQRT($C$11)*NORMSINV($B343)+SQRT(1-S$9^2*$C$11)*NORMSINV(R343))&lt;S$8,S$5+SQRT(NORMSDIST(S$9*SQRT($C$11)*NORMSINV($B343)+SQRT(1-S$9^2*$C$11)*NORMSINV(R343))*(S$7-S$5)*(S$6-S$5)),S$7-SQRT((1-NORMSDIST(S$9*SQRT($C$11)*NORMSINV($B343)+SQRT(1-S$9^2*$C$11)*NORMSINV(R343)))*(S$7-S$5)*(S$7-S$6))))</f>
        <v>0.632467457709402</v>
      </c>
      <c r="T343" s="2" t="n">
        <v>0.082664805</v>
      </c>
      <c r="U343" s="2" t="n">
        <f aca="false">IF(U$7=U$5,U$6,IF(NORMSDIST(U$9*SQRT($C$11)*NORMSINV($B343)+SQRT(1-U$9^2*$C$11)*NORMSINV(T343))&lt;U$8,U$5+SQRT(NORMSDIST(U$9*SQRT($C$11)*NORMSINV($B343)+SQRT(1-U$9^2*$C$11)*NORMSINV(T343))*(U$7-U$5)*(U$6-U$5)),U$7-SQRT((1-NORMSDIST(U$9*SQRT($C$11)*NORMSINV($B343)+SQRT(1-U$9^2*$C$11)*NORMSINV(T343)))*(U$7-U$5)*(U$7-U$6))))</f>
        <v>0.454432253732015</v>
      </c>
      <c r="V343" s="2" t="n">
        <v>0.468196867</v>
      </c>
      <c r="W343" s="2" t="n">
        <f aca="false">IF(W$7=W$5,W$6,IF(NORMSDIST(W$9*SQRT($C$11)*NORMSINV($B343)+SQRT(1-W$9^2*$C$11)*NORMSINV(V343))&lt;W$8,W$5+SQRT(NORMSDIST(W$9*SQRT($C$11)*NORMSINV($B343)+SQRT(1-W$9^2*$C$11)*NORMSINV(V343))*(W$7-W$5)*(W$6-W$5)),W$7-SQRT((1-NORMSDIST(W$9*SQRT($C$11)*NORMSINV($B343)+SQRT(1-W$9^2*$C$11)*NORMSINV(V343)))*(W$7-W$5)*(W$7-W$6))))</f>
        <v>10.6919457307529</v>
      </c>
      <c r="X343" s="2" t="n">
        <v>0.016590984</v>
      </c>
      <c r="Y343" s="2" t="n">
        <f aca="false">IF(Y$7=Y$5,Y$6,IF(NORMSDIST(Y$9*SQRT($C$11)*NORMSINV($B343)+SQRT(1-Y$9^2*$C$11)*NORMSINV(X343))&lt;Y$8,Y$5+SQRT(NORMSDIST(Y$9*SQRT($C$11)*NORMSINV($B343)+SQRT(1-Y$9^2*$C$11)*NORMSINV(X343))*(Y$7-Y$5)*(Y$6-Y$5)),Y$7-SQRT((1-NORMSDIST(Y$9*SQRT($C$11)*NORMSINV($B343)+SQRT(1-Y$9^2*$C$11)*NORMSINV(X343)))*(Y$7-Y$5)*(Y$7-Y$6))))</f>
        <v>0.0910795915669367</v>
      </c>
      <c r="Z343" s="2" t="n">
        <v>0.472824703</v>
      </c>
      <c r="AA343" s="2" t="n">
        <f aca="false">IF(AA$7=AA$5,AA$6,IF(NORMSDIST(AA$9*SQRT($C$11)*NORMSINV($B343)+SQRT(1-AA$9^2*$C$11)*NORMSINV(Z343))&lt;AA$8,AA$5+SQRT(NORMSDIST(AA$9*SQRT($C$11)*NORMSINV($B343)+SQRT(1-AA$9^2*$C$11)*NORMSINV(Z343))*(AA$7-AA$5)*(AA$6-AA$5)),AA$7-SQRT((1-NORMSDIST(AA$9*SQRT($C$11)*NORMSINV($B343)+SQRT(1-AA$9^2*$C$11)*NORMSINV(Z343)))*(AA$7-AA$5)*(AA$7-AA$6))))</f>
        <v>0.737391653364168</v>
      </c>
      <c r="AB343" s="2" t="n">
        <v>0.849603637</v>
      </c>
      <c r="AC343" s="2" t="n">
        <f aca="false">IF(AC$7=AC$5,AC$6,IF(NORMSDIST(AC$9*SQRT($C$11)*NORMSINV($B343)+SQRT(1-AC$9^2*$C$11)*NORMSINV(AB343))&lt;AC$8,AC$5+SQRT(NORMSDIST(AC$9*SQRT($C$11)*NORMSINV($B343)+SQRT(1-AC$9^2*$C$11)*NORMSINV(AB343))*(AC$7-AC$5)*(AC$6-AC$5)),AC$7-SQRT((1-NORMSDIST(AC$9*SQRT($C$11)*NORMSINV($B343)+SQRT(1-AC$9^2*$C$11)*NORMSINV(AB343)))*(AC$7-AC$5)*(AC$7-AC$6))))</f>
        <v>10.5407391792773</v>
      </c>
      <c r="AD343" s="2" t="n">
        <f aca="false">Entrées!$C$8*(1+E343)</f>
        <v>7461.24092431707</v>
      </c>
      <c r="AE343" s="2" t="n">
        <f aca="false">I343*Hypothèses!$J$24/12/Hypothèses!$J$19</f>
        <v>100.104854126474</v>
      </c>
      <c r="AF343" s="2" t="n">
        <f aca="false">Entrées!$C$36*S343*1000</f>
        <v>316.233728854701</v>
      </c>
      <c r="AG343" s="2" t="n">
        <f aca="false">-AF343/W343</f>
        <v>-29.5768176175014</v>
      </c>
      <c r="AH343" s="2" t="n">
        <f aca="false">AD343+AE343+AG343</f>
        <v>7531.76896082604</v>
      </c>
      <c r="AI343" s="2" t="n">
        <f aca="false">Entrées!$C$16-M343+Hypothèses!$J$22*1000-AF343+Hypothèses!$J$23</f>
        <v>22770.581991902</v>
      </c>
      <c r="AJ343" s="2" t="n">
        <f aca="false">AI343/AH343</f>
        <v>3.02327143999445</v>
      </c>
      <c r="AK343" s="2" t="n">
        <f aca="false">AI343/(AH343+I343*(12-Hypothèses!$J$24)/12/Hypothèses!$J$19)</f>
        <v>2.99483968348538</v>
      </c>
      <c r="AL343" s="2" t="n">
        <f aca="false">(AD343+AG343+I343/Hypothèses!$J$19)*(1+G343)</f>
        <v>8093.41531168154</v>
      </c>
      <c r="AM343" s="2" t="n">
        <f aca="false">Entrées!$C$54*K343/Hypothèses!$J$19</f>
        <v>39.6951347534205</v>
      </c>
      <c r="AN343" s="2" t="n">
        <f aca="false">Y343*1000/AC343</f>
        <v>8.64072149190406</v>
      </c>
      <c r="AO343" s="2" t="n">
        <f aca="false">(Entrées!$C$36*(1-S343)+MAX(0,Entrées!$C$30-Entrées!$C$35-Entrées!$C$36)*U343)*1000</f>
        <v>819.97142637012</v>
      </c>
      <c r="AP343" s="2" t="n">
        <f aca="false">-AO343/W343</f>
        <v>-76.6905712972021</v>
      </c>
      <c r="AQ343" s="2" t="n">
        <f aca="false">AL343+AM343+AN343+AP343</f>
        <v>8065.06059662966</v>
      </c>
      <c r="AR343" s="2" t="n">
        <f aca="false">O343*AQ343-Hypothèses!$J$25/Hypothèses!$J$19</f>
        <v>1349.31462353172</v>
      </c>
      <c r="AS343" s="2" t="n">
        <f aca="false">Entrées!$C$79*(1+Q343)+Hypothèses!$J$20</f>
        <v>1461.35625382356</v>
      </c>
      <c r="AT343" s="2" t="n">
        <f aca="false">AI343-AR343+AS343+Y343*1000-AO343+Hypothèses!$J$23</f>
        <v>22153.7317873907</v>
      </c>
      <c r="AU343" s="2" t="n">
        <f aca="false">AT343/AQ343</f>
        <v>2.74687728901238</v>
      </c>
      <c r="AV343" s="2" t="n">
        <f aca="false">Hypothèses!$J$26*AQ343-AT343</f>
        <v>2041.45000249832</v>
      </c>
      <c r="AW343" s="2" t="n">
        <f aca="false">IF(AC343&gt;Hypothèses!$J$26,MAX(0,AV343)/(1-Hypothèses!$J$26/AC343),0)</f>
        <v>2853.61839367213</v>
      </c>
      <c r="AX343" s="2" t="n">
        <f aca="false">AQ343-Entrées!$C$17*1000</f>
        <v>65.0605966296644</v>
      </c>
      <c r="AY343" s="2" t="n">
        <f aca="false">AI343+(Entrées!$C$244-Entrées!$C$13)</f>
        <v>28517.581991902</v>
      </c>
      <c r="AZ343" s="2" t="n">
        <f aca="false">AA343*AH343</f>
        <v>5553.86356678043</v>
      </c>
      <c r="BA343" s="2" t="n">
        <f aca="false">AZ343/AY343</f>
        <v>0.194752260845872</v>
      </c>
      <c r="BB343" s="2" t="n">
        <f aca="false">AZ343/(Entrées!$C$151/100)-AY343</f>
        <v>2337.21560132261</v>
      </c>
      <c r="BC343" s="2" t="n">
        <f aca="false">AT343+(Entrées!$C$244-Entrées!$C$13)</f>
        <v>27900.7317873907</v>
      </c>
      <c r="BD343" s="2" t="n">
        <f aca="false">AA343*AQ343</f>
        <v>5947.10836783095</v>
      </c>
      <c r="BE343" s="2" t="n">
        <f aca="false">BD343/BC343</f>
        <v>0.213152415253806</v>
      </c>
      <c r="BF343" s="2" t="n">
        <f aca="false">BD343/(Entrées!$C$151/100)-BC343</f>
        <v>5138.75914500349</v>
      </c>
      <c r="BG343" s="2" t="n">
        <f aca="false">MIN(AV343,BF343)</f>
        <v>2041.45000249832</v>
      </c>
      <c r="BH343" s="2" t="n">
        <f aca="false">IF(AC343&gt;Hypothèses!$J$26,MAX(0,BG343)/(1-Hypothèses!$J$26/AC343),0)</f>
        <v>2853.61839367213</v>
      </c>
    </row>
    <row r="344" customFormat="false" ht="15" hidden="false" customHeight="false" outlineLevel="0" collapsed="false">
      <c r="A344" s="2" t="n">
        <v>329</v>
      </c>
      <c r="B344" s="2" t="n">
        <v>0.318547202</v>
      </c>
      <c r="C344" s="2"/>
      <c r="D344" s="2" t="n">
        <v>0.378935404</v>
      </c>
      <c r="E344" s="2" t="n">
        <f aca="false">IF(E$7=E$5,E$6,IF(NORMSDIST(E$9*SQRT($C$11)*NORMSINV($B344)+SQRT(1-E$9^2*$C$11)*NORMSINV(D344))&lt;E$8,E$5+SQRT(NORMSDIST(E$9*SQRT($C$11)*NORMSINV($B344)+SQRT(1-E$9^2*$C$11)*NORMSINV(D344))*(E$7-E$5)*(E$6-E$5)),E$7-SQRT((1-NORMSDIST(E$9*SQRT($C$11)*NORMSINV($B344)+SQRT(1-E$9^2*$C$11)*NORMSINV(D344)))*(E$7-E$5)*(E$7-E$6))))</f>
        <v>0.053844333449804</v>
      </c>
      <c r="F344" s="2" t="n">
        <v>0.943248219</v>
      </c>
      <c r="G344" s="2" t="n">
        <f aca="false">IF(G$7=G$5,G$6,IF(NORMSDIST(G$9*SQRT($C$11)*NORMSINV($B344)+SQRT(1-G$9^2*$C$11)*NORMSINV(F344))&lt;G$8,G$5+SQRT(NORMSDIST(G$9*SQRT($C$11)*NORMSINV($B344)+SQRT(1-G$9^2*$C$11)*NORMSINV(F344))*(G$7-G$5)*(G$6-G$5)),G$7-SQRT((1-NORMSDIST(G$9*SQRT($C$11)*NORMSINV($B344)+SQRT(1-G$9^2*$C$11)*NORMSINV(F344)))*(G$7-G$5)*(G$7-G$6))))</f>
        <v>0.0610797566677407</v>
      </c>
      <c r="H344" s="2" t="n">
        <v>0.003594513</v>
      </c>
      <c r="I344" s="2" t="n">
        <f aca="false">IF(I$7=I$5,I$6,IF(NORMSDIST(I$9*SQRT($C$11)*NORMSINV($B344)+SQRT(1-I$9^2*$C$11)*NORMSINV(H344))&lt;I$8,I$5+SQRT(NORMSDIST(I$9*SQRT($C$11)*NORMSINV($B344)+SQRT(1-I$9^2*$C$11)*NORMSINV(H344))*(I$7-I$5)*(I$6-I$5)),I$7-SQRT((1-NORMSDIST(I$9*SQRT($C$11)*NORMSINV($B344)+SQRT(1-I$9^2*$C$11)*NORMSINV(H344)))*(I$7-I$5)*(I$7-I$6))))</f>
        <v>182.629927629374</v>
      </c>
      <c r="J344" s="2" t="n">
        <v>0.438466308</v>
      </c>
      <c r="K344" s="2" t="n">
        <f aca="false">IF(K$7=K$5,K$6,IF(NORMSDIST(K$9*SQRT($C$11)*NORMSINV($B344)+SQRT(1-K$9^2*$C$11)*NORMSINV(J344))&lt;K$8,K$5+SQRT(NORMSDIST(K$9*SQRT($C$11)*NORMSINV($B344)+SQRT(1-K$9^2*$C$11)*NORMSINV(J344))*(K$7-K$5)*(K$6-K$5)),K$7-SQRT((1-NORMSDIST(K$9*SQRT($C$11)*NORMSINV($B344)+SQRT(1-K$9^2*$C$11)*NORMSINV(J344)))*(K$7-K$5)*(K$7-K$6))))</f>
        <v>0.205504032097942</v>
      </c>
      <c r="L344" s="2" t="n">
        <v>0.409255379</v>
      </c>
      <c r="M344" s="2" t="n">
        <f aca="false">IF(M$7=M$5,M$6,IF(NORMSDIST(M$9*SQRT($C$11)*NORMSINV($B344)+SQRT(1-M$9^2*$C$11)*NORMSINV(L344))&lt;M$8,M$5+SQRT(NORMSDIST(M$9*SQRT($C$11)*NORMSINV($B344)+SQRT(1-M$9^2*$C$11)*NORMSINV(L344))*(M$7-M$5)*(M$6-M$5)),M$7-SQRT((1-NORMSDIST(M$9*SQRT($C$11)*NORMSINV($B344)+SQRT(1-M$9^2*$C$11)*NORMSINV(L344)))*(M$7-M$5)*(M$7-M$6))))</f>
        <v>1527.85958428919</v>
      </c>
      <c r="N344" s="2" t="n">
        <v>0.66534265</v>
      </c>
      <c r="O344" s="2" t="n">
        <f aca="false">IF(O$7=O$5,O$6,IF(NORMSDIST(O$9*SQRT($C$11)*NORMSINV($B344)+SQRT(1-O$9^2*$C$11)*NORMSINV(N344))&lt;O$8,O$5+SQRT(NORMSDIST(O$9*SQRT($C$11)*NORMSINV($B344)+SQRT(1-O$9^2*$C$11)*NORMSINV(N344))*(O$7-O$5)*(O$6-O$5)),O$7-SQRT((1-NORMSDIST(O$9*SQRT($C$11)*NORMSINV($B344)+SQRT(1-O$9^2*$C$11)*NORMSINV(N344)))*(O$7-O$5)*(O$7-O$6))))</f>
        <v>0.167128972011589</v>
      </c>
      <c r="P344" s="2" t="n">
        <v>0.146425714</v>
      </c>
      <c r="Q344" s="2" t="n">
        <f aca="false">IF(Q$7=Q$5,Q$6,IF(NORMSDIST(Q$9*SQRT($C$11)*NORMSINV($B344)+SQRT(1-Q$9^2*$C$11)*NORMSINV(P344))&lt;Q$8,Q$5+SQRT(NORMSDIST(Q$9*SQRT($C$11)*NORMSINV($B344)+SQRT(1-Q$9^2*$C$11)*NORMSINV(P344))*(Q$7-Q$5)*(Q$6-Q$5)),Q$7-SQRT((1-NORMSDIST(Q$9*SQRT($C$11)*NORMSINV($B344)+SQRT(1-Q$9^2*$C$11)*NORMSINV(P344)))*(Q$7-Q$5)*(Q$7-Q$6))))</f>
        <v>0.0616462995636668</v>
      </c>
      <c r="R344" s="2" t="n">
        <v>0.473486101</v>
      </c>
      <c r="S344" s="2" t="n">
        <f aca="false">IF(S$7=S$5,S$6,IF(NORMSDIST(S$9*SQRT($C$11)*NORMSINV($B344)+SQRT(1-S$9^2*$C$11)*NORMSINV(R344))&lt;S$8,S$5+SQRT(NORMSDIST(S$9*SQRT($C$11)*NORMSINV($B344)+SQRT(1-S$9^2*$C$11)*NORMSINV(R344))*(S$7-S$5)*(S$6-S$5)),S$7-SQRT((1-NORMSDIST(S$9*SQRT($C$11)*NORMSINV($B344)+SQRT(1-S$9^2*$C$11)*NORMSINV(R344)))*(S$7-S$5)*(S$7-S$6))))</f>
        <v>0.426152072283941</v>
      </c>
      <c r="T344" s="2" t="n">
        <v>0.058405678</v>
      </c>
      <c r="U344" s="2" t="n">
        <f aca="false">IF(U$7=U$5,U$6,IF(NORMSDIST(U$9*SQRT($C$11)*NORMSINV($B344)+SQRT(1-U$9^2*$C$11)*NORMSINV(T344))&lt;U$8,U$5+SQRT(NORMSDIST(U$9*SQRT($C$11)*NORMSINV($B344)+SQRT(1-U$9^2*$C$11)*NORMSINV(T344))*(U$7-U$5)*(U$6-U$5)),U$7-SQRT((1-NORMSDIST(U$9*SQRT($C$11)*NORMSINV($B344)+SQRT(1-U$9^2*$C$11)*NORMSINV(T344)))*(U$7-U$5)*(U$7-U$6))))</f>
        <v>0.180441508486915</v>
      </c>
      <c r="V344" s="2" t="n">
        <v>0.880224335</v>
      </c>
      <c r="W344" s="2" t="n">
        <f aca="false">IF(W$7=W$5,W$6,IF(NORMSDIST(W$9*SQRT($C$11)*NORMSINV($B344)+SQRT(1-W$9^2*$C$11)*NORMSINV(V344))&lt;W$8,W$5+SQRT(NORMSDIST(W$9*SQRT($C$11)*NORMSINV($B344)+SQRT(1-W$9^2*$C$11)*NORMSINV(V344))*(W$7-W$5)*(W$6-W$5)),W$7-SQRT((1-NORMSDIST(W$9*SQRT($C$11)*NORMSINV($B344)+SQRT(1-W$9^2*$C$11)*NORMSINV(V344)))*(W$7-W$5)*(W$7-W$6))))</f>
        <v>10.5301501171033</v>
      </c>
      <c r="X344" s="2" t="n">
        <v>0.466443248</v>
      </c>
      <c r="Y344" s="2" t="n">
        <f aca="false">IF(Y$7=Y$5,Y$6,IF(NORMSDIST(Y$9*SQRT($C$11)*NORMSINV($B344)+SQRT(1-Y$9^2*$C$11)*NORMSINV(X344))&lt;Y$8,Y$5+SQRT(NORMSDIST(Y$9*SQRT($C$11)*NORMSINV($B344)+SQRT(1-Y$9^2*$C$11)*NORMSINV(X344))*(Y$7-Y$5)*(Y$6-Y$5)),Y$7-SQRT((1-NORMSDIST(Y$9*SQRT($C$11)*NORMSINV($B344)+SQRT(1-Y$9^2*$C$11)*NORMSINV(X344)))*(Y$7-Y$5)*(Y$7-Y$6))))</f>
        <v>0.482930247551342</v>
      </c>
      <c r="Z344" s="2" t="n">
        <v>0.068835294</v>
      </c>
      <c r="AA344" s="2" t="n">
        <f aca="false">IF(AA$7=AA$5,AA$6,IF(NORMSDIST(AA$9*SQRT($C$11)*NORMSINV($B344)+SQRT(1-AA$9^2*$C$11)*NORMSINV(Z344))&lt;AA$8,AA$5+SQRT(NORMSDIST(AA$9*SQRT($C$11)*NORMSINV($B344)+SQRT(1-AA$9^2*$C$11)*NORMSINV(Z344))*(AA$7-AA$5)*(AA$6-AA$5)),AA$7-SQRT((1-NORMSDIST(AA$9*SQRT($C$11)*NORMSINV($B344)+SQRT(1-AA$9^2*$C$11)*NORMSINV(Z344)))*(AA$7-AA$5)*(AA$7-AA$6))))</f>
        <v>0.707891899082608</v>
      </c>
      <c r="AB344" s="2" t="n">
        <v>0.561302382</v>
      </c>
      <c r="AC344" s="2" t="n">
        <f aca="false">IF(AC$7=AC$5,AC$6,IF(NORMSDIST(AC$9*SQRT($C$11)*NORMSINV($B344)+SQRT(1-AC$9^2*$C$11)*NORMSINV(AB344))&lt;AC$8,AC$5+SQRT(NORMSDIST(AC$9*SQRT($C$11)*NORMSINV($B344)+SQRT(1-AC$9^2*$C$11)*NORMSINV(AB344))*(AC$7-AC$5)*(AC$6-AC$5)),AC$7-SQRT((1-NORMSDIST(AC$9*SQRT($C$11)*NORMSINV($B344)+SQRT(1-AC$9^2*$C$11)*NORMSINV(AB344)))*(AC$7-AC$5)*(AC$7-AC$6))))</f>
        <v>9.32528580950864</v>
      </c>
      <c r="AD344" s="2" t="n">
        <f aca="false">Entrées!$C$8*(1+E344)</f>
        <v>7429.60255082112</v>
      </c>
      <c r="AE344" s="2" t="n">
        <f aca="false">I344*Hypothèses!$J$24/12/Hypothèses!$J$19</f>
        <v>90.6021225671095</v>
      </c>
      <c r="AF344" s="2" t="n">
        <f aca="false">Entrées!$C$36*S344*1000</f>
        <v>213.076036141971</v>
      </c>
      <c r="AG344" s="2" t="n">
        <f aca="false">-AF344/W344</f>
        <v>-20.2348526632956</v>
      </c>
      <c r="AH344" s="2" t="n">
        <f aca="false">AD344+AE344+AG344</f>
        <v>7499.96982072493</v>
      </c>
      <c r="AI344" s="2" t="n">
        <f aca="false">Entrées!$C$16-M344+Hypothèses!$J$22*1000-AF344+Hypothèses!$J$23</f>
        <v>22807.0643795688</v>
      </c>
      <c r="AJ344" s="2" t="n">
        <f aca="false">AI344/AH344</f>
        <v>3.04095415378143</v>
      </c>
      <c r="AK344" s="2" t="n">
        <f aca="false">AI344/(AH344+I344*(12-Hypothèses!$J$24)/12/Hypothèses!$J$19)</f>
        <v>3.01493882462955</v>
      </c>
      <c r="AL344" s="2" t="n">
        <f aca="false">(AD344+AG344+I344/Hypothèses!$J$19)*(1+G344)</f>
        <v>8026.73477965242</v>
      </c>
      <c r="AM344" s="2" t="n">
        <f aca="false">Entrées!$C$54*K344/Hypothèses!$J$19</f>
        <v>20.9725493312667</v>
      </c>
      <c r="AN344" s="2" t="n">
        <f aca="false">Y344*1000/AC344</f>
        <v>51.787179226069</v>
      </c>
      <c r="AO344" s="2" t="n">
        <f aca="false">(Entrées!$C$36*(1-S344)+MAX(0,Entrées!$C$30-Entrées!$C$35-Entrées!$C$36)*U344)*1000</f>
        <v>539.542075739711</v>
      </c>
      <c r="AP344" s="2" t="n">
        <f aca="false">-AO344/W344</f>
        <v>-51.2378332445019</v>
      </c>
      <c r="AQ344" s="2" t="n">
        <f aca="false">AL344+AM344+AN344+AP344</f>
        <v>8048.25667496525</v>
      </c>
      <c r="AR344" s="2" t="n">
        <f aca="false">O344*AQ344-Hypothèses!$J$25/Hypothèses!$J$19</f>
        <v>1325.96170231073</v>
      </c>
      <c r="AS344" s="2" t="n">
        <f aca="false">Entrées!$C$79*(1+Q344)+Hypothèses!$J$20</f>
        <v>1461.74928322047</v>
      </c>
      <c r="AT344" s="2" t="n">
        <f aca="false">AI344-AR344+AS344+Y344*1000-AO344+Hypothèses!$J$23</f>
        <v>22886.2401322902</v>
      </c>
      <c r="AU344" s="2" t="n">
        <f aca="false">AT344/AQ344</f>
        <v>2.84362701844236</v>
      </c>
      <c r="AV344" s="2" t="n">
        <f aca="false">Hypothèses!$J$26*AQ344-AT344</f>
        <v>1258.52989260554</v>
      </c>
      <c r="AW344" s="2" t="n">
        <f aca="false">IF(AC344&gt;Hypothèses!$J$26,MAX(0,AV344)/(1-Hypothèses!$J$26/AC344),0)</f>
        <v>1855.43409449012</v>
      </c>
      <c r="AX344" s="2" t="n">
        <f aca="false">AQ344-Entrées!$C$17*1000</f>
        <v>48.2566749652506</v>
      </c>
      <c r="AY344" s="2" t="n">
        <f aca="false">AI344+(Entrées!$C$244-Entrées!$C$13)</f>
        <v>28554.0643795688</v>
      </c>
      <c r="AZ344" s="2" t="n">
        <f aca="false">AA344*AH344</f>
        <v>5309.16787945522</v>
      </c>
      <c r="BA344" s="2" t="n">
        <f aca="false">AZ344/AY344</f>
        <v>0.18593387648359</v>
      </c>
      <c r="BB344" s="2" t="n">
        <f aca="false">AZ344/(Entrées!$C$151/100)-AY344</f>
        <v>941.312728515728</v>
      </c>
      <c r="BC344" s="2" t="n">
        <f aca="false">AT344+(Entrées!$C$244-Entrées!$C$13)</f>
        <v>28633.2401322902</v>
      </c>
      <c r="BD344" s="2" t="n">
        <f aca="false">AA344*AQ344</f>
        <v>5697.29570194543</v>
      </c>
      <c r="BE344" s="2" t="n">
        <f aca="false">BD344/BC344</f>
        <v>0.198974886377616</v>
      </c>
      <c r="BF344" s="2" t="n">
        <f aca="false">BD344/(Entrées!$C$151/100)-BC344</f>
        <v>3018.40265629551</v>
      </c>
      <c r="BG344" s="2" t="n">
        <f aca="false">MIN(AV344,BF344)</f>
        <v>1258.52989260554</v>
      </c>
      <c r="BH344" s="2" t="n">
        <f aca="false">IF(AC344&gt;Hypothèses!$J$26,MAX(0,BG344)/(1-Hypothèses!$J$26/AC344),0)</f>
        <v>1855.43409449012</v>
      </c>
    </row>
    <row r="345" customFormat="false" ht="15" hidden="false" customHeight="false" outlineLevel="0" collapsed="false">
      <c r="A345" s="2" t="n">
        <v>330</v>
      </c>
      <c r="B345" s="2" t="n">
        <v>0.332783764</v>
      </c>
      <c r="C345" s="2"/>
      <c r="D345" s="2" t="n">
        <v>0.313172885</v>
      </c>
      <c r="E345" s="2" t="n">
        <f aca="false">IF(E$7=E$5,E$6,IF(NORMSDIST(E$9*SQRT($C$11)*NORMSINV($B345)+SQRT(1-E$9^2*$C$11)*NORMSINV(D345))&lt;E$8,E$5+SQRT(NORMSDIST(E$9*SQRT($C$11)*NORMSINV($B345)+SQRT(1-E$9^2*$C$11)*NORMSINV(D345))*(E$7-E$5)*(E$6-E$5)),E$7-SQRT((1-NORMSDIST(E$9*SQRT($C$11)*NORMSINV($B345)+SQRT(1-E$9^2*$C$11)*NORMSINV(D345)))*(E$7-E$5)*(E$7-E$6))))</f>
        <v>0.0535894498089622</v>
      </c>
      <c r="F345" s="2" t="n">
        <v>0.018400081</v>
      </c>
      <c r="G345" s="2" t="n">
        <f aca="false">IF(G$7=G$5,G$6,IF(NORMSDIST(G$9*SQRT($C$11)*NORMSINV($B345)+SQRT(1-G$9^2*$C$11)*NORMSINV(F345))&lt;G$8,G$5+SQRT(NORMSDIST(G$9*SQRT($C$11)*NORMSINV($B345)+SQRT(1-G$9^2*$C$11)*NORMSINV(F345))*(G$7-G$5)*(G$6-G$5)),G$7-SQRT((1-NORMSDIST(G$9*SQRT($C$11)*NORMSINV($B345)+SQRT(1-G$9^2*$C$11)*NORMSINV(F345)))*(G$7-G$5)*(G$7-G$6))))</f>
        <v>0.0436330690701275</v>
      </c>
      <c r="H345" s="2" t="n">
        <v>0.413652876</v>
      </c>
      <c r="I345" s="2" t="n">
        <f aca="false">IF(I$7=I$5,I$6,IF(NORMSDIST(I$9*SQRT($C$11)*NORMSINV($B345)+SQRT(1-I$9^2*$C$11)*NORMSINV(H345))&lt;I$8,I$5+SQRT(NORMSDIST(I$9*SQRT($C$11)*NORMSINV($B345)+SQRT(1-I$9^2*$C$11)*NORMSINV(H345))*(I$7-I$5)*(I$6-I$5)),I$7-SQRT((1-NORMSDIST(I$9*SQRT($C$11)*NORMSINV($B345)+SQRT(1-I$9^2*$C$11)*NORMSINV(H345)))*(I$7-I$5)*(I$7-I$6))))</f>
        <v>196.226287511464</v>
      </c>
      <c r="J345" s="2" t="n">
        <v>0.937662139</v>
      </c>
      <c r="K345" s="2" t="n">
        <f aca="false">IF(K$7=K$5,K$6,IF(NORMSDIST(K$9*SQRT($C$11)*NORMSINV($B345)+SQRT(1-K$9^2*$C$11)*NORMSINV(J345))&lt;K$8,K$5+SQRT(NORMSDIST(K$9*SQRT($C$11)*NORMSINV($B345)+SQRT(1-K$9^2*$C$11)*NORMSINV(J345))*(K$7-K$5)*(K$6-K$5)),K$7-SQRT((1-NORMSDIST(K$9*SQRT($C$11)*NORMSINV($B345)+SQRT(1-K$9^2*$C$11)*NORMSINV(J345)))*(K$7-K$5)*(K$7-K$6))))</f>
        <v>0.350066657678698</v>
      </c>
      <c r="L345" s="2" t="n">
        <v>0.572572683</v>
      </c>
      <c r="M345" s="2" t="n">
        <f aca="false">IF(M$7=M$5,M$6,IF(NORMSDIST(M$9*SQRT($C$11)*NORMSINV($B345)+SQRT(1-M$9^2*$C$11)*NORMSINV(L345))&lt;M$8,M$5+SQRT(NORMSDIST(M$9*SQRT($C$11)*NORMSINV($B345)+SQRT(1-M$9^2*$C$11)*NORMSINV(L345))*(M$7-M$5)*(M$6-M$5)),M$7-SQRT((1-NORMSDIST(M$9*SQRT($C$11)*NORMSINV($B345)+SQRT(1-M$9^2*$C$11)*NORMSINV(L345)))*(M$7-M$5)*(M$7-M$6))))</f>
        <v>1570.1632208993</v>
      </c>
      <c r="N345" s="2" t="n">
        <v>0.030940261</v>
      </c>
      <c r="O345" s="2" t="n">
        <f aca="false">IF(O$7=O$5,O$6,IF(NORMSDIST(O$9*SQRT($C$11)*NORMSINV($B345)+SQRT(1-O$9^2*$C$11)*NORMSINV(N345))&lt;O$8,O$5+SQRT(NORMSDIST(O$9*SQRT($C$11)*NORMSINV($B345)+SQRT(1-O$9^2*$C$11)*NORMSINV(N345))*(O$7-O$5)*(O$6-O$5)),O$7-SQRT((1-NORMSDIST(O$9*SQRT($C$11)*NORMSINV($B345)+SQRT(1-O$9^2*$C$11)*NORMSINV(N345)))*(O$7-O$5)*(O$7-O$6))))</f>
        <v>0.147831617854503</v>
      </c>
      <c r="P345" s="2" t="n">
        <v>0.383942373</v>
      </c>
      <c r="Q345" s="2" t="n">
        <f aca="false">IF(Q$7=Q$5,Q$6,IF(NORMSDIST(Q$9*SQRT($C$11)*NORMSINV($B345)+SQRT(1-Q$9^2*$C$11)*NORMSINV(P345))&lt;Q$8,Q$5+SQRT(NORMSDIST(Q$9*SQRT($C$11)*NORMSINV($B345)+SQRT(1-Q$9^2*$C$11)*NORMSINV(P345))*(Q$7-Q$5)*(Q$6-Q$5)),Q$7-SQRT((1-NORMSDIST(Q$9*SQRT($C$11)*NORMSINV($B345)+SQRT(1-Q$9^2*$C$11)*NORMSINV(P345)))*(Q$7-Q$5)*(Q$7-Q$6))))</f>
        <v>0.0750516132809889</v>
      </c>
      <c r="R345" s="2" t="n">
        <v>0.200549948</v>
      </c>
      <c r="S345" s="2" t="n">
        <f aca="false">IF(S$7=S$5,S$6,IF(NORMSDIST(S$9*SQRT($C$11)*NORMSINV($B345)+SQRT(1-S$9^2*$C$11)*NORMSINV(R345))&lt;S$8,S$5+SQRT(NORMSDIST(S$9*SQRT($C$11)*NORMSINV($B345)+SQRT(1-S$9^2*$C$11)*NORMSINV(R345))*(S$7-S$5)*(S$6-S$5)),S$7-SQRT((1-NORMSDIST(S$9*SQRT($C$11)*NORMSINV($B345)+SQRT(1-S$9^2*$C$11)*NORMSINV(R345)))*(S$7-S$5)*(S$7-S$6))))</f>
        <v>0.298163845004738</v>
      </c>
      <c r="T345" s="2" t="n">
        <v>0.619296172</v>
      </c>
      <c r="U345" s="2" t="n">
        <f aca="false">IF(U$7=U$5,U$6,IF(NORMSDIST(U$9*SQRT($C$11)*NORMSINV($B345)+SQRT(1-U$9^2*$C$11)*NORMSINV(T345))&lt;U$8,U$5+SQRT(NORMSDIST(U$9*SQRT($C$11)*NORMSINV($B345)+SQRT(1-U$9^2*$C$11)*NORMSINV(T345))*(U$7-U$5)*(U$6-U$5)),U$7-SQRT((1-NORMSDIST(U$9*SQRT($C$11)*NORMSINV($B345)+SQRT(1-U$9^2*$C$11)*NORMSINV(T345)))*(U$7-U$5)*(U$7-U$6))))</f>
        <v>0.49232734115292</v>
      </c>
      <c r="V345" s="2" t="n">
        <v>0.595134842</v>
      </c>
      <c r="W345" s="2" t="n">
        <f aca="false">IF(W$7=W$5,W$6,IF(NORMSDIST(W$9*SQRT($C$11)*NORMSINV($B345)+SQRT(1-W$9^2*$C$11)*NORMSINV(V345))&lt;W$8,W$5+SQRT(NORMSDIST(W$9*SQRT($C$11)*NORMSINV($B345)+SQRT(1-W$9^2*$C$11)*NORMSINV(V345))*(W$7-W$5)*(W$6-W$5)),W$7-SQRT((1-NORMSDIST(W$9*SQRT($C$11)*NORMSINV($B345)+SQRT(1-W$9^2*$C$11)*NORMSINV(V345)))*(W$7-W$5)*(W$7-W$6))))</f>
        <v>9.92953395147115</v>
      </c>
      <c r="X345" s="2" t="n">
        <v>0.338955453</v>
      </c>
      <c r="Y345" s="2" t="n">
        <f aca="false">IF(Y$7=Y$5,Y$6,IF(NORMSDIST(Y$9*SQRT($C$11)*NORMSINV($B345)+SQRT(1-Y$9^2*$C$11)*NORMSINV(X345))&lt;Y$8,Y$5+SQRT(NORMSDIST(Y$9*SQRT($C$11)*NORMSINV($B345)+SQRT(1-Y$9^2*$C$11)*NORMSINV(X345))*(Y$7-Y$5)*(Y$6-Y$5)),Y$7-SQRT((1-NORMSDIST(Y$9*SQRT($C$11)*NORMSINV($B345)+SQRT(1-Y$9^2*$C$11)*NORMSINV(X345)))*(Y$7-Y$5)*(Y$7-Y$6))))</f>
        <v>0.411676725720559</v>
      </c>
      <c r="Z345" s="2" t="n">
        <v>0.79179701</v>
      </c>
      <c r="AA345" s="2" t="n">
        <f aca="false">IF(AA$7=AA$5,AA$6,IF(NORMSDIST(AA$9*SQRT($C$11)*NORMSINV($B345)+SQRT(1-AA$9^2*$C$11)*NORMSINV(Z345))&lt;AA$8,AA$5+SQRT(NORMSDIST(AA$9*SQRT($C$11)*NORMSINV($B345)+SQRT(1-AA$9^2*$C$11)*NORMSINV(Z345))*(AA$7-AA$5)*(AA$6-AA$5)),AA$7-SQRT((1-NORMSDIST(AA$9*SQRT($C$11)*NORMSINV($B345)+SQRT(1-AA$9^2*$C$11)*NORMSINV(Z345)))*(AA$7-AA$5)*(AA$7-AA$6))))</f>
        <v>0.732332396895152</v>
      </c>
      <c r="AB345" s="2" t="n">
        <v>0.199301418</v>
      </c>
      <c r="AC345" s="2" t="n">
        <f aca="false">IF(AC$7=AC$5,AC$6,IF(NORMSDIST(AC$9*SQRT($C$11)*NORMSINV($B345)+SQRT(1-AC$9^2*$C$11)*NORMSINV(AB345))&lt;AC$8,AC$5+SQRT(NORMSDIST(AC$9*SQRT($C$11)*NORMSINV($B345)+SQRT(1-AC$9^2*$C$11)*NORMSINV(AB345))*(AC$7-AC$5)*(AC$6-AC$5)),AC$7-SQRT((1-NORMSDIST(AC$9*SQRT($C$11)*NORMSINV($B345)+SQRT(1-AC$9^2*$C$11)*NORMSINV(AB345)))*(AC$7-AC$5)*(AC$7-AC$6))))</f>
        <v>8.63630914303062</v>
      </c>
      <c r="AD345" s="2" t="n">
        <f aca="false">Entrées!$C$8*(1+E345)</f>
        <v>7427.80562115318</v>
      </c>
      <c r="AE345" s="2" t="n">
        <f aca="false">I345*Hypothèses!$J$24/12/Hypothèses!$J$19</f>
        <v>97.3472331877716</v>
      </c>
      <c r="AF345" s="2" t="n">
        <f aca="false">Entrées!$C$36*S345*1000</f>
        <v>149.081922502369</v>
      </c>
      <c r="AG345" s="2" t="n">
        <f aca="false">-AF345/W345</f>
        <v>-15.0139899043581</v>
      </c>
      <c r="AH345" s="2" t="n">
        <f aca="false">AD345+AE345+AG345</f>
        <v>7510.1388644366</v>
      </c>
      <c r="AI345" s="2" t="n">
        <f aca="false">Entrées!$C$16-M345+Hypothèses!$J$22*1000-AF345+Hypothèses!$J$23</f>
        <v>22828.7548565983</v>
      </c>
      <c r="AJ345" s="2" t="n">
        <f aca="false">AI345/AH345</f>
        <v>3.0397247332804</v>
      </c>
      <c r="AK345" s="2" t="n">
        <f aca="false">AI345/(AH345+I345*(12-Hypothèses!$J$24)/12/Hypothèses!$J$19)</f>
        <v>3.01183917222045</v>
      </c>
      <c r="AL345" s="2" t="n">
        <f aca="false">(AD345+AG345+I345/Hypothèses!$J$19)*(1+G345)</f>
        <v>7910.39698061855</v>
      </c>
      <c r="AM345" s="2" t="n">
        <f aca="false">Entrées!$C$54*K345/Hypothèses!$J$19</f>
        <v>35.7257722510238</v>
      </c>
      <c r="AN345" s="2" t="n">
        <f aca="false">Y345*1000/AC345</f>
        <v>47.6681321734269</v>
      </c>
      <c r="AO345" s="2" t="n">
        <f aca="false">(Entrées!$C$36*(1-S345)+MAX(0,Entrées!$C$30-Entrées!$C$35-Entrées!$C$36)*U345)*1000</f>
        <v>1040.17635511172</v>
      </c>
      <c r="AP345" s="2" t="n">
        <f aca="false">-AO345/W345</f>
        <v>-104.755808298295</v>
      </c>
      <c r="AQ345" s="2" t="n">
        <f aca="false">AL345+AM345+AN345+AP345</f>
        <v>7889.03507674471</v>
      </c>
      <c r="AR345" s="2" t="n">
        <f aca="false">O345*AQ345-Hypothèses!$J$25/Hypothèses!$J$19</f>
        <v>1147.11365644446</v>
      </c>
      <c r="AS345" s="2" t="n">
        <f aca="false">Entrées!$C$79*(1+Q345)+Hypothèses!$J$20</f>
        <v>1476.48172299581</v>
      </c>
      <c r="AT345" s="2" t="n">
        <f aca="false">AI345-AR345+AS345+Y345*1000-AO345+Hypothèses!$J$23</f>
        <v>22529.6232937585</v>
      </c>
      <c r="AU345" s="2" t="n">
        <f aca="false">AT345/AQ345</f>
        <v>2.8558148207721</v>
      </c>
      <c r="AV345" s="2" t="n">
        <f aca="false">Hypothèses!$J$26*AQ345-AT345</f>
        <v>1137.48193647561</v>
      </c>
      <c r="AW345" s="2" t="n">
        <f aca="false">IF(AC345&gt;Hypothèses!$J$26,MAX(0,AV345)/(1-Hypothèses!$J$26/AC345),0)</f>
        <v>1742.92172390217</v>
      </c>
      <c r="AX345" s="2" t="n">
        <f aca="false">AQ345-Entrées!$C$17*1000</f>
        <v>-110.964923255293</v>
      </c>
      <c r="AY345" s="2" t="n">
        <f aca="false">AI345+(Entrées!$C$244-Entrées!$C$13)</f>
        <v>28575.7548565983</v>
      </c>
      <c r="AZ345" s="2" t="n">
        <f aca="false">AA345*AH345</f>
        <v>5499.91799560829</v>
      </c>
      <c r="BA345" s="2" t="n">
        <f aca="false">AZ345/AY345</f>
        <v>0.192467986347465</v>
      </c>
      <c r="BB345" s="2" t="n">
        <f aca="false">AZ345/(Entrées!$C$151/100)-AY345</f>
        <v>1979.34511900327</v>
      </c>
      <c r="BC345" s="2" t="n">
        <f aca="false">AT345+(Entrées!$C$244-Entrées!$C$13)</f>
        <v>28276.6232937585</v>
      </c>
      <c r="BD345" s="2" t="n">
        <f aca="false">AA345*AQ345</f>
        <v>5777.39596694238</v>
      </c>
      <c r="BE345" s="2" t="n">
        <f aca="false">BD345/BC345</f>
        <v>0.204317039800775</v>
      </c>
      <c r="BF345" s="2" t="n">
        <f aca="false">BD345/(Entrées!$C$151/100)-BC345</f>
        <v>3820.02096703249</v>
      </c>
      <c r="BG345" s="2" t="n">
        <f aca="false">MIN(AV345,BF345)</f>
        <v>1137.48193647561</v>
      </c>
      <c r="BH345" s="2" t="n">
        <f aca="false">IF(AC345&gt;Hypothèses!$J$26,MAX(0,BG345)/(1-Hypothèses!$J$26/AC345),0)</f>
        <v>1742.92172390217</v>
      </c>
    </row>
    <row r="346" customFormat="false" ht="15" hidden="false" customHeight="false" outlineLevel="0" collapsed="false">
      <c r="A346" s="2" t="n">
        <v>331</v>
      </c>
      <c r="B346" s="2" t="n">
        <v>0.476095889</v>
      </c>
      <c r="C346" s="2"/>
      <c r="D346" s="2" t="n">
        <v>0.367398965</v>
      </c>
      <c r="E346" s="2" t="n">
        <f aca="false">IF(E$7=E$5,E$6,IF(NORMSDIST(E$9*SQRT($C$11)*NORMSINV($B346)+SQRT(1-E$9^2*$C$11)*NORMSINV(D346))&lt;E$8,E$5+SQRT(NORMSDIST(E$9*SQRT($C$11)*NORMSINV($B346)+SQRT(1-E$9^2*$C$11)*NORMSINV(D346))*(E$7-E$5)*(E$6-E$5)),E$7-SQRT((1-NORMSDIST(E$9*SQRT($C$11)*NORMSINV($B346)+SQRT(1-E$9^2*$C$11)*NORMSINV(D346)))*(E$7-E$5)*(E$7-E$6))))</f>
        <v>0.0543701776714063</v>
      </c>
      <c r="F346" s="2" t="n">
        <v>0.760085977</v>
      </c>
      <c r="G346" s="2" t="n">
        <f aca="false">IF(G$7=G$5,G$6,IF(NORMSDIST(G$9*SQRT($C$11)*NORMSINV($B346)+SQRT(1-G$9^2*$C$11)*NORMSINV(F346))&lt;G$8,G$5+SQRT(NORMSDIST(G$9*SQRT($C$11)*NORMSINV($B346)+SQRT(1-G$9^2*$C$11)*NORMSINV(F346))*(G$7-G$5)*(G$6-G$5)),G$7-SQRT((1-NORMSDIST(G$9*SQRT($C$11)*NORMSINV($B346)+SQRT(1-G$9^2*$C$11)*NORMSINV(F346)))*(G$7-G$5)*(G$7-G$6))))</f>
        <v>0.0582800629562409</v>
      </c>
      <c r="H346" s="2" t="n">
        <v>0.407205966</v>
      </c>
      <c r="I346" s="2" t="n">
        <f aca="false">IF(I$7=I$5,I$6,IF(NORMSDIST(I$9*SQRT($C$11)*NORMSINV($B346)+SQRT(1-I$9^2*$C$11)*NORMSINV(H346))&lt;I$8,I$5+SQRT(NORMSDIST(I$9*SQRT($C$11)*NORMSINV($B346)+SQRT(1-I$9^2*$C$11)*NORMSINV(H346))*(I$7-I$5)*(I$6-I$5)),I$7-SQRT((1-NORMSDIST(I$9*SQRT($C$11)*NORMSINV($B346)+SQRT(1-I$9^2*$C$11)*NORMSINV(H346)))*(I$7-I$5)*(I$7-I$6))))</f>
        <v>198.177666825129</v>
      </c>
      <c r="J346" s="2" t="n">
        <v>0.57436046</v>
      </c>
      <c r="K346" s="2" t="n">
        <f aca="false">IF(K$7=K$5,K$6,IF(NORMSDIST(K$9*SQRT($C$11)*NORMSINV($B346)+SQRT(1-K$9^2*$C$11)*NORMSINV(J346))&lt;K$8,K$5+SQRT(NORMSDIST(K$9*SQRT($C$11)*NORMSINV($B346)+SQRT(1-K$9^2*$C$11)*NORMSINV(J346))*(K$7-K$5)*(K$6-K$5)),K$7-SQRT((1-NORMSDIST(K$9*SQRT($C$11)*NORMSINV($B346)+SQRT(1-K$9^2*$C$11)*NORMSINV(J346)))*(K$7-K$5)*(K$7-K$6))))</f>
        <v>0.260920422939454</v>
      </c>
      <c r="L346" s="2" t="n">
        <v>0.782865265</v>
      </c>
      <c r="M346" s="2" t="n">
        <f aca="false">IF(M$7=M$5,M$6,IF(NORMSDIST(M$9*SQRT($C$11)*NORMSINV($B346)+SQRT(1-M$9^2*$C$11)*NORMSINV(L346))&lt;M$8,M$5+SQRT(NORMSDIST(M$9*SQRT($C$11)*NORMSINV($B346)+SQRT(1-M$9^2*$C$11)*NORMSINV(L346))*(M$7-M$5)*(M$6-M$5)),M$7-SQRT((1-NORMSDIST(M$9*SQRT($C$11)*NORMSINV($B346)+SQRT(1-M$9^2*$C$11)*NORMSINV(L346)))*(M$7-M$5)*(M$7-M$6))))</f>
        <v>1641.2449216268</v>
      </c>
      <c r="N346" s="2" t="n">
        <v>0.086191582</v>
      </c>
      <c r="O346" s="2" t="n">
        <f aca="false">IF(O$7=O$5,O$6,IF(NORMSDIST(O$9*SQRT($C$11)*NORMSINV($B346)+SQRT(1-O$9^2*$C$11)*NORMSINV(N346))&lt;O$8,O$5+SQRT(NORMSDIST(O$9*SQRT($C$11)*NORMSINV($B346)+SQRT(1-O$9^2*$C$11)*NORMSINV(N346))*(O$7-O$5)*(O$6-O$5)),O$7-SQRT((1-NORMSDIST(O$9*SQRT($C$11)*NORMSINV($B346)+SQRT(1-O$9^2*$C$11)*NORMSINV(N346)))*(O$7-O$5)*(O$7-O$6))))</f>
        <v>0.154008843054789</v>
      </c>
      <c r="P346" s="2" t="n">
        <v>0.048428979</v>
      </c>
      <c r="Q346" s="2" t="n">
        <f aca="false">IF(Q$7=Q$5,Q$6,IF(NORMSDIST(Q$9*SQRT($C$11)*NORMSINV($B346)+SQRT(1-Q$9^2*$C$11)*NORMSINV(P346))&lt;Q$8,Q$5+SQRT(NORMSDIST(Q$9*SQRT($C$11)*NORMSINV($B346)+SQRT(1-Q$9^2*$C$11)*NORMSINV(P346))*(Q$7-Q$5)*(Q$6-Q$5)),Q$7-SQRT((1-NORMSDIST(Q$9*SQRT($C$11)*NORMSINV($B346)+SQRT(1-Q$9^2*$C$11)*NORMSINV(P346)))*(Q$7-Q$5)*(Q$7-Q$6))))</f>
        <v>0.0524488044727195</v>
      </c>
      <c r="R346" s="2" t="n">
        <v>0.661967777</v>
      </c>
      <c r="S346" s="2" t="n">
        <f aca="false">IF(S$7=S$5,S$6,IF(NORMSDIST(S$9*SQRT($C$11)*NORMSINV($B346)+SQRT(1-S$9^2*$C$11)*NORMSINV(R346))&lt;S$8,S$5+SQRT(NORMSDIST(S$9*SQRT($C$11)*NORMSINV($B346)+SQRT(1-S$9^2*$C$11)*NORMSINV(R346))*(S$7-S$5)*(S$6-S$5)),S$7-SQRT((1-NORMSDIST(S$9*SQRT($C$11)*NORMSINV($B346)+SQRT(1-S$9^2*$C$11)*NORMSINV(R346)))*(S$7-S$5)*(S$7-S$6))))</f>
        <v>0.559807306009337</v>
      </c>
      <c r="T346" s="2" t="n">
        <v>0.320901265</v>
      </c>
      <c r="U346" s="2" t="n">
        <f aca="false">IF(U$7=U$5,U$6,IF(NORMSDIST(U$9*SQRT($C$11)*NORMSINV($B346)+SQRT(1-U$9^2*$C$11)*NORMSINV(T346))&lt;U$8,U$5+SQRT(NORMSDIST(U$9*SQRT($C$11)*NORMSINV($B346)+SQRT(1-U$9^2*$C$11)*NORMSINV(T346))*(U$7-U$5)*(U$6-U$5)),U$7-SQRT((1-NORMSDIST(U$9*SQRT($C$11)*NORMSINV($B346)+SQRT(1-U$9^2*$C$11)*NORMSINV(T346)))*(U$7-U$5)*(U$7-U$6))))</f>
        <v>0.415466364109285</v>
      </c>
      <c r="V346" s="2" t="n">
        <v>0.95876928</v>
      </c>
      <c r="W346" s="2" t="n">
        <f aca="false">IF(W$7=W$5,W$6,IF(NORMSDIST(W$9*SQRT($C$11)*NORMSINV($B346)+SQRT(1-W$9^2*$C$11)*NORMSINV(V346))&lt;W$8,W$5+SQRT(NORMSDIST(W$9*SQRT($C$11)*NORMSINV($B346)+SQRT(1-W$9^2*$C$11)*NORMSINV(V346))*(W$7-W$5)*(W$6-W$5)),W$7-SQRT((1-NORMSDIST(W$9*SQRT($C$11)*NORMSINV($B346)+SQRT(1-W$9^2*$C$11)*NORMSINV(V346)))*(W$7-W$5)*(W$7-W$6))))</f>
        <v>11.1256210975401</v>
      </c>
      <c r="X346" s="2" t="n">
        <v>0.013245541</v>
      </c>
      <c r="Y346" s="2" t="n">
        <f aca="false">IF(Y$7=Y$5,Y$6,IF(NORMSDIST(Y$9*SQRT($C$11)*NORMSINV($B346)+SQRT(1-Y$9^2*$C$11)*NORMSINV(X346))&lt;Y$8,Y$5+SQRT(NORMSDIST(Y$9*SQRT($C$11)*NORMSINV($B346)+SQRT(1-Y$9^2*$C$11)*NORMSINV(X346))*(Y$7-Y$5)*(Y$6-Y$5)),Y$7-SQRT((1-NORMSDIST(Y$9*SQRT($C$11)*NORMSINV($B346)+SQRT(1-Y$9^2*$C$11)*NORMSINV(X346)))*(Y$7-Y$5)*(Y$7-Y$6))))</f>
        <v>0.0813804061184264</v>
      </c>
      <c r="Z346" s="2" t="n">
        <v>0.976855763</v>
      </c>
      <c r="AA346" s="2" t="n">
        <f aca="false">IF(AA$7=AA$5,AA$6,IF(NORMSDIST(AA$9*SQRT($C$11)*NORMSINV($B346)+SQRT(1-AA$9^2*$C$11)*NORMSINV(Z346))&lt;AA$8,AA$5+SQRT(NORMSDIST(AA$9*SQRT($C$11)*NORMSINV($B346)+SQRT(1-AA$9^2*$C$11)*NORMSINV(Z346))*(AA$7-AA$5)*(AA$6-AA$5)),AA$7-SQRT((1-NORMSDIST(AA$9*SQRT($C$11)*NORMSINV($B346)+SQRT(1-AA$9^2*$C$11)*NORMSINV(Z346)))*(AA$7-AA$5)*(AA$7-AA$6))))</f>
        <v>0.744655298562166</v>
      </c>
      <c r="AB346" s="2" t="n">
        <v>0.861759314</v>
      </c>
      <c r="AC346" s="2" t="n">
        <f aca="false">IF(AC$7=AC$5,AC$6,IF(NORMSDIST(AC$9*SQRT($C$11)*NORMSINV($B346)+SQRT(1-AC$9^2*$C$11)*NORMSINV(AB346))&lt;AC$8,AC$5+SQRT(NORMSDIST(AC$9*SQRT($C$11)*NORMSINV($B346)+SQRT(1-AC$9^2*$C$11)*NORMSINV(AB346))*(AC$7-AC$5)*(AC$6-AC$5)),AC$7-SQRT((1-NORMSDIST(AC$9*SQRT($C$11)*NORMSINV($B346)+SQRT(1-AC$9^2*$C$11)*NORMSINV(AB346)))*(AC$7-AC$5)*(AC$7-AC$6))))</f>
        <v>10.0466280951027</v>
      </c>
      <c r="AD346" s="2" t="n">
        <f aca="false">Entrées!$C$8*(1+E346)</f>
        <v>7433.30975258342</v>
      </c>
      <c r="AE346" s="2" t="n">
        <f aca="false">I346*Hypothèses!$J$24/12/Hypothèses!$J$19</f>
        <v>98.3153062196485</v>
      </c>
      <c r="AF346" s="2" t="n">
        <f aca="false">Entrées!$C$36*S346*1000</f>
        <v>279.903653004668</v>
      </c>
      <c r="AG346" s="2" t="n">
        <f aca="false">-AF346/W346</f>
        <v>-25.1584743494956</v>
      </c>
      <c r="AH346" s="2" t="n">
        <f aca="false">AD346+AE346+AG346</f>
        <v>7506.46658445357</v>
      </c>
      <c r="AI346" s="2" t="n">
        <f aca="false">Entrées!$C$16-M346+Hypothèses!$J$22*1000-AF346+Hypothèses!$J$23</f>
        <v>22626.8514253685</v>
      </c>
      <c r="AJ346" s="2" t="n">
        <f aca="false">AI346/AH346</f>
        <v>3.01431454743706</v>
      </c>
      <c r="AK346" s="2" t="n">
        <f aca="false">AI346/(AH346+I346*(12-Hypothèses!$J$24)/12/Hypothèses!$J$19)</f>
        <v>2.98637611415925</v>
      </c>
      <c r="AL346" s="2" t="n">
        <f aca="false">(AD346+AG346+I346/Hypothèses!$J$19)*(1+G346)</f>
        <v>8018.26187847136</v>
      </c>
      <c r="AM346" s="2" t="n">
        <f aca="false">Entrées!$C$54*K346/Hypothèses!$J$19</f>
        <v>26.6280246950321</v>
      </c>
      <c r="AN346" s="2" t="n">
        <f aca="false">Y346*1000/AC346</f>
        <v>8.10027059308543</v>
      </c>
      <c r="AO346" s="2" t="n">
        <f aca="false">(Entrées!$C$36*(1-S346)+MAX(0,Entrées!$C$30-Entrées!$C$35-Entrées!$C$36)*U346)*1000</f>
        <v>801.749256748331</v>
      </c>
      <c r="AP346" s="2" t="n">
        <f aca="false">-AO346/W346</f>
        <v>-72.0633256983381</v>
      </c>
      <c r="AQ346" s="2" t="n">
        <f aca="false">AL346+AM346+AN346+AP346</f>
        <v>7980.92684806114</v>
      </c>
      <c r="AR346" s="2" t="n">
        <f aca="false">O346*AQ346-Hypothèses!$J$25/Hypothèses!$J$19</f>
        <v>1209.99814811318</v>
      </c>
      <c r="AS346" s="2" t="n">
        <f aca="false">Entrées!$C$79*(1+Q346)+Hypothèses!$J$20</f>
        <v>1451.64123611552</v>
      </c>
      <c r="AT346" s="2" t="n">
        <f aca="false">AI346-AR346+AS346+Y346*1000-AO346+Hypothèses!$J$23</f>
        <v>22148.125662741</v>
      </c>
      <c r="AU346" s="2" t="n">
        <f aca="false">AT346/AQ346</f>
        <v>2.7751320221813</v>
      </c>
      <c r="AV346" s="2" t="n">
        <f aca="false">Hypothèses!$J$26*AQ346-AT346</f>
        <v>1794.65488144245</v>
      </c>
      <c r="AW346" s="2" t="n">
        <f aca="false">IF(AC346&gt;Hypothèses!$J$26,MAX(0,AV346)/(1-Hypothèses!$J$26/AC346),0)</f>
        <v>2558.70324211429</v>
      </c>
      <c r="AX346" s="2" t="n">
        <f aca="false">AQ346-Entrées!$C$17*1000</f>
        <v>-19.0731519388582</v>
      </c>
      <c r="AY346" s="2" t="n">
        <f aca="false">AI346+(Entrées!$C$244-Entrées!$C$13)</f>
        <v>28373.8514253685</v>
      </c>
      <c r="AZ346" s="2" t="n">
        <f aca="false">AA346*AH346</f>
        <v>5589.73011559319</v>
      </c>
      <c r="BA346" s="2" t="n">
        <f aca="false">AZ346/AY346</f>
        <v>0.197002868302733</v>
      </c>
      <c r="BB346" s="2" t="n">
        <f aca="false">AZ346/(Entrées!$C$151/100)-AY346</f>
        <v>2680.20477237141</v>
      </c>
      <c r="BC346" s="2" t="n">
        <f aca="false">AT346+(Entrées!$C$244-Entrées!$C$13)</f>
        <v>27895.125662741</v>
      </c>
      <c r="BD346" s="2" t="n">
        <f aca="false">AA346*AQ346</f>
        <v>5943.03946484577</v>
      </c>
      <c r="BE346" s="2" t="n">
        <f aca="false">BD346/BC346</f>
        <v>0.213049388509613</v>
      </c>
      <c r="BF346" s="2" t="n">
        <f aca="false">BD346/(Entrées!$C$151/100)-BC346</f>
        <v>5121.76025306888</v>
      </c>
      <c r="BG346" s="2" t="n">
        <f aca="false">MIN(AV346,BF346)</f>
        <v>1794.65488144245</v>
      </c>
      <c r="BH346" s="2" t="n">
        <f aca="false">IF(AC346&gt;Hypothèses!$J$26,MAX(0,BG346)/(1-Hypothèses!$J$26/AC346),0)</f>
        <v>2558.70324211429</v>
      </c>
    </row>
    <row r="347" customFormat="false" ht="15" hidden="false" customHeight="false" outlineLevel="0" collapsed="false">
      <c r="A347" s="2" t="n">
        <v>332</v>
      </c>
      <c r="B347" s="2" t="n">
        <v>0.838851013</v>
      </c>
      <c r="C347" s="2"/>
      <c r="D347" s="2" t="n">
        <v>0.717248266</v>
      </c>
      <c r="E347" s="2" t="n">
        <f aca="false">IF(E$7=E$5,E$6,IF(NORMSDIST(E$9*SQRT($C$11)*NORMSINV($B347)+SQRT(1-E$9^2*$C$11)*NORMSINV(D347))&lt;E$8,E$5+SQRT(NORMSDIST(E$9*SQRT($C$11)*NORMSINV($B347)+SQRT(1-E$9^2*$C$11)*NORMSINV(D347))*(E$7-E$5)*(E$6-E$5)),E$7-SQRT((1-NORMSDIST(E$9*SQRT($C$11)*NORMSINV($B347)+SQRT(1-E$9^2*$C$11)*NORMSINV(D347)))*(E$7-E$5)*(E$7-E$6))))</f>
        <v>0.057334877580607</v>
      </c>
      <c r="F347" s="2" t="n">
        <v>0.353253419</v>
      </c>
      <c r="G347" s="2" t="n">
        <f aca="false">IF(G$7=G$5,G$6,IF(NORMSDIST(G$9*SQRT($C$11)*NORMSINV($B347)+SQRT(1-G$9^2*$C$11)*NORMSINV(F347))&lt;G$8,G$5+SQRT(NORMSDIST(G$9*SQRT($C$11)*NORMSINV($B347)+SQRT(1-G$9^2*$C$11)*NORMSINV(F347))*(G$7-G$5)*(G$6-G$5)),G$7-SQRT((1-NORMSDIST(G$9*SQRT($C$11)*NORMSINV($B347)+SQRT(1-G$9^2*$C$11)*NORMSINV(F347)))*(G$7-G$5)*(G$7-G$6))))</f>
        <v>0.0571125913948854</v>
      </c>
      <c r="H347" s="2" t="n">
        <v>0.161961435</v>
      </c>
      <c r="I347" s="2" t="n">
        <f aca="false">IF(I$7=I$5,I$6,IF(NORMSDIST(I$9*SQRT($C$11)*NORMSINV($B347)+SQRT(1-I$9^2*$C$11)*NORMSINV(H347))&lt;I$8,I$5+SQRT(NORMSDIST(I$9*SQRT($C$11)*NORMSINV($B347)+SQRT(1-I$9^2*$C$11)*NORMSINV(H347))*(I$7-I$5)*(I$6-I$5)),I$7-SQRT((1-NORMSDIST(I$9*SQRT($C$11)*NORMSINV($B347)+SQRT(1-I$9^2*$C$11)*NORMSINV(H347)))*(I$7-I$5)*(I$7-I$6))))</f>
        <v>198.869559624597</v>
      </c>
      <c r="J347" s="2" t="n">
        <v>0.232216605</v>
      </c>
      <c r="K347" s="2" t="n">
        <f aca="false">IF(K$7=K$5,K$6,IF(NORMSDIST(K$9*SQRT($C$11)*NORMSINV($B347)+SQRT(1-K$9^2*$C$11)*NORMSINV(J347))&lt;K$8,K$5+SQRT(NORMSDIST(K$9*SQRT($C$11)*NORMSINV($B347)+SQRT(1-K$9^2*$C$11)*NORMSINV(J347))*(K$7-K$5)*(K$6-K$5)),K$7-SQRT((1-NORMSDIST(K$9*SQRT($C$11)*NORMSINV($B347)+SQRT(1-K$9^2*$C$11)*NORMSINV(J347)))*(K$7-K$5)*(K$7-K$6))))</f>
        <v>0.255982614602796</v>
      </c>
      <c r="L347" s="2" t="n">
        <v>0.87532519</v>
      </c>
      <c r="M347" s="2" t="n">
        <f aca="false">IF(M$7=M$5,M$6,IF(NORMSDIST(M$9*SQRT($C$11)*NORMSINV($B347)+SQRT(1-M$9^2*$C$11)*NORMSINV(L347))&lt;M$8,M$5+SQRT(NORMSDIST(M$9*SQRT($C$11)*NORMSINV($B347)+SQRT(1-M$9^2*$C$11)*NORMSINV(L347))*(M$7-M$5)*(M$6-M$5)),M$7-SQRT((1-NORMSDIST(M$9*SQRT($C$11)*NORMSINV($B347)+SQRT(1-M$9^2*$C$11)*NORMSINV(L347)))*(M$7-M$5)*(M$7-M$6))))</f>
        <v>1720.25617716185</v>
      </c>
      <c r="N347" s="2" t="n">
        <v>0.955972132</v>
      </c>
      <c r="O347" s="2" t="n">
        <f aca="false">IF(O$7=O$5,O$6,IF(NORMSDIST(O$9*SQRT($C$11)*NORMSINV($B347)+SQRT(1-O$9^2*$C$11)*NORMSINV(N347))&lt;O$8,O$5+SQRT(NORMSDIST(O$9*SQRT($C$11)*NORMSINV($B347)+SQRT(1-O$9^2*$C$11)*NORMSINV(N347))*(O$7-O$5)*(O$6-O$5)),O$7-SQRT((1-NORMSDIST(O$9*SQRT($C$11)*NORMSINV($B347)+SQRT(1-O$9^2*$C$11)*NORMSINV(N347)))*(O$7-O$5)*(O$7-O$6))))</f>
        <v>0.184762446668382</v>
      </c>
      <c r="P347" s="2" t="n">
        <v>0.551408772</v>
      </c>
      <c r="Q347" s="2" t="n">
        <f aca="false">IF(Q$7=Q$5,Q$6,IF(NORMSDIST(Q$9*SQRT($C$11)*NORMSINV($B347)+SQRT(1-Q$9^2*$C$11)*NORMSINV(P347))&lt;Q$8,Q$5+SQRT(NORMSDIST(Q$9*SQRT($C$11)*NORMSINV($B347)+SQRT(1-Q$9^2*$C$11)*NORMSINV(P347))*(Q$7-Q$5)*(Q$6-Q$5)),Q$7-SQRT((1-NORMSDIST(Q$9*SQRT($C$11)*NORMSINV($B347)+SQRT(1-Q$9^2*$C$11)*NORMSINV(P347)))*(Q$7-Q$5)*(Q$7-Q$6))))</f>
        <v>0.082112113682603</v>
      </c>
      <c r="R347" s="2" t="n">
        <v>0.636393827</v>
      </c>
      <c r="S347" s="2" t="n">
        <f aca="false">IF(S$7=S$5,S$6,IF(NORMSDIST(S$9*SQRT($C$11)*NORMSINV($B347)+SQRT(1-S$9^2*$C$11)*NORMSINV(R347))&lt;S$8,S$5+SQRT(NORMSDIST(S$9*SQRT($C$11)*NORMSINV($B347)+SQRT(1-S$9^2*$C$11)*NORMSINV(R347))*(S$7-S$5)*(S$6-S$5)),S$7-SQRT((1-NORMSDIST(S$9*SQRT($C$11)*NORMSINV($B347)+SQRT(1-S$9^2*$C$11)*NORMSINV(R347)))*(S$7-S$5)*(S$7-S$6))))</f>
        <v>0.695797071351453</v>
      </c>
      <c r="T347" s="2" t="n">
        <v>0.742967936</v>
      </c>
      <c r="U347" s="2" t="n">
        <f aca="false">IF(U$7=U$5,U$6,IF(NORMSDIST(U$9*SQRT($C$11)*NORMSINV($B347)+SQRT(1-U$9^2*$C$11)*NORMSINV(T347))&lt;U$8,U$5+SQRT(NORMSDIST(U$9*SQRT($C$11)*NORMSINV($B347)+SQRT(1-U$9^2*$C$11)*NORMSINV(T347))*(U$7-U$5)*(U$6-U$5)),U$7-SQRT((1-NORMSDIST(U$9*SQRT($C$11)*NORMSINV($B347)+SQRT(1-U$9^2*$C$11)*NORMSINV(T347)))*(U$7-U$5)*(U$7-U$6))))</f>
        <v>0.746089829274676</v>
      </c>
      <c r="V347" s="2" t="n">
        <v>0.062483716</v>
      </c>
      <c r="W347" s="2" t="n">
        <f aca="false">IF(W$7=W$5,W$6,IF(NORMSDIST(W$9*SQRT($C$11)*NORMSINV($B347)+SQRT(1-W$9^2*$C$11)*NORMSINV(V347))&lt;W$8,W$5+SQRT(NORMSDIST(W$9*SQRT($C$11)*NORMSINV($B347)+SQRT(1-W$9^2*$C$11)*NORMSINV(V347))*(W$7-W$5)*(W$6-W$5)),W$7-SQRT((1-NORMSDIST(W$9*SQRT($C$11)*NORMSINV($B347)+SQRT(1-W$9^2*$C$11)*NORMSINV(V347)))*(W$7-W$5)*(W$7-W$6))))</f>
        <v>9.51499839255956</v>
      </c>
      <c r="X347" s="2" t="n">
        <v>0.106171025</v>
      </c>
      <c r="Y347" s="2" t="n">
        <f aca="false">IF(Y$7=Y$5,Y$6,IF(NORMSDIST(Y$9*SQRT($C$11)*NORMSINV($B347)+SQRT(1-Y$9^2*$C$11)*NORMSINV(X347))&lt;Y$8,Y$5+SQRT(NORMSDIST(Y$9*SQRT($C$11)*NORMSINV($B347)+SQRT(1-Y$9^2*$C$11)*NORMSINV(X347))*(Y$7-Y$5)*(Y$6-Y$5)),Y$7-SQRT((1-NORMSDIST(Y$9*SQRT($C$11)*NORMSINV($B347)+SQRT(1-Y$9^2*$C$11)*NORMSINV(X347)))*(Y$7-Y$5)*(Y$7-Y$6))))</f>
        <v>0.230402935094152</v>
      </c>
      <c r="Z347" s="2" t="n">
        <v>0.52884036</v>
      </c>
      <c r="AA347" s="2" t="n">
        <f aca="false">IF(AA$7=AA$5,AA$6,IF(NORMSDIST(AA$9*SQRT($C$11)*NORMSINV($B347)+SQRT(1-AA$9^2*$C$11)*NORMSINV(Z347))&lt;AA$8,AA$5+SQRT(NORMSDIST(AA$9*SQRT($C$11)*NORMSINV($B347)+SQRT(1-AA$9^2*$C$11)*NORMSINV(Z347))*(AA$7-AA$5)*(AA$6-AA$5)),AA$7-SQRT((1-NORMSDIST(AA$9*SQRT($C$11)*NORMSINV($B347)+SQRT(1-AA$9^2*$C$11)*NORMSINV(Z347)))*(AA$7-AA$5)*(AA$7-AA$6))))</f>
        <v>0.736029912544353</v>
      </c>
      <c r="AB347" s="2" t="n">
        <v>0.196705708</v>
      </c>
      <c r="AC347" s="2" t="n">
        <f aca="false">IF(AC$7=AC$5,AC$6,IF(NORMSDIST(AC$9*SQRT($C$11)*NORMSINV($B347)+SQRT(1-AC$9^2*$C$11)*NORMSINV(AB347))&lt;AC$8,AC$5+SQRT(NORMSDIST(AC$9*SQRT($C$11)*NORMSINV($B347)+SQRT(1-AC$9^2*$C$11)*NORMSINV(AB347))*(AC$7-AC$5)*(AC$6-AC$5)),AC$7-SQRT((1-NORMSDIST(AC$9*SQRT($C$11)*NORMSINV($B347)+SQRT(1-AC$9^2*$C$11)*NORMSINV(AB347)))*(AC$7-AC$5)*(AC$7-AC$6))))</f>
        <v>9.44915042855539</v>
      </c>
      <c r="AD347" s="2" t="n">
        <f aca="false">Entrées!$C$8*(1+E347)</f>
        <v>7454.21088694328</v>
      </c>
      <c r="AE347" s="2" t="n">
        <f aca="false">I347*Hypothèses!$J$24/12/Hypothèses!$J$19</f>
        <v>98.6585520229752</v>
      </c>
      <c r="AF347" s="2" t="n">
        <f aca="false">Entrées!$C$36*S347*1000</f>
        <v>347.898535675727</v>
      </c>
      <c r="AG347" s="2" t="n">
        <f aca="false">-AF347/W347</f>
        <v>-36.5631733524803</v>
      </c>
      <c r="AH347" s="2" t="n">
        <f aca="false">AD347+AE347+AG347</f>
        <v>7516.30626561377</v>
      </c>
      <c r="AI347" s="2" t="n">
        <f aca="false">Entrées!$C$16-M347+Hypothèses!$J$22*1000-AF347+Hypothèses!$J$23</f>
        <v>22479.8452871624</v>
      </c>
      <c r="AJ347" s="2" t="n">
        <f aca="false">AI347/AH347</f>
        <v>2.99081017893125</v>
      </c>
      <c r="AK347" s="2" t="n">
        <f aca="false">AI347/(AH347+I347*(12-Hypothèses!$J$24)/12/Hypothèses!$J$19)</f>
        <v>2.96302979444918</v>
      </c>
      <c r="AL347" s="2" t="n">
        <f aca="false">(AD347+AG347+I347/Hypothèses!$J$19)*(1+G347)</f>
        <v>8020.07713529793</v>
      </c>
      <c r="AM347" s="2" t="n">
        <f aca="false">Entrées!$C$54*K347/Hypothèses!$J$19</f>
        <v>26.1241006217588</v>
      </c>
      <c r="AN347" s="2" t="n">
        <f aca="false">Y347*1000/AC347</f>
        <v>24.3834550879699</v>
      </c>
      <c r="AO347" s="2" t="n">
        <f aca="false">(Entrées!$C$36*(1-S347)+MAX(0,Entrées!$C$30-Entrées!$C$35-Entrées!$C$36)*U347)*1000</f>
        <v>1196.62722530882</v>
      </c>
      <c r="AP347" s="2" t="n">
        <f aca="false">-AO347/W347</f>
        <v>-125.762209927912</v>
      </c>
      <c r="AQ347" s="2" t="n">
        <f aca="false">AL347+AM347+AN347+AP347</f>
        <v>7944.82248107975</v>
      </c>
      <c r="AR347" s="2" t="n">
        <f aca="false">O347*AQ347-Hypothèses!$J$25/Hypothèses!$J$19</f>
        <v>1448.76967768863</v>
      </c>
      <c r="AS347" s="2" t="n">
        <f aca="false">Entrées!$C$79*(1+Q347)+Hypothèses!$J$20</f>
        <v>1484.24121293718</v>
      </c>
      <c r="AT347" s="2" t="n">
        <f aca="false">AI347-AR347+AS347+Y347*1000-AO347+Hypothèses!$J$23</f>
        <v>21549.0925321963</v>
      </c>
      <c r="AU347" s="2" t="n">
        <f aca="false">AT347/AQ347</f>
        <v>2.71234411889184</v>
      </c>
      <c r="AV347" s="2" t="n">
        <f aca="false">Hypothèses!$J$26*AQ347-AT347</f>
        <v>2285.37491104294</v>
      </c>
      <c r="AW347" s="2" t="n">
        <f aca="false">IF(AC347&gt;Hypothèses!$J$26,MAX(0,AV347)/(1-Hypothèses!$J$26/AC347),0)</f>
        <v>3348.48001443322</v>
      </c>
      <c r="AX347" s="2" t="n">
        <f aca="false">AQ347-Entrées!$C$17*1000</f>
        <v>-55.1775189202535</v>
      </c>
      <c r="AY347" s="2" t="n">
        <f aca="false">AI347+(Entrées!$C$244-Entrées!$C$13)</f>
        <v>28226.8452871624</v>
      </c>
      <c r="AZ347" s="2" t="n">
        <f aca="false">AA347*AH347</f>
        <v>5532.22624333628</v>
      </c>
      <c r="BA347" s="2" t="n">
        <f aca="false">AZ347/AY347</f>
        <v>0.195991659253978</v>
      </c>
      <c r="BB347" s="2" t="n">
        <f aca="false">AZ347/(Entrées!$C$151/100)-AY347</f>
        <v>2507.7449535947</v>
      </c>
      <c r="BC347" s="2" t="n">
        <f aca="false">AT347+(Entrées!$C$244-Entrées!$C$13)</f>
        <v>27296.0925321963</v>
      </c>
      <c r="BD347" s="2" t="n">
        <f aca="false">AA347*AQ347</f>
        <v>5847.62699592954</v>
      </c>
      <c r="BE347" s="2" t="n">
        <f aca="false">BD347/BC347</f>
        <v>0.214229453868979</v>
      </c>
      <c r="BF347" s="2" t="n">
        <f aca="false">BD347/(Entrées!$C$151/100)-BC347</f>
        <v>5190.72411185669</v>
      </c>
      <c r="BG347" s="2" t="n">
        <f aca="false">MIN(AV347,BF347)</f>
        <v>2285.37491104294</v>
      </c>
      <c r="BH347" s="2" t="n">
        <f aca="false">IF(AC347&gt;Hypothèses!$J$26,MAX(0,BG347)/(1-Hypothèses!$J$26/AC347),0)</f>
        <v>3348.48001443322</v>
      </c>
    </row>
    <row r="348" customFormat="false" ht="15" hidden="false" customHeight="false" outlineLevel="0" collapsed="false">
      <c r="A348" s="2" t="n">
        <v>333</v>
      </c>
      <c r="B348" s="2" t="n">
        <v>0.914831255</v>
      </c>
      <c r="C348" s="2"/>
      <c r="D348" s="2" t="n">
        <v>0.450402146</v>
      </c>
      <c r="E348" s="2" t="n">
        <f aca="false">IF(E$7=E$5,E$6,IF(NORMSDIST(E$9*SQRT($C$11)*NORMSINV($B348)+SQRT(1-E$9^2*$C$11)*NORMSINV(D348))&lt;E$8,E$5+SQRT(NORMSDIST(E$9*SQRT($C$11)*NORMSINV($B348)+SQRT(1-E$9^2*$C$11)*NORMSINV(D348))*(E$7-E$5)*(E$6-E$5)),E$7-SQRT((1-NORMSDIST(E$9*SQRT($C$11)*NORMSINV($B348)+SQRT(1-E$9^2*$C$11)*NORMSINV(D348)))*(E$7-E$5)*(E$7-E$6))))</f>
        <v>0.0566798696094963</v>
      </c>
      <c r="F348" s="2" t="n">
        <v>0.004170152</v>
      </c>
      <c r="G348" s="2" t="n">
        <f aca="false">IF(G$7=G$5,G$6,IF(NORMSDIST(G$9*SQRT($C$11)*NORMSINV($B348)+SQRT(1-G$9^2*$C$11)*NORMSINV(F348))&lt;G$8,G$5+SQRT(NORMSDIST(G$9*SQRT($C$11)*NORMSINV($B348)+SQRT(1-G$9^2*$C$11)*NORMSINV(F348))*(G$7-G$5)*(G$6-G$5)),G$7-SQRT((1-NORMSDIST(G$9*SQRT($C$11)*NORMSINV($B348)+SQRT(1-G$9^2*$C$11)*NORMSINV(F348)))*(G$7-G$5)*(G$7-G$6))))</f>
        <v>0.047341082039766</v>
      </c>
      <c r="H348" s="2" t="n">
        <v>0.867225617</v>
      </c>
      <c r="I348" s="2" t="n">
        <f aca="false">IF(I$7=I$5,I$6,IF(NORMSDIST(I$9*SQRT($C$11)*NORMSINV($B348)+SQRT(1-I$9^2*$C$11)*NORMSINV(H348))&lt;I$8,I$5+SQRT(NORMSDIST(I$9*SQRT($C$11)*NORMSINV($B348)+SQRT(1-I$9^2*$C$11)*NORMSINV(H348))*(I$7-I$5)*(I$6-I$5)),I$7-SQRT((1-NORMSDIST(I$9*SQRT($C$11)*NORMSINV($B348)+SQRT(1-I$9^2*$C$11)*NORMSINV(H348)))*(I$7-I$5)*(I$7-I$6))))</f>
        <v>214.21366611528</v>
      </c>
      <c r="J348" s="2" t="n">
        <v>0.598217711</v>
      </c>
      <c r="K348" s="2" t="n">
        <f aca="false">IF(K$7=K$5,K$6,IF(NORMSDIST(K$9*SQRT($C$11)*NORMSINV($B348)+SQRT(1-K$9^2*$C$11)*NORMSINV(J348))&lt;K$8,K$5+SQRT(NORMSDIST(K$9*SQRT($C$11)*NORMSINV($B348)+SQRT(1-K$9^2*$C$11)*NORMSINV(J348))*(K$7-K$5)*(K$6-K$5)),K$7-SQRT((1-NORMSDIST(K$9*SQRT($C$11)*NORMSINV($B348)+SQRT(1-K$9^2*$C$11)*NORMSINV(J348)))*(K$7-K$5)*(K$7-K$6))))</f>
        <v>0.365552982870708</v>
      </c>
      <c r="L348" s="2" t="n">
        <v>0.063574633</v>
      </c>
      <c r="M348" s="2" t="n">
        <f aca="false">IF(M$7=M$5,M$6,IF(NORMSDIST(M$9*SQRT($C$11)*NORMSINV($B348)+SQRT(1-M$9^2*$C$11)*NORMSINV(L348))&lt;M$8,M$5+SQRT(NORMSDIST(M$9*SQRT($C$11)*NORMSINV($B348)+SQRT(1-M$9^2*$C$11)*NORMSINV(L348))*(M$7-M$5)*(M$6-M$5)),M$7-SQRT((1-NORMSDIST(M$9*SQRT($C$11)*NORMSINV($B348)+SQRT(1-M$9^2*$C$11)*NORMSINV(L348)))*(M$7-M$5)*(M$7-M$6))))</f>
        <v>1548.07000346254</v>
      </c>
      <c r="N348" s="2" t="n">
        <v>0.703931983</v>
      </c>
      <c r="O348" s="2" t="n">
        <f aca="false">IF(O$7=O$5,O$6,IF(NORMSDIST(O$9*SQRT($C$11)*NORMSINV($B348)+SQRT(1-O$9^2*$C$11)*NORMSINV(N348))&lt;O$8,O$5+SQRT(NORMSDIST(O$9*SQRT($C$11)*NORMSINV($B348)+SQRT(1-O$9^2*$C$11)*NORMSINV(N348))*(O$7-O$5)*(O$6-O$5)),O$7-SQRT((1-NORMSDIST(O$9*SQRT($C$11)*NORMSINV($B348)+SQRT(1-O$9^2*$C$11)*NORMSINV(N348)))*(O$7-O$5)*(O$7-O$6))))</f>
        <v>0.179684722161016</v>
      </c>
      <c r="P348" s="2" t="n">
        <v>0.831121704</v>
      </c>
      <c r="Q348" s="2" t="n">
        <f aca="false">IF(Q$7=Q$5,Q$6,IF(NORMSDIST(Q$9*SQRT($C$11)*NORMSINV($B348)+SQRT(1-Q$9^2*$C$11)*NORMSINV(P348))&lt;Q$8,Q$5+SQRT(NORMSDIST(Q$9*SQRT($C$11)*NORMSINV($B348)+SQRT(1-Q$9^2*$C$11)*NORMSINV(P348))*(Q$7-Q$5)*(Q$6-Q$5)),Q$7-SQRT((1-NORMSDIST(Q$9*SQRT($C$11)*NORMSINV($B348)+SQRT(1-Q$9^2*$C$11)*NORMSINV(P348)))*(Q$7-Q$5)*(Q$7-Q$6))))</f>
        <v>0.0967532680318287</v>
      </c>
      <c r="R348" s="2" t="n">
        <v>0.661268212</v>
      </c>
      <c r="S348" s="2" t="n">
        <f aca="false">IF(S$7=S$5,S$6,IF(NORMSDIST(S$9*SQRT($C$11)*NORMSINV($B348)+SQRT(1-S$9^2*$C$11)*NORMSINV(R348))&lt;S$8,S$5+SQRT(NORMSDIST(S$9*SQRT($C$11)*NORMSINV($B348)+SQRT(1-S$9^2*$C$11)*NORMSINV(R348))*(S$7-S$5)*(S$6-S$5)),S$7-SQRT((1-NORMSDIST(S$9*SQRT($C$11)*NORMSINV($B348)+SQRT(1-S$9^2*$C$11)*NORMSINV(R348)))*(S$7-S$5)*(S$7-S$6))))</f>
        <v>0.757975863269974</v>
      </c>
      <c r="T348" s="2" t="n">
        <v>0.003001403</v>
      </c>
      <c r="U348" s="2" t="n">
        <f aca="false">IF(U$7=U$5,U$6,IF(NORMSDIST(U$9*SQRT($C$11)*NORMSINV($B348)+SQRT(1-U$9^2*$C$11)*NORMSINV(T348))&lt;U$8,U$5+SQRT(NORMSDIST(U$9*SQRT($C$11)*NORMSINV($B348)+SQRT(1-U$9^2*$C$11)*NORMSINV(T348))*(U$7-U$5)*(U$6-U$5)),U$7-SQRT((1-NORMSDIST(U$9*SQRT($C$11)*NORMSINV($B348)+SQRT(1-U$9^2*$C$11)*NORMSINV(T348)))*(U$7-U$5)*(U$7-U$6))))</f>
        <v>0.227629992452043</v>
      </c>
      <c r="V348" s="2" t="n">
        <v>0.082676494</v>
      </c>
      <c r="W348" s="2" t="n">
        <f aca="false">IF(W$7=W$5,W$6,IF(NORMSDIST(W$9*SQRT($C$11)*NORMSINV($B348)+SQRT(1-W$9^2*$C$11)*NORMSINV(V348))&lt;W$8,W$5+SQRT(NORMSDIST(W$9*SQRT($C$11)*NORMSINV($B348)+SQRT(1-W$9^2*$C$11)*NORMSINV(V348))*(W$7-W$5)*(W$6-W$5)),W$7-SQRT((1-NORMSDIST(W$9*SQRT($C$11)*NORMSINV($B348)+SQRT(1-W$9^2*$C$11)*NORMSINV(V348)))*(W$7-W$5)*(W$7-W$6))))</f>
        <v>9.82831394594938</v>
      </c>
      <c r="X348" s="2" t="n">
        <v>0.113302615</v>
      </c>
      <c r="Y348" s="2" t="n">
        <f aca="false">IF(Y$7=Y$5,Y$6,IF(NORMSDIST(Y$9*SQRT($C$11)*NORMSINV($B348)+SQRT(1-Y$9^2*$C$11)*NORMSINV(X348))&lt;Y$8,Y$5+SQRT(NORMSDIST(Y$9*SQRT($C$11)*NORMSINV($B348)+SQRT(1-Y$9^2*$C$11)*NORMSINV(X348))*(Y$7-Y$5)*(Y$6-Y$5)),Y$7-SQRT((1-NORMSDIST(Y$9*SQRT($C$11)*NORMSINV($B348)+SQRT(1-Y$9^2*$C$11)*NORMSINV(X348)))*(Y$7-Y$5)*(Y$7-Y$6))))</f>
        <v>0.238015351395661</v>
      </c>
      <c r="Z348" s="2" t="n">
        <v>0.650777744</v>
      </c>
      <c r="AA348" s="2" t="n">
        <f aca="false">IF(AA$7=AA$5,AA$6,IF(NORMSDIST(AA$9*SQRT($C$11)*NORMSINV($B348)+SQRT(1-AA$9^2*$C$11)*NORMSINV(Z348))&lt;AA$8,AA$5+SQRT(NORMSDIST(AA$9*SQRT($C$11)*NORMSINV($B348)+SQRT(1-AA$9^2*$C$11)*NORMSINV(Z348))*(AA$7-AA$5)*(AA$6-AA$5)),AA$7-SQRT((1-NORMSDIST(AA$9*SQRT($C$11)*NORMSINV($B348)+SQRT(1-AA$9^2*$C$11)*NORMSINV(Z348)))*(AA$7-AA$5)*(AA$7-AA$6))))</f>
        <v>0.741371311753279</v>
      </c>
      <c r="AB348" s="2" t="n">
        <v>0.731019006</v>
      </c>
      <c r="AC348" s="2" t="n">
        <f aca="false">IF(AC$7=AC$5,AC$6,IF(NORMSDIST(AC$9*SQRT($C$11)*NORMSINV($B348)+SQRT(1-AC$9^2*$C$11)*NORMSINV(AB348))&lt;AC$8,AC$5+SQRT(NORMSDIST(AC$9*SQRT($C$11)*NORMSINV($B348)+SQRT(1-AC$9^2*$C$11)*NORMSINV(AB348))*(AC$7-AC$5)*(AC$6-AC$5)),AC$7-SQRT((1-NORMSDIST(AC$9*SQRT($C$11)*NORMSINV($B348)+SQRT(1-AC$9^2*$C$11)*NORMSINV(AB348)))*(AC$7-AC$5)*(AC$7-AC$6))))</f>
        <v>10.3784233982885</v>
      </c>
      <c r="AD348" s="2" t="n">
        <f aca="false">Entrées!$C$8*(1+E348)</f>
        <v>7449.59308074695</v>
      </c>
      <c r="AE348" s="2" t="n">
        <f aca="false">I348*Hypothèses!$J$24/12/Hypothèses!$J$19</f>
        <v>106.27071414228</v>
      </c>
      <c r="AF348" s="2" t="n">
        <f aca="false">Entrées!$C$36*S348*1000</f>
        <v>378.987931634987</v>
      </c>
      <c r="AG348" s="2" t="n">
        <f aca="false">-AF348/W348</f>
        <v>-38.5608288175595</v>
      </c>
      <c r="AH348" s="2" t="n">
        <f aca="false">AD348+AE348+AG348</f>
        <v>7517.30296607167</v>
      </c>
      <c r="AI348" s="2" t="n">
        <f aca="false">Entrées!$C$16-M348+Hypothèses!$J$22*1000-AF348+Hypothèses!$J$23</f>
        <v>22620.9420649025</v>
      </c>
      <c r="AJ348" s="2" t="n">
        <f aca="false">AI348/AH348</f>
        <v>3.00918323592903</v>
      </c>
      <c r="AK348" s="2" t="n">
        <f aca="false">AI348/(AH348+I348*(12-Hypothèses!$J$24)/12/Hypothèses!$J$19)</f>
        <v>2.97910109436565</v>
      </c>
      <c r="AL348" s="2" t="n">
        <f aca="false">(AD348+AG348+I348/Hypothèses!$J$19)*(1+G348)</f>
        <v>7952.68142589118</v>
      </c>
      <c r="AM348" s="2" t="n">
        <f aca="false">Entrées!$C$54*K348/Hypothèses!$J$19</f>
        <v>37.306216759746</v>
      </c>
      <c r="AN348" s="2" t="n">
        <f aca="false">Y348*1000/AC348</f>
        <v>22.9336713546407</v>
      </c>
      <c r="AO348" s="2" t="n">
        <f aca="false">(Entrées!$C$36*(1-S348)+MAX(0,Entrées!$C$30-Entrées!$C$35-Entrées!$C$36)*U348)*1000</f>
        <v>439.694057797873</v>
      </c>
      <c r="AP348" s="2" t="n">
        <f aca="false">-AO348/W348</f>
        <v>-44.7374860241504</v>
      </c>
      <c r="AQ348" s="2" t="n">
        <f aca="false">AL348+AM348+AN348+AP348</f>
        <v>7968.18382798142</v>
      </c>
      <c r="AR348" s="2" t="n">
        <f aca="false">O348*AQ348-Hypothèses!$J$25/Hypothèses!$J$19</f>
        <v>1412.62573499711</v>
      </c>
      <c r="AS348" s="2" t="n">
        <f aca="false">Entrées!$C$79*(1+Q348)+Hypothèses!$J$20</f>
        <v>1500.33184156698</v>
      </c>
      <c r="AT348" s="2" t="n">
        <f aca="false">AI348-AR348+AS348+Y348*1000-AO348+Hypothèses!$J$23</f>
        <v>22506.9694650701</v>
      </c>
      <c r="AU348" s="2" t="n">
        <f aca="false">AT348/AQ348</f>
        <v>2.8246046967483</v>
      </c>
      <c r="AV348" s="2" t="n">
        <f aca="false">Hypothèses!$J$26*AQ348-AT348</f>
        <v>1397.58201887413</v>
      </c>
      <c r="AW348" s="2" t="n">
        <f aca="false">IF(AC348&gt;Hypothèses!$J$26,MAX(0,AV348)/(1-Hypothèses!$J$26/AC348),0)</f>
        <v>1965.82618572351</v>
      </c>
      <c r="AX348" s="2" t="n">
        <f aca="false">AQ348-Entrées!$C$17*1000</f>
        <v>-31.8161720185808</v>
      </c>
      <c r="AY348" s="2" t="n">
        <f aca="false">AI348+(Entrées!$C$244-Entrées!$C$13)</f>
        <v>28367.9420649025</v>
      </c>
      <c r="AZ348" s="2" t="n">
        <f aca="false">AA348*AH348</f>
        <v>5573.11276080337</v>
      </c>
      <c r="BA348" s="2" t="n">
        <f aca="false">AZ348/AY348</f>
        <v>0.196458126855052</v>
      </c>
      <c r="BB348" s="2" t="n">
        <f aca="false">AZ348/(Entrées!$C$151/100)-AY348</f>
        <v>2593.79549511624</v>
      </c>
      <c r="BC348" s="2" t="n">
        <f aca="false">AT348+(Entrées!$C$244-Entrées!$C$13)</f>
        <v>28253.9694650701</v>
      </c>
      <c r="BD348" s="2" t="n">
        <f aca="false">AA348*AQ348</f>
        <v>5907.38289684185</v>
      </c>
      <c r="BE348" s="2" t="n">
        <f aca="false">BD348/BC348</f>
        <v>0.209081520532718</v>
      </c>
      <c r="BF348" s="2" t="n">
        <f aca="false">BD348/(Entrées!$C$151/100)-BC348</f>
        <v>4564.82440627348</v>
      </c>
      <c r="BG348" s="2" t="n">
        <f aca="false">MIN(AV348,BF348)</f>
        <v>1397.58201887413</v>
      </c>
      <c r="BH348" s="2" t="n">
        <f aca="false">IF(AC348&gt;Hypothèses!$J$26,MAX(0,BG348)/(1-Hypothèses!$J$26/AC348),0)</f>
        <v>1965.82618572351</v>
      </c>
    </row>
    <row r="349" customFormat="false" ht="15" hidden="false" customHeight="false" outlineLevel="0" collapsed="false">
      <c r="A349" s="2" t="n">
        <v>334</v>
      </c>
      <c r="B349" s="2" t="n">
        <v>0.410441274</v>
      </c>
      <c r="C349" s="2"/>
      <c r="D349" s="2" t="n">
        <v>0.323049704</v>
      </c>
      <c r="E349" s="2" t="n">
        <f aca="false">IF(E$7=E$5,E$6,IF(NORMSDIST(E$9*SQRT($C$11)*NORMSINV($B349)+SQRT(1-E$9^2*$C$11)*NORMSINV(D349))&lt;E$8,E$5+SQRT(NORMSDIST(E$9*SQRT($C$11)*NORMSINV($B349)+SQRT(1-E$9^2*$C$11)*NORMSINV(D349))*(E$7-E$5)*(E$6-E$5)),E$7-SQRT((1-NORMSDIST(E$9*SQRT($C$11)*NORMSINV($B349)+SQRT(1-E$9^2*$C$11)*NORMSINV(D349)))*(E$7-E$5)*(E$7-E$6))))</f>
        <v>0.0539302171705081</v>
      </c>
      <c r="F349" s="2" t="n">
        <v>0.565946915</v>
      </c>
      <c r="G349" s="2" t="n">
        <f aca="false">IF(G$7=G$5,G$6,IF(NORMSDIST(G$9*SQRT($C$11)*NORMSINV($B349)+SQRT(1-G$9^2*$C$11)*NORMSINV(F349))&lt;G$8,G$5+SQRT(NORMSDIST(G$9*SQRT($C$11)*NORMSINV($B349)+SQRT(1-G$9^2*$C$11)*NORMSINV(F349))*(G$7-G$5)*(G$6-G$5)),G$7-SQRT((1-NORMSDIST(G$9*SQRT($C$11)*NORMSINV($B349)+SQRT(1-G$9^2*$C$11)*NORMSINV(F349)))*(G$7-G$5)*(G$7-G$6))))</f>
        <v>0.0549126121696451</v>
      </c>
      <c r="H349" s="2" t="n">
        <v>0.827417937</v>
      </c>
      <c r="I349" s="2" t="n">
        <f aca="false">IF(I$7=I$5,I$6,IF(NORMSDIST(I$9*SQRT($C$11)*NORMSINV($B349)+SQRT(1-I$9^2*$C$11)*NORMSINV(H349))&lt;I$8,I$5+SQRT(NORMSDIST(I$9*SQRT($C$11)*NORMSINV($B349)+SQRT(1-I$9^2*$C$11)*NORMSINV(H349))*(I$7-I$5)*(I$6-I$5)),I$7-SQRT((1-NORMSDIST(I$9*SQRT($C$11)*NORMSINV($B349)+SQRT(1-I$9^2*$C$11)*NORMSINV(H349)))*(I$7-I$5)*(I$7-I$6))))</f>
        <v>205.080081816395</v>
      </c>
      <c r="J349" s="2" t="n">
        <v>0.884591928</v>
      </c>
      <c r="K349" s="2" t="n">
        <f aca="false">IF(K$7=K$5,K$6,IF(NORMSDIST(K$9*SQRT($C$11)*NORMSINV($B349)+SQRT(1-K$9^2*$C$11)*NORMSINV(J349))&lt;K$8,K$5+SQRT(NORMSDIST(K$9*SQRT($C$11)*NORMSINV($B349)+SQRT(1-K$9^2*$C$11)*NORMSINV(J349))*(K$7-K$5)*(K$6-K$5)),K$7-SQRT((1-NORMSDIST(K$9*SQRT($C$11)*NORMSINV($B349)+SQRT(1-K$9^2*$C$11)*NORMSINV(J349)))*(K$7-K$5)*(K$7-K$6))))</f>
        <v>0.335594018045128</v>
      </c>
      <c r="L349" s="2" t="n">
        <v>0.455804925</v>
      </c>
      <c r="M349" s="2" t="n">
        <f aca="false">IF(M$7=M$5,M$6,IF(NORMSDIST(M$9*SQRT($C$11)*NORMSINV($B349)+SQRT(1-M$9^2*$C$11)*NORMSINV(L349))&lt;M$8,M$5+SQRT(NORMSDIST(M$9*SQRT($C$11)*NORMSINV($B349)+SQRT(1-M$9^2*$C$11)*NORMSINV(L349))*(M$7-M$5)*(M$6-M$5)),M$7-SQRT((1-NORMSDIST(M$9*SQRT($C$11)*NORMSINV($B349)+SQRT(1-M$9^2*$C$11)*NORMSINV(L349)))*(M$7-M$5)*(M$7-M$6))))</f>
        <v>1558.5004795879</v>
      </c>
      <c r="N349" s="2" t="n">
        <v>0.64763016</v>
      </c>
      <c r="O349" s="2" t="n">
        <f aca="false">IF(O$7=O$5,O$6,IF(NORMSDIST(O$9*SQRT($C$11)*NORMSINV($B349)+SQRT(1-O$9^2*$C$11)*NORMSINV(N349))&lt;O$8,O$5+SQRT(NORMSDIST(O$9*SQRT($C$11)*NORMSINV($B349)+SQRT(1-O$9^2*$C$11)*NORMSINV(N349))*(O$7-O$5)*(O$6-O$5)),O$7-SQRT((1-NORMSDIST(O$9*SQRT($C$11)*NORMSINV($B349)+SQRT(1-O$9^2*$C$11)*NORMSINV(N349)))*(O$7-O$5)*(O$7-O$6))))</f>
        <v>0.168339600350357</v>
      </c>
      <c r="P349" s="2" t="n">
        <v>0.434482411</v>
      </c>
      <c r="Q349" s="2" t="n">
        <f aca="false">IF(Q$7=Q$5,Q$6,IF(NORMSDIST(Q$9*SQRT($C$11)*NORMSINV($B349)+SQRT(1-Q$9^2*$C$11)*NORMSINV(P349))&lt;Q$8,Q$5+SQRT(NORMSDIST(Q$9*SQRT($C$11)*NORMSINV($B349)+SQRT(1-Q$9^2*$C$11)*NORMSINV(P349))*(Q$7-Q$5)*(Q$6-Q$5)),Q$7-SQRT((1-NORMSDIST(Q$9*SQRT($C$11)*NORMSINV($B349)+SQRT(1-Q$9^2*$C$11)*NORMSINV(P349)))*(Q$7-Q$5)*(Q$7-Q$6))))</f>
        <v>0.0772873130595381</v>
      </c>
      <c r="R349" s="2" t="n">
        <v>0.497831961</v>
      </c>
      <c r="S349" s="2" t="n">
        <f aca="false">IF(S$7=S$5,S$6,IF(NORMSDIST(S$9*SQRT($C$11)*NORMSINV($B349)+SQRT(1-S$9^2*$C$11)*NORMSINV(R349))&lt;S$8,S$5+SQRT(NORMSDIST(S$9*SQRT($C$11)*NORMSINV($B349)+SQRT(1-S$9^2*$C$11)*NORMSINV(R349))*(S$7-S$5)*(S$6-S$5)),S$7-SQRT((1-NORMSDIST(S$9*SQRT($C$11)*NORMSINV($B349)+SQRT(1-S$9^2*$C$11)*NORMSINV(R349)))*(S$7-S$5)*(S$7-S$6))))</f>
        <v>0.469790726187474</v>
      </c>
      <c r="T349" s="2" t="n">
        <v>0.416508636</v>
      </c>
      <c r="U349" s="2" t="n">
        <f aca="false">IF(U$7=U$5,U$6,IF(NORMSDIST(U$9*SQRT($C$11)*NORMSINV($B349)+SQRT(1-U$9^2*$C$11)*NORMSINV(T349))&lt;U$8,U$5+SQRT(NORMSDIST(U$9*SQRT($C$11)*NORMSINV($B349)+SQRT(1-U$9^2*$C$11)*NORMSINV(T349))*(U$7-U$5)*(U$6-U$5)),U$7-SQRT((1-NORMSDIST(U$9*SQRT($C$11)*NORMSINV($B349)+SQRT(1-U$9^2*$C$11)*NORMSINV(T349)))*(U$7-U$5)*(U$7-U$6))))</f>
        <v>0.435666181969767</v>
      </c>
      <c r="V349" s="2" t="n">
        <v>0.367248854</v>
      </c>
      <c r="W349" s="2" t="n">
        <f aca="false">IF(W$7=W$5,W$6,IF(NORMSDIST(W$9*SQRT($C$11)*NORMSINV($B349)+SQRT(1-W$9^2*$C$11)*NORMSINV(V349))&lt;W$8,W$5+SQRT(NORMSDIST(W$9*SQRT($C$11)*NORMSINV($B349)+SQRT(1-W$9^2*$C$11)*NORMSINV(V349))*(W$7-W$5)*(W$6-W$5)),W$7-SQRT((1-NORMSDIST(W$9*SQRT($C$11)*NORMSINV($B349)+SQRT(1-W$9^2*$C$11)*NORMSINV(V349)))*(W$7-W$5)*(W$7-W$6))))</f>
        <v>9.65507432462927</v>
      </c>
      <c r="X349" s="2" t="n">
        <v>0.187467693</v>
      </c>
      <c r="Y349" s="2" t="n">
        <f aca="false">IF(Y$7=Y$5,Y$6,IF(NORMSDIST(Y$9*SQRT($C$11)*NORMSINV($B349)+SQRT(1-Y$9^2*$C$11)*NORMSINV(X349))&lt;Y$8,Y$5+SQRT(NORMSDIST(Y$9*SQRT($C$11)*NORMSINV($B349)+SQRT(1-Y$9^2*$C$11)*NORMSINV(X349))*(Y$7-Y$5)*(Y$6-Y$5)),Y$7-SQRT((1-NORMSDIST(Y$9*SQRT($C$11)*NORMSINV($B349)+SQRT(1-Y$9^2*$C$11)*NORMSINV(X349)))*(Y$7-Y$5)*(Y$7-Y$6))))</f>
        <v>0.306159838156477</v>
      </c>
      <c r="Z349" s="2" t="n">
        <v>0.436805064</v>
      </c>
      <c r="AA349" s="2" t="n">
        <f aca="false">IF(AA$7=AA$5,AA$6,IF(NORMSDIST(AA$9*SQRT($C$11)*NORMSINV($B349)+SQRT(1-AA$9^2*$C$11)*NORMSINV(Z349))&lt;AA$8,AA$5+SQRT(NORMSDIST(AA$9*SQRT($C$11)*NORMSINV($B349)+SQRT(1-AA$9^2*$C$11)*NORMSINV(Z349))*(AA$7-AA$5)*(AA$6-AA$5)),AA$7-SQRT((1-NORMSDIST(AA$9*SQRT($C$11)*NORMSINV($B349)+SQRT(1-AA$9^2*$C$11)*NORMSINV(Z349)))*(AA$7-AA$5)*(AA$7-AA$6))))</f>
        <v>0.724410740304934</v>
      </c>
      <c r="AB349" s="2" t="n">
        <v>0.918551118</v>
      </c>
      <c r="AC349" s="2" t="n">
        <f aca="false">IF(AC$7=AC$5,AC$6,IF(NORMSDIST(AC$9*SQRT($C$11)*NORMSINV($B349)+SQRT(1-AC$9^2*$C$11)*NORMSINV(AB349))&lt;AC$8,AC$5+SQRT(NORMSDIST(AC$9*SQRT($C$11)*NORMSINV($B349)+SQRT(1-AC$9^2*$C$11)*NORMSINV(AB349))*(AC$7-AC$5)*(AC$6-AC$5)),AC$7-SQRT((1-NORMSDIST(AC$9*SQRT($C$11)*NORMSINV($B349)+SQRT(1-AC$9^2*$C$11)*NORMSINV(AB349)))*(AC$7-AC$5)*(AC$7-AC$6))))</f>
        <v>10.1324905433127</v>
      </c>
      <c r="AD349" s="2" t="n">
        <f aca="false">Entrées!$C$8*(1+E349)</f>
        <v>7430.20803105208</v>
      </c>
      <c r="AE349" s="2" t="n">
        <f aca="false">I349*Hypothèses!$J$24/12/Hypothèses!$J$19</f>
        <v>101.739572204777</v>
      </c>
      <c r="AF349" s="2" t="n">
        <f aca="false">Entrées!$C$36*S349*1000</f>
        <v>234.895363093737</v>
      </c>
      <c r="AG349" s="2" t="n">
        <f aca="false">-AF349/W349</f>
        <v>-24.3286954813532</v>
      </c>
      <c r="AH349" s="2" t="n">
        <f aca="false">AD349+AE349+AG349</f>
        <v>7507.61890777551</v>
      </c>
      <c r="AI349" s="2" t="n">
        <f aca="false">Entrées!$C$16-M349+Hypothèses!$J$22*1000-AF349+Hypothèses!$J$23</f>
        <v>22754.6041573184</v>
      </c>
      <c r="AJ349" s="2" t="n">
        <f aca="false">AI349/AH349</f>
        <v>3.03086830016796</v>
      </c>
      <c r="AK349" s="2" t="n">
        <f aca="false">AI349/(AH349+I349*(12-Hypothèses!$J$24)/12/Hypothèses!$J$19)</f>
        <v>3.00181181259897</v>
      </c>
      <c r="AL349" s="2" t="n">
        <f aca="false">(AD349+AG349+I349/Hypothèses!$J$19)*(1+G349)</f>
        <v>7996.54355737251</v>
      </c>
      <c r="AM349" s="2" t="n">
        <f aca="false">Entrées!$C$54*K349/Hypothèses!$J$19</f>
        <v>34.248778609731</v>
      </c>
      <c r="AN349" s="2" t="n">
        <f aca="false">Y349*1000/AC349</f>
        <v>30.215654961409</v>
      </c>
      <c r="AO349" s="2" t="n">
        <f aca="false">(Entrées!$C$36*(1-S349)+MAX(0,Entrées!$C$30-Entrées!$C$35-Entrées!$C$36)*U349)*1000</f>
        <v>875.037291663937</v>
      </c>
      <c r="AP349" s="2" t="n">
        <f aca="false">-AO349/W349</f>
        <v>-90.6297830801563</v>
      </c>
      <c r="AQ349" s="2" t="n">
        <f aca="false">AL349+AM349+AN349+AP349</f>
        <v>7970.37820786349</v>
      </c>
      <c r="AR349" s="2" t="n">
        <f aca="false">O349*AQ349-Hypothèses!$J$25/Hypothèses!$J$19</f>
        <v>1322.59511989131</v>
      </c>
      <c r="AS349" s="2" t="n">
        <f aca="false">Entrées!$C$79*(1+Q349)+Hypothèses!$J$20</f>
        <v>1478.93875705243</v>
      </c>
      <c r="AT349" s="2" t="n">
        <f aca="false">AI349-AR349+AS349+Y349*1000-AO349+Hypothèses!$J$23</f>
        <v>22342.070340972</v>
      </c>
      <c r="AU349" s="2" t="n">
        <f aca="false">AT349/AQ349</f>
        <v>2.80313803916225</v>
      </c>
      <c r="AV349" s="2" t="n">
        <f aca="false">Hypothèses!$J$26*AQ349-AT349</f>
        <v>1569.06428261844</v>
      </c>
      <c r="AW349" s="2" t="n">
        <f aca="false">IF(AC349&gt;Hypothèses!$J$26,MAX(0,AV349)/(1-Hypothèses!$J$26/AC349),0)</f>
        <v>2229.02910406061</v>
      </c>
      <c r="AX349" s="2" t="n">
        <f aca="false">AQ349-Entrées!$C$17*1000</f>
        <v>-29.6217921365096</v>
      </c>
      <c r="AY349" s="2" t="n">
        <f aca="false">AI349+(Entrées!$C$244-Entrées!$C$13)</f>
        <v>28501.6041573184</v>
      </c>
      <c r="AZ349" s="2" t="n">
        <f aca="false">AA349*AH349</f>
        <v>5438.59977090897</v>
      </c>
      <c r="BA349" s="2" t="n">
        <f aca="false">AZ349/AY349</f>
        <v>0.190817321751081</v>
      </c>
      <c r="BB349" s="2" t="n">
        <f aca="false">AZ349/(Entrées!$C$151/100)-AY349</f>
        <v>1712.83901439816</v>
      </c>
      <c r="BC349" s="2" t="n">
        <f aca="false">AT349+(Entrées!$C$244-Entrées!$C$13)</f>
        <v>28089.070340972</v>
      </c>
      <c r="BD349" s="2" t="n">
        <f aca="false">AA349*AQ349</f>
        <v>5773.8275780687</v>
      </c>
      <c r="BE349" s="2" t="n">
        <f aca="false">BD349/BC349</f>
        <v>0.205554242556997</v>
      </c>
      <c r="BF349" s="2" t="n">
        <f aca="false">BD349/(Entrées!$C$151/100)-BC349</f>
        <v>3987.74953718744</v>
      </c>
      <c r="BG349" s="2" t="n">
        <f aca="false">MIN(AV349,BF349)</f>
        <v>1569.06428261844</v>
      </c>
      <c r="BH349" s="2" t="n">
        <f aca="false">IF(AC349&gt;Hypothèses!$J$26,MAX(0,BG349)/(1-Hypothèses!$J$26/AC349),0)</f>
        <v>2229.02910406061</v>
      </c>
    </row>
    <row r="350" customFormat="false" ht="15" hidden="false" customHeight="false" outlineLevel="0" collapsed="false">
      <c r="A350" s="2" t="n">
        <v>335</v>
      </c>
      <c r="B350" s="2" t="n">
        <v>0.109842128</v>
      </c>
      <c r="C350" s="2"/>
      <c r="D350" s="2" t="n">
        <v>0.653842612</v>
      </c>
      <c r="E350" s="2" t="n">
        <f aca="false">IF(E$7=E$5,E$6,IF(NORMSDIST(E$9*SQRT($C$11)*NORMSINV($B350)+SQRT(1-E$9^2*$C$11)*NORMSINV(D350))&lt;E$8,E$5+SQRT(NORMSDIST(E$9*SQRT($C$11)*NORMSINV($B350)+SQRT(1-E$9^2*$C$11)*NORMSINV(D350))*(E$7-E$5)*(E$6-E$5)),E$7-SQRT((1-NORMSDIST(E$9*SQRT($C$11)*NORMSINV($B350)+SQRT(1-E$9^2*$C$11)*NORMSINV(D350)))*(E$7-E$5)*(E$7-E$6))))</f>
        <v>0.0539954469444269</v>
      </c>
      <c r="F350" s="2" t="n">
        <v>0.788143582</v>
      </c>
      <c r="G350" s="2" t="n">
        <f aca="false">IF(G$7=G$5,G$6,IF(NORMSDIST(G$9*SQRT($C$11)*NORMSINV($B350)+SQRT(1-G$9^2*$C$11)*NORMSINV(F350))&lt;G$8,G$5+SQRT(NORMSDIST(G$9*SQRT($C$11)*NORMSINV($B350)+SQRT(1-G$9^2*$C$11)*NORMSINV(F350))*(G$7-G$5)*(G$6-G$5)),G$7-SQRT((1-NORMSDIST(G$9*SQRT($C$11)*NORMSINV($B350)+SQRT(1-G$9^2*$C$11)*NORMSINV(F350)))*(G$7-G$5)*(G$7-G$6))))</f>
        <v>0.0540358243144379</v>
      </c>
      <c r="H350" s="2" t="n">
        <v>0.223698053</v>
      </c>
      <c r="I350" s="2" t="n">
        <f aca="false">IF(I$7=I$5,I$6,IF(NORMSDIST(I$9*SQRT($C$11)*NORMSINV($B350)+SQRT(1-I$9^2*$C$11)*NORMSINV(H350))&lt;I$8,I$5+SQRT(NORMSDIST(I$9*SQRT($C$11)*NORMSINV($B350)+SQRT(1-I$9^2*$C$11)*NORMSINV(H350))*(I$7-I$5)*(I$6-I$5)),I$7-SQRT((1-NORMSDIST(I$9*SQRT($C$11)*NORMSINV($B350)+SQRT(1-I$9^2*$C$11)*NORMSINV(H350)))*(I$7-I$5)*(I$7-I$6))))</f>
        <v>188.302449075763</v>
      </c>
      <c r="J350" s="2" t="n">
        <v>0.728766033</v>
      </c>
      <c r="K350" s="2" t="n">
        <f aca="false">IF(K$7=K$5,K$6,IF(NORMSDIST(K$9*SQRT($C$11)*NORMSINV($B350)+SQRT(1-K$9^2*$C$11)*NORMSINV(J350))&lt;K$8,K$5+SQRT(NORMSDIST(K$9*SQRT($C$11)*NORMSINV($B350)+SQRT(1-K$9^2*$C$11)*NORMSINV(J350))*(K$7-K$5)*(K$6-K$5)),K$7-SQRT((1-NORMSDIST(K$9*SQRT($C$11)*NORMSINV($B350)+SQRT(1-K$9^2*$C$11)*NORMSINV(J350)))*(K$7-K$5)*(K$7-K$6))))</f>
        <v>0.218056355346203</v>
      </c>
      <c r="L350" s="2" t="n">
        <v>0.30424927</v>
      </c>
      <c r="M350" s="2" t="n">
        <f aca="false">IF(M$7=M$5,M$6,IF(NORMSDIST(M$9*SQRT($C$11)*NORMSINV($B350)+SQRT(1-M$9^2*$C$11)*NORMSINV(L350))&lt;M$8,M$5+SQRT(NORMSDIST(M$9*SQRT($C$11)*NORMSINV($B350)+SQRT(1-M$9^2*$C$11)*NORMSINV(L350))*(M$7-M$5)*(M$6-M$5)),M$7-SQRT((1-NORMSDIST(M$9*SQRT($C$11)*NORMSINV($B350)+SQRT(1-M$9^2*$C$11)*NORMSINV(L350)))*(M$7-M$5)*(M$7-M$6))))</f>
        <v>1441.65213367592</v>
      </c>
      <c r="N350" s="2" t="n">
        <v>0.072193902</v>
      </c>
      <c r="O350" s="2" t="n">
        <f aca="false">IF(O$7=O$5,O$6,IF(NORMSDIST(O$9*SQRT($C$11)*NORMSINV($B350)+SQRT(1-O$9^2*$C$11)*NORMSINV(N350))&lt;O$8,O$5+SQRT(NORMSDIST(O$9*SQRT($C$11)*NORMSINV($B350)+SQRT(1-O$9^2*$C$11)*NORMSINV(N350))*(O$7-O$5)*(O$6-O$5)),O$7-SQRT((1-NORMSDIST(O$9*SQRT($C$11)*NORMSINV($B350)+SQRT(1-O$9^2*$C$11)*NORMSINV(N350)))*(O$7-O$5)*(O$7-O$6))))</f>
        <v>0.146368552597314</v>
      </c>
      <c r="P350" s="2" t="n">
        <v>0.141610633</v>
      </c>
      <c r="Q350" s="2" t="n">
        <f aca="false">IF(Q$7=Q$5,Q$6,IF(NORMSDIST(Q$9*SQRT($C$11)*NORMSINV($B350)+SQRT(1-Q$9^2*$C$11)*NORMSINV(P350))&lt;Q$8,Q$5+SQRT(NORMSDIST(Q$9*SQRT($C$11)*NORMSINV($B350)+SQRT(1-Q$9^2*$C$11)*NORMSINV(P350))*(Q$7-Q$5)*(Q$6-Q$5)),Q$7-SQRT((1-NORMSDIST(Q$9*SQRT($C$11)*NORMSINV($B350)+SQRT(1-Q$9^2*$C$11)*NORMSINV(P350)))*(Q$7-Q$5)*(Q$7-Q$6))))</f>
        <v>0.0612874147232584</v>
      </c>
      <c r="R350" s="2" t="n">
        <v>0.045875037</v>
      </c>
      <c r="S350" s="2" t="n">
        <f aca="false">IF(S$7=S$5,S$6,IF(NORMSDIST(S$9*SQRT($C$11)*NORMSINV($B350)+SQRT(1-S$9^2*$C$11)*NORMSINV(R350))&lt;S$8,S$5+SQRT(NORMSDIST(S$9*SQRT($C$11)*NORMSINV($B350)+SQRT(1-S$9^2*$C$11)*NORMSINV(R350))*(S$7-S$5)*(S$6-S$5)),S$7-SQRT((1-NORMSDIST(S$9*SQRT($C$11)*NORMSINV($B350)+SQRT(1-S$9^2*$C$11)*NORMSINV(R350)))*(S$7-S$5)*(S$7-S$6))))</f>
        <v>0.0965725959206684</v>
      </c>
      <c r="T350" s="2" t="n">
        <v>0.786401134</v>
      </c>
      <c r="U350" s="2" t="n">
        <f aca="false">IF(U$7=U$5,U$6,IF(NORMSDIST(U$9*SQRT($C$11)*NORMSINV($B350)+SQRT(1-U$9^2*$C$11)*NORMSINV(T350))&lt;U$8,U$5+SQRT(NORMSDIST(U$9*SQRT($C$11)*NORMSINV($B350)+SQRT(1-U$9^2*$C$11)*NORMSINV(T350))*(U$7-U$5)*(U$6-U$5)),U$7-SQRT((1-NORMSDIST(U$9*SQRT($C$11)*NORMSINV($B350)+SQRT(1-U$9^2*$C$11)*NORMSINV(T350)))*(U$7-U$5)*(U$7-U$6))))</f>
        <v>0.466881404176984</v>
      </c>
      <c r="V350" s="2" t="n">
        <v>0.396393977</v>
      </c>
      <c r="W350" s="2" t="n">
        <f aca="false">IF(W$7=W$5,W$6,IF(NORMSDIST(W$9*SQRT($C$11)*NORMSINV($B350)+SQRT(1-W$9^2*$C$11)*NORMSINV(V350))&lt;W$8,W$5+SQRT(NORMSDIST(W$9*SQRT($C$11)*NORMSINV($B350)+SQRT(1-W$9^2*$C$11)*NORMSINV(V350))*(W$7-W$5)*(W$6-W$5)),W$7-SQRT((1-NORMSDIST(W$9*SQRT($C$11)*NORMSINV($B350)+SQRT(1-W$9^2*$C$11)*NORMSINV(V350)))*(W$7-W$5)*(W$7-W$6))))</f>
        <v>9.14405660423989</v>
      </c>
      <c r="X350" s="2" t="n">
        <v>0.998174173</v>
      </c>
      <c r="Y350" s="2" t="n">
        <f aca="false">IF(Y$7=Y$5,Y$6,IF(NORMSDIST(Y$9*SQRT($C$11)*NORMSINV($B350)+SQRT(1-Y$9^2*$C$11)*NORMSINV(X350))&lt;Y$8,Y$5+SQRT(NORMSDIST(Y$9*SQRT($C$11)*NORMSINV($B350)+SQRT(1-Y$9^2*$C$11)*NORMSINV(X350))*(Y$7-Y$5)*(Y$6-Y$5)),Y$7-SQRT((1-NORMSDIST(Y$9*SQRT($C$11)*NORMSINV($B350)+SQRT(1-Y$9^2*$C$11)*NORMSINV(X350)))*(Y$7-Y$5)*(Y$7-Y$6))))</f>
        <v>0.969785541540514</v>
      </c>
      <c r="Z350" s="2" t="n">
        <v>0.311579727</v>
      </c>
      <c r="AA350" s="2" t="n">
        <f aca="false">IF(AA$7=AA$5,AA$6,IF(NORMSDIST(AA$9*SQRT($C$11)*NORMSINV($B350)+SQRT(1-AA$9^2*$C$11)*NORMSINV(Z350))&lt;AA$8,AA$5+SQRT(NORMSDIST(AA$9*SQRT($C$11)*NORMSINV($B350)+SQRT(1-AA$9^2*$C$11)*NORMSINV(Z350))*(AA$7-AA$5)*(AA$6-AA$5)),AA$7-SQRT((1-NORMSDIST(AA$9*SQRT($C$11)*NORMSINV($B350)+SQRT(1-AA$9^2*$C$11)*NORMSINV(Z350)))*(AA$7-AA$5)*(AA$7-AA$6))))</f>
        <v>0.711597415524186</v>
      </c>
      <c r="AB350" s="2" t="n">
        <v>0.968373877</v>
      </c>
      <c r="AC350" s="2" t="n">
        <f aca="false">IF(AC$7=AC$5,AC$6,IF(NORMSDIST(AC$9*SQRT($C$11)*NORMSINV($B350)+SQRT(1-AC$9^2*$C$11)*NORMSINV(AB350))&lt;AC$8,AC$5+SQRT(NORMSDIST(AC$9*SQRT($C$11)*NORMSINV($B350)+SQRT(1-AC$9^2*$C$11)*NORMSINV(AB350))*(AC$7-AC$5)*(AC$6-AC$5)),AC$7-SQRT((1-NORMSDIST(AC$9*SQRT($C$11)*NORMSINV($B350)+SQRT(1-AC$9^2*$C$11)*NORMSINV(AB350)))*(AC$7-AC$5)*(AC$7-AC$6))))</f>
        <v>9.95284283469058</v>
      </c>
      <c r="AD350" s="2" t="n">
        <f aca="false">Entrées!$C$8*(1+E350)</f>
        <v>7430.66790095821</v>
      </c>
      <c r="AE350" s="2" t="n">
        <f aca="false">I350*Hypothèses!$J$24/12/Hypothèses!$J$19</f>
        <v>93.4162423010517</v>
      </c>
      <c r="AF350" s="2" t="n">
        <f aca="false">Entrées!$C$36*S350*1000</f>
        <v>48.2862979603342</v>
      </c>
      <c r="AG350" s="2" t="n">
        <f aca="false">-AF350/W350</f>
        <v>-5.2806210689843</v>
      </c>
      <c r="AH350" s="2" t="n">
        <f aca="false">AD350+AE350+AG350</f>
        <v>7518.80352219028</v>
      </c>
      <c r="AI350" s="2" t="n">
        <f aca="false">Entrées!$C$16-M350+Hypothèses!$J$22*1000-AF350+Hypothèses!$J$23</f>
        <v>23058.0615683637</v>
      </c>
      <c r="AJ350" s="2" t="n">
        <f aca="false">AI350/AH350</f>
        <v>3.0667195252958</v>
      </c>
      <c r="AK350" s="2" t="n">
        <f aca="false">AI350/(AH350+I350*(12-Hypothèses!$J$24)/12/Hypothèses!$J$19)</f>
        <v>3.03974321678059</v>
      </c>
      <c r="AL350" s="2" t="n">
        <f aca="false">(AD350+AG350+I350/Hypothèses!$J$19)*(1+G350)</f>
        <v>7995.41974405452</v>
      </c>
      <c r="AM350" s="2" t="n">
        <f aca="false">Entrées!$C$54*K350/Hypothèses!$J$19</f>
        <v>22.2535666225513</v>
      </c>
      <c r="AN350" s="2" t="n">
        <f aca="false">Y350*1000/AC350</f>
        <v>97.4380443505379</v>
      </c>
      <c r="AO350" s="2" t="n">
        <f aca="false">(Entrées!$C$36*(1-S350)+MAX(0,Entrées!$C$30-Entrées!$C$35-Entrées!$C$36)*U350)*1000</f>
        <v>1105.34766788744</v>
      </c>
      <c r="AP350" s="2" t="n">
        <f aca="false">-AO350/W350</f>
        <v>-120.881542594008</v>
      </c>
      <c r="AQ350" s="2" t="n">
        <f aca="false">AL350+AM350+AN350+AP350</f>
        <v>7994.2298124336</v>
      </c>
      <c r="AR350" s="2" t="n">
        <f aca="false">O350*AQ350-Hypothèses!$J$25/Hypothèses!$J$19</f>
        <v>1150.96868451457</v>
      </c>
      <c r="AS350" s="2" t="n">
        <f aca="false">Entrées!$C$79*(1+Q350)+Hypothèses!$J$20</f>
        <v>1461.35486878086</v>
      </c>
      <c r="AT350" s="2" t="n">
        <f aca="false">AI350-AR350+AS350+Y350*1000-AO350+Hypothèses!$J$23</f>
        <v>23232.8856262831</v>
      </c>
      <c r="AU350" s="2" t="n">
        <f aca="false">AT350/AQ350</f>
        <v>2.90620687313098</v>
      </c>
      <c r="AV350" s="2" t="n">
        <f aca="false">Hypothèses!$J$26*AQ350-AT350</f>
        <v>749.803811017693</v>
      </c>
      <c r="AW350" s="2" t="n">
        <f aca="false">IF(AC350&gt;Hypothèses!$J$26,MAX(0,AV350)/(1-Hypothèses!$J$26/AC350),0)</f>
        <v>1073.32779775731</v>
      </c>
      <c r="AX350" s="2" t="n">
        <f aca="false">AQ350-Entrées!$C$17*1000</f>
        <v>-5.77018756640064</v>
      </c>
      <c r="AY350" s="2" t="n">
        <f aca="false">AI350+(Entrées!$C$244-Entrées!$C$13)</f>
        <v>28805.0615683637</v>
      </c>
      <c r="AZ350" s="2" t="n">
        <f aca="false">AA350*AH350</f>
        <v>5350.36115422475</v>
      </c>
      <c r="BA350" s="2" t="n">
        <f aca="false">AZ350/AY350</f>
        <v>0.185743784700012</v>
      </c>
      <c r="BB350" s="2" t="n">
        <f aca="false">AZ350/(Entrées!$C$151/100)-AY350</f>
        <v>919.167066218208</v>
      </c>
      <c r="BC350" s="2" t="n">
        <f aca="false">AT350+(Entrées!$C$244-Entrées!$C$13)</f>
        <v>28979.8856262831</v>
      </c>
      <c r="BD350" s="2" t="n">
        <f aca="false">AA350*AQ350</f>
        <v>5688.67327363415</v>
      </c>
      <c r="BE350" s="2" t="n">
        <f aca="false">BD350/BC350</f>
        <v>0.196297298995371</v>
      </c>
      <c r="BF350" s="2" t="n">
        <f aca="false">BD350/(Entrées!$C$151/100)-BC350</f>
        <v>2623.85478279552</v>
      </c>
      <c r="BG350" s="2" t="n">
        <f aca="false">MIN(AV350,BF350)</f>
        <v>749.803811017693</v>
      </c>
      <c r="BH350" s="2" t="n">
        <f aca="false">IF(AC350&gt;Hypothèses!$J$26,MAX(0,BG350)/(1-Hypothèses!$J$26/AC350),0)</f>
        <v>1073.32779775731</v>
      </c>
    </row>
    <row r="351" customFormat="false" ht="15" hidden="false" customHeight="false" outlineLevel="0" collapsed="false">
      <c r="A351" s="2" t="n">
        <v>336</v>
      </c>
      <c r="B351" s="2" t="n">
        <v>0.834577713</v>
      </c>
      <c r="C351" s="2"/>
      <c r="D351" s="2" t="n">
        <v>0.27178047</v>
      </c>
      <c r="E351" s="2" t="n">
        <f aca="false">IF(E$7=E$5,E$6,IF(NORMSDIST(E$9*SQRT($C$11)*NORMSINV($B351)+SQRT(1-E$9^2*$C$11)*NORMSINV(D351))&lt;E$8,E$5+SQRT(NORMSDIST(E$9*SQRT($C$11)*NORMSINV($B351)+SQRT(1-E$9^2*$C$11)*NORMSINV(D351))*(E$7-E$5)*(E$6-E$5)),E$7-SQRT((1-NORMSDIST(E$9*SQRT($C$11)*NORMSINV($B351)+SQRT(1-E$9^2*$C$11)*NORMSINV(D351)))*(E$7-E$5)*(E$7-E$6))))</f>
        <v>0.0552959763331854</v>
      </c>
      <c r="F351" s="2" t="n">
        <v>0.561016428</v>
      </c>
      <c r="G351" s="2" t="n">
        <f aca="false">IF(G$7=G$5,G$6,IF(NORMSDIST(G$9*SQRT($C$11)*NORMSINV($B351)+SQRT(1-G$9^2*$C$11)*NORMSINV(F351))&lt;G$8,G$5+SQRT(NORMSDIST(G$9*SQRT($C$11)*NORMSINV($B351)+SQRT(1-G$9^2*$C$11)*NORMSINV(F351))*(G$7-G$5)*(G$6-G$5)),G$7-SQRT((1-NORMSDIST(G$9*SQRT($C$11)*NORMSINV($B351)+SQRT(1-G$9^2*$C$11)*NORMSINV(F351)))*(G$7-G$5)*(G$7-G$6))))</f>
        <v>0.0597935831877151</v>
      </c>
      <c r="H351" s="2" t="n">
        <v>0.336023669</v>
      </c>
      <c r="I351" s="2" t="n">
        <f aca="false">IF(I$7=I$5,I$6,IF(NORMSDIST(I$9*SQRT($C$11)*NORMSINV($B351)+SQRT(1-I$9^2*$C$11)*NORMSINV(H351))&lt;I$8,I$5+SQRT(NORMSDIST(I$9*SQRT($C$11)*NORMSINV($B351)+SQRT(1-I$9^2*$C$11)*NORMSINV(H351))*(I$7-I$5)*(I$6-I$5)),I$7-SQRT((1-NORMSDIST(I$9*SQRT($C$11)*NORMSINV($B351)+SQRT(1-I$9^2*$C$11)*NORMSINV(H351)))*(I$7-I$5)*(I$7-I$6))))</f>
        <v>202.404061883531</v>
      </c>
      <c r="J351" s="2" t="n">
        <v>0.335711087</v>
      </c>
      <c r="K351" s="2" t="n">
        <f aca="false">IF(K$7=K$5,K$6,IF(NORMSDIST(K$9*SQRT($C$11)*NORMSINV($B351)+SQRT(1-K$9^2*$C$11)*NORMSINV(J351))&lt;K$8,K$5+SQRT(NORMSDIST(K$9*SQRT($C$11)*NORMSINV($B351)+SQRT(1-K$9^2*$C$11)*NORMSINV(J351))*(K$7-K$5)*(K$6-K$5)),K$7-SQRT((1-NORMSDIST(K$9*SQRT($C$11)*NORMSINV($B351)+SQRT(1-K$9^2*$C$11)*NORMSINV(J351)))*(K$7-K$5)*(K$7-K$6))))</f>
        <v>0.279978552308042</v>
      </c>
      <c r="L351" s="2" t="n">
        <v>0.982985267</v>
      </c>
      <c r="M351" s="2" t="n">
        <f aca="false">IF(M$7=M$5,M$6,IF(NORMSDIST(M$9*SQRT($C$11)*NORMSINV($B351)+SQRT(1-M$9^2*$C$11)*NORMSINV(L351))&lt;M$8,M$5+SQRT(NORMSDIST(M$9*SQRT($C$11)*NORMSINV($B351)+SQRT(1-M$9^2*$C$11)*NORMSINV(L351))*(M$7-M$5)*(M$6-M$5)),M$7-SQRT((1-NORMSDIST(M$9*SQRT($C$11)*NORMSINV($B351)+SQRT(1-M$9^2*$C$11)*NORMSINV(L351)))*(M$7-M$5)*(M$7-M$6))))</f>
        <v>1760.98422759913</v>
      </c>
      <c r="N351" s="2" t="n">
        <v>0.751505606</v>
      </c>
      <c r="O351" s="2" t="n">
        <f aca="false">IF(O$7=O$5,O$6,IF(NORMSDIST(O$9*SQRT($C$11)*NORMSINV($B351)+SQRT(1-O$9^2*$C$11)*NORMSINV(N351))&lt;O$8,O$5+SQRT(NORMSDIST(O$9*SQRT($C$11)*NORMSINV($B351)+SQRT(1-O$9^2*$C$11)*NORMSINV(N351))*(O$7-O$5)*(O$6-O$5)),O$7-SQRT((1-NORMSDIST(O$9*SQRT($C$11)*NORMSINV($B351)+SQRT(1-O$9^2*$C$11)*NORMSINV(N351)))*(O$7-O$5)*(O$7-O$6))))</f>
        <v>0.178373421801556</v>
      </c>
      <c r="P351" s="2" t="n">
        <v>0.351665139</v>
      </c>
      <c r="Q351" s="2" t="n">
        <f aca="false">IF(Q$7=Q$5,Q$6,IF(NORMSDIST(Q$9*SQRT($C$11)*NORMSINV($B351)+SQRT(1-Q$9^2*$C$11)*NORMSINV(P351))&lt;Q$8,Q$5+SQRT(NORMSDIST(Q$9*SQRT($C$11)*NORMSINV($B351)+SQRT(1-Q$9^2*$C$11)*NORMSINV(P351))*(Q$7-Q$5)*(Q$6-Q$5)),Q$7-SQRT((1-NORMSDIST(Q$9*SQRT($C$11)*NORMSINV($B351)+SQRT(1-Q$9^2*$C$11)*NORMSINV(P351)))*(Q$7-Q$5)*(Q$7-Q$6))))</f>
        <v>0.0735459154711867</v>
      </c>
      <c r="R351" s="2" t="n">
        <v>0.596585747</v>
      </c>
      <c r="S351" s="2" t="n">
        <f aca="false">IF(S$7=S$5,S$6,IF(NORMSDIST(S$9*SQRT($C$11)*NORMSINV($B351)+SQRT(1-S$9^2*$C$11)*NORMSINV(R351))&lt;S$8,S$5+SQRT(NORMSDIST(S$9*SQRT($C$11)*NORMSINV($B351)+SQRT(1-S$9^2*$C$11)*NORMSINV(R351))*(S$7-S$5)*(S$6-S$5)),S$7-SQRT((1-NORMSDIST(S$9*SQRT($C$11)*NORMSINV($B351)+SQRT(1-S$9^2*$C$11)*NORMSINV(R351)))*(S$7-S$5)*(S$7-S$6))))</f>
        <v>0.675516300087541</v>
      </c>
      <c r="T351" s="2" t="n">
        <v>0.787473693</v>
      </c>
      <c r="U351" s="2" t="n">
        <f aca="false">IF(U$7=U$5,U$6,IF(NORMSDIST(U$9*SQRT($C$11)*NORMSINV($B351)+SQRT(1-U$9^2*$C$11)*NORMSINV(T351))&lt;U$8,U$5+SQRT(NORMSDIST(U$9*SQRT($C$11)*NORMSINV($B351)+SQRT(1-U$9^2*$C$11)*NORMSINV(T351))*(U$7-U$5)*(U$6-U$5)),U$7-SQRT((1-NORMSDIST(U$9*SQRT($C$11)*NORMSINV($B351)+SQRT(1-U$9^2*$C$11)*NORMSINV(T351)))*(U$7-U$5)*(U$7-U$6))))</f>
        <v>0.7667536686301</v>
      </c>
      <c r="V351" s="2" t="n">
        <v>0.724896162</v>
      </c>
      <c r="W351" s="2" t="n">
        <f aca="false">IF(W$7=W$5,W$6,IF(NORMSDIST(W$9*SQRT($C$11)*NORMSINV($B351)+SQRT(1-W$9^2*$C$11)*NORMSINV(V351))&lt;W$8,W$5+SQRT(NORMSDIST(W$9*SQRT($C$11)*NORMSINV($B351)+SQRT(1-W$9^2*$C$11)*NORMSINV(V351))*(W$7-W$5)*(W$6-W$5)),W$7-SQRT((1-NORMSDIST(W$9*SQRT($C$11)*NORMSINV($B351)+SQRT(1-W$9^2*$C$11)*NORMSINV(V351)))*(W$7-W$5)*(W$7-W$6))))</f>
        <v>10.9395714262859</v>
      </c>
      <c r="X351" s="2" t="n">
        <v>0.183829327</v>
      </c>
      <c r="Y351" s="2" t="n">
        <f aca="false">IF(Y$7=Y$5,Y$6,IF(NORMSDIST(Y$9*SQRT($C$11)*NORMSINV($B351)+SQRT(1-Y$9^2*$C$11)*NORMSINV(X351))&lt;Y$8,Y$5+SQRT(NORMSDIST(Y$9*SQRT($C$11)*NORMSINV($B351)+SQRT(1-Y$9^2*$C$11)*NORMSINV(X351))*(Y$7-Y$5)*(Y$6-Y$5)),Y$7-SQRT((1-NORMSDIST(Y$9*SQRT($C$11)*NORMSINV($B351)+SQRT(1-Y$9^2*$C$11)*NORMSINV(X351)))*(Y$7-Y$5)*(Y$7-Y$6))))</f>
        <v>0.303174312071455</v>
      </c>
      <c r="Z351" s="2" t="n">
        <v>0.239980326</v>
      </c>
      <c r="AA351" s="2" t="n">
        <f aca="false">IF(AA$7=AA$5,AA$6,IF(NORMSDIST(AA$9*SQRT($C$11)*NORMSINV($B351)+SQRT(1-AA$9^2*$C$11)*NORMSINV(Z351))&lt;AA$8,AA$5+SQRT(NORMSDIST(AA$9*SQRT($C$11)*NORMSINV($B351)+SQRT(1-AA$9^2*$C$11)*NORMSINV(Z351))*(AA$7-AA$5)*(AA$6-AA$5)),AA$7-SQRT((1-NORMSDIST(AA$9*SQRT($C$11)*NORMSINV($B351)+SQRT(1-AA$9^2*$C$11)*NORMSINV(Z351)))*(AA$7-AA$5)*(AA$7-AA$6))))</f>
        <v>0.728925170263571</v>
      </c>
      <c r="AB351" s="2" t="n">
        <v>0.457092621</v>
      </c>
      <c r="AC351" s="2" t="n">
        <f aca="false">IF(AC$7=AC$5,AC$6,IF(NORMSDIST(AC$9*SQRT($C$11)*NORMSINV($B351)+SQRT(1-AC$9^2*$C$11)*NORMSINV(AB351))&lt;AC$8,AC$5+SQRT(NORMSDIST(AC$9*SQRT($C$11)*NORMSINV($B351)+SQRT(1-AC$9^2*$C$11)*NORMSINV(AB351))*(AC$7-AC$5)*(AC$6-AC$5)),AC$7-SQRT((1-NORMSDIST(AC$9*SQRT($C$11)*NORMSINV($B351)+SQRT(1-AC$9^2*$C$11)*NORMSINV(AB351)))*(AC$7-AC$5)*(AC$7-AC$6))))</f>
        <v>9.86628910741499</v>
      </c>
      <c r="AD351" s="2" t="n">
        <f aca="false">Entrées!$C$8*(1+E351)</f>
        <v>7439.83663314896</v>
      </c>
      <c r="AE351" s="2" t="n">
        <f aca="false">I351*Hypothèses!$J$24/12/Hypothèses!$J$19</f>
        <v>100.412007281018</v>
      </c>
      <c r="AF351" s="2" t="n">
        <f aca="false">Entrées!$C$36*S351*1000</f>
        <v>337.758150043771</v>
      </c>
      <c r="AG351" s="2" t="n">
        <f aca="false">-AF351/W351</f>
        <v>-30.8748978257226</v>
      </c>
      <c r="AH351" s="2" t="n">
        <f aca="false">AD351+AE351+AG351</f>
        <v>7509.37374260425</v>
      </c>
      <c r="AI351" s="2" t="n">
        <f aca="false">Entrées!$C$16-M351+Hypothèses!$J$22*1000-AF351+Hypothèses!$J$23</f>
        <v>22449.2576223571</v>
      </c>
      <c r="AJ351" s="2" t="n">
        <f aca="false">AI351/AH351</f>
        <v>2.98949797837225</v>
      </c>
      <c r="AK351" s="2" t="n">
        <f aca="false">AI351/(AH351+I351*(12-Hypothèses!$J$24)/12/Hypothèses!$J$19)</f>
        <v>2.96121508433298</v>
      </c>
      <c r="AL351" s="2" t="n">
        <f aca="false">(AD351+AG351+I351/Hypothèses!$J$19)*(1+G351)</f>
        <v>8034.39753544989</v>
      </c>
      <c r="AM351" s="2" t="n">
        <f aca="false">Entrées!$C$54*K351/Hypothèses!$J$19</f>
        <v>28.5729868170107</v>
      </c>
      <c r="AN351" s="2" t="n">
        <f aca="false">Y351*1000/AC351</f>
        <v>30.728302076979</v>
      </c>
      <c r="AO351" s="2" t="n">
        <f aca="false">(Entrées!$C$36*(1-S351)+MAX(0,Entrées!$C$30-Entrées!$C$35-Entrées!$C$36)*U351)*1000</f>
        <v>1235.69698603837</v>
      </c>
      <c r="AP351" s="2" t="n">
        <f aca="false">-AO351/W351</f>
        <v>-112.956617575457</v>
      </c>
      <c r="AQ351" s="2" t="n">
        <f aca="false">AL351+AM351+AN351+AP351</f>
        <v>7980.74220676842</v>
      </c>
      <c r="AR351" s="2" t="n">
        <f aca="false">O351*AQ351-Hypothèses!$J$25/Hypothèses!$J$19</f>
        <v>1404.41713367576</v>
      </c>
      <c r="AS351" s="2" t="n">
        <f aca="false">Entrées!$C$79*(1+Q351)+Hypothèses!$J$20</f>
        <v>1474.82696110283</v>
      </c>
      <c r="AT351" s="2" t="n">
        <f aca="false">AI351-AR351+AS351+Y351*1000-AO351+Hypothèses!$J$23</f>
        <v>21587.1447758173</v>
      </c>
      <c r="AU351" s="2" t="n">
        <f aca="false">AT351/AQ351</f>
        <v>2.7049044082027</v>
      </c>
      <c r="AV351" s="2" t="n">
        <f aca="false">Hypothèses!$J$26*AQ351-AT351</f>
        <v>2355.08184448801</v>
      </c>
      <c r="AW351" s="2" t="n">
        <f aca="false">IF(AC351&gt;Hypothèses!$J$26,MAX(0,AV351)/(1-Hypothèses!$J$26/AC351),0)</f>
        <v>3384.05767450865</v>
      </c>
      <c r="AX351" s="2" t="n">
        <f aca="false">AQ351-Entrées!$C$17*1000</f>
        <v>-19.2577932315771</v>
      </c>
      <c r="AY351" s="2" t="n">
        <f aca="false">AI351+(Entrées!$C$244-Entrées!$C$13)</f>
        <v>28196.2576223571</v>
      </c>
      <c r="AZ351" s="2" t="n">
        <f aca="false">AA351*AH351</f>
        <v>5473.7715339006</v>
      </c>
      <c r="BA351" s="2" t="n">
        <f aca="false">AZ351/AY351</f>
        <v>0.194131136380325</v>
      </c>
      <c r="BB351" s="2" t="n">
        <f aca="false">AZ351/(Entrées!$C$151/100)-AY351</f>
        <v>2213.58423264622</v>
      </c>
      <c r="BC351" s="2" t="n">
        <f aca="false">AT351+(Entrées!$C$244-Entrées!$C$13)</f>
        <v>27334.1447758173</v>
      </c>
      <c r="BD351" s="2" t="n">
        <f aca="false">AA351*AQ351</f>
        <v>5817.36387189834</v>
      </c>
      <c r="BE351" s="2" t="n">
        <f aca="false">BD351/BC351</f>
        <v>0.212824067466161</v>
      </c>
      <c r="BF351" s="2" t="n">
        <f aca="false">BD351/(Entrées!$C$151/100)-BC351</f>
        <v>4984.54340139575</v>
      </c>
      <c r="BG351" s="2" t="n">
        <f aca="false">MIN(AV351,BF351)</f>
        <v>2355.08184448801</v>
      </c>
      <c r="BH351" s="2" t="n">
        <f aca="false">IF(AC351&gt;Hypothèses!$J$26,MAX(0,BG351)/(1-Hypothèses!$J$26/AC351),0)</f>
        <v>3384.05767450865</v>
      </c>
    </row>
    <row r="352" customFormat="false" ht="15" hidden="false" customHeight="false" outlineLevel="0" collapsed="false">
      <c r="A352" s="2" t="n">
        <v>337</v>
      </c>
      <c r="B352" s="2" t="n">
        <v>0.277846513</v>
      </c>
      <c r="C352" s="2"/>
      <c r="D352" s="2" t="n">
        <v>0.595502129</v>
      </c>
      <c r="E352" s="2" t="n">
        <f aca="false">IF(E$7=E$5,E$6,IF(NORMSDIST(E$9*SQRT($C$11)*NORMSINV($B352)+SQRT(1-E$9^2*$C$11)*NORMSINV(D352))&lt;E$8,E$5+SQRT(NORMSDIST(E$9*SQRT($C$11)*NORMSINV($B352)+SQRT(1-E$9^2*$C$11)*NORMSINV(D352))*(E$7-E$5)*(E$6-E$5)),E$7-SQRT((1-NORMSDIST(E$9*SQRT($C$11)*NORMSINV($B352)+SQRT(1-E$9^2*$C$11)*NORMSINV(D352)))*(E$7-E$5)*(E$7-E$6))))</f>
        <v>0.0546175899198153</v>
      </c>
      <c r="F352" s="2" t="n">
        <v>0.663894805</v>
      </c>
      <c r="G352" s="2" t="n">
        <f aca="false">IF(G$7=G$5,G$6,IF(NORMSDIST(G$9*SQRT($C$11)*NORMSINV($B352)+SQRT(1-G$9^2*$C$11)*NORMSINV(F352))&lt;G$8,G$5+SQRT(NORMSDIST(G$9*SQRT($C$11)*NORMSINV($B352)+SQRT(1-G$9^2*$C$11)*NORMSINV(F352))*(G$7-G$5)*(G$6-G$5)),G$7-SQRT((1-NORMSDIST(G$9*SQRT($C$11)*NORMSINV($B352)+SQRT(1-G$9^2*$C$11)*NORMSINV(F352)))*(G$7-G$5)*(G$7-G$6))))</f>
        <v>0.0547287683929038</v>
      </c>
      <c r="H352" s="2" t="n">
        <v>0.666411233</v>
      </c>
      <c r="I352" s="2" t="n">
        <f aca="false">IF(I$7=I$5,I$6,IF(NORMSDIST(I$9*SQRT($C$11)*NORMSINV($B352)+SQRT(1-I$9^2*$C$11)*NORMSINV(H352))&lt;I$8,I$5+SQRT(NORMSDIST(I$9*SQRT($C$11)*NORMSINV($B352)+SQRT(1-I$9^2*$C$11)*NORMSINV(H352))*(I$7-I$5)*(I$6-I$5)),I$7-SQRT((1-NORMSDIST(I$9*SQRT($C$11)*NORMSINV($B352)+SQRT(1-I$9^2*$C$11)*NORMSINV(H352)))*(I$7-I$5)*(I$7-I$6))))</f>
        <v>199.681754936138</v>
      </c>
      <c r="J352" s="2" t="n">
        <v>0.32055926</v>
      </c>
      <c r="K352" s="2" t="n">
        <f aca="false">IF(K$7=K$5,K$6,IF(NORMSDIST(K$9*SQRT($C$11)*NORMSINV($B352)+SQRT(1-K$9^2*$C$11)*NORMSINV(J352))&lt;K$8,K$5+SQRT(NORMSDIST(K$9*SQRT($C$11)*NORMSINV($B352)+SQRT(1-K$9^2*$C$11)*NORMSINV(J352))*(K$7-K$5)*(K$6-K$5)),K$7-SQRT((1-NORMSDIST(K$9*SQRT($C$11)*NORMSINV($B352)+SQRT(1-K$9^2*$C$11)*NORMSINV(J352)))*(K$7-K$5)*(K$7-K$6))))</f>
        <v>0.170129735321049</v>
      </c>
      <c r="L352" s="2" t="n">
        <v>0.075327307</v>
      </c>
      <c r="M352" s="2" t="n">
        <f aca="false">IF(M$7=M$5,M$6,IF(NORMSDIST(M$9*SQRT($C$11)*NORMSINV($B352)+SQRT(1-M$9^2*$C$11)*NORMSINV(L352))&lt;M$8,M$5+SQRT(NORMSDIST(M$9*SQRT($C$11)*NORMSINV($B352)+SQRT(1-M$9^2*$C$11)*NORMSINV(L352))*(M$7-M$5)*(M$6-M$5)),M$7-SQRT((1-NORMSDIST(M$9*SQRT($C$11)*NORMSINV($B352)+SQRT(1-M$9^2*$C$11)*NORMSINV(L352)))*(M$7-M$5)*(M$7-M$6))))</f>
        <v>1407.74607584128</v>
      </c>
      <c r="N352" s="2" t="n">
        <v>0.730436651</v>
      </c>
      <c r="O352" s="2" t="n">
        <f aca="false">IF(O$7=O$5,O$6,IF(NORMSDIST(O$9*SQRT($C$11)*NORMSINV($B352)+SQRT(1-O$9^2*$C$11)*NORMSINV(N352))&lt;O$8,O$5+SQRT(NORMSDIST(O$9*SQRT($C$11)*NORMSINV($B352)+SQRT(1-O$9^2*$C$11)*NORMSINV(N352))*(O$7-O$5)*(O$6-O$5)),O$7-SQRT((1-NORMSDIST(O$9*SQRT($C$11)*NORMSINV($B352)+SQRT(1-O$9^2*$C$11)*NORMSINV(N352)))*(O$7-O$5)*(O$7-O$6))))</f>
        <v>0.167861820614847</v>
      </c>
      <c r="P352" s="2" t="n">
        <v>0.830901783</v>
      </c>
      <c r="Q352" s="2" t="n">
        <f aca="false">IF(Q$7=Q$5,Q$6,IF(NORMSDIST(Q$9*SQRT($C$11)*NORMSINV($B352)+SQRT(1-Q$9^2*$C$11)*NORMSINV(P352))&lt;Q$8,Q$5+SQRT(NORMSDIST(Q$9*SQRT($C$11)*NORMSINV($B352)+SQRT(1-Q$9^2*$C$11)*NORMSINV(P352))*(Q$7-Q$5)*(Q$6-Q$5)),Q$7-SQRT((1-NORMSDIST(Q$9*SQRT($C$11)*NORMSINV($B352)+SQRT(1-Q$9^2*$C$11)*NORMSINV(P352)))*(Q$7-Q$5)*(Q$7-Q$6))))</f>
        <v>0.0967381364804967</v>
      </c>
      <c r="R352" s="2" t="n">
        <v>0.265281167</v>
      </c>
      <c r="S352" s="2" t="n">
        <f aca="false">IF(S$7=S$5,S$6,IF(NORMSDIST(S$9*SQRT($C$11)*NORMSINV($B352)+SQRT(1-S$9^2*$C$11)*NORMSINV(R352))&lt;S$8,S$5+SQRT(NORMSDIST(S$9*SQRT($C$11)*NORMSINV($B352)+SQRT(1-S$9^2*$C$11)*NORMSINV(R352))*(S$7-S$5)*(S$6-S$5)),S$7-SQRT((1-NORMSDIST(S$9*SQRT($C$11)*NORMSINV($B352)+SQRT(1-S$9^2*$C$11)*NORMSINV(R352)))*(S$7-S$5)*(S$7-S$6))))</f>
        <v>0.312505057073277</v>
      </c>
      <c r="T352" s="2" t="n">
        <v>0.860385056</v>
      </c>
      <c r="U352" s="2" t="n">
        <f aca="false">IF(U$7=U$5,U$6,IF(NORMSDIST(U$9*SQRT($C$11)*NORMSINV($B352)+SQRT(1-U$9^2*$C$11)*NORMSINV(T352))&lt;U$8,U$5+SQRT(NORMSDIST(U$9*SQRT($C$11)*NORMSINV($B352)+SQRT(1-U$9^2*$C$11)*NORMSINV(T352))*(U$7-U$5)*(U$6-U$5)),U$7-SQRT((1-NORMSDIST(U$9*SQRT($C$11)*NORMSINV($B352)+SQRT(1-U$9^2*$C$11)*NORMSINV(T352)))*(U$7-U$5)*(U$7-U$6))))</f>
        <v>0.599503713182649</v>
      </c>
      <c r="V352" s="2" t="n">
        <v>0.805654768</v>
      </c>
      <c r="W352" s="2" t="n">
        <f aca="false">IF(W$7=W$5,W$6,IF(NORMSDIST(W$9*SQRT($C$11)*NORMSINV($B352)+SQRT(1-W$9^2*$C$11)*NORMSINV(V352))&lt;W$8,W$5+SQRT(NORMSDIST(W$9*SQRT($C$11)*NORMSINV($B352)+SQRT(1-W$9^2*$C$11)*NORMSINV(V352))*(W$7-W$5)*(W$6-W$5)),W$7-SQRT((1-NORMSDIST(W$9*SQRT($C$11)*NORMSINV($B352)+SQRT(1-W$9^2*$C$11)*NORMSINV(V352)))*(W$7-W$5)*(W$7-W$6))))</f>
        <v>10.2473150551051</v>
      </c>
      <c r="X352" s="2" t="n">
        <v>0.596795999</v>
      </c>
      <c r="Y352" s="2" t="n">
        <f aca="false">IF(Y$7=Y$5,Y$6,IF(NORMSDIST(Y$9*SQRT($C$11)*NORMSINV($B352)+SQRT(1-Y$9^2*$C$11)*NORMSINV(X352))&lt;Y$8,Y$5+SQRT(NORMSDIST(Y$9*SQRT($C$11)*NORMSINV($B352)+SQRT(1-Y$9^2*$C$11)*NORMSINV(X352))*(Y$7-Y$5)*(Y$6-Y$5)),Y$7-SQRT((1-NORMSDIST(Y$9*SQRT($C$11)*NORMSINV($B352)+SQRT(1-Y$9^2*$C$11)*NORMSINV(X352)))*(Y$7-Y$5)*(Y$7-Y$6))))</f>
        <v>0.550998885858843</v>
      </c>
      <c r="Z352" s="2" t="n">
        <v>0.998203998</v>
      </c>
      <c r="AA352" s="2" t="n">
        <f aca="false">IF(AA$7=AA$5,AA$6,IF(NORMSDIST(AA$9*SQRT($C$11)*NORMSINV($B352)+SQRT(1-AA$9^2*$C$11)*NORMSINV(Z352))&lt;AA$8,AA$5+SQRT(NORMSDIST(AA$9*SQRT($C$11)*NORMSINV($B352)+SQRT(1-AA$9^2*$C$11)*NORMSINV(Z352))*(AA$7-AA$5)*(AA$6-AA$5)),AA$7-SQRT((1-NORMSDIST(AA$9*SQRT($C$11)*NORMSINV($B352)+SQRT(1-AA$9^2*$C$11)*NORMSINV(Z352)))*(AA$7-AA$5)*(AA$7-AA$6))))</f>
        <v>0.747676647198022</v>
      </c>
      <c r="AB352" s="2" t="n">
        <v>0.474210308</v>
      </c>
      <c r="AC352" s="2" t="n">
        <f aca="false">IF(AC$7=AC$5,AC$6,IF(NORMSDIST(AC$9*SQRT($C$11)*NORMSINV($B352)+SQRT(1-AC$9^2*$C$11)*NORMSINV(AB352))&lt;AC$8,AC$5+SQRT(NORMSDIST(AC$9*SQRT($C$11)*NORMSINV($B352)+SQRT(1-AC$9^2*$C$11)*NORMSINV(AB352))*(AC$7-AC$5)*(AC$6-AC$5)),AC$7-SQRT((1-NORMSDIST(AC$9*SQRT($C$11)*NORMSINV($B352)+SQRT(1-AC$9^2*$C$11)*NORMSINV(AB352)))*(AC$7-AC$5)*(AC$7-AC$6))))</f>
        <v>9.10440516710935</v>
      </c>
      <c r="AD352" s="2" t="n">
        <f aca="false">Entrées!$C$8*(1+E352)</f>
        <v>7435.0540089347</v>
      </c>
      <c r="AE352" s="2" t="n">
        <f aca="false">I352*Hypothèses!$J$24/12/Hypothèses!$J$19</f>
        <v>99.0614795174988</v>
      </c>
      <c r="AF352" s="2" t="n">
        <f aca="false">Entrées!$C$36*S352*1000</f>
        <v>156.252528536639</v>
      </c>
      <c r="AG352" s="2" t="n">
        <f aca="false">-AF352/W352</f>
        <v>-15.2481433132863</v>
      </c>
      <c r="AH352" s="2" t="n">
        <f aca="false">AD352+AE352+AG352</f>
        <v>7518.86734513891</v>
      </c>
      <c r="AI352" s="2" t="n">
        <f aca="false">Entrées!$C$16-M352+Hypothèses!$J$22*1000-AF352+Hypothèses!$J$23</f>
        <v>22984.0013956221</v>
      </c>
      <c r="AJ352" s="2" t="n">
        <f aca="false">AI352/AH352</f>
        <v>3.05684358302739</v>
      </c>
      <c r="AK352" s="2" t="n">
        <f aca="false">AI352/(AH352+I352*(12-Hypothèses!$J$24)/12/Hypothèses!$J$19)</f>
        <v>3.02834458168846</v>
      </c>
      <c r="AL352" s="2" t="n">
        <f aca="false">(AD352+AG352+I352/Hypothèses!$J$19)*(1+G352)</f>
        <v>8004.99640342418</v>
      </c>
      <c r="AM352" s="2" t="n">
        <f aca="false">Entrées!$C$54*K352/Hypothèses!$J$19</f>
        <v>17.3624538181107</v>
      </c>
      <c r="AN352" s="2" t="n">
        <f aca="false">Y352*1000/AC352</f>
        <v>60.5200313194964</v>
      </c>
      <c r="AO352" s="2" t="n">
        <f aca="false">(Entrées!$C$36*(1-S352)+MAX(0,Entrées!$C$30-Entrées!$C$35-Entrées!$C$36)*U352)*1000</f>
        <v>1183.05266991907</v>
      </c>
      <c r="AP352" s="2" t="n">
        <f aca="false">-AO352/W352</f>
        <v>-115.450014326406</v>
      </c>
      <c r="AQ352" s="2" t="n">
        <f aca="false">AL352+AM352+AN352+AP352</f>
        <v>7967.42887423538</v>
      </c>
      <c r="AR352" s="2" t="n">
        <f aca="false">O352*AQ352-Hypothèses!$J$25/Hypothèses!$J$19</f>
        <v>1318.29195418682</v>
      </c>
      <c r="AS352" s="2" t="n">
        <f aca="false">Entrées!$C$79*(1+Q352)+Hypothèses!$J$20</f>
        <v>1500.31521199207</v>
      </c>
      <c r="AT352" s="2" t="n">
        <f aca="false">AI352-AR352+AS352+Y352*1000-AO352+Hypothèses!$J$23</f>
        <v>22533.9708693671</v>
      </c>
      <c r="AU352" s="2" t="n">
        <f aca="false">AT352/AQ352</f>
        <v>2.82826131554637</v>
      </c>
      <c r="AV352" s="2" t="n">
        <f aca="false">Hypothèses!$J$26*AQ352-AT352</f>
        <v>1368.31575333905</v>
      </c>
      <c r="AW352" s="2" t="n">
        <f aca="false">IF(AC352&gt;Hypothèses!$J$26,MAX(0,AV352)/(1-Hypothèses!$J$26/AC352),0)</f>
        <v>2040.77230686775</v>
      </c>
      <c r="AX352" s="2" t="n">
        <f aca="false">AQ352-Entrées!$C$17*1000</f>
        <v>-32.571125764619</v>
      </c>
      <c r="AY352" s="2" t="n">
        <f aca="false">AI352+(Entrées!$C$244-Entrées!$C$13)</f>
        <v>28731.0013956221</v>
      </c>
      <c r="AZ352" s="2" t="n">
        <f aca="false">AA352*AH352</f>
        <v>5621.68152734015</v>
      </c>
      <c r="BA352" s="2" t="n">
        <f aca="false">AZ352/AY352</f>
        <v>0.195666049015499</v>
      </c>
      <c r="BB352" s="2" t="n">
        <f aca="false">AZ352/(Entrées!$C$151/100)-AY352</f>
        <v>2500.56264515656</v>
      </c>
      <c r="BC352" s="2" t="n">
        <f aca="false">AT352+(Entrées!$C$244-Entrées!$C$13)</f>
        <v>28280.9708693671</v>
      </c>
      <c r="BD352" s="2" t="n">
        <f aca="false">AA352*AQ352</f>
        <v>5957.06050747702</v>
      </c>
      <c r="BE352" s="2" t="n">
        <f aca="false">BD352/BC352</f>
        <v>0.210638472596763</v>
      </c>
      <c r="BF352" s="2" t="n">
        <f aca="false">BD352/(Entrées!$C$151/100)-BC352</f>
        <v>4813.80972772747</v>
      </c>
      <c r="BG352" s="2" t="n">
        <f aca="false">MIN(AV352,BF352)</f>
        <v>1368.31575333905</v>
      </c>
      <c r="BH352" s="2" t="n">
        <f aca="false">IF(AC352&gt;Hypothèses!$J$26,MAX(0,BG352)/(1-Hypothèses!$J$26/AC352),0)</f>
        <v>2040.77230686775</v>
      </c>
    </row>
    <row r="353" customFormat="false" ht="15" hidden="false" customHeight="false" outlineLevel="0" collapsed="false">
      <c r="A353" s="2" t="n">
        <v>338</v>
      </c>
      <c r="B353" s="2" t="n">
        <v>0.525564143</v>
      </c>
      <c r="C353" s="2"/>
      <c r="D353" s="2" t="n">
        <v>0.638027802</v>
      </c>
      <c r="E353" s="2" t="n">
        <f aca="false">IF(E$7=E$5,E$6,IF(NORMSDIST(E$9*SQRT($C$11)*NORMSINV($B353)+SQRT(1-E$9^2*$C$11)*NORMSINV(D353))&lt;E$8,E$5+SQRT(NORMSDIST(E$9*SQRT($C$11)*NORMSINV($B353)+SQRT(1-E$9^2*$C$11)*NORMSINV(D353))*(E$7-E$5)*(E$6-E$5)),E$7-SQRT((1-NORMSDIST(E$9*SQRT($C$11)*NORMSINV($B353)+SQRT(1-E$9^2*$C$11)*NORMSINV(D353)))*(E$7-E$5)*(E$7-E$6))))</f>
        <v>0.0556600198904339</v>
      </c>
      <c r="F353" s="2" t="n">
        <v>0.549615456</v>
      </c>
      <c r="G353" s="2" t="n">
        <f aca="false">IF(G$7=G$5,G$6,IF(NORMSDIST(G$9*SQRT($C$11)*NORMSINV($B353)+SQRT(1-G$9^2*$C$11)*NORMSINV(F353))&lt;G$8,G$5+SQRT(NORMSDIST(G$9*SQRT($C$11)*NORMSINV($B353)+SQRT(1-G$9^2*$C$11)*NORMSINV(F353))*(G$7-G$5)*(G$6-G$5)),G$7-SQRT((1-NORMSDIST(G$9*SQRT($C$11)*NORMSINV($B353)+SQRT(1-G$9^2*$C$11)*NORMSINV(F353)))*(G$7-G$5)*(G$7-G$6))))</f>
        <v>0.0558417135555908</v>
      </c>
      <c r="H353" s="2" t="n">
        <v>0.177843625</v>
      </c>
      <c r="I353" s="2" t="n">
        <f aca="false">IF(I$7=I$5,I$6,IF(NORMSDIST(I$9*SQRT($C$11)*NORMSINV($B353)+SQRT(1-I$9^2*$C$11)*NORMSINV(H353))&lt;I$8,I$5+SQRT(NORMSDIST(I$9*SQRT($C$11)*NORMSINV($B353)+SQRT(1-I$9^2*$C$11)*NORMSINV(H353))*(I$7-I$5)*(I$6-I$5)),I$7-SQRT((1-NORMSDIST(I$9*SQRT($C$11)*NORMSINV($B353)+SQRT(1-I$9^2*$C$11)*NORMSINV(H353)))*(I$7-I$5)*(I$7-I$6))))</f>
        <v>194.138690671967</v>
      </c>
      <c r="J353" s="2" t="n">
        <v>0.050891304</v>
      </c>
      <c r="K353" s="2" t="n">
        <f aca="false">IF(K$7=K$5,K$6,IF(NORMSDIST(K$9*SQRT($C$11)*NORMSINV($B353)+SQRT(1-K$9^2*$C$11)*NORMSINV(J353))&lt;K$8,K$5+SQRT(NORMSDIST(K$9*SQRT($C$11)*NORMSINV($B353)+SQRT(1-K$9^2*$C$11)*NORMSINV(J353))*(K$7-K$5)*(K$6-K$5)),K$7-SQRT((1-NORMSDIST(K$9*SQRT($C$11)*NORMSINV($B353)+SQRT(1-K$9^2*$C$11)*NORMSINV(J353)))*(K$7-K$5)*(K$7-K$6))))</f>
        <v>0.117223558301721</v>
      </c>
      <c r="L353" s="2" t="n">
        <v>0.44912228</v>
      </c>
      <c r="M353" s="2" t="n">
        <f aca="false">IF(M$7=M$5,M$6,IF(NORMSDIST(M$9*SQRT($C$11)*NORMSINV($B353)+SQRT(1-M$9^2*$C$11)*NORMSINV(L353))&lt;M$8,M$5+SQRT(NORMSDIST(M$9*SQRT($C$11)*NORMSINV($B353)+SQRT(1-M$9^2*$C$11)*NORMSINV(L353))*(M$7-M$5)*(M$6-M$5)),M$7-SQRT((1-NORMSDIST(M$9*SQRT($C$11)*NORMSINV($B353)+SQRT(1-M$9^2*$C$11)*NORMSINV(L353)))*(M$7-M$5)*(M$7-M$6))))</f>
        <v>1578.69142558803</v>
      </c>
      <c r="N353" s="2" t="n">
        <v>0.938846416</v>
      </c>
      <c r="O353" s="2" t="n">
        <f aca="false">IF(O$7=O$5,O$6,IF(NORMSDIST(O$9*SQRT($C$11)*NORMSINV($B353)+SQRT(1-O$9^2*$C$11)*NORMSINV(N353))&lt;O$8,O$5+SQRT(NORMSDIST(O$9*SQRT($C$11)*NORMSINV($B353)+SQRT(1-O$9^2*$C$11)*NORMSINV(N353))*(O$7-O$5)*(O$6-O$5)),O$7-SQRT((1-NORMSDIST(O$9*SQRT($C$11)*NORMSINV($B353)+SQRT(1-O$9^2*$C$11)*NORMSINV(N353)))*(O$7-O$5)*(O$7-O$6))))</f>
        <v>0.179276170269772</v>
      </c>
      <c r="P353" s="2" t="n">
        <v>0.500805855</v>
      </c>
      <c r="Q353" s="2" t="n">
        <f aca="false">IF(Q$7=Q$5,Q$6,IF(NORMSDIST(Q$9*SQRT($C$11)*NORMSINV($B353)+SQRT(1-Q$9^2*$C$11)*NORMSINV(P353))&lt;Q$8,Q$5+SQRT(NORMSDIST(Q$9*SQRT($C$11)*NORMSINV($B353)+SQRT(1-Q$9^2*$C$11)*NORMSINV(P353))*(Q$7-Q$5)*(Q$6-Q$5)),Q$7-SQRT((1-NORMSDIST(Q$9*SQRT($C$11)*NORMSINV($B353)+SQRT(1-Q$9^2*$C$11)*NORMSINV(P353)))*(Q$7-Q$5)*(Q$7-Q$6))))</f>
        <v>0.0800322471985227</v>
      </c>
      <c r="R353" s="2" t="n">
        <v>0.606137597</v>
      </c>
      <c r="S353" s="2" t="n">
        <f aca="false">IF(S$7=S$5,S$6,IF(NORMSDIST(S$9*SQRT($C$11)*NORMSINV($B353)+SQRT(1-S$9^2*$C$11)*NORMSINV(R353))&lt;S$8,S$5+SQRT(NORMSDIST(S$9*SQRT($C$11)*NORMSINV($B353)+SQRT(1-S$9^2*$C$11)*NORMSINV(R353))*(S$7-S$5)*(S$6-S$5)),S$7-SQRT((1-NORMSDIST(S$9*SQRT($C$11)*NORMSINV($B353)+SQRT(1-S$9^2*$C$11)*NORMSINV(R353)))*(S$7-S$5)*(S$7-S$6))))</f>
        <v>0.551875668990772</v>
      </c>
      <c r="T353" s="2" t="n">
        <v>0.828303283</v>
      </c>
      <c r="U353" s="2" t="n">
        <f aca="false">IF(U$7=U$5,U$6,IF(NORMSDIST(U$9*SQRT($C$11)*NORMSINV($B353)+SQRT(1-U$9^2*$C$11)*NORMSINV(T353))&lt;U$8,U$5+SQRT(NORMSDIST(U$9*SQRT($C$11)*NORMSINV($B353)+SQRT(1-U$9^2*$C$11)*NORMSINV(T353))*(U$7-U$5)*(U$6-U$5)),U$7-SQRT((1-NORMSDIST(U$9*SQRT($C$11)*NORMSINV($B353)+SQRT(1-U$9^2*$C$11)*NORMSINV(T353)))*(U$7-U$5)*(U$7-U$6))))</f>
        <v>0.668845947913682</v>
      </c>
      <c r="V353" s="2" t="n">
        <v>0.590604059</v>
      </c>
      <c r="W353" s="2" t="n">
        <f aca="false">IF(W$7=W$5,W$6,IF(NORMSDIST(W$9*SQRT($C$11)*NORMSINV($B353)+SQRT(1-W$9^2*$C$11)*NORMSINV(V353))&lt;W$8,W$5+SQRT(NORMSDIST(W$9*SQRT($C$11)*NORMSINV($B353)+SQRT(1-W$9^2*$C$11)*NORMSINV(V353))*(W$7-W$5)*(W$6-W$5)),W$7-SQRT((1-NORMSDIST(W$9*SQRT($C$11)*NORMSINV($B353)+SQRT(1-W$9^2*$C$11)*NORMSINV(V353)))*(W$7-W$5)*(W$7-W$6))))</f>
        <v>10.1807500776136</v>
      </c>
      <c r="X353" s="2" t="n">
        <v>0.71812488</v>
      </c>
      <c r="Y353" s="2" t="n">
        <f aca="false">IF(Y$7=Y$5,Y$6,IF(NORMSDIST(Y$9*SQRT($C$11)*NORMSINV($B353)+SQRT(1-Y$9^2*$C$11)*NORMSINV(X353))&lt;Y$8,Y$5+SQRT(NORMSDIST(Y$9*SQRT($C$11)*NORMSINV($B353)+SQRT(1-Y$9^2*$C$11)*NORMSINV(X353))*(Y$7-Y$5)*(Y$6-Y$5)),Y$7-SQRT((1-NORMSDIST(Y$9*SQRT($C$11)*NORMSINV($B353)+SQRT(1-Y$9^2*$C$11)*NORMSINV(X353)))*(Y$7-Y$5)*(Y$7-Y$6))))</f>
        <v>0.624583484646719</v>
      </c>
      <c r="Z353" s="2" t="n">
        <v>0.14609084</v>
      </c>
      <c r="AA353" s="2" t="n">
        <f aca="false">IF(AA$7=AA$5,AA$6,IF(NORMSDIST(AA$9*SQRT($C$11)*NORMSINV($B353)+SQRT(1-AA$9^2*$C$11)*NORMSINV(Z353))&lt;AA$8,AA$5+SQRT(NORMSDIST(AA$9*SQRT($C$11)*NORMSINV($B353)+SQRT(1-AA$9^2*$C$11)*NORMSINV(Z353))*(AA$7-AA$5)*(AA$6-AA$5)),AA$7-SQRT((1-NORMSDIST(AA$9*SQRT($C$11)*NORMSINV($B353)+SQRT(1-AA$9^2*$C$11)*NORMSINV(Z353)))*(AA$7-AA$5)*(AA$7-AA$6))))</f>
        <v>0.716984929806171</v>
      </c>
      <c r="AB353" s="2" t="n">
        <v>0.952555472</v>
      </c>
      <c r="AC353" s="2" t="n">
        <f aca="false">IF(AC$7=AC$5,AC$6,IF(NORMSDIST(AC$9*SQRT($C$11)*NORMSINV($B353)+SQRT(1-AC$9^2*$C$11)*NORMSINV(AB353))&lt;AC$8,AC$5+SQRT(NORMSDIST(AC$9*SQRT($C$11)*NORMSINV($B353)+SQRT(1-AC$9^2*$C$11)*NORMSINV(AB353))*(AC$7-AC$5)*(AC$6-AC$5)),AC$7-SQRT((1-NORMSDIST(AC$9*SQRT($C$11)*NORMSINV($B353)+SQRT(1-AC$9^2*$C$11)*NORMSINV(AB353)))*(AC$7-AC$5)*(AC$7-AC$6))))</f>
        <v>10.3727974612</v>
      </c>
      <c r="AD353" s="2" t="n">
        <f aca="false">Entrées!$C$8*(1+E353)</f>
        <v>7442.40314022756</v>
      </c>
      <c r="AE353" s="2" t="n">
        <f aca="false">I353*Hypothèses!$J$24/12/Hypothèses!$J$19</f>
        <v>96.3115830773106</v>
      </c>
      <c r="AF353" s="2" t="n">
        <f aca="false">Entrées!$C$36*S353*1000</f>
        <v>275.937834495386</v>
      </c>
      <c r="AG353" s="2" t="n">
        <f aca="false">-AF353/W353</f>
        <v>-27.1038805973781</v>
      </c>
      <c r="AH353" s="2" t="n">
        <f aca="false">AD353+AE353+AG353</f>
        <v>7511.61084270749</v>
      </c>
      <c r="AI353" s="2" t="n">
        <f aca="false">Entrées!$C$16-M353+Hypothèses!$J$22*1000-AF353+Hypothèses!$J$23</f>
        <v>22693.3707399166</v>
      </c>
      <c r="AJ353" s="2" t="n">
        <f aca="false">AI353/AH353</f>
        <v>3.02110575416031</v>
      </c>
      <c r="AK353" s="2" t="n">
        <f aca="false">AI353/(AH353+I353*(12-Hypothèses!$J$24)/12/Hypothèses!$J$19)</f>
        <v>2.99368849645738</v>
      </c>
      <c r="AL353" s="2" t="n">
        <f aca="false">(AD353+AG353+I353/Hypothèses!$J$19)*(1+G353)</f>
        <v>8003.70762580675</v>
      </c>
      <c r="AM353" s="2" t="n">
        <f aca="false">Entrées!$C$54*K353/Hypothèses!$J$19</f>
        <v>11.9631563146059</v>
      </c>
      <c r="AN353" s="2" t="n">
        <f aca="false">Y353*1000/AC353</f>
        <v>60.2136007169722</v>
      </c>
      <c r="AO353" s="2" t="n">
        <f aca="false">(Entrées!$C$36*(1-S353)+MAX(0,Entrées!$C$30-Entrées!$C$35-Entrées!$C$36)*U353)*1000</f>
        <v>1160.44649258377</v>
      </c>
      <c r="AP353" s="2" t="n">
        <f aca="false">-AO353/W353</f>
        <v>-113.984380692683</v>
      </c>
      <c r="AQ353" s="2" t="n">
        <f aca="false">AL353+AM353+AN353+AP353</f>
        <v>7961.90000214564</v>
      </c>
      <c r="AR353" s="2" t="n">
        <f aca="false">O353*AQ353-Hypothèses!$J$25/Hypothèses!$J$19</f>
        <v>1408.24377819393</v>
      </c>
      <c r="AS353" s="2" t="n">
        <f aca="false">Entrées!$C$79*(1+Q353)+Hypothèses!$J$20</f>
        <v>1481.95543967118</v>
      </c>
      <c r="AT353" s="2" t="n">
        <f aca="false">AI353-AR353+AS353+Y353*1000-AO353+Hypothèses!$J$23</f>
        <v>22231.2193934568</v>
      </c>
      <c r="AU353" s="2" t="n">
        <f aca="false">AT353/AQ353</f>
        <v>2.79220027725364</v>
      </c>
      <c r="AV353" s="2" t="n">
        <f aca="false">Hypothèses!$J$26*AQ353-AT353</f>
        <v>1654.48061298014</v>
      </c>
      <c r="AW353" s="2" t="n">
        <f aca="false">IF(AC353&gt;Hypothèses!$J$26,MAX(0,AV353)/(1-Hypothèses!$J$26/AC353),0)</f>
        <v>2327.69072963681</v>
      </c>
      <c r="AX353" s="2" t="n">
        <f aca="false">AQ353-Entrées!$C$17*1000</f>
        <v>-38.0999978543596</v>
      </c>
      <c r="AY353" s="2" t="n">
        <f aca="false">AI353+(Entrées!$C$244-Entrées!$C$13)</f>
        <v>28440.3707399166</v>
      </c>
      <c r="AZ353" s="2" t="n">
        <f aca="false">AA353*AH353</f>
        <v>5385.7117727899</v>
      </c>
      <c r="BA353" s="2" t="n">
        <f aca="false">AZ353/AY353</f>
        <v>0.189368550151526</v>
      </c>
      <c r="BB353" s="2" t="n">
        <f aca="false">AZ353/(Entrées!$C$151/100)-AY353</f>
        <v>1480.2502200273</v>
      </c>
      <c r="BC353" s="2" t="n">
        <f aca="false">AT353+(Entrées!$C$244-Entrées!$C$13)</f>
        <v>27978.2193934568</v>
      </c>
      <c r="BD353" s="2" t="n">
        <f aca="false">AA353*AQ353</f>
        <v>5708.56231416214</v>
      </c>
      <c r="BE353" s="2" t="n">
        <f aca="false">BD353/BC353</f>
        <v>0.204035940739574</v>
      </c>
      <c r="BF353" s="2" t="n">
        <f aca="false">BD353/(Entrées!$C$151/100)-BC353</f>
        <v>3736.01568522179</v>
      </c>
      <c r="BG353" s="2" t="n">
        <f aca="false">MIN(AV353,BF353)</f>
        <v>1654.48061298014</v>
      </c>
      <c r="BH353" s="2" t="n">
        <f aca="false">IF(AC353&gt;Hypothèses!$J$26,MAX(0,BG353)/(1-Hypothèses!$J$26/AC353),0)</f>
        <v>2327.69072963681</v>
      </c>
    </row>
    <row r="354" customFormat="false" ht="15" hidden="false" customHeight="false" outlineLevel="0" collapsed="false">
      <c r="A354" s="2" t="n">
        <v>339</v>
      </c>
      <c r="B354" s="2" t="n">
        <v>0.858935002</v>
      </c>
      <c r="C354" s="2"/>
      <c r="D354" s="2" t="n">
        <v>0.836118032</v>
      </c>
      <c r="E354" s="2" t="n">
        <f aca="false">IF(E$7=E$5,E$6,IF(NORMSDIST(E$9*SQRT($C$11)*NORMSINV($B354)+SQRT(1-E$9^2*$C$11)*NORMSINV(D354))&lt;E$8,E$5+SQRT(NORMSDIST(E$9*SQRT($C$11)*NORMSINV($B354)+SQRT(1-E$9^2*$C$11)*NORMSINV(D354))*(E$7-E$5)*(E$6-E$5)),E$7-SQRT((1-NORMSDIST(E$9*SQRT($C$11)*NORMSINV($B354)+SQRT(1-E$9^2*$C$11)*NORMSINV(D354)))*(E$7-E$5)*(E$7-E$6))))</f>
        <v>0.0580612156930579</v>
      </c>
      <c r="F354" s="2" t="n">
        <v>0.545252361</v>
      </c>
      <c r="G354" s="2" t="n">
        <f aca="false">IF(G$7=G$5,G$6,IF(NORMSDIST(G$9*SQRT($C$11)*NORMSINV($B354)+SQRT(1-G$9^2*$C$11)*NORMSINV(F354))&lt;G$8,G$5+SQRT(NORMSDIST(G$9*SQRT($C$11)*NORMSINV($B354)+SQRT(1-G$9^2*$C$11)*NORMSINV(F354))*(G$7-G$5)*(G$6-G$5)),G$7-SQRT((1-NORMSDIST(G$9*SQRT($C$11)*NORMSINV($B354)+SQRT(1-G$9^2*$C$11)*NORMSINV(F354)))*(G$7-G$5)*(G$7-G$6))))</f>
        <v>0.0600239721992904</v>
      </c>
      <c r="H354" s="2" t="n">
        <v>0.157457003</v>
      </c>
      <c r="I354" s="2" t="n">
        <f aca="false">IF(I$7=I$5,I$6,IF(NORMSDIST(I$9*SQRT($C$11)*NORMSINV($B354)+SQRT(1-I$9^2*$C$11)*NORMSINV(H354))&lt;I$8,I$5+SQRT(NORMSDIST(I$9*SQRT($C$11)*NORMSINV($B354)+SQRT(1-I$9^2*$C$11)*NORMSINV(H354))*(I$7-I$5)*(I$6-I$5)),I$7-SQRT((1-NORMSDIST(I$9*SQRT($C$11)*NORMSINV($B354)+SQRT(1-I$9^2*$C$11)*NORMSINV(H354)))*(I$7-I$5)*(I$7-I$6))))</f>
        <v>199.201752948204</v>
      </c>
      <c r="J354" s="2" t="n">
        <v>0.305183985</v>
      </c>
      <c r="K354" s="2" t="n">
        <f aca="false">IF(K$7=K$5,K$6,IF(NORMSDIST(K$9*SQRT($C$11)*NORMSINV($B354)+SQRT(1-K$9^2*$C$11)*NORMSINV(J354))&lt;K$8,K$5+SQRT(NORMSDIST(K$9*SQRT($C$11)*NORMSINV($B354)+SQRT(1-K$9^2*$C$11)*NORMSINV(J354))*(K$7-K$5)*(K$6-K$5)),K$7-SQRT((1-NORMSDIST(K$9*SQRT($C$11)*NORMSINV($B354)+SQRT(1-K$9^2*$C$11)*NORMSINV(J354)))*(K$7-K$5)*(K$7-K$6))))</f>
        <v>0.279882189873205</v>
      </c>
      <c r="L354" s="2" t="n">
        <v>0.031570295</v>
      </c>
      <c r="M354" s="2" t="n">
        <f aca="false">IF(M$7=M$5,M$6,IF(NORMSDIST(M$9*SQRT($C$11)*NORMSINV($B354)+SQRT(1-M$9^2*$C$11)*NORMSINV(L354))&lt;M$8,M$5+SQRT(NORMSDIST(M$9*SQRT($C$11)*NORMSINV($B354)+SQRT(1-M$9^2*$C$11)*NORMSINV(L354))*(M$7-M$5)*(M$6-M$5)),M$7-SQRT((1-NORMSDIST(M$9*SQRT($C$11)*NORMSINV($B354)+SQRT(1-M$9^2*$C$11)*NORMSINV(L354)))*(M$7-M$5)*(M$7-M$6))))</f>
        <v>1492.00538881103</v>
      </c>
      <c r="N354" s="2" t="n">
        <v>0.116822196</v>
      </c>
      <c r="O354" s="2" t="n">
        <f aca="false">IF(O$7=O$5,O$6,IF(NORMSDIST(O$9*SQRT($C$11)*NORMSINV($B354)+SQRT(1-O$9^2*$C$11)*NORMSINV(N354))&lt;O$8,O$5+SQRT(NORMSDIST(O$9*SQRT($C$11)*NORMSINV($B354)+SQRT(1-O$9^2*$C$11)*NORMSINV(N354))*(O$7-O$5)*(O$6-O$5)),O$7-SQRT((1-NORMSDIST(O$9*SQRT($C$11)*NORMSINV($B354)+SQRT(1-O$9^2*$C$11)*NORMSINV(N354)))*(O$7-O$5)*(O$7-O$6))))</f>
        <v>0.16408410984741</v>
      </c>
      <c r="P354" s="2" t="n">
        <v>0.394817144</v>
      </c>
      <c r="Q354" s="2" t="n">
        <f aca="false">IF(Q$7=Q$5,Q$6,IF(NORMSDIST(Q$9*SQRT($C$11)*NORMSINV($B354)+SQRT(1-Q$9^2*$C$11)*NORMSINV(P354))&lt;Q$8,Q$5+SQRT(NORMSDIST(Q$9*SQRT($C$11)*NORMSINV($B354)+SQRT(1-Q$9^2*$C$11)*NORMSINV(P354))*(Q$7-Q$5)*(Q$6-Q$5)),Q$7-SQRT((1-NORMSDIST(Q$9*SQRT($C$11)*NORMSINV($B354)+SQRT(1-Q$9^2*$C$11)*NORMSINV(P354)))*(Q$7-Q$5)*(Q$7-Q$6))))</f>
        <v>0.0755445475537388</v>
      </c>
      <c r="R354" s="2" t="n">
        <v>0.328775065</v>
      </c>
      <c r="S354" s="2" t="n">
        <f aca="false">IF(S$7=S$5,S$6,IF(NORMSDIST(S$9*SQRT($C$11)*NORMSINV($B354)+SQRT(1-S$9^2*$C$11)*NORMSINV(R354))&lt;S$8,S$5+SQRT(NORMSDIST(S$9*SQRT($C$11)*NORMSINV($B354)+SQRT(1-S$9^2*$C$11)*NORMSINV(R354))*(S$7-S$5)*(S$6-S$5)),S$7-SQRT((1-NORMSDIST(S$9*SQRT($C$11)*NORMSINV($B354)+SQRT(1-S$9^2*$C$11)*NORMSINV(R354)))*(S$7-S$5)*(S$7-S$6))))</f>
        <v>0.570982595625519</v>
      </c>
      <c r="T354" s="2" t="n">
        <v>0.999021538</v>
      </c>
      <c r="U354" s="2" t="n">
        <f aca="false">IF(U$7=U$5,U$6,IF(NORMSDIST(U$9*SQRT($C$11)*NORMSINV($B354)+SQRT(1-U$9^2*$C$11)*NORMSINV(T354))&lt;U$8,U$5+SQRT(NORMSDIST(U$9*SQRT($C$11)*NORMSINV($B354)+SQRT(1-U$9^2*$C$11)*NORMSINV(T354))*(U$7-U$5)*(U$6-U$5)),U$7-SQRT((1-NORMSDIST(U$9*SQRT($C$11)*NORMSINV($B354)+SQRT(1-U$9^2*$C$11)*NORMSINV(T354)))*(U$7-U$5)*(U$7-U$6))))</f>
        <v>0.977210203511343</v>
      </c>
      <c r="V354" s="2" t="n">
        <v>0.621627827</v>
      </c>
      <c r="W354" s="2" t="n">
        <f aca="false">IF(W$7=W$5,W$6,IF(NORMSDIST(W$9*SQRT($C$11)*NORMSINV($B354)+SQRT(1-W$9^2*$C$11)*NORMSINV(V354))&lt;W$8,W$5+SQRT(NORMSDIST(W$9*SQRT($C$11)*NORMSINV($B354)+SQRT(1-W$9^2*$C$11)*NORMSINV(V354))*(W$7-W$5)*(W$6-W$5)),W$7-SQRT((1-NORMSDIST(W$9*SQRT($C$11)*NORMSINV($B354)+SQRT(1-W$9^2*$C$11)*NORMSINV(V354)))*(W$7-W$5)*(W$7-W$6))))</f>
        <v>10.8042040297942</v>
      </c>
      <c r="X354" s="2" t="n">
        <v>0.045336499</v>
      </c>
      <c r="Y354" s="2" t="n">
        <f aca="false">IF(Y$7=Y$5,Y$6,IF(NORMSDIST(Y$9*SQRT($C$11)*NORMSINV($B354)+SQRT(1-Y$9^2*$C$11)*NORMSINV(X354))&lt;Y$8,Y$5+SQRT(NORMSDIST(Y$9*SQRT($C$11)*NORMSINV($B354)+SQRT(1-Y$9^2*$C$11)*NORMSINV(X354))*(Y$7-Y$5)*(Y$6-Y$5)),Y$7-SQRT((1-NORMSDIST(Y$9*SQRT($C$11)*NORMSINV($B354)+SQRT(1-Y$9^2*$C$11)*NORMSINV(X354)))*(Y$7-Y$5)*(Y$7-Y$6))))</f>
        <v>0.150559787127905</v>
      </c>
      <c r="Z354" s="2" t="n">
        <v>0.82496872</v>
      </c>
      <c r="AA354" s="2" t="n">
        <f aca="false">IF(AA$7=AA$5,AA$6,IF(NORMSDIST(AA$9*SQRT($C$11)*NORMSINV($B354)+SQRT(1-AA$9^2*$C$11)*NORMSINV(Z354))&lt;AA$8,AA$5+SQRT(NORMSDIST(AA$9*SQRT($C$11)*NORMSINV($B354)+SQRT(1-AA$9^2*$C$11)*NORMSINV(Z354))*(AA$7-AA$5)*(AA$6-AA$5)),AA$7-SQRT((1-NORMSDIST(AA$9*SQRT($C$11)*NORMSINV($B354)+SQRT(1-AA$9^2*$C$11)*NORMSINV(Z354)))*(AA$7-AA$5)*(AA$7-AA$6))))</f>
        <v>0.743721201966694</v>
      </c>
      <c r="AB354" s="2" t="n">
        <v>0.257611267</v>
      </c>
      <c r="AC354" s="2" t="n">
        <f aca="false">IF(AC$7=AC$5,AC$6,IF(NORMSDIST(AC$9*SQRT($C$11)*NORMSINV($B354)+SQRT(1-AC$9^2*$C$11)*NORMSINV(AB354))&lt;AC$8,AC$5+SQRT(NORMSDIST(AC$9*SQRT($C$11)*NORMSINV($B354)+SQRT(1-AC$9^2*$C$11)*NORMSINV(AB354))*(AC$7-AC$5)*(AC$6-AC$5)),AC$7-SQRT((1-NORMSDIST(AC$9*SQRT($C$11)*NORMSINV($B354)+SQRT(1-AC$9^2*$C$11)*NORMSINV(AB354)))*(AC$7-AC$5)*(AC$7-AC$6))))</f>
        <v>9.61904387037455</v>
      </c>
      <c r="AD354" s="2" t="n">
        <f aca="false">Entrées!$C$8*(1+E354)</f>
        <v>7459.33157063606</v>
      </c>
      <c r="AE354" s="2" t="n">
        <f aca="false">I354*Hypothèses!$J$24/12/Hypothèses!$J$19</f>
        <v>98.8233520675908</v>
      </c>
      <c r="AF354" s="2" t="n">
        <f aca="false">Entrées!$C$36*S354*1000</f>
        <v>285.49129781276</v>
      </c>
      <c r="AG354" s="2" t="n">
        <f aca="false">-AF354/W354</f>
        <v>-26.4240935311361</v>
      </c>
      <c r="AH354" s="2" t="n">
        <f aca="false">AD354+AE354+AG354</f>
        <v>7531.73082917251</v>
      </c>
      <c r="AI354" s="2" t="n">
        <f aca="false">Entrées!$C$16-M354+Hypothèses!$J$22*1000-AF354+Hypothèses!$J$23</f>
        <v>22770.5033133762</v>
      </c>
      <c r="AJ354" s="2" t="n">
        <f aca="false">AI354/AH354</f>
        <v>3.02327629994153</v>
      </c>
      <c r="AK354" s="2" t="n">
        <f aca="false">AI354/(AH354+I354*(12-Hypothèses!$J$24)/12/Hypothèses!$J$19)</f>
        <v>2.995204949924</v>
      </c>
      <c r="AL354" s="2" t="n">
        <f aca="false">(AD354+AG354+I354/Hypothèses!$J$19)*(1+G354)</f>
        <v>8058.6403183644</v>
      </c>
      <c r="AM354" s="2" t="n">
        <f aca="false">Entrées!$C$54*K354/Hypothèses!$J$19</f>
        <v>28.5631526259359</v>
      </c>
      <c r="AN354" s="2" t="n">
        <f aca="false">Y354*1000/AC354</f>
        <v>15.6522611973535</v>
      </c>
      <c r="AO354" s="2" t="n">
        <f aca="false">(Entrées!$C$36*(1-S354)+MAX(0,Entrées!$C$30-Entrées!$C$35-Entrées!$C$36)*U354)*1000</f>
        <v>1582.60298710312</v>
      </c>
      <c r="AP354" s="2" t="n">
        <f aca="false">-AO354/W354</f>
        <v>-146.480294405665</v>
      </c>
      <c r="AQ354" s="2" t="n">
        <f aca="false">AL354+AM354+AN354+AP354</f>
        <v>7956.37543778202</v>
      </c>
      <c r="AR354" s="2" t="n">
        <f aca="false">O354*AQ354-Hypothèses!$J$25/Hypothèses!$J$19</f>
        <v>1286.37961905864</v>
      </c>
      <c r="AS354" s="2" t="n">
        <f aca="false">Entrées!$C$79*(1+Q354)+Hypothèses!$J$20</f>
        <v>1477.02345776156</v>
      </c>
      <c r="AT354" s="2" t="n">
        <f aca="false">AI354-AR354+AS354+Y354*1000-AO354+Hypothèses!$J$23</f>
        <v>21529.1039521039</v>
      </c>
      <c r="AU354" s="2" t="n">
        <f aca="false">AT354/AQ354</f>
        <v>2.70589342100045</v>
      </c>
      <c r="AV354" s="2" t="n">
        <f aca="false">Hypothèses!$J$26*AQ354-AT354</f>
        <v>2340.02236124215</v>
      </c>
      <c r="AW354" s="2" t="n">
        <f aca="false">IF(AC354&gt;Hypothèses!$J$26,MAX(0,AV354)/(1-Hypothèses!$J$26/AC354),0)</f>
        <v>3400.60863642108</v>
      </c>
      <c r="AX354" s="2" t="n">
        <f aca="false">AQ354-Entrées!$C$17*1000</f>
        <v>-43.6245622179758</v>
      </c>
      <c r="AY354" s="2" t="n">
        <f aca="false">AI354+(Entrées!$C$244-Entrées!$C$13)</f>
        <v>28517.5033133762</v>
      </c>
      <c r="AZ354" s="2" t="n">
        <f aca="false">AA354*AH354</f>
        <v>5601.50790516179</v>
      </c>
      <c r="BA354" s="2" t="n">
        <f aca="false">AZ354/AY354</f>
        <v>0.1964235032642</v>
      </c>
      <c r="BB354" s="2" t="n">
        <f aca="false">AZ354/(Entrées!$C$151/100)-AY354</f>
        <v>2601.98504863372</v>
      </c>
      <c r="BC354" s="2" t="n">
        <f aca="false">AT354+(Entrées!$C$244-Entrées!$C$13)</f>
        <v>27276.1039521039</v>
      </c>
      <c r="BD354" s="2" t="n">
        <f aca="false">AA354*AQ354</f>
        <v>5917.32510388553</v>
      </c>
      <c r="BE354" s="2" t="n">
        <f aca="false">BD354/BC354</f>
        <v>0.216941727245071</v>
      </c>
      <c r="BF354" s="2" t="n">
        <f aca="false">BD354/(Entrées!$C$151/100)-BC354</f>
        <v>5597.92440281568</v>
      </c>
      <c r="BG354" s="2" t="n">
        <f aca="false">MIN(AV354,BF354)</f>
        <v>2340.02236124215</v>
      </c>
      <c r="BH354" s="2" t="n">
        <f aca="false">IF(AC354&gt;Hypothèses!$J$26,MAX(0,BG354)/(1-Hypothèses!$J$26/AC354),0)</f>
        <v>3400.60863642108</v>
      </c>
    </row>
    <row r="355" customFormat="false" ht="15" hidden="false" customHeight="false" outlineLevel="0" collapsed="false">
      <c r="A355" s="2" t="n">
        <v>340</v>
      </c>
      <c r="B355" s="2" t="n">
        <v>0.626533801</v>
      </c>
      <c r="C355" s="2"/>
      <c r="D355" s="2" t="n">
        <v>0.271937773</v>
      </c>
      <c r="E355" s="2" t="n">
        <f aca="false">IF(E$7=E$5,E$6,IF(NORMSDIST(E$9*SQRT($C$11)*NORMSINV($B355)+SQRT(1-E$9^2*$C$11)*NORMSINV(D355))&lt;E$8,E$5+SQRT(NORMSDIST(E$9*SQRT($C$11)*NORMSINV($B355)+SQRT(1-E$9^2*$C$11)*NORMSINV(D355))*(E$7-E$5)*(E$6-E$5)),E$7-SQRT((1-NORMSDIST(E$9*SQRT($C$11)*NORMSINV($B355)+SQRT(1-E$9^2*$C$11)*NORMSINV(D355)))*(E$7-E$5)*(E$7-E$6))))</f>
        <v>0.0544446263191298</v>
      </c>
      <c r="F355" s="2" t="n">
        <v>0.528102988</v>
      </c>
      <c r="G355" s="2" t="n">
        <f aca="false">IF(G$7=G$5,G$6,IF(NORMSDIST(G$9*SQRT($C$11)*NORMSINV($B355)+SQRT(1-G$9^2*$C$11)*NORMSINV(F355))&lt;G$8,G$5+SQRT(NORMSDIST(G$9*SQRT($C$11)*NORMSINV($B355)+SQRT(1-G$9^2*$C$11)*NORMSINV(F355))*(G$7-G$5)*(G$6-G$5)),G$7-SQRT((1-NORMSDIST(G$9*SQRT($C$11)*NORMSINV($B355)+SQRT(1-G$9^2*$C$11)*NORMSINV(F355)))*(G$7-G$5)*(G$7-G$6))))</f>
        <v>0.0566182683300818</v>
      </c>
      <c r="H355" s="2" t="n">
        <v>0.297829011</v>
      </c>
      <c r="I355" s="2" t="n">
        <f aca="false">IF(I$7=I$5,I$6,IF(NORMSDIST(I$9*SQRT($C$11)*NORMSINV($B355)+SQRT(1-I$9^2*$C$11)*NORMSINV(H355))&lt;I$8,I$5+SQRT(NORMSDIST(I$9*SQRT($C$11)*NORMSINV($B355)+SQRT(1-I$9^2*$C$11)*NORMSINV(H355))*(I$7-I$5)*(I$6-I$5)),I$7-SQRT((1-NORMSDIST(I$9*SQRT($C$11)*NORMSINV($B355)+SQRT(1-I$9^2*$C$11)*NORMSINV(H355)))*(I$7-I$5)*(I$7-I$6))))</f>
        <v>198.287070810059</v>
      </c>
      <c r="J355" s="2" t="n">
        <v>0.060715784</v>
      </c>
      <c r="K355" s="2" t="n">
        <f aca="false">IF(K$7=K$5,K$6,IF(NORMSDIST(K$9*SQRT($C$11)*NORMSINV($B355)+SQRT(1-K$9^2*$C$11)*NORMSINV(J355))&lt;K$8,K$5+SQRT(NORMSDIST(K$9*SQRT($C$11)*NORMSINV($B355)+SQRT(1-K$9^2*$C$11)*NORMSINV(J355))*(K$7-K$5)*(K$6-K$5)),K$7-SQRT((1-NORMSDIST(K$9*SQRT($C$11)*NORMSINV($B355)+SQRT(1-K$9^2*$C$11)*NORMSINV(J355)))*(K$7-K$5)*(K$7-K$6))))</f>
        <v>0.141298072272645</v>
      </c>
      <c r="L355" s="2" t="n">
        <v>0.385521589</v>
      </c>
      <c r="M355" s="2" t="n">
        <f aca="false">IF(M$7=M$5,M$6,IF(NORMSDIST(M$9*SQRT($C$11)*NORMSINV($B355)+SQRT(1-M$9^2*$C$11)*NORMSINV(L355))&lt;M$8,M$5+SQRT(NORMSDIST(M$9*SQRT($C$11)*NORMSINV($B355)+SQRT(1-M$9^2*$C$11)*NORMSINV(L355))*(M$7-M$5)*(M$6-M$5)),M$7-SQRT((1-NORMSDIST(M$9*SQRT($C$11)*NORMSINV($B355)+SQRT(1-M$9^2*$C$11)*NORMSINV(L355)))*(M$7-M$5)*(M$7-M$6))))</f>
        <v>1582.93992092819</v>
      </c>
      <c r="N355" s="2" t="n">
        <v>0.029393699</v>
      </c>
      <c r="O355" s="2" t="n">
        <f aca="false">IF(O$7=O$5,O$6,IF(NORMSDIST(O$9*SQRT($C$11)*NORMSINV($B355)+SQRT(1-O$9^2*$C$11)*NORMSINV(N355))&lt;O$8,O$5+SQRT(NORMSDIST(O$9*SQRT($C$11)*NORMSINV($B355)+SQRT(1-O$9^2*$C$11)*NORMSINV(N355))*(O$7-O$5)*(O$6-O$5)),O$7-SQRT((1-NORMSDIST(O$9*SQRT($C$11)*NORMSINV($B355)+SQRT(1-O$9^2*$C$11)*NORMSINV(N355)))*(O$7-O$5)*(O$7-O$6))))</f>
        <v>0.152208735566268</v>
      </c>
      <c r="P355" s="2" t="n">
        <v>0.775318703</v>
      </c>
      <c r="Q355" s="2" t="n">
        <f aca="false">IF(Q$7=Q$5,Q$6,IF(NORMSDIST(Q$9*SQRT($C$11)*NORMSINV($B355)+SQRT(1-Q$9^2*$C$11)*NORMSINV(P355))&lt;Q$8,Q$5+SQRT(NORMSDIST(Q$9*SQRT($C$11)*NORMSINV($B355)+SQRT(1-Q$9^2*$C$11)*NORMSINV(P355))*(Q$7-Q$5)*(Q$6-Q$5)),Q$7-SQRT((1-NORMSDIST(Q$9*SQRT($C$11)*NORMSINV($B355)+SQRT(1-Q$9^2*$C$11)*NORMSINV(P355)))*(Q$7-Q$5)*(Q$7-Q$6))))</f>
        <v>0.0931861947795543</v>
      </c>
      <c r="R355" s="2" t="n">
        <v>0.079401715</v>
      </c>
      <c r="S355" s="2" t="n">
        <f aca="false">IF(S$7=S$5,S$6,IF(NORMSDIST(S$9*SQRT($C$11)*NORMSINV($B355)+SQRT(1-S$9^2*$C$11)*NORMSINV(R355))&lt;S$8,S$5+SQRT(NORMSDIST(S$9*SQRT($C$11)*NORMSINV($B355)+SQRT(1-S$9^2*$C$11)*NORMSINV(R355))*(S$7-S$5)*(S$6-S$5)),S$7-SQRT((1-NORMSDIST(S$9*SQRT($C$11)*NORMSINV($B355)+SQRT(1-S$9^2*$C$11)*NORMSINV(R355)))*(S$7-S$5)*(S$7-S$6))))</f>
        <v>0.306129475121314</v>
      </c>
      <c r="T355" s="2" t="n">
        <v>0.210106079</v>
      </c>
      <c r="U355" s="2" t="n">
        <f aca="false">IF(U$7=U$5,U$6,IF(NORMSDIST(U$9*SQRT($C$11)*NORMSINV($B355)+SQRT(1-U$9^2*$C$11)*NORMSINV(T355))&lt;U$8,U$5+SQRT(NORMSDIST(U$9*SQRT($C$11)*NORMSINV($B355)+SQRT(1-U$9^2*$C$11)*NORMSINV(T355))*(U$7-U$5)*(U$6-U$5)),U$7-SQRT((1-NORMSDIST(U$9*SQRT($C$11)*NORMSINV($B355)+SQRT(1-U$9^2*$C$11)*NORMSINV(T355)))*(U$7-U$5)*(U$7-U$6))))</f>
        <v>0.410572816534527</v>
      </c>
      <c r="V355" s="2" t="n">
        <v>0.013441892</v>
      </c>
      <c r="W355" s="2" t="n">
        <f aca="false">IF(W$7=W$5,W$6,IF(NORMSDIST(W$9*SQRT($C$11)*NORMSINV($B355)+SQRT(1-W$9^2*$C$11)*NORMSINV(V355))&lt;W$8,W$5+SQRT(NORMSDIST(W$9*SQRT($C$11)*NORMSINV($B355)+SQRT(1-W$9^2*$C$11)*NORMSINV(V355))*(W$7-W$5)*(W$6-W$5)),W$7-SQRT((1-NORMSDIST(W$9*SQRT($C$11)*NORMSINV($B355)+SQRT(1-W$9^2*$C$11)*NORMSINV(V355)))*(W$7-W$5)*(W$7-W$6))))</f>
        <v>8.7238200102182</v>
      </c>
      <c r="X355" s="2" t="n">
        <v>0.102989564</v>
      </c>
      <c r="Y355" s="2" t="n">
        <f aca="false">IF(Y$7=Y$5,Y$6,IF(NORMSDIST(Y$9*SQRT($C$11)*NORMSINV($B355)+SQRT(1-Y$9^2*$C$11)*NORMSINV(X355))&lt;Y$8,Y$5+SQRT(NORMSDIST(Y$9*SQRT($C$11)*NORMSINV($B355)+SQRT(1-Y$9^2*$C$11)*NORMSINV(X355))*(Y$7-Y$5)*(Y$6-Y$5)),Y$7-SQRT((1-NORMSDIST(Y$9*SQRT($C$11)*NORMSINV($B355)+SQRT(1-Y$9^2*$C$11)*NORMSINV(X355)))*(Y$7-Y$5)*(Y$7-Y$6))))</f>
        <v>0.22692461743936</v>
      </c>
      <c r="Z355" s="2" t="n">
        <v>0.809287195</v>
      </c>
      <c r="AA355" s="2" t="n">
        <f aca="false">IF(AA$7=AA$5,AA$6,IF(NORMSDIST(AA$9*SQRT($C$11)*NORMSINV($B355)+SQRT(1-AA$9^2*$C$11)*NORMSINV(Z355))&lt;AA$8,AA$5+SQRT(NORMSDIST(AA$9*SQRT($C$11)*NORMSINV($B355)+SQRT(1-AA$9^2*$C$11)*NORMSINV(Z355))*(AA$7-AA$5)*(AA$6-AA$5)),AA$7-SQRT((1-NORMSDIST(AA$9*SQRT($C$11)*NORMSINV($B355)+SQRT(1-AA$9^2*$C$11)*NORMSINV(Z355)))*(AA$7-AA$5)*(AA$7-AA$6))))</f>
        <v>0.738289464358046</v>
      </c>
      <c r="AB355" s="2" t="n">
        <v>0.631642317</v>
      </c>
      <c r="AC355" s="2" t="n">
        <f aca="false">IF(AC$7=AC$5,AC$6,IF(NORMSDIST(AC$9*SQRT($C$11)*NORMSINV($B355)+SQRT(1-AC$9^2*$C$11)*NORMSINV(AB355))&lt;AC$8,AC$5+SQRT(NORMSDIST(AC$9*SQRT($C$11)*NORMSINV($B355)+SQRT(1-AC$9^2*$C$11)*NORMSINV(AB355))*(AC$7-AC$5)*(AC$6-AC$5)),AC$7-SQRT((1-NORMSDIST(AC$9*SQRT($C$11)*NORMSINV($B355)+SQRT(1-AC$9^2*$C$11)*NORMSINV(AB355)))*(AC$7-AC$5)*(AC$7-AC$6))))</f>
        <v>9.82214982092379</v>
      </c>
      <c r="AD355" s="2" t="n">
        <f aca="false">Entrées!$C$8*(1+E355)</f>
        <v>7433.83461554987</v>
      </c>
      <c r="AE355" s="2" t="n">
        <f aca="false">I355*Hypothèses!$J$24/12/Hypothèses!$J$19</f>
        <v>98.3695811864111</v>
      </c>
      <c r="AF355" s="2" t="n">
        <f aca="false">Entrées!$C$36*S355*1000</f>
        <v>153.064737560657</v>
      </c>
      <c r="AG355" s="2" t="n">
        <f aca="false">-AF355/W355</f>
        <v>-17.5456093066309</v>
      </c>
      <c r="AH355" s="2" t="n">
        <f aca="false">AD355+AE355+AG355</f>
        <v>7514.65858742965</v>
      </c>
      <c r="AI355" s="2" t="n">
        <f aca="false">Entrées!$C$16-M355+Hypothèses!$J$22*1000-AF355+Hypothèses!$J$23</f>
        <v>22811.9953415112</v>
      </c>
      <c r="AJ355" s="2" t="n">
        <f aca="false">AI355/AH355</f>
        <v>3.03566623501306</v>
      </c>
      <c r="AK355" s="2" t="n">
        <f aca="false">AI355/(AH355+I355*(12-Hypothèses!$J$24)/12/Hypothèses!$J$19)</f>
        <v>3.00754491808964</v>
      </c>
      <c r="AL355" s="2" t="n">
        <f aca="false">(AD355+AG355+I355/Hypothèses!$J$19)*(1+G355)</f>
        <v>8014.36775554851</v>
      </c>
      <c r="AM355" s="2" t="n">
        <f aca="false">Entrées!$C$54*K355/Hypothèses!$J$19</f>
        <v>14.4200615476907</v>
      </c>
      <c r="AN355" s="2" t="n">
        <f aca="false">Y355*1000/AC355</f>
        <v>23.1033553322462</v>
      </c>
      <c r="AO355" s="2" t="n">
        <f aca="false">(Entrées!$C$36*(1-S355)+MAX(0,Entrées!$C$30-Entrées!$C$35-Entrées!$C$36)*U355)*1000</f>
        <v>921.73720558768</v>
      </c>
      <c r="AP355" s="2" t="n">
        <f aca="false">-AO355/W355</f>
        <v>-105.657522107064</v>
      </c>
      <c r="AQ355" s="2" t="n">
        <f aca="false">AL355+AM355+AN355+AP355</f>
        <v>7946.23365032138</v>
      </c>
      <c r="AR355" s="2" t="n">
        <f aca="false">O355*AQ355-Hypothèses!$J$25/Hypothèses!$J$19</f>
        <v>1190.35101416792</v>
      </c>
      <c r="AS355" s="2" t="n">
        <f aca="false">Entrées!$C$79*(1+Q355)+Hypothèses!$J$20</f>
        <v>1496.41162806273</v>
      </c>
      <c r="AT355" s="2" t="n">
        <f aca="false">AI355-AR355+AS355+Y355*1000-AO355+Hypothèses!$J$23</f>
        <v>22423.2433672576</v>
      </c>
      <c r="AU355" s="2" t="n">
        <f aca="false">AT355/AQ355</f>
        <v>2.82187063129597</v>
      </c>
      <c r="AV355" s="2" t="n">
        <f aca="false">Hypothèses!$J$26*AQ355-AT355</f>
        <v>1415.4575837065</v>
      </c>
      <c r="AW355" s="2" t="n">
        <f aca="false">IF(AC355&gt;Hypothèses!$J$26,MAX(0,AV355)/(1-Hypothèses!$J$26/AC355),0)</f>
        <v>2037.89667733293</v>
      </c>
      <c r="AX355" s="2" t="n">
        <f aca="false">AQ355-Entrées!$C$17*1000</f>
        <v>-53.7663496786208</v>
      </c>
      <c r="AY355" s="2" t="n">
        <f aca="false">AI355+(Entrées!$C$244-Entrées!$C$13)</f>
        <v>28558.9953415112</v>
      </c>
      <c r="AZ355" s="2" t="n">
        <f aca="false">AA355*AH355</f>
        <v>5547.99326334703</v>
      </c>
      <c r="BA355" s="2" t="n">
        <f aca="false">AZ355/AY355</f>
        <v>0.194264300862254</v>
      </c>
      <c r="BB355" s="2" t="n">
        <f aca="false">AZ355/(Entrées!$C$151/100)-AY355</f>
        <v>2263.18945486122</v>
      </c>
      <c r="BC355" s="2" t="n">
        <f aca="false">AT355+(Entrées!$C$244-Entrées!$C$13)</f>
        <v>28170.2433672576</v>
      </c>
      <c r="BD355" s="2" t="n">
        <f aca="false">AA355*AQ355</f>
        <v>5866.62058535965</v>
      </c>
      <c r="BE355" s="2" t="n">
        <f aca="false">BD355/BC355</f>
        <v>0.208255942587221</v>
      </c>
      <c r="BF355" s="2" t="n">
        <f aca="false">BD355/(Entrées!$C$151/100)-BC355</f>
        <v>4422.09321807378</v>
      </c>
      <c r="BG355" s="2" t="n">
        <f aca="false">MIN(AV355,BF355)</f>
        <v>1415.4575837065</v>
      </c>
      <c r="BH355" s="2" t="n">
        <f aca="false">IF(AC355&gt;Hypothèses!$J$26,MAX(0,BG355)/(1-Hypothèses!$J$26/AC355),0)</f>
        <v>2037.89667733293</v>
      </c>
    </row>
    <row r="356" customFormat="false" ht="15" hidden="false" customHeight="false" outlineLevel="0" collapsed="false">
      <c r="A356" s="2" t="n">
        <v>341</v>
      </c>
      <c r="B356" s="2" t="n">
        <v>0.77458036</v>
      </c>
      <c r="C356" s="2"/>
      <c r="D356" s="2" t="n">
        <v>0.457529078</v>
      </c>
      <c r="E356" s="2" t="n">
        <f aca="false">IF(E$7=E$5,E$6,IF(NORMSDIST(E$9*SQRT($C$11)*NORMSINV($B356)+SQRT(1-E$9^2*$C$11)*NORMSINV(D356))&lt;E$8,E$5+SQRT(NORMSDIST(E$9*SQRT($C$11)*NORMSINV($B356)+SQRT(1-E$9^2*$C$11)*NORMSINV(D356))*(E$7-E$5)*(E$6-E$5)),E$7-SQRT((1-NORMSDIST(E$9*SQRT($C$11)*NORMSINV($B356)+SQRT(1-E$9^2*$C$11)*NORMSINV(D356)))*(E$7-E$5)*(E$7-E$6))))</f>
        <v>0.0558365070537117</v>
      </c>
      <c r="F356" s="2" t="n">
        <v>0.654874407</v>
      </c>
      <c r="G356" s="2" t="n">
        <f aca="false">IF(G$7=G$5,G$6,IF(NORMSDIST(G$9*SQRT($C$11)*NORMSINV($B356)+SQRT(1-G$9^2*$C$11)*NORMSINV(F356))&lt;G$8,G$5+SQRT(NORMSDIST(G$9*SQRT($C$11)*NORMSINV($B356)+SQRT(1-G$9^2*$C$11)*NORMSINV(F356))*(G$7-G$5)*(G$6-G$5)),G$7-SQRT((1-NORMSDIST(G$9*SQRT($C$11)*NORMSINV($B356)+SQRT(1-G$9^2*$C$11)*NORMSINV(F356)))*(G$7-G$5)*(G$7-G$6))))</f>
        <v>0.0601396292192605</v>
      </c>
      <c r="H356" s="2" t="n">
        <v>0.465810472</v>
      </c>
      <c r="I356" s="2" t="n">
        <f aca="false">IF(I$7=I$5,I$6,IF(NORMSDIST(I$9*SQRT($C$11)*NORMSINV($B356)+SQRT(1-I$9^2*$C$11)*NORMSINV(H356))&lt;I$8,I$5+SQRT(NORMSDIST(I$9*SQRT($C$11)*NORMSINV($B356)+SQRT(1-I$9^2*$C$11)*NORMSINV(H356))*(I$7-I$5)*(I$6-I$5)),I$7-SQRT((1-NORMSDIST(I$9*SQRT($C$11)*NORMSINV($B356)+SQRT(1-I$9^2*$C$11)*NORMSINV(H356)))*(I$7-I$5)*(I$7-I$6))))</f>
        <v>203.489398182026</v>
      </c>
      <c r="J356" s="2" t="n">
        <v>0.08155466</v>
      </c>
      <c r="K356" s="2" t="n">
        <f aca="false">IF(K$7=K$5,K$6,IF(NORMSDIST(K$9*SQRT($C$11)*NORMSINV($B356)+SQRT(1-K$9^2*$C$11)*NORMSINV(J356))&lt;K$8,K$5+SQRT(NORMSDIST(K$9*SQRT($C$11)*NORMSINV($B356)+SQRT(1-K$9^2*$C$11)*NORMSINV(J356))*(K$7-K$5)*(K$6-K$5)),K$7-SQRT((1-NORMSDIST(K$9*SQRT($C$11)*NORMSINV($B356)+SQRT(1-K$9^2*$C$11)*NORMSINV(J356)))*(K$7-K$5)*(K$7-K$6))))</f>
        <v>0.184766033088321</v>
      </c>
      <c r="L356" s="2" t="n">
        <v>0.350276509</v>
      </c>
      <c r="M356" s="2" t="n">
        <f aca="false">IF(M$7=M$5,M$6,IF(NORMSDIST(M$9*SQRT($C$11)*NORMSINV($B356)+SQRT(1-M$9^2*$C$11)*NORMSINV(L356))&lt;M$8,M$5+SQRT(NORMSDIST(M$9*SQRT($C$11)*NORMSINV($B356)+SQRT(1-M$9^2*$C$11)*NORMSINV(L356))*(M$7-M$5)*(M$6-M$5)),M$7-SQRT((1-NORMSDIST(M$9*SQRT($C$11)*NORMSINV($B356)+SQRT(1-M$9^2*$C$11)*NORMSINV(L356)))*(M$7-M$5)*(M$7-M$6))))</f>
        <v>1604.72646656107</v>
      </c>
      <c r="N356" s="2" t="n">
        <v>0.294490751</v>
      </c>
      <c r="O356" s="2" t="n">
        <f aca="false">IF(O$7=O$5,O$6,IF(NORMSDIST(O$9*SQRT($C$11)*NORMSINV($B356)+SQRT(1-O$9^2*$C$11)*NORMSINV(N356))&lt;O$8,O$5+SQRT(NORMSDIST(O$9*SQRT($C$11)*NORMSINV($B356)+SQRT(1-O$9^2*$C$11)*NORMSINV(N356))*(O$7-O$5)*(O$6-O$5)),O$7-SQRT((1-NORMSDIST(O$9*SQRT($C$11)*NORMSINV($B356)+SQRT(1-O$9^2*$C$11)*NORMSINV(N356)))*(O$7-O$5)*(O$7-O$6))))</f>
        <v>0.167400632038067</v>
      </c>
      <c r="P356" s="2" t="n">
        <v>0.163833601</v>
      </c>
      <c r="Q356" s="2" t="n">
        <f aca="false">IF(Q$7=Q$5,Q$6,IF(NORMSDIST(Q$9*SQRT($C$11)*NORMSINV($B356)+SQRT(1-Q$9^2*$C$11)*NORMSINV(P356))&lt;Q$8,Q$5+SQRT(NORMSDIST(Q$9*SQRT($C$11)*NORMSINV($B356)+SQRT(1-Q$9^2*$C$11)*NORMSINV(P356))*(Q$7-Q$5)*(Q$6-Q$5)),Q$7-SQRT((1-NORMSDIST(Q$9*SQRT($C$11)*NORMSINV($B356)+SQRT(1-Q$9^2*$C$11)*NORMSINV(P356)))*(Q$7-Q$5)*(Q$7-Q$6))))</f>
        <v>0.0628968889415134</v>
      </c>
      <c r="R356" s="2" t="n">
        <v>0.002258499</v>
      </c>
      <c r="S356" s="2" t="n">
        <f aca="false">IF(S$7=S$5,S$6,IF(NORMSDIST(S$9*SQRT($C$11)*NORMSINV($B356)+SQRT(1-S$9^2*$C$11)*NORMSINV(R356))&lt;S$8,S$5+SQRT(NORMSDIST(S$9*SQRT($C$11)*NORMSINV($B356)+SQRT(1-S$9^2*$C$11)*NORMSINV(R356))*(S$7-S$5)*(S$6-S$5)),S$7-SQRT((1-NORMSDIST(S$9*SQRT($C$11)*NORMSINV($B356)+SQRT(1-S$9^2*$C$11)*NORMSINV(R356)))*(S$7-S$5)*(S$7-S$6))))</f>
        <v>0.145730380576707</v>
      </c>
      <c r="T356" s="2" t="n">
        <v>0.30991169</v>
      </c>
      <c r="U356" s="2" t="n">
        <f aca="false">IF(U$7=U$5,U$6,IF(NORMSDIST(U$9*SQRT($C$11)*NORMSINV($B356)+SQRT(1-U$9^2*$C$11)*NORMSINV(T356))&lt;U$8,U$5+SQRT(NORMSDIST(U$9*SQRT($C$11)*NORMSINV($B356)+SQRT(1-U$9^2*$C$11)*NORMSINV(T356))*(U$7-U$5)*(U$6-U$5)),U$7-SQRT((1-NORMSDIST(U$9*SQRT($C$11)*NORMSINV($B356)+SQRT(1-U$9^2*$C$11)*NORMSINV(T356)))*(U$7-U$5)*(U$7-U$6))))</f>
        <v>0.51879885732446</v>
      </c>
      <c r="V356" s="2" t="n">
        <v>0.399542467</v>
      </c>
      <c r="W356" s="2" t="n">
        <f aca="false">IF(W$7=W$5,W$6,IF(NORMSDIST(W$9*SQRT($C$11)*NORMSINV($B356)+SQRT(1-W$9^2*$C$11)*NORMSINV(V356))&lt;W$8,W$5+SQRT(NORMSDIST(W$9*SQRT($C$11)*NORMSINV($B356)+SQRT(1-W$9^2*$C$11)*NORMSINV(V356))*(W$7-W$5)*(W$6-W$5)),W$7-SQRT((1-NORMSDIST(W$9*SQRT($C$11)*NORMSINV($B356)+SQRT(1-W$9^2*$C$11)*NORMSINV(V356)))*(W$7-W$5)*(W$7-W$6))))</f>
        <v>10.23399853055</v>
      </c>
      <c r="X356" s="2" t="n">
        <v>0.784036567</v>
      </c>
      <c r="Y356" s="2" t="n">
        <f aca="false">IF(Y$7=Y$5,Y$6,IF(NORMSDIST(Y$9*SQRT($C$11)*NORMSINV($B356)+SQRT(1-Y$9^2*$C$11)*NORMSINV(X356))&lt;Y$8,Y$5+SQRT(NORMSDIST(Y$9*SQRT($C$11)*NORMSINV($B356)+SQRT(1-Y$9^2*$C$11)*NORMSINV(X356))*(Y$7-Y$5)*(Y$6-Y$5)),Y$7-SQRT((1-NORMSDIST(Y$9*SQRT($C$11)*NORMSINV($B356)+SQRT(1-Y$9^2*$C$11)*NORMSINV(X356)))*(Y$7-Y$5)*(Y$7-Y$6))))</f>
        <v>0.671394284133705</v>
      </c>
      <c r="Z356" s="2" t="n">
        <v>0.889550327</v>
      </c>
      <c r="AA356" s="2" t="n">
        <f aca="false">IF(AA$7=AA$5,AA$6,IF(NORMSDIST(AA$9*SQRT($C$11)*NORMSINV($B356)+SQRT(1-AA$9^2*$C$11)*NORMSINV(Z356))&lt;AA$8,AA$5+SQRT(NORMSDIST(AA$9*SQRT($C$11)*NORMSINV($B356)+SQRT(1-AA$9^2*$C$11)*NORMSINV(Z356))*(AA$7-AA$5)*(AA$6-AA$5)),AA$7-SQRT((1-NORMSDIST(AA$9*SQRT($C$11)*NORMSINV($B356)+SQRT(1-AA$9^2*$C$11)*NORMSINV(Z356)))*(AA$7-AA$5)*(AA$7-AA$6))))</f>
        <v>0.743918431192234</v>
      </c>
      <c r="AB356" s="2" t="n">
        <v>0.525422913</v>
      </c>
      <c r="AC356" s="2" t="n">
        <f aca="false">IF(AC$7=AC$5,AC$6,IF(NORMSDIST(AC$9*SQRT($C$11)*NORMSINV($B356)+SQRT(1-AC$9^2*$C$11)*NORMSINV(AB356))&lt;AC$8,AC$5+SQRT(NORMSDIST(AC$9*SQRT($C$11)*NORMSINV($B356)+SQRT(1-AC$9^2*$C$11)*NORMSINV(AB356))*(AC$7-AC$5)*(AC$6-AC$5)),AC$7-SQRT((1-NORMSDIST(AC$9*SQRT($C$11)*NORMSINV($B356)+SQRT(1-AC$9^2*$C$11)*NORMSINV(AB356)))*(AC$7-AC$5)*(AC$7-AC$6))))</f>
        <v>9.86281814813198</v>
      </c>
      <c r="AD356" s="2" t="n">
        <f aca="false">Entrées!$C$8*(1+E356)</f>
        <v>7443.64737472867</v>
      </c>
      <c r="AE356" s="2" t="n">
        <f aca="false">I356*Hypothèses!$J$24/12/Hypothèses!$J$19</f>
        <v>100.950439144947</v>
      </c>
      <c r="AF356" s="2" t="n">
        <f aca="false">Entrées!$C$36*S356*1000</f>
        <v>72.8651902883536</v>
      </c>
      <c r="AG356" s="2" t="n">
        <f aca="false">-AF356/W356</f>
        <v>-7.11991408547112</v>
      </c>
      <c r="AH356" s="2" t="n">
        <f aca="false">AD356+AE356+AG356</f>
        <v>7537.47789978814</v>
      </c>
      <c r="AI356" s="2" t="n">
        <f aca="false">Entrées!$C$16-M356+Hypothèses!$J$22*1000-AF356+Hypothèses!$J$23</f>
        <v>22870.4083431506</v>
      </c>
      <c r="AJ356" s="2" t="n">
        <f aca="false">AI356/AH356</f>
        <v>3.03422559206355</v>
      </c>
      <c r="AK356" s="2" t="n">
        <f aca="false">AI356/(AH356+I356*(12-Hypothèses!$J$24)/12/Hypothèses!$J$19)</f>
        <v>3.00547365884466</v>
      </c>
      <c r="AL356" s="2" t="n">
        <f aca="false">(AD356+AG356+I356/Hypothèses!$J$19)*(1+G356)</f>
        <v>8067.22299816166</v>
      </c>
      <c r="AM356" s="2" t="n">
        <f aca="false">Entrées!$C$54*K356/Hypothèses!$J$19</f>
        <v>18.8561494591039</v>
      </c>
      <c r="AN356" s="2" t="n">
        <f aca="false">Y356*1000/AC356</f>
        <v>68.0732701394143</v>
      </c>
      <c r="AO356" s="2" t="n">
        <f aca="false">(Entrées!$C$36*(1-S356)+MAX(0,Entrées!$C$30-Entrées!$C$35-Entrées!$C$36)*U356)*1000</f>
        <v>1153.45320996589</v>
      </c>
      <c r="AP356" s="2" t="n">
        <f aca="false">-AO356/W356</f>
        <v>-112.707971036215</v>
      </c>
      <c r="AQ356" s="2" t="n">
        <f aca="false">AL356+AM356+AN356+AP356</f>
        <v>8041.44444672397</v>
      </c>
      <c r="AR356" s="2" t="n">
        <f aca="false">O356*AQ356-Hypothèses!$J$25/Hypothèses!$J$19</f>
        <v>1327.00772061897</v>
      </c>
      <c r="AS356" s="2" t="n">
        <f aca="false">Entrées!$C$79*(1+Q356)+Hypothèses!$J$20</f>
        <v>1463.12368094672</v>
      </c>
      <c r="AT356" s="2" t="n">
        <f aca="false">AI356-AR356+AS356+Y356*1000-AO356+Hypothèses!$J$23</f>
        <v>22524.4653776461</v>
      </c>
      <c r="AU356" s="2" t="n">
        <f aca="false">AT356/AQ356</f>
        <v>2.80104719082185</v>
      </c>
      <c r="AV356" s="2" t="n">
        <f aca="false">Hypothèses!$J$26*AQ356-AT356</f>
        <v>1599.86796252575</v>
      </c>
      <c r="AW356" s="2" t="n">
        <f aca="false">IF(AC356&gt;Hypothèses!$J$26,MAX(0,AV356)/(1-Hypothèses!$J$26/AC356),0)</f>
        <v>2299.23137038229</v>
      </c>
      <c r="AX356" s="2" t="n">
        <f aca="false">AQ356-Entrées!$C$17*1000</f>
        <v>41.4444467239664</v>
      </c>
      <c r="AY356" s="2" t="n">
        <f aca="false">AI356+(Entrées!$C$244-Entrées!$C$13)</f>
        <v>28617.4083431506</v>
      </c>
      <c r="AZ356" s="2" t="n">
        <f aca="false">AA356*AH356</f>
        <v>5607.26873435653</v>
      </c>
      <c r="BA356" s="2" t="n">
        <f aca="false">AZ356/AY356</f>
        <v>0.195939082502508</v>
      </c>
      <c r="BB356" s="2" t="n">
        <f aca="false">AZ356/(Entrées!$C$151/100)-AY356</f>
        <v>2534.08462549683</v>
      </c>
      <c r="BC356" s="2" t="n">
        <f aca="false">AT356+(Entrées!$C$244-Entrées!$C$13)</f>
        <v>28271.4653776461</v>
      </c>
      <c r="BD356" s="2" t="n">
        <f aca="false">AA356*AQ356</f>
        <v>5982.1787373264</v>
      </c>
      <c r="BE356" s="2" t="n">
        <f aca="false">BD356/BC356</f>
        <v>0.211597759699305</v>
      </c>
      <c r="BF356" s="2" t="n">
        <f aca="false">BD356/(Entrées!$C$151/100)-BC356</f>
        <v>4962.86094083384</v>
      </c>
      <c r="BG356" s="2" t="n">
        <f aca="false">MIN(AV356,BF356)</f>
        <v>1599.86796252575</v>
      </c>
      <c r="BH356" s="2" t="n">
        <f aca="false">IF(AC356&gt;Hypothèses!$J$26,MAX(0,BG356)/(1-Hypothèses!$J$26/AC356),0)</f>
        <v>2299.23137038229</v>
      </c>
    </row>
    <row r="357" customFormat="false" ht="15" hidden="false" customHeight="false" outlineLevel="0" collapsed="false">
      <c r="A357" s="2" t="n">
        <v>342</v>
      </c>
      <c r="B357" s="2" t="n">
        <v>0.999639333</v>
      </c>
      <c r="C357" s="2"/>
      <c r="D357" s="2" t="n">
        <v>0.086780348</v>
      </c>
      <c r="E357" s="2" t="n">
        <f aca="false">IF(E$7=E$5,E$6,IF(NORMSDIST(E$9*SQRT($C$11)*NORMSINV($B357)+SQRT(1-E$9^2*$C$11)*NORMSINV(D357))&lt;E$8,E$5+SQRT(NORMSDIST(E$9*SQRT($C$11)*NORMSINV($B357)+SQRT(1-E$9^2*$C$11)*NORMSINV(D357))*(E$7-E$5)*(E$6-E$5)),E$7-SQRT((1-NORMSDIST(E$9*SQRT($C$11)*NORMSINV($B357)+SQRT(1-E$9^2*$C$11)*NORMSINV(D357)))*(E$7-E$5)*(E$7-E$6))))</f>
        <v>0.0573629013696475</v>
      </c>
      <c r="F357" s="2" t="n">
        <v>0.710370498</v>
      </c>
      <c r="G357" s="2" t="n">
        <f aca="false">IF(G$7=G$5,G$6,IF(NORMSDIST(G$9*SQRT($C$11)*NORMSINV($B357)+SQRT(1-G$9^2*$C$11)*NORMSINV(F357))&lt;G$8,G$5+SQRT(NORMSDIST(G$9*SQRT($C$11)*NORMSINV($B357)+SQRT(1-G$9^2*$C$11)*NORMSINV(F357))*(G$7-G$5)*(G$6-G$5)),G$7-SQRT((1-NORMSDIST(G$9*SQRT($C$11)*NORMSINV($B357)+SQRT(1-G$9^2*$C$11)*NORMSINV(F357)))*(G$7-G$5)*(G$7-G$6))))</f>
        <v>0.0684830207287438</v>
      </c>
      <c r="H357" s="2" t="n">
        <v>0.194492026</v>
      </c>
      <c r="I357" s="2" t="n">
        <f aca="false">IF(I$7=I$5,I$6,IF(NORMSDIST(I$9*SQRT($C$11)*NORMSINV($B357)+SQRT(1-I$9^2*$C$11)*NORMSINV(H357))&lt;I$8,I$5+SQRT(NORMSDIST(I$9*SQRT($C$11)*NORMSINV($B357)+SQRT(1-I$9^2*$C$11)*NORMSINV(H357))*(I$7-I$5)*(I$6-I$5)),I$7-SQRT((1-NORMSDIST(I$9*SQRT($C$11)*NORMSINV($B357)+SQRT(1-I$9^2*$C$11)*NORMSINV(H357)))*(I$7-I$5)*(I$7-I$6))))</f>
        <v>212.484140987545</v>
      </c>
      <c r="J357" s="2" t="n">
        <v>0.61993955</v>
      </c>
      <c r="K357" s="2" t="n">
        <f aca="false">IF(K$7=K$5,K$6,IF(NORMSDIST(K$9*SQRT($C$11)*NORMSINV($B357)+SQRT(1-K$9^2*$C$11)*NORMSINV(J357))&lt;K$8,K$5+SQRT(NORMSDIST(K$9*SQRT($C$11)*NORMSINV($B357)+SQRT(1-K$9^2*$C$11)*NORMSINV(J357))*(K$7-K$5)*(K$6-K$5)),K$7-SQRT((1-NORMSDIST(K$9*SQRT($C$11)*NORMSINV($B357)+SQRT(1-K$9^2*$C$11)*NORMSINV(J357)))*(K$7-K$5)*(K$7-K$6))))</f>
        <v>0.466884049645842</v>
      </c>
      <c r="L357" s="2" t="n">
        <v>0.686082802</v>
      </c>
      <c r="M357" s="2" t="n">
        <f aca="false">IF(M$7=M$5,M$6,IF(NORMSDIST(M$9*SQRT($C$11)*NORMSINV($B357)+SQRT(1-M$9^2*$C$11)*NORMSINV(L357))&lt;M$8,M$5+SQRT(NORMSDIST(M$9*SQRT($C$11)*NORMSINV($B357)+SQRT(1-M$9^2*$C$11)*NORMSINV(L357))*(M$7-M$5)*(M$6-M$5)),M$7-SQRT((1-NORMSDIST(M$9*SQRT($C$11)*NORMSINV($B357)+SQRT(1-M$9^2*$C$11)*NORMSINV(L357)))*(M$7-M$5)*(M$7-M$6))))</f>
        <v>1770.10373350468</v>
      </c>
      <c r="N357" s="2" t="n">
        <v>0.212008251</v>
      </c>
      <c r="O357" s="2" t="n">
        <f aca="false">IF(O$7=O$5,O$6,IF(NORMSDIST(O$9*SQRT($C$11)*NORMSINV($B357)+SQRT(1-O$9^2*$C$11)*NORMSINV(N357))&lt;O$8,O$5+SQRT(NORMSDIST(O$9*SQRT($C$11)*NORMSINV($B357)+SQRT(1-O$9^2*$C$11)*NORMSINV(N357))*(O$7-O$5)*(O$6-O$5)),O$7-SQRT((1-NORMSDIST(O$9*SQRT($C$11)*NORMSINV($B357)+SQRT(1-O$9^2*$C$11)*NORMSINV(N357)))*(O$7-O$5)*(O$7-O$6))))</f>
        <v>0.181721083189782</v>
      </c>
      <c r="P357" s="2" t="n">
        <v>0.207615214</v>
      </c>
      <c r="Q357" s="2" t="n">
        <f aca="false">IF(Q$7=Q$5,Q$6,IF(NORMSDIST(Q$9*SQRT($C$11)*NORMSINV($B357)+SQRT(1-Q$9^2*$C$11)*NORMSINV(P357))&lt;Q$8,Q$5+SQRT(NORMSDIST(Q$9*SQRT($C$11)*NORMSINV($B357)+SQRT(1-Q$9^2*$C$11)*NORMSINV(P357))*(Q$7-Q$5)*(Q$6-Q$5)),Q$7-SQRT((1-NORMSDIST(Q$9*SQRT($C$11)*NORMSINV($B357)+SQRT(1-Q$9^2*$C$11)*NORMSINV(P357)))*(Q$7-Q$5)*(Q$7-Q$6))))</f>
        <v>0.0657753503332157</v>
      </c>
      <c r="R357" s="2" t="n">
        <v>0.161629626</v>
      </c>
      <c r="S357" s="2" t="n">
        <f aca="false">IF(S$7=S$5,S$6,IF(NORMSDIST(S$9*SQRT($C$11)*NORMSINV($B357)+SQRT(1-S$9^2*$C$11)*NORMSINV(R357))&lt;S$8,S$5+SQRT(NORMSDIST(S$9*SQRT($C$11)*NORMSINV($B357)+SQRT(1-S$9^2*$C$11)*NORMSINV(R357))*(S$7-S$5)*(S$6-S$5)),S$7-SQRT((1-NORMSDIST(S$9*SQRT($C$11)*NORMSINV($B357)+SQRT(1-S$9^2*$C$11)*NORMSINV(R357)))*(S$7-S$5)*(S$7-S$6))))</f>
        <v>0.794072995087236</v>
      </c>
      <c r="T357" s="2" t="n">
        <v>0.848922407</v>
      </c>
      <c r="U357" s="2" t="n">
        <f aca="false">IF(U$7=U$5,U$6,IF(NORMSDIST(U$9*SQRT($C$11)*NORMSINV($B357)+SQRT(1-U$9^2*$C$11)*NORMSINV(T357))&lt;U$8,U$5+SQRT(NORMSDIST(U$9*SQRT($C$11)*NORMSINV($B357)+SQRT(1-U$9^2*$C$11)*NORMSINV(T357))*(U$7-U$5)*(U$6-U$5)),U$7-SQRT((1-NORMSDIST(U$9*SQRT($C$11)*NORMSINV($B357)+SQRT(1-U$9^2*$C$11)*NORMSINV(T357)))*(U$7-U$5)*(U$7-U$6))))</f>
        <v>0.971252937410191</v>
      </c>
      <c r="V357" s="2" t="n">
        <v>0.491358189</v>
      </c>
      <c r="W357" s="2" t="n">
        <f aca="false">IF(W$7=W$5,W$6,IF(NORMSDIST(W$9*SQRT($C$11)*NORMSINV($B357)+SQRT(1-W$9^2*$C$11)*NORMSINV(V357))&lt;W$8,W$5+SQRT(NORMSDIST(W$9*SQRT($C$11)*NORMSINV($B357)+SQRT(1-W$9^2*$C$11)*NORMSINV(V357))*(W$7-W$5)*(W$6-W$5)),W$7-SQRT((1-NORMSDIST(W$9*SQRT($C$11)*NORMSINV($B357)+SQRT(1-W$9^2*$C$11)*NORMSINV(V357)))*(W$7-W$5)*(W$7-W$6))))</f>
        <v>11.6319925645671</v>
      </c>
      <c r="X357" s="2" t="n">
        <v>0.92631346</v>
      </c>
      <c r="Y357" s="2" t="n">
        <f aca="false">IF(Y$7=Y$5,Y$6,IF(NORMSDIST(Y$9*SQRT($C$11)*NORMSINV($B357)+SQRT(1-Y$9^2*$C$11)*NORMSINV(X357))&lt;Y$8,Y$5+SQRT(NORMSDIST(Y$9*SQRT($C$11)*NORMSINV($B357)+SQRT(1-Y$9^2*$C$11)*NORMSINV(X357))*(Y$7-Y$5)*(Y$6-Y$5)),Y$7-SQRT((1-NORMSDIST(Y$9*SQRT($C$11)*NORMSINV($B357)+SQRT(1-Y$9^2*$C$11)*NORMSINV(X357)))*(Y$7-Y$5)*(Y$7-Y$6))))</f>
        <v>0.808053991966491</v>
      </c>
      <c r="Z357" s="2" t="n">
        <v>0.548339589</v>
      </c>
      <c r="AA357" s="2" t="n">
        <f aca="false">IF(AA$7=AA$5,AA$6,IF(NORMSDIST(AA$9*SQRT($C$11)*NORMSINV($B357)+SQRT(1-AA$9^2*$C$11)*NORMSINV(Z357))&lt;AA$8,AA$5+SQRT(NORMSDIST(AA$9*SQRT($C$11)*NORMSINV($B357)+SQRT(1-AA$9^2*$C$11)*NORMSINV(Z357))*(AA$7-AA$5)*(AA$6-AA$5)),AA$7-SQRT((1-NORMSDIST(AA$9*SQRT($C$11)*NORMSINV($B357)+SQRT(1-AA$9^2*$C$11)*NORMSINV(Z357)))*(AA$7-AA$5)*(AA$7-AA$6))))</f>
        <v>0.749817794400745</v>
      </c>
      <c r="AB357" s="2" t="n">
        <v>0.065968702</v>
      </c>
      <c r="AC357" s="2" t="n">
        <f aca="false">IF(AC$7=AC$5,AC$6,IF(NORMSDIST(AC$9*SQRT($C$11)*NORMSINV($B357)+SQRT(1-AC$9^2*$C$11)*NORMSINV(AB357))&lt;AC$8,AC$5+SQRT(NORMSDIST(AC$9*SQRT($C$11)*NORMSINV($B357)+SQRT(1-AC$9^2*$C$11)*NORMSINV(AB357))*(AC$7-AC$5)*(AC$6-AC$5)),AC$7-SQRT((1-NORMSDIST(AC$9*SQRT($C$11)*NORMSINV($B357)+SQRT(1-AC$9^2*$C$11)*NORMSINV(AB357)))*(AC$7-AC$5)*(AC$7-AC$6))))</f>
        <v>10.1541361284157</v>
      </c>
      <c r="AD357" s="2" t="n">
        <f aca="false">Entrées!$C$8*(1+E357)</f>
        <v>7454.40845465602</v>
      </c>
      <c r="AE357" s="2" t="n">
        <f aca="false">I357*Hypothèses!$J$24/12/Hypothèses!$J$19</f>
        <v>105.412702261971</v>
      </c>
      <c r="AF357" s="2" t="n">
        <f aca="false">Entrées!$C$36*S357*1000</f>
        <v>397.036497543618</v>
      </c>
      <c r="AG357" s="2" t="n">
        <f aca="false">-AF357/W357</f>
        <v>-34.1331457477933</v>
      </c>
      <c r="AH357" s="2" t="n">
        <f aca="false">AD357+AE357+AG357</f>
        <v>7525.68801117019</v>
      </c>
      <c r="AI357" s="2" t="n">
        <f aca="false">Entrées!$C$16-M357+Hypothèses!$J$22*1000-AF357+Hypothèses!$J$23</f>
        <v>22380.8597689517</v>
      </c>
      <c r="AJ357" s="2" t="n">
        <f aca="false">AI357/AH357</f>
        <v>2.97392872727814</v>
      </c>
      <c r="AK357" s="2" t="n">
        <f aca="false">AI357/(AH357+I357*(12-Hypothèses!$J$24)/12/Hypothèses!$J$19)</f>
        <v>2.94446920382031</v>
      </c>
      <c r="AL357" s="2" t="n">
        <f aca="false">(AD357+AG357+I357/Hypothèses!$J$19)*(1+G357)</f>
        <v>8121.52106104868</v>
      </c>
      <c r="AM357" s="2" t="n">
        <f aca="false">Entrées!$C$54*K357/Hypothèses!$J$19</f>
        <v>47.6474775858038</v>
      </c>
      <c r="AN357" s="2" t="n">
        <f aca="false">Y357*1000/AC357</f>
        <v>79.5788023468783</v>
      </c>
      <c r="AO357" s="2" t="n">
        <f aca="false">(Entrées!$C$36*(1-S357)+MAX(0,Entrées!$C$30-Entrées!$C$35-Entrées!$C$36)*U357)*1000</f>
        <v>1462.71761483065</v>
      </c>
      <c r="AP357" s="2" t="n">
        <f aca="false">-AO357/W357</f>
        <v>-125.749531450554</v>
      </c>
      <c r="AQ357" s="2" t="n">
        <f aca="false">AL357+AM357+AN357+AP357</f>
        <v>8122.99780953081</v>
      </c>
      <c r="AR357" s="2" t="n">
        <f aca="false">O357*AQ357-Hypothèses!$J$25/Hypothèses!$J$19</f>
        <v>1456.98479843454</v>
      </c>
      <c r="AS357" s="2" t="n">
        <f aca="false">Entrées!$C$79*(1+Q357)+Hypothèses!$J$20</f>
        <v>1466.2871100162</v>
      </c>
      <c r="AT357" s="2" t="n">
        <f aca="false">AI357-AR357+AS357+Y357*1000-AO357+Hypothèses!$J$23</f>
        <v>21735.4984576692</v>
      </c>
      <c r="AU357" s="2" t="n">
        <f aca="false">AT357/AQ357</f>
        <v>2.67579765098135</v>
      </c>
      <c r="AV357" s="2" t="n">
        <f aca="false">Hypothèses!$J$26*AQ357-AT357</f>
        <v>2633.49497092323</v>
      </c>
      <c r="AW357" s="2" t="n">
        <f aca="false">IF(AC357&gt;Hypothèses!$J$26,MAX(0,AV357)/(1-Hypothèses!$J$26/AC357),0)</f>
        <v>3737.81906693666</v>
      </c>
      <c r="AX357" s="2" t="n">
        <f aca="false">AQ357-Entrées!$C$17*1000</f>
        <v>122.997809530812</v>
      </c>
      <c r="AY357" s="2" t="n">
        <f aca="false">AI357+(Entrées!$C$244-Entrées!$C$13)</f>
        <v>28127.8597689517</v>
      </c>
      <c r="AZ357" s="2" t="n">
        <f aca="false">AA357*AH357</f>
        <v>5642.89478588376</v>
      </c>
      <c r="BA357" s="2" t="n">
        <f aca="false">AZ357/AY357</f>
        <v>0.200615860297787</v>
      </c>
      <c r="BB357" s="2" t="n">
        <f aca="false">AZ357/(Entrées!$C$151/100)-AY357</f>
        <v>3221.55570818029</v>
      </c>
      <c r="BC357" s="2" t="n">
        <f aca="false">AT357+(Entrées!$C$244-Entrées!$C$13)</f>
        <v>27482.4984576692</v>
      </c>
      <c r="BD357" s="2" t="n">
        <f aca="false">AA357*AQ357</f>
        <v>6090.76830146447</v>
      </c>
      <c r="BE357" s="2" t="n">
        <f aca="false">BD357/BC357</f>
        <v>0.221623529274312</v>
      </c>
      <c r="BF357" s="2" t="n">
        <f aca="false">BD357/(Entrées!$C$151/100)-BC357</f>
        <v>6355.10321713342</v>
      </c>
      <c r="BG357" s="2" t="n">
        <f aca="false">MIN(AV357,BF357)</f>
        <v>2633.49497092323</v>
      </c>
      <c r="BH357" s="2" t="n">
        <f aca="false">IF(AC357&gt;Hypothèses!$J$26,MAX(0,BG357)/(1-Hypothèses!$J$26/AC357),0)</f>
        <v>3737.81906693666</v>
      </c>
    </row>
    <row r="358" customFormat="false" ht="15" hidden="false" customHeight="false" outlineLevel="0" collapsed="false">
      <c r="A358" s="2" t="n">
        <v>343</v>
      </c>
      <c r="B358" s="2" t="n">
        <v>0.845129244</v>
      </c>
      <c r="C358" s="2"/>
      <c r="D358" s="2" t="n">
        <v>0.0236348</v>
      </c>
      <c r="E358" s="2" t="n">
        <f aca="false">IF(E$7=E$5,E$6,IF(NORMSDIST(E$9*SQRT($C$11)*NORMSINV($B358)+SQRT(1-E$9^2*$C$11)*NORMSINV(D358))&lt;E$8,E$5+SQRT(NORMSDIST(E$9*SQRT($C$11)*NORMSINV($B358)+SQRT(1-E$9^2*$C$11)*NORMSINV(D358))*(E$7-E$5)*(E$6-E$5)),E$7-SQRT((1-NORMSDIST(E$9*SQRT($C$11)*NORMSINV($B358)+SQRT(1-E$9^2*$C$11)*NORMSINV(D358)))*(E$7-E$5)*(E$7-E$6))))</f>
        <v>0.0530461985409768</v>
      </c>
      <c r="F358" s="2" t="n">
        <v>0.898497846</v>
      </c>
      <c r="G358" s="2" t="n">
        <f aca="false">IF(G$7=G$5,G$6,IF(NORMSDIST(G$9*SQRT($C$11)*NORMSINV($B358)+SQRT(1-G$9^2*$C$11)*NORMSINV(F358))&lt;G$8,G$5+SQRT(NORMSDIST(G$9*SQRT($C$11)*NORMSINV($B358)+SQRT(1-G$9^2*$C$11)*NORMSINV(F358))*(G$7-G$5)*(G$6-G$5)),G$7-SQRT((1-NORMSDIST(G$9*SQRT($C$11)*NORMSINV($B358)+SQRT(1-G$9^2*$C$11)*NORMSINV(F358)))*(G$7-G$5)*(G$7-G$6))))</f>
        <v>0.065176264701563</v>
      </c>
      <c r="H358" s="2" t="n">
        <v>0.480052697</v>
      </c>
      <c r="I358" s="2" t="n">
        <f aca="false">IF(I$7=I$5,I$6,IF(NORMSDIST(I$9*SQRT($C$11)*NORMSINV($B358)+SQRT(1-I$9^2*$C$11)*NORMSINV(H358))&lt;I$8,I$5+SQRT(NORMSDIST(I$9*SQRT($C$11)*NORMSINV($B358)+SQRT(1-I$9^2*$C$11)*NORMSINV(H358))*(I$7-I$5)*(I$6-I$5)),I$7-SQRT((1-NORMSDIST(I$9*SQRT($C$11)*NORMSINV($B358)+SQRT(1-I$9^2*$C$11)*NORMSINV(H358)))*(I$7-I$5)*(I$7-I$6))))</f>
        <v>205.220870113323</v>
      </c>
      <c r="J358" s="2" t="n">
        <v>0.404333476</v>
      </c>
      <c r="K358" s="2" t="n">
        <f aca="false">IF(K$7=K$5,K$6,IF(NORMSDIST(K$9*SQRT($C$11)*NORMSINV($B358)+SQRT(1-K$9^2*$C$11)*NORMSINV(J358))&lt;K$8,K$5+SQRT(NORMSDIST(K$9*SQRT($C$11)*NORMSINV($B358)+SQRT(1-K$9^2*$C$11)*NORMSINV(J358))*(K$7-K$5)*(K$6-K$5)),K$7-SQRT((1-NORMSDIST(K$9*SQRT($C$11)*NORMSINV($B358)+SQRT(1-K$9^2*$C$11)*NORMSINV(J358)))*(K$7-K$5)*(K$7-K$6))))</f>
        <v>0.298566123112988</v>
      </c>
      <c r="L358" s="2" t="n">
        <v>0.739028075</v>
      </c>
      <c r="M358" s="2" t="n">
        <f aca="false">IF(M$7=M$5,M$6,IF(NORMSDIST(M$9*SQRT($C$11)*NORMSINV($B358)+SQRT(1-M$9^2*$C$11)*NORMSINV(L358))&lt;M$8,M$5+SQRT(NORMSDIST(M$9*SQRT($C$11)*NORMSINV($B358)+SQRT(1-M$9^2*$C$11)*NORMSINV(L358))*(M$7-M$5)*(M$6-M$5)),M$7-SQRT((1-NORMSDIST(M$9*SQRT($C$11)*NORMSINV($B358)+SQRT(1-M$9^2*$C$11)*NORMSINV(L358)))*(M$7-M$5)*(M$7-M$6))))</f>
        <v>1691.16442991582</v>
      </c>
      <c r="N358" s="2" t="n">
        <v>0.752681855</v>
      </c>
      <c r="O358" s="2" t="n">
        <f aca="false">IF(O$7=O$5,O$6,IF(NORMSDIST(O$9*SQRT($C$11)*NORMSINV($B358)+SQRT(1-O$9^2*$C$11)*NORMSINV(N358))&lt;O$8,O$5+SQRT(NORMSDIST(O$9*SQRT($C$11)*NORMSINV($B358)+SQRT(1-O$9^2*$C$11)*NORMSINV(N358))*(O$7-O$5)*(O$6-O$5)),O$7-SQRT((1-NORMSDIST(O$9*SQRT($C$11)*NORMSINV($B358)+SQRT(1-O$9^2*$C$11)*NORMSINV(N358)))*(O$7-O$5)*(O$7-O$6))))</f>
        <v>0.178660719752979</v>
      </c>
      <c r="P358" s="2" t="n">
        <v>0.800990223</v>
      </c>
      <c r="Q358" s="2" t="n">
        <f aca="false">IF(Q$7=Q$5,Q$6,IF(NORMSDIST(Q$9*SQRT($C$11)*NORMSINV($B358)+SQRT(1-Q$9^2*$C$11)*NORMSINV(P358))&lt;Q$8,Q$5+SQRT(NORMSDIST(Q$9*SQRT($C$11)*NORMSINV($B358)+SQRT(1-Q$9^2*$C$11)*NORMSINV(P358))*(Q$7-Q$5)*(Q$6-Q$5)),Q$7-SQRT((1-NORMSDIST(Q$9*SQRT($C$11)*NORMSINV($B358)+SQRT(1-Q$9^2*$C$11)*NORMSINV(P358)))*(Q$7-Q$5)*(Q$7-Q$6))))</f>
        <v>0.0947644836311995</v>
      </c>
      <c r="R358" s="2" t="n">
        <v>0.992773427</v>
      </c>
      <c r="S358" s="2" t="n">
        <f aca="false">IF(S$7=S$5,S$6,IF(NORMSDIST(S$9*SQRT($C$11)*NORMSINV($B358)+SQRT(1-S$9^2*$C$11)*NORMSINV(R358))&lt;S$8,S$5+SQRT(NORMSDIST(S$9*SQRT($C$11)*NORMSINV($B358)+SQRT(1-S$9^2*$C$11)*NORMSINV(R358))*(S$7-S$5)*(S$6-S$5)),S$7-SQRT((1-NORMSDIST(S$9*SQRT($C$11)*NORMSINV($B358)+SQRT(1-S$9^2*$C$11)*NORMSINV(R358)))*(S$7-S$5)*(S$7-S$6))))</f>
        <v>0.947125601517283</v>
      </c>
      <c r="T358" s="2" t="n">
        <v>0.511185046</v>
      </c>
      <c r="U358" s="2" t="n">
        <f aca="false">IF(U$7=U$5,U$6,IF(NORMSDIST(U$9*SQRT($C$11)*NORMSINV($B358)+SQRT(1-U$9^2*$C$11)*NORMSINV(T358))&lt;U$8,U$5+SQRT(NORMSDIST(U$9*SQRT($C$11)*NORMSINV($B358)+SQRT(1-U$9^2*$C$11)*NORMSINV(T358))*(U$7-U$5)*(U$6-U$5)),U$7-SQRT((1-NORMSDIST(U$9*SQRT($C$11)*NORMSINV($B358)+SQRT(1-U$9^2*$C$11)*NORMSINV(T358)))*(U$7-U$5)*(U$7-U$6))))</f>
        <v>0.644121892956516</v>
      </c>
      <c r="V358" s="2" t="n">
        <v>0.63284014</v>
      </c>
      <c r="W358" s="2" t="n">
        <f aca="false">IF(W$7=W$5,W$6,IF(NORMSDIST(W$9*SQRT($C$11)*NORMSINV($B358)+SQRT(1-W$9^2*$C$11)*NORMSINV(V358))&lt;W$8,W$5+SQRT(NORMSDIST(W$9*SQRT($C$11)*NORMSINV($B358)+SQRT(1-W$9^2*$C$11)*NORMSINV(V358))*(W$7-W$5)*(W$6-W$5)),W$7-SQRT((1-NORMSDIST(W$9*SQRT($C$11)*NORMSINV($B358)+SQRT(1-W$9^2*$C$11)*NORMSINV(V358)))*(W$7-W$5)*(W$7-W$6))))</f>
        <v>10.7911990989729</v>
      </c>
      <c r="X358" s="2" t="n">
        <v>0.433082907</v>
      </c>
      <c r="Y358" s="2" t="n">
        <f aca="false">IF(Y$7=Y$5,Y$6,IF(NORMSDIST(Y$9*SQRT($C$11)*NORMSINV($B358)+SQRT(1-Y$9^2*$C$11)*NORMSINV(X358))&lt;Y$8,Y$5+SQRT(NORMSDIST(Y$9*SQRT($C$11)*NORMSINV($B358)+SQRT(1-Y$9^2*$C$11)*NORMSINV(X358))*(Y$7-Y$5)*(Y$6-Y$5)),Y$7-SQRT((1-NORMSDIST(Y$9*SQRT($C$11)*NORMSINV($B358)+SQRT(1-Y$9^2*$C$11)*NORMSINV(X358)))*(Y$7-Y$5)*(Y$7-Y$6))))</f>
        <v>0.465340148171206</v>
      </c>
      <c r="Z358" s="2" t="n">
        <v>0.875525406</v>
      </c>
      <c r="AA358" s="2" t="n">
        <f aca="false">IF(AA$7=AA$5,AA$6,IF(NORMSDIST(AA$9*SQRT($C$11)*NORMSINV($B358)+SQRT(1-AA$9^2*$C$11)*NORMSINV(Z358))&lt;AA$8,AA$5+SQRT(NORMSDIST(AA$9*SQRT($C$11)*NORMSINV($B358)+SQRT(1-AA$9^2*$C$11)*NORMSINV(Z358))*(AA$7-AA$5)*(AA$6-AA$5)),AA$7-SQRT((1-NORMSDIST(AA$9*SQRT($C$11)*NORMSINV($B358)+SQRT(1-AA$9^2*$C$11)*NORMSINV(Z358)))*(AA$7-AA$5)*(AA$7-AA$6))))</f>
        <v>0.744920082697333</v>
      </c>
      <c r="AB358" s="2" t="n">
        <v>0.534763003</v>
      </c>
      <c r="AC358" s="2" t="n">
        <f aca="false">IF(AC$7=AC$5,AC$6,IF(NORMSDIST(AC$9*SQRT($C$11)*NORMSINV($B358)+SQRT(1-AC$9^2*$C$11)*NORMSINV(AB358))&lt;AC$8,AC$5+SQRT(NORMSDIST(AC$9*SQRT($C$11)*NORMSINV($B358)+SQRT(1-AC$9^2*$C$11)*NORMSINV(AB358))*(AC$7-AC$5)*(AC$6-AC$5)),AC$7-SQRT((1-NORMSDIST(AC$9*SQRT($C$11)*NORMSINV($B358)+SQRT(1-AC$9^2*$C$11)*NORMSINV(AB358)))*(AC$7-AC$5)*(AC$7-AC$6))))</f>
        <v>9.98420976637318</v>
      </c>
      <c r="AD358" s="2" t="n">
        <f aca="false">Entrées!$C$8*(1+E358)</f>
        <v>7423.97569971389</v>
      </c>
      <c r="AE358" s="2" t="n">
        <f aca="false">I358*Hypothèses!$J$24/12/Hypothèses!$J$19</f>
        <v>101.809416828272</v>
      </c>
      <c r="AF358" s="2" t="n">
        <f aca="false">Entrées!$C$36*S358*1000</f>
        <v>473.562800758642</v>
      </c>
      <c r="AG358" s="2" t="n">
        <f aca="false">-AF358/W358</f>
        <v>-43.8841686095585</v>
      </c>
      <c r="AH358" s="2" t="n">
        <f aca="false">AD358+AE358+AG358</f>
        <v>7481.9009479326</v>
      </c>
      <c r="AI358" s="2" t="n">
        <f aca="false">Entrées!$C$16-M358+Hypothèses!$J$22*1000-AF358+Hypothèses!$J$23</f>
        <v>22383.2727693255</v>
      </c>
      <c r="AJ358" s="2" t="n">
        <f aca="false">AI358/AH358</f>
        <v>2.99165585391912</v>
      </c>
      <c r="AK358" s="2" t="n">
        <f aca="false">AI358/(AH358+I358*(12-Hypothèses!$J$24)/12/Hypothèses!$J$19)</f>
        <v>2.9628580871392</v>
      </c>
      <c r="AL358" s="2" t="n">
        <f aca="false">(AD358+AG358+I358/Hypothèses!$J$19)*(1+G358)</f>
        <v>8047.00400053492</v>
      </c>
      <c r="AM358" s="2" t="n">
        <f aca="false">Entrées!$C$54*K358/Hypothèses!$J$19</f>
        <v>30.469926461822</v>
      </c>
      <c r="AN358" s="2" t="n">
        <f aca="false">Y358*1000/AC358</f>
        <v>46.6076093211174</v>
      </c>
      <c r="AO358" s="2" t="n">
        <f aca="false">(Entrées!$C$36*(1-S358)+MAX(0,Entrées!$C$30-Entrées!$C$35-Entrées!$C$36)*U358)*1000</f>
        <v>928.207849380481</v>
      </c>
      <c r="AP358" s="2" t="n">
        <f aca="false">-AO358/W358</f>
        <v>-86.0152649272155</v>
      </c>
      <c r="AQ358" s="2" t="n">
        <f aca="false">AL358+AM358+AN358+AP358</f>
        <v>8038.06627139064</v>
      </c>
      <c r="AR358" s="2" t="n">
        <f aca="false">O358*AQ358-Hypothèses!$J$25/Hypothèses!$J$19</f>
        <v>1416.95154320717</v>
      </c>
      <c r="AS358" s="2" t="n">
        <f aca="false">Entrées!$C$79*(1+Q358)+Hypothèses!$J$20</f>
        <v>1498.14616751069</v>
      </c>
      <c r="AT358" s="2" t="n">
        <f aca="false">AI358-AR358+AS358+Y358*1000-AO358+Hypothèses!$J$23</f>
        <v>22001.5996924198</v>
      </c>
      <c r="AU358" s="2" t="n">
        <f aca="false">AT358/AQ358</f>
        <v>2.73717570241099</v>
      </c>
      <c r="AV358" s="2" t="n">
        <f aca="false">Hypothèses!$J$26*AQ358-AT358</f>
        <v>2112.59912175214</v>
      </c>
      <c r="AW358" s="2" t="n">
        <f aca="false">IF(AC358&gt;Hypothèses!$J$26,MAX(0,AV358)/(1-Hypothèses!$J$26/AC358),0)</f>
        <v>3020.04571589239</v>
      </c>
      <c r="AX358" s="2" t="n">
        <f aca="false">AQ358-Entrées!$C$17*1000</f>
        <v>38.0662713906422</v>
      </c>
      <c r="AY358" s="2" t="n">
        <f aca="false">AI358+(Entrées!$C$244-Entrées!$C$13)</f>
        <v>28130.2727693255</v>
      </c>
      <c r="AZ358" s="2" t="n">
        <f aca="false">AA358*AH358</f>
        <v>5573.4182728672</v>
      </c>
      <c r="BA358" s="2" t="n">
        <f aca="false">AZ358/AY358</f>
        <v>0.198128838585053</v>
      </c>
      <c r="BB358" s="2" t="n">
        <f aca="false">AZ358/(Entrées!$C$151/100)-AY358</f>
        <v>2833.1620799367</v>
      </c>
      <c r="BC358" s="2" t="n">
        <f aca="false">AT358+(Entrées!$C$244-Entrées!$C$13)</f>
        <v>27748.5996924198</v>
      </c>
      <c r="BD358" s="2" t="n">
        <f aca="false">AA358*AQ358</f>
        <v>5987.71699161096</v>
      </c>
      <c r="BE358" s="2" t="n">
        <f aca="false">BD358/BC358</f>
        <v>0.215784474098945</v>
      </c>
      <c r="BF358" s="2" t="n">
        <f aca="false">BD358/(Entrées!$C$151/100)-BC358</f>
        <v>5516.49470541886</v>
      </c>
      <c r="BG358" s="2" t="n">
        <f aca="false">MIN(AV358,BF358)</f>
        <v>2112.59912175214</v>
      </c>
      <c r="BH358" s="2" t="n">
        <f aca="false">IF(AC358&gt;Hypothèses!$J$26,MAX(0,BG358)/(1-Hypothèses!$J$26/AC358),0)</f>
        <v>3020.04571589239</v>
      </c>
    </row>
    <row r="359" customFormat="false" ht="15" hidden="false" customHeight="false" outlineLevel="0" collapsed="false">
      <c r="A359" s="2" t="n">
        <v>344</v>
      </c>
      <c r="B359" s="2" t="n">
        <v>0.956083126</v>
      </c>
      <c r="C359" s="2"/>
      <c r="D359" s="2" t="n">
        <v>0.412406304</v>
      </c>
      <c r="E359" s="2" t="n">
        <f aca="false">IF(E$7=E$5,E$6,IF(NORMSDIST(E$9*SQRT($C$11)*NORMSINV($B359)+SQRT(1-E$9^2*$C$11)*NORMSINV(D359))&lt;E$8,E$5+SQRT(NORMSDIST(E$9*SQRT($C$11)*NORMSINV($B359)+SQRT(1-E$9^2*$C$11)*NORMSINV(D359))*(E$7-E$5)*(E$6-E$5)),E$7-SQRT((1-NORMSDIST(E$9*SQRT($C$11)*NORMSINV($B359)+SQRT(1-E$9^2*$C$11)*NORMSINV(D359)))*(E$7-E$5)*(E$7-E$6))))</f>
        <v>0.0569840976282266</v>
      </c>
      <c r="F359" s="2" t="n">
        <v>0.135064986</v>
      </c>
      <c r="G359" s="2" t="n">
        <f aca="false">IF(G$7=G$5,G$6,IF(NORMSDIST(G$9*SQRT($C$11)*NORMSINV($B359)+SQRT(1-G$9^2*$C$11)*NORMSINV(F359))&lt;G$8,G$5+SQRT(NORMSDIST(G$9*SQRT($C$11)*NORMSINV($B359)+SQRT(1-G$9^2*$C$11)*NORMSINV(F359))*(G$7-G$5)*(G$6-G$5)),G$7-SQRT((1-NORMSDIST(G$9*SQRT($C$11)*NORMSINV($B359)+SQRT(1-G$9^2*$C$11)*NORMSINV(F359)))*(G$7-G$5)*(G$7-G$6))))</f>
        <v>0.0564028882953917</v>
      </c>
      <c r="H359" s="2" t="n">
        <v>0.934527283</v>
      </c>
      <c r="I359" s="2" t="n">
        <f aca="false">IF(I$7=I$5,I$6,IF(NORMSDIST(I$9*SQRT($C$11)*NORMSINV($B359)+SQRT(1-I$9^2*$C$11)*NORMSINV(H359))&lt;I$8,I$5+SQRT(NORMSDIST(I$9*SQRT($C$11)*NORMSINV($B359)+SQRT(1-I$9^2*$C$11)*NORMSINV(H359))*(I$7-I$5)*(I$6-I$5)),I$7-SQRT((1-NORMSDIST(I$9*SQRT($C$11)*NORMSINV($B359)+SQRT(1-I$9^2*$C$11)*NORMSINV(H359)))*(I$7-I$5)*(I$7-I$6))))</f>
        <v>216.870739226649</v>
      </c>
      <c r="J359" s="2" t="n">
        <v>0.121774115</v>
      </c>
      <c r="K359" s="2" t="n">
        <f aca="false">IF(K$7=K$5,K$6,IF(NORMSDIST(K$9*SQRT($C$11)*NORMSINV($B359)+SQRT(1-K$9^2*$C$11)*NORMSINV(J359))&lt;K$8,K$5+SQRT(NORMSDIST(K$9*SQRT($C$11)*NORMSINV($B359)+SQRT(1-K$9^2*$C$11)*NORMSINV(J359))*(K$7-K$5)*(K$6-K$5)),K$7-SQRT((1-NORMSDIST(K$9*SQRT($C$11)*NORMSINV($B359)+SQRT(1-K$9^2*$C$11)*NORMSINV(J359)))*(K$7-K$5)*(K$7-K$6))))</f>
        <v>0.268146942163302</v>
      </c>
      <c r="L359" s="2" t="n">
        <v>0.126549564</v>
      </c>
      <c r="M359" s="2" t="n">
        <f aca="false">IF(M$7=M$5,M$6,IF(NORMSDIST(M$9*SQRT($C$11)*NORMSINV($B359)+SQRT(1-M$9^2*$C$11)*NORMSINV(L359))&lt;M$8,M$5+SQRT(NORMSDIST(M$9*SQRT($C$11)*NORMSINV($B359)+SQRT(1-M$9^2*$C$11)*NORMSINV(L359))*(M$7-M$5)*(M$6-M$5)),M$7-SQRT((1-NORMSDIST(M$9*SQRT($C$11)*NORMSINV($B359)+SQRT(1-M$9^2*$C$11)*NORMSINV(L359)))*(M$7-M$5)*(M$7-M$6))))</f>
        <v>1606.30793244968</v>
      </c>
      <c r="N359" s="2" t="n">
        <v>0.70916611</v>
      </c>
      <c r="O359" s="2" t="n">
        <f aca="false">IF(O$7=O$5,O$6,IF(NORMSDIST(O$9*SQRT($C$11)*NORMSINV($B359)+SQRT(1-O$9^2*$C$11)*NORMSINV(N359))&lt;O$8,O$5+SQRT(NORMSDIST(O$9*SQRT($C$11)*NORMSINV($B359)+SQRT(1-O$9^2*$C$11)*NORMSINV(N359))*(O$7-O$5)*(O$6-O$5)),O$7-SQRT((1-NORMSDIST(O$9*SQRT($C$11)*NORMSINV($B359)+SQRT(1-O$9^2*$C$11)*NORMSINV(N359)))*(O$7-O$5)*(O$7-O$6))))</f>
        <v>0.181615895422131</v>
      </c>
      <c r="P359" s="2" t="n">
        <v>0.579828642</v>
      </c>
      <c r="Q359" s="2" t="n">
        <f aca="false">IF(Q$7=Q$5,Q$6,IF(NORMSDIST(Q$9*SQRT($C$11)*NORMSINV($B359)+SQRT(1-Q$9^2*$C$11)*NORMSINV(P359))&lt;Q$8,Q$5+SQRT(NORMSDIST(Q$9*SQRT($C$11)*NORMSINV($B359)+SQRT(1-Q$9^2*$C$11)*NORMSINV(P359))*(Q$7-Q$5)*(Q$6-Q$5)),Q$7-SQRT((1-NORMSDIST(Q$9*SQRT($C$11)*NORMSINV($B359)+SQRT(1-Q$9^2*$C$11)*NORMSINV(P359)))*(Q$7-Q$5)*(Q$7-Q$6))))</f>
        <v>0.0833319165267668</v>
      </c>
      <c r="R359" s="2" t="n">
        <v>0.01366971</v>
      </c>
      <c r="S359" s="2" t="n">
        <f aca="false">IF(S$7=S$5,S$6,IF(NORMSDIST(S$9*SQRT($C$11)*NORMSINV($B359)+SQRT(1-S$9^2*$C$11)*NORMSINV(R359))&lt;S$8,S$5+SQRT(NORMSDIST(S$9*SQRT($C$11)*NORMSINV($B359)+SQRT(1-S$9^2*$C$11)*NORMSINV(R359))*(S$7-S$5)*(S$6-S$5)),S$7-SQRT((1-NORMSDIST(S$9*SQRT($C$11)*NORMSINV($B359)+SQRT(1-S$9^2*$C$11)*NORMSINV(R359)))*(S$7-S$5)*(S$7-S$6))))</f>
        <v>0.363626226417234</v>
      </c>
      <c r="T359" s="2" t="n">
        <v>0.298712871</v>
      </c>
      <c r="U359" s="2" t="n">
        <f aca="false">IF(U$7=U$5,U$6,IF(NORMSDIST(U$9*SQRT($C$11)*NORMSINV($B359)+SQRT(1-U$9^2*$C$11)*NORMSINV(T359))&lt;U$8,U$5+SQRT(NORMSDIST(U$9*SQRT($C$11)*NORMSINV($B359)+SQRT(1-U$9^2*$C$11)*NORMSINV(T359))*(U$7-U$5)*(U$6-U$5)),U$7-SQRT((1-NORMSDIST(U$9*SQRT($C$11)*NORMSINV($B359)+SQRT(1-U$9^2*$C$11)*NORMSINV(T359)))*(U$7-U$5)*(U$7-U$6))))</f>
        <v>0.645548378534182</v>
      </c>
      <c r="V359" s="2" t="n">
        <v>0.064668688</v>
      </c>
      <c r="W359" s="2" t="n">
        <f aca="false">IF(W$7=W$5,W$6,IF(NORMSDIST(W$9*SQRT($C$11)*NORMSINV($B359)+SQRT(1-W$9^2*$C$11)*NORMSINV(V359))&lt;W$8,W$5+SQRT(NORMSDIST(W$9*SQRT($C$11)*NORMSINV($B359)+SQRT(1-W$9^2*$C$11)*NORMSINV(V359))*(W$7-W$5)*(W$6-W$5)),W$7-SQRT((1-NORMSDIST(W$9*SQRT($C$11)*NORMSINV($B359)+SQRT(1-W$9^2*$C$11)*NORMSINV(V359)))*(W$7-W$5)*(W$7-W$6))))</f>
        <v>9.92259079792578</v>
      </c>
      <c r="X359" s="2" t="n">
        <v>0.933281888</v>
      </c>
      <c r="Y359" s="2" t="n">
        <f aca="false">IF(Y$7=Y$5,Y$6,IF(NORMSDIST(Y$9*SQRT($C$11)*NORMSINV($B359)+SQRT(1-Y$9^2*$C$11)*NORMSINV(X359))&lt;Y$8,Y$5+SQRT(NORMSDIST(Y$9*SQRT($C$11)*NORMSINV($B359)+SQRT(1-Y$9^2*$C$11)*NORMSINV(X359))*(Y$7-Y$5)*(Y$6-Y$5)),Y$7-SQRT((1-NORMSDIST(Y$9*SQRT($C$11)*NORMSINV($B359)+SQRT(1-Y$9^2*$C$11)*NORMSINV(X359)))*(Y$7-Y$5)*(Y$7-Y$6))))</f>
        <v>0.817355383325979</v>
      </c>
      <c r="Z359" s="2" t="n">
        <v>0.028481542</v>
      </c>
      <c r="AA359" s="2" t="n">
        <f aca="false">IF(AA$7=AA$5,AA$6,IF(NORMSDIST(AA$9*SQRT($C$11)*NORMSINV($B359)+SQRT(1-AA$9^2*$C$11)*NORMSINV(Z359))&lt;AA$8,AA$5+SQRT(NORMSDIST(AA$9*SQRT($C$11)*NORMSINV($B359)+SQRT(1-AA$9^2*$C$11)*NORMSINV(Z359))*(AA$7-AA$5)*(AA$6-AA$5)),AA$7-SQRT((1-NORMSDIST(AA$9*SQRT($C$11)*NORMSINV($B359)+SQRT(1-AA$9^2*$C$11)*NORMSINV(Z359)))*(AA$7-AA$5)*(AA$7-AA$6))))</f>
        <v>0.722565176898889</v>
      </c>
      <c r="AB359" s="2" t="n">
        <v>0.30257227</v>
      </c>
      <c r="AC359" s="2" t="n">
        <f aca="false">IF(AC$7=AC$5,AC$6,IF(NORMSDIST(AC$9*SQRT($C$11)*NORMSINV($B359)+SQRT(1-AC$9^2*$C$11)*NORMSINV(AB359))&lt;AC$8,AC$5+SQRT(NORMSDIST(AC$9*SQRT($C$11)*NORMSINV($B359)+SQRT(1-AC$9^2*$C$11)*NORMSINV(AB359))*(AC$7-AC$5)*(AC$6-AC$5)),AC$7-SQRT((1-NORMSDIST(AC$9*SQRT($C$11)*NORMSINV($B359)+SQRT(1-AC$9^2*$C$11)*NORMSINV(AB359)))*(AC$7-AC$5)*(AC$7-AC$6))))</f>
        <v>9.9638026379821</v>
      </c>
      <c r="AD359" s="2" t="n">
        <f aca="false">Entrées!$C$8*(1+E359)</f>
        <v>7451.737888279</v>
      </c>
      <c r="AE359" s="2" t="n">
        <f aca="false">I359*Hypothèses!$J$24/12/Hypothèses!$J$19</f>
        <v>107.588879608537</v>
      </c>
      <c r="AF359" s="2" t="n">
        <f aca="false">Entrées!$C$36*S359*1000</f>
        <v>181.813113208617</v>
      </c>
      <c r="AG359" s="2" t="n">
        <f aca="false">-AF359/W359</f>
        <v>-18.3231493579906</v>
      </c>
      <c r="AH359" s="2" t="n">
        <f aca="false">AD359+AE359+AG359</f>
        <v>7541.00361852954</v>
      </c>
      <c r="AI359" s="2" t="n">
        <f aca="false">Entrées!$C$16-M359+Hypothèses!$J$22*1000-AF359+Hypothèses!$J$23</f>
        <v>22759.8789543417</v>
      </c>
      <c r="AJ359" s="2" t="n">
        <f aca="false">AI359/AH359</f>
        <v>3.01814985188666</v>
      </c>
      <c r="AK359" s="2" t="n">
        <f aca="false">AI359/(AH359+I359*(12-Hypothèses!$J$24)/12/Hypothèses!$J$19)</f>
        <v>2.98770263712845</v>
      </c>
      <c r="AL359" s="2" t="n">
        <f aca="false">(AD359+AG359+I359/Hypothèses!$J$19)*(1+G359)</f>
        <v>8047.52171980841</v>
      </c>
      <c r="AM359" s="2" t="n">
        <f aca="false">Entrées!$C$54*K359/Hypothèses!$J$19</f>
        <v>27.3655213240193</v>
      </c>
      <c r="AN359" s="2" t="n">
        <f aca="false">Y359*1000/AC359</f>
        <v>82.0324742493607</v>
      </c>
      <c r="AO359" s="2" t="n">
        <f aca="false">(Entrées!$C$36*(1-S359)+MAX(0,Entrées!$C$30-Entrées!$C$35-Entrées!$C$36)*U359)*1000</f>
        <v>1221.95461673924</v>
      </c>
      <c r="AP359" s="2" t="n">
        <f aca="false">-AO359/W359</f>
        <v>-123.148746292619</v>
      </c>
      <c r="AQ359" s="2" t="n">
        <f aca="false">AL359+AM359+AN359+AP359</f>
        <v>8033.77096908917</v>
      </c>
      <c r="AR359" s="2" t="n">
        <f aca="false">O359*AQ359-Hypothèses!$J$25/Hypothèses!$J$19</f>
        <v>1439.92534590583</v>
      </c>
      <c r="AS359" s="2" t="n">
        <f aca="false">Entrées!$C$79*(1+Q359)+Hypothèses!$J$20</f>
        <v>1485.58177626292</v>
      </c>
      <c r="AT359" s="2" t="n">
        <f aca="false">AI359-AR359+AS359+Y359*1000-AO359+Hypothèses!$J$23</f>
        <v>22400.9361512855</v>
      </c>
      <c r="AU359" s="2" t="n">
        <f aca="false">AT359/AQ359</f>
        <v>2.78834637400987</v>
      </c>
      <c r="AV359" s="2" t="n">
        <f aca="false">Hypothèses!$J$26*AQ359-AT359</f>
        <v>1700.37675598199</v>
      </c>
      <c r="AW359" s="2" t="n">
        <f aca="false">IF(AC359&gt;Hypothèses!$J$26,MAX(0,AV359)/(1-Hypothèses!$J$26/AC359),0)</f>
        <v>2432.89755433479</v>
      </c>
      <c r="AX359" s="2" t="n">
        <f aca="false">AQ359-Entrées!$C$17*1000</f>
        <v>33.7709690891734</v>
      </c>
      <c r="AY359" s="2" t="n">
        <f aca="false">AI359+(Entrées!$C$244-Entrées!$C$13)</f>
        <v>28506.8789543417</v>
      </c>
      <c r="AZ359" s="2" t="n">
        <f aca="false">AA359*AH359</f>
        <v>5448.86661361796</v>
      </c>
      <c r="BA359" s="2" t="n">
        <f aca="false">AZ359/AY359</f>
        <v>0.191142166855417</v>
      </c>
      <c r="BB359" s="2" t="n">
        <f aca="false">AZ359/(Entrées!$C$151/100)-AY359</f>
        <v>1764.60223242474</v>
      </c>
      <c r="BC359" s="2" t="n">
        <f aca="false">AT359+(Entrées!$C$244-Entrées!$C$13)</f>
        <v>28147.9361512855</v>
      </c>
      <c r="BD359" s="2" t="n">
        <f aca="false">AA359*AQ359</f>
        <v>5804.92314144508</v>
      </c>
      <c r="BE359" s="2" t="n">
        <f aca="false">BD359/BC359</f>
        <v>0.206229085864257</v>
      </c>
      <c r="BF359" s="2" t="n">
        <f aca="false">BD359/(Entrées!$C$151/100)-BC359</f>
        <v>4101.63685674267</v>
      </c>
      <c r="BG359" s="2" t="n">
        <f aca="false">MIN(AV359,BF359)</f>
        <v>1700.37675598199</v>
      </c>
      <c r="BH359" s="2" t="n">
        <f aca="false">IF(AC359&gt;Hypothèses!$J$26,MAX(0,BG359)/(1-Hypothèses!$J$26/AC359),0)</f>
        <v>2432.89755433479</v>
      </c>
    </row>
    <row r="360" customFormat="false" ht="15" hidden="false" customHeight="false" outlineLevel="0" collapsed="false">
      <c r="A360" s="2" t="n">
        <v>345</v>
      </c>
      <c r="B360" s="2" t="n">
        <v>0.214368343</v>
      </c>
      <c r="C360" s="2"/>
      <c r="D360" s="2" t="n">
        <v>0.257962722</v>
      </c>
      <c r="E360" s="2" t="n">
        <f aca="false">IF(E$7=E$5,E$6,IF(NORMSDIST(E$9*SQRT($C$11)*NORMSINV($B360)+SQRT(1-E$9^2*$C$11)*NORMSINV(D360))&lt;E$8,E$5+SQRT(NORMSDIST(E$9*SQRT($C$11)*NORMSINV($B360)+SQRT(1-E$9^2*$C$11)*NORMSINV(D360))*(E$7-E$5)*(E$6-E$5)),E$7-SQRT((1-NORMSDIST(E$9*SQRT($C$11)*NORMSINV($B360)+SQRT(1-E$9^2*$C$11)*NORMSINV(D360)))*(E$7-E$5)*(E$7-E$6))))</f>
        <v>0.0528085615270161</v>
      </c>
      <c r="F360" s="2" t="n">
        <v>0.601387925</v>
      </c>
      <c r="G360" s="2" t="n">
        <f aca="false">IF(G$7=G$5,G$6,IF(NORMSDIST(G$9*SQRT($C$11)*NORMSINV($B360)+SQRT(1-G$9^2*$C$11)*NORMSINV(F360))&lt;G$8,G$5+SQRT(NORMSDIST(G$9*SQRT($C$11)*NORMSINV($B360)+SQRT(1-G$9^2*$C$11)*NORMSINV(F360))*(G$7-G$5)*(G$6-G$5)),G$7-SQRT((1-NORMSDIST(G$9*SQRT($C$11)*NORMSINV($B360)+SQRT(1-G$9^2*$C$11)*NORMSINV(F360)))*(G$7-G$5)*(G$7-G$6))))</f>
        <v>0.0531029545326696</v>
      </c>
      <c r="H360" s="2" t="n">
        <v>0.894467931</v>
      </c>
      <c r="I360" s="2" t="n">
        <f aca="false">IF(I$7=I$5,I$6,IF(NORMSDIST(I$9*SQRT($C$11)*NORMSINV($B360)+SQRT(1-I$9^2*$C$11)*NORMSINV(H360))&lt;I$8,I$5+SQRT(NORMSDIST(I$9*SQRT($C$11)*NORMSINV($B360)+SQRT(1-I$9^2*$C$11)*NORMSINV(H360))*(I$7-I$5)*(I$6-I$5)),I$7-SQRT((1-NORMSDIST(I$9*SQRT($C$11)*NORMSINV($B360)+SQRT(1-I$9^2*$C$11)*NORMSINV(H360)))*(I$7-I$5)*(I$7-I$6))))</f>
        <v>204.004911680317</v>
      </c>
      <c r="J360" s="2" t="n">
        <v>0.085518161</v>
      </c>
      <c r="K360" s="2" t="n">
        <f aca="false">IF(K$7=K$5,K$6,IF(NORMSDIST(K$9*SQRT($C$11)*NORMSINV($B360)+SQRT(1-K$9^2*$C$11)*NORMSINV(J360))&lt;K$8,K$5+SQRT(NORMSDIST(K$9*SQRT($C$11)*NORMSINV($B360)+SQRT(1-K$9^2*$C$11)*NORMSINV(J360))*(K$7-K$5)*(K$6-K$5)),K$7-SQRT((1-NORMSDIST(K$9*SQRT($C$11)*NORMSINV($B360)+SQRT(1-K$9^2*$C$11)*NORMSINV(J360)))*(K$7-K$5)*(K$7-K$6))))</f>
        <v>0.0860829249969476</v>
      </c>
      <c r="L360" s="2" t="n">
        <v>0.995500147</v>
      </c>
      <c r="M360" s="2" t="n">
        <f aca="false">IF(M$7=M$5,M$6,IF(NORMSDIST(M$9*SQRT($C$11)*NORMSINV($B360)+SQRT(1-M$9^2*$C$11)*NORMSINV(L360))&lt;M$8,M$5+SQRT(NORMSDIST(M$9*SQRT($C$11)*NORMSINV($B360)+SQRT(1-M$9^2*$C$11)*NORMSINV(L360))*(M$7-M$5)*(M$6-M$5)),M$7-SQRT((1-NORMSDIST(M$9*SQRT($C$11)*NORMSINV($B360)+SQRT(1-M$9^2*$C$11)*NORMSINV(L360)))*(M$7-M$5)*(M$7-M$6))))</f>
        <v>1720.57414503619</v>
      </c>
      <c r="N360" s="2" t="n">
        <v>0.208326576</v>
      </c>
      <c r="O360" s="2" t="n">
        <f aca="false">IF(O$7=O$5,O$6,IF(NORMSDIST(O$9*SQRT($C$11)*NORMSINV($B360)+SQRT(1-O$9^2*$C$11)*NORMSINV(N360))&lt;O$8,O$5+SQRT(NORMSDIST(O$9*SQRT($C$11)*NORMSINV($B360)+SQRT(1-O$9^2*$C$11)*NORMSINV(N360))*(O$7-O$5)*(O$6-O$5)),O$7-SQRT((1-NORMSDIST(O$9*SQRT($C$11)*NORMSINV($B360)+SQRT(1-O$9^2*$C$11)*NORMSINV(N360)))*(O$7-O$5)*(O$7-O$6))))</f>
        <v>0.153621198939515</v>
      </c>
      <c r="P360" s="2" t="n">
        <v>0.383445829</v>
      </c>
      <c r="Q360" s="2" t="n">
        <f aca="false">IF(Q$7=Q$5,Q$6,IF(NORMSDIST(Q$9*SQRT($C$11)*NORMSINV($B360)+SQRT(1-Q$9^2*$C$11)*NORMSINV(P360))&lt;Q$8,Q$5+SQRT(NORMSDIST(Q$9*SQRT($C$11)*NORMSINV($B360)+SQRT(1-Q$9^2*$C$11)*NORMSINV(P360))*(Q$7-Q$5)*(Q$6-Q$5)),Q$7-SQRT((1-NORMSDIST(Q$9*SQRT($C$11)*NORMSINV($B360)+SQRT(1-Q$9^2*$C$11)*NORMSINV(P360)))*(Q$7-Q$5)*(Q$7-Q$6))))</f>
        <v>0.075028940218054</v>
      </c>
      <c r="R360" s="2" t="n">
        <v>0.000780987</v>
      </c>
      <c r="S360" s="2" t="n">
        <f aca="false">IF(S$7=S$5,S$6,IF(NORMSDIST(S$9*SQRT($C$11)*NORMSINV($B360)+SQRT(1-S$9^2*$C$11)*NORMSINV(R360))&lt;S$8,S$5+SQRT(NORMSDIST(S$9*SQRT($C$11)*NORMSINV($B360)+SQRT(1-S$9^2*$C$11)*NORMSINV(R360))*(S$7-S$5)*(S$6-S$5)),S$7-SQRT((1-NORMSDIST(S$9*SQRT($C$11)*NORMSINV($B360)+SQRT(1-S$9^2*$C$11)*NORMSINV(R360)))*(S$7-S$5)*(S$7-S$6))))</f>
        <v>0.0281637765690737</v>
      </c>
      <c r="T360" s="2" t="n">
        <v>0.553783284</v>
      </c>
      <c r="U360" s="2" t="n">
        <f aca="false">IF(U$7=U$5,U$6,IF(NORMSDIST(U$9*SQRT($C$11)*NORMSINV($B360)+SQRT(1-U$9^2*$C$11)*NORMSINV(T360))&lt;U$8,U$5+SQRT(NORMSDIST(U$9*SQRT($C$11)*NORMSINV($B360)+SQRT(1-U$9^2*$C$11)*NORMSINV(T360))*(U$7-U$5)*(U$6-U$5)),U$7-SQRT((1-NORMSDIST(U$9*SQRT($C$11)*NORMSINV($B360)+SQRT(1-U$9^2*$C$11)*NORMSINV(T360)))*(U$7-U$5)*(U$7-U$6))))</f>
        <v>0.41601930162823</v>
      </c>
      <c r="V360" s="2" t="n">
        <v>0.029724005</v>
      </c>
      <c r="W360" s="2" t="n">
        <f aca="false">IF(W$7=W$5,W$6,IF(NORMSDIST(W$9*SQRT($C$11)*NORMSINV($B360)+SQRT(1-W$9^2*$C$11)*NORMSINV(V360))&lt;W$8,W$5+SQRT(NORMSDIST(W$9*SQRT($C$11)*NORMSINV($B360)+SQRT(1-W$9^2*$C$11)*NORMSINV(V360))*(W$7-W$5)*(W$6-W$5)),W$7-SQRT((1-NORMSDIST(W$9*SQRT($C$11)*NORMSINV($B360)+SQRT(1-W$9^2*$C$11)*NORMSINV(V360)))*(W$7-W$5)*(W$7-W$6))))</f>
        <v>8.44692952769462</v>
      </c>
      <c r="X360" s="2" t="n">
        <v>0.787999669</v>
      </c>
      <c r="Y360" s="2" t="n">
        <f aca="false">IF(Y$7=Y$5,Y$6,IF(NORMSDIST(Y$9*SQRT($C$11)*NORMSINV($B360)+SQRT(1-Y$9^2*$C$11)*NORMSINV(X360))&lt;Y$8,Y$5+SQRT(NORMSDIST(Y$9*SQRT($C$11)*NORMSINV($B360)+SQRT(1-Y$9^2*$C$11)*NORMSINV(X360))*(Y$7-Y$5)*(Y$6-Y$5)),Y$7-SQRT((1-NORMSDIST(Y$9*SQRT($C$11)*NORMSINV($B360)+SQRT(1-Y$9^2*$C$11)*NORMSINV(X360)))*(Y$7-Y$5)*(Y$7-Y$6))))</f>
        <v>0.6744233339135</v>
      </c>
      <c r="Z360" s="2" t="n">
        <v>0.397306798</v>
      </c>
      <c r="AA360" s="2" t="n">
        <f aca="false">IF(AA$7=AA$5,AA$6,IF(NORMSDIST(AA$9*SQRT($C$11)*NORMSINV($B360)+SQRT(1-AA$9^2*$C$11)*NORMSINV(Z360))&lt;AA$8,AA$5+SQRT(NORMSDIST(AA$9*SQRT($C$11)*NORMSINV($B360)+SQRT(1-AA$9^2*$C$11)*NORMSINV(Z360))*(AA$7-AA$5)*(AA$6-AA$5)),AA$7-SQRT((1-NORMSDIST(AA$9*SQRT($C$11)*NORMSINV($B360)+SQRT(1-AA$9^2*$C$11)*NORMSINV(Z360)))*(AA$7-AA$5)*(AA$7-AA$6))))</f>
        <v>0.718057796062257</v>
      </c>
      <c r="AB360" s="2" t="n">
        <v>0.614519575</v>
      </c>
      <c r="AC360" s="2" t="n">
        <f aca="false">IF(AC$7=AC$5,AC$6,IF(NORMSDIST(AC$9*SQRT($C$11)*NORMSINV($B360)+SQRT(1-AC$9^2*$C$11)*NORMSINV(AB360))&lt;AC$8,AC$5+SQRT(NORMSDIST(AC$9*SQRT($C$11)*NORMSINV($B360)+SQRT(1-AC$9^2*$C$11)*NORMSINV(AB360))*(AC$7-AC$5)*(AC$6-AC$5)),AC$7-SQRT((1-NORMSDIST(AC$9*SQRT($C$11)*NORMSINV($B360)+SQRT(1-AC$9^2*$C$11)*NORMSINV(AB360)))*(AC$7-AC$5)*(AC$7-AC$6))))</f>
        <v>9.23954709741773</v>
      </c>
      <c r="AD360" s="2" t="n">
        <f aca="false">Entrées!$C$8*(1+E360)</f>
        <v>7422.30035876546</v>
      </c>
      <c r="AE360" s="2" t="n">
        <f aca="false">I360*Hypothèses!$J$24/12/Hypothèses!$J$19</f>
        <v>101.206183741484</v>
      </c>
      <c r="AF360" s="2" t="n">
        <f aca="false">Entrées!$C$36*S360*1000</f>
        <v>14.0818882845368</v>
      </c>
      <c r="AG360" s="2" t="n">
        <f aca="false">-AF360/W360</f>
        <v>-1.6671014287934</v>
      </c>
      <c r="AH360" s="2" t="n">
        <f aca="false">AD360+AE360+AG360</f>
        <v>7521.83944107816</v>
      </c>
      <c r="AI360" s="2" t="n">
        <f aca="false">Entrées!$C$16-M360+Hypothèses!$J$22*1000-AF360+Hypothèses!$J$23</f>
        <v>22813.3439666793</v>
      </c>
      <c r="AJ360" s="2" t="n">
        <f aca="false">AI360/AH360</f>
        <v>3.03294747852385</v>
      </c>
      <c r="AK360" s="2" t="n">
        <f aca="false">AI360/(AH360+I360*(12-Hypothèses!$J$24)/12/Hypothèses!$J$19)</f>
        <v>3.00407620773629</v>
      </c>
      <c r="AL360" s="2" t="n">
        <f aca="false">(AD360+AG360+I360/Hypothèses!$J$19)*(1+G360)</f>
        <v>7997.40028971629</v>
      </c>
      <c r="AM360" s="2" t="n">
        <f aca="false">Entrées!$C$54*K360/Hypothèses!$J$19</f>
        <v>8.78512393478384</v>
      </c>
      <c r="AN360" s="2" t="n">
        <f aca="false">Y360*1000/AC360</f>
        <v>72.9931160913708</v>
      </c>
      <c r="AO360" s="2" t="n">
        <f aca="false">(Entrées!$C$36*(1-S360)+MAX(0,Entrées!$C$30-Entrées!$C$35-Entrées!$C$36)*U360)*1000</f>
        <v>1068.34513399499</v>
      </c>
      <c r="AP360" s="2" t="n">
        <f aca="false">-AO360/W360</f>
        <v>-126.477334810507</v>
      </c>
      <c r="AQ360" s="2" t="n">
        <f aca="false">AL360+AM360+AN360+AP360</f>
        <v>7952.70119493194</v>
      </c>
      <c r="AR360" s="2" t="n">
        <f aca="false">O360*AQ360-Hypothèses!$J$25/Hypothèses!$J$19</f>
        <v>1202.56833011154</v>
      </c>
      <c r="AS360" s="2" t="n">
        <f aca="false">Entrées!$C$79*(1+Q360)+Hypothèses!$J$20</f>
        <v>1476.45680529964</v>
      </c>
      <c r="AT360" s="2" t="n">
        <f aca="false">AI360-AR360+AS360+Y360*1000-AO360+Hypothèses!$J$23</f>
        <v>22693.3106417859</v>
      </c>
      <c r="AU360" s="2" t="n">
        <f aca="false">AT360/AQ360</f>
        <v>2.85353492927004</v>
      </c>
      <c r="AV360" s="2" t="n">
        <f aca="false">Hypothèses!$J$26*AQ360-AT360</f>
        <v>1164.79294300994</v>
      </c>
      <c r="AW360" s="2" t="n">
        <f aca="false">IF(AC360&gt;Hypothèses!$J$26,MAX(0,AV360)/(1-Hypothèses!$J$26/AC360),0)</f>
        <v>1724.83019803378</v>
      </c>
      <c r="AX360" s="2" t="n">
        <f aca="false">AQ360-Entrées!$C$17*1000</f>
        <v>-47.2988050680588</v>
      </c>
      <c r="AY360" s="2" t="n">
        <f aca="false">AI360+(Entrées!$C$244-Entrées!$C$13)</f>
        <v>28560.3439666793</v>
      </c>
      <c r="AZ360" s="2" t="n">
        <f aca="false">AA360*AH360</f>
        <v>5401.11545139474</v>
      </c>
      <c r="BA360" s="2" t="n">
        <f aca="false">AZ360/AY360</f>
        <v>0.189112409069586</v>
      </c>
      <c r="BB360" s="2" t="n">
        <f aca="false">AZ360/(Entrées!$C$151/100)-AY360</f>
        <v>1445.85298551371</v>
      </c>
      <c r="BC360" s="2" t="n">
        <f aca="false">AT360+(Entrées!$C$244-Entrées!$C$13)</f>
        <v>28440.3106417859</v>
      </c>
      <c r="BD360" s="2" t="n">
        <f aca="false">AA360*AQ360</f>
        <v>5710.49909277451</v>
      </c>
      <c r="BE360" s="2" t="n">
        <f aca="false">BD360/BC360</f>
        <v>0.200788914182406</v>
      </c>
      <c r="BF360" s="2" t="n">
        <f aca="false">BD360/(Entrées!$C$151/100)-BC360</f>
        <v>3284.68431807248</v>
      </c>
      <c r="BG360" s="2" t="n">
        <f aca="false">MIN(AV360,BF360)</f>
        <v>1164.79294300994</v>
      </c>
      <c r="BH360" s="2" t="n">
        <f aca="false">IF(AC360&gt;Hypothèses!$J$26,MAX(0,BG360)/(1-Hypothèses!$J$26/AC360),0)</f>
        <v>1724.83019803378</v>
      </c>
    </row>
    <row r="361" customFormat="false" ht="15" hidden="false" customHeight="false" outlineLevel="0" collapsed="false">
      <c r="A361" s="2" t="n">
        <v>346</v>
      </c>
      <c r="B361" s="2" t="n">
        <v>0.841090764</v>
      </c>
      <c r="C361" s="2"/>
      <c r="D361" s="2" t="n">
        <v>0.667770306</v>
      </c>
      <c r="E361" s="2" t="n">
        <f aca="false">IF(E$7=E$5,E$6,IF(NORMSDIST(E$9*SQRT($C$11)*NORMSINV($B361)+SQRT(1-E$9^2*$C$11)*NORMSINV(D361))&lt;E$8,E$5+SQRT(NORMSDIST(E$9*SQRT($C$11)*NORMSINV($B361)+SQRT(1-E$9^2*$C$11)*NORMSINV(D361))*(E$7-E$5)*(E$6-E$5)),E$7-SQRT((1-NORMSDIST(E$9*SQRT($C$11)*NORMSINV($B361)+SQRT(1-E$9^2*$C$11)*NORMSINV(D361)))*(E$7-E$5)*(E$7-E$6))))</f>
        <v>0.0571140342468885</v>
      </c>
      <c r="F361" s="2" t="n">
        <v>0.826628626</v>
      </c>
      <c r="G361" s="2" t="n">
        <f aca="false">IF(G$7=G$5,G$6,IF(NORMSDIST(G$9*SQRT($C$11)*NORMSINV($B361)+SQRT(1-G$9^2*$C$11)*NORMSINV(F361))&lt;G$8,G$5+SQRT(NORMSDIST(G$9*SQRT($C$11)*NORMSINV($B361)+SQRT(1-G$9^2*$C$11)*NORMSINV(F361))*(G$7-G$5)*(G$6-G$5)),G$7-SQRT((1-NORMSDIST(G$9*SQRT($C$11)*NORMSINV($B361)+SQRT(1-G$9^2*$C$11)*NORMSINV(F361)))*(G$7-G$5)*(G$7-G$6))))</f>
        <v>0.0637496496756796</v>
      </c>
      <c r="H361" s="2" t="n">
        <v>0.67074053</v>
      </c>
      <c r="I361" s="2" t="n">
        <f aca="false">IF(I$7=I$5,I$6,IF(NORMSDIST(I$9*SQRT($C$11)*NORMSINV($B361)+SQRT(1-I$9^2*$C$11)*NORMSINV(H361))&lt;I$8,I$5+SQRT(NORMSDIST(I$9*SQRT($C$11)*NORMSINV($B361)+SQRT(1-I$9^2*$C$11)*NORMSINV(H361))*(I$7-I$5)*(I$6-I$5)),I$7-SQRT((1-NORMSDIST(I$9*SQRT($C$11)*NORMSINV($B361)+SQRT(1-I$9^2*$C$11)*NORMSINV(H361)))*(I$7-I$5)*(I$7-I$6))))</f>
        <v>208.511030722445</v>
      </c>
      <c r="J361" s="2" t="n">
        <v>0.447097887</v>
      </c>
      <c r="K361" s="2" t="n">
        <f aca="false">IF(K$7=K$5,K$6,IF(NORMSDIST(K$9*SQRT($C$11)*NORMSINV($B361)+SQRT(1-K$9^2*$C$11)*NORMSINV(J361))&lt;K$8,K$5+SQRT(NORMSDIST(K$9*SQRT($C$11)*NORMSINV($B361)+SQRT(1-K$9^2*$C$11)*NORMSINV(J361))*(K$7-K$5)*(K$6-K$5)),K$7-SQRT((1-NORMSDIST(K$9*SQRT($C$11)*NORMSINV($B361)+SQRT(1-K$9^2*$C$11)*NORMSINV(J361)))*(K$7-K$5)*(K$7-K$6))))</f>
        <v>0.30684156145615</v>
      </c>
      <c r="L361" s="2" t="n">
        <v>0.54156661</v>
      </c>
      <c r="M361" s="2" t="n">
        <f aca="false">IF(M$7=M$5,M$6,IF(NORMSDIST(M$9*SQRT($C$11)*NORMSINV($B361)+SQRT(1-M$9^2*$C$11)*NORMSINV(L361))&lt;M$8,M$5+SQRT(NORMSDIST(M$9*SQRT($C$11)*NORMSINV($B361)+SQRT(1-M$9^2*$C$11)*NORMSINV(L361))*(M$7-M$5)*(M$6-M$5)),M$7-SQRT((1-NORMSDIST(M$9*SQRT($C$11)*NORMSINV($B361)+SQRT(1-M$9^2*$C$11)*NORMSINV(L361)))*(M$7-M$5)*(M$7-M$6))))</f>
        <v>1654.24248313268</v>
      </c>
      <c r="N361" s="2" t="n">
        <v>0.395392831</v>
      </c>
      <c r="O361" s="2" t="n">
        <f aca="false">IF(O$7=O$5,O$6,IF(NORMSDIST(O$9*SQRT($C$11)*NORMSINV($B361)+SQRT(1-O$9^2*$C$11)*NORMSINV(N361))&lt;O$8,O$5+SQRT(NORMSDIST(O$9*SQRT($C$11)*NORMSINV($B361)+SQRT(1-O$9^2*$C$11)*NORMSINV(N361))*(O$7-O$5)*(O$6-O$5)),O$7-SQRT((1-NORMSDIST(O$9*SQRT($C$11)*NORMSINV($B361)+SQRT(1-O$9^2*$C$11)*NORMSINV(N361)))*(O$7-O$5)*(O$7-O$6))))</f>
        <v>0.171111449159437</v>
      </c>
      <c r="P361" s="2" t="n">
        <v>0.947615316</v>
      </c>
      <c r="Q361" s="2" t="n">
        <f aca="false">IF(Q$7=Q$5,Q$6,IF(NORMSDIST(Q$9*SQRT($C$11)*NORMSINV($B361)+SQRT(1-Q$9^2*$C$11)*NORMSINV(P361))&lt;Q$8,Q$5+SQRT(NORMSDIST(Q$9*SQRT($C$11)*NORMSINV($B361)+SQRT(1-Q$9^2*$C$11)*NORMSINV(P361))*(Q$7-Q$5)*(Q$6-Q$5)),Q$7-SQRT((1-NORMSDIST(Q$9*SQRT($C$11)*NORMSINV($B361)+SQRT(1-Q$9^2*$C$11)*NORMSINV(P361)))*(Q$7-Q$5)*(Q$7-Q$6))))</f>
        <v>0.107052761344596</v>
      </c>
      <c r="R361" s="2" t="n">
        <v>0.468347882</v>
      </c>
      <c r="S361" s="2" t="n">
        <f aca="false">IF(S$7=S$5,S$6,IF(NORMSDIST(S$9*SQRT($C$11)*NORMSINV($B361)+SQRT(1-S$9^2*$C$11)*NORMSINV(R361))&lt;S$8,S$5+SQRT(NORMSDIST(S$9*SQRT($C$11)*NORMSINV($B361)+SQRT(1-S$9^2*$C$11)*NORMSINV(R361))*(S$7-S$5)*(S$6-S$5)),S$7-SQRT((1-NORMSDIST(S$9*SQRT($C$11)*NORMSINV($B361)+SQRT(1-S$9^2*$C$11)*NORMSINV(R361)))*(S$7-S$5)*(S$7-S$6))))</f>
        <v>0.623007288954359</v>
      </c>
      <c r="T361" s="2" t="n">
        <v>0.155426297</v>
      </c>
      <c r="U361" s="2" t="n">
        <f aca="false">IF(U$7=U$5,U$6,IF(NORMSDIST(U$9*SQRT($C$11)*NORMSINV($B361)+SQRT(1-U$9^2*$C$11)*NORMSINV(T361))&lt;U$8,U$5+SQRT(NORMSDIST(U$9*SQRT($C$11)*NORMSINV($B361)+SQRT(1-U$9^2*$C$11)*NORMSINV(T361))*(U$7-U$5)*(U$6-U$5)),U$7-SQRT((1-NORMSDIST(U$9*SQRT($C$11)*NORMSINV($B361)+SQRT(1-U$9^2*$C$11)*NORMSINV(T361)))*(U$7-U$5)*(U$7-U$6))))</f>
        <v>0.468570118043921</v>
      </c>
      <c r="V361" s="2" t="n">
        <v>0.112037457</v>
      </c>
      <c r="W361" s="2" t="n">
        <f aca="false">IF(W$7=W$5,W$6,IF(NORMSDIST(W$9*SQRT($C$11)*NORMSINV($B361)+SQRT(1-W$9^2*$C$11)*NORMSINV(V361))&lt;W$8,W$5+SQRT(NORMSDIST(W$9*SQRT($C$11)*NORMSINV($B361)+SQRT(1-W$9^2*$C$11)*NORMSINV(V361))*(W$7-W$5)*(W$6-W$5)),W$7-SQRT((1-NORMSDIST(W$9*SQRT($C$11)*NORMSINV($B361)+SQRT(1-W$9^2*$C$11)*NORMSINV(V361)))*(W$7-W$5)*(W$7-W$6))))</f>
        <v>9.73966746594359</v>
      </c>
      <c r="X361" s="2" t="n">
        <v>0.831348189</v>
      </c>
      <c r="Y361" s="2" t="n">
        <f aca="false">IF(Y$7=Y$5,Y$6,IF(NORMSDIST(Y$9*SQRT($C$11)*NORMSINV($B361)+SQRT(1-Y$9^2*$C$11)*NORMSINV(X361))&lt;Y$8,Y$5+SQRT(NORMSDIST(Y$9*SQRT($C$11)*NORMSINV($B361)+SQRT(1-Y$9^2*$C$11)*NORMSINV(X361))*(Y$7-Y$5)*(Y$6-Y$5)),Y$7-SQRT((1-NORMSDIST(Y$9*SQRT($C$11)*NORMSINV($B361)+SQRT(1-Y$9^2*$C$11)*NORMSINV(X361)))*(Y$7-Y$5)*(Y$7-Y$6))))</f>
        <v>0.709610768966892</v>
      </c>
      <c r="Z361" s="2" t="n">
        <v>0.363315264</v>
      </c>
      <c r="AA361" s="2" t="n">
        <f aca="false">IF(AA$7=AA$5,AA$6,IF(NORMSDIST(AA$9*SQRT($C$11)*NORMSINV($B361)+SQRT(1-AA$9^2*$C$11)*NORMSINV(Z361))&lt;AA$8,AA$5+SQRT(NORMSDIST(AA$9*SQRT($C$11)*NORMSINV($B361)+SQRT(1-AA$9^2*$C$11)*NORMSINV(Z361))*(AA$7-AA$5)*(AA$6-AA$5)),AA$7-SQRT((1-NORMSDIST(AA$9*SQRT($C$11)*NORMSINV($B361)+SQRT(1-AA$9^2*$C$11)*NORMSINV(Z361)))*(AA$7-AA$5)*(AA$7-AA$6))))</f>
        <v>0.732386762790777</v>
      </c>
      <c r="AB361" s="2" t="n">
        <v>0.3143576</v>
      </c>
      <c r="AC361" s="2" t="n">
        <f aca="false">IF(AC$7=AC$5,AC$6,IF(NORMSDIST(AC$9*SQRT($C$11)*NORMSINV($B361)+SQRT(1-AC$9^2*$C$11)*NORMSINV(AB361))&lt;AC$8,AC$5+SQRT(NORMSDIST(AC$9*SQRT($C$11)*NORMSINV($B361)+SQRT(1-AC$9^2*$C$11)*NORMSINV(AB361))*(AC$7-AC$5)*(AC$6-AC$5)),AC$7-SQRT((1-NORMSDIST(AC$9*SQRT($C$11)*NORMSINV($B361)+SQRT(1-AC$9^2*$C$11)*NORMSINV(AB361)))*(AC$7-AC$5)*(AC$7-AC$6))))</f>
        <v>9.67969520390895</v>
      </c>
      <c r="AD361" s="2" t="n">
        <f aca="false">Entrées!$C$8*(1+E361)</f>
        <v>7452.65394144056</v>
      </c>
      <c r="AE361" s="2" t="n">
        <f aca="false">I361*Hypothèses!$J$24/12/Hypothèses!$J$19</f>
        <v>103.441654975889</v>
      </c>
      <c r="AF361" s="2" t="n">
        <f aca="false">Entrées!$C$36*S361*1000</f>
        <v>311.50364447718</v>
      </c>
      <c r="AG361" s="2" t="n">
        <f aca="false">-AF361/W361</f>
        <v>-31.9829856169531</v>
      </c>
      <c r="AH361" s="2" t="n">
        <f aca="false">AD361+AE361+AG361</f>
        <v>7524.1126107995</v>
      </c>
      <c r="AI361" s="2" t="n">
        <f aca="false">Entrées!$C$16-M361+Hypothèses!$J$22*1000-AF361+Hypothèses!$J$23</f>
        <v>22582.2538723901</v>
      </c>
      <c r="AJ361" s="2" t="n">
        <f aca="false">AI361/AH361</f>
        <v>3.00131790159246</v>
      </c>
      <c r="AK361" s="2" t="n">
        <f aca="false">AI361/(AH361+I361*(12-Hypothèses!$J$24)/12/Hypothèses!$J$19)</f>
        <v>2.97213152632592</v>
      </c>
      <c r="AL361" s="2" t="n">
        <f aca="false">(AD361+AG361+I361/Hypothèses!$J$19)*(1+G361)</f>
        <v>8082.36931403153</v>
      </c>
      <c r="AM361" s="2" t="n">
        <f aca="false">Entrées!$C$54*K361/Hypothèses!$J$19</f>
        <v>31.3144696910619</v>
      </c>
      <c r="AN361" s="2" t="n">
        <f aca="false">Y361*1000/AC361</f>
        <v>73.3092059221379</v>
      </c>
      <c r="AO361" s="2" t="n">
        <f aca="false">(Entrées!$C$36*(1-S361)+MAX(0,Entrées!$C$30-Entrées!$C$35-Entrées!$C$36)*U361)*1000</f>
        <v>844.49452078431</v>
      </c>
      <c r="AP361" s="2" t="n">
        <f aca="false">-AO361/W361</f>
        <v>-86.7067098273355</v>
      </c>
      <c r="AQ361" s="2" t="n">
        <f aca="false">AL361+AM361+AN361+AP361</f>
        <v>8100.28627981739</v>
      </c>
      <c r="AR361" s="2" t="n">
        <f aca="false">O361*AQ361-Hypothèses!$J$25/Hypothèses!$J$19</f>
        <v>1366.91656168424</v>
      </c>
      <c r="AS361" s="2" t="n">
        <f aca="false">Entrées!$C$79*(1+Q361)+Hypothèses!$J$20</f>
        <v>1511.65098471771</v>
      </c>
      <c r="AT361" s="2" t="n">
        <f aca="false">AI361-AR361+AS361+Y361*1000-AO361+Hypothèses!$J$23</f>
        <v>22592.1045436062</v>
      </c>
      <c r="AU361" s="2" t="n">
        <f aca="false">AT361/AQ361</f>
        <v>2.78905013516578</v>
      </c>
      <c r="AV361" s="2" t="n">
        <f aca="false">Hypothèses!$J$26*AQ361-AT361</f>
        <v>1708.75429584599</v>
      </c>
      <c r="AW361" s="2" t="n">
        <f aca="false">IF(AC361&gt;Hypothèses!$J$26,MAX(0,AV361)/(1-Hypothèses!$J$26/AC361),0)</f>
        <v>2476.1939365856</v>
      </c>
      <c r="AX361" s="2" t="n">
        <f aca="false">AQ361-Entrées!$C$17*1000</f>
        <v>100.286279817393</v>
      </c>
      <c r="AY361" s="2" t="n">
        <f aca="false">AI361+(Entrées!$C$244-Entrées!$C$13)</f>
        <v>28329.2538723901</v>
      </c>
      <c r="AZ361" s="2" t="n">
        <f aca="false">AA361*AH361</f>
        <v>5510.56047789671</v>
      </c>
      <c r="BA361" s="2" t="n">
        <f aca="false">AZ361/AY361</f>
        <v>0.194518376753556</v>
      </c>
      <c r="BB361" s="2" t="n">
        <f aca="false">AZ361/(Entrées!$C$151/100)-AY361</f>
        <v>2284.97100481379</v>
      </c>
      <c r="BC361" s="2" t="n">
        <f aca="false">AT361+(Entrées!$C$244-Entrées!$C$13)</f>
        <v>28339.1045436062</v>
      </c>
      <c r="BD361" s="2" t="n">
        <f aca="false">AA361*AQ361</f>
        <v>5932.54244615401</v>
      </c>
      <c r="BE361" s="2" t="n">
        <f aca="false">BD361/BC361</f>
        <v>0.209341210376829</v>
      </c>
      <c r="BF361" s="2" t="n">
        <f aca="false">BD361/(Entrées!$C$151/100)-BC361</f>
        <v>4619.46460169384</v>
      </c>
      <c r="BG361" s="2" t="n">
        <f aca="false">MIN(AV361,BF361)</f>
        <v>1708.75429584599</v>
      </c>
      <c r="BH361" s="2" t="n">
        <f aca="false">IF(AC361&gt;Hypothèses!$J$26,MAX(0,BG361)/(1-Hypothèses!$J$26/AC361),0)</f>
        <v>2476.1939365856</v>
      </c>
    </row>
    <row r="362" customFormat="false" ht="15" hidden="false" customHeight="false" outlineLevel="0" collapsed="false">
      <c r="A362" s="2" t="n">
        <v>347</v>
      </c>
      <c r="B362" s="2" t="n">
        <v>0.797577766</v>
      </c>
      <c r="C362" s="2"/>
      <c r="D362" s="2" t="n">
        <v>0.323943949</v>
      </c>
      <c r="E362" s="2" t="n">
        <f aca="false">IF(E$7=E$5,E$6,IF(NORMSDIST(E$9*SQRT($C$11)*NORMSINV($B362)+SQRT(1-E$9^2*$C$11)*NORMSINV(D362))&lt;E$8,E$5+SQRT(NORMSDIST(E$9*SQRT($C$11)*NORMSINV($B362)+SQRT(1-E$9^2*$C$11)*NORMSINV(D362))*(E$7-E$5)*(E$6-E$5)),E$7-SQRT((1-NORMSDIST(E$9*SQRT($C$11)*NORMSINV($B362)+SQRT(1-E$9^2*$C$11)*NORMSINV(D362)))*(E$7-E$5)*(E$7-E$6))))</f>
        <v>0.0553562151064863</v>
      </c>
      <c r="F362" s="2" t="n">
        <v>0.037684569</v>
      </c>
      <c r="G362" s="2" t="n">
        <f aca="false">IF(G$7=G$5,G$6,IF(NORMSDIST(G$9*SQRT($C$11)*NORMSINV($B362)+SQRT(1-G$9^2*$C$11)*NORMSINV(F362))&lt;G$8,G$5+SQRT(NORMSDIST(G$9*SQRT($C$11)*NORMSINV($B362)+SQRT(1-G$9^2*$C$11)*NORMSINV(F362))*(G$7-G$5)*(G$6-G$5)),G$7-SQRT((1-NORMSDIST(G$9*SQRT($C$11)*NORMSINV($B362)+SQRT(1-G$9^2*$C$11)*NORMSINV(F362)))*(G$7-G$5)*(G$7-G$6))))</f>
        <v>0.049427512786796</v>
      </c>
      <c r="H362" s="2" t="n">
        <v>0.090356609</v>
      </c>
      <c r="I362" s="2" t="n">
        <f aca="false">IF(I$7=I$5,I$6,IF(NORMSDIST(I$9*SQRT($C$11)*NORMSINV($B362)+SQRT(1-I$9^2*$C$11)*NORMSINV(H362))&lt;I$8,I$5+SQRT(NORMSDIST(I$9*SQRT($C$11)*NORMSINV($B362)+SQRT(1-I$9^2*$C$11)*NORMSINV(H362))*(I$7-I$5)*(I$6-I$5)),I$7-SQRT((1-NORMSDIST(I$9*SQRT($C$11)*NORMSINV($B362)+SQRT(1-I$9^2*$C$11)*NORMSINV(H362)))*(I$7-I$5)*(I$7-I$6))))</f>
        <v>195.621067468492</v>
      </c>
      <c r="J362" s="2" t="n">
        <v>0.89201467</v>
      </c>
      <c r="K362" s="2" t="n">
        <f aca="false">IF(K$7=K$5,K$6,IF(NORMSDIST(K$9*SQRT($C$11)*NORMSINV($B362)+SQRT(1-K$9^2*$C$11)*NORMSINV(J362))&lt;K$8,K$5+SQRT(NORMSDIST(K$9*SQRT($C$11)*NORMSINV($B362)+SQRT(1-K$9^2*$C$11)*NORMSINV(J362))*(K$7-K$5)*(K$6-K$5)),K$7-SQRT((1-NORMSDIST(K$9*SQRT($C$11)*NORMSINV($B362)+SQRT(1-K$9^2*$C$11)*NORMSINV(J362)))*(K$7-K$5)*(K$7-K$6))))</f>
        <v>0.40730549381791</v>
      </c>
      <c r="L362" s="2" t="n">
        <v>0.723216861</v>
      </c>
      <c r="M362" s="2" t="n">
        <f aca="false">IF(M$7=M$5,M$6,IF(NORMSDIST(M$9*SQRT($C$11)*NORMSINV($B362)+SQRT(1-M$9^2*$C$11)*NORMSINV(L362))&lt;M$8,M$5+SQRT(NORMSDIST(M$9*SQRT($C$11)*NORMSINV($B362)+SQRT(1-M$9^2*$C$11)*NORMSINV(L362))*(M$7-M$5)*(M$6-M$5)),M$7-SQRT((1-NORMSDIST(M$9*SQRT($C$11)*NORMSINV($B362)+SQRT(1-M$9^2*$C$11)*NORMSINV(L362)))*(M$7-M$5)*(M$7-M$6))))</f>
        <v>1678.2894876828</v>
      </c>
      <c r="N362" s="2" t="n">
        <v>0.943535035</v>
      </c>
      <c r="O362" s="2" t="n">
        <f aca="false">IF(O$7=O$5,O$6,IF(NORMSDIST(O$9*SQRT($C$11)*NORMSINV($B362)+SQRT(1-O$9^2*$C$11)*NORMSINV(N362))&lt;O$8,O$5+SQRT(NORMSDIST(O$9*SQRT($C$11)*NORMSINV($B362)+SQRT(1-O$9^2*$C$11)*NORMSINV(N362))*(O$7-O$5)*(O$6-O$5)),O$7-SQRT((1-NORMSDIST(O$9*SQRT($C$11)*NORMSINV($B362)+SQRT(1-O$9^2*$C$11)*NORMSINV(N362)))*(O$7-O$5)*(O$7-O$6))))</f>
        <v>0.18350072902045</v>
      </c>
      <c r="P362" s="2" t="n">
        <v>0.49473335</v>
      </c>
      <c r="Q362" s="2" t="n">
        <f aca="false">IF(Q$7=Q$5,Q$6,IF(NORMSDIST(Q$9*SQRT($C$11)*NORMSINV($B362)+SQRT(1-Q$9^2*$C$11)*NORMSINV(P362))&lt;Q$8,Q$5+SQRT(NORMSDIST(Q$9*SQRT($C$11)*NORMSINV($B362)+SQRT(1-Q$9^2*$C$11)*NORMSINV(P362))*(Q$7-Q$5)*(Q$6-Q$5)),Q$7-SQRT((1-NORMSDIST(Q$9*SQRT($C$11)*NORMSINV($B362)+SQRT(1-Q$9^2*$C$11)*NORMSINV(P362)))*(Q$7-Q$5)*(Q$7-Q$6))))</f>
        <v>0.0797887763068934</v>
      </c>
      <c r="R362" s="2" t="n">
        <v>0.642124874</v>
      </c>
      <c r="S362" s="2" t="n">
        <f aca="false">IF(S$7=S$5,S$6,IF(NORMSDIST(S$9*SQRT($C$11)*NORMSINV($B362)+SQRT(1-S$9^2*$C$11)*NORMSINV(R362))&lt;S$8,S$5+SQRT(NORMSDIST(S$9*SQRT($C$11)*NORMSINV($B362)+SQRT(1-S$9^2*$C$11)*NORMSINV(R362))*(S$7-S$5)*(S$6-S$5)),S$7-SQRT((1-NORMSDIST(S$9*SQRT($C$11)*NORMSINV($B362)+SQRT(1-S$9^2*$C$11)*NORMSINV(R362)))*(S$7-S$5)*(S$7-S$6))))</f>
        <v>0.676514198423666</v>
      </c>
      <c r="T362" s="2" t="n">
        <v>0.20785731</v>
      </c>
      <c r="U362" s="2" t="n">
        <f aca="false">IF(U$7=U$5,U$6,IF(NORMSDIST(U$9*SQRT($C$11)*NORMSINV($B362)+SQRT(1-U$9^2*$C$11)*NORMSINV(T362))&lt;U$8,U$5+SQRT(NORMSDIST(U$9*SQRT($C$11)*NORMSINV($B362)+SQRT(1-U$9^2*$C$11)*NORMSINV(T362))*(U$7-U$5)*(U$6-U$5)),U$7-SQRT((1-NORMSDIST(U$9*SQRT($C$11)*NORMSINV($B362)+SQRT(1-U$9^2*$C$11)*NORMSINV(T362)))*(U$7-U$5)*(U$7-U$6))))</f>
        <v>0.478929363806794</v>
      </c>
      <c r="V362" s="2" t="n">
        <v>0.196949475</v>
      </c>
      <c r="W362" s="2" t="n">
        <f aca="false">IF(W$7=W$5,W$6,IF(NORMSDIST(W$9*SQRT($C$11)*NORMSINV($B362)+SQRT(1-W$9^2*$C$11)*NORMSINV(V362))&lt;W$8,W$5+SQRT(NORMSDIST(W$9*SQRT($C$11)*NORMSINV($B362)+SQRT(1-W$9^2*$C$11)*NORMSINV(V362))*(W$7-W$5)*(W$6-W$5)),W$7-SQRT((1-NORMSDIST(W$9*SQRT($C$11)*NORMSINV($B362)+SQRT(1-W$9^2*$C$11)*NORMSINV(V362)))*(W$7-W$5)*(W$7-W$6))))</f>
        <v>9.89076714069549</v>
      </c>
      <c r="X362" s="2" t="n">
        <v>0.821176848</v>
      </c>
      <c r="Y362" s="2" t="n">
        <f aca="false">IF(Y$7=Y$5,Y$6,IF(NORMSDIST(Y$9*SQRT($C$11)*NORMSINV($B362)+SQRT(1-Y$9^2*$C$11)*NORMSINV(X362))&lt;Y$8,Y$5+SQRT(NORMSDIST(Y$9*SQRT($C$11)*NORMSINV($B362)+SQRT(1-Y$9^2*$C$11)*NORMSINV(X362))*(Y$7-Y$5)*(Y$6-Y$5)),Y$7-SQRT((1-NORMSDIST(Y$9*SQRT($C$11)*NORMSINV($B362)+SQRT(1-Y$9^2*$C$11)*NORMSINV(X362)))*(Y$7-Y$5)*(Y$7-Y$6))))</f>
        <v>0.700982314904285</v>
      </c>
      <c r="Z362" s="2" t="n">
        <v>0.188876289</v>
      </c>
      <c r="AA362" s="2" t="n">
        <f aca="false">IF(AA$7=AA$5,AA$6,IF(NORMSDIST(AA$9*SQRT($C$11)*NORMSINV($B362)+SQRT(1-AA$9^2*$C$11)*NORMSINV(Z362))&lt;AA$8,AA$5+SQRT(NORMSDIST(AA$9*SQRT($C$11)*NORMSINV($B362)+SQRT(1-AA$9^2*$C$11)*NORMSINV(Z362))*(AA$7-AA$5)*(AA$6-AA$5)),AA$7-SQRT((1-NORMSDIST(AA$9*SQRT($C$11)*NORMSINV($B362)+SQRT(1-AA$9^2*$C$11)*NORMSINV(Z362)))*(AA$7-AA$5)*(AA$7-AA$6))))</f>
        <v>0.725949994182915</v>
      </c>
      <c r="AB362" s="2" t="n">
        <v>0.830843657</v>
      </c>
      <c r="AC362" s="2" t="n">
        <f aca="false">IF(AC$7=AC$5,AC$6,IF(NORMSDIST(AC$9*SQRT($C$11)*NORMSINV($B362)+SQRT(1-AC$9^2*$C$11)*NORMSINV(AB362))&lt;AC$8,AC$5+SQRT(NORMSDIST(AC$9*SQRT($C$11)*NORMSINV($B362)+SQRT(1-AC$9^2*$C$11)*NORMSINV(AB362))*(AC$7-AC$5)*(AC$6-AC$5)),AC$7-SQRT((1-NORMSDIST(AC$9*SQRT($C$11)*NORMSINV($B362)+SQRT(1-AC$9^2*$C$11)*NORMSINV(AB362)))*(AC$7-AC$5)*(AC$7-AC$6))))</f>
        <v>10.335194735279</v>
      </c>
      <c r="AD362" s="2" t="n">
        <f aca="false">Entrées!$C$8*(1+E362)</f>
        <v>7440.26131650073</v>
      </c>
      <c r="AE362" s="2" t="n">
        <f aca="false">I362*Hypothèses!$J$24/12/Hypothèses!$J$19</f>
        <v>97.0469854615351</v>
      </c>
      <c r="AF362" s="2" t="n">
        <f aca="false">Entrées!$C$36*S362*1000</f>
        <v>338.257099211833</v>
      </c>
      <c r="AG362" s="2" t="n">
        <f aca="false">-AF362/W362</f>
        <v>-34.1992784179577</v>
      </c>
      <c r="AH362" s="2" t="n">
        <f aca="false">AD362+AE362+AG362</f>
        <v>7503.10902354431</v>
      </c>
      <c r="AI362" s="2" t="n">
        <f aca="false">Entrées!$C$16-M362+Hypothèses!$J$22*1000-AF362+Hypothèses!$J$23</f>
        <v>22531.4534131054</v>
      </c>
      <c r="AJ362" s="2" t="n">
        <f aca="false">AI362/AH362</f>
        <v>3.00294895654628</v>
      </c>
      <c r="AK362" s="2" t="n">
        <f aca="false">AI362/(AH362+I362*(12-Hypothèses!$J$24)/12/Hypothèses!$J$19)</f>
        <v>2.97545945947825</v>
      </c>
      <c r="AL362" s="2" t="n">
        <f aca="false">(AD362+AG362+I362/Hypothèses!$J$19)*(1+G362)</f>
        <v>7946.71459544366</v>
      </c>
      <c r="AM362" s="2" t="n">
        <f aca="false">Entrées!$C$54*K362/Hypothèses!$J$19</f>
        <v>41.5672358093728</v>
      </c>
      <c r="AN362" s="2" t="n">
        <f aca="false">Y362*1000/AC362</f>
        <v>67.8247805541095</v>
      </c>
      <c r="AO362" s="2" t="n">
        <f aca="false">(Entrées!$C$36*(1-S362)+MAX(0,Entrées!$C$30-Entrées!$C$35-Entrées!$C$36)*U362)*1000</f>
        <v>832.244010117678</v>
      </c>
      <c r="AP362" s="2" t="n">
        <f aca="false">-AO362/W362</f>
        <v>-84.1435247922698</v>
      </c>
      <c r="AQ362" s="2" t="n">
        <f aca="false">AL362+AM362+AN362+AP362</f>
        <v>7971.96308701488</v>
      </c>
      <c r="AR362" s="2" t="n">
        <f aca="false">O362*AQ362-Hypothèses!$J$25/Hypothèses!$J$19</f>
        <v>1443.72587592972</v>
      </c>
      <c r="AS362" s="2" t="n">
        <f aca="false">Entrées!$C$79*(1+Q362)+Hypothèses!$J$20</f>
        <v>1481.68786516128</v>
      </c>
      <c r="AT362" s="2" t="n">
        <f aca="false">AI362-AR362+AS362+Y362*1000-AO362+Hypothèses!$J$23</f>
        <v>22438.1537071235</v>
      </c>
      <c r="AU362" s="2" t="n">
        <f aca="false">AT362/AQ362</f>
        <v>2.81463341741658</v>
      </c>
      <c r="AV362" s="2" t="n">
        <f aca="false">Hypothèses!$J$26*AQ362-AT362</f>
        <v>1477.7355539211</v>
      </c>
      <c r="AW362" s="2" t="n">
        <f aca="false">IF(AC362&gt;Hypothèses!$J$26,MAX(0,AV362)/(1-Hypothèses!$J$26/AC362),0)</f>
        <v>2082.11032810966</v>
      </c>
      <c r="AX362" s="2" t="n">
        <f aca="false">AQ362-Entrées!$C$17*1000</f>
        <v>-28.0369129851242</v>
      </c>
      <c r="AY362" s="2" t="n">
        <f aca="false">AI362+(Entrées!$C$244-Entrées!$C$13)</f>
        <v>28278.4534131054</v>
      </c>
      <c r="AZ362" s="2" t="n">
        <f aca="false">AA362*AH362</f>
        <v>5446.88195199577</v>
      </c>
      <c r="BA362" s="2" t="n">
        <f aca="false">AZ362/AY362</f>
        <v>0.192615977699525</v>
      </c>
      <c r="BB362" s="2" t="n">
        <f aca="false">AZ362/(Entrées!$C$151/100)-AY362</f>
        <v>1982.00187576001</v>
      </c>
      <c r="BC362" s="2" t="n">
        <f aca="false">AT362+(Entrées!$C$244-Entrées!$C$13)</f>
        <v>28185.1537071235</v>
      </c>
      <c r="BD362" s="2" t="n">
        <f aca="false">AA362*AQ362</f>
        <v>5787.24655664486</v>
      </c>
      <c r="BE362" s="2" t="n">
        <f aca="false">BD362/BC362</f>
        <v>0.205329607806332</v>
      </c>
      <c r="BF362" s="2" t="n">
        <f aca="false">BD362/(Entrées!$C$151/100)-BC362</f>
        <v>3966.21605201461</v>
      </c>
      <c r="BG362" s="2" t="n">
        <f aca="false">MIN(AV362,BF362)</f>
        <v>1477.7355539211</v>
      </c>
      <c r="BH362" s="2" t="n">
        <f aca="false">IF(AC362&gt;Hypothèses!$J$26,MAX(0,BG362)/(1-Hypothèses!$J$26/AC362),0)</f>
        <v>2082.11032810966</v>
      </c>
    </row>
    <row r="363" customFormat="false" ht="15" hidden="false" customHeight="false" outlineLevel="0" collapsed="false">
      <c r="A363" s="2" t="n">
        <v>348</v>
      </c>
      <c r="B363" s="2" t="n">
        <v>0.180667195</v>
      </c>
      <c r="C363" s="2"/>
      <c r="D363" s="2" t="n">
        <v>0.259357435</v>
      </c>
      <c r="E363" s="2" t="n">
        <f aca="false">IF(E$7=E$5,E$6,IF(NORMSDIST(E$9*SQRT($C$11)*NORMSINV($B363)+SQRT(1-E$9^2*$C$11)*NORMSINV(D363))&lt;E$8,E$5+SQRT(NORMSDIST(E$9*SQRT($C$11)*NORMSINV($B363)+SQRT(1-E$9^2*$C$11)*NORMSINV(D363))*(E$7-E$5)*(E$6-E$5)),E$7-SQRT((1-NORMSDIST(E$9*SQRT($C$11)*NORMSINV($B363)+SQRT(1-E$9^2*$C$11)*NORMSINV(D363)))*(E$7-E$5)*(E$7-E$6))))</f>
        <v>0.0526523354792235</v>
      </c>
      <c r="F363" s="2" t="n">
        <v>0.227351785</v>
      </c>
      <c r="G363" s="2" t="n">
        <f aca="false">IF(G$7=G$5,G$6,IF(NORMSDIST(G$9*SQRT($C$11)*NORMSINV($B363)+SQRT(1-G$9^2*$C$11)*NORMSINV(F363))&lt;G$8,G$5+SQRT(NORMSDIST(G$9*SQRT($C$11)*NORMSINV($B363)+SQRT(1-G$9^2*$C$11)*NORMSINV(F363))*(G$7-G$5)*(G$6-G$5)),G$7-SQRT((1-NORMSDIST(G$9*SQRT($C$11)*NORMSINV($B363)+SQRT(1-G$9^2*$C$11)*NORMSINV(F363)))*(G$7-G$5)*(G$7-G$6))))</f>
        <v>0.0474626262906909</v>
      </c>
      <c r="H363" s="2" t="n">
        <v>0.157851623</v>
      </c>
      <c r="I363" s="2" t="n">
        <f aca="false">IF(I$7=I$5,I$6,IF(NORMSDIST(I$9*SQRT($C$11)*NORMSINV($B363)+SQRT(1-I$9^2*$C$11)*NORMSINV(H363))&lt;I$8,I$5+SQRT(NORMSDIST(I$9*SQRT($C$11)*NORMSINV($B363)+SQRT(1-I$9^2*$C$11)*NORMSINV(H363))*(I$7-I$5)*(I$6-I$5)),I$7-SQRT((1-NORMSDIST(I$9*SQRT($C$11)*NORMSINV($B363)+SQRT(1-I$9^2*$C$11)*NORMSINV(H363)))*(I$7-I$5)*(I$7-I$6))))</f>
        <v>188.380417848702</v>
      </c>
      <c r="J363" s="2" t="n">
        <v>0.732337745</v>
      </c>
      <c r="K363" s="2" t="n">
        <f aca="false">IF(K$7=K$5,K$6,IF(NORMSDIST(K$9*SQRT($C$11)*NORMSINV($B363)+SQRT(1-K$9^2*$C$11)*NORMSINV(J363))&lt;K$8,K$5+SQRT(NORMSDIST(K$9*SQRT($C$11)*NORMSINV($B363)+SQRT(1-K$9^2*$C$11)*NORMSINV(J363))*(K$7-K$5)*(K$6-K$5)),K$7-SQRT((1-NORMSDIST(K$9*SQRT($C$11)*NORMSINV($B363)+SQRT(1-K$9^2*$C$11)*NORMSINV(J363)))*(K$7-K$5)*(K$7-K$6))))</f>
        <v>0.24013111724708</v>
      </c>
      <c r="L363" s="2" t="n">
        <v>0.695092704</v>
      </c>
      <c r="M363" s="2" t="n">
        <f aca="false">IF(M$7=M$5,M$6,IF(NORMSDIST(M$9*SQRT($C$11)*NORMSINV($B363)+SQRT(1-M$9^2*$C$11)*NORMSINV(L363))&lt;M$8,M$5+SQRT(NORMSDIST(M$9*SQRT($C$11)*NORMSINV($B363)+SQRT(1-M$9^2*$C$11)*NORMSINV(L363))*(M$7-M$5)*(M$6-M$5)),M$7-SQRT((1-NORMSDIST(M$9*SQRT($C$11)*NORMSINV($B363)+SQRT(1-M$9^2*$C$11)*NORMSINV(L363)))*(M$7-M$5)*(M$7-M$6))))</f>
        <v>1564.18147409492</v>
      </c>
      <c r="N363" s="2" t="n">
        <v>0.005729506</v>
      </c>
      <c r="O363" s="2" t="n">
        <f aca="false">IF(O$7=O$5,O$6,IF(NORMSDIST(O$9*SQRT($C$11)*NORMSINV($B363)+SQRT(1-O$9^2*$C$11)*NORMSINV(N363))&lt;O$8,O$5+SQRT(NORMSDIST(O$9*SQRT($C$11)*NORMSINV($B363)+SQRT(1-O$9^2*$C$11)*NORMSINV(N363))*(O$7-O$5)*(O$6-O$5)),O$7-SQRT((1-NORMSDIST(O$9*SQRT($C$11)*NORMSINV($B363)+SQRT(1-O$9^2*$C$11)*NORMSINV(N363)))*(O$7-O$5)*(O$7-O$6))))</f>
        <v>0.142837031868755</v>
      </c>
      <c r="P363" s="2" t="n">
        <v>0.204870126</v>
      </c>
      <c r="Q363" s="2" t="n">
        <f aca="false">IF(Q$7=Q$5,Q$6,IF(NORMSDIST(Q$9*SQRT($C$11)*NORMSINV($B363)+SQRT(1-Q$9^2*$C$11)*NORMSINV(P363))&lt;Q$8,Q$5+SQRT(NORMSDIST(Q$9*SQRT($C$11)*NORMSINV($B363)+SQRT(1-Q$9^2*$C$11)*NORMSINV(P363))*(Q$7-Q$5)*(Q$6-Q$5)),Q$7-SQRT((1-NORMSDIST(Q$9*SQRT($C$11)*NORMSINV($B363)+SQRT(1-Q$9^2*$C$11)*NORMSINV(P363)))*(Q$7-Q$5)*(Q$7-Q$6))))</f>
        <v>0.0656043824998769</v>
      </c>
      <c r="R363" s="2" t="n">
        <v>0.011068694</v>
      </c>
      <c r="S363" s="2" t="n">
        <f aca="false">IF(S$7=S$5,S$6,IF(NORMSDIST(S$9*SQRT($C$11)*NORMSINV($B363)+SQRT(1-S$9^2*$C$11)*NORMSINV(R363))&lt;S$8,S$5+SQRT(NORMSDIST(S$9*SQRT($C$11)*NORMSINV($B363)+SQRT(1-S$9^2*$C$11)*NORMSINV(R363))*(S$7-S$5)*(S$6-S$5)),S$7-SQRT((1-NORMSDIST(S$9*SQRT($C$11)*NORMSINV($B363)+SQRT(1-S$9^2*$C$11)*NORMSINV(R363)))*(S$7-S$5)*(S$7-S$6))))</f>
        <v>0.0685448293155122</v>
      </c>
      <c r="T363" s="2" t="n">
        <v>0.521979257</v>
      </c>
      <c r="U363" s="2" t="n">
        <f aca="false">IF(U$7=U$5,U$6,IF(NORMSDIST(U$9*SQRT($C$11)*NORMSINV($B363)+SQRT(1-U$9^2*$C$11)*NORMSINV(T363))&lt;U$8,U$5+SQRT(NORMSDIST(U$9*SQRT($C$11)*NORMSINV($B363)+SQRT(1-U$9^2*$C$11)*NORMSINV(T363))*(U$7-U$5)*(U$6-U$5)),U$7-SQRT((1-NORMSDIST(U$9*SQRT($C$11)*NORMSINV($B363)+SQRT(1-U$9^2*$C$11)*NORMSINV(T363)))*(U$7-U$5)*(U$7-U$6))))</f>
        <v>0.385003130207741</v>
      </c>
      <c r="V363" s="2" t="n">
        <v>0.850079528</v>
      </c>
      <c r="W363" s="2" t="n">
        <f aca="false">IF(W$7=W$5,W$6,IF(NORMSDIST(W$9*SQRT($C$11)*NORMSINV($B363)+SQRT(1-W$9^2*$C$11)*NORMSINV(V363))&lt;W$8,W$5+SQRT(NORMSDIST(W$9*SQRT($C$11)*NORMSINV($B363)+SQRT(1-W$9^2*$C$11)*NORMSINV(V363))*(W$7-W$5)*(W$6-W$5)),W$7-SQRT((1-NORMSDIST(W$9*SQRT($C$11)*NORMSINV($B363)+SQRT(1-W$9^2*$C$11)*NORMSINV(V363)))*(W$7-W$5)*(W$7-W$6))))</f>
        <v>10.1873912869186</v>
      </c>
      <c r="X363" s="2" t="n">
        <v>0.33627345</v>
      </c>
      <c r="Y363" s="2" t="n">
        <f aca="false">IF(Y$7=Y$5,Y$6,IF(NORMSDIST(Y$9*SQRT($C$11)*NORMSINV($B363)+SQRT(1-Y$9^2*$C$11)*NORMSINV(X363))&lt;Y$8,Y$5+SQRT(NORMSDIST(Y$9*SQRT($C$11)*NORMSINV($B363)+SQRT(1-Y$9^2*$C$11)*NORMSINV(X363))*(Y$7-Y$5)*(Y$6-Y$5)),Y$7-SQRT((1-NORMSDIST(Y$9*SQRT($C$11)*NORMSINV($B363)+SQRT(1-Y$9^2*$C$11)*NORMSINV(X363)))*(Y$7-Y$5)*(Y$7-Y$6))))</f>
        <v>0.410044784139489</v>
      </c>
      <c r="Z363" s="2" t="n">
        <v>0.947178323</v>
      </c>
      <c r="AA363" s="2" t="n">
        <f aca="false">IF(AA$7=AA$5,AA$6,IF(NORMSDIST(AA$9*SQRT($C$11)*NORMSINV($B363)+SQRT(1-AA$9^2*$C$11)*NORMSINV(Z363))&lt;AA$8,AA$5+SQRT(NORMSDIST(AA$9*SQRT($C$11)*NORMSINV($B363)+SQRT(1-AA$9^2*$C$11)*NORMSINV(Z363))*(AA$7-AA$5)*(AA$6-AA$5)),AA$7-SQRT((1-NORMSDIST(AA$9*SQRT($C$11)*NORMSINV($B363)+SQRT(1-AA$9^2*$C$11)*NORMSINV(Z363)))*(AA$7-AA$5)*(AA$7-AA$6))))</f>
        <v>0.735961882053047</v>
      </c>
      <c r="AB363" s="2" t="n">
        <v>0.581880501</v>
      </c>
      <c r="AC363" s="2" t="n">
        <f aca="false">IF(AC$7=AC$5,AC$6,IF(NORMSDIST(AC$9*SQRT($C$11)*NORMSINV($B363)+SQRT(1-AC$9^2*$C$11)*NORMSINV(AB363))&lt;AC$8,AC$5+SQRT(NORMSDIST(AC$9*SQRT($C$11)*NORMSINV($B363)+SQRT(1-AC$9^2*$C$11)*NORMSINV(AB363))*(AC$7-AC$5)*(AC$6-AC$5)),AC$7-SQRT((1-NORMSDIST(AC$9*SQRT($C$11)*NORMSINV($B363)+SQRT(1-AC$9^2*$C$11)*NORMSINV(AB363)))*(AC$7-AC$5)*(AC$7-AC$6))))</f>
        <v>9.10956017727109</v>
      </c>
      <c r="AD363" s="2" t="n">
        <f aca="false">Entrées!$C$8*(1+E363)</f>
        <v>7421.19896512853</v>
      </c>
      <c r="AE363" s="2" t="n">
        <f aca="false">I363*Hypothèses!$J$24/12/Hypothèses!$J$19</f>
        <v>93.454922359758</v>
      </c>
      <c r="AF363" s="2" t="n">
        <f aca="false">Entrées!$C$36*S363*1000</f>
        <v>34.2724146577561</v>
      </c>
      <c r="AG363" s="2" t="n">
        <f aca="false">-AF363/W363</f>
        <v>-3.36419930210833</v>
      </c>
      <c r="AH363" s="2" t="n">
        <f aca="false">AD363+AE363+AG363</f>
        <v>7511.28968818617</v>
      </c>
      <c r="AI363" s="2" t="n">
        <f aca="false">Entrées!$C$16-M363+Hypothèses!$J$22*1000-AF363+Hypothèses!$J$23</f>
        <v>22949.5461112473</v>
      </c>
      <c r="AJ363" s="2" t="n">
        <f aca="false">AI363/AH363</f>
        <v>3.05534030292329</v>
      </c>
      <c r="AK363" s="2" t="n">
        <f aca="false">AI363/(AH363+I363*(12-Hypothèses!$J$24)/12/Hypothèses!$J$19)</f>
        <v>3.02842640150915</v>
      </c>
      <c r="AL363" s="2" t="n">
        <f aca="false">(AD363+AG363+I363/Hypothèses!$J$19)*(1+G363)</f>
        <v>7937.71703677107</v>
      </c>
      <c r="AM363" s="2" t="n">
        <f aca="false">Entrées!$C$54*K363/Hypothèses!$J$19</f>
        <v>24.5063887604715</v>
      </c>
      <c r="AN363" s="2" t="n">
        <f aca="false">Y363*1000/AC363</f>
        <v>45.0125775734569</v>
      </c>
      <c r="AO363" s="2" t="n">
        <f aca="false">(Entrées!$C$36*(1-S363)+MAX(0,Entrées!$C$30-Entrées!$C$35-Entrées!$C$36)*U363)*1000</f>
        <v>1004.73196763308</v>
      </c>
      <c r="AP363" s="2" t="n">
        <f aca="false">-AO363/W363</f>
        <v>-98.625049272745</v>
      </c>
      <c r="AQ363" s="2" t="n">
        <f aca="false">AL363+AM363+AN363+AP363</f>
        <v>7908.61095383225</v>
      </c>
      <c r="AR363" s="2" t="n">
        <f aca="false">O363*AQ363-Hypothèses!$J$25/Hypothèses!$J$19</f>
        <v>1110.50735258849</v>
      </c>
      <c r="AS363" s="2" t="n">
        <f aca="false">Entrées!$C$79*(1+Q363)+Hypothèses!$J$20</f>
        <v>1466.09921636736</v>
      </c>
      <c r="AT363" s="2" t="n">
        <f aca="false">AI363-AR363+AS363+Y363*1000-AO363+Hypothèses!$J$23</f>
        <v>22710.4507915326</v>
      </c>
      <c r="AU363" s="2" t="n">
        <f aca="false">AT363/AQ363</f>
        <v>2.87161056778598</v>
      </c>
      <c r="AV363" s="2" t="n">
        <f aca="false">Hypothèses!$J$26*AQ363-AT363</f>
        <v>1015.38206996414</v>
      </c>
      <c r="AW363" s="2" t="n">
        <f aca="false">IF(AC363&gt;Hypothèses!$J$26,MAX(0,AV363)/(1-Hypothèses!$J$26/AC363),0)</f>
        <v>1513.96889479397</v>
      </c>
      <c r="AX363" s="2" t="n">
        <f aca="false">AQ363-Entrées!$C$17*1000</f>
        <v>-91.389046167752</v>
      </c>
      <c r="AY363" s="2" t="n">
        <f aca="false">AI363+(Entrées!$C$244-Entrées!$C$13)</f>
        <v>28696.5461112473</v>
      </c>
      <c r="AZ363" s="2" t="n">
        <f aca="false">AA363*AH363</f>
        <v>5528.02289556314</v>
      </c>
      <c r="BA363" s="2" t="n">
        <f aca="false">AZ363/AY363</f>
        <v>0.192637221013733</v>
      </c>
      <c r="BB363" s="2" t="n">
        <f aca="false">AZ363/(Entrées!$C$151/100)-AY363</f>
        <v>2014.69219743679</v>
      </c>
      <c r="BC363" s="2" t="n">
        <f aca="false">AT363+(Entrées!$C$244-Entrées!$C$13)</f>
        <v>28457.4507915326</v>
      </c>
      <c r="BD363" s="2" t="n">
        <f aca="false">AA363*AQ363</f>
        <v>5820.43620200772</v>
      </c>
      <c r="BE363" s="2" t="n">
        <f aca="false">BD363/BC363</f>
        <v>0.204531187443521</v>
      </c>
      <c r="BF363" s="2" t="n">
        <f aca="false">BD363/(Entrées!$C$151/100)-BC363</f>
        <v>3878.30588628808</v>
      </c>
      <c r="BG363" s="2" t="n">
        <f aca="false">MIN(AV363,BF363)</f>
        <v>1015.38206996414</v>
      </c>
      <c r="BH363" s="2" t="n">
        <f aca="false">IF(AC363&gt;Hypothèses!$J$26,MAX(0,BG363)/(1-Hypothèses!$J$26/AC363),0)</f>
        <v>1513.96889479397</v>
      </c>
    </row>
    <row r="364" customFormat="false" ht="15" hidden="false" customHeight="false" outlineLevel="0" collapsed="false">
      <c r="A364" s="2" t="n">
        <v>349</v>
      </c>
      <c r="B364" s="2" t="n">
        <v>0.636138167</v>
      </c>
      <c r="C364" s="2"/>
      <c r="D364" s="2" t="n">
        <v>0.20760309</v>
      </c>
      <c r="E364" s="2" t="n">
        <f aca="false">IF(E$7=E$5,E$6,IF(NORMSDIST(E$9*SQRT($C$11)*NORMSINV($B364)+SQRT(1-E$9^2*$C$11)*NORMSINV(D364))&lt;E$8,E$5+SQRT(NORMSDIST(E$9*SQRT($C$11)*NORMSINV($B364)+SQRT(1-E$9^2*$C$11)*NORMSINV(D364))*(E$7-E$5)*(E$6-E$5)),E$7-SQRT((1-NORMSDIST(E$9*SQRT($C$11)*NORMSINV($B364)+SQRT(1-E$9^2*$C$11)*NORMSINV(D364)))*(E$7-E$5)*(E$7-E$6))))</f>
        <v>0.0541265281043844</v>
      </c>
      <c r="F364" s="2" t="n">
        <v>0.653715298</v>
      </c>
      <c r="G364" s="2" t="n">
        <f aca="false">IF(G$7=G$5,G$6,IF(NORMSDIST(G$9*SQRT($C$11)*NORMSINV($B364)+SQRT(1-G$9^2*$C$11)*NORMSINV(F364))&lt;G$8,G$5+SQRT(NORMSDIST(G$9*SQRT($C$11)*NORMSINV($B364)+SQRT(1-G$9^2*$C$11)*NORMSINV(F364))*(G$7-G$5)*(G$6-G$5)),G$7-SQRT((1-NORMSDIST(G$9*SQRT($C$11)*NORMSINV($B364)+SQRT(1-G$9^2*$C$11)*NORMSINV(F364)))*(G$7-G$5)*(G$7-G$6))))</f>
        <v>0.0583948190456673</v>
      </c>
      <c r="H364" s="2" t="n">
        <v>0.586914879</v>
      </c>
      <c r="I364" s="2" t="n">
        <f aca="false">IF(I$7=I$5,I$6,IF(NORMSDIST(I$9*SQRT($C$11)*NORMSINV($B364)+SQRT(1-I$9^2*$C$11)*NORMSINV(H364))&lt;I$8,I$5+SQRT(NORMSDIST(I$9*SQRT($C$11)*NORMSINV($B364)+SQRT(1-I$9^2*$C$11)*NORMSINV(H364))*(I$7-I$5)*(I$6-I$5)),I$7-SQRT((1-NORMSDIST(I$9*SQRT($C$11)*NORMSINV($B364)+SQRT(1-I$9^2*$C$11)*NORMSINV(H364)))*(I$7-I$5)*(I$7-I$6))))</f>
        <v>203.310962335576</v>
      </c>
      <c r="J364" s="2" t="n">
        <v>0.159994531</v>
      </c>
      <c r="K364" s="2" t="n">
        <f aca="false">IF(K$7=K$5,K$6,IF(NORMSDIST(K$9*SQRT($C$11)*NORMSINV($B364)+SQRT(1-K$9^2*$C$11)*NORMSINV(J364))&lt;K$8,K$5+SQRT(NORMSDIST(K$9*SQRT($C$11)*NORMSINV($B364)+SQRT(1-K$9^2*$C$11)*NORMSINV(J364))*(K$7-K$5)*(K$6-K$5)),K$7-SQRT((1-NORMSDIST(K$9*SQRT($C$11)*NORMSINV($B364)+SQRT(1-K$9^2*$C$11)*NORMSINV(J364)))*(K$7-K$5)*(K$7-K$6))))</f>
        <v>0.19076019380339</v>
      </c>
      <c r="L364" s="2" t="n">
        <v>0.670284907</v>
      </c>
      <c r="M364" s="2" t="n">
        <f aca="false">IF(M$7=M$5,M$6,IF(NORMSDIST(M$9*SQRT($C$11)*NORMSINV($B364)+SQRT(1-M$9^2*$C$11)*NORMSINV(L364))&lt;M$8,M$5+SQRT(NORMSDIST(M$9*SQRT($C$11)*NORMSINV($B364)+SQRT(1-M$9^2*$C$11)*NORMSINV(L364))*(M$7-M$5)*(M$6-M$5)),M$7-SQRT((1-NORMSDIST(M$9*SQRT($C$11)*NORMSINV($B364)+SQRT(1-M$9^2*$C$11)*NORMSINV(L364)))*(M$7-M$5)*(M$7-M$6))))</f>
        <v>1640.68997568551</v>
      </c>
      <c r="N364" s="2" t="n">
        <v>0.947673452</v>
      </c>
      <c r="O364" s="2" t="n">
        <f aca="false">IF(O$7=O$5,O$6,IF(NORMSDIST(O$9*SQRT($C$11)*NORMSINV($B364)+SQRT(1-O$9^2*$C$11)*NORMSINV(N364))&lt;O$8,O$5+SQRT(NORMSDIST(O$9*SQRT($C$11)*NORMSINV($B364)+SQRT(1-O$9^2*$C$11)*NORMSINV(N364))*(O$7-O$5)*(O$6-O$5)),O$7-SQRT((1-NORMSDIST(O$9*SQRT($C$11)*NORMSINV($B364)+SQRT(1-O$9^2*$C$11)*NORMSINV(N364)))*(O$7-O$5)*(O$7-O$6))))</f>
        <v>0.181376132921604</v>
      </c>
      <c r="P364" s="2" t="n">
        <v>0.635355377</v>
      </c>
      <c r="Q364" s="2" t="n">
        <f aca="false">IF(Q$7=Q$5,Q$6,IF(NORMSDIST(Q$9*SQRT($C$11)*NORMSINV($B364)+SQRT(1-Q$9^2*$C$11)*NORMSINV(P364))&lt;Q$8,Q$5+SQRT(NORMSDIST(Q$9*SQRT($C$11)*NORMSINV($B364)+SQRT(1-Q$9^2*$C$11)*NORMSINV(P364))*(Q$7-Q$5)*(Q$6-Q$5)),Q$7-SQRT((1-NORMSDIST(Q$9*SQRT($C$11)*NORMSINV($B364)+SQRT(1-Q$9^2*$C$11)*NORMSINV(P364)))*(Q$7-Q$5)*(Q$7-Q$6))))</f>
        <v>0.0858406265631233</v>
      </c>
      <c r="R364" s="2" t="n">
        <v>0.60020212</v>
      </c>
      <c r="S364" s="2" t="n">
        <f aca="false">IF(S$7=S$5,S$6,IF(NORMSDIST(S$9*SQRT($C$11)*NORMSINV($B364)+SQRT(1-S$9^2*$C$11)*NORMSINV(R364))&lt;S$8,S$5+SQRT(NORMSDIST(S$9*SQRT($C$11)*NORMSINV($B364)+SQRT(1-S$9^2*$C$11)*NORMSINV(R364))*(S$7-S$5)*(S$6-S$5)),S$7-SQRT((1-NORMSDIST(S$9*SQRT($C$11)*NORMSINV($B364)+SQRT(1-S$9^2*$C$11)*NORMSINV(R364)))*(S$7-S$5)*(S$7-S$6))))</f>
        <v>0.588662051521406</v>
      </c>
      <c r="T364" s="2" t="n">
        <v>0.218757817</v>
      </c>
      <c r="U364" s="2" t="n">
        <f aca="false">IF(U$7=U$5,U$6,IF(NORMSDIST(U$9*SQRT($C$11)*NORMSINV($B364)+SQRT(1-U$9^2*$C$11)*NORMSINV(T364))&lt;U$8,U$5+SQRT(NORMSDIST(U$9*SQRT($C$11)*NORMSINV($B364)+SQRT(1-U$9^2*$C$11)*NORMSINV(T364))*(U$7-U$5)*(U$6-U$5)),U$7-SQRT((1-NORMSDIST(U$9*SQRT($C$11)*NORMSINV($B364)+SQRT(1-U$9^2*$C$11)*NORMSINV(T364)))*(U$7-U$5)*(U$7-U$6))))</f>
        <v>0.41924171061713</v>
      </c>
      <c r="V364" s="2" t="n">
        <v>0.29041525</v>
      </c>
      <c r="W364" s="2" t="n">
        <f aca="false">IF(W$7=W$5,W$6,IF(NORMSDIST(W$9*SQRT($C$11)*NORMSINV($B364)+SQRT(1-W$9^2*$C$11)*NORMSINV(V364))&lt;W$8,W$5+SQRT(NORMSDIST(W$9*SQRT($C$11)*NORMSINV($B364)+SQRT(1-W$9^2*$C$11)*NORMSINV(V364))*(W$7-W$5)*(W$6-W$5)),W$7-SQRT((1-NORMSDIST(W$9*SQRT($C$11)*NORMSINV($B364)+SQRT(1-W$9^2*$C$11)*NORMSINV(V364)))*(W$7-W$5)*(W$7-W$6))))</f>
        <v>9.82822905529513</v>
      </c>
      <c r="X364" s="2" t="n">
        <v>0.192892718</v>
      </c>
      <c r="Y364" s="2" t="n">
        <f aca="false">IF(Y$7=Y$5,Y$6,IF(NORMSDIST(Y$9*SQRT($C$11)*NORMSINV($B364)+SQRT(1-Y$9^2*$C$11)*NORMSINV(X364))&lt;Y$8,Y$5+SQRT(NORMSDIST(Y$9*SQRT($C$11)*NORMSINV($B364)+SQRT(1-Y$9^2*$C$11)*NORMSINV(X364))*(Y$7-Y$5)*(Y$6-Y$5)),Y$7-SQRT((1-NORMSDIST(Y$9*SQRT($C$11)*NORMSINV($B364)+SQRT(1-Y$9^2*$C$11)*NORMSINV(X364)))*(Y$7-Y$5)*(Y$7-Y$6))))</f>
        <v>0.310558141094385</v>
      </c>
      <c r="Z364" s="2" t="n">
        <v>0.589026144</v>
      </c>
      <c r="AA364" s="2" t="n">
        <f aca="false">IF(AA$7=AA$5,AA$6,IF(NORMSDIST(AA$9*SQRT($C$11)*NORMSINV($B364)+SQRT(1-AA$9^2*$C$11)*NORMSINV(Z364))&lt;AA$8,AA$5+SQRT(NORMSDIST(AA$9*SQRT($C$11)*NORMSINV($B364)+SQRT(1-AA$9^2*$C$11)*NORMSINV(Z364))*(AA$7-AA$5)*(AA$6-AA$5)),AA$7-SQRT((1-NORMSDIST(AA$9*SQRT($C$11)*NORMSINV($B364)+SQRT(1-AA$9^2*$C$11)*NORMSINV(Z364)))*(AA$7-AA$5)*(AA$7-AA$6))))</f>
        <v>0.732762629078729</v>
      </c>
      <c r="AB364" s="2" t="n">
        <v>0.476235752</v>
      </c>
      <c r="AC364" s="2" t="n">
        <f aca="false">IF(AC$7=AC$5,AC$6,IF(NORMSDIST(AC$9*SQRT($C$11)*NORMSINV($B364)+SQRT(1-AC$9^2*$C$11)*NORMSINV(AB364))&lt;AC$8,AC$5+SQRT(NORMSDIST(AC$9*SQRT($C$11)*NORMSINV($B364)+SQRT(1-AC$9^2*$C$11)*NORMSINV(AB364))*(AC$7-AC$5)*(AC$6-AC$5)),AC$7-SQRT((1-NORMSDIST(AC$9*SQRT($C$11)*NORMSINV($B364)+SQRT(1-AC$9^2*$C$11)*NORMSINV(AB364)))*(AC$7-AC$5)*(AC$7-AC$6))))</f>
        <v>9.61739100265756</v>
      </c>
      <c r="AD364" s="2" t="n">
        <f aca="false">Entrées!$C$8*(1+E364)</f>
        <v>7431.59202313591</v>
      </c>
      <c r="AE364" s="2" t="n">
        <f aca="false">I364*Hypothèses!$J$24/12/Hypothèses!$J$19</f>
        <v>100.861917692629</v>
      </c>
      <c r="AF364" s="2" t="n">
        <f aca="false">Entrées!$C$36*S364*1000</f>
        <v>294.331025760703</v>
      </c>
      <c r="AG364" s="2" t="n">
        <f aca="false">-AF364/W364</f>
        <v>-29.9475138506389</v>
      </c>
      <c r="AH364" s="2" t="n">
        <f aca="false">AD364+AE364+AG364</f>
        <v>7502.5064269779</v>
      </c>
      <c r="AI364" s="2" t="n">
        <f aca="false">Entrées!$C$16-M364+Hypothèses!$J$22*1000-AF364+Hypothèses!$J$23</f>
        <v>22612.9789985538</v>
      </c>
      <c r="AJ364" s="2" t="n">
        <f aca="false">AI364/AH364</f>
        <v>3.01405659810445</v>
      </c>
      <c r="AK364" s="2" t="n">
        <f aca="false">AI364/(AH364+I364*(12-Hypothèses!$J$24)/12/Hypothèses!$J$19)</f>
        <v>2.98538884110666</v>
      </c>
      <c r="AL364" s="2" t="n">
        <f aca="false">(AD364+AG364+I364/Hypothèses!$J$19)*(1+G364)</f>
        <v>8016.86516868801</v>
      </c>
      <c r="AM364" s="2" t="n">
        <f aca="false">Entrées!$C$54*K364/Hypothèses!$J$19</f>
        <v>19.4678787279311</v>
      </c>
      <c r="AN364" s="2" t="n">
        <f aca="false">Y364*1000/AC364</f>
        <v>32.2913086312669</v>
      </c>
      <c r="AO364" s="2" t="n">
        <f aca="false">(Entrées!$C$36*(1-S364)+MAX(0,Entrées!$C$30-Entrées!$C$35-Entrées!$C$36)*U364)*1000</f>
        <v>792.607369103279</v>
      </c>
      <c r="AP364" s="2" t="n">
        <f aca="false">-AO364/W364</f>
        <v>-80.6460008862174</v>
      </c>
      <c r="AQ364" s="2" t="n">
        <f aca="false">AL364+AM364+AN364+AP364</f>
        <v>7987.97835516099</v>
      </c>
      <c r="AR364" s="2" t="n">
        <f aca="false">O364*AQ364-Hypothèses!$J$25/Hypothèses!$J$19</f>
        <v>1429.69346165895</v>
      </c>
      <c r="AS364" s="2" t="n">
        <f aca="false">Entrées!$C$79*(1+Q364)+Hypothèses!$J$20</f>
        <v>1488.33884859287</v>
      </c>
      <c r="AT364" s="2" t="n">
        <f aca="false">AI364-AR364+AS364+Y364*1000-AO364+Hypothèses!$J$23</f>
        <v>22189.5751574788</v>
      </c>
      <c r="AU364" s="2" t="n">
        <f aca="false">AT364/AQ364</f>
        <v>2.77787121733276</v>
      </c>
      <c r="AV364" s="2" t="n">
        <f aca="false">Hypothèses!$J$26*AQ364-AT364</f>
        <v>1774.35990800416</v>
      </c>
      <c r="AW364" s="2" t="n">
        <f aca="false">IF(AC364&gt;Hypothèses!$J$26,MAX(0,AV364)/(1-Hypothèses!$J$26/AC364),0)</f>
        <v>2578.76752452171</v>
      </c>
      <c r="AX364" s="2" t="n">
        <f aca="false">AQ364-Entrées!$C$17*1000</f>
        <v>-12.0216448390111</v>
      </c>
      <c r="AY364" s="2" t="n">
        <f aca="false">AI364+(Entrées!$C$244-Entrées!$C$13)</f>
        <v>28359.9789985538</v>
      </c>
      <c r="AZ364" s="2" t="n">
        <f aca="false">AA364*AH364</f>
        <v>5497.55633411239</v>
      </c>
      <c r="BA364" s="2" t="n">
        <f aca="false">AZ364/AY364</f>
        <v>0.193849097504365</v>
      </c>
      <c r="BB364" s="2" t="n">
        <f aca="false">AZ364/(Entrées!$C$151/100)-AY364</f>
        <v>2182.00063540394</v>
      </c>
      <c r="BC364" s="2" t="n">
        <f aca="false">AT364+(Entrées!$C$244-Entrées!$C$13)</f>
        <v>27936.5751574788</v>
      </c>
      <c r="BD364" s="2" t="n">
        <f aca="false">AA364*AQ364</f>
        <v>5853.29202055175</v>
      </c>
      <c r="BE364" s="2" t="n">
        <f aca="false">BD364/BC364</f>
        <v>0.209520744313026</v>
      </c>
      <c r="BF364" s="2" t="n">
        <f aca="false">BD364/(Entrées!$C$151/100)-BC364</f>
        <v>4581.71384558647</v>
      </c>
      <c r="BG364" s="2" t="n">
        <f aca="false">MIN(AV364,BF364)</f>
        <v>1774.35990800416</v>
      </c>
      <c r="BH364" s="2" t="n">
        <f aca="false">IF(AC364&gt;Hypothèses!$J$26,MAX(0,BG364)/(1-Hypothèses!$J$26/AC364),0)</f>
        <v>2578.76752452171</v>
      </c>
    </row>
    <row r="365" customFormat="false" ht="15" hidden="false" customHeight="false" outlineLevel="0" collapsed="false">
      <c r="A365" s="2" t="n">
        <v>350</v>
      </c>
      <c r="B365" s="2" t="n">
        <v>0.15639579</v>
      </c>
      <c r="C365" s="2"/>
      <c r="D365" s="2" t="n">
        <v>0.682278174</v>
      </c>
      <c r="E365" s="2" t="n">
        <f aca="false">IF(E$7=E$5,E$6,IF(NORMSDIST(E$9*SQRT($C$11)*NORMSINV($B365)+SQRT(1-E$9^2*$C$11)*NORMSINV(D365))&lt;E$8,E$5+SQRT(NORMSDIST(E$9*SQRT($C$11)*NORMSINV($B365)+SQRT(1-E$9^2*$C$11)*NORMSINV(D365))*(E$7-E$5)*(E$6-E$5)),E$7-SQRT((1-NORMSDIST(E$9*SQRT($C$11)*NORMSINV($B365)+SQRT(1-E$9^2*$C$11)*NORMSINV(D365)))*(E$7-E$5)*(E$7-E$6))))</f>
        <v>0.0544335677982209</v>
      </c>
      <c r="F365" s="2" t="n">
        <v>0.631320035</v>
      </c>
      <c r="G365" s="2" t="n">
        <f aca="false">IF(G$7=G$5,G$6,IF(NORMSDIST(G$9*SQRT($C$11)*NORMSINV($B365)+SQRT(1-G$9^2*$C$11)*NORMSINV(F365))&lt;G$8,G$5+SQRT(NORMSDIST(G$9*SQRT($C$11)*NORMSINV($B365)+SQRT(1-G$9^2*$C$11)*NORMSINV(F365))*(G$7-G$5)*(G$6-G$5)),G$7-SQRT((1-NORMSDIST(G$9*SQRT($C$11)*NORMSINV($B365)+SQRT(1-G$9^2*$C$11)*NORMSINV(F365)))*(G$7-G$5)*(G$7-G$6))))</f>
        <v>0.0525943285306923</v>
      </c>
      <c r="H365" s="2" t="n">
        <v>0.76662208</v>
      </c>
      <c r="I365" s="2" t="n">
        <f aca="false">IF(I$7=I$5,I$6,IF(NORMSDIST(I$9*SQRT($C$11)*NORMSINV($B365)+SQRT(1-I$9^2*$C$11)*NORMSINV(H365))&lt;I$8,I$5+SQRT(NORMSDIST(I$9*SQRT($C$11)*NORMSINV($B365)+SQRT(1-I$9^2*$C$11)*NORMSINV(H365))*(I$7-I$5)*(I$6-I$5)),I$7-SQRT((1-NORMSDIST(I$9*SQRT($C$11)*NORMSINV($B365)+SQRT(1-I$9^2*$C$11)*NORMSINV(H365)))*(I$7-I$5)*(I$7-I$6))))</f>
        <v>199.395701474845</v>
      </c>
      <c r="J365" s="2" t="n">
        <v>0.783783784</v>
      </c>
      <c r="K365" s="2" t="n">
        <f aca="false">IF(K$7=K$5,K$6,IF(NORMSDIST(K$9*SQRT($C$11)*NORMSINV($B365)+SQRT(1-K$9^2*$C$11)*NORMSINV(J365))&lt;K$8,K$5+SQRT(NORMSDIST(K$9*SQRT($C$11)*NORMSINV($B365)+SQRT(1-K$9^2*$C$11)*NORMSINV(J365))*(K$7-K$5)*(K$6-K$5)),K$7-SQRT((1-NORMSDIST(K$9*SQRT($C$11)*NORMSINV($B365)+SQRT(1-K$9^2*$C$11)*NORMSINV(J365)))*(K$7-K$5)*(K$7-K$6))))</f>
        <v>0.246959711572416</v>
      </c>
      <c r="L365" s="2" t="n">
        <v>0.414046411</v>
      </c>
      <c r="M365" s="2" t="n">
        <f aca="false">IF(M$7=M$5,M$6,IF(NORMSDIST(M$9*SQRT($C$11)*NORMSINV($B365)+SQRT(1-M$9^2*$C$11)*NORMSINV(L365))&lt;M$8,M$5+SQRT(NORMSDIST(M$9*SQRT($C$11)*NORMSINV($B365)+SQRT(1-M$9^2*$C$11)*NORMSINV(L365))*(M$7-M$5)*(M$6-M$5)),M$7-SQRT((1-NORMSDIST(M$9*SQRT($C$11)*NORMSINV($B365)+SQRT(1-M$9^2*$C$11)*NORMSINV(L365)))*(M$7-M$5)*(M$7-M$6))))</f>
        <v>1486.03344902166</v>
      </c>
      <c r="N365" s="2" t="n">
        <v>0.689304787</v>
      </c>
      <c r="O365" s="2" t="n">
        <f aca="false">IF(O$7=O$5,O$6,IF(NORMSDIST(O$9*SQRT($C$11)*NORMSINV($B365)+SQRT(1-O$9^2*$C$11)*NORMSINV(N365))&lt;O$8,O$5+SQRT(NORMSDIST(O$9*SQRT($C$11)*NORMSINV($B365)+SQRT(1-O$9^2*$C$11)*NORMSINV(N365))*(O$7-O$5)*(O$6-O$5)),O$7-SQRT((1-NORMSDIST(O$9*SQRT($C$11)*NORMSINV($B365)+SQRT(1-O$9^2*$C$11)*NORMSINV(N365)))*(O$7-O$5)*(O$7-O$6))))</f>
        <v>0.16392803740318</v>
      </c>
      <c r="P365" s="2" t="n">
        <v>0.090604552</v>
      </c>
      <c r="Q365" s="2" t="n">
        <f aca="false">IF(Q$7=Q$5,Q$6,IF(NORMSDIST(Q$9*SQRT($C$11)*NORMSINV($B365)+SQRT(1-Q$9^2*$C$11)*NORMSINV(P365))&lt;Q$8,Q$5+SQRT(NORMSDIST(Q$9*SQRT($C$11)*NORMSINV($B365)+SQRT(1-Q$9^2*$C$11)*NORMSINV(P365))*(Q$7-Q$5)*(Q$6-Q$5)),Q$7-SQRT((1-NORMSDIST(Q$9*SQRT($C$11)*NORMSINV($B365)+SQRT(1-Q$9^2*$C$11)*NORMSINV(P365)))*(Q$7-Q$5)*(Q$7-Q$6))))</f>
        <v>0.057027465060895</v>
      </c>
      <c r="R365" s="2" t="n">
        <v>0.087922951</v>
      </c>
      <c r="S365" s="2" t="n">
        <f aca="false">IF(S$7=S$5,S$6,IF(NORMSDIST(S$9*SQRT($C$11)*NORMSINV($B365)+SQRT(1-S$9^2*$C$11)*NORMSINV(R365))&lt;S$8,S$5+SQRT(NORMSDIST(S$9*SQRT($C$11)*NORMSINV($B365)+SQRT(1-S$9^2*$C$11)*NORMSINV(R365))*(S$7-S$5)*(S$6-S$5)),S$7-SQRT((1-NORMSDIST(S$9*SQRT($C$11)*NORMSINV($B365)+SQRT(1-S$9^2*$C$11)*NORMSINV(R365)))*(S$7-S$5)*(S$7-S$6))))</f>
        <v>0.151341804506442</v>
      </c>
      <c r="T365" s="2" t="n">
        <v>0.016435202</v>
      </c>
      <c r="U365" s="2" t="n">
        <f aca="false">IF(U$7=U$5,U$6,IF(NORMSDIST(U$9*SQRT($C$11)*NORMSINV($B365)+SQRT(1-U$9^2*$C$11)*NORMSINV(T365))&lt;U$8,U$5+SQRT(NORMSDIST(U$9*SQRT($C$11)*NORMSINV($B365)+SQRT(1-U$9^2*$C$11)*NORMSINV(T365))*(U$7-U$5)*(U$6-U$5)),U$7-SQRT((1-NORMSDIST(U$9*SQRT($C$11)*NORMSINV($B365)+SQRT(1-U$9^2*$C$11)*NORMSINV(T365)))*(U$7-U$5)*(U$7-U$6))))</f>
        <v>0.0740888708785807</v>
      </c>
      <c r="V365" s="2" t="n">
        <v>0.56529723</v>
      </c>
      <c r="W365" s="2" t="n">
        <f aca="false">IF(W$7=W$5,W$6,IF(NORMSDIST(W$9*SQRT($C$11)*NORMSINV($B365)+SQRT(1-W$9^2*$C$11)*NORMSINV(V365))&lt;W$8,W$5+SQRT(NORMSDIST(W$9*SQRT($C$11)*NORMSINV($B365)+SQRT(1-W$9^2*$C$11)*NORMSINV(V365))*(W$7-W$5)*(W$6-W$5)),W$7-SQRT((1-NORMSDIST(W$9*SQRT($C$11)*NORMSINV($B365)+SQRT(1-W$9^2*$C$11)*NORMSINV(V365)))*(W$7-W$5)*(W$7-W$6))))</f>
        <v>9.5611875778163</v>
      </c>
      <c r="X365" s="2" t="n">
        <v>0.222893619</v>
      </c>
      <c r="Y365" s="2" t="n">
        <f aca="false">IF(Y$7=Y$5,Y$6,IF(NORMSDIST(Y$9*SQRT($C$11)*NORMSINV($B365)+SQRT(1-Y$9^2*$C$11)*NORMSINV(X365))&lt;Y$8,Y$5+SQRT(NORMSDIST(Y$9*SQRT($C$11)*NORMSINV($B365)+SQRT(1-Y$9^2*$C$11)*NORMSINV(X365))*(Y$7-Y$5)*(Y$6-Y$5)),Y$7-SQRT((1-NORMSDIST(Y$9*SQRT($C$11)*NORMSINV($B365)+SQRT(1-Y$9^2*$C$11)*NORMSINV(X365)))*(Y$7-Y$5)*(Y$7-Y$6))))</f>
        <v>0.333836501149889</v>
      </c>
      <c r="Z365" s="2" t="n">
        <v>0.191379872</v>
      </c>
      <c r="AA365" s="2" t="n">
        <f aca="false">IF(AA$7=AA$5,AA$6,IF(NORMSDIST(AA$9*SQRT($C$11)*NORMSINV($B365)+SQRT(1-AA$9^2*$C$11)*NORMSINV(Z365))&lt;AA$8,AA$5+SQRT(NORMSDIST(AA$9*SQRT($C$11)*NORMSINV($B365)+SQRT(1-AA$9^2*$C$11)*NORMSINV(Z365))*(AA$7-AA$5)*(AA$6-AA$5)),AA$7-SQRT((1-NORMSDIST(AA$9*SQRT($C$11)*NORMSINV($B365)+SQRT(1-AA$9^2*$C$11)*NORMSINV(Z365)))*(AA$7-AA$5)*(AA$7-AA$6))))</f>
        <v>0.709537395433532</v>
      </c>
      <c r="AB365" s="2" t="n">
        <v>0.156898616</v>
      </c>
      <c r="AC365" s="2" t="n">
        <f aca="false">IF(AC$7=AC$5,AC$6,IF(NORMSDIST(AC$9*SQRT($C$11)*NORMSINV($B365)+SQRT(1-AC$9^2*$C$11)*NORMSINV(AB365))&lt;AC$8,AC$5+SQRT(NORMSDIST(AC$9*SQRT($C$11)*NORMSINV($B365)+SQRT(1-AC$9^2*$C$11)*NORMSINV(AB365))*(AC$7-AC$5)*(AC$6-AC$5)),AC$7-SQRT((1-NORMSDIST(AC$9*SQRT($C$11)*NORMSINV($B365)+SQRT(1-AC$9^2*$C$11)*NORMSINV(AB365)))*(AC$7-AC$5)*(AC$7-AC$6))))</f>
        <v>8.22094475995892</v>
      </c>
      <c r="AD365" s="2" t="n">
        <f aca="false">Entrées!$C$8*(1+E365)</f>
        <v>7433.75665297746</v>
      </c>
      <c r="AE365" s="2" t="n">
        <f aca="false">I365*Hypothèses!$J$24/12/Hypothèses!$J$19</f>
        <v>98.9195693109009</v>
      </c>
      <c r="AF365" s="2" t="n">
        <f aca="false">Entrées!$C$36*S365*1000</f>
        <v>75.6709022532212</v>
      </c>
      <c r="AG365" s="2" t="n">
        <f aca="false">-AF365/W365</f>
        <v>-7.9143831911416</v>
      </c>
      <c r="AH365" s="2" t="n">
        <f aca="false">AD365+AE365+AG365</f>
        <v>7524.76183909722</v>
      </c>
      <c r="AI365" s="2" t="n">
        <f aca="false">Entrées!$C$16-M365+Hypothèses!$J$22*1000-AF365+Hypothèses!$J$23</f>
        <v>22986.2956487251</v>
      </c>
      <c r="AJ365" s="2" t="n">
        <f aca="false">AI365/AH365</f>
        <v>3.05475390985702</v>
      </c>
      <c r="AK365" s="2" t="n">
        <f aca="false">AI365/(AH365+I365*(12-Hypothèses!$J$24)/12/Hypothèses!$J$19)</f>
        <v>3.02633687941964</v>
      </c>
      <c r="AL365" s="2" t="n">
        <f aca="false">(AD365+AG365+I365/Hypothèses!$J$19)*(1+G365)</f>
        <v>7994.89461940459</v>
      </c>
      <c r="AM365" s="2" t="n">
        <f aca="false">Entrées!$C$54*K365/Hypothèses!$J$19</f>
        <v>25.2032754827869</v>
      </c>
      <c r="AN365" s="2" t="n">
        <f aca="false">Y365*1000/AC365</f>
        <v>40.6080457778867</v>
      </c>
      <c r="AO365" s="2" t="n">
        <f aca="false">(Entrées!$C$36*(1-S365)+MAX(0,Entrées!$C$30-Entrées!$C$35-Entrées!$C$36)*U365)*1000</f>
        <v>528.053516976792</v>
      </c>
      <c r="AP365" s="2" t="n">
        <f aca="false">-AO365/W365</f>
        <v>-55.2288628038187</v>
      </c>
      <c r="AQ365" s="2" t="n">
        <f aca="false">AL365+AM365+AN365+AP365</f>
        <v>8005.47707786145</v>
      </c>
      <c r="AR365" s="2" t="n">
        <f aca="false">O365*AQ365-Hypothèses!$J$25/Hypothèses!$J$19</f>
        <v>1293.18698358835</v>
      </c>
      <c r="AS365" s="2" t="n">
        <f aca="false">Entrées!$C$79*(1+Q365)+Hypothèses!$J$20</f>
        <v>1456.67318410192</v>
      </c>
      <c r="AT365" s="2" t="n">
        <f aca="false">AI365-AR365+AS365+Y365*1000-AO365+Hypothèses!$J$23</f>
        <v>22955.5648334118</v>
      </c>
      <c r="AU365" s="2" t="n">
        <f aca="false">AT365/AQ365</f>
        <v>2.86748242611221</v>
      </c>
      <c r="AV365" s="2" t="n">
        <f aca="false">Hypothèses!$J$26*AQ365-AT365</f>
        <v>1060.86640017253</v>
      </c>
      <c r="AW365" s="2" t="n">
        <f aca="false">IF(AC365&gt;Hypothèses!$J$26,MAX(0,AV365)/(1-Hypothèses!$J$26/AC365),0)</f>
        <v>1670.44940609245</v>
      </c>
      <c r="AX365" s="2" t="n">
        <f aca="false">AQ365-Entrées!$C$17*1000</f>
        <v>5.47707786144565</v>
      </c>
      <c r="AY365" s="2" t="n">
        <f aca="false">AI365+(Entrées!$C$244-Entrées!$C$13)</f>
        <v>28733.2956487251</v>
      </c>
      <c r="AZ365" s="2" t="n">
        <f aca="false">AA365*AH365</f>
        <v>5339.09991657067</v>
      </c>
      <c r="BA365" s="2" t="n">
        <f aca="false">AZ365/AY365</f>
        <v>0.185815786042892</v>
      </c>
      <c r="BB365" s="2" t="n">
        <f aca="false">AZ365/(Entrées!$C$151/100)-AY365</f>
        <v>928.370554445275</v>
      </c>
      <c r="BC365" s="2" t="n">
        <f aca="false">AT365+(Entrées!$C$244-Entrées!$C$13)</f>
        <v>28702.5648334118</v>
      </c>
      <c r="BD365" s="2" t="n">
        <f aca="false">AA365*AQ365</f>
        <v>5680.18535502865</v>
      </c>
      <c r="BE365" s="2" t="n">
        <f aca="false">BD365/BC365</f>
        <v>0.197898180458651</v>
      </c>
      <c r="BF365" s="2" t="n">
        <f aca="false">BD365/(Entrées!$C$151/100)-BC365</f>
        <v>2854.02047230293</v>
      </c>
      <c r="BG365" s="2" t="n">
        <f aca="false">MIN(AV365,BF365)</f>
        <v>1060.86640017253</v>
      </c>
      <c r="BH365" s="2" t="n">
        <f aca="false">IF(AC365&gt;Hypothèses!$J$26,MAX(0,BG365)/(1-Hypothèses!$J$26/AC365),0)</f>
        <v>1670.44940609245</v>
      </c>
    </row>
    <row r="366" customFormat="false" ht="15" hidden="false" customHeight="false" outlineLevel="0" collapsed="false">
      <c r="A366" s="2" t="n">
        <v>351</v>
      </c>
      <c r="B366" s="2" t="n">
        <v>0.085110585</v>
      </c>
      <c r="C366" s="2"/>
      <c r="D366" s="2" t="n">
        <v>0.103348859</v>
      </c>
      <c r="E366" s="2" t="n">
        <f aca="false">IF(E$7=E$5,E$6,IF(NORMSDIST(E$9*SQRT($C$11)*NORMSINV($B366)+SQRT(1-E$9^2*$C$11)*NORMSINV(D366))&lt;E$8,E$5+SQRT(NORMSDIST(E$9*SQRT($C$11)*NORMSINV($B366)+SQRT(1-E$9^2*$C$11)*NORMSINV(D366))*(E$7-E$5)*(E$6-E$5)),E$7-SQRT((1-NORMSDIST(E$9*SQRT($C$11)*NORMSINV($B366)+SQRT(1-E$9^2*$C$11)*NORMSINV(D366)))*(E$7-E$5)*(E$7-E$6))))</f>
        <v>0.0512744238073057</v>
      </c>
      <c r="F366" s="2" t="n">
        <v>0.979836403</v>
      </c>
      <c r="G366" s="2" t="n">
        <f aca="false">IF(G$7=G$5,G$6,IF(NORMSDIST(G$9*SQRT($C$11)*NORMSINV($B366)+SQRT(1-G$9^2*$C$11)*NORMSINV(F366))&lt;G$8,G$5+SQRT(NORMSDIST(G$9*SQRT($C$11)*NORMSINV($B366)+SQRT(1-G$9^2*$C$11)*NORMSINV(F366))*(G$7-G$5)*(G$6-G$5)),G$7-SQRT((1-NORMSDIST(G$9*SQRT($C$11)*NORMSINV($B366)+SQRT(1-G$9^2*$C$11)*NORMSINV(F366)))*(G$7-G$5)*(G$7-G$6))))</f>
        <v>0.0597052967468595</v>
      </c>
      <c r="H366" s="2" t="n">
        <v>0.910276268</v>
      </c>
      <c r="I366" s="2" t="n">
        <f aca="false">IF(I$7=I$5,I$6,IF(NORMSDIST(I$9*SQRT($C$11)*NORMSINV($B366)+SQRT(1-I$9^2*$C$11)*NORMSINV(H366))&lt;I$8,I$5+SQRT(NORMSDIST(I$9*SQRT($C$11)*NORMSINV($B366)+SQRT(1-I$9^2*$C$11)*NORMSINV(H366))*(I$7-I$5)*(I$6-I$5)),I$7-SQRT((1-NORMSDIST(I$9*SQRT($C$11)*NORMSINV($B366)+SQRT(1-I$9^2*$C$11)*NORMSINV(H366)))*(I$7-I$5)*(I$7-I$6))))</f>
        <v>201.419582202851</v>
      </c>
      <c r="J366" s="2" t="n">
        <v>0.594044229</v>
      </c>
      <c r="K366" s="2" t="n">
        <f aca="false">IF(K$7=K$5,K$6,IF(NORMSDIST(K$9*SQRT($C$11)*NORMSINV($B366)+SQRT(1-K$9^2*$C$11)*NORMSINV(J366))&lt;K$8,K$5+SQRT(NORMSDIST(K$9*SQRT($C$11)*NORMSINV($B366)+SQRT(1-K$9^2*$C$11)*NORMSINV(J366))*(K$7-K$5)*(K$6-K$5)),K$7-SQRT((1-NORMSDIST(K$9*SQRT($C$11)*NORMSINV($B366)+SQRT(1-K$9^2*$C$11)*NORMSINV(J366)))*(K$7-K$5)*(K$7-K$6))))</f>
        <v>0.175811173988941</v>
      </c>
      <c r="L366" s="2" t="n">
        <v>0.463335074</v>
      </c>
      <c r="M366" s="2" t="n">
        <f aca="false">IF(M$7=M$5,M$6,IF(NORMSDIST(M$9*SQRT($C$11)*NORMSINV($B366)+SQRT(1-M$9^2*$C$11)*NORMSINV(L366))&lt;M$8,M$5+SQRT(NORMSDIST(M$9*SQRT($C$11)*NORMSINV($B366)+SQRT(1-M$9^2*$C$11)*NORMSINV(L366))*(M$7-M$5)*(M$6-M$5)),M$7-SQRT((1-NORMSDIST(M$9*SQRT($C$11)*NORMSINV($B366)+SQRT(1-M$9^2*$C$11)*NORMSINV(L366)))*(M$7-M$5)*(M$7-M$6))))</f>
        <v>1469.61782446069</v>
      </c>
      <c r="N366" s="2" t="n">
        <v>0.57769305</v>
      </c>
      <c r="O366" s="2" t="n">
        <f aca="false">IF(O$7=O$5,O$6,IF(NORMSDIST(O$9*SQRT($C$11)*NORMSINV($B366)+SQRT(1-O$9^2*$C$11)*NORMSINV(N366))&lt;O$8,O$5+SQRT(NORMSDIST(O$9*SQRT($C$11)*NORMSINV($B366)+SQRT(1-O$9^2*$C$11)*NORMSINV(N366))*(O$7-O$5)*(O$6-O$5)),O$7-SQRT((1-NORMSDIST(O$9*SQRT($C$11)*NORMSINV($B366)+SQRT(1-O$9^2*$C$11)*NORMSINV(N366)))*(O$7-O$5)*(O$7-O$6))))</f>
        <v>0.158445236316627</v>
      </c>
      <c r="P366" s="2" t="n">
        <v>0.954081449</v>
      </c>
      <c r="Q366" s="2" t="n">
        <f aca="false">IF(Q$7=Q$5,Q$6,IF(NORMSDIST(Q$9*SQRT($C$11)*NORMSINV($B366)+SQRT(1-Q$9^2*$C$11)*NORMSINV(P366))&lt;Q$8,Q$5+SQRT(NORMSDIST(Q$9*SQRT($C$11)*NORMSINV($B366)+SQRT(1-Q$9^2*$C$11)*NORMSINV(P366))*(Q$7-Q$5)*(Q$6-Q$5)),Q$7-SQRT((1-NORMSDIST(Q$9*SQRT($C$11)*NORMSINV($B366)+SQRT(1-Q$9^2*$C$11)*NORMSINV(P366)))*(Q$7-Q$5)*(Q$7-Q$6))))</f>
        <v>0.10787814522443</v>
      </c>
      <c r="R366" s="2" t="n">
        <v>0.537126109</v>
      </c>
      <c r="S366" s="2" t="n">
        <f aca="false">IF(S$7=S$5,S$6,IF(NORMSDIST(S$9*SQRT($C$11)*NORMSINV($B366)+SQRT(1-S$9^2*$C$11)*NORMSINV(R366))&lt;S$8,S$5+SQRT(NORMSDIST(S$9*SQRT($C$11)*NORMSINV($B366)+SQRT(1-S$9^2*$C$11)*NORMSINV(R366))*(S$7-S$5)*(S$6-S$5)),S$7-SQRT((1-NORMSDIST(S$9*SQRT($C$11)*NORMSINV($B366)+SQRT(1-S$9^2*$C$11)*NORMSINV(R366)))*(S$7-S$5)*(S$7-S$6))))</f>
        <v>0.326529464696043</v>
      </c>
      <c r="T366" s="2" t="n">
        <v>0.368151636</v>
      </c>
      <c r="U366" s="2" t="n">
        <f aca="false">IF(U$7=U$5,U$6,IF(NORMSDIST(U$9*SQRT($C$11)*NORMSINV($B366)+SQRT(1-U$9^2*$C$11)*NORMSINV(T366))&lt;U$8,U$5+SQRT(NORMSDIST(U$9*SQRT($C$11)*NORMSINV($B366)+SQRT(1-U$9^2*$C$11)*NORMSINV(T366))*(U$7-U$5)*(U$6-U$5)),U$7-SQRT((1-NORMSDIST(U$9*SQRT($C$11)*NORMSINV($B366)+SQRT(1-U$9^2*$C$11)*NORMSINV(T366)))*(U$7-U$5)*(U$7-U$6))))</f>
        <v>0.254564197645013</v>
      </c>
      <c r="V366" s="2" t="n">
        <v>0.323026675</v>
      </c>
      <c r="W366" s="2" t="n">
        <f aca="false">IF(W$7=W$5,W$6,IF(NORMSDIST(W$9*SQRT($C$11)*NORMSINV($B366)+SQRT(1-W$9^2*$C$11)*NORMSINV(V366))&lt;W$8,W$5+SQRT(NORMSDIST(W$9*SQRT($C$11)*NORMSINV($B366)+SQRT(1-W$9^2*$C$11)*NORMSINV(V366))*(W$7-W$5)*(W$6-W$5)),W$7-SQRT((1-NORMSDIST(W$9*SQRT($C$11)*NORMSINV($B366)+SQRT(1-W$9^2*$C$11)*NORMSINV(V366)))*(W$7-W$5)*(W$7-W$6))))</f>
        <v>8.94079854365964</v>
      </c>
      <c r="X366" s="2" t="n">
        <v>0.214924387</v>
      </c>
      <c r="Y366" s="2" t="n">
        <f aca="false">IF(Y$7=Y$5,Y$6,IF(NORMSDIST(Y$9*SQRT($C$11)*NORMSINV($B366)+SQRT(1-Y$9^2*$C$11)*NORMSINV(X366))&lt;Y$8,Y$5+SQRT(NORMSDIST(Y$9*SQRT($C$11)*NORMSINV($B366)+SQRT(1-Y$9^2*$C$11)*NORMSINV(X366))*(Y$7-Y$5)*(Y$6-Y$5)),Y$7-SQRT((1-NORMSDIST(Y$9*SQRT($C$11)*NORMSINV($B366)+SQRT(1-Y$9^2*$C$11)*NORMSINV(X366)))*(Y$7-Y$5)*(Y$7-Y$6))))</f>
        <v>0.327814266773123</v>
      </c>
      <c r="Z366" s="2" t="n">
        <v>0.655309537</v>
      </c>
      <c r="AA366" s="2" t="n">
        <f aca="false">IF(AA$7=AA$5,AA$6,IF(NORMSDIST(AA$9*SQRT($C$11)*NORMSINV($B366)+SQRT(1-AA$9^2*$C$11)*NORMSINV(Z366))&lt;AA$8,AA$5+SQRT(NORMSDIST(AA$9*SQRT($C$11)*NORMSINV($B366)+SQRT(1-AA$9^2*$C$11)*NORMSINV(Z366))*(AA$7-AA$5)*(AA$6-AA$5)),AA$7-SQRT((1-NORMSDIST(AA$9*SQRT($C$11)*NORMSINV($B366)+SQRT(1-AA$9^2*$C$11)*NORMSINV(Z366)))*(AA$7-AA$5)*(AA$7-AA$6))))</f>
        <v>0.720182221072215</v>
      </c>
      <c r="AB366" s="2" t="n">
        <v>0.833773539</v>
      </c>
      <c r="AC366" s="2" t="n">
        <f aca="false">IF(AC$7=AC$5,AC$6,IF(NORMSDIST(AC$9*SQRT($C$11)*NORMSINV($B366)+SQRT(1-AC$9^2*$C$11)*NORMSINV(AB366))&lt;AC$8,AC$5+SQRT(NORMSDIST(AC$9*SQRT($C$11)*NORMSINV($B366)+SQRT(1-AC$9^2*$C$11)*NORMSINV(AB366))*(AC$7-AC$5)*(AC$6-AC$5)),AC$7-SQRT((1-NORMSDIST(AC$9*SQRT($C$11)*NORMSINV($B366)+SQRT(1-AC$9^2*$C$11)*NORMSINV(AB366)))*(AC$7-AC$5)*(AC$7-AC$6))))</f>
        <v>9.3795774171629</v>
      </c>
      <c r="AD366" s="2" t="n">
        <f aca="false">Entrées!$C$8*(1+E366)</f>
        <v>7411.48468784151</v>
      </c>
      <c r="AE366" s="2" t="n">
        <f aca="false">I366*Hypothèses!$J$24/12/Hypothèses!$J$19</f>
        <v>99.9236100623824</v>
      </c>
      <c r="AF366" s="2" t="n">
        <f aca="false">Entrées!$C$36*S366*1000</f>
        <v>163.264732348022</v>
      </c>
      <c r="AG366" s="2" t="n">
        <f aca="false">-AF366/W366</f>
        <v>-18.2606432245138</v>
      </c>
      <c r="AH366" s="2" t="n">
        <f aca="false">AD366+AE366+AG366</f>
        <v>7493.14765467937</v>
      </c>
      <c r="AI366" s="2" t="n">
        <f aca="false">Entrées!$C$16-M366+Hypothèses!$J$22*1000-AF366+Hypothèses!$J$23</f>
        <v>22915.1174431913</v>
      </c>
      <c r="AJ366" s="2" t="n">
        <f aca="false">AI366/AH366</f>
        <v>3.05814305272379</v>
      </c>
      <c r="AK366" s="2" t="n">
        <f aca="false">AI366/(AH366+I366*(12-Hypothèses!$J$24)/12/Hypothèses!$J$19)</f>
        <v>3.0292883631635</v>
      </c>
      <c r="AL366" s="2" t="n">
        <f aca="false">(AD366+AG366+I366/Hypothèses!$J$19)*(1+G366)</f>
        <v>8016.16367243659</v>
      </c>
      <c r="AM366" s="2" t="n">
        <f aca="false">Entrées!$C$54*K366/Hypothèses!$J$19</f>
        <v>17.9422684889885</v>
      </c>
      <c r="AN366" s="2" t="n">
        <f aca="false">Y366*1000/AC366</f>
        <v>34.9497906135177</v>
      </c>
      <c r="AO366" s="2" t="n">
        <f aca="false">(Entrées!$C$36*(1-S366)+MAX(0,Entrées!$C$30-Entrées!$C$35-Entrées!$C$36)*U366)*1000</f>
        <v>693.125144354997</v>
      </c>
      <c r="AP366" s="2" t="n">
        <f aca="false">-AO366/W366</f>
        <v>-77.523852144787</v>
      </c>
      <c r="AQ366" s="2" t="n">
        <f aca="false">AL366+AM366+AN366+AP366</f>
        <v>7991.53187939431</v>
      </c>
      <c r="AR366" s="2" t="n">
        <f aca="false">O366*AQ366-Hypothèses!$J$25/Hypothèses!$J$19</f>
        <v>1247.08499490086</v>
      </c>
      <c r="AS366" s="2" t="n">
        <f aca="false">Entrées!$C$79*(1+Q366)+Hypothèses!$J$20</f>
        <v>1512.55808160165</v>
      </c>
      <c r="AT366" s="2" t="n">
        <f aca="false">AI366-AR366+AS366+Y366*1000-AO366+Hypothèses!$J$23</f>
        <v>22815.2796523102</v>
      </c>
      <c r="AU366" s="2" t="n">
        <f aca="false">AT366/AQ366</f>
        <v>2.85493194504273</v>
      </c>
      <c r="AV366" s="2" t="n">
        <f aca="false">Hypothèses!$J$26*AQ366-AT366</f>
        <v>1159.31598587273</v>
      </c>
      <c r="AW366" s="2" t="n">
        <f aca="false">IF(AC366&gt;Hypothèses!$J$26,MAX(0,AV366)/(1-Hypothèses!$J$26/AC366),0)</f>
        <v>1704.48500416249</v>
      </c>
      <c r="AX366" s="2" t="n">
        <f aca="false">AQ366-Entrées!$C$17*1000</f>
        <v>-8.46812060568846</v>
      </c>
      <c r="AY366" s="2" t="n">
        <f aca="false">AI366+(Entrées!$C$244-Entrées!$C$13)</f>
        <v>28662.1174431913</v>
      </c>
      <c r="AZ366" s="2" t="n">
        <f aca="false">AA366*AH366</f>
        <v>5396.43172076905</v>
      </c>
      <c r="BA366" s="2" t="n">
        <f aca="false">AZ366/AY366</f>
        <v>0.188277496645698</v>
      </c>
      <c r="BB366" s="2" t="n">
        <f aca="false">AZ366/(Entrées!$C$151/100)-AY366</f>
        <v>1318.05878330343</v>
      </c>
      <c r="BC366" s="2" t="n">
        <f aca="false">AT366+(Entrées!$C$244-Entrées!$C$13)</f>
        <v>28562.2796523102</v>
      </c>
      <c r="BD366" s="2" t="n">
        <f aca="false">AA366*AQ366</f>
        <v>5755.35917867161</v>
      </c>
      <c r="BE366" s="2" t="n">
        <f aca="false">BD366/BC366</f>
        <v>0.201502094676329</v>
      </c>
      <c r="BF366" s="2" t="n">
        <f aca="false">BD366/(Entrées!$C$151/100)-BC366</f>
        <v>3411.9380069765</v>
      </c>
      <c r="BG366" s="2" t="n">
        <f aca="false">MIN(AV366,BF366)</f>
        <v>1159.31598587273</v>
      </c>
      <c r="BH366" s="2" t="n">
        <f aca="false">IF(AC366&gt;Hypothèses!$J$26,MAX(0,BG366)/(1-Hypothèses!$J$26/AC366),0)</f>
        <v>1704.48500416249</v>
      </c>
    </row>
    <row r="367" customFormat="false" ht="15" hidden="false" customHeight="false" outlineLevel="0" collapsed="false">
      <c r="A367" s="2" t="n">
        <v>352</v>
      </c>
      <c r="B367" s="2" t="n">
        <v>0.347596333</v>
      </c>
      <c r="C367" s="2"/>
      <c r="D367" s="2" t="n">
        <v>0.948892299</v>
      </c>
      <c r="E367" s="2" t="n">
        <f aca="false">IF(E$7=E$5,E$6,IF(NORMSDIST(E$9*SQRT($C$11)*NORMSINV($B367)+SQRT(1-E$9^2*$C$11)*NORMSINV(D367))&lt;E$8,E$5+SQRT(NORMSDIST(E$9*SQRT($C$11)*NORMSINV($B367)+SQRT(1-E$9^2*$C$11)*NORMSINV(D367))*(E$7-E$5)*(E$6-E$5)),E$7-SQRT((1-NORMSDIST(E$9*SQRT($C$11)*NORMSINV($B367)+SQRT(1-E$9^2*$C$11)*NORMSINV(D367)))*(E$7-E$5)*(E$7-E$6))))</f>
        <v>0.0572221539346731</v>
      </c>
      <c r="F367" s="2" t="n">
        <v>0.625660077</v>
      </c>
      <c r="G367" s="2" t="n">
        <f aca="false">IF(G$7=G$5,G$6,IF(NORMSDIST(G$9*SQRT($C$11)*NORMSINV($B367)+SQRT(1-G$9^2*$C$11)*NORMSINV(F367))&lt;G$8,G$5+SQRT(NORMSDIST(G$9*SQRT($C$11)*NORMSINV($B367)+SQRT(1-G$9^2*$C$11)*NORMSINV(F367))*(G$7-G$5)*(G$6-G$5)),G$7-SQRT((1-NORMSDIST(G$9*SQRT($C$11)*NORMSINV($B367)+SQRT(1-G$9^2*$C$11)*NORMSINV(F367)))*(G$7-G$5)*(G$7-G$6))))</f>
        <v>0.0550021439306061</v>
      </c>
      <c r="H367" s="2" t="n">
        <v>0.37004006</v>
      </c>
      <c r="I367" s="2" t="n">
        <f aca="false">IF(I$7=I$5,I$6,IF(NORMSDIST(I$9*SQRT($C$11)*NORMSINV($B367)+SQRT(1-I$9^2*$C$11)*NORMSINV(H367))&lt;I$8,I$5+SQRT(NORMSDIST(I$9*SQRT($C$11)*NORMSINV($B367)+SQRT(1-I$9^2*$C$11)*NORMSINV(H367))*(I$7-I$5)*(I$6-I$5)),I$7-SQRT((1-NORMSDIST(I$9*SQRT($C$11)*NORMSINV($B367)+SQRT(1-I$9^2*$C$11)*NORMSINV(H367)))*(I$7-I$5)*(I$7-I$6))))</f>
        <v>195.667991706139</v>
      </c>
      <c r="J367" s="2" t="n">
        <v>0.414001078</v>
      </c>
      <c r="K367" s="2" t="n">
        <f aca="false">IF(K$7=K$5,K$6,IF(NORMSDIST(K$9*SQRT($C$11)*NORMSINV($B367)+SQRT(1-K$9^2*$C$11)*NORMSINV(J367))&lt;K$8,K$5+SQRT(NORMSDIST(K$9*SQRT($C$11)*NORMSINV($B367)+SQRT(1-K$9^2*$C$11)*NORMSINV(J367))*(K$7-K$5)*(K$6-K$5)),K$7-SQRT((1-NORMSDIST(K$9*SQRT($C$11)*NORMSINV($B367)+SQRT(1-K$9^2*$C$11)*NORMSINV(J367)))*(K$7-K$5)*(K$7-K$6))))</f>
        <v>0.205751199383489</v>
      </c>
      <c r="L367" s="2" t="n">
        <v>0.148036179</v>
      </c>
      <c r="M367" s="2" t="n">
        <f aca="false">IF(M$7=M$5,M$6,IF(NORMSDIST(M$9*SQRT($C$11)*NORMSINV($B367)+SQRT(1-M$9^2*$C$11)*NORMSINV(L367))&lt;M$8,M$5+SQRT(NORMSDIST(M$9*SQRT($C$11)*NORMSINV($B367)+SQRT(1-M$9^2*$C$11)*NORMSINV(L367))*(M$7-M$5)*(M$6-M$5)),M$7-SQRT((1-NORMSDIST(M$9*SQRT($C$11)*NORMSINV($B367)+SQRT(1-M$9^2*$C$11)*NORMSINV(L367)))*(M$7-M$5)*(M$7-M$6))))</f>
        <v>1455.2556760234</v>
      </c>
      <c r="N367" s="2" t="n">
        <v>0.397462697</v>
      </c>
      <c r="O367" s="2" t="n">
        <f aca="false">IF(O$7=O$5,O$6,IF(NORMSDIST(O$9*SQRT($C$11)*NORMSINV($B367)+SQRT(1-O$9^2*$C$11)*NORMSINV(N367))&lt;O$8,O$5+SQRT(NORMSDIST(O$9*SQRT($C$11)*NORMSINV($B367)+SQRT(1-O$9^2*$C$11)*NORMSINV(N367))*(O$7-O$5)*(O$6-O$5)),O$7-SQRT((1-NORMSDIST(O$9*SQRT($C$11)*NORMSINV($B367)+SQRT(1-O$9^2*$C$11)*NORMSINV(N367)))*(O$7-O$5)*(O$7-O$6))))</f>
        <v>0.16164959559215</v>
      </c>
      <c r="P367" s="2" t="n">
        <v>0.112927373</v>
      </c>
      <c r="Q367" s="2" t="n">
        <f aca="false">IF(Q$7=Q$5,Q$6,IF(NORMSDIST(Q$9*SQRT($C$11)*NORMSINV($B367)+SQRT(1-Q$9^2*$C$11)*NORMSINV(P367))&lt;Q$8,Q$5+SQRT(NORMSDIST(Q$9*SQRT($C$11)*NORMSINV($B367)+SQRT(1-Q$9^2*$C$11)*NORMSINV(P367))*(Q$7-Q$5)*(Q$6-Q$5)),Q$7-SQRT((1-NORMSDIST(Q$9*SQRT($C$11)*NORMSINV($B367)+SQRT(1-Q$9^2*$C$11)*NORMSINV(P367)))*(Q$7-Q$5)*(Q$7-Q$6))))</f>
        <v>0.0590096710544922</v>
      </c>
      <c r="R367" s="2" t="n">
        <v>0.717911272</v>
      </c>
      <c r="S367" s="2" t="n">
        <f aca="false">IF(S$7=S$5,S$6,IF(NORMSDIST(S$9*SQRT($C$11)*NORMSINV($B367)+SQRT(1-S$9^2*$C$11)*NORMSINV(R367))&lt;S$8,S$5+SQRT(NORMSDIST(S$9*SQRT($C$11)*NORMSINV($B367)+SQRT(1-S$9^2*$C$11)*NORMSINV(R367))*(S$7-S$5)*(S$6-S$5)),S$7-SQRT((1-NORMSDIST(S$9*SQRT($C$11)*NORMSINV($B367)+SQRT(1-S$9^2*$C$11)*NORMSINV(R367)))*(S$7-S$5)*(S$7-S$6))))</f>
        <v>0.5410962082999</v>
      </c>
      <c r="T367" s="2" t="n">
        <v>0.711710783</v>
      </c>
      <c r="U367" s="2" t="n">
        <f aca="false">IF(U$7=U$5,U$6,IF(NORMSDIST(U$9*SQRT($C$11)*NORMSINV($B367)+SQRT(1-U$9^2*$C$11)*NORMSINV(T367))&lt;U$8,U$5+SQRT(NORMSDIST(U$9*SQRT($C$11)*NORMSINV($B367)+SQRT(1-U$9^2*$C$11)*NORMSINV(T367))*(U$7-U$5)*(U$6-U$5)),U$7-SQRT((1-NORMSDIST(U$9*SQRT($C$11)*NORMSINV($B367)+SQRT(1-U$9^2*$C$11)*NORMSINV(T367)))*(U$7-U$5)*(U$7-U$6))))</f>
        <v>0.538088398586122</v>
      </c>
      <c r="V367" s="2" t="n">
        <v>0.174519403</v>
      </c>
      <c r="W367" s="2" t="n">
        <f aca="false">IF(W$7=W$5,W$6,IF(NORMSDIST(W$9*SQRT($C$11)*NORMSINV($B367)+SQRT(1-W$9^2*$C$11)*NORMSINV(V367))&lt;W$8,W$5+SQRT(NORMSDIST(W$9*SQRT($C$11)*NORMSINV($B367)+SQRT(1-W$9^2*$C$11)*NORMSINV(V367))*(W$7-W$5)*(W$6-W$5)),W$7-SQRT((1-NORMSDIST(W$9*SQRT($C$11)*NORMSINV($B367)+SQRT(1-W$9^2*$C$11)*NORMSINV(V367)))*(W$7-W$5)*(W$7-W$6))))</f>
        <v>9.14971740518165</v>
      </c>
      <c r="X367" s="2" t="n">
        <v>0.405866921</v>
      </c>
      <c r="Y367" s="2" t="n">
        <f aca="false">IF(Y$7=Y$5,Y$6,IF(NORMSDIST(Y$9*SQRT($C$11)*NORMSINV($B367)+SQRT(1-Y$9^2*$C$11)*NORMSINV(X367))&lt;Y$8,Y$5+SQRT(NORMSDIST(Y$9*SQRT($C$11)*NORMSINV($B367)+SQRT(1-Y$9^2*$C$11)*NORMSINV(X367))*(Y$7-Y$5)*(Y$6-Y$5)),Y$7-SQRT((1-NORMSDIST(Y$9*SQRT($C$11)*NORMSINV($B367)+SQRT(1-Y$9^2*$C$11)*NORMSINV(X367)))*(Y$7-Y$5)*(Y$7-Y$6))))</f>
        <v>0.450481365319366</v>
      </c>
      <c r="Z367" s="2" t="n">
        <v>0.613590808</v>
      </c>
      <c r="AA367" s="2" t="n">
        <f aca="false">IF(AA$7=AA$5,AA$6,IF(NORMSDIST(AA$9*SQRT($C$11)*NORMSINV($B367)+SQRT(1-AA$9^2*$C$11)*NORMSINV(Z367))&lt;AA$8,AA$5+SQRT(NORMSDIST(AA$9*SQRT($C$11)*NORMSINV($B367)+SQRT(1-AA$9^2*$C$11)*NORMSINV(Z367))*(AA$7-AA$5)*(AA$6-AA$5)),AA$7-SQRT((1-NORMSDIST(AA$9*SQRT($C$11)*NORMSINV($B367)+SQRT(1-AA$9^2*$C$11)*NORMSINV(Z367)))*(AA$7-AA$5)*(AA$7-AA$6))))</f>
        <v>0.727734004521703</v>
      </c>
      <c r="AB367" s="2" t="n">
        <v>0.192471255</v>
      </c>
      <c r="AC367" s="2" t="n">
        <f aca="false">IF(AC$7=AC$5,AC$6,IF(NORMSDIST(AC$9*SQRT($C$11)*NORMSINV($B367)+SQRT(1-AC$9^2*$C$11)*NORMSINV(AB367))&lt;AC$8,AC$5+SQRT(NORMSDIST(AC$9*SQRT($C$11)*NORMSINV($B367)+SQRT(1-AC$9^2*$C$11)*NORMSINV(AB367))*(AC$7-AC$5)*(AC$6-AC$5)),AC$7-SQRT((1-NORMSDIST(AC$9*SQRT($C$11)*NORMSINV($B367)+SQRT(1-AC$9^2*$C$11)*NORMSINV(AB367)))*(AC$7-AC$5)*(AC$7-AC$6))))</f>
        <v>8.64214165998965</v>
      </c>
      <c r="AD367" s="2" t="n">
        <f aca="false">Entrées!$C$8*(1+E367)</f>
        <v>7453.41618523945</v>
      </c>
      <c r="AE367" s="2" t="n">
        <f aca="false">I367*Hypothèses!$J$24/12/Hypothèses!$J$19</f>
        <v>97.0702644256449</v>
      </c>
      <c r="AF367" s="2" t="n">
        <f aca="false">Entrées!$C$36*S367*1000</f>
        <v>270.54810414995</v>
      </c>
      <c r="AG367" s="2" t="n">
        <f aca="false">-AF367/W367</f>
        <v>-29.5690120436653</v>
      </c>
      <c r="AH367" s="2" t="n">
        <f aca="false">AD367+AE367+AG367</f>
        <v>7520.91743762143</v>
      </c>
      <c r="AI367" s="2" t="n">
        <f aca="false">Entrées!$C$16-M367+Hypothèses!$J$22*1000-AF367+Hypothèses!$J$23</f>
        <v>22822.1962198267</v>
      </c>
      <c r="AJ367" s="2" t="n">
        <f aca="false">AI367/AH367</f>
        <v>3.03449631100384</v>
      </c>
      <c r="AK367" s="2" t="n">
        <f aca="false">AI367/(AH367+I367*(12-Hypothèses!$J$24)/12/Hypothèses!$J$19)</f>
        <v>3.00677661142119</v>
      </c>
      <c r="AL367" s="2" t="n">
        <f aca="false">(AD367+AG367+I367/Hypothèses!$J$19)*(1+G367)</f>
        <v>8007.73354750209</v>
      </c>
      <c r="AM367" s="2" t="n">
        <f aca="false">Entrées!$C$54*K367/Hypothèses!$J$19</f>
        <v>20.9977737905452</v>
      </c>
      <c r="AN367" s="2" t="n">
        <f aca="false">Y367*1000/AC367</f>
        <v>52.1261260278746</v>
      </c>
      <c r="AO367" s="2" t="n">
        <f aca="false">(Entrées!$C$36*(1-S367)+MAX(0,Entrées!$C$30-Entrées!$C$35-Entrées!$C$36)*U367)*1000</f>
        <v>982.775653870621</v>
      </c>
      <c r="AP367" s="2" t="n">
        <f aca="false">-AO367/W367</f>
        <v>-107.410492625057</v>
      </c>
      <c r="AQ367" s="2" t="n">
        <f aca="false">AL367+AM367+AN367+AP367</f>
        <v>7973.44695469545</v>
      </c>
      <c r="AR367" s="2" t="n">
        <f aca="false">O367*AQ367-Hypothèses!$J$25/Hypothèses!$J$19</f>
        <v>1269.76931344035</v>
      </c>
      <c r="AS367" s="2" t="n">
        <f aca="false">Entrées!$C$79*(1+Q367)+Hypothèses!$J$20</f>
        <v>1458.85162848889</v>
      </c>
      <c r="AT367" s="2" t="n">
        <f aca="false">AI367-AR367+AS367+Y367*1000-AO367+Hypothèses!$J$23</f>
        <v>22478.9842463239</v>
      </c>
      <c r="AU367" s="2" t="n">
        <f aca="false">AT367/AQ367</f>
        <v>2.81923042494017</v>
      </c>
      <c r="AV367" s="2" t="n">
        <f aca="false">Hypothèses!$J$26*AQ367-AT367</f>
        <v>1441.35661776242</v>
      </c>
      <c r="AW367" s="2" t="n">
        <f aca="false">IF(AC367&gt;Hypothèses!$J$26,MAX(0,AV367)/(1-Hypothèses!$J$26/AC367),0)</f>
        <v>2207.74465157424</v>
      </c>
      <c r="AX367" s="2" t="n">
        <f aca="false">AQ367-Entrées!$C$17*1000</f>
        <v>-26.5530453045494</v>
      </c>
      <c r="AY367" s="2" t="n">
        <f aca="false">AI367+(Entrées!$C$244-Entrées!$C$13)</f>
        <v>28569.1962198267</v>
      </c>
      <c r="AZ367" s="2" t="n">
        <f aca="false">AA367*AH367</f>
        <v>5473.22736455734</v>
      </c>
      <c r="BA367" s="2" t="n">
        <f aca="false">AZ367/AY367</f>
        <v>0.191577926184671</v>
      </c>
      <c r="BB367" s="2" t="n">
        <f aca="false">AZ367/(Entrées!$C$151/100)-AY367</f>
        <v>1837.62247215858</v>
      </c>
      <c r="BC367" s="2" t="n">
        <f aca="false">AT367+(Entrées!$C$244-Entrées!$C$13)</f>
        <v>28225.9842463239</v>
      </c>
      <c r="BD367" s="2" t="n">
        <f aca="false">AA367*AQ367</f>
        <v>5802.54848218189</v>
      </c>
      <c r="BE367" s="2" t="n">
        <f aca="false">BD367/BC367</f>
        <v>0.205574708451047</v>
      </c>
      <c r="BF367" s="2" t="n">
        <f aca="false">BD367/(Entrées!$C$151/100)-BC367</f>
        <v>4010.39621024215</v>
      </c>
      <c r="BG367" s="2" t="n">
        <f aca="false">MIN(AV367,BF367)</f>
        <v>1441.35661776242</v>
      </c>
      <c r="BH367" s="2" t="n">
        <f aca="false">IF(AC367&gt;Hypothèses!$J$26,MAX(0,BG367)/(1-Hypothèses!$J$26/AC367),0)</f>
        <v>2207.74465157424</v>
      </c>
    </row>
    <row r="368" customFormat="false" ht="15" hidden="false" customHeight="false" outlineLevel="0" collapsed="false">
      <c r="A368" s="2" t="n">
        <v>353</v>
      </c>
      <c r="B368" s="2" t="n">
        <v>0.597798822</v>
      </c>
      <c r="C368" s="2"/>
      <c r="D368" s="2" t="n">
        <v>0.845085574</v>
      </c>
      <c r="E368" s="2" t="n">
        <f aca="false">IF(E$7=E$5,E$6,IF(NORMSDIST(E$9*SQRT($C$11)*NORMSINV($B368)+SQRT(1-E$9^2*$C$11)*NORMSINV(D368))&lt;E$8,E$5+SQRT(NORMSDIST(E$9*SQRT($C$11)*NORMSINV($B368)+SQRT(1-E$9^2*$C$11)*NORMSINV(D368))*(E$7-E$5)*(E$6-E$5)),E$7-SQRT((1-NORMSDIST(E$9*SQRT($C$11)*NORMSINV($B368)+SQRT(1-E$9^2*$C$11)*NORMSINV(D368)))*(E$7-E$5)*(E$7-E$6))))</f>
        <v>0.0570609115709587</v>
      </c>
      <c r="F368" s="2" t="n">
        <v>0.739764308</v>
      </c>
      <c r="G368" s="2" t="n">
        <f aca="false">IF(G$7=G$5,G$6,IF(NORMSDIST(G$9*SQRT($C$11)*NORMSINV($B368)+SQRT(1-G$9^2*$C$11)*NORMSINV(F368))&lt;G$8,G$5+SQRT(NORMSDIST(G$9*SQRT($C$11)*NORMSINV($B368)+SQRT(1-G$9^2*$C$11)*NORMSINV(F368))*(G$7-G$5)*(G$6-G$5)),G$7-SQRT((1-NORMSDIST(G$9*SQRT($C$11)*NORMSINV($B368)+SQRT(1-G$9^2*$C$11)*NORMSINV(F368)))*(G$7-G$5)*(G$7-G$6))))</f>
        <v>0.059257927821297</v>
      </c>
      <c r="H368" s="2" t="n">
        <v>0.450032164</v>
      </c>
      <c r="I368" s="2" t="n">
        <f aca="false">IF(I$7=I$5,I$6,IF(NORMSDIST(I$9*SQRT($C$11)*NORMSINV($B368)+SQRT(1-I$9^2*$C$11)*NORMSINV(H368))&lt;I$8,I$5+SQRT(NORMSDIST(I$9*SQRT($C$11)*NORMSINV($B368)+SQRT(1-I$9^2*$C$11)*NORMSINV(H368))*(I$7-I$5)*(I$6-I$5)),I$7-SQRT((1-NORMSDIST(I$9*SQRT($C$11)*NORMSINV($B368)+SQRT(1-I$9^2*$C$11)*NORMSINV(H368)))*(I$7-I$5)*(I$7-I$6))))</f>
        <v>200.479051997105</v>
      </c>
      <c r="J368" s="2" t="n">
        <v>0.67070968</v>
      </c>
      <c r="K368" s="2" t="n">
        <f aca="false">IF(K$7=K$5,K$6,IF(NORMSDIST(K$9*SQRT($C$11)*NORMSINV($B368)+SQRT(1-K$9^2*$C$11)*NORMSINV(J368))&lt;K$8,K$5+SQRT(NORMSDIST(K$9*SQRT($C$11)*NORMSINV($B368)+SQRT(1-K$9^2*$C$11)*NORMSINV(J368))*(K$7-K$5)*(K$6-K$5)),K$7-SQRT((1-NORMSDIST(K$9*SQRT($C$11)*NORMSINV($B368)+SQRT(1-K$9^2*$C$11)*NORMSINV(J368)))*(K$7-K$5)*(K$7-K$6))))</f>
        <v>0.303491865764945</v>
      </c>
      <c r="L368" s="2" t="n">
        <v>0.9298679</v>
      </c>
      <c r="M368" s="2" t="n">
        <f aca="false">IF(M$7=M$5,M$6,IF(NORMSDIST(M$9*SQRT($C$11)*NORMSINV($B368)+SQRT(1-M$9^2*$C$11)*NORMSINV(L368))&lt;M$8,M$5+SQRT(NORMSDIST(M$9*SQRT($C$11)*NORMSINV($B368)+SQRT(1-M$9^2*$C$11)*NORMSINV(L368))*(M$7-M$5)*(M$6-M$5)),M$7-SQRT((1-NORMSDIST(M$9*SQRT($C$11)*NORMSINV($B368)+SQRT(1-M$9^2*$C$11)*NORMSINV(L368)))*(M$7-M$5)*(M$7-M$6))))</f>
        <v>1704.03811974051</v>
      </c>
      <c r="N368" s="2" t="n">
        <v>0.918750809</v>
      </c>
      <c r="O368" s="2" t="n">
        <f aca="false">IF(O$7=O$5,O$6,IF(NORMSDIST(O$9*SQRT($C$11)*NORMSINV($B368)+SQRT(1-O$9^2*$C$11)*NORMSINV(N368))&lt;O$8,O$5+SQRT(NORMSDIST(O$9*SQRT($C$11)*NORMSINV($B368)+SQRT(1-O$9^2*$C$11)*NORMSINV(N368))*(O$7-O$5)*(O$6-O$5)),O$7-SQRT((1-NORMSDIST(O$9*SQRT($C$11)*NORMSINV($B368)+SQRT(1-O$9^2*$C$11)*NORMSINV(N368)))*(O$7-O$5)*(O$7-O$6))))</f>
        <v>0.179286217142434</v>
      </c>
      <c r="P368" s="2" t="n">
        <v>0.901000189</v>
      </c>
      <c r="Q368" s="2" t="n">
        <f aca="false">IF(Q$7=Q$5,Q$6,IF(NORMSDIST(Q$9*SQRT($C$11)*NORMSINV($B368)+SQRT(1-Q$9^2*$C$11)*NORMSINV(P368))&lt;Q$8,Q$5+SQRT(NORMSDIST(Q$9*SQRT($C$11)*NORMSINV($B368)+SQRT(1-Q$9^2*$C$11)*NORMSINV(P368))*(Q$7-Q$5)*(Q$6-Q$5)),Q$7-SQRT((1-NORMSDIST(Q$9*SQRT($C$11)*NORMSINV($B368)+SQRT(1-Q$9^2*$C$11)*NORMSINV(P368)))*(Q$7-Q$5)*(Q$7-Q$6))))</f>
        <v>0.102201140620815</v>
      </c>
      <c r="R368" s="2" t="n">
        <v>0.266182231</v>
      </c>
      <c r="S368" s="2" t="n">
        <f aca="false">IF(S$7=S$5,S$6,IF(NORMSDIST(S$9*SQRT($C$11)*NORMSINV($B368)+SQRT(1-S$9^2*$C$11)*NORMSINV(R368))&lt;S$8,S$5+SQRT(NORMSDIST(S$9*SQRT($C$11)*NORMSINV($B368)+SQRT(1-S$9^2*$C$11)*NORMSINV(R368))*(S$7-S$5)*(S$6-S$5)),S$7-SQRT((1-NORMSDIST(S$9*SQRT($C$11)*NORMSINV($B368)+SQRT(1-S$9^2*$C$11)*NORMSINV(R368)))*(S$7-S$5)*(S$7-S$6))))</f>
        <v>0.431174598796082</v>
      </c>
      <c r="T368" s="2" t="n">
        <v>0.773495846</v>
      </c>
      <c r="U368" s="2" t="n">
        <f aca="false">IF(U$7=U$5,U$6,IF(NORMSDIST(U$9*SQRT($C$11)*NORMSINV($B368)+SQRT(1-U$9^2*$C$11)*NORMSINV(T368))&lt;U$8,U$5+SQRT(NORMSDIST(U$9*SQRT($C$11)*NORMSINV($B368)+SQRT(1-U$9^2*$C$11)*NORMSINV(T368))*(U$7-U$5)*(U$6-U$5)),U$7-SQRT((1-NORMSDIST(U$9*SQRT($C$11)*NORMSINV($B368)+SQRT(1-U$9^2*$C$11)*NORMSINV(T368)))*(U$7-U$5)*(U$7-U$6))))</f>
        <v>0.660670284932292</v>
      </c>
      <c r="V368" s="2" t="n">
        <v>0.146961318</v>
      </c>
      <c r="W368" s="2" t="n">
        <f aca="false">IF(W$7=W$5,W$6,IF(NORMSDIST(W$9*SQRT($C$11)*NORMSINV($B368)+SQRT(1-W$9^2*$C$11)*NORMSINV(V368))&lt;W$8,W$5+SQRT(NORMSDIST(W$9*SQRT($C$11)*NORMSINV($B368)+SQRT(1-W$9^2*$C$11)*NORMSINV(V368))*(W$7-W$5)*(W$6-W$5)),W$7-SQRT((1-NORMSDIST(W$9*SQRT($C$11)*NORMSINV($B368)+SQRT(1-W$9^2*$C$11)*NORMSINV(V368)))*(W$7-W$5)*(W$7-W$6))))</f>
        <v>9.43052106859613</v>
      </c>
      <c r="X368" s="2" t="n">
        <v>0.915578358</v>
      </c>
      <c r="Y368" s="2" t="n">
        <f aca="false">IF(Y$7=Y$5,Y$6,IF(NORMSDIST(Y$9*SQRT($C$11)*NORMSINV($B368)+SQRT(1-Y$9^2*$C$11)*NORMSINV(X368))&lt;Y$8,Y$5+SQRT(NORMSDIST(Y$9*SQRT($C$11)*NORMSINV($B368)+SQRT(1-Y$9^2*$C$11)*NORMSINV(X368))*(Y$7-Y$5)*(Y$6-Y$5)),Y$7-SQRT((1-NORMSDIST(Y$9*SQRT($C$11)*NORMSINV($B368)+SQRT(1-Y$9^2*$C$11)*NORMSINV(X368)))*(Y$7-Y$5)*(Y$7-Y$6))))</f>
        <v>0.794547277944536</v>
      </c>
      <c r="Z368" s="2" t="n">
        <v>0.70996663</v>
      </c>
      <c r="AA368" s="2" t="n">
        <f aca="false">IF(AA$7=AA$5,AA$6,IF(NORMSDIST(AA$9*SQRT($C$11)*NORMSINV($B368)+SQRT(1-AA$9^2*$C$11)*NORMSINV(Z368))&lt;AA$8,AA$5+SQRT(NORMSDIST(AA$9*SQRT($C$11)*NORMSINV($B368)+SQRT(1-AA$9^2*$C$11)*NORMSINV(Z368))*(AA$7-AA$5)*(AA$6-AA$5)),AA$7-SQRT((1-NORMSDIST(AA$9*SQRT($C$11)*NORMSINV($B368)+SQRT(1-AA$9^2*$C$11)*NORMSINV(Z368)))*(AA$7-AA$5)*(AA$7-AA$6))))</f>
        <v>0.73492588765659</v>
      </c>
      <c r="AB368" s="2" t="n">
        <v>0.657256196</v>
      </c>
      <c r="AC368" s="2" t="n">
        <f aca="false">IF(AC$7=AC$5,AC$6,IF(NORMSDIST(AC$9*SQRT($C$11)*NORMSINV($B368)+SQRT(1-AC$9^2*$C$11)*NORMSINV(AB368))&lt;AC$8,AC$5+SQRT(NORMSDIST(AC$9*SQRT($C$11)*NORMSINV($B368)+SQRT(1-AC$9^2*$C$11)*NORMSINV(AB368))*(AC$7-AC$5)*(AC$6-AC$5)),AC$7-SQRT((1-NORMSDIST(AC$9*SQRT($C$11)*NORMSINV($B368)+SQRT(1-AC$9^2*$C$11)*NORMSINV(AB368)))*(AC$7-AC$5)*(AC$7-AC$6))))</f>
        <v>9.82597439220155</v>
      </c>
      <c r="AD368" s="2" t="n">
        <f aca="false">Entrées!$C$8*(1+E368)</f>
        <v>7452.27942657526</v>
      </c>
      <c r="AE368" s="2" t="n">
        <f aca="false">I368*Hypothèses!$J$24/12/Hypothèses!$J$19</f>
        <v>99.4570160375957</v>
      </c>
      <c r="AF368" s="2" t="n">
        <f aca="false">Entrées!$C$36*S368*1000</f>
        <v>215.587299398041</v>
      </c>
      <c r="AG368" s="2" t="n">
        <f aca="false">-AF368/W368</f>
        <v>-22.8605925197445</v>
      </c>
      <c r="AH368" s="2" t="n">
        <f aca="false">AD368+AE368+AG368</f>
        <v>7528.87585009311</v>
      </c>
      <c r="AI368" s="2" t="n">
        <f aca="false">Entrées!$C$16-M368+Hypothèses!$J$22*1000-AF368+Hypothèses!$J$23</f>
        <v>22628.3745808614</v>
      </c>
      <c r="AJ368" s="2" t="n">
        <f aca="false">AI368/AH368</f>
        <v>3.00554492216545</v>
      </c>
      <c r="AK368" s="2" t="n">
        <f aca="false">AI368/(AH368+I368*(12-Hypothèses!$J$24)/12/Hypothèses!$J$19)</f>
        <v>2.97745039107584</v>
      </c>
      <c r="AL368" s="2" t="n">
        <f aca="false">(AD368+AG368+I368/Hypothèses!$J$19)*(1+G368)</f>
        <v>8050.27188373292</v>
      </c>
      <c r="AM368" s="2" t="n">
        <f aca="false">Entrées!$C$54*K368/Hypothèses!$J$19</f>
        <v>30.9726191813111</v>
      </c>
      <c r="AN368" s="2" t="n">
        <f aca="false">Y368*1000/AC368</f>
        <v>80.8619324893756</v>
      </c>
      <c r="AO368" s="2" t="n">
        <f aca="false">(Entrées!$C$36*(1-S368)+MAX(0,Entrées!$C$30-Entrées!$C$35-Entrées!$C$36)*U368)*1000</f>
        <v>1209.35109950717</v>
      </c>
      <c r="AP368" s="2" t="n">
        <f aca="false">-AO368/W368</f>
        <v>-128.237993501158</v>
      </c>
      <c r="AQ368" s="2" t="n">
        <f aca="false">AL368+AM368+AN368+AP368</f>
        <v>8033.86844190244</v>
      </c>
      <c r="AR368" s="2" t="n">
        <f aca="false">O368*AQ368-Hypothèses!$J$25/Hypothèses!$J$19</f>
        <v>1421.22671970704</v>
      </c>
      <c r="AS368" s="2" t="n">
        <f aca="false">Entrées!$C$79*(1+Q368)+Hypothèses!$J$20</f>
        <v>1506.31905354228</v>
      </c>
      <c r="AT368" s="2" t="n">
        <f aca="false">AI368-AR368+AS368+Y368*1000-AO368+Hypothèses!$J$23</f>
        <v>22298.6630931341</v>
      </c>
      <c r="AU368" s="2" t="n">
        <f aca="false">AT368/AQ368</f>
        <v>2.77558230563378</v>
      </c>
      <c r="AV368" s="2" t="n">
        <f aca="false">Hypothèses!$J$26*AQ368-AT368</f>
        <v>1802.94223257328</v>
      </c>
      <c r="AW368" s="2" t="n">
        <f aca="false">IF(AC368&gt;Hypothèses!$J$26,MAX(0,AV368)/(1-Hypothèses!$J$26/AC368),0)</f>
        <v>2595.33118496947</v>
      </c>
      <c r="AX368" s="2" t="n">
        <f aca="false">AQ368-Entrées!$C$17*1000</f>
        <v>33.868441902443</v>
      </c>
      <c r="AY368" s="2" t="n">
        <f aca="false">AI368+(Entrées!$C$244-Entrées!$C$13)</f>
        <v>28375.3745808614</v>
      </c>
      <c r="AZ368" s="2" t="n">
        <f aca="false">AA368*AH368</f>
        <v>5533.16576718594</v>
      </c>
      <c r="BA368" s="2" t="n">
        <f aca="false">AZ368/AY368</f>
        <v>0.194998862531948</v>
      </c>
      <c r="BB368" s="2" t="n">
        <f aca="false">AZ368/(Entrées!$C$151/100)-AY368</f>
        <v>2364.43523683822</v>
      </c>
      <c r="BC368" s="2" t="n">
        <f aca="false">AT368+(Entrées!$C$244-Entrées!$C$13)</f>
        <v>28045.6630931341</v>
      </c>
      <c r="BD368" s="2" t="n">
        <f aca="false">AA368*AQ368</f>
        <v>5904.29789598142</v>
      </c>
      <c r="BE368" s="2" t="n">
        <f aca="false">BD368/BC368</f>
        <v>0.210524453509066</v>
      </c>
      <c r="BF368" s="2" t="n">
        <f aca="false">BD368/(Entrées!$C$151/100)-BC368</f>
        <v>4755.99188454049</v>
      </c>
      <c r="BG368" s="2" t="n">
        <f aca="false">MIN(AV368,BF368)</f>
        <v>1802.94223257328</v>
      </c>
      <c r="BH368" s="2" t="n">
        <f aca="false">IF(AC368&gt;Hypothèses!$J$26,MAX(0,BG368)/(1-Hypothèses!$J$26/AC368),0)</f>
        <v>2595.33118496947</v>
      </c>
    </row>
    <row r="369" customFormat="false" ht="15" hidden="false" customHeight="false" outlineLevel="0" collapsed="false">
      <c r="A369" s="2" t="n">
        <v>354</v>
      </c>
      <c r="B369" s="2" t="n">
        <v>0.670761619</v>
      </c>
      <c r="C369" s="2"/>
      <c r="D369" s="2" t="n">
        <v>0.138294421</v>
      </c>
      <c r="E369" s="2" t="n">
        <f aca="false">IF(E$7=E$5,E$6,IF(NORMSDIST(E$9*SQRT($C$11)*NORMSINV($B369)+SQRT(1-E$9^2*$C$11)*NORMSINV(D369))&lt;E$8,E$5+SQRT(NORMSDIST(E$9*SQRT($C$11)*NORMSINV($B369)+SQRT(1-E$9^2*$C$11)*NORMSINV(D369))*(E$7-E$5)*(E$6-E$5)),E$7-SQRT((1-NORMSDIST(E$9*SQRT($C$11)*NORMSINV($B369)+SQRT(1-E$9^2*$C$11)*NORMSINV(D369)))*(E$7-E$5)*(E$7-E$6))))</f>
        <v>0.0537857887027221</v>
      </c>
      <c r="F369" s="2" t="n">
        <v>0.892334921</v>
      </c>
      <c r="G369" s="2" t="n">
        <f aca="false">IF(G$7=G$5,G$6,IF(NORMSDIST(G$9*SQRT($C$11)*NORMSINV($B369)+SQRT(1-G$9^2*$C$11)*NORMSINV(F369))&lt;G$8,G$5+SQRT(NORMSDIST(G$9*SQRT($C$11)*NORMSINV($B369)+SQRT(1-G$9^2*$C$11)*NORMSINV(F369))*(G$7-G$5)*(G$6-G$5)),G$7-SQRT((1-NORMSDIST(G$9*SQRT($C$11)*NORMSINV($B369)+SQRT(1-G$9^2*$C$11)*NORMSINV(F369)))*(G$7-G$5)*(G$7-G$6))))</f>
        <v>0.0630410767341669</v>
      </c>
      <c r="H369" s="2" t="n">
        <v>0.511803744</v>
      </c>
      <c r="I369" s="2" t="n">
        <f aca="false">IF(I$7=I$5,I$6,IF(NORMSDIST(I$9*SQRT($C$11)*NORMSINV($B369)+SQRT(1-I$9^2*$C$11)*NORMSINV(H369))&lt;I$8,I$5+SQRT(NORMSDIST(I$9*SQRT($C$11)*NORMSINV($B369)+SQRT(1-I$9^2*$C$11)*NORMSINV(H369))*(I$7-I$5)*(I$6-I$5)),I$7-SQRT((1-NORMSDIST(I$9*SQRT($C$11)*NORMSINV($B369)+SQRT(1-I$9^2*$C$11)*NORMSINV(H369)))*(I$7-I$5)*(I$7-I$6))))</f>
        <v>202.53818238952</v>
      </c>
      <c r="J369" s="2" t="n">
        <v>0.8648243</v>
      </c>
      <c r="K369" s="2" t="n">
        <f aca="false">IF(K$7=K$5,K$6,IF(NORMSDIST(K$9*SQRT($C$11)*NORMSINV($B369)+SQRT(1-K$9^2*$C$11)*NORMSINV(J369))&lt;K$8,K$5+SQRT(NORMSDIST(K$9*SQRT($C$11)*NORMSINV($B369)+SQRT(1-K$9^2*$C$11)*NORMSINV(J369))*(K$7-K$5)*(K$6-K$5)),K$7-SQRT((1-NORMSDIST(K$9*SQRT($C$11)*NORMSINV($B369)+SQRT(1-K$9^2*$C$11)*NORMSINV(J369)))*(K$7-K$5)*(K$7-K$6))))</f>
        <v>0.373246341638097</v>
      </c>
      <c r="L369" s="2" t="n">
        <v>0.179561845</v>
      </c>
      <c r="M369" s="2" t="n">
        <f aca="false">IF(M$7=M$5,M$6,IF(NORMSDIST(M$9*SQRT($C$11)*NORMSINV($B369)+SQRT(1-M$9^2*$C$11)*NORMSINV(L369))&lt;M$8,M$5+SQRT(NORMSDIST(M$9*SQRT($C$11)*NORMSINV($B369)+SQRT(1-M$9^2*$C$11)*NORMSINV(L369))*(M$7-M$5)*(M$6-M$5)),M$7-SQRT((1-NORMSDIST(M$9*SQRT($C$11)*NORMSINV($B369)+SQRT(1-M$9^2*$C$11)*NORMSINV(L369)))*(M$7-M$5)*(M$7-M$6))))</f>
        <v>1533.56915248773</v>
      </c>
      <c r="N369" s="2" t="n">
        <v>0.828761778</v>
      </c>
      <c r="O369" s="2" t="n">
        <f aca="false">IF(O$7=O$5,O$6,IF(NORMSDIST(O$9*SQRT($C$11)*NORMSINV($B369)+SQRT(1-O$9^2*$C$11)*NORMSINV(N369))&lt;O$8,O$5+SQRT(NORMSDIST(O$9*SQRT($C$11)*NORMSINV($B369)+SQRT(1-O$9^2*$C$11)*NORMSINV(N369))*(O$7-O$5)*(O$6-O$5)),O$7-SQRT((1-NORMSDIST(O$9*SQRT($C$11)*NORMSINV($B369)+SQRT(1-O$9^2*$C$11)*NORMSINV(N369)))*(O$7-O$5)*(O$7-O$6))))</f>
        <v>0.177147255637591</v>
      </c>
      <c r="P369" s="2" t="n">
        <v>0.343852094</v>
      </c>
      <c r="Q369" s="2" t="n">
        <f aca="false">IF(Q$7=Q$5,Q$6,IF(NORMSDIST(Q$9*SQRT($C$11)*NORMSINV($B369)+SQRT(1-Q$9^2*$C$11)*NORMSINV(P369))&lt;Q$8,Q$5+SQRT(NORMSDIST(Q$9*SQRT($C$11)*NORMSINV($B369)+SQRT(1-Q$9^2*$C$11)*NORMSINV(P369))*(Q$7-Q$5)*(Q$6-Q$5)),Q$7-SQRT((1-NORMSDIST(Q$9*SQRT($C$11)*NORMSINV($B369)+SQRT(1-Q$9^2*$C$11)*NORMSINV(P369)))*(Q$7-Q$5)*(Q$7-Q$6))))</f>
        <v>0.0731711727377855</v>
      </c>
      <c r="R369" s="2" t="n">
        <v>0.191530765</v>
      </c>
      <c r="S369" s="2" t="n">
        <f aca="false">IF(S$7=S$5,S$6,IF(NORMSDIST(S$9*SQRT($C$11)*NORMSINV($B369)+SQRT(1-S$9^2*$C$11)*NORMSINV(R369))&lt;S$8,S$5+SQRT(NORMSDIST(S$9*SQRT($C$11)*NORMSINV($B369)+SQRT(1-S$9^2*$C$11)*NORMSINV(R369))*(S$7-S$5)*(S$6-S$5)),S$7-SQRT((1-NORMSDIST(S$9*SQRT($C$11)*NORMSINV($B369)+SQRT(1-S$9^2*$C$11)*NORMSINV(R369)))*(S$7-S$5)*(S$7-S$6))))</f>
        <v>0.415941946815538</v>
      </c>
      <c r="T369" s="2" t="n">
        <v>0.561627282</v>
      </c>
      <c r="U369" s="2" t="n">
        <f aca="false">IF(U$7=U$5,U$6,IF(NORMSDIST(U$9*SQRT($C$11)*NORMSINV($B369)+SQRT(1-U$9^2*$C$11)*NORMSINV(T369))&lt;U$8,U$5+SQRT(NORMSDIST(U$9*SQRT($C$11)*NORMSINV($B369)+SQRT(1-U$9^2*$C$11)*NORMSINV(T369))*(U$7-U$5)*(U$6-U$5)),U$7-SQRT((1-NORMSDIST(U$9*SQRT($C$11)*NORMSINV($B369)+SQRT(1-U$9^2*$C$11)*NORMSINV(T369)))*(U$7-U$5)*(U$7-U$6))))</f>
        <v>0.584854707574875</v>
      </c>
      <c r="V369" s="2" t="n">
        <v>0.057101756</v>
      </c>
      <c r="W369" s="2" t="n">
        <f aca="false">IF(W$7=W$5,W$6,IF(NORMSDIST(W$9*SQRT($C$11)*NORMSINV($B369)+SQRT(1-W$9^2*$C$11)*NORMSINV(V369))&lt;W$8,W$5+SQRT(NORMSDIST(W$9*SQRT($C$11)*NORMSINV($B369)+SQRT(1-W$9^2*$C$11)*NORMSINV(V369))*(W$7-W$5)*(W$6-W$5)),W$7-SQRT((1-NORMSDIST(W$9*SQRT($C$11)*NORMSINV($B369)+SQRT(1-W$9^2*$C$11)*NORMSINV(V369)))*(W$7-W$5)*(W$7-W$6))))</f>
        <v>9.17504043300357</v>
      </c>
      <c r="X369" s="2" t="n">
        <v>0.750445002</v>
      </c>
      <c r="Y369" s="2" t="n">
        <f aca="false">IF(Y$7=Y$5,Y$6,IF(NORMSDIST(Y$9*SQRT($C$11)*NORMSINV($B369)+SQRT(1-Y$9^2*$C$11)*NORMSINV(X369))&lt;Y$8,Y$5+SQRT(NORMSDIST(Y$9*SQRT($C$11)*NORMSINV($B369)+SQRT(1-Y$9^2*$C$11)*NORMSINV(X369))*(Y$7-Y$5)*(Y$6-Y$5)),Y$7-SQRT((1-NORMSDIST(Y$9*SQRT($C$11)*NORMSINV($B369)+SQRT(1-Y$9^2*$C$11)*NORMSINV(X369)))*(Y$7-Y$5)*(Y$7-Y$6))))</f>
        <v>0.646761413489409</v>
      </c>
      <c r="Z369" s="2" t="n">
        <v>0.103753718</v>
      </c>
      <c r="AA369" s="2" t="n">
        <f aca="false">IF(AA$7=AA$5,AA$6,IF(NORMSDIST(AA$9*SQRT($C$11)*NORMSINV($B369)+SQRT(1-AA$9^2*$C$11)*NORMSINV(Z369))&lt;AA$8,AA$5+SQRT(NORMSDIST(AA$9*SQRT($C$11)*NORMSINV($B369)+SQRT(1-AA$9^2*$C$11)*NORMSINV(Z369))*(AA$7-AA$5)*(AA$6-AA$5)),AA$7-SQRT((1-NORMSDIST(AA$9*SQRT($C$11)*NORMSINV($B369)+SQRT(1-AA$9^2*$C$11)*NORMSINV(Z369)))*(AA$7-AA$5)*(AA$7-AA$6))))</f>
        <v>0.718136550208465</v>
      </c>
      <c r="AB369" s="2" t="n">
        <v>0.061003225</v>
      </c>
      <c r="AC369" s="2" t="n">
        <f aca="false">IF(AC$7=AC$5,AC$6,IF(NORMSDIST(AC$9*SQRT($C$11)*NORMSINV($B369)+SQRT(1-AC$9^2*$C$11)*NORMSINV(AB369))&lt;AC$8,AC$5+SQRT(NORMSDIST(AC$9*SQRT($C$11)*NORMSINV($B369)+SQRT(1-AC$9^2*$C$11)*NORMSINV(AB369))*(AC$7-AC$5)*(AC$6-AC$5)),AC$7-SQRT((1-NORMSDIST(AC$9*SQRT($C$11)*NORMSINV($B369)+SQRT(1-AC$9^2*$C$11)*NORMSINV(AB369)))*(AC$7-AC$5)*(AC$7-AC$6))))</f>
        <v>8.64442314184165</v>
      </c>
      <c r="AD369" s="2" t="n">
        <f aca="false">Entrées!$C$8*(1+E369)</f>
        <v>7429.18981035419</v>
      </c>
      <c r="AE369" s="2" t="n">
        <f aca="false">I369*Hypothèses!$J$24/12/Hypothèses!$J$19</f>
        <v>100.47854403477</v>
      </c>
      <c r="AF369" s="2" t="n">
        <f aca="false">Entrées!$C$36*S369*1000</f>
        <v>207.970973407769</v>
      </c>
      <c r="AG369" s="2" t="n">
        <f aca="false">-AF369/W369</f>
        <v>-22.667036175631</v>
      </c>
      <c r="AH369" s="2" t="n">
        <f aca="false">AD369+AE369+AG369</f>
        <v>7507.00131821333</v>
      </c>
      <c r="AI369" s="2" t="n">
        <f aca="false">Entrées!$C$16-M369+Hypothèses!$J$22*1000-AF369+Hypothèses!$J$23</f>
        <v>22806.4598741045</v>
      </c>
      <c r="AJ369" s="2" t="n">
        <f aca="false">AI369/AH369</f>
        <v>3.03802529230572</v>
      </c>
      <c r="AK369" s="2" t="n">
        <f aca="false">AI369/(AH369+I369*(12-Hypothèses!$J$24)/12/Hypothèses!$J$19)</f>
        <v>3.00925542507273</v>
      </c>
      <c r="AL369" s="2" t="n">
        <f aca="false">(AD369+AG369+I369/Hypothèses!$J$19)*(1+G369)</f>
        <v>8056.54563552931</v>
      </c>
      <c r="AM369" s="2" t="n">
        <f aca="false">Entrées!$C$54*K369/Hypothèses!$J$19</f>
        <v>38.0913563242841</v>
      </c>
      <c r="AN369" s="2" t="n">
        <f aca="false">Y369*1000/AC369</f>
        <v>74.8183427485041</v>
      </c>
      <c r="AO369" s="2" t="n">
        <f aca="false">(Entrées!$C$36*(1-S369)+MAX(0,Entrées!$C$30-Entrées!$C$35-Entrées!$C$36)*U369)*1000</f>
        <v>1110.82561719706</v>
      </c>
      <c r="AP369" s="2" t="n">
        <f aca="false">-AO369/W369</f>
        <v>-121.070378415042</v>
      </c>
      <c r="AQ369" s="2" t="n">
        <f aca="false">AL369+AM369+AN369+AP369</f>
        <v>8048.38495618706</v>
      </c>
      <c r="AR369" s="2" t="n">
        <f aca="false">O369*AQ369-Hypothèses!$J$25/Hypothèses!$J$19</f>
        <v>1406.61414504178</v>
      </c>
      <c r="AS369" s="2" t="n">
        <f aca="false">Entrées!$C$79*(1+Q369)+Hypothèses!$J$20</f>
        <v>1474.41511883883</v>
      </c>
      <c r="AT369" s="2" t="n">
        <f aca="false">AI369-AR369+AS369+Y369*1000-AO369+Hypothèses!$J$23</f>
        <v>22410.1966441939</v>
      </c>
      <c r="AU369" s="2" t="n">
        <f aca="false">AT369/AQ369</f>
        <v>2.78443399094205</v>
      </c>
      <c r="AV369" s="2" t="n">
        <f aca="false">Hypothèses!$J$26*AQ369-AT369</f>
        <v>1734.95822436728</v>
      </c>
      <c r="AW369" s="2" t="n">
        <f aca="false">IF(AC369&gt;Hypothèses!$J$26,MAX(0,AV369)/(1-Hypothèses!$J$26/AC369),0)</f>
        <v>2657.08517025808</v>
      </c>
      <c r="AX369" s="2" t="n">
        <f aca="false">AQ369-Entrées!$C$17*1000</f>
        <v>48.3849561870575</v>
      </c>
      <c r="AY369" s="2" t="n">
        <f aca="false">AI369+(Entrées!$C$244-Entrées!$C$13)</f>
        <v>28553.4598741045</v>
      </c>
      <c r="AZ369" s="2" t="n">
        <f aca="false">AA369*AH369</f>
        <v>5391.05202907212</v>
      </c>
      <c r="BA369" s="2" t="n">
        <f aca="false">AZ369/AY369</f>
        <v>0.188805561667199</v>
      </c>
      <c r="BB369" s="2" t="n">
        <f aca="false">AZ369/(Entrées!$C$151/100)-AY369</f>
        <v>1396.82917629619</v>
      </c>
      <c r="BC369" s="2" t="n">
        <f aca="false">AT369+(Entrées!$C$244-Entrées!$C$13)</f>
        <v>28157.1966441939</v>
      </c>
      <c r="BD369" s="2" t="n">
        <f aca="false">AA369*AQ369</f>
        <v>5779.83940718588</v>
      </c>
      <c r="BE369" s="2" t="n">
        <f aca="false">BD369/BC369</f>
        <v>0.205270413820749</v>
      </c>
      <c r="BF369" s="2" t="n">
        <f aca="false">BD369/(Entrées!$C$151/100)-BC369</f>
        <v>3953.02228461657</v>
      </c>
      <c r="BG369" s="2" t="n">
        <f aca="false">MIN(AV369,BF369)</f>
        <v>1734.95822436728</v>
      </c>
      <c r="BH369" s="2" t="n">
        <f aca="false">IF(AC369&gt;Hypothèses!$J$26,MAX(0,BG369)/(1-Hypothèses!$J$26/AC369),0)</f>
        <v>2657.08517025808</v>
      </c>
    </row>
    <row r="370" customFormat="false" ht="15" hidden="false" customHeight="false" outlineLevel="0" collapsed="false">
      <c r="A370" s="2" t="n">
        <v>355</v>
      </c>
      <c r="B370" s="2" t="n">
        <v>0.748947799</v>
      </c>
      <c r="C370" s="2"/>
      <c r="D370" s="2" t="n">
        <v>0.523579392</v>
      </c>
      <c r="E370" s="2" t="n">
        <f aca="false">IF(E$7=E$5,E$6,IF(NORMSDIST(E$9*SQRT($C$11)*NORMSINV($B370)+SQRT(1-E$9^2*$C$11)*NORMSINV(D370))&lt;E$8,E$5+SQRT(NORMSDIST(E$9*SQRT($C$11)*NORMSINV($B370)+SQRT(1-E$9^2*$C$11)*NORMSINV(D370))*(E$7-E$5)*(E$6-E$5)),E$7-SQRT((1-NORMSDIST(E$9*SQRT($C$11)*NORMSINV($B370)+SQRT(1-E$9^2*$C$11)*NORMSINV(D370)))*(E$7-E$5)*(E$7-E$6))))</f>
        <v>0.0560058190323367</v>
      </c>
      <c r="F370" s="2" t="n">
        <v>0.603304234</v>
      </c>
      <c r="G370" s="2" t="n">
        <f aca="false">IF(G$7=G$5,G$6,IF(NORMSDIST(G$9*SQRT($C$11)*NORMSINV($B370)+SQRT(1-G$9^2*$C$11)*NORMSINV(F370))&lt;G$8,G$5+SQRT(NORMSDIST(G$9*SQRT($C$11)*NORMSINV($B370)+SQRT(1-G$9^2*$C$11)*NORMSINV(F370))*(G$7-G$5)*(G$6-G$5)),G$7-SQRT((1-NORMSDIST(G$9*SQRT($C$11)*NORMSINV($B370)+SQRT(1-G$9^2*$C$11)*NORMSINV(F370)))*(G$7-G$5)*(G$7-G$6))))</f>
        <v>0.0590755217209306</v>
      </c>
      <c r="H370" s="2" t="n">
        <v>0.673359052</v>
      </c>
      <c r="I370" s="2" t="n">
        <f aca="false">IF(I$7=I$5,I$6,IF(NORMSDIST(I$9*SQRT($C$11)*NORMSINV($B370)+SQRT(1-I$9^2*$C$11)*NORMSINV(H370))&lt;I$8,I$5+SQRT(NORMSDIST(I$9*SQRT($C$11)*NORMSINV($B370)+SQRT(1-I$9^2*$C$11)*NORMSINV(H370))*(I$7-I$5)*(I$6-I$5)),I$7-SQRT((1-NORMSDIST(I$9*SQRT($C$11)*NORMSINV($B370)+SQRT(1-I$9^2*$C$11)*NORMSINV(H370)))*(I$7-I$5)*(I$7-I$6))))</f>
        <v>206.735772573222</v>
      </c>
      <c r="J370" s="2" t="n">
        <v>0.464822724</v>
      </c>
      <c r="K370" s="2" t="n">
        <f aca="false">IF(K$7=K$5,K$6,IF(NORMSDIST(K$9*SQRT($C$11)*NORMSINV($B370)+SQRT(1-K$9^2*$C$11)*NORMSINV(J370))&lt;K$8,K$5+SQRT(NORMSDIST(K$9*SQRT($C$11)*NORMSINV($B370)+SQRT(1-K$9^2*$C$11)*NORMSINV(J370))*(K$7-K$5)*(K$6-K$5)),K$7-SQRT((1-NORMSDIST(K$9*SQRT($C$11)*NORMSINV($B370)+SQRT(1-K$9^2*$C$11)*NORMSINV(J370)))*(K$7-K$5)*(K$7-K$6))))</f>
        <v>0.287608357627603</v>
      </c>
      <c r="L370" s="2" t="n">
        <v>0.013263654</v>
      </c>
      <c r="M370" s="2" t="n">
        <f aca="false">IF(M$7=M$5,M$6,IF(NORMSDIST(M$9*SQRT($C$11)*NORMSINV($B370)+SQRT(1-M$9^2*$C$11)*NORMSINV(L370))&lt;M$8,M$5+SQRT(NORMSDIST(M$9*SQRT($C$11)*NORMSINV($B370)+SQRT(1-M$9^2*$C$11)*NORMSINV(L370))*(M$7-M$5)*(M$6-M$5)),M$7-SQRT((1-NORMSDIST(M$9*SQRT($C$11)*NORMSINV($B370)+SQRT(1-M$9^2*$C$11)*NORMSINV(L370)))*(M$7-M$5)*(M$7-M$6))))</f>
        <v>1428.02068437181</v>
      </c>
      <c r="N370" s="2" t="n">
        <v>0.528121179</v>
      </c>
      <c r="O370" s="2" t="n">
        <f aca="false">IF(O$7=O$5,O$6,IF(NORMSDIST(O$9*SQRT($C$11)*NORMSINV($B370)+SQRT(1-O$9^2*$C$11)*NORMSINV(N370))&lt;O$8,O$5+SQRT(NORMSDIST(O$9*SQRT($C$11)*NORMSINV($B370)+SQRT(1-O$9^2*$C$11)*NORMSINV(N370))*(O$7-O$5)*(O$6-O$5)),O$7-SQRT((1-NORMSDIST(O$9*SQRT($C$11)*NORMSINV($B370)+SQRT(1-O$9^2*$C$11)*NORMSINV(N370)))*(O$7-O$5)*(O$7-O$6))))</f>
        <v>0.171655734752644</v>
      </c>
      <c r="P370" s="2" t="n">
        <v>0.453727635</v>
      </c>
      <c r="Q370" s="2" t="n">
        <f aca="false">IF(Q$7=Q$5,Q$6,IF(NORMSDIST(Q$9*SQRT($C$11)*NORMSINV($B370)+SQRT(1-Q$9^2*$C$11)*NORMSINV(P370))&lt;Q$8,Q$5+SQRT(NORMSDIST(Q$9*SQRT($C$11)*NORMSINV($B370)+SQRT(1-Q$9^2*$C$11)*NORMSINV(P370))*(Q$7-Q$5)*(Q$6-Q$5)),Q$7-SQRT((1-NORMSDIST(Q$9*SQRT($C$11)*NORMSINV($B370)+SQRT(1-Q$9^2*$C$11)*NORMSINV(P370)))*(Q$7-Q$5)*(Q$7-Q$6))))</f>
        <v>0.0781041786684873</v>
      </c>
      <c r="R370" s="2" t="n">
        <v>0.549570637</v>
      </c>
      <c r="S370" s="2" t="n">
        <f aca="false">IF(S$7=S$5,S$6,IF(NORMSDIST(S$9*SQRT($C$11)*NORMSINV($B370)+SQRT(1-S$9^2*$C$11)*NORMSINV(R370))&lt;S$8,S$5+SQRT(NORMSDIST(S$9*SQRT($C$11)*NORMSINV($B370)+SQRT(1-S$9^2*$C$11)*NORMSINV(R370))*(S$7-S$5)*(S$6-S$5)),S$7-SQRT((1-NORMSDIST(S$9*SQRT($C$11)*NORMSINV($B370)+SQRT(1-S$9^2*$C$11)*NORMSINV(R370)))*(S$7-S$5)*(S$7-S$6))))</f>
        <v>0.611936212905602</v>
      </c>
      <c r="T370" s="2" t="n">
        <v>0.803665082</v>
      </c>
      <c r="U370" s="2" t="n">
        <f aca="false">IF(U$7=U$5,U$6,IF(NORMSDIST(U$9*SQRT($C$11)*NORMSINV($B370)+SQRT(1-U$9^2*$C$11)*NORMSINV(T370))&lt;U$8,U$5+SQRT(NORMSDIST(U$9*SQRT($C$11)*NORMSINV($B370)+SQRT(1-U$9^2*$C$11)*NORMSINV(T370))*(U$7-U$5)*(U$6-U$5)),U$7-SQRT((1-NORMSDIST(U$9*SQRT($C$11)*NORMSINV($B370)+SQRT(1-U$9^2*$C$11)*NORMSINV(T370)))*(U$7-U$5)*(U$7-U$6))))</f>
        <v>0.736746080939607</v>
      </c>
      <c r="V370" s="2" t="n">
        <v>0.705367074</v>
      </c>
      <c r="W370" s="2" t="n">
        <f aca="false">IF(W$7=W$5,W$6,IF(NORMSDIST(W$9*SQRT($C$11)*NORMSINV($B370)+SQRT(1-W$9^2*$C$11)*NORMSINV(V370))&lt;W$8,W$5+SQRT(NORMSDIST(W$9*SQRT($C$11)*NORMSINV($B370)+SQRT(1-W$9^2*$C$11)*NORMSINV(V370))*(W$7-W$5)*(W$6-W$5)),W$7-SQRT((1-NORMSDIST(W$9*SQRT($C$11)*NORMSINV($B370)+SQRT(1-W$9^2*$C$11)*NORMSINV(V370)))*(W$7-W$5)*(W$7-W$6))))</f>
        <v>10.7360420237214</v>
      </c>
      <c r="X370" s="2" t="n">
        <v>0.689336127</v>
      </c>
      <c r="Y370" s="2" t="n">
        <f aca="false">IF(Y$7=Y$5,Y$6,IF(NORMSDIST(Y$9*SQRT($C$11)*NORMSINV($B370)+SQRT(1-Y$9^2*$C$11)*NORMSINV(X370))&lt;Y$8,Y$5+SQRT(NORMSDIST(Y$9*SQRT($C$11)*NORMSINV($B370)+SQRT(1-Y$9^2*$C$11)*NORMSINV(X370))*(Y$7-Y$5)*(Y$6-Y$5)),Y$7-SQRT((1-NORMSDIST(Y$9*SQRT($C$11)*NORMSINV($B370)+SQRT(1-Y$9^2*$C$11)*NORMSINV(X370)))*(Y$7-Y$5)*(Y$7-Y$6))))</f>
        <v>0.605878271976791</v>
      </c>
      <c r="Z370" s="2" t="n">
        <v>0.468106855</v>
      </c>
      <c r="AA370" s="2" t="n">
        <f aca="false">IF(AA$7=AA$5,AA$6,IF(NORMSDIST(AA$9*SQRT($C$11)*NORMSINV($B370)+SQRT(1-AA$9^2*$C$11)*NORMSINV(Z370))&lt;AA$8,AA$5+SQRT(NORMSDIST(AA$9*SQRT($C$11)*NORMSINV($B370)+SQRT(1-AA$9^2*$C$11)*NORMSINV(Z370))*(AA$7-AA$5)*(AA$6-AA$5)),AA$7-SQRT((1-NORMSDIST(AA$9*SQRT($C$11)*NORMSINV($B370)+SQRT(1-AA$9^2*$C$11)*NORMSINV(Z370)))*(AA$7-AA$5)*(AA$7-AA$6))))</f>
        <v>0.732403740060319</v>
      </c>
      <c r="AB370" s="2" t="n">
        <v>0.992090322</v>
      </c>
      <c r="AC370" s="2" t="n">
        <f aca="false">IF(AC$7=AC$5,AC$6,IF(NORMSDIST(AC$9*SQRT($C$11)*NORMSINV($B370)+SQRT(1-AC$9^2*$C$11)*NORMSINV(AB370))&lt;AC$8,AC$5+SQRT(NORMSDIST(AC$9*SQRT($C$11)*NORMSINV($B370)+SQRT(1-AC$9^2*$C$11)*NORMSINV(AB370))*(AC$7-AC$5)*(AC$6-AC$5)),AC$7-SQRT((1-NORMSDIST(AC$9*SQRT($C$11)*NORMSINV($B370)+SQRT(1-AC$9^2*$C$11)*NORMSINV(AB370)))*(AC$7-AC$5)*(AC$7-AC$6))))</f>
        <v>10.7829462634455</v>
      </c>
      <c r="AD370" s="2" t="n">
        <f aca="false">Entrées!$C$8*(1+E370)</f>
        <v>7444.84102417797</v>
      </c>
      <c r="AE370" s="2" t="n">
        <f aca="false">I370*Hypothèses!$J$24/12/Hypothèses!$J$19</f>
        <v>102.560955089994</v>
      </c>
      <c r="AF370" s="2" t="n">
        <f aca="false">Entrées!$C$36*S370*1000</f>
        <v>305.968106452801</v>
      </c>
      <c r="AG370" s="2" t="n">
        <f aca="false">-AF370/W370</f>
        <v>-28.4991532053211</v>
      </c>
      <c r="AH370" s="2" t="n">
        <f aca="false">AD370+AE370+AG370</f>
        <v>7518.90282606265</v>
      </c>
      <c r="AI370" s="2" t="n">
        <f aca="false">Entrées!$C$16-M370+Hypothèses!$J$22*1000-AF370+Hypothèses!$J$23</f>
        <v>22814.0112091754</v>
      </c>
      <c r="AJ370" s="2" t="n">
        <f aca="false">AI370/AH370</f>
        <v>3.03422078153418</v>
      </c>
      <c r="AK370" s="2" t="n">
        <f aca="false">AI370/(AH370+I370*(12-Hypothèses!$J$24)/12/Hypothèses!$J$19)</f>
        <v>3.00494315880803</v>
      </c>
      <c r="AL370" s="2" t="n">
        <f aca="false">(AD370+AG370+I370/Hypothèses!$J$19)*(1+G370)</f>
        <v>8040.67150258137</v>
      </c>
      <c r="AM370" s="2" t="n">
        <f aca="false">Entrées!$C$54*K370/Hypothèses!$J$19</f>
        <v>29.3516404853543</v>
      </c>
      <c r="AN370" s="2" t="n">
        <f aca="false">Y370*1000/AC370</f>
        <v>56.1885645327507</v>
      </c>
      <c r="AO370" s="2" t="n">
        <f aca="false">(Entrées!$C$36*(1-S370)+MAX(0,Entrées!$C$30-Entrées!$C$35-Entrées!$C$36)*U370)*1000</f>
        <v>1225.47640686265</v>
      </c>
      <c r="AP370" s="2" t="n">
        <f aca="false">-AO370/W370</f>
        <v>-114.146014346344</v>
      </c>
      <c r="AQ370" s="2" t="n">
        <f aca="false">AL370+AM370+AN370+AP370</f>
        <v>8012.06569325313</v>
      </c>
      <c r="AR370" s="2" t="n">
        <f aca="false">O370*AQ370-Hypothèses!$J$25/Hypothèses!$J$19</f>
        <v>1356.18186120019</v>
      </c>
      <c r="AS370" s="2" t="n">
        <f aca="false">Entrées!$C$79*(1+Q370)+Hypothèses!$J$20</f>
        <v>1479.83649235667</v>
      </c>
      <c r="AT370" s="2" t="n">
        <f aca="false">AI370-AR370+AS370+Y370*1000-AO370+Hypothèses!$J$23</f>
        <v>22318.067705446</v>
      </c>
      <c r="AU370" s="2" t="n">
        <f aca="false">AT370/AQ370</f>
        <v>2.78555725326114</v>
      </c>
      <c r="AV370" s="2" t="n">
        <f aca="false">Hypothèses!$J$26*AQ370-AT370</f>
        <v>1718.12937431339</v>
      </c>
      <c r="AW370" s="2" t="n">
        <f aca="false">IF(AC370&gt;Hypothèses!$J$26,MAX(0,AV370)/(1-Hypothèses!$J$26/AC370),0)</f>
        <v>2380.39632932875</v>
      </c>
      <c r="AX370" s="2" t="n">
        <f aca="false">AQ370-Entrées!$C$17*1000</f>
        <v>12.0656932531329</v>
      </c>
      <c r="AY370" s="2" t="n">
        <f aca="false">AI370+(Entrées!$C$244-Entrées!$C$13)</f>
        <v>28561.0112091754</v>
      </c>
      <c r="AZ370" s="2" t="n">
        <f aca="false">AA370*AH370</f>
        <v>5506.87255095839</v>
      </c>
      <c r="BA370" s="2" t="n">
        <f aca="false">AZ370/AY370</f>
        <v>0.192810839596228</v>
      </c>
      <c r="BB370" s="2" t="n">
        <f aca="false">AZ370/(Entrées!$C$151/100)-AY370</f>
        <v>2032.72518503787</v>
      </c>
      <c r="BC370" s="2" t="n">
        <f aca="false">AT370+(Entrées!$C$244-Entrées!$C$13)</f>
        <v>28065.067705446</v>
      </c>
      <c r="BD370" s="2" t="n">
        <f aca="false">AA370*AQ370</f>
        <v>5868.06687934757</v>
      </c>
      <c r="BE370" s="2" t="n">
        <f aca="false">BD370/BC370</f>
        <v>0.209087928842191</v>
      </c>
      <c r="BF370" s="2" t="n">
        <f aca="false">BD370/(Entrées!$C$151/100)-BC370</f>
        <v>4535.30384648493</v>
      </c>
      <c r="BG370" s="2" t="n">
        <f aca="false">MIN(AV370,BF370)</f>
        <v>1718.12937431339</v>
      </c>
      <c r="BH370" s="2" t="n">
        <f aca="false">IF(AC370&gt;Hypothèses!$J$26,MAX(0,BG370)/(1-Hypothèses!$J$26/AC370),0)</f>
        <v>2380.39632932875</v>
      </c>
    </row>
    <row r="371" customFormat="false" ht="15" hidden="false" customHeight="false" outlineLevel="0" collapsed="false">
      <c r="A371" s="2" t="n">
        <v>356</v>
      </c>
      <c r="B371" s="2" t="n">
        <v>0.187894191</v>
      </c>
      <c r="C371" s="2"/>
      <c r="D371" s="2" t="n">
        <v>0.434722867</v>
      </c>
      <c r="E371" s="2" t="n">
        <f aca="false">IF(E$7=E$5,E$6,IF(NORMSDIST(E$9*SQRT($C$11)*NORMSINV($B371)+SQRT(1-E$9^2*$C$11)*NORMSINV(D371))&lt;E$8,E$5+SQRT(NORMSDIST(E$9*SQRT($C$11)*NORMSINV($B371)+SQRT(1-E$9^2*$C$11)*NORMSINV(D371))*(E$7-E$5)*(E$6-E$5)),E$7-SQRT((1-NORMSDIST(E$9*SQRT($C$11)*NORMSINV($B371)+SQRT(1-E$9^2*$C$11)*NORMSINV(D371)))*(E$7-E$5)*(E$7-E$6))))</f>
        <v>0.0535063753697068</v>
      </c>
      <c r="F371" s="2" t="n">
        <v>0.041621045</v>
      </c>
      <c r="G371" s="2" t="n">
        <f aca="false">IF(G$7=G$5,G$6,IF(NORMSDIST(G$9*SQRT($C$11)*NORMSINV($B371)+SQRT(1-G$9^2*$C$11)*NORMSINV(F371))&lt;G$8,G$5+SQRT(NORMSDIST(G$9*SQRT($C$11)*NORMSINV($B371)+SQRT(1-G$9^2*$C$11)*NORMSINV(F371))*(G$7-G$5)*(G$6-G$5)),G$7-SQRT((1-NORMSDIST(G$9*SQRT($C$11)*NORMSINV($B371)+SQRT(1-G$9^2*$C$11)*NORMSINV(F371)))*(G$7-G$5)*(G$7-G$6))))</f>
        <v>0.0435870103961962</v>
      </c>
      <c r="H371" s="2" t="n">
        <v>0.619436132</v>
      </c>
      <c r="I371" s="2" t="n">
        <f aca="false">IF(I$7=I$5,I$6,IF(NORMSDIST(I$9*SQRT($C$11)*NORMSINV($B371)+SQRT(1-I$9^2*$C$11)*NORMSINV(H371))&lt;I$8,I$5+SQRT(NORMSDIST(I$9*SQRT($C$11)*NORMSINV($B371)+SQRT(1-I$9^2*$C$11)*NORMSINV(H371))*(I$7-I$5)*(I$6-I$5)),I$7-SQRT((1-NORMSDIST(I$9*SQRT($C$11)*NORMSINV($B371)+SQRT(1-I$9^2*$C$11)*NORMSINV(H371)))*(I$7-I$5)*(I$7-I$6))))</f>
        <v>197.267601145012</v>
      </c>
      <c r="J371" s="2" t="n">
        <v>0.73304496</v>
      </c>
      <c r="K371" s="2" t="n">
        <f aca="false">IF(K$7=K$5,K$6,IF(NORMSDIST(K$9*SQRT($C$11)*NORMSINV($B371)+SQRT(1-K$9^2*$C$11)*NORMSINV(J371))&lt;K$8,K$5+SQRT(NORMSDIST(K$9*SQRT($C$11)*NORMSINV($B371)+SQRT(1-K$9^2*$C$11)*NORMSINV(J371))*(K$7-K$5)*(K$6-K$5)),K$7-SQRT((1-NORMSDIST(K$9*SQRT($C$11)*NORMSINV($B371)+SQRT(1-K$9^2*$C$11)*NORMSINV(J371)))*(K$7-K$5)*(K$7-K$6))))</f>
        <v>0.242071100286074</v>
      </c>
      <c r="L371" s="2" t="n">
        <v>0.292162223</v>
      </c>
      <c r="M371" s="2" t="n">
        <f aca="false">IF(M$7=M$5,M$6,IF(NORMSDIST(M$9*SQRT($C$11)*NORMSINV($B371)+SQRT(1-M$9^2*$C$11)*NORMSINV(L371))&lt;M$8,M$5+SQRT(NORMSDIST(M$9*SQRT($C$11)*NORMSINV($B371)+SQRT(1-M$9^2*$C$11)*NORMSINV(L371))*(M$7-M$5)*(M$6-M$5)),M$7-SQRT((1-NORMSDIST(M$9*SQRT($C$11)*NORMSINV($B371)+SQRT(1-M$9^2*$C$11)*NORMSINV(L371)))*(M$7-M$5)*(M$7-M$6))))</f>
        <v>1464.08909316266</v>
      </c>
      <c r="N371" s="2" t="n">
        <v>0.787643882</v>
      </c>
      <c r="O371" s="2" t="n">
        <f aca="false">IF(O$7=O$5,O$6,IF(NORMSDIST(O$9*SQRT($C$11)*NORMSINV($B371)+SQRT(1-O$9^2*$C$11)*NORMSINV(N371))&lt;O$8,O$5+SQRT(NORMSDIST(O$9*SQRT($C$11)*NORMSINV($B371)+SQRT(1-O$9^2*$C$11)*NORMSINV(N371))*(O$7-O$5)*(O$6-O$5)),O$7-SQRT((1-NORMSDIST(O$9*SQRT($C$11)*NORMSINV($B371)+SQRT(1-O$9^2*$C$11)*NORMSINV(N371)))*(O$7-O$5)*(O$7-O$6))))</f>
        <v>0.167398824521581</v>
      </c>
      <c r="P371" s="2" t="n">
        <v>0.57623874</v>
      </c>
      <c r="Q371" s="2" t="n">
        <f aca="false">IF(Q$7=Q$5,Q$6,IF(NORMSDIST(Q$9*SQRT($C$11)*NORMSINV($B371)+SQRT(1-Q$9^2*$C$11)*NORMSINV(P371))&lt;Q$8,Q$5+SQRT(NORMSDIST(Q$9*SQRT($C$11)*NORMSINV($B371)+SQRT(1-Q$9^2*$C$11)*NORMSINV(P371))*(Q$7-Q$5)*(Q$6-Q$5)),Q$7-SQRT((1-NORMSDIST(Q$9*SQRT($C$11)*NORMSINV($B371)+SQRT(1-Q$9^2*$C$11)*NORMSINV(P371)))*(Q$7-Q$5)*(Q$7-Q$6))))</f>
        <v>0.0831756054768038</v>
      </c>
      <c r="R371" s="2" t="n">
        <v>0.082385739</v>
      </c>
      <c r="S371" s="2" t="n">
        <f aca="false">IF(S$7=S$5,S$6,IF(NORMSDIST(S$9*SQRT($C$11)*NORMSINV($B371)+SQRT(1-S$9^2*$C$11)*NORMSINV(R371))&lt;S$8,S$5+SQRT(NORMSDIST(S$9*SQRT($C$11)*NORMSINV($B371)+SQRT(1-S$9^2*$C$11)*NORMSINV(R371))*(S$7-S$5)*(S$6-S$5)),S$7-SQRT((1-NORMSDIST(S$9*SQRT($C$11)*NORMSINV($B371)+SQRT(1-S$9^2*$C$11)*NORMSINV(R371)))*(S$7-S$5)*(S$7-S$6))))</f>
        <v>0.159524529476369</v>
      </c>
      <c r="T371" s="2" t="n">
        <v>0.842680076</v>
      </c>
      <c r="U371" s="2" t="n">
        <f aca="false">IF(U$7=U$5,U$6,IF(NORMSDIST(U$9*SQRT($C$11)*NORMSINV($B371)+SQRT(1-U$9^2*$C$11)*NORMSINV(T371))&lt;U$8,U$5+SQRT(NORMSDIST(U$9*SQRT($C$11)*NORMSINV($B371)+SQRT(1-U$9^2*$C$11)*NORMSINV(T371))*(U$7-U$5)*(U$6-U$5)),U$7-SQRT((1-NORMSDIST(U$9*SQRT($C$11)*NORMSINV($B371)+SQRT(1-U$9^2*$C$11)*NORMSINV(T371)))*(U$7-U$5)*(U$7-U$6))))</f>
        <v>0.545340273288122</v>
      </c>
      <c r="V371" s="2" t="n">
        <v>0.623112254</v>
      </c>
      <c r="W371" s="2" t="n">
        <f aca="false">IF(W$7=W$5,W$6,IF(NORMSDIST(W$9*SQRT($C$11)*NORMSINV($B371)+SQRT(1-W$9^2*$C$11)*NORMSINV(V371))&lt;W$8,W$5+SQRT(NORMSDIST(W$9*SQRT($C$11)*NORMSINV($B371)+SQRT(1-W$9^2*$C$11)*NORMSINV(V371))*(W$7-W$5)*(W$6-W$5)),W$7-SQRT((1-NORMSDIST(W$9*SQRT($C$11)*NORMSINV($B371)+SQRT(1-W$9^2*$C$11)*NORMSINV(V371)))*(W$7-W$5)*(W$7-W$6))))</f>
        <v>9.7333187757302</v>
      </c>
      <c r="X371" s="2" t="n">
        <v>0.590103113</v>
      </c>
      <c r="Y371" s="2" t="n">
        <f aca="false">IF(Y$7=Y$5,Y$6,IF(NORMSDIST(Y$9*SQRT($C$11)*NORMSINV($B371)+SQRT(1-Y$9^2*$C$11)*NORMSINV(X371))&lt;Y$8,Y$5+SQRT(NORMSDIST(Y$9*SQRT($C$11)*NORMSINV($B371)+SQRT(1-Y$9^2*$C$11)*NORMSINV(X371))*(Y$7-Y$5)*(Y$6-Y$5)),Y$7-SQRT((1-NORMSDIST(Y$9*SQRT($C$11)*NORMSINV($B371)+SQRT(1-Y$9^2*$C$11)*NORMSINV(X371)))*(Y$7-Y$5)*(Y$7-Y$6))))</f>
        <v>0.547287681303016</v>
      </c>
      <c r="Z371" s="2" t="n">
        <v>0.588856357</v>
      </c>
      <c r="AA371" s="2" t="n">
        <f aca="false">IF(AA$7=AA$5,AA$6,IF(NORMSDIST(AA$9*SQRT($C$11)*NORMSINV($B371)+SQRT(1-AA$9^2*$C$11)*NORMSINV(Z371))&lt;AA$8,AA$5+SQRT(NORMSDIST(AA$9*SQRT($C$11)*NORMSINV($B371)+SQRT(1-AA$9^2*$C$11)*NORMSINV(Z371))*(AA$7-AA$5)*(AA$6-AA$5)),AA$7-SQRT((1-NORMSDIST(AA$9*SQRT($C$11)*NORMSINV($B371)+SQRT(1-AA$9^2*$C$11)*NORMSINV(Z371)))*(AA$7-AA$5)*(AA$7-AA$6))))</f>
        <v>0.722692476290773</v>
      </c>
      <c r="AB371" s="2" t="n">
        <v>0.886405308</v>
      </c>
      <c r="AC371" s="2" t="n">
        <f aca="false">IF(AC$7=AC$5,AC$6,IF(NORMSDIST(AC$9*SQRT($C$11)*NORMSINV($B371)+SQRT(1-AC$9^2*$C$11)*NORMSINV(AB371))&lt;AC$8,AC$5+SQRT(NORMSDIST(AC$9*SQRT($C$11)*NORMSINV($B371)+SQRT(1-AC$9^2*$C$11)*NORMSINV(AB371))*(AC$7-AC$5)*(AC$6-AC$5)),AC$7-SQRT((1-NORMSDIST(AC$9*SQRT($C$11)*NORMSINV($B371)+SQRT(1-AC$9^2*$C$11)*NORMSINV(AB371)))*(AC$7-AC$5)*(AC$7-AC$6))))</f>
        <v>9.76300214700872</v>
      </c>
      <c r="AD371" s="2" t="n">
        <f aca="false">Entrées!$C$8*(1+E371)</f>
        <v>7427.21994635643</v>
      </c>
      <c r="AE371" s="2" t="n">
        <f aca="false">I371*Hypothèses!$J$24/12/Hypothèses!$J$19</f>
        <v>97.8638255485208</v>
      </c>
      <c r="AF371" s="2" t="n">
        <f aca="false">Entrées!$C$36*S371*1000</f>
        <v>79.7622647381845</v>
      </c>
      <c r="AG371" s="2" t="n">
        <f aca="false">-AF371/W371</f>
        <v>-8.19476548297893</v>
      </c>
      <c r="AH371" s="2" t="n">
        <f aca="false">AD371+AE371+AG371</f>
        <v>7516.88900642198</v>
      </c>
      <c r="AI371" s="2" t="n">
        <f aca="false">Entrées!$C$16-M371+Hypothèses!$J$22*1000-AF371+Hypothèses!$J$23</f>
        <v>23004.1486420992</v>
      </c>
      <c r="AJ371" s="2" t="n">
        <f aca="false">AI371/AH371</f>
        <v>3.06032836489215</v>
      </c>
      <c r="AK371" s="2" t="n">
        <f aca="false">AI371/(AH371+I371*(12-Hypothèses!$J$24)/12/Hypothèses!$J$19)</f>
        <v>3.03213129259599</v>
      </c>
      <c r="AL371" s="2" t="n">
        <f aca="false">(AD371+AG371+I371/Hypothèses!$J$19)*(1+G371)</f>
        <v>7917.47730935631</v>
      </c>
      <c r="AM371" s="2" t="n">
        <f aca="false">Entrées!$C$54*K371/Hypothèses!$J$19</f>
        <v>24.7043721750632</v>
      </c>
      <c r="AN371" s="2" t="n">
        <f aca="false">Y371*1000/AC371</f>
        <v>56.0573144471446</v>
      </c>
      <c r="AO371" s="2" t="n">
        <f aca="false">(Entrées!$C$36*(1-S371)+MAX(0,Entrées!$C$30-Entrées!$C$35-Entrées!$C$36)*U371)*1000</f>
        <v>1183.71411786519</v>
      </c>
      <c r="AP371" s="2" t="n">
        <f aca="false">-AO371/W371</f>
        <v>-121.614646056466</v>
      </c>
      <c r="AQ371" s="2" t="n">
        <f aca="false">AL371+AM371+AN371+AP371</f>
        <v>7876.62434992205</v>
      </c>
      <c r="AR371" s="2" t="n">
        <f aca="false">O371*AQ371-Hypothèses!$J$25/Hypothèses!$J$19</f>
        <v>1299.40249511339</v>
      </c>
      <c r="AS371" s="2" t="n">
        <f aca="false">Entrées!$C$79*(1+Q371)+Hypothèses!$J$20</f>
        <v>1485.40999041901</v>
      </c>
      <c r="AT371" s="2" t="n">
        <f aca="false">AI371-AR371+AS371+Y371*1000-AO371+Hypothèses!$J$23</f>
        <v>22553.7297008426</v>
      </c>
      <c r="AU371" s="2" t="n">
        <f aca="false">AT371/AQ371</f>
        <v>2.86337505749729</v>
      </c>
      <c r="AV371" s="2" t="n">
        <f aca="false">Hypothèses!$J$26*AQ371-AT371</f>
        <v>1076.14334892355</v>
      </c>
      <c r="AW371" s="2" t="n">
        <f aca="false">IF(AC371&gt;Hypothèses!$J$26,MAX(0,AV371)/(1-Hypothèses!$J$26/AC371),0)</f>
        <v>1553.50975759734</v>
      </c>
      <c r="AX371" s="2" t="n">
        <f aca="false">AQ371-Entrées!$C$17*1000</f>
        <v>-123.375650077947</v>
      </c>
      <c r="AY371" s="2" t="n">
        <f aca="false">AI371+(Entrées!$C$244-Entrées!$C$13)</f>
        <v>28751.1486420992</v>
      </c>
      <c r="AZ371" s="2" t="n">
        <f aca="false">AA371*AH371</f>
        <v>5432.39913005399</v>
      </c>
      <c r="BA371" s="2" t="n">
        <f aca="false">AZ371/AY371</f>
        <v>0.188945464324842</v>
      </c>
      <c r="BB371" s="2" t="n">
        <f aca="false">AZ371/(Entrées!$C$151/100)-AY371</f>
        <v>1428.84652486744</v>
      </c>
      <c r="BC371" s="2" t="n">
        <f aca="false">AT371+(Entrées!$C$244-Entrées!$C$13)</f>
        <v>28300.7297008426</v>
      </c>
      <c r="BD371" s="2" t="n">
        <f aca="false">AA371*AQ371</f>
        <v>5692.37715625737</v>
      </c>
      <c r="BE371" s="2" t="n">
        <f aca="false">BD371/BC371</f>
        <v>0.201138882863783</v>
      </c>
      <c r="BF371" s="2" t="n">
        <f aca="false">BD371/(Entrées!$C$151/100)-BC371</f>
        <v>3323.58783392056</v>
      </c>
      <c r="BG371" s="2" t="n">
        <f aca="false">MIN(AV371,BF371)</f>
        <v>1076.14334892355</v>
      </c>
      <c r="BH371" s="2" t="n">
        <f aca="false">IF(AC371&gt;Hypothèses!$J$26,MAX(0,BG371)/(1-Hypothèses!$J$26/AC371),0)</f>
        <v>1553.50975759734</v>
      </c>
    </row>
    <row r="372" customFormat="false" ht="15" hidden="false" customHeight="false" outlineLevel="0" collapsed="false">
      <c r="A372" s="2" t="n">
        <v>357</v>
      </c>
      <c r="B372" s="2" t="n">
        <v>0.743894531</v>
      </c>
      <c r="C372" s="2"/>
      <c r="D372" s="2" t="n">
        <v>0.162260439</v>
      </c>
      <c r="E372" s="2" t="n">
        <f aca="false">IF(E$7=E$5,E$6,IF(NORMSDIST(E$9*SQRT($C$11)*NORMSINV($B372)+SQRT(1-E$9^2*$C$11)*NORMSINV(D372))&lt;E$8,E$5+SQRT(NORMSDIST(E$9*SQRT($C$11)*NORMSINV($B372)+SQRT(1-E$9^2*$C$11)*NORMSINV(D372))*(E$7-E$5)*(E$6-E$5)),E$7-SQRT((1-NORMSDIST(E$9*SQRT($C$11)*NORMSINV($B372)+SQRT(1-E$9^2*$C$11)*NORMSINV(D372)))*(E$7-E$5)*(E$7-E$6))))</f>
        <v>0.0542642914534971</v>
      </c>
      <c r="F372" s="2" t="n">
        <v>0.036146343</v>
      </c>
      <c r="G372" s="2" t="n">
        <f aca="false">IF(G$7=G$5,G$6,IF(NORMSDIST(G$9*SQRT($C$11)*NORMSINV($B372)+SQRT(1-G$9^2*$C$11)*NORMSINV(F372))&lt;G$8,G$5+SQRT(NORMSDIST(G$9*SQRT($C$11)*NORMSINV($B372)+SQRT(1-G$9^2*$C$11)*NORMSINV(F372))*(G$7-G$5)*(G$6-G$5)),G$7-SQRT((1-NORMSDIST(G$9*SQRT($C$11)*NORMSINV($B372)+SQRT(1-G$9^2*$C$11)*NORMSINV(F372)))*(G$7-G$5)*(G$7-G$6))))</f>
        <v>0.048593938684315</v>
      </c>
      <c r="H372" s="2" t="n">
        <v>0.326455445</v>
      </c>
      <c r="I372" s="2" t="n">
        <f aca="false">IF(I$7=I$5,I$6,IF(NORMSDIST(I$9*SQRT($C$11)*NORMSINV($B372)+SQRT(1-I$9^2*$C$11)*NORMSINV(H372))&lt;I$8,I$5+SQRT(NORMSDIST(I$9*SQRT($C$11)*NORMSINV($B372)+SQRT(1-I$9^2*$C$11)*NORMSINV(H372))*(I$7-I$5)*(I$6-I$5)),I$7-SQRT((1-NORMSDIST(I$9*SQRT($C$11)*NORMSINV($B372)+SQRT(1-I$9^2*$C$11)*NORMSINV(H372)))*(I$7-I$5)*(I$7-I$6))))</f>
        <v>200.534621172574</v>
      </c>
      <c r="J372" s="2" t="n">
        <v>0.228349278</v>
      </c>
      <c r="K372" s="2" t="n">
        <f aca="false">IF(K$7=K$5,K$6,IF(NORMSDIST(K$9*SQRT($C$11)*NORMSINV($B372)+SQRT(1-K$9^2*$C$11)*NORMSINV(J372))&lt;K$8,K$5+SQRT(NORMSDIST(K$9*SQRT($C$11)*NORMSINV($B372)+SQRT(1-K$9^2*$C$11)*NORMSINV(J372))*(K$7-K$5)*(K$6-K$5)),K$7-SQRT((1-NORMSDIST(K$9*SQRT($C$11)*NORMSINV($B372)+SQRT(1-K$9^2*$C$11)*NORMSINV(J372)))*(K$7-K$5)*(K$7-K$6))))</f>
        <v>0.233357613654175</v>
      </c>
      <c r="L372" s="2" t="n">
        <v>0.481246498</v>
      </c>
      <c r="M372" s="2" t="n">
        <f aca="false">IF(M$7=M$5,M$6,IF(NORMSDIST(M$9*SQRT($C$11)*NORMSINV($B372)+SQRT(1-M$9^2*$C$11)*NORMSINV(L372))&lt;M$8,M$5+SQRT(NORMSDIST(M$9*SQRT($C$11)*NORMSINV($B372)+SQRT(1-M$9^2*$C$11)*NORMSINV(L372))*(M$7-M$5)*(M$6-M$5)),M$7-SQRT((1-NORMSDIST(M$9*SQRT($C$11)*NORMSINV($B372)+SQRT(1-M$9^2*$C$11)*NORMSINV(L372)))*(M$7-M$5)*(M$7-M$6))))</f>
        <v>1624.23691201898</v>
      </c>
      <c r="N372" s="2" t="n">
        <v>0.219223561</v>
      </c>
      <c r="O372" s="2" t="n">
        <f aca="false">IF(O$7=O$5,O$6,IF(NORMSDIST(O$9*SQRT($C$11)*NORMSINV($B372)+SQRT(1-O$9^2*$C$11)*NORMSINV(N372))&lt;O$8,O$5+SQRT(NORMSDIST(O$9*SQRT($C$11)*NORMSINV($B372)+SQRT(1-O$9^2*$C$11)*NORMSINV(N372))*(O$7-O$5)*(O$6-O$5)),O$7-SQRT((1-NORMSDIST(O$9*SQRT($C$11)*NORMSINV($B372)+SQRT(1-O$9^2*$C$11)*NORMSINV(N372)))*(O$7-O$5)*(O$7-O$6))))</f>
        <v>0.16473342743313</v>
      </c>
      <c r="P372" s="2" t="n">
        <v>0.658807159</v>
      </c>
      <c r="Q372" s="2" t="n">
        <f aca="false">IF(Q$7=Q$5,Q$6,IF(NORMSDIST(Q$9*SQRT($C$11)*NORMSINV($B372)+SQRT(1-Q$9^2*$C$11)*NORMSINV(P372))&lt;Q$8,Q$5+SQRT(NORMSDIST(Q$9*SQRT($C$11)*NORMSINV($B372)+SQRT(1-Q$9^2*$C$11)*NORMSINV(P372))*(Q$7-Q$5)*(Q$6-Q$5)),Q$7-SQRT((1-NORMSDIST(Q$9*SQRT($C$11)*NORMSINV($B372)+SQRT(1-Q$9^2*$C$11)*NORMSINV(P372)))*(Q$7-Q$5)*(Q$7-Q$6))))</f>
        <v>0.0869573443682261</v>
      </c>
      <c r="R372" s="2" t="n">
        <v>0.32988637</v>
      </c>
      <c r="S372" s="2" t="n">
        <f aca="false">IF(S$7=S$5,S$6,IF(NORMSDIST(S$9*SQRT($C$11)*NORMSINV($B372)+SQRT(1-S$9^2*$C$11)*NORMSINV(R372))&lt;S$8,S$5+SQRT(NORMSDIST(S$9*SQRT($C$11)*NORMSINV($B372)+SQRT(1-S$9^2*$C$11)*NORMSINV(R372))*(S$7-S$5)*(S$6-S$5)),S$7-SQRT((1-NORMSDIST(S$9*SQRT($C$11)*NORMSINV($B372)+SQRT(1-S$9^2*$C$11)*NORMSINV(R372)))*(S$7-S$5)*(S$7-S$6))))</f>
        <v>0.514871558927702</v>
      </c>
      <c r="T372" s="2" t="n">
        <v>0.460787406</v>
      </c>
      <c r="U372" s="2" t="n">
        <f aca="false">IF(U$7=U$5,U$6,IF(NORMSDIST(U$9*SQRT($C$11)*NORMSINV($B372)+SQRT(1-U$9^2*$C$11)*NORMSINV(T372))&lt;U$8,U$5+SQRT(NORMSDIST(U$9*SQRT($C$11)*NORMSINV($B372)+SQRT(1-U$9^2*$C$11)*NORMSINV(T372))*(U$7-U$5)*(U$6-U$5)),U$7-SQRT((1-NORMSDIST(U$9*SQRT($C$11)*NORMSINV($B372)+SQRT(1-U$9^2*$C$11)*NORMSINV(T372)))*(U$7-U$5)*(U$7-U$6))))</f>
        <v>0.571288651040086</v>
      </c>
      <c r="V372" s="2" t="n">
        <v>0.858605473</v>
      </c>
      <c r="W372" s="2" t="n">
        <f aca="false">IF(W$7=W$5,W$6,IF(NORMSDIST(W$9*SQRT($C$11)*NORMSINV($B372)+SQRT(1-W$9^2*$C$11)*NORMSINV(V372))&lt;W$8,W$5+SQRT(NORMSDIST(W$9*SQRT($C$11)*NORMSINV($B372)+SQRT(1-W$9^2*$C$11)*NORMSINV(V372))*(W$7-W$5)*(W$6-W$5)),W$7-SQRT((1-NORMSDIST(W$9*SQRT($C$11)*NORMSINV($B372)+SQRT(1-W$9^2*$C$11)*NORMSINV(V372)))*(W$7-W$5)*(W$7-W$6))))</f>
        <v>11.0778586573365</v>
      </c>
      <c r="X372" s="2" t="n">
        <v>0.374085854</v>
      </c>
      <c r="Y372" s="2" t="n">
        <f aca="false">IF(Y$7=Y$5,Y$6,IF(NORMSDIST(Y$9*SQRT($C$11)*NORMSINV($B372)+SQRT(1-Y$9^2*$C$11)*NORMSINV(X372))&lt;Y$8,Y$5+SQRT(NORMSDIST(Y$9*SQRT($C$11)*NORMSINV($B372)+SQRT(1-Y$9^2*$C$11)*NORMSINV(X372))*(Y$7-Y$5)*(Y$6-Y$5)),Y$7-SQRT((1-NORMSDIST(Y$9*SQRT($C$11)*NORMSINV($B372)+SQRT(1-Y$9^2*$C$11)*NORMSINV(X372)))*(Y$7-Y$5)*(Y$7-Y$6))))</f>
        <v>0.432484597413596</v>
      </c>
      <c r="Z372" s="2" t="n">
        <v>0.460105195</v>
      </c>
      <c r="AA372" s="2" t="n">
        <f aca="false">IF(AA$7=AA$5,AA$6,IF(NORMSDIST(AA$9*SQRT($C$11)*NORMSINV($B372)+SQRT(1-AA$9^2*$C$11)*NORMSINV(Z372))&lt;AA$8,AA$5+SQRT(NORMSDIST(AA$9*SQRT($C$11)*NORMSINV($B372)+SQRT(1-AA$9^2*$C$11)*NORMSINV(Z372))*(AA$7-AA$5)*(AA$6-AA$5)),AA$7-SQRT((1-NORMSDIST(AA$9*SQRT($C$11)*NORMSINV($B372)+SQRT(1-AA$9^2*$C$11)*NORMSINV(Z372)))*(AA$7-AA$5)*(AA$7-AA$6))))</f>
        <v>0.732118180497978</v>
      </c>
      <c r="AB372" s="2" t="n">
        <v>0.306202065</v>
      </c>
      <c r="AC372" s="2" t="n">
        <f aca="false">IF(AC$7=AC$5,AC$6,IF(NORMSDIST(AC$9*SQRT($C$11)*NORMSINV($B372)+SQRT(1-AC$9^2*$C$11)*NORMSINV(AB372))&lt;AC$8,AC$5+SQRT(NORMSDIST(AC$9*SQRT($C$11)*NORMSINV($B372)+SQRT(1-AC$9^2*$C$11)*NORMSINV(AB372))*(AC$7-AC$5)*(AC$6-AC$5)),AC$7-SQRT((1-NORMSDIST(AC$9*SQRT($C$11)*NORMSINV($B372)+SQRT(1-AC$9^2*$C$11)*NORMSINV(AB372)))*(AC$7-AC$5)*(AC$7-AC$6))))</f>
        <v>9.49667596805137</v>
      </c>
      <c r="AD372" s="2" t="n">
        <f aca="false">Entrées!$C$8*(1+E372)</f>
        <v>7432.56325474715</v>
      </c>
      <c r="AE372" s="2" t="n">
        <f aca="false">I372*Hypothèses!$J$24/12/Hypothèses!$J$19</f>
        <v>99.48458372769</v>
      </c>
      <c r="AF372" s="2" t="n">
        <f aca="false">Entrées!$C$36*S372*1000</f>
        <v>257.435779463851</v>
      </c>
      <c r="AG372" s="2" t="n">
        <f aca="false">-AF372/W372</f>
        <v>-23.2387672949195</v>
      </c>
      <c r="AH372" s="2" t="n">
        <f aca="false">AD372+AE372+AG372</f>
        <v>7508.80907117992</v>
      </c>
      <c r="AI372" s="2" t="n">
        <f aca="false">Entrées!$C$16-M372+Hypothèses!$J$22*1000-AF372+Hypothèses!$J$23</f>
        <v>22666.3273085172</v>
      </c>
      <c r="AJ372" s="2" t="n">
        <f aca="false">AI372/AH372</f>
        <v>3.01863146254635</v>
      </c>
      <c r="AK372" s="2" t="n">
        <f aca="false">AI372/(AH372+I372*(12-Hypothèses!$J$24)/12/Hypothèses!$J$19)</f>
        <v>2.99033213487614</v>
      </c>
      <c r="AL372" s="2" t="n">
        <f aca="false">(AD372+AG372+I372/Hypothèses!$J$19)*(1+G372)</f>
        <v>7948.20520126949</v>
      </c>
      <c r="AM372" s="2" t="n">
        <f aca="false">Entrées!$C$54*K372/Hypothèses!$J$19</f>
        <v>23.8151242787118</v>
      </c>
      <c r="AN372" s="2" t="n">
        <f aca="false">Y372*1000/AC372</f>
        <v>45.5406290441578</v>
      </c>
      <c r="AO372" s="2" t="n">
        <f aca="false">(Entrées!$C$36*(1-S372)+MAX(0,Entrées!$C$30-Entrées!$C$35-Entrées!$C$36)*U372)*1000</f>
        <v>1042.36833199227</v>
      </c>
      <c r="AP372" s="2" t="n">
        <f aca="false">-AO372/W372</f>
        <v>-94.0947491961316</v>
      </c>
      <c r="AQ372" s="2" t="n">
        <f aca="false">AL372+AM372+AN372+AP372</f>
        <v>7923.46620539623</v>
      </c>
      <c r="AR372" s="2" t="n">
        <f aca="false">O372*AQ372-Hypothèses!$J$25/Hypothèses!$J$19</f>
        <v>1286.12458290387</v>
      </c>
      <c r="AS372" s="2" t="n">
        <f aca="false">Entrées!$C$79*(1+Q372)+Hypothèses!$J$20</f>
        <v>1489.56612146068</v>
      </c>
      <c r="AT372" s="2" t="n">
        <f aca="false">AI372-AR372+AS372+Y372*1000-AO372+Hypothèses!$J$23</f>
        <v>22259.8851124953</v>
      </c>
      <c r="AU372" s="2" t="n">
        <f aca="false">AT372/AQ372</f>
        <v>2.80936203114432</v>
      </c>
      <c r="AV372" s="2" t="n">
        <f aca="false">Hypothèses!$J$26*AQ372-AT372</f>
        <v>1510.51350369339</v>
      </c>
      <c r="AW372" s="2" t="n">
        <f aca="false">IF(AC372&gt;Hypothèses!$J$26,MAX(0,AV372)/(1-Hypothèses!$J$26/AC372),0)</f>
        <v>2208.0302851005</v>
      </c>
      <c r="AX372" s="2" t="n">
        <f aca="false">AQ372-Entrées!$C$17*1000</f>
        <v>-76.5337946037716</v>
      </c>
      <c r="AY372" s="2" t="n">
        <f aca="false">AI372+(Entrées!$C$244-Entrées!$C$13)</f>
        <v>28413.3273085172</v>
      </c>
      <c r="AZ372" s="2" t="n">
        <f aca="false">AA372*AH372</f>
        <v>5497.33563489896</v>
      </c>
      <c r="BA372" s="2" t="n">
        <f aca="false">AZ372/AY372</f>
        <v>0.193477362760365</v>
      </c>
      <c r="BB372" s="2" t="n">
        <f aca="false">AZ372/(Entrées!$C$151/100)-AY372</f>
        <v>2127.42621869927</v>
      </c>
      <c r="BC372" s="2" t="n">
        <f aca="false">AT372+(Entrées!$C$244-Entrées!$C$13)</f>
        <v>28006.8851124953</v>
      </c>
      <c r="BD372" s="2" t="n">
        <f aca="false">AA372*AQ372</f>
        <v>5800.91366153191</v>
      </c>
      <c r="BE372" s="2" t="n">
        <f aca="false">BD372/BC372</f>
        <v>0.207124556630677</v>
      </c>
      <c r="BF372" s="2" t="n">
        <f aca="false">BD372/(Entrées!$C$151/100)-BC372</f>
        <v>4220.4130071264</v>
      </c>
      <c r="BG372" s="2" t="n">
        <f aca="false">MIN(AV372,BF372)</f>
        <v>1510.51350369339</v>
      </c>
      <c r="BH372" s="2" t="n">
        <f aca="false">IF(AC372&gt;Hypothèses!$J$26,MAX(0,BG372)/(1-Hypothèses!$J$26/AC372),0)</f>
        <v>2208.0302851005</v>
      </c>
    </row>
    <row r="373" customFormat="false" ht="15" hidden="false" customHeight="false" outlineLevel="0" collapsed="false">
      <c r="A373" s="2" t="n">
        <v>358</v>
      </c>
      <c r="B373" s="2" t="n">
        <v>0.026265381</v>
      </c>
      <c r="C373" s="2"/>
      <c r="D373" s="2" t="n">
        <v>0.730498565</v>
      </c>
      <c r="E373" s="2" t="n">
        <f aca="false">IF(E$7=E$5,E$6,IF(NORMSDIST(E$9*SQRT($C$11)*NORMSINV($B373)+SQRT(1-E$9^2*$C$11)*NORMSINV(D373))&lt;E$8,E$5+SQRT(NORMSDIST(E$9*SQRT($C$11)*NORMSINV($B373)+SQRT(1-E$9^2*$C$11)*NORMSINV(D373))*(E$7-E$5)*(E$6-E$5)),E$7-SQRT((1-NORMSDIST(E$9*SQRT($C$11)*NORMSINV($B373)+SQRT(1-E$9^2*$C$11)*NORMSINV(D373)))*(E$7-E$5)*(E$7-E$6))))</f>
        <v>0.053365478221442</v>
      </c>
      <c r="F373" s="2" t="n">
        <v>0.257157665</v>
      </c>
      <c r="G373" s="2" t="n">
        <f aca="false">IF(G$7=G$5,G$6,IF(NORMSDIST(G$9*SQRT($C$11)*NORMSINV($B373)+SQRT(1-G$9^2*$C$11)*NORMSINV(F373))&lt;G$8,G$5+SQRT(NORMSDIST(G$9*SQRT($C$11)*NORMSINV($B373)+SQRT(1-G$9^2*$C$11)*NORMSINV(F373))*(G$7-G$5)*(G$6-G$5)),G$7-SQRT((1-NORMSDIST(G$9*SQRT($C$11)*NORMSINV($B373)+SQRT(1-G$9^2*$C$11)*NORMSINV(F373)))*(G$7-G$5)*(G$7-G$6))))</f>
        <v>0.044331727763248</v>
      </c>
      <c r="H373" s="2" t="n">
        <v>0.171626422</v>
      </c>
      <c r="I373" s="2" t="n">
        <f aca="false">IF(I$7=I$5,I$6,IF(NORMSDIST(I$9*SQRT($C$11)*NORMSINV($B373)+SQRT(1-I$9^2*$C$11)*NORMSINV(H373))&lt;I$8,I$5+SQRT(NORMSDIST(I$9*SQRT($C$11)*NORMSINV($B373)+SQRT(1-I$9^2*$C$11)*NORMSINV(H373))*(I$7-I$5)*(I$6-I$5)),I$7-SQRT((1-NORMSDIST(I$9*SQRT($C$11)*NORMSINV($B373)+SQRT(1-I$9^2*$C$11)*NORMSINV(H373)))*(I$7-I$5)*(I$7-I$6))))</f>
        <v>184.470335748813</v>
      </c>
      <c r="J373" s="2" t="n">
        <v>0.68146647</v>
      </c>
      <c r="K373" s="2" t="n">
        <f aca="false">IF(K$7=K$5,K$6,IF(NORMSDIST(K$9*SQRT($C$11)*NORMSINV($B373)+SQRT(1-K$9^2*$C$11)*NORMSINV(J373))&lt;K$8,K$5+SQRT(NORMSDIST(K$9*SQRT($C$11)*NORMSINV($B373)+SQRT(1-K$9^2*$C$11)*NORMSINV(J373))*(K$7-K$5)*(K$6-K$5)),K$7-SQRT((1-NORMSDIST(K$9*SQRT($C$11)*NORMSINV($B373)+SQRT(1-K$9^2*$C$11)*NORMSINV(J373)))*(K$7-K$5)*(K$7-K$6))))</f>
        <v>0.156003141778779</v>
      </c>
      <c r="L373" s="2" t="n">
        <v>0.917242128</v>
      </c>
      <c r="M373" s="2" t="n">
        <f aca="false">IF(M$7=M$5,M$6,IF(NORMSDIST(M$9*SQRT($C$11)*NORMSINV($B373)+SQRT(1-M$9^2*$C$11)*NORMSINV(L373))&lt;M$8,M$5+SQRT(NORMSDIST(M$9*SQRT($C$11)*NORMSINV($B373)+SQRT(1-M$9^2*$C$11)*NORMSINV(L373))*(M$7-M$5)*(M$6-M$5)),M$7-SQRT((1-NORMSDIST(M$9*SQRT($C$11)*NORMSINV($B373)+SQRT(1-M$9^2*$C$11)*NORMSINV(L373)))*(M$7-M$5)*(M$7-M$6))))</f>
        <v>1567.75877328215</v>
      </c>
      <c r="N373" s="2" t="n">
        <v>0.753304574</v>
      </c>
      <c r="O373" s="2" t="n">
        <f aca="false">IF(O$7=O$5,O$6,IF(NORMSDIST(O$9*SQRT($C$11)*NORMSINV($B373)+SQRT(1-O$9^2*$C$11)*NORMSINV(N373))&lt;O$8,O$5+SQRT(NORMSDIST(O$9*SQRT($C$11)*NORMSINV($B373)+SQRT(1-O$9^2*$C$11)*NORMSINV(N373))*(O$7-O$5)*(O$6-O$5)),O$7-SQRT((1-NORMSDIST(O$9*SQRT($C$11)*NORMSINV($B373)+SQRT(1-O$9^2*$C$11)*NORMSINV(N373)))*(O$7-O$5)*(O$7-O$6))))</f>
        <v>0.158685058636118</v>
      </c>
      <c r="P373" s="2" t="n">
        <v>0.316234296</v>
      </c>
      <c r="Q373" s="2" t="n">
        <f aca="false">IF(Q$7=Q$5,Q$6,IF(NORMSDIST(Q$9*SQRT($C$11)*NORMSINV($B373)+SQRT(1-Q$9^2*$C$11)*NORMSINV(P373))&lt;Q$8,Q$5+SQRT(NORMSDIST(Q$9*SQRT($C$11)*NORMSINV($B373)+SQRT(1-Q$9^2*$C$11)*NORMSINV(P373))*(Q$7-Q$5)*(Q$6-Q$5)),Q$7-SQRT((1-NORMSDIST(Q$9*SQRT($C$11)*NORMSINV($B373)+SQRT(1-Q$9^2*$C$11)*NORMSINV(P373)))*(Q$7-Q$5)*(Q$7-Q$6))))</f>
        <v>0.0718111575897514</v>
      </c>
      <c r="R373" s="2" t="n">
        <v>0.877132441</v>
      </c>
      <c r="S373" s="2" t="n">
        <f aca="false">IF(S$7=S$5,S$6,IF(NORMSDIST(S$9*SQRT($C$11)*NORMSINV($B373)+SQRT(1-S$9^2*$C$11)*NORMSINV(R373))&lt;S$8,S$5+SQRT(NORMSDIST(S$9*SQRT($C$11)*NORMSINV($B373)+SQRT(1-S$9^2*$C$11)*NORMSINV(R373))*(S$7-S$5)*(S$6-S$5)),S$7-SQRT((1-NORMSDIST(S$9*SQRT($C$11)*NORMSINV($B373)+SQRT(1-S$9^2*$C$11)*NORMSINV(R373)))*(S$7-S$5)*(S$7-S$6))))</f>
        <v>0.431170096878356</v>
      </c>
      <c r="T373" s="2" t="n">
        <v>0.538741271</v>
      </c>
      <c r="U373" s="2" t="n">
        <f aca="false">IF(U$7=U$5,U$6,IF(NORMSDIST(U$9*SQRT($C$11)*NORMSINV($B373)+SQRT(1-U$9^2*$C$11)*NORMSINV(T373))&lt;U$8,U$5+SQRT(NORMSDIST(U$9*SQRT($C$11)*NORMSINV($B373)+SQRT(1-U$9^2*$C$11)*NORMSINV(T373))*(U$7-U$5)*(U$6-U$5)),U$7-SQRT((1-NORMSDIST(U$9*SQRT($C$11)*NORMSINV($B373)+SQRT(1-U$9^2*$C$11)*NORMSINV(T373)))*(U$7-U$5)*(U$7-U$6))))</f>
        <v>0.249899257168689</v>
      </c>
      <c r="V373" s="2" t="n">
        <v>0.54977047</v>
      </c>
      <c r="W373" s="2" t="n">
        <f aca="false">IF(W$7=W$5,W$6,IF(NORMSDIST(W$9*SQRT($C$11)*NORMSINV($B373)+SQRT(1-W$9^2*$C$11)*NORMSINV(V373))&lt;W$8,W$5+SQRT(NORMSDIST(W$9*SQRT($C$11)*NORMSINV($B373)+SQRT(1-W$9^2*$C$11)*NORMSINV(V373))*(W$7-W$5)*(W$6-W$5)),W$7-SQRT((1-NORMSDIST(W$9*SQRT($C$11)*NORMSINV($B373)+SQRT(1-W$9^2*$C$11)*NORMSINV(V373)))*(W$7-W$5)*(W$7-W$6))))</f>
        <v>9.01739899738195</v>
      </c>
      <c r="X373" s="2" t="n">
        <v>0.844403388</v>
      </c>
      <c r="Y373" s="2" t="n">
        <f aca="false">IF(Y$7=Y$5,Y$6,IF(NORMSDIST(Y$9*SQRT($C$11)*NORMSINV($B373)+SQRT(1-Y$9^2*$C$11)*NORMSINV(X373))&lt;Y$8,Y$5+SQRT(NORMSDIST(Y$9*SQRT($C$11)*NORMSINV($B373)+SQRT(1-Y$9^2*$C$11)*NORMSINV(X373))*(Y$7-Y$5)*(Y$6-Y$5)),Y$7-SQRT((1-NORMSDIST(Y$9*SQRT($C$11)*NORMSINV($B373)+SQRT(1-Y$9^2*$C$11)*NORMSINV(X373)))*(Y$7-Y$5)*(Y$7-Y$6))))</f>
        <v>0.721076523039024</v>
      </c>
      <c r="Z373" s="2" t="n">
        <v>0.835109482</v>
      </c>
      <c r="AA373" s="2" t="n">
        <f aca="false">IF(AA$7=AA$5,AA$6,IF(NORMSDIST(AA$9*SQRT($C$11)*NORMSINV($B373)+SQRT(1-AA$9^2*$C$11)*NORMSINV(Z373))&lt;AA$8,AA$5+SQRT(NORMSDIST(AA$9*SQRT($C$11)*NORMSINV($B373)+SQRT(1-AA$9^2*$C$11)*NORMSINV(Z373))*(AA$7-AA$5)*(AA$6-AA$5)),AA$7-SQRT((1-NORMSDIST(AA$9*SQRT($C$11)*NORMSINV($B373)+SQRT(1-AA$9^2*$C$11)*NORMSINV(Z373)))*(AA$7-AA$5)*(AA$7-AA$6))))</f>
        <v>0.721452357438449</v>
      </c>
      <c r="AB373" s="2" t="n">
        <v>0.023892739</v>
      </c>
      <c r="AC373" s="2" t="n">
        <f aca="false">IF(AC$7=AC$5,AC$6,IF(NORMSDIST(AC$9*SQRT($C$11)*NORMSINV($B373)+SQRT(1-AC$9^2*$C$11)*NORMSINV(AB373))&lt;AC$8,AC$5+SQRT(NORMSDIST(AC$9*SQRT($C$11)*NORMSINV($B373)+SQRT(1-AC$9^2*$C$11)*NORMSINV(AB373))*(AC$7-AC$5)*(AC$6-AC$5)),AC$7-SQRT((1-NORMSDIST(AC$9*SQRT($C$11)*NORMSINV($B373)+SQRT(1-AC$9^2*$C$11)*NORMSINV(AB373)))*(AC$7-AC$5)*(AC$7-AC$6))))</f>
        <v>7.5581852252064</v>
      </c>
      <c r="AD373" s="2" t="n">
        <f aca="false">Entrées!$C$8*(1+E373)</f>
        <v>7426.22662146117</v>
      </c>
      <c r="AE373" s="2" t="n">
        <f aca="false">I373*Hypothèses!$J$24/12/Hypothèses!$J$19</f>
        <v>91.5151431447078</v>
      </c>
      <c r="AF373" s="2" t="n">
        <f aca="false">Entrées!$C$36*S373*1000</f>
        <v>215.585048439178</v>
      </c>
      <c r="AG373" s="2" t="n">
        <f aca="false">-AF373/W373</f>
        <v>-23.9076754285542</v>
      </c>
      <c r="AH373" s="2" t="n">
        <f aca="false">AD373+AE373+AG373</f>
        <v>7493.83408917732</v>
      </c>
      <c r="AI373" s="2" t="n">
        <f aca="false">Entrées!$C$16-M373+Hypothèses!$J$22*1000-AF373+Hypothèses!$J$23</f>
        <v>22764.6561782787</v>
      </c>
      <c r="AJ373" s="2" t="n">
        <f aca="false">AI373/AH373</f>
        <v>3.037784918558</v>
      </c>
      <c r="AK373" s="2" t="n">
        <f aca="false">AI373/(AH373+I373*(12-Hypothèses!$J$24)/12/Hypothèses!$J$19)</f>
        <v>3.01151577005353</v>
      </c>
      <c r="AL373" s="2" t="n">
        <f aca="false">(AD373+AG373+I373/Hypothèses!$J$19)*(1+G373)</f>
        <v>7894.31453589083</v>
      </c>
      <c r="AM373" s="2" t="n">
        <f aca="false">Entrées!$C$54*K373/Hypothèses!$J$19</f>
        <v>15.9207756333886</v>
      </c>
      <c r="AN373" s="2" t="n">
        <f aca="false">Y373*1000/AC373</f>
        <v>95.4033940097483</v>
      </c>
      <c r="AO373" s="2" t="n">
        <f aca="false">(Entrées!$C$36*(1-S373)+MAX(0,Entrées!$C$30-Entrées!$C$35-Entrées!$C$36)*U373)*1000</f>
        <v>634.273911596986</v>
      </c>
      <c r="AP373" s="2" t="n">
        <f aca="false">-AO373/W373</f>
        <v>-70.3388983653864</v>
      </c>
      <c r="AQ373" s="2" t="n">
        <f aca="false">AL373+AM373+AN373+AP373</f>
        <v>7935.29980716858</v>
      </c>
      <c r="AR373" s="2" t="n">
        <f aca="false">O373*AQ373-Hypothèses!$J$25/Hypothèses!$J$19</f>
        <v>1240.07835293409</v>
      </c>
      <c r="AS373" s="2" t="n">
        <f aca="false">Entrées!$C$79*(1+Q373)+Hypothèses!$J$20</f>
        <v>1472.92046219114</v>
      </c>
      <c r="AT373" s="2" t="n">
        <f aca="false">AI373-AR373+AS373+Y373*1000-AO373+Hypothèses!$J$23</f>
        <v>23084.3008989778</v>
      </c>
      <c r="AU373" s="2" t="n">
        <f aca="false">AT373/AQ373</f>
        <v>2.90906474360602</v>
      </c>
      <c r="AV373" s="2" t="n">
        <f aca="false">Hypothèses!$J$26*AQ373-AT373</f>
        <v>721.598522527977</v>
      </c>
      <c r="AW373" s="2" t="n">
        <f aca="false">IF(AC373&gt;Hypothèses!$J$26,MAX(0,AV373)/(1-Hypothèses!$J$26/AC373),0)</f>
        <v>1196.52340175684</v>
      </c>
      <c r="AX373" s="2" t="n">
        <f aca="false">AQ373-Entrées!$C$17*1000</f>
        <v>-64.7001928314212</v>
      </c>
      <c r="AY373" s="2" t="n">
        <f aca="false">AI373+(Entrées!$C$244-Entrées!$C$13)</f>
        <v>28511.6561782787</v>
      </c>
      <c r="AZ373" s="2" t="n">
        <f aca="false">AA373*AH373</f>
        <v>5406.44426988959</v>
      </c>
      <c r="BA373" s="2" t="n">
        <f aca="false">AZ373/AY373</f>
        <v>0.189622245585594</v>
      </c>
      <c r="BB373" s="2" t="n">
        <f aca="false">AZ373/(Entrées!$C$151/100)-AY373</f>
        <v>1524.14532110792</v>
      </c>
      <c r="BC373" s="2" t="n">
        <f aca="false">AT373+(Entrées!$C$244-Entrées!$C$13)</f>
        <v>28831.3008989778</v>
      </c>
      <c r="BD373" s="2" t="n">
        <f aca="false">AA373*AQ373</f>
        <v>5724.94075286264</v>
      </c>
      <c r="BE373" s="2" t="n">
        <f aca="false">BD373/BC373</f>
        <v>0.19856685527033</v>
      </c>
      <c r="BF373" s="2" t="n">
        <f aca="false">BD373/(Entrées!$C$151/100)-BC373</f>
        <v>2973.92550581468</v>
      </c>
      <c r="BG373" s="2" t="n">
        <f aca="false">MIN(AV373,BF373)</f>
        <v>721.598522527977</v>
      </c>
      <c r="BH373" s="2" t="n">
        <f aca="false">IF(AC373&gt;Hypothèses!$J$26,MAX(0,BG373)/(1-Hypothèses!$J$26/AC373),0)</f>
        <v>1196.52340175684</v>
      </c>
    </row>
    <row r="374" customFormat="false" ht="15" hidden="false" customHeight="false" outlineLevel="0" collapsed="false">
      <c r="A374" s="2" t="n">
        <v>359</v>
      </c>
      <c r="B374" s="2" t="n">
        <v>0.507012113</v>
      </c>
      <c r="C374" s="2"/>
      <c r="D374" s="2" t="n">
        <v>0.750342916</v>
      </c>
      <c r="E374" s="2" t="n">
        <f aca="false">IF(E$7=E$5,E$6,IF(NORMSDIST(E$9*SQRT($C$11)*NORMSINV($B374)+SQRT(1-E$9^2*$C$11)*NORMSINV(D374))&lt;E$8,E$5+SQRT(NORMSDIST(E$9*SQRT($C$11)*NORMSINV($B374)+SQRT(1-E$9^2*$C$11)*NORMSINV(D374))*(E$7-E$5)*(E$6-E$5)),E$7-SQRT((1-NORMSDIST(E$9*SQRT($C$11)*NORMSINV($B374)+SQRT(1-E$9^2*$C$11)*NORMSINV(D374)))*(E$7-E$5)*(E$7-E$6))))</f>
        <v>0.0561494891301388</v>
      </c>
      <c r="F374" s="2" t="n">
        <v>0.62509436</v>
      </c>
      <c r="G374" s="2" t="n">
        <f aca="false">IF(G$7=G$5,G$6,IF(NORMSDIST(G$9*SQRT($C$11)*NORMSINV($B374)+SQRT(1-G$9^2*$C$11)*NORMSINV(F374))&lt;G$8,G$5+SQRT(NORMSDIST(G$9*SQRT($C$11)*NORMSINV($B374)+SQRT(1-G$9^2*$C$11)*NORMSINV(F374))*(G$7-G$5)*(G$6-G$5)),G$7-SQRT((1-NORMSDIST(G$9*SQRT($C$11)*NORMSINV($B374)+SQRT(1-G$9^2*$C$11)*NORMSINV(F374)))*(G$7-G$5)*(G$7-G$6))))</f>
        <v>0.0566145777571987</v>
      </c>
      <c r="H374" s="2" t="n">
        <v>0.950217809</v>
      </c>
      <c r="I374" s="2" t="n">
        <f aca="false">IF(I$7=I$5,I$6,IF(NORMSDIST(I$9*SQRT($C$11)*NORMSINV($B374)+SQRT(1-I$9^2*$C$11)*NORMSINV(H374))&lt;I$8,I$5+SQRT(NORMSDIST(I$9*SQRT($C$11)*NORMSINV($B374)+SQRT(1-I$9^2*$C$11)*NORMSINV(H374))*(I$7-I$5)*(I$6-I$5)),I$7-SQRT((1-NORMSDIST(I$9*SQRT($C$11)*NORMSINV($B374)+SQRT(1-I$9^2*$C$11)*NORMSINV(H374)))*(I$7-I$5)*(I$7-I$6))))</f>
        <v>211.097299153538</v>
      </c>
      <c r="J374" s="2" t="n">
        <v>0.567485583</v>
      </c>
      <c r="K374" s="2" t="n">
        <f aca="false">IF(K$7=K$5,K$6,IF(NORMSDIST(K$9*SQRT($C$11)*NORMSINV($B374)+SQRT(1-K$9^2*$C$11)*NORMSINV(J374))&lt;K$8,K$5+SQRT(NORMSDIST(K$9*SQRT($C$11)*NORMSINV($B374)+SQRT(1-K$9^2*$C$11)*NORMSINV(J374))*(K$7-K$5)*(K$6-K$5)),K$7-SQRT((1-NORMSDIST(K$9*SQRT($C$11)*NORMSINV($B374)+SQRT(1-K$9^2*$C$11)*NORMSINV(J374)))*(K$7-K$5)*(K$7-K$6))))</f>
        <v>0.264619477487478</v>
      </c>
      <c r="L374" s="2" t="n">
        <v>0.777567188</v>
      </c>
      <c r="M374" s="2" t="n">
        <f aca="false">IF(M$7=M$5,M$6,IF(NORMSDIST(M$9*SQRT($C$11)*NORMSINV($B374)+SQRT(1-M$9^2*$C$11)*NORMSINV(L374))&lt;M$8,M$5+SQRT(NORMSDIST(M$9*SQRT($C$11)*NORMSINV($B374)+SQRT(1-M$9^2*$C$11)*NORMSINV(L374))*(M$7-M$5)*(M$6-M$5)),M$7-SQRT((1-NORMSDIST(M$9*SQRT($C$11)*NORMSINV($B374)+SQRT(1-M$9^2*$C$11)*NORMSINV(L374)))*(M$7-M$5)*(M$7-M$6))))</f>
        <v>1644.40110715894</v>
      </c>
      <c r="N374" s="2" t="n">
        <v>0.617279457</v>
      </c>
      <c r="O374" s="2" t="n">
        <f aca="false">IF(O$7=O$5,O$6,IF(NORMSDIST(O$9*SQRT($C$11)*NORMSINV($B374)+SQRT(1-O$9^2*$C$11)*NORMSINV(N374))&lt;O$8,O$5+SQRT(NORMSDIST(O$9*SQRT($C$11)*NORMSINV($B374)+SQRT(1-O$9^2*$C$11)*NORMSINV(N374))*(O$7-O$5)*(O$6-O$5)),O$7-SQRT((1-NORMSDIST(O$9*SQRT($C$11)*NORMSINV($B374)+SQRT(1-O$9^2*$C$11)*NORMSINV(N374)))*(O$7-O$5)*(O$7-O$6))))</f>
        <v>0.169247624461167</v>
      </c>
      <c r="P374" s="2" t="n">
        <v>0.482541016</v>
      </c>
      <c r="Q374" s="2" t="n">
        <f aca="false">IF(Q$7=Q$5,Q$6,IF(NORMSDIST(Q$9*SQRT($C$11)*NORMSINV($B374)+SQRT(1-Q$9^2*$C$11)*NORMSINV(P374))&lt;Q$8,Q$5+SQRT(NORMSDIST(Q$9*SQRT($C$11)*NORMSINV($B374)+SQRT(1-Q$9^2*$C$11)*NORMSINV(P374))*(Q$7-Q$5)*(Q$6-Q$5)),Q$7-SQRT((1-NORMSDIST(Q$9*SQRT($C$11)*NORMSINV($B374)+SQRT(1-Q$9^2*$C$11)*NORMSINV(P374)))*(Q$7-Q$5)*(Q$7-Q$6))))</f>
        <v>0.0792954355008314</v>
      </c>
      <c r="R374" s="2" t="n">
        <v>0.597435388</v>
      </c>
      <c r="S374" s="2" t="n">
        <f aca="false">IF(S$7=S$5,S$6,IF(NORMSDIST(S$9*SQRT($C$11)*NORMSINV($B374)+SQRT(1-S$9^2*$C$11)*NORMSINV(R374))&lt;S$8,S$5+SQRT(NORMSDIST(S$9*SQRT($C$11)*NORMSINV($B374)+SQRT(1-S$9^2*$C$11)*NORMSINV(R374))*(S$7-S$5)*(S$6-S$5)),S$7-SQRT((1-NORMSDIST(S$9*SQRT($C$11)*NORMSINV($B374)+SQRT(1-S$9^2*$C$11)*NORMSINV(R374)))*(S$7-S$5)*(S$7-S$6))))</f>
        <v>0.541812337509437</v>
      </c>
      <c r="T374" s="2" t="n">
        <v>0.623978695</v>
      </c>
      <c r="U374" s="2" t="n">
        <f aca="false">IF(U$7=U$5,U$6,IF(NORMSDIST(U$9*SQRT($C$11)*NORMSINV($B374)+SQRT(1-U$9^2*$C$11)*NORMSINV(T374))&lt;U$8,U$5+SQRT(NORMSDIST(U$9*SQRT($C$11)*NORMSINV($B374)+SQRT(1-U$9^2*$C$11)*NORMSINV(T374))*(U$7-U$5)*(U$6-U$5)),U$7-SQRT((1-NORMSDIST(U$9*SQRT($C$11)*NORMSINV($B374)+SQRT(1-U$9^2*$C$11)*NORMSINV(T374)))*(U$7-U$5)*(U$7-U$6))))</f>
        <v>0.55332683759494</v>
      </c>
      <c r="V374" s="2" t="n">
        <v>0.52507743</v>
      </c>
      <c r="W374" s="2" t="n">
        <f aca="false">IF(W$7=W$5,W$6,IF(NORMSDIST(W$9*SQRT($C$11)*NORMSINV($B374)+SQRT(1-W$9^2*$C$11)*NORMSINV(V374))&lt;W$8,W$5+SQRT(NORMSDIST(W$9*SQRT($C$11)*NORMSINV($B374)+SQRT(1-W$9^2*$C$11)*NORMSINV(V374))*(W$7-W$5)*(W$6-W$5)),W$7-SQRT((1-NORMSDIST(W$9*SQRT($C$11)*NORMSINV($B374)+SQRT(1-W$9^2*$C$11)*NORMSINV(V374)))*(W$7-W$5)*(W$7-W$6))))</f>
        <v>10.0483003143452</v>
      </c>
      <c r="X374" s="2" t="n">
        <v>0.508622244</v>
      </c>
      <c r="Y374" s="2" t="n">
        <f aca="false">IF(Y$7=Y$5,Y$6,IF(NORMSDIST(Y$9*SQRT($C$11)*NORMSINV($B374)+SQRT(1-Y$9^2*$C$11)*NORMSINV(X374))&lt;Y$8,Y$5+SQRT(NORMSDIST(Y$9*SQRT($C$11)*NORMSINV($B374)+SQRT(1-Y$9^2*$C$11)*NORMSINV(X374))*(Y$7-Y$5)*(Y$6-Y$5)),Y$7-SQRT((1-NORMSDIST(Y$9*SQRT($C$11)*NORMSINV($B374)+SQRT(1-Y$9^2*$C$11)*NORMSINV(X374)))*(Y$7-Y$5)*(Y$7-Y$6))))</f>
        <v>0.504329869772245</v>
      </c>
      <c r="Z374" s="2" t="n">
        <v>0.253479458</v>
      </c>
      <c r="AA374" s="2" t="n">
        <f aca="false">IF(AA$7=AA$5,AA$6,IF(NORMSDIST(AA$9*SQRT($C$11)*NORMSINV($B374)+SQRT(1-AA$9^2*$C$11)*NORMSINV(Z374))&lt;AA$8,AA$5+SQRT(NORMSDIST(AA$9*SQRT($C$11)*NORMSINV($B374)+SQRT(1-AA$9^2*$C$11)*NORMSINV(Z374))*(AA$7-AA$5)*(AA$6-AA$5)),AA$7-SQRT((1-NORMSDIST(AA$9*SQRT($C$11)*NORMSINV($B374)+SQRT(1-AA$9^2*$C$11)*NORMSINV(Z374)))*(AA$7-AA$5)*(AA$7-AA$6))))</f>
        <v>0.720989264093934</v>
      </c>
      <c r="AB374" s="2" t="n">
        <v>0.513848127</v>
      </c>
      <c r="AC374" s="2" t="n">
        <f aca="false">IF(AC$7=AC$5,AC$6,IF(NORMSDIST(AC$9*SQRT($C$11)*NORMSINV($B374)+SQRT(1-AC$9^2*$C$11)*NORMSINV(AB374))&lt;AC$8,AC$5+SQRT(NORMSDIST(AC$9*SQRT($C$11)*NORMSINV($B374)+SQRT(1-AC$9^2*$C$11)*NORMSINV(AB374))*(AC$7-AC$5)*(AC$6-AC$5)),AC$7-SQRT((1-NORMSDIST(AC$9*SQRT($C$11)*NORMSINV($B374)+SQRT(1-AC$9^2*$C$11)*NORMSINV(AB374)))*(AC$7-AC$5)*(AC$7-AC$6))))</f>
        <v>9.50973575431871</v>
      </c>
      <c r="AD374" s="2" t="n">
        <f aca="false">Entrées!$C$8*(1+E374)</f>
        <v>7445.85389836748</v>
      </c>
      <c r="AE374" s="2" t="n">
        <f aca="false">I374*Hypothèses!$J$24/12/Hypothèses!$J$19</f>
        <v>104.72469446688</v>
      </c>
      <c r="AF374" s="2" t="n">
        <f aca="false">Entrées!$C$36*S374*1000</f>
        <v>270.906168754719</v>
      </c>
      <c r="AG374" s="2" t="n">
        <f aca="false">-AF374/W374</f>
        <v>-26.9603973089823</v>
      </c>
      <c r="AH374" s="2" t="n">
        <f aca="false">AD374+AE374+AG374</f>
        <v>7523.61819552538</v>
      </c>
      <c r="AI374" s="2" t="n">
        <f aca="false">Entrées!$C$16-M374+Hypothèses!$J$22*1000-AF374+Hypothèses!$J$23</f>
        <v>22632.6927240863</v>
      </c>
      <c r="AJ374" s="2" t="n">
        <f aca="false">AI374/AH374</f>
        <v>3.00821920197213</v>
      </c>
      <c r="AK374" s="2" t="n">
        <f aca="false">AI374/(AH374+I374*(12-Hypothèses!$J$24)/12/Hypothèses!$J$19)</f>
        <v>2.97860451397447</v>
      </c>
      <c r="AL374" s="2" t="n">
        <f aca="false">(AD374+AG374+I374/Hypothèses!$J$19)*(1+G374)</f>
        <v>8028.60297631776</v>
      </c>
      <c r="AM374" s="2" t="n">
        <f aca="false">Entrées!$C$54*K374/Hypothèses!$J$19</f>
        <v>27.0055287429844</v>
      </c>
      <c r="AN374" s="2" t="n">
        <f aca="false">Y374*1000/AC374</f>
        <v>53.033005627229</v>
      </c>
      <c r="AO374" s="2" t="n">
        <f aca="false">(Entrées!$C$36*(1-S374)+MAX(0,Entrées!$C$30-Entrées!$C$35-Entrées!$C$36)*U374)*1000</f>
        <v>1003.7514038782</v>
      </c>
      <c r="AP374" s="2" t="n">
        <f aca="false">-AO374/W374</f>
        <v>-99.8926557206112</v>
      </c>
      <c r="AQ374" s="2" t="n">
        <f aca="false">AL374+AM374+AN374+AP374</f>
        <v>8008.74885496736</v>
      </c>
      <c r="AR374" s="2" t="n">
        <f aca="false">O374*AQ374-Hypothèses!$J$25/Hypothèses!$J$19</f>
        <v>1336.32655634769</v>
      </c>
      <c r="AS374" s="2" t="n">
        <f aca="false">Entrées!$C$79*(1+Q374)+Hypothèses!$J$20</f>
        <v>1481.14568361541</v>
      </c>
      <c r="AT374" s="2" t="n">
        <f aca="false">AI374-AR374+AS374+Y374*1000-AO374+Hypothèses!$J$23</f>
        <v>22278.0903172481</v>
      </c>
      <c r="AU374" s="2" t="n">
        <f aca="false">AT374/AQ374</f>
        <v>2.78171918244512</v>
      </c>
      <c r="AV374" s="2" t="n">
        <f aca="false">Hypothèses!$J$26*AQ374-AT374</f>
        <v>1748.15624765397</v>
      </c>
      <c r="AW374" s="2" t="n">
        <f aca="false">IF(AC374&gt;Hypothèses!$J$26,MAX(0,AV374)/(1-Hypothèses!$J$26/AC374),0)</f>
        <v>2553.79090640069</v>
      </c>
      <c r="AX374" s="2" t="n">
        <f aca="false">AQ374-Entrées!$C$17*1000</f>
        <v>8.74885496736351</v>
      </c>
      <c r="AY374" s="2" t="n">
        <f aca="false">AI374+(Entrées!$C$244-Entrées!$C$13)</f>
        <v>28379.6927240863</v>
      </c>
      <c r="AZ374" s="2" t="n">
        <f aca="false">AA374*AH374</f>
        <v>5424.44794611557</v>
      </c>
      <c r="BA374" s="2" t="n">
        <f aca="false">AZ374/AY374</f>
        <v>0.191138360758633</v>
      </c>
      <c r="BB374" s="2" t="n">
        <f aca="false">AZ374/(Entrées!$C$151/100)-AY374</f>
        <v>1756.12919877793</v>
      </c>
      <c r="BC374" s="2" t="n">
        <f aca="false">AT374+(Entrées!$C$244-Entrées!$C$13)</f>
        <v>28025.0903172481</v>
      </c>
      <c r="BD374" s="2" t="n">
        <f aca="false">AA374*AQ374</f>
        <v>5774.22194325605</v>
      </c>
      <c r="BE374" s="2" t="n">
        <f aca="false">BD374/BC374</f>
        <v>0.206037585531073</v>
      </c>
      <c r="BF374" s="2" t="n">
        <f aca="false">BD374/(Entrées!$C$151/100)-BC374</f>
        <v>4053.92047861884</v>
      </c>
      <c r="BG374" s="2" t="n">
        <f aca="false">MIN(AV374,BF374)</f>
        <v>1748.15624765397</v>
      </c>
      <c r="BH374" s="2" t="n">
        <f aca="false">IF(AC374&gt;Hypothèses!$J$26,MAX(0,BG374)/(1-Hypothèses!$J$26/AC374),0)</f>
        <v>2553.79090640069</v>
      </c>
    </row>
    <row r="375" customFormat="false" ht="15" hidden="false" customHeight="false" outlineLevel="0" collapsed="false">
      <c r="A375" s="2" t="n">
        <v>360</v>
      </c>
      <c r="B375" s="2" t="n">
        <v>0.951409797</v>
      </c>
      <c r="C375" s="2"/>
      <c r="D375" s="2" t="n">
        <v>0.876246322</v>
      </c>
      <c r="E375" s="2" t="n">
        <f aca="false">IF(E$7=E$5,E$6,IF(NORMSDIST(E$9*SQRT($C$11)*NORMSINV($B375)+SQRT(1-E$9^2*$C$11)*NORMSINV(D375))&lt;E$8,E$5+SQRT(NORMSDIST(E$9*SQRT($C$11)*NORMSINV($B375)+SQRT(1-E$9^2*$C$11)*NORMSINV(D375))*(E$7-E$5)*(E$6-E$5)),E$7-SQRT((1-NORMSDIST(E$9*SQRT($C$11)*NORMSINV($B375)+SQRT(1-E$9^2*$C$11)*NORMSINV(D375)))*(E$7-E$5)*(E$7-E$6))))</f>
        <v>0.058862034939763</v>
      </c>
      <c r="F375" s="2" t="n">
        <v>0.628159185</v>
      </c>
      <c r="G375" s="2" t="n">
        <f aca="false">IF(G$7=G$5,G$6,IF(NORMSDIST(G$9*SQRT($C$11)*NORMSINV($B375)+SQRT(1-G$9^2*$C$11)*NORMSINV(F375))&lt;G$8,G$5+SQRT(NORMSDIST(G$9*SQRT($C$11)*NORMSINV($B375)+SQRT(1-G$9^2*$C$11)*NORMSINV(F375))*(G$7-G$5)*(G$6-G$5)),G$7-SQRT((1-NORMSDIST(G$9*SQRT($C$11)*NORMSINV($B375)+SQRT(1-G$9^2*$C$11)*NORMSINV(F375)))*(G$7-G$5)*(G$7-G$6))))</f>
        <v>0.063413530718828</v>
      </c>
      <c r="H375" s="2" t="n">
        <v>0.305056454</v>
      </c>
      <c r="I375" s="2" t="n">
        <f aca="false">IF(I$7=I$5,I$6,IF(NORMSDIST(I$9*SQRT($C$11)*NORMSINV($B375)+SQRT(1-I$9^2*$C$11)*NORMSINV(H375))&lt;I$8,I$5+SQRT(NORMSDIST(I$9*SQRT($C$11)*NORMSINV($B375)+SQRT(1-I$9^2*$C$11)*NORMSINV(H375))*(I$7-I$5)*(I$6-I$5)),I$7-SQRT((1-NORMSDIST(I$9*SQRT($C$11)*NORMSINV($B375)+SQRT(1-I$9^2*$C$11)*NORMSINV(H375)))*(I$7-I$5)*(I$7-I$6))))</f>
        <v>205.674216592103</v>
      </c>
      <c r="J375" s="2" t="n">
        <v>0.096468215</v>
      </c>
      <c r="K375" s="2" t="n">
        <f aca="false">IF(K$7=K$5,K$6,IF(NORMSDIST(K$9*SQRT($C$11)*NORMSINV($B375)+SQRT(1-K$9^2*$C$11)*NORMSINV(J375))&lt;K$8,K$5+SQRT(NORMSDIST(K$9*SQRT($C$11)*NORMSINV($B375)+SQRT(1-K$9^2*$C$11)*NORMSINV(J375))*(K$7-K$5)*(K$6-K$5)),K$7-SQRT((1-NORMSDIST(K$9*SQRT($C$11)*NORMSINV($B375)+SQRT(1-K$9^2*$C$11)*NORMSINV(J375)))*(K$7-K$5)*(K$7-K$6))))</f>
        <v>0.254077572193592</v>
      </c>
      <c r="L375" s="2" t="n">
        <v>0.976748722</v>
      </c>
      <c r="M375" s="2" t="n">
        <f aca="false">IF(M$7=M$5,M$6,IF(NORMSDIST(M$9*SQRT($C$11)*NORMSINV($B375)+SQRT(1-M$9^2*$C$11)*NORMSINV(L375))&lt;M$8,M$5+SQRT(NORMSDIST(M$9*SQRT($C$11)*NORMSINV($B375)+SQRT(1-M$9^2*$C$11)*NORMSINV(L375))*(M$7-M$5)*(M$6-M$5)),M$7-SQRT((1-NORMSDIST(M$9*SQRT($C$11)*NORMSINV($B375)+SQRT(1-M$9^2*$C$11)*NORMSINV(L375)))*(M$7-M$5)*(M$7-M$6))))</f>
        <v>1772.38595127194</v>
      </c>
      <c r="N375" s="2" t="n">
        <v>0.052166716</v>
      </c>
      <c r="O375" s="2" t="n">
        <f aca="false">IF(O$7=O$5,O$6,IF(NORMSDIST(O$9*SQRT($C$11)*NORMSINV($B375)+SQRT(1-O$9^2*$C$11)*NORMSINV(N375))&lt;O$8,O$5+SQRT(NORMSDIST(O$9*SQRT($C$11)*NORMSINV($B375)+SQRT(1-O$9^2*$C$11)*NORMSINV(N375))*(O$7-O$5)*(O$6-O$5)),O$7-SQRT((1-NORMSDIST(O$9*SQRT($C$11)*NORMSINV($B375)+SQRT(1-O$9^2*$C$11)*NORMSINV(N375)))*(O$7-O$5)*(O$7-O$6))))</f>
        <v>0.164466474618139</v>
      </c>
      <c r="P375" s="2" t="n">
        <v>0.838277603</v>
      </c>
      <c r="Q375" s="2" t="n">
        <f aca="false">IF(Q$7=Q$5,Q$6,IF(NORMSDIST(Q$9*SQRT($C$11)*NORMSINV($B375)+SQRT(1-Q$9^2*$C$11)*NORMSINV(P375))&lt;Q$8,Q$5+SQRT(NORMSDIST(Q$9*SQRT($C$11)*NORMSINV($B375)+SQRT(1-Q$9^2*$C$11)*NORMSINV(P375))*(Q$7-Q$5)*(Q$6-Q$5)),Q$7-SQRT((1-NORMSDIST(Q$9*SQRT($C$11)*NORMSINV($B375)+SQRT(1-Q$9^2*$C$11)*NORMSINV(P375)))*(Q$7-Q$5)*(Q$7-Q$6))))</f>
        <v>0.0972511171614956</v>
      </c>
      <c r="R375" s="2" t="n">
        <v>0.612007908</v>
      </c>
      <c r="S375" s="2" t="n">
        <f aca="false">IF(S$7=S$5,S$6,IF(NORMSDIST(S$9*SQRT($C$11)*NORMSINV($B375)+SQRT(1-S$9^2*$C$11)*NORMSINV(R375))&lt;S$8,S$5+SQRT(NORMSDIST(S$9*SQRT($C$11)*NORMSINV($B375)+SQRT(1-S$9^2*$C$11)*NORMSINV(R375))*(S$7-S$5)*(S$6-S$5)),S$7-SQRT((1-NORMSDIST(S$9*SQRT($C$11)*NORMSINV($B375)+SQRT(1-S$9^2*$C$11)*NORMSINV(R375)))*(S$7-S$5)*(S$7-S$6))))</f>
        <v>0.774014366289651</v>
      </c>
      <c r="T375" s="2" t="n">
        <v>0.699394828</v>
      </c>
      <c r="U375" s="2" t="n">
        <f aca="false">IF(U$7=U$5,U$6,IF(NORMSDIST(U$9*SQRT($C$11)*NORMSINV($B375)+SQRT(1-U$9^2*$C$11)*NORMSINV(T375))&lt;U$8,U$5+SQRT(NORMSDIST(U$9*SQRT($C$11)*NORMSINV($B375)+SQRT(1-U$9^2*$C$11)*NORMSINV(T375))*(U$7-U$5)*(U$6-U$5)),U$7-SQRT((1-NORMSDIST(U$9*SQRT($C$11)*NORMSINV($B375)+SQRT(1-U$9^2*$C$11)*NORMSINV(T375)))*(U$7-U$5)*(U$7-U$6))))</f>
        <v>0.808965856879734</v>
      </c>
      <c r="V375" s="2" t="n">
        <v>0.133352508</v>
      </c>
      <c r="W375" s="2" t="n">
        <f aca="false">IF(W$7=W$5,W$6,IF(NORMSDIST(W$9*SQRT($C$11)*NORMSINV($B375)+SQRT(1-W$9^2*$C$11)*NORMSINV(V375))&lt;W$8,W$5+SQRT(NORMSDIST(W$9*SQRT($C$11)*NORMSINV($B375)+SQRT(1-W$9^2*$C$11)*NORMSINV(V375))*(W$7-W$5)*(W$6-W$5)),W$7-SQRT((1-NORMSDIST(W$9*SQRT($C$11)*NORMSINV($B375)+SQRT(1-W$9^2*$C$11)*NORMSINV(V375)))*(W$7-W$5)*(W$7-W$6))))</f>
        <v>10.1557439117478</v>
      </c>
      <c r="X375" s="2" t="n">
        <v>0.676261645</v>
      </c>
      <c r="Y375" s="2" t="n">
        <f aca="false">IF(Y$7=Y$5,Y$6,IF(NORMSDIST(Y$9*SQRT($C$11)*NORMSINV($B375)+SQRT(1-Y$9^2*$C$11)*NORMSINV(X375))&lt;Y$8,Y$5+SQRT(NORMSDIST(Y$9*SQRT($C$11)*NORMSINV($B375)+SQRT(1-Y$9^2*$C$11)*NORMSINV(X375))*(Y$7-Y$5)*(Y$6-Y$5)),Y$7-SQRT((1-NORMSDIST(Y$9*SQRT($C$11)*NORMSINV($B375)+SQRT(1-Y$9^2*$C$11)*NORMSINV(X375)))*(Y$7-Y$5)*(Y$7-Y$6))))</f>
        <v>0.597670312430216</v>
      </c>
      <c r="Z375" s="2" t="n">
        <v>0.788402147</v>
      </c>
      <c r="AA375" s="2" t="n">
        <f aca="false">IF(AA$7=AA$5,AA$6,IF(NORMSDIST(AA$9*SQRT($C$11)*NORMSINV($B375)+SQRT(1-AA$9^2*$C$11)*NORMSINV(Z375))&lt;AA$8,AA$5+SQRT(NORMSDIST(AA$9*SQRT($C$11)*NORMSINV($B375)+SQRT(1-AA$9^2*$C$11)*NORMSINV(Z375))*(AA$7-AA$5)*(AA$6-AA$5)),AA$7-SQRT((1-NORMSDIST(AA$9*SQRT($C$11)*NORMSINV($B375)+SQRT(1-AA$9^2*$C$11)*NORMSINV(Z375)))*(AA$7-AA$5)*(AA$7-AA$6))))</f>
        <v>0.746056118238014</v>
      </c>
      <c r="AB375" s="2" t="n">
        <v>0.608577472</v>
      </c>
      <c r="AC375" s="2" t="n">
        <f aca="false">IF(AC$7=AC$5,AC$6,IF(NORMSDIST(AC$9*SQRT($C$11)*NORMSINV($B375)+SQRT(1-AC$9^2*$C$11)*NORMSINV(AB375))&lt;AC$8,AC$5+SQRT(NORMSDIST(AC$9*SQRT($C$11)*NORMSINV($B375)+SQRT(1-AC$9^2*$C$11)*NORMSINV(AB375))*(AC$7-AC$5)*(AC$6-AC$5)),AC$7-SQRT((1-NORMSDIST(AC$9*SQRT($C$11)*NORMSINV($B375)+SQRT(1-AC$9^2*$C$11)*NORMSINV(AB375)))*(AC$7-AC$5)*(AC$7-AC$6))))</f>
        <v>10.3317205294866</v>
      </c>
      <c r="AD375" s="2" t="n">
        <f aca="false">Entrées!$C$8*(1+E375)</f>
        <v>7464.97734632533</v>
      </c>
      <c r="AE375" s="2" t="n">
        <f aca="false">I375*Hypothèses!$J$24/12/Hypothèses!$J$19</f>
        <v>102.034320565403</v>
      </c>
      <c r="AF375" s="2" t="n">
        <f aca="false">Entrées!$C$36*S375*1000</f>
        <v>387.007183144825</v>
      </c>
      <c r="AG375" s="2" t="n">
        <f aca="false">-AF375/W375</f>
        <v>-38.1072215396402</v>
      </c>
      <c r="AH375" s="2" t="n">
        <f aca="false">AD375+AE375+AG375</f>
        <v>7528.90444535109</v>
      </c>
      <c r="AI375" s="2" t="n">
        <f aca="false">Entrées!$C$16-M375+Hypothèses!$J$22*1000-AF375+Hypothèses!$J$23</f>
        <v>22388.6068655832</v>
      </c>
      <c r="AJ375" s="2" t="n">
        <f aca="false">AI375/AH375</f>
        <v>2.97368721147838</v>
      </c>
      <c r="AK375" s="2" t="n">
        <f aca="false">AI375/(AH375+I375*(12-Hypothèses!$J$24)/12/Hypothèses!$J$19)</f>
        <v>2.94517716790909</v>
      </c>
      <c r="AL375" s="2" t="n">
        <f aca="false">(AD375+AG375+I375/Hypothèses!$J$19)*(1+G375)</f>
        <v>8083.84219945188</v>
      </c>
      <c r="AM375" s="2" t="n">
        <f aca="false">Entrées!$C$54*K375/Hypothèses!$J$19</f>
        <v>25.9296830451433</v>
      </c>
      <c r="AN375" s="2" t="n">
        <f aca="false">Y375*1000/AC375</f>
        <v>57.8480912955858</v>
      </c>
      <c r="AO375" s="2" t="n">
        <f aca="false">(Entrées!$C$36*(1-S375)+MAX(0,Entrées!$C$30-Entrées!$C$35-Entrées!$C$36)*U375)*1000</f>
        <v>1245.5450164868</v>
      </c>
      <c r="AP375" s="2" t="n">
        <f aca="false">-AO375/W375</f>
        <v>-122.644389944295</v>
      </c>
      <c r="AQ375" s="2" t="n">
        <f aca="false">AL375+AM375+AN375+AP375</f>
        <v>8044.97558384831</v>
      </c>
      <c r="AR375" s="2" t="n">
        <f aca="false">O375*AQ375-Hypothèses!$J$25/Hypothèses!$J$19</f>
        <v>1303.99361040291</v>
      </c>
      <c r="AS375" s="2" t="n">
        <f aca="false">Entrées!$C$79*(1+Q375)+Hypothèses!$J$20</f>
        <v>1500.87897776048</v>
      </c>
      <c r="AT375" s="2" t="n">
        <f aca="false">AI375-AR375+AS375+Y375*1000-AO375+Hypothèses!$J$23</f>
        <v>21937.6175288842</v>
      </c>
      <c r="AU375" s="2" t="n">
        <f aca="false">AT375/AQ375</f>
        <v>2.72687185936621</v>
      </c>
      <c r="AV375" s="2" t="n">
        <f aca="false">Hypothèses!$J$26*AQ375-AT375</f>
        <v>2197.30922266072</v>
      </c>
      <c r="AW375" s="2" t="n">
        <f aca="false">IF(AC375&gt;Hypothèses!$J$26,MAX(0,AV375)/(1-Hypothèses!$J$26/AC375),0)</f>
        <v>3096.40618652764</v>
      </c>
      <c r="AX375" s="2" t="n">
        <f aca="false">AQ375-Entrées!$C$17*1000</f>
        <v>44.9755838483125</v>
      </c>
      <c r="AY375" s="2" t="n">
        <f aca="false">AI375+(Entrées!$C$244-Entrées!$C$13)</f>
        <v>28135.6068655832</v>
      </c>
      <c r="AZ375" s="2" t="n">
        <f aca="false">AA375*AH375</f>
        <v>5616.98522508356</v>
      </c>
      <c r="BA375" s="2" t="n">
        <f aca="false">AZ375/AY375</f>
        <v>0.199639739491616</v>
      </c>
      <c r="BB375" s="2" t="n">
        <f aca="false">AZ375/(Entrées!$C$151/100)-AY375</f>
        <v>3069.86660710322</v>
      </c>
      <c r="BC375" s="2" t="n">
        <f aca="false">AT375+(Entrées!$C$244-Entrées!$C$13)</f>
        <v>27684.6175288842</v>
      </c>
      <c r="BD375" s="2" t="n">
        <f aca="false">AA375*AQ375</f>
        <v>6002.00325540547</v>
      </c>
      <c r="BE375" s="2" t="n">
        <f aca="false">BD375/BC375</f>
        <v>0.216799211661255</v>
      </c>
      <c r="BF375" s="2" t="n">
        <f aca="false">BD375/(Entrées!$C$151/100)-BC375</f>
        <v>5659.84500114617</v>
      </c>
      <c r="BG375" s="2" t="n">
        <f aca="false">MIN(AV375,BF375)</f>
        <v>2197.30922266072</v>
      </c>
      <c r="BH375" s="2" t="n">
        <f aca="false">IF(AC375&gt;Hypothèses!$J$26,MAX(0,BG375)/(1-Hypothèses!$J$26/AC375),0)</f>
        <v>3096.40618652764</v>
      </c>
    </row>
    <row r="376" customFormat="false" ht="15" hidden="false" customHeight="false" outlineLevel="0" collapsed="false">
      <c r="A376" s="2" t="n">
        <v>361</v>
      </c>
      <c r="B376" s="2" t="n">
        <v>0.331421193</v>
      </c>
      <c r="C376" s="2"/>
      <c r="D376" s="2" t="n">
        <v>0.540422639</v>
      </c>
      <c r="E376" s="2" t="n">
        <f aca="false">IF(E$7=E$5,E$6,IF(NORMSDIST(E$9*SQRT($C$11)*NORMSINV($B376)+SQRT(1-E$9^2*$C$11)*NORMSINV(D376))&lt;E$8,E$5+SQRT(NORMSDIST(E$9*SQRT($C$11)*NORMSINV($B376)+SQRT(1-E$9^2*$C$11)*NORMSINV(D376))*(E$7-E$5)*(E$6-E$5)),E$7-SQRT((1-NORMSDIST(E$9*SQRT($C$11)*NORMSINV($B376)+SQRT(1-E$9^2*$C$11)*NORMSINV(D376)))*(E$7-E$5)*(E$7-E$6))))</f>
        <v>0.054592737528035</v>
      </c>
      <c r="F376" s="2" t="n">
        <v>0.693965569</v>
      </c>
      <c r="G376" s="2" t="n">
        <f aca="false">IF(G$7=G$5,G$6,IF(NORMSDIST(G$9*SQRT($C$11)*NORMSINV($B376)+SQRT(1-G$9^2*$C$11)*NORMSINV(F376))&lt;G$8,G$5+SQRT(NORMSDIST(G$9*SQRT($C$11)*NORMSINV($B376)+SQRT(1-G$9^2*$C$11)*NORMSINV(F376))*(G$7-G$5)*(G$6-G$5)),G$7-SQRT((1-NORMSDIST(G$9*SQRT($C$11)*NORMSINV($B376)+SQRT(1-G$9^2*$C$11)*NORMSINV(F376)))*(G$7-G$5)*(G$7-G$6))))</f>
        <v>0.0557160551648309</v>
      </c>
      <c r="H376" s="2" t="n">
        <v>0.623194546</v>
      </c>
      <c r="I376" s="2" t="n">
        <f aca="false">IF(I$7=I$5,I$6,IF(NORMSDIST(I$9*SQRT($C$11)*NORMSINV($B376)+SQRT(1-I$9^2*$C$11)*NORMSINV(H376))&lt;I$8,I$5+SQRT(NORMSDIST(I$9*SQRT($C$11)*NORMSINV($B376)+SQRT(1-I$9^2*$C$11)*NORMSINV(H376))*(I$7-I$5)*(I$6-I$5)),I$7-SQRT((1-NORMSDIST(I$9*SQRT($C$11)*NORMSINV($B376)+SQRT(1-I$9^2*$C$11)*NORMSINV(H376)))*(I$7-I$5)*(I$7-I$6))))</f>
        <v>199.738109544368</v>
      </c>
      <c r="J376" s="2" t="n">
        <v>0.348730732</v>
      </c>
      <c r="K376" s="2" t="n">
        <f aca="false">IF(K$7=K$5,K$6,IF(NORMSDIST(K$9*SQRT($C$11)*NORMSINV($B376)+SQRT(1-K$9^2*$C$11)*NORMSINV(J376))&lt;K$8,K$5+SQRT(NORMSDIST(K$9*SQRT($C$11)*NORMSINV($B376)+SQRT(1-K$9^2*$C$11)*NORMSINV(J376))*(K$7-K$5)*(K$6-K$5)),K$7-SQRT((1-NORMSDIST(K$9*SQRT($C$11)*NORMSINV($B376)+SQRT(1-K$9^2*$C$11)*NORMSINV(J376)))*(K$7-K$5)*(K$7-K$6))))</f>
        <v>0.187754402310494</v>
      </c>
      <c r="L376" s="2" t="n">
        <v>0.257590636</v>
      </c>
      <c r="M376" s="2" t="n">
        <f aca="false">IF(M$7=M$5,M$6,IF(NORMSDIST(M$9*SQRT($C$11)*NORMSINV($B376)+SQRT(1-M$9^2*$C$11)*NORMSINV(L376))&lt;M$8,M$5+SQRT(NORMSDIST(M$9*SQRT($C$11)*NORMSINV($B376)+SQRT(1-M$9^2*$C$11)*NORMSINV(L376))*(M$7-M$5)*(M$6-M$5)),M$7-SQRT((1-NORMSDIST(M$9*SQRT($C$11)*NORMSINV($B376)+SQRT(1-M$9^2*$C$11)*NORMSINV(L376)))*(M$7-M$5)*(M$7-M$6))))</f>
        <v>1489.39433609821</v>
      </c>
      <c r="N376" s="2" t="n">
        <v>0.622349105</v>
      </c>
      <c r="O376" s="2" t="n">
        <f aca="false">IF(O$7=O$5,O$6,IF(NORMSDIST(O$9*SQRT($C$11)*NORMSINV($B376)+SQRT(1-O$9^2*$C$11)*NORMSINV(N376))&lt;O$8,O$5+SQRT(NORMSDIST(O$9*SQRT($C$11)*NORMSINV($B376)+SQRT(1-O$9^2*$C$11)*NORMSINV(N376))*(O$7-O$5)*(O$6-O$5)),O$7-SQRT((1-NORMSDIST(O$9*SQRT($C$11)*NORMSINV($B376)+SQRT(1-O$9^2*$C$11)*NORMSINV(N376)))*(O$7-O$5)*(O$7-O$6))))</f>
        <v>0.166415103378687</v>
      </c>
      <c r="P376" s="2" t="n">
        <v>0.104956339</v>
      </c>
      <c r="Q376" s="2" t="n">
        <f aca="false">IF(Q$7=Q$5,Q$6,IF(NORMSDIST(Q$9*SQRT($C$11)*NORMSINV($B376)+SQRT(1-Q$9^2*$C$11)*NORMSINV(P376))&lt;Q$8,Q$5+SQRT(NORMSDIST(Q$9*SQRT($C$11)*NORMSINV($B376)+SQRT(1-Q$9^2*$C$11)*NORMSINV(P376))*(Q$7-Q$5)*(Q$6-Q$5)),Q$7-SQRT((1-NORMSDIST(Q$9*SQRT($C$11)*NORMSINV($B376)+SQRT(1-Q$9^2*$C$11)*NORMSINV(P376)))*(Q$7-Q$5)*(Q$7-Q$6))))</f>
        <v>0.0583264913390425</v>
      </c>
      <c r="R376" s="2" t="n">
        <v>0.504552344</v>
      </c>
      <c r="S376" s="2" t="n">
        <f aca="false">IF(S$7=S$5,S$6,IF(NORMSDIST(S$9*SQRT($C$11)*NORMSINV($B376)+SQRT(1-S$9^2*$C$11)*NORMSINV(R376))&lt;S$8,S$5+SQRT(NORMSDIST(S$9*SQRT($C$11)*NORMSINV($B376)+SQRT(1-S$9^2*$C$11)*NORMSINV(R376))*(S$7-S$5)*(S$6-S$5)),S$7-SQRT((1-NORMSDIST(S$9*SQRT($C$11)*NORMSINV($B376)+SQRT(1-S$9^2*$C$11)*NORMSINV(R376)))*(S$7-S$5)*(S$7-S$6))))</f>
        <v>0.444280632261102</v>
      </c>
      <c r="T376" s="2" t="n">
        <v>0.795209831</v>
      </c>
      <c r="U376" s="2" t="n">
        <f aca="false">IF(U$7=U$5,U$6,IF(NORMSDIST(U$9*SQRT($C$11)*NORMSINV($B376)+SQRT(1-U$9^2*$C$11)*NORMSINV(T376))&lt;U$8,U$5+SQRT(NORMSDIST(U$9*SQRT($C$11)*NORMSINV($B376)+SQRT(1-U$9^2*$C$11)*NORMSINV(T376))*(U$7-U$5)*(U$6-U$5)),U$7-SQRT((1-NORMSDIST(U$9*SQRT($C$11)*NORMSINV($B376)+SQRT(1-U$9^2*$C$11)*NORMSINV(T376)))*(U$7-U$5)*(U$7-U$6))))</f>
        <v>0.576740013365417</v>
      </c>
      <c r="V376" s="2" t="n">
        <v>0.321788053</v>
      </c>
      <c r="W376" s="2" t="n">
        <f aca="false">IF(W$7=W$5,W$6,IF(NORMSDIST(W$9*SQRT($C$11)*NORMSINV($B376)+SQRT(1-W$9^2*$C$11)*NORMSINV(V376))&lt;W$8,W$5+SQRT(NORMSDIST(W$9*SQRT($C$11)*NORMSINV($B376)+SQRT(1-W$9^2*$C$11)*NORMSINV(V376))*(W$7-W$5)*(W$6-W$5)),W$7-SQRT((1-NORMSDIST(W$9*SQRT($C$11)*NORMSINV($B376)+SQRT(1-W$9^2*$C$11)*NORMSINV(V376)))*(W$7-W$5)*(W$7-W$6))))</f>
        <v>9.45048899503265</v>
      </c>
      <c r="X376" s="2" t="n">
        <v>0.957175662</v>
      </c>
      <c r="Y376" s="2" t="n">
        <f aca="false">IF(Y$7=Y$5,Y$6,IF(NORMSDIST(Y$9*SQRT($C$11)*NORMSINV($B376)+SQRT(1-Y$9^2*$C$11)*NORMSINV(X376))&lt;Y$8,Y$5+SQRT(NORMSDIST(Y$9*SQRT($C$11)*NORMSINV($B376)+SQRT(1-Y$9^2*$C$11)*NORMSINV(X376))*(Y$7-Y$5)*(Y$6-Y$5)),Y$7-SQRT((1-NORMSDIST(Y$9*SQRT($C$11)*NORMSINV($B376)+SQRT(1-Y$9^2*$C$11)*NORMSINV(X376)))*(Y$7-Y$5)*(Y$7-Y$6))))</f>
        <v>0.853671024742193</v>
      </c>
      <c r="Z376" s="2" t="n">
        <v>0.201374375</v>
      </c>
      <c r="AA376" s="2" t="n">
        <f aca="false">IF(AA$7=AA$5,AA$6,IF(NORMSDIST(AA$9*SQRT($C$11)*NORMSINV($B376)+SQRT(1-AA$9^2*$C$11)*NORMSINV(Z376))&lt;AA$8,AA$5+SQRT(NORMSDIST(AA$9*SQRT($C$11)*NORMSINV($B376)+SQRT(1-AA$9^2*$C$11)*NORMSINV(Z376))*(AA$7-AA$5)*(AA$6-AA$5)),AA$7-SQRT((1-NORMSDIST(AA$9*SQRT($C$11)*NORMSINV($B376)+SQRT(1-AA$9^2*$C$11)*NORMSINV(Z376)))*(AA$7-AA$5)*(AA$7-AA$6))))</f>
        <v>0.714836866962848</v>
      </c>
      <c r="AB376" s="2" t="n">
        <v>0.940556323</v>
      </c>
      <c r="AC376" s="2" t="n">
        <f aca="false">IF(AC$7=AC$5,AC$6,IF(NORMSDIST(AC$9*SQRT($C$11)*NORMSINV($B376)+SQRT(1-AC$9^2*$C$11)*NORMSINV(AB376))&lt;AC$8,AC$5+SQRT(NORMSDIST(AC$9*SQRT($C$11)*NORMSINV($B376)+SQRT(1-AC$9^2*$C$11)*NORMSINV(AB376))*(AC$7-AC$5)*(AC$6-AC$5)),AC$7-SQRT((1-NORMSDIST(AC$9*SQRT($C$11)*NORMSINV($B376)+SQRT(1-AC$9^2*$C$11)*NORMSINV(AB376)))*(AC$7-AC$5)*(AC$7-AC$6))))</f>
        <v>10.1289917756041</v>
      </c>
      <c r="AD376" s="2" t="n">
        <f aca="false">Entrées!$C$8*(1+E376)</f>
        <v>7434.87879957265</v>
      </c>
      <c r="AE376" s="2" t="n">
        <f aca="false">I376*Hypothèses!$J$24/12/Hypothèses!$J$19</f>
        <v>99.0894368582714</v>
      </c>
      <c r="AF376" s="2" t="n">
        <f aca="false">Entrées!$C$36*S376*1000</f>
        <v>222.140316130551</v>
      </c>
      <c r="AG376" s="2" t="n">
        <f aca="false">-AF376/W376</f>
        <v>-23.5056954457396</v>
      </c>
      <c r="AH376" s="2" t="n">
        <f aca="false">AD376+AE376+AG376</f>
        <v>7510.46254098518</v>
      </c>
      <c r="AI376" s="2" t="n">
        <f aca="false">Entrées!$C$16-M376+Hypothèses!$J$22*1000-AF376+Hypothèses!$J$23</f>
        <v>22836.4653477712</v>
      </c>
      <c r="AJ376" s="2" t="n">
        <f aca="false">AI376/AH376</f>
        <v>3.04062036434519</v>
      </c>
      <c r="AK376" s="2" t="n">
        <f aca="false">AI376/(AH376+I376*(12-Hypothèses!$J$24)/12/Hypothèses!$J$19)</f>
        <v>3.01223325057307</v>
      </c>
      <c r="AL376" s="2" t="n">
        <f aca="false">(AD376+AG376+I376/Hypothèses!$J$19)*(1+G376)</f>
        <v>8003.63753579533</v>
      </c>
      <c r="AM376" s="2" t="n">
        <f aca="false">Entrées!$C$54*K376/Hypothèses!$J$19</f>
        <v>19.1611250855782</v>
      </c>
      <c r="AN376" s="2" t="n">
        <f aca="false">Y376*1000/AC376</f>
        <v>84.2799603015056</v>
      </c>
      <c r="AO376" s="2" t="n">
        <f aca="false">(Entrées!$C$36*(1-S376)+MAX(0,Entrées!$C$30-Entrées!$C$35-Entrées!$C$36)*U376)*1000</f>
        <v>1085.29570258103</v>
      </c>
      <c r="AP376" s="2" t="n">
        <f aca="false">-AO376/W376</f>
        <v>-114.840163630843</v>
      </c>
      <c r="AQ376" s="2" t="n">
        <f aca="false">AL376+AM376+AN376+AP376</f>
        <v>7992.23845755157</v>
      </c>
      <c r="AR376" s="2" t="n">
        <f aca="false">O376*AQ376-Hypothèses!$J$25/Hypothèses!$J$19</f>
        <v>1310.89402687893</v>
      </c>
      <c r="AS376" s="2" t="n">
        <f aca="false">Entrées!$C$79*(1+Q376)+Hypothèses!$J$20</f>
        <v>1458.10081398161</v>
      </c>
      <c r="AT376" s="2" t="n">
        <f aca="false">AI376-AR376+AS376+Y376*1000-AO376+Hypothèses!$J$23</f>
        <v>22752.0474570351</v>
      </c>
      <c r="AU376" s="2" t="n">
        <f aca="false">AT376/AQ376</f>
        <v>2.8467678458139</v>
      </c>
      <c r="AV376" s="2" t="n">
        <f aca="false">Hypothèses!$J$26*AQ376-AT376</f>
        <v>1224.66791561965</v>
      </c>
      <c r="AW376" s="2" t="n">
        <f aca="false">IF(AC376&gt;Hypothèses!$J$26,MAX(0,AV376)/(1-Hypothèses!$J$26/AC376),0)</f>
        <v>1740.02883375559</v>
      </c>
      <c r="AX376" s="2" t="n">
        <f aca="false">AQ376-Entrées!$C$17*1000</f>
        <v>-7.76154244842746</v>
      </c>
      <c r="AY376" s="2" t="n">
        <f aca="false">AI376+(Entrées!$C$244-Entrées!$C$13)</f>
        <v>28583.4653477712</v>
      </c>
      <c r="AZ376" s="2" t="n">
        <f aca="false">AA376*AH376</f>
        <v>5368.75551223967</v>
      </c>
      <c r="BA376" s="2" t="n">
        <f aca="false">AZ376/AY376</f>
        <v>0.187827313690581</v>
      </c>
      <c r="BB376" s="2" t="n">
        <f aca="false">AZ376/(Entrées!$C$151/100)-AY376</f>
        <v>1242.95416467139</v>
      </c>
      <c r="BC376" s="2" t="n">
        <f aca="false">AT376+(Entrées!$C$244-Entrées!$C$13)</f>
        <v>28499.0474570351</v>
      </c>
      <c r="BD376" s="2" t="n">
        <f aca="false">AA376*AQ376</f>
        <v>5713.14669901615</v>
      </c>
      <c r="BE376" s="2" t="n">
        <f aca="false">BD376/BC376</f>
        <v>0.200467987838163</v>
      </c>
      <c r="BF376" s="2" t="n">
        <f aca="false">BD376/(Entrées!$C$151/100)-BC376</f>
        <v>3240.65642638797</v>
      </c>
      <c r="BG376" s="2" t="n">
        <f aca="false">MIN(AV376,BF376)</f>
        <v>1224.66791561965</v>
      </c>
      <c r="BH376" s="2" t="n">
        <f aca="false">IF(AC376&gt;Hypothèses!$J$26,MAX(0,BG376)/(1-Hypothèses!$J$26/AC376),0)</f>
        <v>1740.02883375559</v>
      </c>
    </row>
    <row r="377" customFormat="false" ht="15" hidden="false" customHeight="false" outlineLevel="0" collapsed="false">
      <c r="A377" s="2" t="n">
        <v>362</v>
      </c>
      <c r="B377" s="2" t="n">
        <v>0.197591545</v>
      </c>
      <c r="C377" s="2"/>
      <c r="D377" s="2" t="n">
        <v>0.609491535</v>
      </c>
      <c r="E377" s="2" t="n">
        <f aca="false">IF(E$7=E$5,E$6,IF(NORMSDIST(E$9*SQRT($C$11)*NORMSINV($B377)+SQRT(1-E$9^2*$C$11)*NORMSINV(D377))&lt;E$8,E$5+SQRT(NORMSDIST(E$9*SQRT($C$11)*NORMSINV($B377)+SQRT(1-E$9^2*$C$11)*NORMSINV(D377))*(E$7-E$5)*(E$6-E$5)),E$7-SQRT((1-NORMSDIST(E$9*SQRT($C$11)*NORMSINV($B377)+SQRT(1-E$9^2*$C$11)*NORMSINV(D377)))*(E$7-E$5)*(E$7-E$6))))</f>
        <v>0.0543218570992726</v>
      </c>
      <c r="F377" s="2" t="n">
        <v>0.167400617</v>
      </c>
      <c r="G377" s="2" t="n">
        <f aca="false">IF(G$7=G$5,G$6,IF(NORMSDIST(G$9*SQRT($C$11)*NORMSINV($B377)+SQRT(1-G$9^2*$C$11)*NORMSINV(F377))&lt;G$8,G$5+SQRT(NORMSDIST(G$9*SQRT($C$11)*NORMSINV($B377)+SQRT(1-G$9^2*$C$11)*NORMSINV(F377))*(G$7-G$5)*(G$6-G$5)),G$7-SQRT((1-NORMSDIST(G$9*SQRT($C$11)*NORMSINV($B377)+SQRT(1-G$9^2*$C$11)*NORMSINV(F377)))*(G$7-G$5)*(G$7-G$6))))</f>
        <v>0.0466888710838484</v>
      </c>
      <c r="H377" s="2" t="n">
        <v>0.200475424</v>
      </c>
      <c r="I377" s="2" t="n">
        <f aca="false">IF(I$7=I$5,I$6,IF(NORMSDIST(I$9*SQRT($C$11)*NORMSINV($B377)+SQRT(1-I$9^2*$C$11)*NORMSINV(H377))&lt;I$8,I$5+SQRT(NORMSDIST(I$9*SQRT($C$11)*NORMSINV($B377)+SQRT(1-I$9^2*$C$11)*NORMSINV(H377))*(I$7-I$5)*(I$6-I$5)),I$7-SQRT((1-NORMSDIST(I$9*SQRT($C$11)*NORMSINV($B377)+SQRT(1-I$9^2*$C$11)*NORMSINV(H377)))*(I$7-I$5)*(I$7-I$6))))</f>
        <v>189.689066766839</v>
      </c>
      <c r="J377" s="2" t="n">
        <v>0.376395865</v>
      </c>
      <c r="K377" s="2" t="n">
        <f aca="false">IF(K$7=K$5,K$6,IF(NORMSDIST(K$9*SQRT($C$11)*NORMSINV($B377)+SQRT(1-K$9^2*$C$11)*NORMSINV(J377))&lt;K$8,K$5+SQRT(NORMSDIST(K$9*SQRT($C$11)*NORMSINV($B377)+SQRT(1-K$9^2*$C$11)*NORMSINV(J377))*(K$7-K$5)*(K$6-K$5)),K$7-SQRT((1-NORMSDIST(K$9*SQRT($C$11)*NORMSINV($B377)+SQRT(1-K$9^2*$C$11)*NORMSINV(J377)))*(K$7-K$5)*(K$7-K$6))))</f>
        <v>0.164769059167226</v>
      </c>
      <c r="L377" s="2" t="n">
        <v>0.289850745</v>
      </c>
      <c r="M377" s="2" t="n">
        <f aca="false">IF(M$7=M$5,M$6,IF(NORMSDIST(M$9*SQRT($C$11)*NORMSINV($B377)+SQRT(1-M$9^2*$C$11)*NORMSINV(L377))&lt;M$8,M$5+SQRT(NORMSDIST(M$9*SQRT($C$11)*NORMSINV($B377)+SQRT(1-M$9^2*$C$11)*NORMSINV(L377))*(M$7-M$5)*(M$6-M$5)),M$7-SQRT((1-NORMSDIST(M$9*SQRT($C$11)*NORMSINV($B377)+SQRT(1-M$9^2*$C$11)*NORMSINV(L377)))*(M$7-M$5)*(M$7-M$6))))</f>
        <v>1466.18365431318</v>
      </c>
      <c r="N377" s="2" t="n">
        <v>0.401721419</v>
      </c>
      <c r="O377" s="2" t="n">
        <f aca="false">IF(O$7=O$5,O$6,IF(NORMSDIST(O$9*SQRT($C$11)*NORMSINV($B377)+SQRT(1-O$9^2*$C$11)*NORMSINV(N377))&lt;O$8,O$5+SQRT(NORMSDIST(O$9*SQRT($C$11)*NORMSINV($B377)+SQRT(1-O$9^2*$C$11)*NORMSINV(N377))*(O$7-O$5)*(O$6-O$5)),O$7-SQRT((1-NORMSDIST(O$9*SQRT($C$11)*NORMSINV($B377)+SQRT(1-O$9^2*$C$11)*NORMSINV(N377)))*(O$7-O$5)*(O$7-O$6))))</f>
        <v>0.158265757571296</v>
      </c>
      <c r="P377" s="2" t="n">
        <v>0.75334166</v>
      </c>
      <c r="Q377" s="2" t="n">
        <f aca="false">IF(Q$7=Q$5,Q$6,IF(NORMSDIST(Q$9*SQRT($C$11)*NORMSINV($B377)+SQRT(1-Q$9^2*$C$11)*NORMSINV(P377))&lt;Q$8,Q$5+SQRT(NORMSDIST(Q$9*SQRT($C$11)*NORMSINV($B377)+SQRT(1-Q$9^2*$C$11)*NORMSINV(P377))*(Q$7-Q$5)*(Q$6-Q$5)),Q$7-SQRT((1-NORMSDIST(Q$9*SQRT($C$11)*NORMSINV($B377)+SQRT(1-Q$9^2*$C$11)*NORMSINV(P377)))*(Q$7-Q$5)*(Q$7-Q$6))))</f>
        <v>0.0919053975290626</v>
      </c>
      <c r="R377" s="2" t="n">
        <v>0.248689336</v>
      </c>
      <c r="S377" s="2" t="n">
        <f aca="false">IF(S$7=S$5,S$6,IF(NORMSDIST(S$9*SQRT($C$11)*NORMSINV($B377)+SQRT(1-S$9^2*$C$11)*NORMSINV(R377))&lt;S$8,S$5+SQRT(NORMSDIST(S$9*SQRT($C$11)*NORMSINV($B377)+SQRT(1-S$9^2*$C$11)*NORMSINV(R377))*(S$7-S$5)*(S$6-S$5)),S$7-SQRT((1-NORMSDIST(S$9*SQRT($C$11)*NORMSINV($B377)+SQRT(1-S$9^2*$C$11)*NORMSINV(R377)))*(S$7-S$5)*(S$7-S$6))))</f>
        <v>0.268140859951933</v>
      </c>
      <c r="T377" s="2" t="n">
        <v>0.52856288</v>
      </c>
      <c r="U377" s="2" t="n">
        <f aca="false">IF(U$7=U$5,U$6,IF(NORMSDIST(U$9*SQRT($C$11)*NORMSINV($B377)+SQRT(1-U$9^2*$C$11)*NORMSINV(T377))&lt;U$8,U$5+SQRT(NORMSDIST(U$9*SQRT($C$11)*NORMSINV($B377)+SQRT(1-U$9^2*$C$11)*NORMSINV(T377))*(U$7-U$5)*(U$6-U$5)),U$7-SQRT((1-NORMSDIST(U$9*SQRT($C$11)*NORMSINV($B377)+SQRT(1-U$9^2*$C$11)*NORMSINV(T377)))*(U$7-U$5)*(U$7-U$6))))</f>
        <v>0.396747222829705</v>
      </c>
      <c r="V377" s="2" t="n">
        <v>0.016251646</v>
      </c>
      <c r="W377" s="2" t="n">
        <f aca="false">IF(W$7=W$5,W$6,IF(NORMSDIST(W$9*SQRT($C$11)*NORMSINV($B377)+SQRT(1-W$9^2*$C$11)*NORMSINV(V377))&lt;W$8,W$5+SQRT(NORMSDIST(W$9*SQRT($C$11)*NORMSINV($B377)+SQRT(1-W$9^2*$C$11)*NORMSINV(V377))*(W$7-W$5)*(W$6-W$5)),W$7-SQRT((1-NORMSDIST(W$9*SQRT($C$11)*NORMSINV($B377)+SQRT(1-W$9^2*$C$11)*NORMSINV(V377)))*(W$7-W$5)*(W$7-W$6))))</f>
        <v>8.33608295460211</v>
      </c>
      <c r="X377" s="2" t="n">
        <v>0.237065296</v>
      </c>
      <c r="Y377" s="2" t="n">
        <f aca="false">IF(Y$7=Y$5,Y$6,IF(NORMSDIST(Y$9*SQRT($C$11)*NORMSINV($B377)+SQRT(1-Y$9^2*$C$11)*NORMSINV(X377))&lt;Y$8,Y$5+SQRT(NORMSDIST(Y$9*SQRT($C$11)*NORMSINV($B377)+SQRT(1-Y$9^2*$C$11)*NORMSINV(X377))*(Y$7-Y$5)*(Y$6-Y$5)),Y$7-SQRT((1-NORMSDIST(Y$9*SQRT($C$11)*NORMSINV($B377)+SQRT(1-Y$9^2*$C$11)*NORMSINV(X377)))*(Y$7-Y$5)*(Y$7-Y$6))))</f>
        <v>0.344285706935388</v>
      </c>
      <c r="Z377" s="2" t="n">
        <v>0.992408611</v>
      </c>
      <c r="AA377" s="2" t="n">
        <f aca="false">IF(AA$7=AA$5,AA$6,IF(NORMSDIST(AA$9*SQRT($C$11)*NORMSINV($B377)+SQRT(1-AA$9^2*$C$11)*NORMSINV(Z377))&lt;AA$8,AA$5+SQRT(NORMSDIST(AA$9*SQRT($C$11)*NORMSINV($B377)+SQRT(1-AA$9^2*$C$11)*NORMSINV(Z377))*(AA$7-AA$5)*(AA$6-AA$5)),AA$7-SQRT((1-NORMSDIST(AA$9*SQRT($C$11)*NORMSINV($B377)+SQRT(1-AA$9^2*$C$11)*NORMSINV(Z377)))*(AA$7-AA$5)*(AA$7-AA$6))))</f>
        <v>0.743136858144822</v>
      </c>
      <c r="AB377" s="2" t="n">
        <v>0.643895814</v>
      </c>
      <c r="AC377" s="2" t="n">
        <f aca="false">IF(AC$7=AC$5,AC$6,IF(NORMSDIST(AC$9*SQRT($C$11)*NORMSINV($B377)+SQRT(1-AC$9^2*$C$11)*NORMSINV(AB377))&lt;AC$8,AC$5+SQRT(NORMSDIST(AC$9*SQRT($C$11)*NORMSINV($B377)+SQRT(1-AC$9^2*$C$11)*NORMSINV(AB377))*(AC$7-AC$5)*(AC$6-AC$5)),AC$7-SQRT((1-NORMSDIST(AC$9*SQRT($C$11)*NORMSINV($B377)+SQRT(1-AC$9^2*$C$11)*NORMSINV(AB377)))*(AC$7-AC$5)*(AC$7-AC$6))))</f>
        <v>9.26023548710843</v>
      </c>
      <c r="AD377" s="2" t="n">
        <f aca="false">Entrées!$C$8*(1+E377)</f>
        <v>7432.96909254987</v>
      </c>
      <c r="AE377" s="2" t="n">
        <f aca="false">I377*Hypothèses!$J$24/12/Hypothèses!$J$19</f>
        <v>94.1041388995523</v>
      </c>
      <c r="AF377" s="2" t="n">
        <f aca="false">Entrées!$C$36*S377*1000</f>
        <v>134.070429975966</v>
      </c>
      <c r="AG377" s="2" t="n">
        <f aca="false">-AF377/W377</f>
        <v>-16.0831448902449</v>
      </c>
      <c r="AH377" s="2" t="n">
        <f aca="false">AD377+AE377+AG377</f>
        <v>7510.99008655918</v>
      </c>
      <c r="AI377" s="2" t="n">
        <f aca="false">Entrées!$C$16-M377+Hypothèses!$J$22*1000-AF377+Hypothèses!$J$23</f>
        <v>22947.7459157109</v>
      </c>
      <c r="AJ377" s="2" t="n">
        <f aca="false">AI377/AH377</f>
        <v>3.05522250079594</v>
      </c>
      <c r="AK377" s="2" t="n">
        <f aca="false">AI377/(AH377+I377*(12-Hypothèses!$J$24)/12/Hypothèses!$J$19)</f>
        <v>3.02812326458987</v>
      </c>
      <c r="AL377" s="2" t="n">
        <f aca="false">(AD377+AG377+I377/Hypothèses!$J$19)*(1+G377)</f>
        <v>7932.02527364338</v>
      </c>
      <c r="AM377" s="2" t="n">
        <f aca="false">Entrées!$C$54*K377/Hypothèses!$J$19</f>
        <v>16.8153743085884</v>
      </c>
      <c r="AN377" s="2" t="n">
        <f aca="false">Y377*1000/AC377</f>
        <v>37.1789364767973</v>
      </c>
      <c r="AO377" s="2" t="n">
        <f aca="false">(Entrées!$C$36*(1-S377)+MAX(0,Entrées!$C$30-Entrées!$C$35-Entrées!$C$36)*U377)*1000</f>
        <v>921.375681985621</v>
      </c>
      <c r="AP377" s="2" t="n">
        <f aca="false">-AO377/W377</f>
        <v>-110.528612419453</v>
      </c>
      <c r="AQ377" s="2" t="n">
        <f aca="false">AL377+AM377+AN377+AP377</f>
        <v>7875.49097200932</v>
      </c>
      <c r="AR377" s="2" t="n">
        <f aca="false">O377*AQ377-Hypothèses!$J$25/Hypothèses!$J$19</f>
        <v>1227.28538266933</v>
      </c>
      <c r="AS377" s="2" t="n">
        <f aca="false">Entrées!$C$79*(1+Q377)+Hypothèses!$J$20</f>
        <v>1495.00403188444</v>
      </c>
      <c r="AT377" s="2" t="n">
        <f aca="false">AI377-AR377+AS377+Y377*1000-AO377+Hypothèses!$J$23</f>
        <v>22638.3745898757</v>
      </c>
      <c r="AU377" s="2" t="n">
        <f aca="false">AT377/AQ377</f>
        <v>2.87453501887513</v>
      </c>
      <c r="AV377" s="2" t="n">
        <f aca="false">Hypothèses!$J$26*AQ377-AT377</f>
        <v>988.09832615222</v>
      </c>
      <c r="AW377" s="2" t="n">
        <f aca="false">IF(AC377&gt;Hypothèses!$J$26,MAX(0,AV377)/(1-Hypothèses!$J$26/AC377),0)</f>
        <v>1461.61006298081</v>
      </c>
      <c r="AX377" s="2" t="n">
        <f aca="false">AQ377-Entrées!$C$17*1000</f>
        <v>-124.509027990684</v>
      </c>
      <c r="AY377" s="2" t="n">
        <f aca="false">AI377+(Entrées!$C$244-Entrées!$C$13)</f>
        <v>28694.7459157109</v>
      </c>
      <c r="AZ377" s="2" t="n">
        <f aca="false">AA377*AH377</f>
        <v>5581.69357448249</v>
      </c>
      <c r="BA377" s="2" t="n">
        <f aca="false">AZ377/AY377</f>
        <v>0.194519707227183</v>
      </c>
      <c r="BB377" s="2" t="n">
        <f aca="false">AZ377/(Entrées!$C$151/100)-AY377</f>
        <v>2314.66283141411</v>
      </c>
      <c r="BC377" s="2" t="n">
        <f aca="false">AT377+(Entrées!$C$244-Entrées!$C$13)</f>
        <v>28385.3745898757</v>
      </c>
      <c r="BD377" s="2" t="n">
        <f aca="false">AA377*AQ377</f>
        <v>5852.56761728691</v>
      </c>
      <c r="BE377" s="2" t="n">
        <f aca="false">BD377/BC377</f>
        <v>0.206182504259583</v>
      </c>
      <c r="BF377" s="2" t="n">
        <f aca="false">BD377/(Entrées!$C$151/100)-BC377</f>
        <v>4128.88995060712</v>
      </c>
      <c r="BG377" s="2" t="n">
        <f aca="false">MIN(AV377,BF377)</f>
        <v>988.09832615222</v>
      </c>
      <c r="BH377" s="2" t="n">
        <f aca="false">IF(AC377&gt;Hypothèses!$J$26,MAX(0,BG377)/(1-Hypothèses!$J$26/AC377),0)</f>
        <v>1461.61006298081</v>
      </c>
    </row>
    <row r="378" customFormat="false" ht="15" hidden="false" customHeight="false" outlineLevel="0" collapsed="false">
      <c r="A378" s="2" t="n">
        <v>363</v>
      </c>
      <c r="B378" s="2" t="n">
        <v>0.957007488</v>
      </c>
      <c r="C378" s="2"/>
      <c r="D378" s="2" t="n">
        <v>0.145201048</v>
      </c>
      <c r="E378" s="2" t="n">
        <f aca="false">IF(E$7=E$5,E$6,IF(NORMSDIST(E$9*SQRT($C$11)*NORMSINV($B378)+SQRT(1-E$9^2*$C$11)*NORMSINV(D378))&lt;E$8,E$5+SQRT(NORMSDIST(E$9*SQRT($C$11)*NORMSINV($B378)+SQRT(1-E$9^2*$C$11)*NORMSINV(D378))*(E$7-E$5)*(E$6-E$5)),E$7-SQRT((1-NORMSDIST(E$9*SQRT($C$11)*NORMSINV($B378)+SQRT(1-E$9^2*$C$11)*NORMSINV(D378)))*(E$7-E$5)*(E$7-E$6))))</f>
        <v>0.0555573340910069</v>
      </c>
      <c r="F378" s="2" t="n">
        <v>0.472557987</v>
      </c>
      <c r="G378" s="2" t="n">
        <f aca="false">IF(G$7=G$5,G$6,IF(NORMSDIST(G$9*SQRT($C$11)*NORMSINV($B378)+SQRT(1-G$9^2*$C$11)*NORMSINV(F378))&lt;G$8,G$5+SQRT(NORMSDIST(G$9*SQRT($C$11)*NORMSINV($B378)+SQRT(1-G$9^2*$C$11)*NORMSINV(F378))*(G$7-G$5)*(G$6-G$5)),G$7-SQRT((1-NORMSDIST(G$9*SQRT($C$11)*NORMSINV($B378)+SQRT(1-G$9^2*$C$11)*NORMSINV(F378)))*(G$7-G$5)*(G$7-G$6))))</f>
        <v>0.0617595550126027</v>
      </c>
      <c r="H378" s="2" t="n">
        <v>0.277434551</v>
      </c>
      <c r="I378" s="2" t="n">
        <f aca="false">IF(I$7=I$5,I$6,IF(NORMSDIST(I$9*SQRT($C$11)*NORMSINV($B378)+SQRT(1-I$9^2*$C$11)*NORMSINV(H378))&lt;I$8,I$5+SQRT(NORMSDIST(I$9*SQRT($C$11)*NORMSINV($B378)+SQRT(1-I$9^2*$C$11)*NORMSINV(H378))*(I$7-I$5)*(I$6-I$5)),I$7-SQRT((1-NORMSDIST(I$9*SQRT($C$11)*NORMSINV($B378)+SQRT(1-I$9^2*$C$11)*NORMSINV(H378)))*(I$7-I$5)*(I$7-I$6))))</f>
        <v>205.444425870879</v>
      </c>
      <c r="J378" s="2" t="n">
        <v>0.257111175</v>
      </c>
      <c r="K378" s="2" t="n">
        <f aca="false">IF(K$7=K$5,K$6,IF(NORMSDIST(K$9*SQRT($C$11)*NORMSINV($B378)+SQRT(1-K$9^2*$C$11)*NORMSINV(J378))&lt;K$8,K$5+SQRT(NORMSDIST(K$9*SQRT($C$11)*NORMSINV($B378)+SQRT(1-K$9^2*$C$11)*NORMSINV(J378))*(K$7-K$5)*(K$6-K$5)),K$7-SQRT((1-NORMSDIST(K$9*SQRT($C$11)*NORMSINV($B378)+SQRT(1-K$9^2*$C$11)*NORMSINV(J378)))*(K$7-K$5)*(K$7-K$6))))</f>
        <v>0.312671147385855</v>
      </c>
      <c r="L378" s="2" t="n">
        <v>0.358306128</v>
      </c>
      <c r="M378" s="2" t="n">
        <f aca="false">IF(M$7=M$5,M$6,IF(NORMSDIST(M$9*SQRT($C$11)*NORMSINV($B378)+SQRT(1-M$9^2*$C$11)*NORMSINV(L378))&lt;M$8,M$5+SQRT(NORMSDIST(M$9*SQRT($C$11)*NORMSINV($B378)+SQRT(1-M$9^2*$C$11)*NORMSINV(L378))*(M$7-M$5)*(M$6-M$5)),M$7-SQRT((1-NORMSDIST(M$9*SQRT($C$11)*NORMSINV($B378)+SQRT(1-M$9^2*$C$11)*NORMSINV(L378)))*(M$7-M$5)*(M$7-M$6))))</f>
        <v>1662.45250396914</v>
      </c>
      <c r="N378" s="2" t="n">
        <v>0.571674276</v>
      </c>
      <c r="O378" s="2" t="n">
        <f aca="false">IF(O$7=O$5,O$6,IF(NORMSDIST(O$9*SQRT($C$11)*NORMSINV($B378)+SQRT(1-O$9^2*$C$11)*NORMSINV(N378))&lt;O$8,O$5+SQRT(NORMSDIST(O$9*SQRT($C$11)*NORMSINV($B378)+SQRT(1-O$9^2*$C$11)*NORMSINV(N378))*(O$7-O$5)*(O$6-O$5)),O$7-SQRT((1-NORMSDIST(O$9*SQRT($C$11)*NORMSINV($B378)+SQRT(1-O$9^2*$C$11)*NORMSINV(N378)))*(O$7-O$5)*(O$7-O$6))))</f>
        <v>0.179169010567452</v>
      </c>
      <c r="P378" s="2" t="n">
        <v>0.850848629</v>
      </c>
      <c r="Q378" s="2" t="n">
        <f aca="false">IF(Q$7=Q$5,Q$6,IF(NORMSDIST(Q$9*SQRT($C$11)*NORMSINV($B378)+SQRT(1-Q$9^2*$C$11)*NORMSINV(P378))&lt;Q$8,Q$5+SQRT(NORMSDIST(Q$9*SQRT($C$11)*NORMSINV($B378)+SQRT(1-Q$9^2*$C$11)*NORMSINV(P378))*(Q$7-Q$5)*(Q$6-Q$5)),Q$7-SQRT((1-NORMSDIST(Q$9*SQRT($C$11)*NORMSINV($B378)+SQRT(1-Q$9^2*$C$11)*NORMSINV(P378)))*(Q$7-Q$5)*(Q$7-Q$6))))</f>
        <v>0.0981531607045779</v>
      </c>
      <c r="R378" s="2" t="n">
        <v>0.848406418</v>
      </c>
      <c r="S378" s="2" t="n">
        <f aca="false">IF(S$7=S$5,S$6,IF(NORMSDIST(S$9*SQRT($C$11)*NORMSINV($B378)+SQRT(1-S$9^2*$C$11)*NORMSINV(R378))&lt;S$8,S$5+SQRT(NORMSDIST(S$9*SQRT($C$11)*NORMSINV($B378)+SQRT(1-S$9^2*$C$11)*NORMSINV(R378))*(S$7-S$5)*(S$6-S$5)),S$7-SQRT((1-NORMSDIST(S$9*SQRT($C$11)*NORMSINV($B378)+SQRT(1-S$9^2*$C$11)*NORMSINV(R378)))*(S$7-S$5)*(S$7-S$6))))</f>
        <v>0.877893842667099</v>
      </c>
      <c r="T378" s="2" t="n">
        <v>0.292851979</v>
      </c>
      <c r="U378" s="2" t="n">
        <f aca="false">IF(U$7=U$5,U$6,IF(NORMSDIST(U$9*SQRT($C$11)*NORMSINV($B378)+SQRT(1-U$9^2*$C$11)*NORMSINV(T378))&lt;U$8,U$5+SQRT(NORMSDIST(U$9*SQRT($C$11)*NORMSINV($B378)+SQRT(1-U$9^2*$C$11)*NORMSINV(T378))*(U$7-U$5)*(U$6-U$5)),U$7-SQRT((1-NORMSDIST(U$9*SQRT($C$11)*NORMSINV($B378)+SQRT(1-U$9^2*$C$11)*NORMSINV(T378)))*(U$7-U$5)*(U$7-U$6))))</f>
        <v>0.64402050256874</v>
      </c>
      <c r="V378" s="2" t="n">
        <v>0.368864403</v>
      </c>
      <c r="W378" s="2" t="n">
        <f aca="false">IF(W$7=W$5,W$6,IF(NORMSDIST(W$9*SQRT($C$11)*NORMSINV($B378)+SQRT(1-W$9^2*$C$11)*NORMSINV(V378))&lt;W$8,W$5+SQRT(NORMSDIST(W$9*SQRT($C$11)*NORMSINV($B378)+SQRT(1-W$9^2*$C$11)*NORMSINV(V378))*(W$7-W$5)*(W$6-W$5)),W$7-SQRT((1-NORMSDIST(W$9*SQRT($C$11)*NORMSINV($B378)+SQRT(1-W$9^2*$C$11)*NORMSINV(V378)))*(W$7-W$5)*(W$7-W$6))))</f>
        <v>10.7217077731618</v>
      </c>
      <c r="X378" s="2" t="n">
        <v>0.424160694</v>
      </c>
      <c r="Y378" s="2" t="n">
        <f aca="false">IF(Y$7=Y$5,Y$6,IF(NORMSDIST(Y$9*SQRT($C$11)*NORMSINV($B378)+SQRT(1-Y$9^2*$C$11)*NORMSINV(X378))&lt;Y$8,Y$5+SQRT(NORMSDIST(Y$9*SQRT($C$11)*NORMSINV($B378)+SQRT(1-Y$9^2*$C$11)*NORMSINV(X378))*(Y$7-Y$5)*(Y$6-Y$5)),Y$7-SQRT((1-NORMSDIST(Y$9*SQRT($C$11)*NORMSINV($B378)+SQRT(1-Y$9^2*$C$11)*NORMSINV(X378)))*(Y$7-Y$5)*(Y$7-Y$6))))</f>
        <v>0.460521820329938</v>
      </c>
      <c r="Z378" s="2" t="n">
        <v>0.132202648</v>
      </c>
      <c r="AA378" s="2" t="n">
        <f aca="false">IF(AA$7=AA$5,AA$6,IF(NORMSDIST(AA$9*SQRT($C$11)*NORMSINV($B378)+SQRT(1-AA$9^2*$C$11)*NORMSINV(Z378))&lt;AA$8,AA$5+SQRT(NORMSDIST(AA$9*SQRT($C$11)*NORMSINV($B378)+SQRT(1-AA$9^2*$C$11)*NORMSINV(Z378))*(AA$7-AA$5)*(AA$6-AA$5)),AA$7-SQRT((1-NORMSDIST(AA$9*SQRT($C$11)*NORMSINV($B378)+SQRT(1-AA$9^2*$C$11)*NORMSINV(Z378)))*(AA$7-AA$5)*(AA$7-AA$6))))</f>
        <v>0.730803646452106</v>
      </c>
      <c r="AB378" s="2" t="n">
        <v>0.858582759</v>
      </c>
      <c r="AC378" s="2" t="n">
        <f aca="false">IF(AC$7=AC$5,AC$6,IF(NORMSDIST(AC$9*SQRT($C$11)*NORMSINV($B378)+SQRT(1-AC$9^2*$C$11)*NORMSINV(AB378))&lt;AC$8,AC$5+SQRT(NORMSDIST(AC$9*SQRT($C$11)*NORMSINV($B378)+SQRT(1-AC$9^2*$C$11)*NORMSINV(AB378))*(AC$7-AC$5)*(AC$6-AC$5)),AC$7-SQRT((1-NORMSDIST(AC$9*SQRT($C$11)*NORMSINV($B378)+SQRT(1-AC$9^2*$C$11)*NORMSINV(AB378)))*(AC$7-AC$5)*(AC$7-AC$6))))</f>
        <v>10.6549001077001</v>
      </c>
      <c r="AD378" s="2" t="n">
        <f aca="false">Entrées!$C$8*(1+E378)</f>
        <v>7441.6792053416</v>
      </c>
      <c r="AE378" s="2" t="n">
        <f aca="false">I378*Hypothèses!$J$24/12/Hypothèses!$J$19</f>
        <v>101.920322124078</v>
      </c>
      <c r="AF378" s="2" t="n">
        <f aca="false">Entrées!$C$36*S378*1000</f>
        <v>438.94692133355</v>
      </c>
      <c r="AG378" s="2" t="n">
        <f aca="false">-AF378/W378</f>
        <v>-40.9400191294437</v>
      </c>
      <c r="AH378" s="2" t="n">
        <f aca="false">AD378+AE378+AG378</f>
        <v>7502.65950833623</v>
      </c>
      <c r="AI378" s="2" t="n">
        <f aca="false">Entrées!$C$16-M378+Hypothèses!$J$22*1000-AF378+Hypothèses!$J$23</f>
        <v>22446.6005746973</v>
      </c>
      <c r="AJ378" s="2" t="n">
        <f aca="false">AI378/AH378</f>
        <v>2.99181917422173</v>
      </c>
      <c r="AK378" s="2" t="n">
        <f aca="false">AI378/(AH378+I378*(12-Hypothèses!$J$24)/12/Hypothèses!$J$19)</f>
        <v>2.96306776747051</v>
      </c>
      <c r="AL378" s="2" t="n">
        <f aca="false">(AD378+AG378+I378/Hypothèses!$J$19)*(1+G378)</f>
        <v>8043.31676088587</v>
      </c>
      <c r="AM378" s="2" t="n">
        <f aca="false">Entrées!$C$54*K378/Hypothèses!$J$19</f>
        <v>31.9094034120378</v>
      </c>
      <c r="AN378" s="2" t="n">
        <f aca="false">Y378*1000/AC378</f>
        <v>43.221599045976</v>
      </c>
      <c r="AO378" s="2" t="n">
        <f aca="false">(Entrées!$C$36*(1-S378)+MAX(0,Entrées!$C$30-Entrées!$C$35-Entrées!$C$36)*U378)*1000</f>
        <v>962.681782262687</v>
      </c>
      <c r="AP378" s="2" t="n">
        <f aca="false">-AO378/W378</f>
        <v>-89.7881011710128</v>
      </c>
      <c r="AQ378" s="2" t="n">
        <f aca="false">AL378+AM378+AN378+AP378</f>
        <v>8028.65966217287</v>
      </c>
      <c r="AR378" s="2" t="n">
        <f aca="false">O378*AQ378-Hypothèses!$J$25/Hypothèses!$J$19</f>
        <v>1419.3518455927</v>
      </c>
      <c r="AS378" s="2" t="n">
        <f aca="false">Entrées!$C$79*(1+Q378)+Hypothèses!$J$20</f>
        <v>1501.87032361433</v>
      </c>
      <c r="AT378" s="2" t="n">
        <f aca="false">AI378-AR378+AS378+Y378*1000-AO378+Hypothèses!$J$23</f>
        <v>22026.9590907862</v>
      </c>
      <c r="AU378" s="2" t="n">
        <f aca="false">AT378/AQ378</f>
        <v>2.74354126561953</v>
      </c>
      <c r="AV378" s="2" t="n">
        <f aca="false">Hypothèses!$J$26*AQ378-AT378</f>
        <v>2059.01989573242</v>
      </c>
      <c r="AW378" s="2" t="n">
        <f aca="false">IF(AC378&gt;Hypothèses!$J$26,MAX(0,AV378)/(1-Hypothèses!$J$26/AC378),0)</f>
        <v>2865.96180226151</v>
      </c>
      <c r="AX378" s="2" t="n">
        <f aca="false">AQ378-Entrées!$C$17*1000</f>
        <v>28.6596621728695</v>
      </c>
      <c r="AY378" s="2" t="n">
        <f aca="false">AI378+(Entrées!$C$244-Entrées!$C$13)</f>
        <v>28193.6005746973</v>
      </c>
      <c r="AZ378" s="2" t="n">
        <f aca="false">AA378*AH378</f>
        <v>5482.97092678068</v>
      </c>
      <c r="BA378" s="2" t="n">
        <f aca="false">AZ378/AY378</f>
        <v>0.194475725519835</v>
      </c>
      <c r="BB378" s="2" t="n">
        <f aca="false">AZ378/(Entrées!$C$151/100)-AY378</f>
        <v>2267.34901852871</v>
      </c>
      <c r="BC378" s="2" t="n">
        <f aca="false">AT378+(Entrées!$C$244-Entrées!$C$13)</f>
        <v>27773.9590907862</v>
      </c>
      <c r="BD378" s="2" t="n">
        <f aca="false">AA378*AQ378</f>
        <v>5867.37375723887</v>
      </c>
      <c r="BE378" s="2" t="n">
        <f aca="false">BD378/BC378</f>
        <v>0.211254496993384</v>
      </c>
      <c r="BF378" s="2" t="n">
        <f aca="false">BD378/(Entrées!$C$151/100)-BC378</f>
        <v>4822.56178276306</v>
      </c>
      <c r="BG378" s="2" t="n">
        <f aca="false">MIN(AV378,BF378)</f>
        <v>2059.01989573242</v>
      </c>
      <c r="BH378" s="2" t="n">
        <f aca="false">IF(AC378&gt;Hypothèses!$J$26,MAX(0,BG378)/(1-Hypothèses!$J$26/AC378),0)</f>
        <v>2865.96180226151</v>
      </c>
    </row>
    <row r="379" customFormat="false" ht="15" hidden="false" customHeight="false" outlineLevel="0" collapsed="false">
      <c r="A379" s="2" t="n">
        <v>364</v>
      </c>
      <c r="B379" s="2" t="n">
        <v>0.886010088</v>
      </c>
      <c r="C379" s="2"/>
      <c r="D379" s="2" t="n">
        <v>0.337626675</v>
      </c>
      <c r="E379" s="2" t="n">
        <f aca="false">IF(E$7=E$5,E$6,IF(NORMSDIST(E$9*SQRT($C$11)*NORMSINV($B379)+SQRT(1-E$9^2*$C$11)*NORMSINV(D379))&lt;E$8,E$5+SQRT(NORMSDIST(E$9*SQRT($C$11)*NORMSINV($B379)+SQRT(1-E$9^2*$C$11)*NORMSINV(D379))*(E$7-E$5)*(E$6-E$5)),E$7-SQRT((1-NORMSDIST(E$9*SQRT($C$11)*NORMSINV($B379)+SQRT(1-E$9^2*$C$11)*NORMSINV(D379)))*(E$7-E$5)*(E$7-E$6))))</f>
        <v>0.0559336248074429</v>
      </c>
      <c r="F379" s="2" t="n">
        <v>0.161002004</v>
      </c>
      <c r="G379" s="2" t="n">
        <f aca="false">IF(G$7=G$5,G$6,IF(NORMSDIST(G$9*SQRT($C$11)*NORMSINV($B379)+SQRT(1-G$9^2*$C$11)*NORMSINV(F379))&lt;G$8,G$5+SQRT(NORMSDIST(G$9*SQRT($C$11)*NORMSINV($B379)+SQRT(1-G$9^2*$C$11)*NORMSINV(F379))*(G$7-G$5)*(G$6-G$5)),G$7-SQRT((1-NORMSDIST(G$9*SQRT($C$11)*NORMSINV($B379)+SQRT(1-G$9^2*$C$11)*NORMSINV(F379)))*(G$7-G$5)*(G$7-G$6))))</f>
        <v>0.0549721770024062</v>
      </c>
      <c r="H379" s="2" t="n">
        <v>0.538363951</v>
      </c>
      <c r="I379" s="2" t="n">
        <f aca="false">IF(I$7=I$5,I$6,IF(NORMSDIST(I$9*SQRT($C$11)*NORMSINV($B379)+SQRT(1-I$9^2*$C$11)*NORMSINV(H379))&lt;I$8,I$5+SQRT(NORMSDIST(I$9*SQRT($C$11)*NORMSINV($B379)+SQRT(1-I$9^2*$C$11)*NORMSINV(H379))*(I$7-I$5)*(I$6-I$5)),I$7-SQRT((1-NORMSDIST(I$9*SQRT($C$11)*NORMSINV($B379)+SQRT(1-I$9^2*$C$11)*NORMSINV(H379)))*(I$7-I$5)*(I$7-I$6))))</f>
        <v>207.310661437538</v>
      </c>
      <c r="J379" s="2" t="n">
        <v>0.924434954</v>
      </c>
      <c r="K379" s="2" t="n">
        <f aca="false">IF(K$7=K$5,K$6,IF(NORMSDIST(K$9*SQRT($C$11)*NORMSINV($B379)+SQRT(1-K$9^2*$C$11)*NORMSINV(J379))&lt;K$8,K$5+SQRT(NORMSDIST(K$9*SQRT($C$11)*NORMSINV($B379)+SQRT(1-K$9^2*$C$11)*NORMSINV(J379))*(K$7-K$5)*(K$6-K$5)),K$7-SQRT((1-NORMSDIST(K$9*SQRT($C$11)*NORMSINV($B379)+SQRT(1-K$9^2*$C$11)*NORMSINV(J379)))*(K$7-K$5)*(K$7-K$6))))</f>
        <v>0.4383210650338</v>
      </c>
      <c r="L379" s="2" t="n">
        <v>0.789107657</v>
      </c>
      <c r="M379" s="2" t="n">
        <f aca="false">IF(M$7=M$5,M$6,IF(NORMSDIST(M$9*SQRT($C$11)*NORMSINV($B379)+SQRT(1-M$9^2*$C$11)*NORMSINV(L379))&lt;M$8,M$5+SQRT(NORMSDIST(M$9*SQRT($C$11)*NORMSINV($B379)+SQRT(1-M$9^2*$C$11)*NORMSINV(L379))*(M$7-M$5)*(M$6-M$5)),M$7-SQRT((1-NORMSDIST(M$9*SQRT($C$11)*NORMSINV($B379)+SQRT(1-M$9^2*$C$11)*NORMSINV(L379)))*(M$7-M$5)*(M$7-M$6))))</f>
        <v>1710.58008258801</v>
      </c>
      <c r="N379" s="2" t="n">
        <v>0.471641252</v>
      </c>
      <c r="O379" s="2" t="n">
        <f aca="false">IF(O$7=O$5,O$6,IF(NORMSDIST(O$9*SQRT($C$11)*NORMSINV($B379)+SQRT(1-O$9^2*$C$11)*NORMSINV(N379))&lt;O$8,O$5+SQRT(NORMSDIST(O$9*SQRT($C$11)*NORMSINV($B379)+SQRT(1-O$9^2*$C$11)*NORMSINV(N379))*(O$7-O$5)*(O$6-O$5)),O$7-SQRT((1-NORMSDIST(O$9*SQRT($C$11)*NORMSINV($B379)+SQRT(1-O$9^2*$C$11)*NORMSINV(N379)))*(O$7-O$5)*(O$7-O$6))))</f>
        <v>0.174022158897029</v>
      </c>
      <c r="P379" s="2" t="n">
        <v>0.73224981</v>
      </c>
      <c r="Q379" s="2" t="n">
        <f aca="false">IF(Q$7=Q$5,Q$6,IF(NORMSDIST(Q$9*SQRT($C$11)*NORMSINV($B379)+SQRT(1-Q$9^2*$C$11)*NORMSINV(P379))&lt;Q$8,Q$5+SQRT(NORMSDIST(Q$9*SQRT($C$11)*NORMSINV($B379)+SQRT(1-Q$9^2*$C$11)*NORMSINV(P379))*(Q$7-Q$5)*(Q$6-Q$5)),Q$7-SQRT((1-NORMSDIST(Q$9*SQRT($C$11)*NORMSINV($B379)+SQRT(1-Q$9^2*$C$11)*NORMSINV(P379)))*(Q$7-Q$5)*(Q$7-Q$6))))</f>
        <v>0.0907288434119866</v>
      </c>
      <c r="R379" s="2" t="n">
        <v>0.968981319</v>
      </c>
      <c r="S379" s="2" t="n">
        <f aca="false">IF(S$7=S$5,S$6,IF(NORMSDIST(S$9*SQRT($C$11)*NORMSINV($B379)+SQRT(1-S$9^2*$C$11)*NORMSINV(R379))&lt;S$8,S$5+SQRT(NORMSDIST(S$9*SQRT($C$11)*NORMSINV($B379)+SQRT(1-S$9^2*$C$11)*NORMSINV(R379))*(S$7-S$5)*(S$6-S$5)),S$7-SQRT((1-NORMSDIST(S$9*SQRT($C$11)*NORMSINV($B379)+SQRT(1-S$9^2*$C$11)*NORMSINV(R379)))*(S$7-S$5)*(S$7-S$6))))</f>
        <v>0.917459686922473</v>
      </c>
      <c r="T379" s="2" t="n">
        <v>0.761324463</v>
      </c>
      <c r="U379" s="2" t="n">
        <f aca="false">IF(U$7=U$5,U$6,IF(NORMSDIST(U$9*SQRT($C$11)*NORMSINV($B379)+SQRT(1-U$9^2*$C$11)*NORMSINV(T379))&lt;U$8,U$5+SQRT(NORMSDIST(U$9*SQRT($C$11)*NORMSINV($B379)+SQRT(1-U$9^2*$C$11)*NORMSINV(T379))*(U$7-U$5)*(U$6-U$5)),U$7-SQRT((1-NORMSDIST(U$9*SQRT($C$11)*NORMSINV($B379)+SQRT(1-U$9^2*$C$11)*NORMSINV(T379)))*(U$7-U$5)*(U$7-U$6))))</f>
        <v>0.782500908341545</v>
      </c>
      <c r="V379" s="2" t="n">
        <v>0.292916889</v>
      </c>
      <c r="W379" s="2" t="n">
        <f aca="false">IF(W$7=W$5,W$6,IF(NORMSDIST(W$9*SQRT($C$11)*NORMSINV($B379)+SQRT(1-W$9^2*$C$11)*NORMSINV(V379))&lt;W$8,W$5+SQRT(NORMSDIST(W$9*SQRT($C$11)*NORMSINV($B379)+SQRT(1-W$9^2*$C$11)*NORMSINV(V379))*(W$7-W$5)*(W$6-W$5)),W$7-SQRT((1-NORMSDIST(W$9*SQRT($C$11)*NORMSINV($B379)+SQRT(1-W$9^2*$C$11)*NORMSINV(V379)))*(W$7-W$5)*(W$7-W$6))))</f>
        <v>10.2870522387495</v>
      </c>
      <c r="X379" s="2" t="n">
        <v>0.159412201</v>
      </c>
      <c r="Y379" s="2" t="n">
        <f aca="false">IF(Y$7=Y$5,Y$6,IF(NORMSDIST(Y$9*SQRT($C$11)*NORMSINV($B379)+SQRT(1-Y$9^2*$C$11)*NORMSINV(X379))&lt;Y$8,Y$5+SQRT(NORMSDIST(Y$9*SQRT($C$11)*NORMSINV($B379)+SQRT(1-Y$9^2*$C$11)*NORMSINV(X379))*(Y$7-Y$5)*(Y$6-Y$5)),Y$7-SQRT((1-NORMSDIST(Y$9*SQRT($C$11)*NORMSINV($B379)+SQRT(1-Y$9^2*$C$11)*NORMSINV(X379)))*(Y$7-Y$5)*(Y$7-Y$6))))</f>
        <v>0.282322688602953</v>
      </c>
      <c r="Z379" s="2" t="n">
        <v>0.350889928</v>
      </c>
      <c r="AA379" s="2" t="n">
        <f aca="false">IF(AA$7=AA$5,AA$6,IF(NORMSDIST(AA$9*SQRT($C$11)*NORMSINV($B379)+SQRT(1-AA$9^2*$C$11)*NORMSINV(Z379))&lt;AA$8,AA$5+SQRT(NORMSDIST(AA$9*SQRT($C$11)*NORMSINV($B379)+SQRT(1-AA$9^2*$C$11)*NORMSINV(Z379))*(AA$7-AA$5)*(AA$6-AA$5)),AA$7-SQRT((1-NORMSDIST(AA$9*SQRT($C$11)*NORMSINV($B379)+SQRT(1-AA$9^2*$C$11)*NORMSINV(Z379)))*(AA$7-AA$5)*(AA$7-AA$6))))</f>
        <v>0.7335681653239</v>
      </c>
      <c r="AB379" s="2" t="n">
        <v>0.919842147</v>
      </c>
      <c r="AC379" s="2" t="n">
        <f aca="false">IF(AC$7=AC$5,AC$6,IF(NORMSDIST(AC$9*SQRT($C$11)*NORMSINV($B379)+SQRT(1-AC$9^2*$C$11)*NORMSINV(AB379))&lt;AC$8,AC$5+SQRT(NORMSDIST(AC$9*SQRT($C$11)*NORMSINV($B379)+SQRT(1-AC$9^2*$C$11)*NORMSINV(AB379))*(AC$7-AC$5)*(AC$6-AC$5)),AC$7-SQRT((1-NORMSDIST(AC$9*SQRT($C$11)*NORMSINV($B379)+SQRT(1-AC$9^2*$C$11)*NORMSINV(AB379)))*(AC$7-AC$5)*(AC$7-AC$6))))</f>
        <v>10.6272910606275</v>
      </c>
      <c r="AD379" s="2" t="n">
        <f aca="false">Entrées!$C$8*(1+E379)</f>
        <v>7444.33205489247</v>
      </c>
      <c r="AE379" s="2" t="n">
        <f aca="false">I379*Hypothèses!$J$24/12/Hypothèses!$J$19</f>
        <v>102.846155615578</v>
      </c>
      <c r="AF379" s="2" t="n">
        <f aca="false">Entrées!$C$36*S379*1000</f>
        <v>458.729843461237</v>
      </c>
      <c r="AG379" s="2" t="n">
        <f aca="false">-AF379/W379</f>
        <v>-44.5929341870435</v>
      </c>
      <c r="AH379" s="2" t="n">
        <f aca="false">AD379+AE379+AG379</f>
        <v>7502.58527632101</v>
      </c>
      <c r="AI379" s="2" t="n">
        <f aca="false">Entrées!$C$16-M379+Hypothèses!$J$22*1000-AF379+Hypothèses!$J$23</f>
        <v>22378.6900739508</v>
      </c>
      <c r="AJ379" s="2" t="n">
        <f aca="false">AI379/AH379</f>
        <v>2.98279716254348</v>
      </c>
      <c r="AK379" s="2" t="n">
        <f aca="false">AI379/(AH379+I379*(12-Hypothèses!$J$24)/12/Hypothèses!$J$19)</f>
        <v>2.9538743116729</v>
      </c>
      <c r="AL379" s="2" t="n">
        <f aca="false">(AD379+AG379+I379/Hypothèses!$J$19)*(1+G379)</f>
        <v>7992.51860259664</v>
      </c>
      <c r="AM379" s="2" t="n">
        <f aca="false">Entrées!$C$54*K379/Hypothèses!$J$19</f>
        <v>44.7325050779225</v>
      </c>
      <c r="AN379" s="2" t="n">
        <f aca="false">Y379*1000/AC379</f>
        <v>26.5658187954327</v>
      </c>
      <c r="AO379" s="2" t="n">
        <f aca="false">(Entrées!$C$36*(1-S379)+MAX(0,Entrées!$C$30-Entrées!$C$35-Entrées!$C$36)*U379)*1000</f>
        <v>1136.77142821693</v>
      </c>
      <c r="AP379" s="2" t="n">
        <f aca="false">-AO379/W379</f>
        <v>-110.505070046685</v>
      </c>
      <c r="AQ379" s="2" t="n">
        <f aca="false">AL379+AM379+AN379+AP379</f>
        <v>7953.31185642331</v>
      </c>
      <c r="AR379" s="2" t="n">
        <f aca="false">O379*AQ379-Hypothèses!$J$25/Hypothèses!$J$19</f>
        <v>1364.91733737449</v>
      </c>
      <c r="AS379" s="2" t="n">
        <f aca="false">Entrées!$C$79*(1+Q379)+Hypothèses!$J$20</f>
        <v>1493.71099890977</v>
      </c>
      <c r="AT379" s="2" t="n">
        <f aca="false">AI379-AR379+AS379+Y379*1000-AO379+Hypothèses!$J$23</f>
        <v>21653.0349958721</v>
      </c>
      <c r="AU379" s="2" t="n">
        <f aca="false">AT379/AQ379</f>
        <v>2.72251803861865</v>
      </c>
      <c r="AV379" s="2" t="n">
        <f aca="false">Hypothèses!$J$26*AQ379-AT379</f>
        <v>2206.90057339787</v>
      </c>
      <c r="AW379" s="2" t="n">
        <f aca="false">IF(AC379&gt;Hypothèses!$J$26,MAX(0,AV379)/(1-Hypothèses!$J$26/AC379),0)</f>
        <v>3074.92850986537</v>
      </c>
      <c r="AX379" s="2" t="n">
        <f aca="false">AQ379-Entrées!$C$17*1000</f>
        <v>-46.6881435766918</v>
      </c>
      <c r="AY379" s="2" t="n">
        <f aca="false">AI379+(Entrées!$C$244-Entrées!$C$13)</f>
        <v>28125.6900739508</v>
      </c>
      <c r="AZ379" s="2" t="n">
        <f aca="false">AA379*AH379</f>
        <v>5503.6577163369</v>
      </c>
      <c r="BA379" s="2" t="n">
        <f aca="false">AZ379/AY379</f>
        <v>0.195680806475011</v>
      </c>
      <c r="BB379" s="2" t="n">
        <f aca="false">AZ379/(Entrées!$C$151/100)-AY379</f>
        <v>2450.18612792093</v>
      </c>
      <c r="BC379" s="2" t="n">
        <f aca="false">AT379+(Entrées!$C$244-Entrées!$C$13)</f>
        <v>27400.0349958721</v>
      </c>
      <c r="BD379" s="2" t="n">
        <f aca="false">AA379*AQ379</f>
        <v>5834.29638676527</v>
      </c>
      <c r="BE379" s="2" t="n">
        <f aca="false">BD379/BC379</f>
        <v>0.212930253105305</v>
      </c>
      <c r="BF379" s="2" t="n">
        <f aca="false">BD379/(Entrées!$C$151/100)-BC379</f>
        <v>5012.72270837942</v>
      </c>
      <c r="BG379" s="2" t="n">
        <f aca="false">MIN(AV379,BF379)</f>
        <v>2206.90057339787</v>
      </c>
      <c r="BH379" s="2" t="n">
        <f aca="false">IF(AC379&gt;Hypothèses!$J$26,MAX(0,BG379)/(1-Hypothèses!$J$26/AC379),0)</f>
        <v>3074.92850986537</v>
      </c>
    </row>
    <row r="380" customFormat="false" ht="15" hidden="false" customHeight="false" outlineLevel="0" collapsed="false">
      <c r="A380" s="2" t="n">
        <v>365</v>
      </c>
      <c r="B380" s="2" t="n">
        <v>0.202486505</v>
      </c>
      <c r="C380" s="2"/>
      <c r="D380" s="2" t="n">
        <v>0.633843887</v>
      </c>
      <c r="E380" s="2" t="n">
        <f aca="false">IF(E$7=E$5,E$6,IF(NORMSDIST(E$9*SQRT($C$11)*NORMSINV($B380)+SQRT(1-E$9^2*$C$11)*NORMSINV(D380))&lt;E$8,E$5+SQRT(NORMSDIST(E$9*SQRT($C$11)*NORMSINV($B380)+SQRT(1-E$9^2*$C$11)*NORMSINV(D380))*(E$7-E$5)*(E$6-E$5)),E$7-SQRT((1-NORMSDIST(E$9*SQRT($C$11)*NORMSINV($B380)+SQRT(1-E$9^2*$C$11)*NORMSINV(D380)))*(E$7-E$5)*(E$7-E$6))))</f>
        <v>0.0544539928367237</v>
      </c>
      <c r="F380" s="2" t="n">
        <v>0.631158223</v>
      </c>
      <c r="G380" s="2" t="n">
        <f aca="false">IF(G$7=G$5,G$6,IF(NORMSDIST(G$9*SQRT($C$11)*NORMSINV($B380)+SQRT(1-G$9^2*$C$11)*NORMSINV(F380))&lt;G$8,G$5+SQRT(NORMSDIST(G$9*SQRT($C$11)*NORMSINV($B380)+SQRT(1-G$9^2*$C$11)*NORMSINV(F380))*(G$7-G$5)*(G$6-G$5)),G$7-SQRT((1-NORMSDIST(G$9*SQRT($C$11)*NORMSINV($B380)+SQRT(1-G$9^2*$C$11)*NORMSINV(F380)))*(G$7-G$5)*(G$7-G$6))))</f>
        <v>0.0533261102608038</v>
      </c>
      <c r="H380" s="2" t="n">
        <v>0.753112077</v>
      </c>
      <c r="I380" s="2" t="n">
        <f aca="false">IF(I$7=I$5,I$6,IF(NORMSDIST(I$9*SQRT($C$11)*NORMSINV($B380)+SQRT(1-I$9^2*$C$11)*NORMSINV(H380))&lt;I$8,I$5+SQRT(NORMSDIST(I$9*SQRT($C$11)*NORMSINV($B380)+SQRT(1-I$9^2*$C$11)*NORMSINV(H380))*(I$7-I$5)*(I$6-I$5)),I$7-SQRT((1-NORMSDIST(I$9*SQRT($C$11)*NORMSINV($B380)+SQRT(1-I$9^2*$C$11)*NORMSINV(H380)))*(I$7-I$5)*(I$7-I$6))))</f>
        <v>200.026962945518</v>
      </c>
      <c r="J380" s="2" t="n">
        <v>0.113228259</v>
      </c>
      <c r="K380" s="2" t="n">
        <f aca="false">IF(K$7=K$5,K$6,IF(NORMSDIST(K$9*SQRT($C$11)*NORMSINV($B380)+SQRT(1-K$9^2*$C$11)*NORMSINV(J380))&lt;K$8,K$5+SQRT(NORMSDIST(K$9*SQRT($C$11)*NORMSINV($B380)+SQRT(1-K$9^2*$C$11)*NORMSINV(J380))*(K$7-K$5)*(K$6-K$5)),K$7-SQRT((1-NORMSDIST(K$9*SQRT($C$11)*NORMSINV($B380)+SQRT(1-K$9^2*$C$11)*NORMSINV(J380)))*(K$7-K$5)*(K$7-K$6))))</f>
        <v>0.0946389870105667</v>
      </c>
      <c r="L380" s="2" t="n">
        <v>0.833783361</v>
      </c>
      <c r="M380" s="2" t="n">
        <f aca="false">IF(M$7=M$5,M$6,IF(NORMSDIST(M$9*SQRT($C$11)*NORMSINV($B380)+SQRT(1-M$9^2*$C$11)*NORMSINV(L380))&lt;M$8,M$5+SQRT(NORMSDIST(M$9*SQRT($C$11)*NORMSINV($B380)+SQRT(1-M$9^2*$C$11)*NORMSINV(L380))*(M$7-M$5)*(M$6-M$5)),M$7-SQRT((1-NORMSDIST(M$9*SQRT($C$11)*NORMSINV($B380)+SQRT(1-M$9^2*$C$11)*NORMSINV(L380)))*(M$7-M$5)*(M$7-M$6))))</f>
        <v>1609.34292830908</v>
      </c>
      <c r="N380" s="2" t="n">
        <v>0.728897545</v>
      </c>
      <c r="O380" s="2" t="n">
        <f aca="false">IF(O$7=O$5,O$6,IF(NORMSDIST(O$9*SQRT($C$11)*NORMSINV($B380)+SQRT(1-O$9^2*$C$11)*NORMSINV(N380))&lt;O$8,O$5+SQRT(NORMSDIST(O$9*SQRT($C$11)*NORMSINV($B380)+SQRT(1-O$9^2*$C$11)*NORMSINV(N380))*(O$7-O$5)*(O$6-O$5)),O$7-SQRT((1-NORMSDIST(O$9*SQRT($C$11)*NORMSINV($B380)+SQRT(1-O$9^2*$C$11)*NORMSINV(N380)))*(O$7-O$5)*(O$7-O$6))))</f>
        <v>0.166194989542507</v>
      </c>
      <c r="P380" s="2" t="n">
        <v>0.788680619</v>
      </c>
      <c r="Q380" s="2" t="n">
        <f aca="false">IF(Q$7=Q$5,Q$6,IF(NORMSDIST(Q$9*SQRT($C$11)*NORMSINV($B380)+SQRT(1-Q$9^2*$C$11)*NORMSINV(P380))&lt;Q$8,Q$5+SQRT(NORMSDIST(Q$9*SQRT($C$11)*NORMSINV($B380)+SQRT(1-Q$9^2*$C$11)*NORMSINV(P380))*(Q$7-Q$5)*(Q$6-Q$5)),Q$7-SQRT((1-NORMSDIST(Q$9*SQRT($C$11)*NORMSINV($B380)+SQRT(1-Q$9^2*$C$11)*NORMSINV(P380)))*(Q$7-Q$5)*(Q$7-Q$6))))</f>
        <v>0.0939957307505095</v>
      </c>
      <c r="R380" s="2" t="n">
        <v>0.137490457</v>
      </c>
      <c r="S380" s="2" t="n">
        <f aca="false">IF(S$7=S$5,S$6,IF(NORMSDIST(S$9*SQRT($C$11)*NORMSINV($B380)+SQRT(1-S$9^2*$C$11)*NORMSINV(R380))&lt;S$8,S$5+SQRT(NORMSDIST(S$9*SQRT($C$11)*NORMSINV($B380)+SQRT(1-S$9^2*$C$11)*NORMSINV(R380))*(S$7-S$5)*(S$6-S$5)),S$7-SQRT((1-NORMSDIST(S$9*SQRT($C$11)*NORMSINV($B380)+SQRT(1-S$9^2*$C$11)*NORMSINV(R380)))*(S$7-S$5)*(S$7-S$6))))</f>
        <v>0.206138877717185</v>
      </c>
      <c r="T380" s="2" t="n">
        <v>0.132419265</v>
      </c>
      <c r="U380" s="2" t="n">
        <f aca="false">IF(U$7=U$5,U$6,IF(NORMSDIST(U$9*SQRT($C$11)*NORMSINV($B380)+SQRT(1-U$9^2*$C$11)*NORMSINV(T380))&lt;U$8,U$5+SQRT(NORMSDIST(U$9*SQRT($C$11)*NORMSINV($B380)+SQRT(1-U$9^2*$C$11)*NORMSINV(T380))*(U$7-U$5)*(U$6-U$5)),U$7-SQRT((1-NORMSDIST(U$9*SQRT($C$11)*NORMSINV($B380)+SQRT(1-U$9^2*$C$11)*NORMSINV(T380)))*(U$7-U$5)*(U$7-U$6))))</f>
        <v>0.202738111663265</v>
      </c>
      <c r="V380" s="2" t="n">
        <v>0.664752492</v>
      </c>
      <c r="W380" s="2" t="n">
        <f aca="false">IF(W$7=W$5,W$6,IF(NORMSDIST(W$9*SQRT($C$11)*NORMSINV($B380)+SQRT(1-W$9^2*$C$11)*NORMSINV(V380))&lt;W$8,W$5+SQRT(NORMSDIST(W$9*SQRT($C$11)*NORMSINV($B380)+SQRT(1-W$9^2*$C$11)*NORMSINV(V380))*(W$7-W$5)*(W$6-W$5)),W$7-SQRT((1-NORMSDIST(W$9*SQRT($C$11)*NORMSINV($B380)+SQRT(1-W$9^2*$C$11)*NORMSINV(V380)))*(W$7-W$5)*(W$7-W$6))))</f>
        <v>9.83709526401009</v>
      </c>
      <c r="X380" s="2" t="n">
        <v>0.458490541</v>
      </c>
      <c r="Y380" s="2" t="n">
        <f aca="false">IF(Y$7=Y$5,Y$6,IF(NORMSDIST(Y$9*SQRT($C$11)*NORMSINV($B380)+SQRT(1-Y$9^2*$C$11)*NORMSINV(X380))&lt;Y$8,Y$5+SQRT(NORMSDIST(Y$9*SQRT($C$11)*NORMSINV($B380)+SQRT(1-Y$9^2*$C$11)*NORMSINV(X380))*(Y$7-Y$5)*(Y$6-Y$5)),Y$7-SQRT((1-NORMSDIST(Y$9*SQRT($C$11)*NORMSINV($B380)+SQRT(1-Y$9^2*$C$11)*NORMSINV(X380)))*(Y$7-Y$5)*(Y$7-Y$6))))</f>
        <v>0.478795645865749</v>
      </c>
      <c r="Z380" s="2" t="n">
        <v>0.120602113</v>
      </c>
      <c r="AA380" s="2" t="n">
        <f aca="false">IF(AA$7=AA$5,AA$6,IF(NORMSDIST(AA$9*SQRT($C$11)*NORMSINV($B380)+SQRT(1-AA$9^2*$C$11)*NORMSINV(Z380))&lt;AA$8,AA$5+SQRT(NORMSDIST(AA$9*SQRT($C$11)*NORMSINV($B380)+SQRT(1-AA$9^2*$C$11)*NORMSINV(Z380))*(AA$7-AA$5)*(AA$6-AA$5)),AA$7-SQRT((1-NORMSDIST(AA$9*SQRT($C$11)*NORMSINV($B380)+SQRT(1-AA$9^2*$C$11)*NORMSINV(Z380)))*(AA$7-AA$5)*(AA$7-AA$6))))</f>
        <v>0.708056494595878</v>
      </c>
      <c r="AB380" s="2" t="n">
        <v>0.040546837</v>
      </c>
      <c r="AC380" s="2" t="n">
        <f aca="false">IF(AC$7=AC$5,AC$6,IF(NORMSDIST(AC$9*SQRT($C$11)*NORMSINV($B380)+SQRT(1-AC$9^2*$C$11)*NORMSINV(AB380))&lt;AC$8,AC$5+SQRT(NORMSDIST(AC$9*SQRT($C$11)*NORMSINV($B380)+SQRT(1-AC$9^2*$C$11)*NORMSINV(AB380))*(AC$7-AC$5)*(AC$6-AC$5)),AC$7-SQRT((1-NORMSDIST(AC$9*SQRT($C$11)*NORMSINV($B380)+SQRT(1-AC$9^2*$C$11)*NORMSINV(AB380)))*(AC$7-AC$5)*(AC$7-AC$6))))</f>
        <v>7.91080154035622</v>
      </c>
      <c r="AD380" s="2" t="n">
        <f aca="false">Entrées!$C$8*(1+E380)</f>
        <v>7433.9006494989</v>
      </c>
      <c r="AE380" s="2" t="n">
        <f aca="false">I380*Hypothèses!$J$24/12/Hypothèses!$J$19</f>
        <v>99.2327361060707</v>
      </c>
      <c r="AF380" s="2" t="n">
        <f aca="false">Entrées!$C$36*S380*1000</f>
        <v>103.069438858593</v>
      </c>
      <c r="AG380" s="2" t="n">
        <f aca="false">-AF380/W380</f>
        <v>-10.477629431493</v>
      </c>
      <c r="AH380" s="2" t="n">
        <f aca="false">AD380+AE380+AG380</f>
        <v>7522.65575617348</v>
      </c>
      <c r="AI380" s="2" t="n">
        <f aca="false">Entrées!$C$16-M380+Hypothèses!$J$22*1000-AF380+Hypothèses!$J$23</f>
        <v>22835.5876328323</v>
      </c>
      <c r="AJ380" s="2" t="n">
        <f aca="false">AI380/AH380</f>
        <v>3.03557525068089</v>
      </c>
      <c r="AK380" s="2" t="n">
        <f aca="false">AI380/(AH380+I380*(12-Hypothèses!$J$24)/12/Hypothèses!$J$19)</f>
        <v>3.00724020863275</v>
      </c>
      <c r="AL380" s="2" t="n">
        <f aca="false">(AD380+AG380+I380/Hypothèses!$J$19)*(1+G380)</f>
        <v>7998.47003500493</v>
      </c>
      <c r="AM380" s="2" t="n">
        <f aca="false">Entrées!$C$54*K380/Hypothèses!$J$19</f>
        <v>9.65830598785657</v>
      </c>
      <c r="AN380" s="2" t="n">
        <f aca="false">Y380*1000/AC380</f>
        <v>60.5242899121179</v>
      </c>
      <c r="AO380" s="2" t="n">
        <f aca="false">(Entrées!$C$36*(1-S380)+MAX(0,Entrées!$C$30-Entrées!$C$35-Entrées!$C$36)*U380)*1000</f>
        <v>680.763917469978</v>
      </c>
      <c r="AP380" s="2" t="n">
        <f aca="false">-AO380/W380</f>
        <v>-69.2037536690953</v>
      </c>
      <c r="AQ380" s="2" t="n">
        <f aca="false">AL380+AM380+AN380+AP380</f>
        <v>7999.44887723581</v>
      </c>
      <c r="AR380" s="2" t="n">
        <f aca="false">O380*AQ380-Hypothèses!$J$25/Hypothèses!$J$19</f>
        <v>1310.3331602364</v>
      </c>
      <c r="AS380" s="2" t="n">
        <f aca="false">Entrées!$C$79*(1+Q380)+Hypothèses!$J$20</f>
        <v>1497.30130809481</v>
      </c>
      <c r="AT380" s="2" t="n">
        <f aca="false">AI380-AR380+AS380+Y380*1000-AO380+Hypothèses!$J$23</f>
        <v>22820.5875090865</v>
      </c>
      <c r="AU380" s="2" t="n">
        <f aca="false">AT380/AQ380</f>
        <v>2.85276996694454</v>
      </c>
      <c r="AV380" s="2" t="n">
        <f aca="false">Hypothèses!$J$26*AQ380-AT380</f>
        <v>1177.75912262093</v>
      </c>
      <c r="AW380" s="2" t="n">
        <f aca="false">IF(AC380&gt;Hypothèses!$J$26,MAX(0,AV380)/(1-Hypothèses!$J$26/AC380),0)</f>
        <v>1897.25009345875</v>
      </c>
      <c r="AX380" s="2" t="n">
        <f aca="false">AQ380-Entrées!$C$17*1000</f>
        <v>-0.551122764190041</v>
      </c>
      <c r="AY380" s="2" t="n">
        <f aca="false">AI380+(Entrées!$C$244-Entrées!$C$13)</f>
        <v>28582.5876328323</v>
      </c>
      <c r="AZ380" s="2" t="n">
        <f aca="false">AA380*AH380</f>
        <v>5326.4652647677</v>
      </c>
      <c r="BA380" s="2" t="n">
        <f aca="false">AZ380/AY380</f>
        <v>0.186353500711366</v>
      </c>
      <c r="BB380" s="2" t="n">
        <f aca="false">AZ380/(Entrées!$C$151/100)-AY380</f>
        <v>1008.88606032154</v>
      </c>
      <c r="BC380" s="2" t="n">
        <f aca="false">AT380+(Entrées!$C$244-Entrées!$C$13)</f>
        <v>28567.5875090865</v>
      </c>
      <c r="BD380" s="2" t="n">
        <f aca="false">AA380*AQ380</f>
        <v>5664.06173071452</v>
      </c>
      <c r="BE380" s="2" t="n">
        <f aca="false">BD380/BC380</f>
        <v>0.198268815275807</v>
      </c>
      <c r="BF380" s="2" t="n">
        <f aca="false">BD380/(Entrées!$C$151/100)-BC380</f>
        <v>2899.42210599416</v>
      </c>
      <c r="BG380" s="2" t="n">
        <f aca="false">MIN(AV380,BF380)</f>
        <v>1177.75912262093</v>
      </c>
      <c r="BH380" s="2" t="n">
        <f aca="false">IF(AC380&gt;Hypothèses!$J$26,MAX(0,BG380)/(1-Hypothèses!$J$26/AC380),0)</f>
        <v>1897.25009345875</v>
      </c>
    </row>
    <row r="381" customFormat="false" ht="15" hidden="false" customHeight="false" outlineLevel="0" collapsed="false">
      <c r="A381" s="2" t="n">
        <v>366</v>
      </c>
      <c r="B381" s="2" t="n">
        <v>0.8704997</v>
      </c>
      <c r="C381" s="2"/>
      <c r="D381" s="2" t="n">
        <v>0.690551031</v>
      </c>
      <c r="E381" s="2" t="n">
        <f aca="false">IF(E$7=E$5,E$6,IF(NORMSDIST(E$9*SQRT($C$11)*NORMSINV($B381)+SQRT(1-E$9^2*$C$11)*NORMSINV(D381))&lt;E$8,E$5+SQRT(NORMSDIST(E$9*SQRT($C$11)*NORMSINV($B381)+SQRT(1-E$9^2*$C$11)*NORMSINV(D381))*(E$7-E$5)*(E$6-E$5)),E$7-SQRT((1-NORMSDIST(E$9*SQRT($C$11)*NORMSINV($B381)+SQRT(1-E$9^2*$C$11)*NORMSINV(D381)))*(E$7-E$5)*(E$7-E$6))))</f>
        <v>0.0573938129802358</v>
      </c>
      <c r="F381" s="2" t="n">
        <v>0.1243073</v>
      </c>
      <c r="G381" s="2" t="n">
        <f aca="false">IF(G$7=G$5,G$6,IF(NORMSDIST(G$9*SQRT($C$11)*NORMSINV($B381)+SQRT(1-G$9^2*$C$11)*NORMSINV(F381))&lt;G$8,G$5+SQRT(NORMSDIST(G$9*SQRT($C$11)*NORMSINV($B381)+SQRT(1-G$9^2*$C$11)*NORMSINV(F381))*(G$7-G$5)*(G$6-G$5)),G$7-SQRT((1-NORMSDIST(G$9*SQRT($C$11)*NORMSINV($B381)+SQRT(1-G$9^2*$C$11)*NORMSINV(F381)))*(G$7-G$5)*(G$7-G$6))))</f>
        <v>0.0538887783293784</v>
      </c>
      <c r="H381" s="2" t="n">
        <v>0.400828402</v>
      </c>
      <c r="I381" s="2" t="n">
        <f aca="false">IF(I$7=I$5,I$6,IF(NORMSDIST(I$9*SQRT($C$11)*NORMSINV($B381)+SQRT(1-I$9^2*$C$11)*NORMSINV(H381))&lt;I$8,I$5+SQRT(NORMSDIST(I$9*SQRT($C$11)*NORMSINV($B381)+SQRT(1-I$9^2*$C$11)*NORMSINV(H381))*(I$7-I$5)*(I$6-I$5)),I$7-SQRT((1-NORMSDIST(I$9*SQRT($C$11)*NORMSINV($B381)+SQRT(1-I$9^2*$C$11)*NORMSINV(H381)))*(I$7-I$5)*(I$7-I$6))))</f>
        <v>204.462345611198</v>
      </c>
      <c r="J381" s="2" t="n">
        <v>0.247698704</v>
      </c>
      <c r="K381" s="2" t="n">
        <f aca="false">IF(K$7=K$5,K$6,IF(NORMSDIST(K$9*SQRT($C$11)*NORMSINV($B381)+SQRT(1-K$9^2*$C$11)*NORMSINV(J381))&lt;K$8,K$5+SQRT(NORMSDIST(K$9*SQRT($C$11)*NORMSINV($B381)+SQRT(1-K$9^2*$C$11)*NORMSINV(J381))*(K$7-K$5)*(K$6-K$5)),K$7-SQRT((1-NORMSDIST(K$9*SQRT($C$11)*NORMSINV($B381)+SQRT(1-K$9^2*$C$11)*NORMSINV(J381)))*(K$7-K$5)*(K$7-K$6))))</f>
        <v>0.269159715107907</v>
      </c>
      <c r="L381" s="2" t="n">
        <v>0.019913708</v>
      </c>
      <c r="M381" s="2" t="n">
        <f aca="false">IF(M$7=M$5,M$6,IF(NORMSDIST(M$9*SQRT($C$11)*NORMSINV($B381)+SQRT(1-M$9^2*$C$11)*NORMSINV(L381))&lt;M$8,M$5+SQRT(NORMSDIST(M$9*SQRT($C$11)*NORMSINV($B381)+SQRT(1-M$9^2*$C$11)*NORMSINV(L381))*(M$7-M$5)*(M$6-M$5)),M$7-SQRT((1-NORMSDIST(M$9*SQRT($C$11)*NORMSINV($B381)+SQRT(1-M$9^2*$C$11)*NORMSINV(L381)))*(M$7-M$5)*(M$7-M$6))))</f>
        <v>1477.07674862899</v>
      </c>
      <c r="N381" s="2" t="n">
        <v>0.317024958</v>
      </c>
      <c r="O381" s="2" t="n">
        <f aca="false">IF(O$7=O$5,O$6,IF(NORMSDIST(O$9*SQRT($C$11)*NORMSINV($B381)+SQRT(1-O$9^2*$C$11)*NORMSINV(N381))&lt;O$8,O$5+SQRT(NORMSDIST(O$9*SQRT($C$11)*NORMSINV($B381)+SQRT(1-O$9^2*$C$11)*NORMSINV(N381))*(O$7-O$5)*(O$6-O$5)),O$7-SQRT((1-NORMSDIST(O$9*SQRT($C$11)*NORMSINV($B381)+SQRT(1-O$9^2*$C$11)*NORMSINV(N381)))*(O$7-O$5)*(O$7-O$6))))</f>
        <v>0.170282492615955</v>
      </c>
      <c r="P381" s="2" t="n">
        <v>0.301143947</v>
      </c>
      <c r="Q381" s="2" t="n">
        <f aca="false">IF(Q$7=Q$5,Q$6,IF(NORMSDIST(Q$9*SQRT($C$11)*NORMSINV($B381)+SQRT(1-Q$9^2*$C$11)*NORMSINV(P381))&lt;Q$8,Q$5+SQRT(NORMSDIST(Q$9*SQRT($C$11)*NORMSINV($B381)+SQRT(1-Q$9^2*$C$11)*NORMSINV(P381))*(Q$7-Q$5)*(Q$6-Q$5)),Q$7-SQRT((1-NORMSDIST(Q$9*SQRT($C$11)*NORMSINV($B381)+SQRT(1-Q$9^2*$C$11)*NORMSINV(P381)))*(Q$7-Q$5)*(Q$7-Q$6))))</f>
        <v>0.0710428837320246</v>
      </c>
      <c r="R381" s="2" t="n">
        <v>0.07774337</v>
      </c>
      <c r="S381" s="2" t="n">
        <f aca="false">IF(S$7=S$5,S$6,IF(NORMSDIST(S$9*SQRT($C$11)*NORMSINV($B381)+SQRT(1-S$9^2*$C$11)*NORMSINV(R381))&lt;S$8,S$5+SQRT(NORMSDIST(S$9*SQRT($C$11)*NORMSINV($B381)+SQRT(1-S$9^2*$C$11)*NORMSINV(R381))*(S$7-S$5)*(S$6-S$5)),S$7-SQRT((1-NORMSDIST(S$9*SQRT($C$11)*NORMSINV($B381)+SQRT(1-S$9^2*$C$11)*NORMSINV(R381)))*(S$7-S$5)*(S$7-S$6))))</f>
        <v>0.41809968889575</v>
      </c>
      <c r="T381" s="2" t="n">
        <v>0.785595723</v>
      </c>
      <c r="U381" s="2" t="n">
        <f aca="false">IF(U$7=U$5,U$6,IF(NORMSDIST(U$9*SQRT($C$11)*NORMSINV($B381)+SQRT(1-U$9^2*$C$11)*NORMSINV(T381))&lt;U$8,U$5+SQRT(NORMSDIST(U$9*SQRT($C$11)*NORMSINV($B381)+SQRT(1-U$9^2*$C$11)*NORMSINV(T381))*(U$7-U$5)*(U$6-U$5)),U$7-SQRT((1-NORMSDIST(U$9*SQRT($C$11)*NORMSINV($B381)+SQRT(1-U$9^2*$C$11)*NORMSINV(T381)))*(U$7-U$5)*(U$7-U$6))))</f>
        <v>0.785184118456673</v>
      </c>
      <c r="V381" s="2" t="n">
        <v>0.103025725</v>
      </c>
      <c r="W381" s="2" t="n">
        <f aca="false">IF(W$7=W$5,W$6,IF(NORMSDIST(W$9*SQRT($C$11)*NORMSINV($B381)+SQRT(1-W$9^2*$C$11)*NORMSINV(V381))&lt;W$8,W$5+SQRT(NORMSDIST(W$9*SQRT($C$11)*NORMSINV($B381)+SQRT(1-W$9^2*$C$11)*NORMSINV(V381))*(W$7-W$5)*(W$6-W$5)),W$7-SQRT((1-NORMSDIST(W$9*SQRT($C$11)*NORMSINV($B381)+SQRT(1-W$9^2*$C$11)*NORMSINV(V381)))*(W$7-W$5)*(W$7-W$6))))</f>
        <v>9.77826539024311</v>
      </c>
      <c r="X381" s="2" t="n">
        <v>0.645074333</v>
      </c>
      <c r="Y381" s="2" t="n">
        <f aca="false">IF(Y$7=Y$5,Y$6,IF(NORMSDIST(Y$9*SQRT($C$11)*NORMSINV($B381)+SQRT(1-Y$9^2*$C$11)*NORMSINV(X381))&lt;Y$8,Y$5+SQRT(NORMSDIST(Y$9*SQRT($C$11)*NORMSINV($B381)+SQRT(1-Y$9^2*$C$11)*NORMSINV(X381))*(Y$7-Y$5)*(Y$6-Y$5)),Y$7-SQRT((1-NORMSDIST(Y$9*SQRT($C$11)*NORMSINV($B381)+SQRT(1-Y$9^2*$C$11)*NORMSINV(X381)))*(Y$7-Y$5)*(Y$7-Y$6))))</f>
        <v>0.57873662217088</v>
      </c>
      <c r="Z381" s="2" t="n">
        <v>0.239478572</v>
      </c>
      <c r="AA381" s="2" t="n">
        <f aca="false">IF(AA$7=AA$5,AA$6,IF(NORMSDIST(AA$9*SQRT($C$11)*NORMSINV($B381)+SQRT(1-AA$9^2*$C$11)*NORMSINV(Z381))&lt;AA$8,AA$5+SQRT(NORMSDIST(AA$9*SQRT($C$11)*NORMSINV($B381)+SQRT(1-AA$9^2*$C$11)*NORMSINV(Z381))*(AA$7-AA$5)*(AA$6-AA$5)),AA$7-SQRT((1-NORMSDIST(AA$9*SQRT($C$11)*NORMSINV($B381)+SQRT(1-AA$9^2*$C$11)*NORMSINV(Z381)))*(AA$7-AA$5)*(AA$7-AA$6))))</f>
        <v>0.730136158110129</v>
      </c>
      <c r="AB381" s="2" t="n">
        <v>0.97847202</v>
      </c>
      <c r="AC381" s="2" t="n">
        <f aca="false">IF(AC$7=AC$5,AC$6,IF(NORMSDIST(AC$9*SQRT($C$11)*NORMSINV($B381)+SQRT(1-AC$9^2*$C$11)*NORMSINV(AB381))&lt;AC$8,AC$5+SQRT(NORMSDIST(AC$9*SQRT($C$11)*NORMSINV($B381)+SQRT(1-AC$9^2*$C$11)*NORMSINV(AB381))*(AC$7-AC$5)*(AC$6-AC$5)),AC$7-SQRT((1-NORMSDIST(AC$9*SQRT($C$11)*NORMSINV($B381)+SQRT(1-AC$9^2*$C$11)*NORMSINV(AB381)))*(AC$7-AC$5)*(AC$7-AC$6))))</f>
        <v>10.7793163723587</v>
      </c>
      <c r="AD381" s="2" t="n">
        <f aca="false">Entrées!$C$8*(1+E381)</f>
        <v>7454.62638151066</v>
      </c>
      <c r="AE381" s="2" t="n">
        <f aca="false">I381*Hypothèses!$J$24/12/Hypothèses!$J$19</f>
        <v>101.43311525052</v>
      </c>
      <c r="AF381" s="2" t="n">
        <f aca="false">Entrées!$C$36*S381*1000</f>
        <v>209.049844447875</v>
      </c>
      <c r="AG381" s="2" t="n">
        <f aca="false">-AF381/W381</f>
        <v>-21.3790315669349</v>
      </c>
      <c r="AH381" s="2" t="n">
        <f aca="false">AD381+AE381+AG381</f>
        <v>7534.68046519425</v>
      </c>
      <c r="AI381" s="2" t="n">
        <f aca="false">Entrées!$C$16-M381+Hypothèses!$J$22*1000-AF381+Hypothèses!$J$23</f>
        <v>22861.8734069231</v>
      </c>
      <c r="AJ381" s="2" t="n">
        <f aca="false">AI381/AH381</f>
        <v>3.03421936902718</v>
      </c>
      <c r="AK381" s="2" t="n">
        <f aca="false">AI381/(AH381+I381*(12-Hypothèses!$J$24)/12/Hypothèses!$J$19)</f>
        <v>3.00532070853119</v>
      </c>
      <c r="AL381" s="2" t="n">
        <f aca="false">(AD381+AG381+I381/Hypothèses!$J$19)*(1+G381)</f>
        <v>8017.07177764688</v>
      </c>
      <c r="AM381" s="2" t="n">
        <f aca="false">Entrées!$C$54*K381/Hypothèses!$J$19</f>
        <v>27.4688790553751</v>
      </c>
      <c r="AN381" s="2" t="n">
        <f aca="false">Y381*1000/AC381</f>
        <v>53.6895478506345</v>
      </c>
      <c r="AO381" s="2" t="n">
        <f aca="false">(Entrées!$C$36*(1-S381)+MAX(0,Entrées!$C$30-Entrées!$C$35-Entrées!$C$36)*U381)*1000</f>
        <v>1390.20792139147</v>
      </c>
      <c r="AP381" s="2" t="n">
        <f aca="false">-AO381/W381</f>
        <v>-142.17326549335</v>
      </c>
      <c r="AQ381" s="2" t="n">
        <f aca="false">AL381+AM381+AN381+AP381</f>
        <v>7956.05693905954</v>
      </c>
      <c r="AR381" s="2" t="n">
        <f aca="false">O381*AQ381-Hypothèses!$J$25/Hypothèses!$J$19</f>
        <v>1335.6420447159</v>
      </c>
      <c r="AS381" s="2" t="n">
        <f aca="false">Entrées!$C$79*(1+Q381)+Hypothèses!$J$20</f>
        <v>1472.0761292215</v>
      </c>
      <c r="AT381" s="2" t="n">
        <f aca="false">AI381-AR381+AS381+Y381*1000-AO381+Hypothèses!$J$23</f>
        <v>22186.8361922081</v>
      </c>
      <c r="AU381" s="2" t="n">
        <f aca="false">AT381/AQ381</f>
        <v>2.78867237403542</v>
      </c>
      <c r="AV381" s="2" t="n">
        <f aca="false">Hypothèses!$J$26*AQ381-AT381</f>
        <v>1681.33462497048</v>
      </c>
      <c r="AW381" s="2" t="n">
        <f aca="false">IF(AC381&gt;Hypothèses!$J$26,MAX(0,AV381)/(1-Hypothèses!$J$26/AC381),0)</f>
        <v>2329.72114551792</v>
      </c>
      <c r="AX381" s="2" t="n">
        <f aca="false">AQ381-Entrées!$C$17*1000</f>
        <v>-43.943060940459</v>
      </c>
      <c r="AY381" s="2" t="n">
        <f aca="false">AI381+(Entrées!$C$244-Entrées!$C$13)</f>
        <v>28608.8734069231</v>
      </c>
      <c r="AZ381" s="2" t="n">
        <f aca="false">AA381*AH381</f>
        <v>5501.34264744437</v>
      </c>
      <c r="BA381" s="2" t="n">
        <f aca="false">AZ381/AY381</f>
        <v>0.192294976778536</v>
      </c>
      <c r="BB381" s="2" t="n">
        <f aca="false">AZ381/(Entrées!$C$151/100)-AY381</f>
        <v>1954.14130110114</v>
      </c>
      <c r="BC381" s="2" t="n">
        <f aca="false">AT381+(Entrées!$C$244-Entrées!$C$13)</f>
        <v>27933.8361922081</v>
      </c>
      <c r="BD381" s="2" t="n">
        <f aca="false">AA381*AQ381</f>
        <v>5809.00484719037</v>
      </c>
      <c r="BE381" s="2" t="n">
        <f aca="false">BD381/BC381</f>
        <v>0.207955857091005</v>
      </c>
      <c r="BF381" s="2" t="n">
        <f aca="false">BD381/(Entrées!$C$151/100)-BC381</f>
        <v>4338.41295884945</v>
      </c>
      <c r="BG381" s="2" t="n">
        <f aca="false">MIN(AV381,BF381)</f>
        <v>1681.33462497048</v>
      </c>
      <c r="BH381" s="2" t="n">
        <f aca="false">IF(AC381&gt;Hypothèses!$J$26,MAX(0,BG381)/(1-Hypothèses!$J$26/AC381),0)</f>
        <v>2329.72114551792</v>
      </c>
    </row>
    <row r="382" customFormat="false" ht="15" hidden="false" customHeight="false" outlineLevel="0" collapsed="false">
      <c r="A382" s="2" t="n">
        <v>367</v>
      </c>
      <c r="B382" s="2" t="n">
        <v>0.374401557</v>
      </c>
      <c r="C382" s="2"/>
      <c r="D382" s="2" t="n">
        <v>0.089497782</v>
      </c>
      <c r="E382" s="2" t="n">
        <f aca="false">IF(E$7=E$5,E$6,IF(NORMSDIST(E$9*SQRT($C$11)*NORMSINV($B382)+SQRT(1-E$9^2*$C$11)*NORMSINV(D382))&lt;E$8,E$5+SQRT(NORMSDIST(E$9*SQRT($C$11)*NORMSINV($B382)+SQRT(1-E$9^2*$C$11)*NORMSINV(D382))*(E$7-E$5)*(E$6-E$5)),E$7-SQRT((1-NORMSDIST(E$9*SQRT($C$11)*NORMSINV($B382)+SQRT(1-E$9^2*$C$11)*NORMSINV(D382)))*(E$7-E$5)*(E$7-E$6))))</f>
        <v>0.0523113590469536</v>
      </c>
      <c r="F382" s="2" t="n">
        <v>0.75311399</v>
      </c>
      <c r="G382" s="2" t="n">
        <f aca="false">IF(G$7=G$5,G$6,IF(NORMSDIST(G$9*SQRT($C$11)*NORMSINV($B382)+SQRT(1-G$9^2*$C$11)*NORMSINV(F382))&lt;G$8,G$5+SQRT(NORMSDIST(G$9*SQRT($C$11)*NORMSINV($B382)+SQRT(1-G$9^2*$C$11)*NORMSINV(F382))*(G$7-G$5)*(G$6-G$5)),G$7-SQRT((1-NORMSDIST(G$9*SQRT($C$11)*NORMSINV($B382)+SQRT(1-G$9^2*$C$11)*NORMSINV(F382)))*(G$7-G$5)*(G$7-G$6))))</f>
        <v>0.0570681891730498</v>
      </c>
      <c r="H382" s="2" t="n">
        <v>0.445204519</v>
      </c>
      <c r="I382" s="2" t="n">
        <f aca="false">IF(I$7=I$5,I$6,IF(NORMSDIST(I$9*SQRT($C$11)*NORMSINV($B382)+SQRT(1-I$9^2*$C$11)*NORMSINV(H382))&lt;I$8,I$5+SQRT(NORMSDIST(I$9*SQRT($C$11)*NORMSINV($B382)+SQRT(1-I$9^2*$C$11)*NORMSINV(H382))*(I$7-I$5)*(I$6-I$5)),I$7-SQRT((1-NORMSDIST(I$9*SQRT($C$11)*NORMSINV($B382)+SQRT(1-I$9^2*$C$11)*NORMSINV(H382)))*(I$7-I$5)*(I$7-I$6))))</f>
        <v>197.402635581711</v>
      </c>
      <c r="J382" s="2" t="n">
        <v>0.829245104</v>
      </c>
      <c r="K382" s="2" t="n">
        <f aca="false">IF(K$7=K$5,K$6,IF(NORMSDIST(K$9*SQRT($C$11)*NORMSINV($B382)+SQRT(1-K$9^2*$C$11)*NORMSINV(J382))&lt;K$8,K$5+SQRT(NORMSDIST(K$9*SQRT($C$11)*NORMSINV($B382)+SQRT(1-K$9^2*$C$11)*NORMSINV(J382))*(K$7-K$5)*(K$6-K$5)),K$7-SQRT((1-NORMSDIST(K$9*SQRT($C$11)*NORMSINV($B382)+SQRT(1-K$9^2*$C$11)*NORMSINV(J382)))*(K$7-K$5)*(K$7-K$6))))</f>
        <v>0.307457768798088</v>
      </c>
      <c r="L382" s="2" t="n">
        <v>0.302215381</v>
      </c>
      <c r="M382" s="2" t="n">
        <f aca="false">IF(M$7=M$5,M$6,IF(NORMSDIST(M$9*SQRT($C$11)*NORMSINV($B382)+SQRT(1-M$9^2*$C$11)*NORMSINV(L382))&lt;M$8,M$5+SQRT(NORMSDIST(M$9*SQRT($C$11)*NORMSINV($B382)+SQRT(1-M$9^2*$C$11)*NORMSINV(L382))*(M$7-M$5)*(M$6-M$5)),M$7-SQRT((1-NORMSDIST(M$9*SQRT($C$11)*NORMSINV($B382)+SQRT(1-M$9^2*$C$11)*NORMSINV(L382)))*(M$7-M$5)*(M$7-M$6))))</f>
        <v>1511.68268698216</v>
      </c>
      <c r="N382" s="2" t="n">
        <v>0.046436509</v>
      </c>
      <c r="O382" s="2" t="n">
        <f aca="false">IF(O$7=O$5,O$6,IF(NORMSDIST(O$9*SQRT($C$11)*NORMSINV($B382)+SQRT(1-O$9^2*$C$11)*NORMSINV(N382))&lt;O$8,O$5+SQRT(NORMSDIST(O$9*SQRT($C$11)*NORMSINV($B382)+SQRT(1-O$9^2*$C$11)*NORMSINV(N382))*(O$7-O$5)*(O$6-O$5)),O$7-SQRT((1-NORMSDIST(O$9*SQRT($C$11)*NORMSINV($B382)+SQRT(1-O$9^2*$C$11)*NORMSINV(N382)))*(O$7-O$5)*(O$7-O$6))))</f>
        <v>0.149750974953313</v>
      </c>
      <c r="P382" s="2" t="n">
        <v>0.149263391</v>
      </c>
      <c r="Q382" s="2" t="n">
        <f aca="false">IF(Q$7=Q$5,Q$6,IF(NORMSDIST(Q$9*SQRT($C$11)*NORMSINV($B382)+SQRT(1-Q$9^2*$C$11)*NORMSINV(P382))&lt;Q$8,Q$5+SQRT(NORMSDIST(Q$9*SQRT($C$11)*NORMSINV($B382)+SQRT(1-Q$9^2*$C$11)*NORMSINV(P382))*(Q$7-Q$5)*(Q$6-Q$5)),Q$7-SQRT((1-NORMSDIST(Q$9*SQRT($C$11)*NORMSINV($B382)+SQRT(1-Q$9^2*$C$11)*NORMSINV(P382)))*(Q$7-Q$5)*(Q$7-Q$6))))</f>
        <v>0.0618550417798731</v>
      </c>
      <c r="R382" s="2" t="n">
        <v>0.259396003</v>
      </c>
      <c r="S382" s="2" t="n">
        <f aca="false">IF(S$7=S$5,S$6,IF(NORMSDIST(S$9*SQRT($C$11)*NORMSINV($B382)+SQRT(1-S$9^2*$C$11)*NORMSINV(R382))&lt;S$8,S$5+SQRT(NORMSDIST(S$9*SQRT($C$11)*NORMSINV($B382)+SQRT(1-S$9^2*$C$11)*NORMSINV(R382))*(S$7-S$5)*(S$6-S$5)),S$7-SQRT((1-NORMSDIST(S$9*SQRT($C$11)*NORMSINV($B382)+SQRT(1-S$9^2*$C$11)*NORMSINV(R382)))*(S$7-S$5)*(S$7-S$6))))</f>
        <v>0.347308240969712</v>
      </c>
      <c r="T382" s="2" t="n">
        <v>0.844676896</v>
      </c>
      <c r="U382" s="2" t="n">
        <f aca="false">IF(U$7=U$5,U$6,IF(NORMSDIST(U$9*SQRT($C$11)*NORMSINV($B382)+SQRT(1-U$9^2*$C$11)*NORMSINV(T382))&lt;U$8,U$5+SQRT(NORMSDIST(U$9*SQRT($C$11)*NORMSINV($B382)+SQRT(1-U$9^2*$C$11)*NORMSINV(T382))*(U$7-U$5)*(U$6-U$5)),U$7-SQRT((1-NORMSDIST(U$9*SQRT($C$11)*NORMSINV($B382)+SQRT(1-U$9^2*$C$11)*NORMSINV(T382)))*(U$7-U$5)*(U$7-U$6))))</f>
        <v>0.625828165356677</v>
      </c>
      <c r="V382" s="2" t="n">
        <v>0.724488222</v>
      </c>
      <c r="W382" s="2" t="n">
        <f aca="false">IF(W$7=W$5,W$6,IF(NORMSDIST(W$9*SQRT($C$11)*NORMSINV($B382)+SQRT(1-W$9^2*$C$11)*NORMSINV(V382))&lt;W$8,W$5+SQRT(NORMSDIST(W$9*SQRT($C$11)*NORMSINV($B382)+SQRT(1-W$9^2*$C$11)*NORMSINV(V382))*(W$7-W$5)*(W$6-W$5)),W$7-SQRT((1-NORMSDIST(W$9*SQRT($C$11)*NORMSINV($B382)+SQRT(1-W$9^2*$C$11)*NORMSINV(V382)))*(W$7-W$5)*(W$7-W$6))))</f>
        <v>10.216302021146</v>
      </c>
      <c r="X382" s="2" t="n">
        <v>0.220018017</v>
      </c>
      <c r="Y382" s="2" t="n">
        <f aca="false">IF(Y$7=Y$5,Y$6,IF(NORMSDIST(Y$9*SQRT($C$11)*NORMSINV($B382)+SQRT(1-Y$9^2*$C$11)*NORMSINV(X382))&lt;Y$8,Y$5+SQRT(NORMSDIST(Y$9*SQRT($C$11)*NORMSINV($B382)+SQRT(1-Y$9^2*$C$11)*NORMSINV(X382))*(Y$7-Y$5)*(Y$6-Y$5)),Y$7-SQRT((1-NORMSDIST(Y$9*SQRT($C$11)*NORMSINV($B382)+SQRT(1-Y$9^2*$C$11)*NORMSINV(X382)))*(Y$7-Y$5)*(Y$7-Y$6))))</f>
        <v>0.331676059582238</v>
      </c>
      <c r="Z382" s="2" t="n">
        <v>0.030987324</v>
      </c>
      <c r="AA382" s="2" t="n">
        <f aca="false">IF(AA$7=AA$5,AA$6,IF(NORMSDIST(AA$9*SQRT($C$11)*NORMSINV($B382)+SQRT(1-AA$9^2*$C$11)*NORMSINV(Z382))&lt;AA$8,AA$5+SQRT(NORMSDIST(AA$9*SQRT($C$11)*NORMSINV($B382)+SQRT(1-AA$9^2*$C$11)*NORMSINV(Z382))*(AA$7-AA$5)*(AA$6-AA$5)),AA$7-SQRT((1-NORMSDIST(AA$9*SQRT($C$11)*NORMSINV($B382)+SQRT(1-AA$9^2*$C$11)*NORMSINV(Z382)))*(AA$7-AA$5)*(AA$7-AA$6))))</f>
        <v>0.705633336832724</v>
      </c>
      <c r="AB382" s="2" t="n">
        <v>0.998706688</v>
      </c>
      <c r="AC382" s="2" t="n">
        <f aca="false">IF(AC$7=AC$5,AC$6,IF(NORMSDIST(AC$9*SQRT($C$11)*NORMSINV($B382)+SQRT(1-AC$9^2*$C$11)*NORMSINV(AB382))&lt;AC$8,AC$5+SQRT(NORMSDIST(AC$9*SQRT($C$11)*NORMSINV($B382)+SQRT(1-AC$9^2*$C$11)*NORMSINV(AB382))*(AC$7-AC$5)*(AC$6-AC$5)),AC$7-SQRT((1-NORMSDIST(AC$9*SQRT($C$11)*NORMSINV($B382)+SQRT(1-AC$9^2*$C$11)*NORMSINV(AB382)))*(AC$7-AC$5)*(AC$7-AC$6))))</f>
        <v>10.7327733499184</v>
      </c>
      <c r="AD382" s="2" t="n">
        <f aca="false">Entrées!$C$8*(1+E382)</f>
        <v>7418.79508128102</v>
      </c>
      <c r="AE382" s="2" t="n">
        <f aca="false">I382*Hypothèses!$J$24/12/Hypothèses!$J$19</f>
        <v>97.9308157003728</v>
      </c>
      <c r="AF382" s="2" t="n">
        <f aca="false">Entrées!$C$36*S382*1000</f>
        <v>173.654120484856</v>
      </c>
      <c r="AG382" s="2" t="n">
        <f aca="false">-AF382/W382</f>
        <v>-16.9977473380703</v>
      </c>
      <c r="AH382" s="2" t="n">
        <f aca="false">AD382+AE382+AG382</f>
        <v>7499.72814964333</v>
      </c>
      <c r="AI382" s="2" t="n">
        <f aca="false">Entrées!$C$16-M382+Hypothèses!$J$22*1000-AF382+Hypothèses!$J$23</f>
        <v>22862.663192533</v>
      </c>
      <c r="AJ382" s="2" t="n">
        <f aca="false">AI382/AH382</f>
        <v>3.04846558919876</v>
      </c>
      <c r="AK382" s="2" t="n">
        <f aca="false">AI382/(AH382+I382*(12-Hypothèses!$J$24)/12/Hypothèses!$J$19)</f>
        <v>3.02029504832462</v>
      </c>
      <c r="AL382" s="2" t="n">
        <f aca="false">(AD382+AG382+I382/Hypothèses!$J$19)*(1+G382)</f>
        <v>8001.66659015979</v>
      </c>
      <c r="AM382" s="2" t="n">
        <f aca="false">Entrées!$C$54*K382/Hypothèses!$J$19</f>
        <v>31.3773562375941</v>
      </c>
      <c r="AN382" s="2" t="n">
        <f aca="false">Y382*1000/AC382</f>
        <v>30.9031085227154</v>
      </c>
      <c r="AO382" s="2" t="n">
        <f aca="false">(Entrées!$C$36*(1-S382)+MAX(0,Entrées!$C$30-Entrées!$C$35-Entrées!$C$36)*U382)*1000</f>
        <v>1202.50531101449</v>
      </c>
      <c r="AP382" s="2" t="n">
        <f aca="false">-AO382/W382</f>
        <v>-117.704557727984</v>
      </c>
      <c r="AQ382" s="2" t="n">
        <f aca="false">AL382+AM382+AN382+AP382</f>
        <v>7946.24249719211</v>
      </c>
      <c r="AR382" s="2" t="n">
        <f aca="false">O382*AQ382-Hypothèses!$J$25/Hypothèses!$J$19</f>
        <v>1170.82239890834</v>
      </c>
      <c r="AS382" s="2" t="n">
        <f aca="false">Entrées!$C$79*(1+Q382)+Hypothèses!$J$20</f>
        <v>1461.97869091608</v>
      </c>
      <c r="AT382" s="2" t="n">
        <f aca="false">AI382-AR382+AS382+Y382*1000-AO382+Hypothèses!$J$23</f>
        <v>22282.9902331085</v>
      </c>
      <c r="AU382" s="2" t="n">
        <f aca="false">AT382/AQ382</f>
        <v>2.80421724368246</v>
      </c>
      <c r="AV382" s="2" t="n">
        <f aca="false">Hypothèses!$J$26*AQ382-AT382</f>
        <v>1555.73725846786</v>
      </c>
      <c r="AW382" s="2" t="n">
        <f aca="false">IF(AC382&gt;Hypothèses!$J$26,MAX(0,AV382)/(1-Hypothèses!$J$26/AC382),0)</f>
        <v>2159.29972748201</v>
      </c>
      <c r="AX382" s="2" t="n">
        <f aca="false">AQ382-Entrées!$C$17*1000</f>
        <v>-53.7575028078891</v>
      </c>
      <c r="AY382" s="2" t="n">
        <f aca="false">AI382+(Entrées!$C$244-Entrées!$C$13)</f>
        <v>28609.663192533</v>
      </c>
      <c r="AZ382" s="2" t="n">
        <f aca="false">AA382*AH382</f>
        <v>5292.05819957113</v>
      </c>
      <c r="BA382" s="2" t="n">
        <f aca="false">AZ382/AY382</f>
        <v>0.184974501935148</v>
      </c>
      <c r="BB382" s="2" t="n">
        <f aca="false">AZ382/(Entrées!$C$151/100)-AY382</f>
        <v>790.660138417727</v>
      </c>
      <c r="BC382" s="2" t="n">
        <f aca="false">AT382+(Entrées!$C$244-Entrées!$C$13)</f>
        <v>28029.9902331085</v>
      </c>
      <c r="BD382" s="2" t="n">
        <f aca="false">AA382*AQ382</f>
        <v>5607.13360857566</v>
      </c>
      <c r="BE382" s="2" t="n">
        <f aca="false">BD382/BC382</f>
        <v>0.200040512392067</v>
      </c>
      <c r="BF382" s="2" t="n">
        <f aca="false">BD382/(Entrées!$C$151/100)-BC382</f>
        <v>3120.75203675633</v>
      </c>
      <c r="BG382" s="2" t="n">
        <f aca="false">MIN(AV382,BF382)</f>
        <v>1555.73725846786</v>
      </c>
      <c r="BH382" s="2" t="n">
        <f aca="false">IF(AC382&gt;Hypothèses!$J$26,MAX(0,BG382)/(1-Hypothèses!$J$26/AC382),0)</f>
        <v>2159.29972748201</v>
      </c>
    </row>
    <row r="383" customFormat="false" ht="15" hidden="false" customHeight="false" outlineLevel="0" collapsed="false">
      <c r="A383" s="2" t="n">
        <v>368</v>
      </c>
      <c r="B383" s="2" t="n">
        <v>0.34534523</v>
      </c>
      <c r="C383" s="2"/>
      <c r="D383" s="2" t="n">
        <v>0.31398944</v>
      </c>
      <c r="E383" s="2" t="n">
        <f aca="false">IF(E$7=E$5,E$6,IF(NORMSDIST(E$9*SQRT($C$11)*NORMSINV($B383)+SQRT(1-E$9^2*$C$11)*NORMSINV(D383))&lt;E$8,E$5+SQRT(NORMSDIST(E$9*SQRT($C$11)*NORMSINV($B383)+SQRT(1-E$9^2*$C$11)*NORMSINV(D383))*(E$7-E$5)*(E$6-E$5)),E$7-SQRT((1-NORMSDIST(E$9*SQRT($C$11)*NORMSINV($B383)+SQRT(1-E$9^2*$C$11)*NORMSINV(D383)))*(E$7-E$5)*(E$7-E$6))))</f>
        <v>0.0536422851186576</v>
      </c>
      <c r="F383" s="2" t="n">
        <v>0.496497971</v>
      </c>
      <c r="G383" s="2" t="n">
        <f aca="false">IF(G$7=G$5,G$6,IF(NORMSDIST(G$9*SQRT($C$11)*NORMSINV($B383)+SQRT(1-G$9^2*$C$11)*NORMSINV(F383))&lt;G$8,G$5+SQRT(NORMSDIST(G$9*SQRT($C$11)*NORMSINV($B383)+SQRT(1-G$9^2*$C$11)*NORMSINV(F383))*(G$7-G$5)*(G$6-G$5)),G$7-SQRT((1-NORMSDIST(G$9*SQRT($C$11)*NORMSINV($B383)+SQRT(1-G$9^2*$C$11)*NORMSINV(F383)))*(G$7-G$5)*(G$7-G$6))))</f>
        <v>0.0533832268145977</v>
      </c>
      <c r="H383" s="2" t="n">
        <v>0.289743701</v>
      </c>
      <c r="I383" s="2" t="n">
        <f aca="false">IF(I$7=I$5,I$6,IF(NORMSDIST(I$9*SQRT($C$11)*NORMSINV($B383)+SQRT(1-I$9^2*$C$11)*NORMSINV(H383))&lt;I$8,I$5+SQRT(NORMSDIST(I$9*SQRT($C$11)*NORMSINV($B383)+SQRT(1-I$9^2*$C$11)*NORMSINV(H383))*(I$7-I$5)*(I$6-I$5)),I$7-SQRT((1-NORMSDIST(I$9*SQRT($C$11)*NORMSINV($B383)+SQRT(1-I$9^2*$C$11)*NORMSINV(H383)))*(I$7-I$5)*(I$7-I$6))))</f>
        <v>194.08456636306</v>
      </c>
      <c r="J383" s="2" t="n">
        <v>0.094091314</v>
      </c>
      <c r="K383" s="2" t="n">
        <f aca="false">IF(K$7=K$5,K$6,IF(NORMSDIST(K$9*SQRT($C$11)*NORMSINV($B383)+SQRT(1-K$9^2*$C$11)*NORMSINV(J383))&lt;K$8,K$5+SQRT(NORMSDIST(K$9*SQRT($C$11)*NORMSINV($B383)+SQRT(1-K$9^2*$C$11)*NORMSINV(J383))*(K$7-K$5)*(K$6-K$5)),K$7-SQRT((1-NORMSDIST(K$9*SQRT($C$11)*NORMSINV($B383)+SQRT(1-K$9^2*$C$11)*NORMSINV(J383)))*(K$7-K$5)*(K$7-K$6))))</f>
        <v>0.112839298223529</v>
      </c>
      <c r="L383" s="2" t="n">
        <v>0.617221381</v>
      </c>
      <c r="M383" s="2" t="n">
        <f aca="false">IF(M$7=M$5,M$6,IF(NORMSDIST(M$9*SQRT($C$11)*NORMSINV($B383)+SQRT(1-M$9^2*$C$11)*NORMSINV(L383))&lt;M$8,M$5+SQRT(NORMSDIST(M$9*SQRT($C$11)*NORMSINV($B383)+SQRT(1-M$9^2*$C$11)*NORMSINV(L383))*(M$7-M$5)*(M$6-M$5)),M$7-SQRT((1-NORMSDIST(M$9*SQRT($C$11)*NORMSINV($B383)+SQRT(1-M$9^2*$C$11)*NORMSINV(L383)))*(M$7-M$5)*(M$7-M$6))))</f>
        <v>1583.0129083268</v>
      </c>
      <c r="N383" s="2" t="n">
        <v>0.70376781</v>
      </c>
      <c r="O383" s="2" t="n">
        <f aca="false">IF(O$7=O$5,O$6,IF(NORMSDIST(O$9*SQRT($C$11)*NORMSINV($B383)+SQRT(1-O$9^2*$C$11)*NORMSINV(N383))&lt;O$8,O$5+SQRT(NORMSDIST(O$9*SQRT($C$11)*NORMSINV($B383)+SQRT(1-O$9^2*$C$11)*NORMSINV(N383))*(O$7-O$5)*(O$6-O$5)),O$7-SQRT((1-NORMSDIST(O$9*SQRT($C$11)*NORMSINV($B383)+SQRT(1-O$9^2*$C$11)*NORMSINV(N383)))*(O$7-O$5)*(O$7-O$6))))</f>
        <v>0.168465293290815</v>
      </c>
      <c r="P383" s="2" t="n">
        <v>0.053486032</v>
      </c>
      <c r="Q383" s="2" t="n">
        <f aca="false">IF(Q$7=Q$5,Q$6,IF(NORMSDIST(Q$9*SQRT($C$11)*NORMSINV($B383)+SQRT(1-Q$9^2*$C$11)*NORMSINV(P383))&lt;Q$8,Q$5+SQRT(NORMSDIST(Q$9*SQRT($C$11)*NORMSINV($B383)+SQRT(1-Q$9^2*$C$11)*NORMSINV(P383))*(Q$7-Q$5)*(Q$6-Q$5)),Q$7-SQRT((1-NORMSDIST(Q$9*SQRT($C$11)*NORMSINV($B383)+SQRT(1-Q$9^2*$C$11)*NORMSINV(P383)))*(Q$7-Q$5)*(Q$7-Q$6))))</f>
        <v>0.0530826336186565</v>
      </c>
      <c r="R383" s="2" t="n">
        <v>0.129239685</v>
      </c>
      <c r="S383" s="2" t="n">
        <f aca="false">IF(S$7=S$5,S$6,IF(NORMSDIST(S$9*SQRT($C$11)*NORMSINV($B383)+SQRT(1-S$9^2*$C$11)*NORMSINV(R383))&lt;S$8,S$5+SQRT(NORMSDIST(S$9*SQRT($C$11)*NORMSINV($B383)+SQRT(1-S$9^2*$C$11)*NORMSINV(R383))*(S$7-S$5)*(S$6-S$5)),S$7-SQRT((1-NORMSDIST(S$9*SQRT($C$11)*NORMSINV($B383)+SQRT(1-S$9^2*$C$11)*NORMSINV(R383)))*(S$7-S$5)*(S$7-S$6))))</f>
        <v>0.254834217113865</v>
      </c>
      <c r="T383" s="2" t="n">
        <v>0.162480405</v>
      </c>
      <c r="U383" s="2" t="n">
        <f aca="false">IF(U$7=U$5,U$6,IF(NORMSDIST(U$9*SQRT($C$11)*NORMSINV($B383)+SQRT(1-U$9^2*$C$11)*NORMSINV(T383))&lt;U$8,U$5+SQRT(NORMSDIST(U$9*SQRT($C$11)*NORMSINV($B383)+SQRT(1-U$9^2*$C$11)*NORMSINV(T383))*(U$7-U$5)*(U$6-U$5)),U$7-SQRT((1-NORMSDIST(U$9*SQRT($C$11)*NORMSINV($B383)+SQRT(1-U$9^2*$C$11)*NORMSINV(T383)))*(U$7-U$5)*(U$7-U$6))))</f>
        <v>0.27862568545006</v>
      </c>
      <c r="V383" s="2" t="n">
        <v>0.460211269</v>
      </c>
      <c r="W383" s="2" t="n">
        <f aca="false">IF(W$7=W$5,W$6,IF(NORMSDIST(W$9*SQRT($C$11)*NORMSINV($B383)+SQRT(1-W$9^2*$C$11)*NORMSINV(V383))&lt;W$8,W$5+SQRT(NORMSDIST(W$9*SQRT($C$11)*NORMSINV($B383)+SQRT(1-W$9^2*$C$11)*NORMSINV(V383))*(W$7-W$5)*(W$6-W$5)),W$7-SQRT((1-NORMSDIST(W$9*SQRT($C$11)*NORMSINV($B383)+SQRT(1-W$9^2*$C$11)*NORMSINV(V383)))*(W$7-W$5)*(W$7-W$6))))</f>
        <v>9.72292622452762</v>
      </c>
      <c r="X383" s="2" t="n">
        <v>0.866979197</v>
      </c>
      <c r="Y383" s="2" t="n">
        <f aca="false">IF(Y$7=Y$5,Y$6,IF(NORMSDIST(Y$9*SQRT($C$11)*NORMSINV($B383)+SQRT(1-Y$9^2*$C$11)*NORMSINV(X383))&lt;Y$8,Y$5+SQRT(NORMSDIST(Y$9*SQRT($C$11)*NORMSINV($B383)+SQRT(1-Y$9^2*$C$11)*NORMSINV(X383))*(Y$7-Y$5)*(Y$6-Y$5)),Y$7-SQRT((1-NORMSDIST(Y$9*SQRT($C$11)*NORMSINV($B383)+SQRT(1-Y$9^2*$C$11)*NORMSINV(X383)))*(Y$7-Y$5)*(Y$7-Y$6))))</f>
        <v>0.742103893980541</v>
      </c>
      <c r="Z383" s="2" t="n">
        <v>0.344767336</v>
      </c>
      <c r="AA383" s="2" t="n">
        <f aca="false">IF(AA$7=AA$5,AA$6,IF(NORMSDIST(AA$9*SQRT($C$11)*NORMSINV($B383)+SQRT(1-AA$9^2*$C$11)*NORMSINV(Z383))&lt;AA$8,AA$5+SQRT(NORMSDIST(AA$9*SQRT($C$11)*NORMSINV($B383)+SQRT(1-AA$9^2*$C$11)*NORMSINV(Z383))*(AA$7-AA$5)*(AA$6-AA$5)),AA$7-SQRT((1-NORMSDIST(AA$9*SQRT($C$11)*NORMSINV($B383)+SQRT(1-AA$9^2*$C$11)*NORMSINV(Z383)))*(AA$7-AA$5)*(AA$7-AA$6))))</f>
        <v>0.720133651694119</v>
      </c>
      <c r="AB383" s="2" t="n">
        <v>0.153434543</v>
      </c>
      <c r="AC383" s="2" t="n">
        <f aca="false">IF(AC$7=AC$5,AC$6,IF(NORMSDIST(AC$9*SQRT($C$11)*NORMSINV($B383)+SQRT(1-AC$9^2*$C$11)*NORMSINV(AB383))&lt;AC$8,AC$5+SQRT(NORMSDIST(AC$9*SQRT($C$11)*NORMSINV($B383)+SQRT(1-AC$9^2*$C$11)*NORMSINV(AB383))*(AC$7-AC$5)*(AC$6-AC$5)),AC$7-SQRT((1-NORMSDIST(AC$9*SQRT($C$11)*NORMSINV($B383)+SQRT(1-AC$9^2*$C$11)*NORMSINV(AB383)))*(AC$7-AC$5)*(AC$7-AC$6))))</f>
        <v>8.53247445056296</v>
      </c>
      <c r="AD383" s="2" t="n">
        <f aca="false">Entrées!$C$8*(1+E383)</f>
        <v>7428.17811008654</v>
      </c>
      <c r="AE383" s="2" t="n">
        <f aca="false">I383*Hypothèses!$J$24/12/Hypothèses!$J$19</f>
        <v>96.2847321808938</v>
      </c>
      <c r="AF383" s="2" t="n">
        <f aca="false">Entrées!$C$36*S383*1000</f>
        <v>127.417108556932</v>
      </c>
      <c r="AG383" s="2" t="n">
        <f aca="false">-AF383/W383</f>
        <v>-13.1048107961061</v>
      </c>
      <c r="AH383" s="2" t="n">
        <f aca="false">AD383+AE383+AG383</f>
        <v>7511.35803147132</v>
      </c>
      <c r="AI383" s="2" t="n">
        <f aca="false">Entrées!$C$16-M383+Hypothèses!$J$22*1000-AF383+Hypothèses!$J$23</f>
        <v>22837.5699831163</v>
      </c>
      <c r="AJ383" s="2" t="n">
        <f aca="false">AI383/AH383</f>
        <v>3.04040492909946</v>
      </c>
      <c r="AK383" s="2" t="n">
        <f aca="false">AI383/(AH383+I383*(12-Hypothèses!$J$24)/12/Hypothèses!$J$19)</f>
        <v>3.01281922951078</v>
      </c>
      <c r="AL383" s="2" t="n">
        <f aca="false">(AD383+AG383+I383/Hypothèses!$J$19)*(1+G383)</f>
        <v>7984.78479086364</v>
      </c>
      <c r="AM383" s="2" t="n">
        <f aca="false">Entrées!$C$54*K383/Hypothèses!$J$19</f>
        <v>11.5157241653079</v>
      </c>
      <c r="AN383" s="2" t="n">
        <f aca="false">Y383*1000/AC383</f>
        <v>86.9740540426204</v>
      </c>
      <c r="AO383" s="2" t="n">
        <f aca="false">(Entrées!$C$36*(1-S383)+MAX(0,Entrées!$C$30-Entrées!$C$35-Entrées!$C$36)*U383)*1000</f>
        <v>762.658851073152</v>
      </c>
      <c r="AP383" s="2" t="n">
        <f aca="false">-AO383/W383</f>
        <v>-78.4392304807604</v>
      </c>
      <c r="AQ383" s="2" t="n">
        <f aca="false">AL383+AM383+AN383+AP383</f>
        <v>8004.83533859081</v>
      </c>
      <c r="AR383" s="2" t="n">
        <f aca="false">O383*AQ383-Hypothèses!$J$25/Hypothèses!$J$19</f>
        <v>1329.40177079875</v>
      </c>
      <c r="AS383" s="2" t="n">
        <f aca="false">Entrées!$C$79*(1+Q383)+Hypothèses!$J$20</f>
        <v>1452.3378143469</v>
      </c>
      <c r="AT383" s="2" t="n">
        <f aca="false">AI383-AR383+AS383+Y383*1000-AO383+Hypothèses!$J$23</f>
        <v>22939.9510695718</v>
      </c>
      <c r="AU383" s="2" t="n">
        <f aca="false">AT383/AQ383</f>
        <v>2.86576176763808</v>
      </c>
      <c r="AV383" s="2" t="n">
        <f aca="false">Hypothèses!$J$26*AQ383-AT383</f>
        <v>1074.55494620063</v>
      </c>
      <c r="AW383" s="2" t="n">
        <f aca="false">IF(AC383&gt;Hypothèses!$J$26,MAX(0,AV383)/(1-Hypothèses!$J$26/AC383),0)</f>
        <v>1657.23542080704</v>
      </c>
      <c r="AX383" s="2" t="n">
        <f aca="false">AQ383-Entrées!$C$17*1000</f>
        <v>4.83533859081035</v>
      </c>
      <c r="AY383" s="2" t="n">
        <f aca="false">AI383+(Entrées!$C$244-Entrées!$C$13)</f>
        <v>28584.5699831163</v>
      </c>
      <c r="AZ383" s="2" t="n">
        <f aca="false">AA383*AH383</f>
        <v>5409.18168838539</v>
      </c>
      <c r="BA383" s="2" t="n">
        <f aca="false">AZ383/AY383</f>
        <v>0.189234320879425</v>
      </c>
      <c r="BB383" s="2" t="n">
        <f aca="false">AZ383/(Entrées!$C$151/100)-AY383</f>
        <v>1466.43939680258</v>
      </c>
      <c r="BC383" s="2" t="n">
        <f aca="false">AT383+(Entrées!$C$244-Entrées!$C$13)</f>
        <v>28686.9510695718</v>
      </c>
      <c r="BD383" s="2" t="n">
        <f aca="false">AA383*AQ383</f>
        <v>5764.55130358953</v>
      </c>
      <c r="BE383" s="2" t="n">
        <f aca="false">BD383/BC383</f>
        <v>0.200946809914002</v>
      </c>
      <c r="BF383" s="2" t="n">
        <f aca="false">BD383/(Entrées!$C$151/100)-BC383</f>
        <v>3338.33395037003</v>
      </c>
      <c r="BG383" s="2" t="n">
        <f aca="false">MIN(AV383,BF383)</f>
        <v>1074.55494620063</v>
      </c>
      <c r="BH383" s="2" t="n">
        <f aca="false">IF(AC383&gt;Hypothèses!$J$26,MAX(0,BG383)/(1-Hypothèses!$J$26/AC383),0)</f>
        <v>1657.23542080704</v>
      </c>
    </row>
    <row r="384" customFormat="false" ht="15" hidden="false" customHeight="false" outlineLevel="0" collapsed="false">
      <c r="A384" s="2" t="n">
        <v>369</v>
      </c>
      <c r="B384" s="2" t="n">
        <v>0.176270157</v>
      </c>
      <c r="C384" s="2"/>
      <c r="D384" s="2" t="n">
        <v>0.842293242</v>
      </c>
      <c r="E384" s="2" t="n">
        <f aca="false">IF(E$7=E$5,E$6,IF(NORMSDIST(E$9*SQRT($C$11)*NORMSINV($B384)+SQRT(1-E$9^2*$C$11)*NORMSINV(D384))&lt;E$8,E$5+SQRT(NORMSDIST(E$9*SQRT($C$11)*NORMSINV($B384)+SQRT(1-E$9^2*$C$11)*NORMSINV(D384))*(E$7-E$5)*(E$6-E$5)),E$7-SQRT((1-NORMSDIST(E$9*SQRT($C$11)*NORMSINV($B384)+SQRT(1-E$9^2*$C$11)*NORMSINV(D384)))*(E$7-E$5)*(E$7-E$6))))</f>
        <v>0.0553913830920754</v>
      </c>
      <c r="F384" s="2" t="n">
        <v>0.476880315</v>
      </c>
      <c r="G384" s="2" t="n">
        <f aca="false">IF(G$7=G$5,G$6,IF(NORMSDIST(G$9*SQRT($C$11)*NORMSINV($B384)+SQRT(1-G$9^2*$C$11)*NORMSINV(F384))&lt;G$8,G$5+SQRT(NORMSDIST(G$9*SQRT($C$11)*NORMSINV($B384)+SQRT(1-G$9^2*$C$11)*NORMSINV(F384))*(G$7-G$5)*(G$6-G$5)),G$7-SQRT((1-NORMSDIST(G$9*SQRT($C$11)*NORMSINV($B384)+SQRT(1-G$9^2*$C$11)*NORMSINV(F384)))*(G$7-G$5)*(G$7-G$6))))</f>
        <v>0.0508871922099022</v>
      </c>
      <c r="H384" s="2" t="n">
        <v>0.342070896</v>
      </c>
      <c r="I384" s="2" t="n">
        <f aca="false">IF(I$7=I$5,I$6,IF(NORMSDIST(I$9*SQRT($C$11)*NORMSINV($B384)+SQRT(1-I$9^2*$C$11)*NORMSINV(H384))&lt;I$8,I$5+SQRT(NORMSDIST(I$9*SQRT($C$11)*NORMSINV($B384)+SQRT(1-I$9^2*$C$11)*NORMSINV(H384))*(I$7-I$5)*(I$6-I$5)),I$7-SQRT((1-NORMSDIST(I$9*SQRT($C$11)*NORMSINV($B384)+SQRT(1-I$9^2*$C$11)*NORMSINV(H384)))*(I$7-I$5)*(I$7-I$6))))</f>
        <v>192.107428775247</v>
      </c>
      <c r="J384" s="2" t="n">
        <v>0.530423523</v>
      </c>
      <c r="K384" s="2" t="n">
        <f aca="false">IF(K$7=K$5,K$6,IF(NORMSDIST(K$9*SQRT($C$11)*NORMSINV($B384)+SQRT(1-K$9^2*$C$11)*NORMSINV(J384))&lt;K$8,K$5+SQRT(NORMSDIST(K$9*SQRT($C$11)*NORMSINV($B384)+SQRT(1-K$9^2*$C$11)*NORMSINV(J384))*(K$7-K$5)*(K$6-K$5)),K$7-SQRT((1-NORMSDIST(K$9*SQRT($C$11)*NORMSINV($B384)+SQRT(1-K$9^2*$C$11)*NORMSINV(J384)))*(K$7-K$5)*(K$7-K$6))))</f>
        <v>0.193149967681373</v>
      </c>
      <c r="L384" s="2" t="n">
        <v>0.793306337</v>
      </c>
      <c r="M384" s="2" t="n">
        <f aca="false">IF(M$7=M$5,M$6,IF(NORMSDIST(M$9*SQRT($C$11)*NORMSINV($B384)+SQRT(1-M$9^2*$C$11)*NORMSINV(L384))&lt;M$8,M$5+SQRT(NORMSDIST(M$9*SQRT($C$11)*NORMSINV($B384)+SQRT(1-M$9^2*$C$11)*NORMSINV(L384))*(M$7-M$5)*(M$6-M$5)),M$7-SQRT((1-NORMSDIST(M$9*SQRT($C$11)*NORMSINV($B384)+SQRT(1-M$9^2*$C$11)*NORMSINV(L384)))*(M$7-M$5)*(M$7-M$6))))</f>
        <v>1590.43654620817</v>
      </c>
      <c r="N384" s="2" t="n">
        <v>0.693034679</v>
      </c>
      <c r="O384" s="2" t="n">
        <f aca="false">IF(O$7=O$5,O$6,IF(NORMSDIST(O$9*SQRT($C$11)*NORMSINV($B384)+SQRT(1-O$9^2*$C$11)*NORMSINV(N384))&lt;O$8,O$5+SQRT(NORMSDIST(O$9*SQRT($C$11)*NORMSINV($B384)+SQRT(1-O$9^2*$C$11)*NORMSINV(N384))*(O$7-O$5)*(O$6-O$5)),O$7-SQRT((1-NORMSDIST(O$9*SQRT($C$11)*NORMSINV($B384)+SQRT(1-O$9^2*$C$11)*NORMSINV(N384)))*(O$7-O$5)*(O$7-O$6))))</f>
        <v>0.16460179892287</v>
      </c>
      <c r="P384" s="2" t="n">
        <v>0.384923203</v>
      </c>
      <c r="Q384" s="2" t="n">
        <f aca="false">IF(Q$7=Q$5,Q$6,IF(NORMSDIST(Q$9*SQRT($C$11)*NORMSINV($B384)+SQRT(1-Q$9^2*$C$11)*NORMSINV(P384))&lt;Q$8,Q$5+SQRT(NORMSDIST(Q$9*SQRT($C$11)*NORMSINV($B384)+SQRT(1-Q$9^2*$C$11)*NORMSINV(P384))*(Q$7-Q$5)*(Q$6-Q$5)),Q$7-SQRT((1-NORMSDIST(Q$9*SQRT($C$11)*NORMSINV($B384)+SQRT(1-Q$9^2*$C$11)*NORMSINV(P384)))*(Q$7-Q$5)*(Q$7-Q$6))))</f>
        <v>0.0750963566428198</v>
      </c>
      <c r="R384" s="2" t="n">
        <v>0.63734939</v>
      </c>
      <c r="S384" s="2" t="n">
        <f aca="false">IF(S$7=S$5,S$6,IF(NORMSDIST(S$9*SQRT($C$11)*NORMSINV($B384)+SQRT(1-S$9^2*$C$11)*NORMSINV(R384))&lt;S$8,S$5+SQRT(NORMSDIST(S$9*SQRT($C$11)*NORMSINV($B384)+SQRT(1-S$9^2*$C$11)*NORMSINV(R384))*(S$7-S$5)*(S$6-S$5)),S$7-SQRT((1-NORMSDIST(S$9*SQRT($C$11)*NORMSINV($B384)+SQRT(1-S$9^2*$C$11)*NORMSINV(R384)))*(S$7-S$5)*(S$7-S$6))))</f>
        <v>0.43363479967172</v>
      </c>
      <c r="T384" s="2" t="n">
        <v>0.776036146</v>
      </c>
      <c r="U384" s="2" t="n">
        <f aca="false">IF(U$7=U$5,U$6,IF(NORMSDIST(U$9*SQRT($C$11)*NORMSINV($B384)+SQRT(1-U$9^2*$C$11)*NORMSINV(T384))&lt;U$8,U$5+SQRT(NORMSDIST(U$9*SQRT($C$11)*NORMSINV($B384)+SQRT(1-U$9^2*$C$11)*NORMSINV(T384))*(U$7-U$5)*(U$6-U$5)),U$7-SQRT((1-NORMSDIST(U$9*SQRT($C$11)*NORMSINV($B384)+SQRT(1-U$9^2*$C$11)*NORMSINV(T384)))*(U$7-U$5)*(U$7-U$6))))</f>
        <v>0.499969002365931</v>
      </c>
      <c r="V384" s="2" t="n">
        <v>0.479010352</v>
      </c>
      <c r="W384" s="2" t="n">
        <f aca="false">IF(W$7=W$5,W$6,IF(NORMSDIST(W$9*SQRT($C$11)*NORMSINV($B384)+SQRT(1-W$9^2*$C$11)*NORMSINV(V384))&lt;W$8,W$5+SQRT(NORMSDIST(W$9*SQRT($C$11)*NORMSINV($B384)+SQRT(1-W$9^2*$C$11)*NORMSINV(V384))*(W$7-W$5)*(W$6-W$5)),W$7-SQRT((1-NORMSDIST(W$9*SQRT($C$11)*NORMSINV($B384)+SQRT(1-W$9^2*$C$11)*NORMSINV(V384)))*(W$7-W$5)*(W$7-W$6))))</f>
        <v>9.45535267735761</v>
      </c>
      <c r="X384" s="2" t="n">
        <v>0.659605588</v>
      </c>
      <c r="Y384" s="2" t="n">
        <f aca="false">IF(Y$7=Y$5,Y$6,IF(NORMSDIST(Y$9*SQRT($C$11)*NORMSINV($B384)+SQRT(1-Y$9^2*$C$11)*NORMSINV(X384))&lt;Y$8,Y$5+SQRT(NORMSDIST(Y$9*SQRT($C$11)*NORMSINV($B384)+SQRT(1-Y$9^2*$C$11)*NORMSINV(X384))*(Y$7-Y$5)*(Y$6-Y$5)),Y$7-SQRT((1-NORMSDIST(Y$9*SQRT($C$11)*NORMSINV($B384)+SQRT(1-Y$9^2*$C$11)*NORMSINV(X384)))*(Y$7-Y$5)*(Y$7-Y$6))))</f>
        <v>0.587450359350538</v>
      </c>
      <c r="Z384" s="2" t="n">
        <v>0.476560313</v>
      </c>
      <c r="AA384" s="2" t="n">
        <f aca="false">IF(AA$7=AA$5,AA$6,IF(NORMSDIST(AA$9*SQRT($C$11)*NORMSINV($B384)+SQRT(1-AA$9^2*$C$11)*NORMSINV(Z384))&lt;AA$8,AA$5+SQRT(NORMSDIST(AA$9*SQRT($C$11)*NORMSINV($B384)+SQRT(1-AA$9^2*$C$11)*NORMSINV(Z384))*(AA$7-AA$5)*(AA$6-AA$5)),AA$7-SQRT((1-NORMSDIST(AA$9*SQRT($C$11)*NORMSINV($B384)+SQRT(1-AA$9^2*$C$11)*NORMSINV(Z384)))*(AA$7-AA$5)*(AA$7-AA$6))))</f>
        <v>0.71906745512318</v>
      </c>
      <c r="AB384" s="2" t="n">
        <v>0.001779955</v>
      </c>
      <c r="AC384" s="2" t="n">
        <f aca="false">IF(AC$7=AC$5,AC$6,IF(NORMSDIST(AC$9*SQRT($C$11)*NORMSINV($B384)+SQRT(1-AC$9^2*$C$11)*NORMSINV(AB384))&lt;AC$8,AC$5+SQRT(NORMSDIST(AC$9*SQRT($C$11)*NORMSINV($B384)+SQRT(1-AC$9^2*$C$11)*NORMSINV(AB384))*(AC$7-AC$5)*(AC$6-AC$5)),AC$7-SQRT((1-NORMSDIST(AC$9*SQRT($C$11)*NORMSINV($B384)+SQRT(1-AC$9^2*$C$11)*NORMSINV(AB384)))*(AC$7-AC$5)*(AC$7-AC$6))))</f>
        <v>7.53835593962118</v>
      </c>
      <c r="AD384" s="2" t="n">
        <f aca="false">Entrées!$C$8*(1+E384)</f>
        <v>7440.50925079913</v>
      </c>
      <c r="AE384" s="2" t="n">
        <f aca="false">I384*Hypothèses!$J$24/12/Hypothèses!$J$19</f>
        <v>95.3038805516546</v>
      </c>
      <c r="AF384" s="2" t="n">
        <f aca="false">Entrées!$C$36*S384*1000</f>
        <v>216.81739983586</v>
      </c>
      <c r="AG384" s="2" t="n">
        <f aca="false">-AF384/W384</f>
        <v>-22.9306517942017</v>
      </c>
      <c r="AH384" s="2" t="n">
        <f aca="false">AD384+AE384+AG384</f>
        <v>7512.88247955658</v>
      </c>
      <c r="AI384" s="2" t="n">
        <f aca="false">Entrées!$C$16-M384+Hypothèses!$J$22*1000-AF384+Hypothèses!$J$23</f>
        <v>22740.746053956</v>
      </c>
      <c r="AJ384" s="2" t="n">
        <f aca="false">AI384/AH384</f>
        <v>3.02690027640339</v>
      </c>
      <c r="AK384" s="2" t="n">
        <f aca="false">AI384/(AH384+I384*(12-Hypothèses!$J$24)/12/Hypothèses!$J$19)</f>
        <v>2.99971982613995</v>
      </c>
      <c r="AL384" s="2" t="n">
        <f aca="false">(AD384+AG384+I384/Hypothèses!$J$19)*(1+G384)</f>
        <v>7966.73027965821</v>
      </c>
      <c r="AM384" s="2" t="n">
        <f aca="false">Entrées!$C$54*K384/Hypothèses!$J$19</f>
        <v>19.7117651861914</v>
      </c>
      <c r="AN384" s="2" t="n">
        <f aca="false">Y384*1000/AC384</f>
        <v>77.9281801039576</v>
      </c>
      <c r="AO384" s="2" t="n">
        <f aca="false">(Entrées!$C$36*(1-S384)+MAX(0,Entrées!$C$30-Entrées!$C$35-Entrées!$C$36)*U384)*1000</f>
        <v>983.139203476443</v>
      </c>
      <c r="AP384" s="2" t="n">
        <f aca="false">-AO384/W384</f>
        <v>-103.976999803585</v>
      </c>
      <c r="AQ384" s="2" t="n">
        <f aca="false">AL384+AM384+AN384+AP384</f>
        <v>7960.39322514478</v>
      </c>
      <c r="AR384" s="2" t="n">
        <f aca="false">O384*AQ384-Hypothèses!$J$25/Hypothèses!$J$19</f>
        <v>1291.15988273063</v>
      </c>
      <c r="AS384" s="2" t="n">
        <f aca="false">Entrées!$C$79*(1+Q384)+Hypothèses!$J$20</f>
        <v>1476.53089595046</v>
      </c>
      <c r="AT384" s="2" t="n">
        <f aca="false">AI384-AR384+AS384+Y384*1000-AO384+Hypothèses!$J$23</f>
        <v>22530.4282230499</v>
      </c>
      <c r="AU384" s="2" t="n">
        <f aca="false">AT384/AQ384</f>
        <v>2.83031598889892</v>
      </c>
      <c r="AV384" s="2" t="n">
        <f aca="false">Hypothèses!$J$26*AQ384-AT384</f>
        <v>1350.75145238443</v>
      </c>
      <c r="AW384" s="2" t="n">
        <f aca="false">IF(AC384&gt;Hypothèses!$J$26,MAX(0,AV384)/(1-Hypothèses!$J$26/AC384),0)</f>
        <v>2243.64183186655</v>
      </c>
      <c r="AX384" s="2" t="n">
        <f aca="false">AQ384-Entrées!$C$17*1000</f>
        <v>-39.6067748552232</v>
      </c>
      <c r="AY384" s="2" t="n">
        <f aca="false">AI384+(Entrées!$C$244-Entrées!$C$13)</f>
        <v>28487.746053956</v>
      </c>
      <c r="AZ384" s="2" t="n">
        <f aca="false">AA384*AH384</f>
        <v>5402.26928521428</v>
      </c>
      <c r="BA384" s="2" t="n">
        <f aca="false">AZ384/AY384</f>
        <v>0.189634844223279</v>
      </c>
      <c r="BB384" s="2" t="n">
        <f aca="false">AZ384/(Entrées!$C$151/100)-AY384</f>
        <v>1524.86108612335</v>
      </c>
      <c r="BC384" s="2" t="n">
        <f aca="false">AT384+(Entrées!$C$244-Entrées!$C$13)</f>
        <v>28277.4282230499</v>
      </c>
      <c r="BD384" s="2" t="n">
        <f aca="false">AA384*AQ384</f>
        <v>5724.05969818466</v>
      </c>
      <c r="BE384" s="2" t="n">
        <f aca="false">BD384/BC384</f>
        <v>0.202425045624155</v>
      </c>
      <c r="BF384" s="2" t="n">
        <f aca="false">BD384/(Entrées!$C$151/100)-BC384</f>
        <v>3522.90343353152</v>
      </c>
      <c r="BG384" s="2" t="n">
        <f aca="false">MIN(AV384,BF384)</f>
        <v>1350.75145238443</v>
      </c>
      <c r="BH384" s="2" t="n">
        <f aca="false">IF(AC384&gt;Hypothèses!$J$26,MAX(0,BG384)/(1-Hypothèses!$J$26/AC384),0)</f>
        <v>2243.64183186655</v>
      </c>
    </row>
    <row r="385" customFormat="false" ht="15" hidden="false" customHeight="false" outlineLevel="0" collapsed="false">
      <c r="A385" s="2" t="n">
        <v>370</v>
      </c>
      <c r="B385" s="2" t="n">
        <v>0.690525968</v>
      </c>
      <c r="C385" s="2"/>
      <c r="D385" s="2" t="n">
        <v>0.218855422</v>
      </c>
      <c r="E385" s="2" t="n">
        <f aca="false">IF(E$7=E$5,E$6,IF(NORMSDIST(E$9*SQRT($C$11)*NORMSINV($B385)+SQRT(1-E$9^2*$C$11)*NORMSINV(D385))&lt;E$8,E$5+SQRT(NORMSDIST(E$9*SQRT($C$11)*NORMSINV($B385)+SQRT(1-E$9^2*$C$11)*NORMSINV(D385))*(E$7-E$5)*(E$6-E$5)),E$7-SQRT((1-NORMSDIST(E$9*SQRT($C$11)*NORMSINV($B385)+SQRT(1-E$9^2*$C$11)*NORMSINV(D385)))*(E$7-E$5)*(E$7-E$6))))</f>
        <v>0.0544000735411937</v>
      </c>
      <c r="F385" s="2" t="n">
        <v>0.062320463</v>
      </c>
      <c r="G385" s="2" t="n">
        <f aca="false">IF(G$7=G$5,G$6,IF(NORMSDIST(G$9*SQRT($C$11)*NORMSINV($B385)+SQRT(1-G$9^2*$C$11)*NORMSINV(F385))&lt;G$8,G$5+SQRT(NORMSDIST(G$9*SQRT($C$11)*NORMSINV($B385)+SQRT(1-G$9^2*$C$11)*NORMSINV(F385))*(G$7-G$5)*(G$6-G$5)),G$7-SQRT((1-NORMSDIST(G$9*SQRT($C$11)*NORMSINV($B385)+SQRT(1-G$9^2*$C$11)*NORMSINV(F385)))*(G$7-G$5)*(G$7-G$6))))</f>
        <v>0.0492663437615699</v>
      </c>
      <c r="H385" s="2" t="n">
        <v>0.518530991</v>
      </c>
      <c r="I385" s="2" t="n">
        <f aca="false">IF(I$7=I$5,I$6,IF(NORMSDIST(I$9*SQRT($C$11)*NORMSINV($B385)+SQRT(1-I$9^2*$C$11)*NORMSINV(H385))&lt;I$8,I$5+SQRT(NORMSDIST(I$9*SQRT($C$11)*NORMSINV($B385)+SQRT(1-I$9^2*$C$11)*NORMSINV(H385))*(I$7-I$5)*(I$6-I$5)),I$7-SQRT((1-NORMSDIST(I$9*SQRT($C$11)*NORMSINV($B385)+SQRT(1-I$9^2*$C$11)*NORMSINV(H385)))*(I$7-I$5)*(I$7-I$6))))</f>
        <v>202.95965185023</v>
      </c>
      <c r="J385" s="2" t="n">
        <v>0.2501271</v>
      </c>
      <c r="K385" s="2" t="n">
        <f aca="false">IF(K$7=K$5,K$6,IF(NORMSDIST(K$9*SQRT($C$11)*NORMSINV($B385)+SQRT(1-K$9^2*$C$11)*NORMSINV(J385))&lt;K$8,K$5+SQRT(NORMSDIST(K$9*SQRT($C$11)*NORMSINV($B385)+SQRT(1-K$9^2*$C$11)*NORMSINV(J385))*(K$7-K$5)*(K$6-K$5)),K$7-SQRT((1-NORMSDIST(K$9*SQRT($C$11)*NORMSINV($B385)+SQRT(1-K$9^2*$C$11)*NORMSINV(J385)))*(K$7-K$5)*(K$7-K$6))))</f>
        <v>0.228519743891796</v>
      </c>
      <c r="L385" s="2" t="n">
        <v>0.641777002</v>
      </c>
      <c r="M385" s="2" t="n">
        <f aca="false">IF(M$7=M$5,M$6,IF(NORMSDIST(M$9*SQRT($C$11)*NORMSINV($B385)+SQRT(1-M$9^2*$C$11)*NORMSINV(L385))&lt;M$8,M$5+SQRT(NORMSDIST(M$9*SQRT($C$11)*NORMSINV($B385)+SQRT(1-M$9^2*$C$11)*NORMSINV(L385))*(M$7-M$5)*(M$6-M$5)),M$7-SQRT((1-NORMSDIST(M$9*SQRT($C$11)*NORMSINV($B385)+SQRT(1-M$9^2*$C$11)*NORMSINV(L385)))*(M$7-M$5)*(M$7-M$6))))</f>
        <v>1643.77084897244</v>
      </c>
      <c r="N385" s="2" t="n">
        <v>0.008244084</v>
      </c>
      <c r="O385" s="2" t="n">
        <f aca="false">IF(O$7=O$5,O$6,IF(NORMSDIST(O$9*SQRT($C$11)*NORMSINV($B385)+SQRT(1-O$9^2*$C$11)*NORMSINV(N385))&lt;O$8,O$5+SQRT(NORMSDIST(O$9*SQRT($C$11)*NORMSINV($B385)+SQRT(1-O$9^2*$C$11)*NORMSINV(N385))*(O$7-O$5)*(O$6-O$5)),O$7-SQRT((1-NORMSDIST(O$9*SQRT($C$11)*NORMSINV($B385)+SQRT(1-O$9^2*$C$11)*NORMSINV(N385)))*(O$7-O$5)*(O$7-O$6))))</f>
        <v>0.149388338955792</v>
      </c>
      <c r="P385" s="2" t="n">
        <v>0.309647113</v>
      </c>
      <c r="Q385" s="2" t="n">
        <f aca="false">IF(Q$7=Q$5,Q$6,IF(NORMSDIST(Q$9*SQRT($C$11)*NORMSINV($B385)+SQRT(1-Q$9^2*$C$11)*NORMSINV(P385))&lt;Q$8,Q$5+SQRT(NORMSDIST(Q$9*SQRT($C$11)*NORMSINV($B385)+SQRT(1-Q$9^2*$C$11)*NORMSINV(P385))*(Q$7-Q$5)*(Q$6-Q$5)),Q$7-SQRT((1-NORMSDIST(Q$9*SQRT($C$11)*NORMSINV($B385)+SQRT(1-Q$9^2*$C$11)*NORMSINV(P385)))*(Q$7-Q$5)*(Q$7-Q$6))))</f>
        <v>0.0714780997139281</v>
      </c>
      <c r="R385" s="2" t="n">
        <v>0.00026631</v>
      </c>
      <c r="S385" s="2" t="n">
        <f aca="false">IF(S$7=S$5,S$6,IF(NORMSDIST(S$9*SQRT($C$11)*NORMSINV($B385)+SQRT(1-S$9^2*$C$11)*NORMSINV(R385))&lt;S$8,S$5+SQRT(NORMSDIST(S$9*SQRT($C$11)*NORMSINV($B385)+SQRT(1-S$9^2*$C$11)*NORMSINV(R385))*(S$7-S$5)*(S$6-S$5)),S$7-SQRT((1-NORMSDIST(S$9*SQRT($C$11)*NORMSINV($B385)+SQRT(1-S$9^2*$C$11)*NORMSINV(R385)))*(S$7-S$5)*(S$7-S$6))))</f>
        <v>0.0668218654372825</v>
      </c>
      <c r="T385" s="2" t="n">
        <v>0.958095143</v>
      </c>
      <c r="U385" s="2" t="n">
        <f aca="false">IF(U$7=U$5,U$6,IF(NORMSDIST(U$9*SQRT($C$11)*NORMSINV($B385)+SQRT(1-U$9^2*$C$11)*NORMSINV(T385))&lt;U$8,U$5+SQRT(NORMSDIST(U$9*SQRT($C$11)*NORMSINV($B385)+SQRT(1-U$9^2*$C$11)*NORMSINV(T385))*(U$7-U$5)*(U$6-U$5)),U$7-SQRT((1-NORMSDIST(U$9*SQRT($C$11)*NORMSINV($B385)+SQRT(1-U$9^2*$C$11)*NORMSINV(T385)))*(U$7-U$5)*(U$7-U$6))))</f>
        <v>0.843344499413102</v>
      </c>
      <c r="V385" s="2" t="n">
        <v>0.312784651</v>
      </c>
      <c r="W385" s="2" t="n">
        <f aca="false">IF(W$7=W$5,W$6,IF(NORMSDIST(W$9*SQRT($C$11)*NORMSINV($B385)+SQRT(1-W$9^2*$C$11)*NORMSINV(V385))&lt;W$8,W$5+SQRT(NORMSDIST(W$9*SQRT($C$11)*NORMSINV($B385)+SQRT(1-W$9^2*$C$11)*NORMSINV(V385))*(W$7-W$5)*(W$6-W$5)),W$7-SQRT((1-NORMSDIST(W$9*SQRT($C$11)*NORMSINV($B385)+SQRT(1-W$9^2*$C$11)*NORMSINV(V385)))*(W$7-W$5)*(W$7-W$6))))</f>
        <v>9.9487635518092</v>
      </c>
      <c r="X385" s="2" t="n">
        <v>0.91246307</v>
      </c>
      <c r="Y385" s="2" t="n">
        <f aca="false">IF(Y$7=Y$5,Y$6,IF(NORMSDIST(Y$9*SQRT($C$11)*NORMSINV($B385)+SQRT(1-Y$9^2*$C$11)*NORMSINV(X385))&lt;Y$8,Y$5+SQRT(NORMSDIST(Y$9*SQRT($C$11)*NORMSINV($B385)+SQRT(1-Y$9^2*$C$11)*NORMSINV(X385))*(Y$7-Y$5)*(Y$6-Y$5)),Y$7-SQRT((1-NORMSDIST(Y$9*SQRT($C$11)*NORMSINV($B385)+SQRT(1-Y$9^2*$C$11)*NORMSINV(X385)))*(Y$7-Y$5)*(Y$7-Y$6))))</f>
        <v>0.790790858230335</v>
      </c>
      <c r="Z385" s="2" t="n">
        <v>0.852575486</v>
      </c>
      <c r="AA385" s="2" t="n">
        <f aca="false">IF(AA$7=AA$5,AA$6,IF(NORMSDIST(AA$9*SQRT($C$11)*NORMSINV($B385)+SQRT(1-AA$9^2*$C$11)*NORMSINV(Z385))&lt;AA$8,AA$5+SQRT(NORMSDIST(AA$9*SQRT($C$11)*NORMSINV($B385)+SQRT(1-AA$9^2*$C$11)*NORMSINV(Z385))*(AA$7-AA$5)*(AA$6-AA$5)),AA$7-SQRT((1-NORMSDIST(AA$9*SQRT($C$11)*NORMSINV($B385)+SQRT(1-AA$9^2*$C$11)*NORMSINV(Z385)))*(AA$7-AA$5)*(AA$7-AA$6))))</f>
        <v>0.740939717579796</v>
      </c>
      <c r="AB385" s="2" t="n">
        <v>0.268938627</v>
      </c>
      <c r="AC385" s="2" t="n">
        <f aca="false">IF(AC$7=AC$5,AC$6,IF(NORMSDIST(AC$9*SQRT($C$11)*NORMSINV($B385)+SQRT(1-AC$9^2*$C$11)*NORMSINV(AB385))&lt;AC$8,AC$5+SQRT(NORMSDIST(AC$9*SQRT($C$11)*NORMSINV($B385)+SQRT(1-AC$9^2*$C$11)*NORMSINV(AB385))*(AC$7-AC$5)*(AC$6-AC$5)),AC$7-SQRT((1-NORMSDIST(AC$9*SQRT($C$11)*NORMSINV($B385)+SQRT(1-AC$9^2*$C$11)*NORMSINV(AB385)))*(AC$7-AC$5)*(AC$7-AC$6))))</f>
        <v>9.33956549350276</v>
      </c>
      <c r="AD385" s="2" t="n">
        <f aca="false">Entrées!$C$8*(1+E385)</f>
        <v>7433.52051846542</v>
      </c>
      <c r="AE385" s="2" t="n">
        <f aca="false">I385*Hypothèses!$J$24/12/Hypothèses!$J$19</f>
        <v>100.687633685263</v>
      </c>
      <c r="AF385" s="2" t="n">
        <f aca="false">Entrées!$C$36*S385*1000</f>
        <v>33.4109327186412</v>
      </c>
      <c r="AG385" s="2" t="n">
        <f aca="false">-AF385/W385</f>
        <v>-3.35830000830258</v>
      </c>
      <c r="AH385" s="2" t="n">
        <f aca="false">AD385+AE385+AG385</f>
        <v>7530.84985214238</v>
      </c>
      <c r="AI385" s="2" t="n">
        <f aca="false">Entrées!$C$16-M385+Hypothèses!$J$22*1000-AF385+Hypothèses!$J$23</f>
        <v>22870.8182183089</v>
      </c>
      <c r="AJ385" s="2" t="n">
        <f aca="false">AI385/AH385</f>
        <v>3.03695049925908</v>
      </c>
      <c r="AK385" s="2" t="n">
        <f aca="false">AI385/(AH385+I385*(12-Hypothèses!$J$24)/12/Hypothèses!$J$19)</f>
        <v>3.00822193098159</v>
      </c>
      <c r="AL385" s="2" t="n">
        <f aca="false">(AD385+AG385+I385/Hypothèses!$J$19)*(1+G385)</f>
        <v>7977.33025067403</v>
      </c>
      <c r="AM385" s="2" t="n">
        <f aca="false">Entrées!$C$54*K385/Hypothèses!$J$19</f>
        <v>23.3213993565585</v>
      </c>
      <c r="AN385" s="2" t="n">
        <f aca="false">Y385*1000/AC385</f>
        <v>84.6710544275816</v>
      </c>
      <c r="AO385" s="2" t="n">
        <f aca="false">(Entrées!$C$36*(1-S385)+MAX(0,Entrées!$C$30-Entrées!$C$35-Entrées!$C$36)*U385)*1000</f>
        <v>1647.2713664597</v>
      </c>
      <c r="AP385" s="2" t="n">
        <f aca="false">-AO385/W385</f>
        <v>-165.57548663021</v>
      </c>
      <c r="AQ385" s="2" t="n">
        <f aca="false">AL385+AM385+AN385+AP385</f>
        <v>7919.74721782796</v>
      </c>
      <c r="AR385" s="2" t="n">
        <f aca="false">O385*AQ385-Hypothèses!$J$25/Hypothèses!$J$19</f>
        <v>1163.98271955945</v>
      </c>
      <c r="AS385" s="2" t="n">
        <f aca="false">Entrées!$C$79*(1+Q385)+Hypothèses!$J$20</f>
        <v>1472.55443158561</v>
      </c>
      <c r="AT385" s="2" t="n">
        <f aca="false">AI385-AR385+AS385+Y385*1000-AO385+Hypothèses!$J$23</f>
        <v>22322.9094221057</v>
      </c>
      <c r="AU385" s="2" t="n">
        <f aca="false">AT385/AQ385</f>
        <v>2.81863913179642</v>
      </c>
      <c r="AV385" s="2" t="n">
        <f aca="false">Hypothèses!$J$26*AQ385-AT385</f>
        <v>1436.33223137818</v>
      </c>
      <c r="AW385" s="2" t="n">
        <f aca="false">IF(AC385&gt;Hypothèses!$J$26,MAX(0,AV385)/(1-Hypothèses!$J$26/AC385),0)</f>
        <v>2116.03128938944</v>
      </c>
      <c r="AX385" s="2" t="n">
        <f aca="false">AQ385-Entrées!$C$17*1000</f>
        <v>-80.2527821720378</v>
      </c>
      <c r="AY385" s="2" t="n">
        <f aca="false">AI385+(Entrées!$C$244-Entrées!$C$13)</f>
        <v>28617.8182183089</v>
      </c>
      <c r="AZ385" s="2" t="n">
        <f aca="false">AA385*AH385</f>
        <v>5579.90576258222</v>
      </c>
      <c r="BA385" s="2" t="n">
        <f aca="false">AZ385/AY385</f>
        <v>0.194980124620833</v>
      </c>
      <c r="BB385" s="2" t="n">
        <f aca="false">AZ385/(Entrées!$C$151/100)-AY385</f>
        <v>2381.65824048119</v>
      </c>
      <c r="BC385" s="2" t="n">
        <f aca="false">AT385+(Entrées!$C$244-Entrées!$C$13)</f>
        <v>28069.9094221057</v>
      </c>
      <c r="BD385" s="2" t="n">
        <f aca="false">AA385*AQ385</f>
        <v>5868.05526688082</v>
      </c>
      <c r="BE385" s="2" t="n">
        <f aca="false">BD385/BC385</f>
        <v>0.209051450029247</v>
      </c>
      <c r="BF385" s="2" t="n">
        <f aca="false">BD385/(Entrées!$C$151/100)-BC385</f>
        <v>4530.39761612109</v>
      </c>
      <c r="BG385" s="2" t="n">
        <f aca="false">MIN(AV385,BF385)</f>
        <v>1436.33223137818</v>
      </c>
      <c r="BH385" s="2" t="n">
        <f aca="false">IF(AC385&gt;Hypothèses!$J$26,MAX(0,BG385)/(1-Hypothèses!$J$26/AC385),0)</f>
        <v>2116.03128938944</v>
      </c>
    </row>
    <row r="386" customFormat="false" ht="15" hidden="false" customHeight="false" outlineLevel="0" collapsed="false">
      <c r="A386" s="2" t="n">
        <v>371</v>
      </c>
      <c r="B386" s="2" t="n">
        <v>0.982864226</v>
      </c>
      <c r="C386" s="2"/>
      <c r="D386" s="2" t="n">
        <v>0.035586864</v>
      </c>
      <c r="E386" s="2" t="n">
        <f aca="false">IF(E$7=E$5,E$6,IF(NORMSDIST(E$9*SQRT($C$11)*NORMSINV($B386)+SQRT(1-E$9^2*$C$11)*NORMSINV(D386))&lt;E$8,E$5+SQRT(NORMSDIST(E$9*SQRT($C$11)*NORMSINV($B386)+SQRT(1-E$9^2*$C$11)*NORMSINV(D386))*(E$7-E$5)*(E$6-E$5)),E$7-SQRT((1-NORMSDIST(E$9*SQRT($C$11)*NORMSINV($B386)+SQRT(1-E$9^2*$C$11)*NORMSINV(D386)))*(E$7-E$5)*(E$7-E$6))))</f>
        <v>0.0548812982121673</v>
      </c>
      <c r="F386" s="2" t="n">
        <v>0.194290796</v>
      </c>
      <c r="G386" s="2" t="n">
        <f aca="false">IF(G$7=G$5,G$6,IF(NORMSDIST(G$9*SQRT($C$11)*NORMSINV($B386)+SQRT(1-G$9^2*$C$11)*NORMSINV(F386))&lt;G$8,G$5+SQRT(NORMSDIST(G$9*SQRT($C$11)*NORMSINV($B386)+SQRT(1-G$9^2*$C$11)*NORMSINV(F386))*(G$7-G$5)*(G$6-G$5)),G$7-SQRT((1-NORMSDIST(G$9*SQRT($C$11)*NORMSINV($B386)+SQRT(1-G$9^2*$C$11)*NORMSINV(F386)))*(G$7-G$5)*(G$7-G$6))))</f>
        <v>0.0593696680815755</v>
      </c>
      <c r="H386" s="2" t="n">
        <v>0.155917694</v>
      </c>
      <c r="I386" s="2" t="n">
        <f aca="false">IF(I$7=I$5,I$6,IF(NORMSDIST(I$9*SQRT($C$11)*NORMSINV($B386)+SQRT(1-I$9^2*$C$11)*NORMSINV(H386))&lt;I$8,I$5+SQRT(NORMSDIST(I$9*SQRT($C$11)*NORMSINV($B386)+SQRT(1-I$9^2*$C$11)*NORMSINV(H386))*(I$7-I$5)*(I$6-I$5)),I$7-SQRT((1-NORMSDIST(I$9*SQRT($C$11)*NORMSINV($B386)+SQRT(1-I$9^2*$C$11)*NORMSINV(H386)))*(I$7-I$5)*(I$7-I$6))))</f>
        <v>204.786668462454</v>
      </c>
      <c r="J386" s="2" t="n">
        <v>0.679169926</v>
      </c>
      <c r="K386" s="2" t="n">
        <f aca="false">IF(K$7=K$5,K$6,IF(NORMSDIST(K$9*SQRT($C$11)*NORMSINV($B386)+SQRT(1-K$9^2*$C$11)*NORMSINV(J386))&lt;K$8,K$5+SQRT(NORMSDIST(K$9*SQRT($C$11)*NORMSINV($B386)+SQRT(1-K$9^2*$C$11)*NORMSINV(J386))*(K$7-K$5)*(K$6-K$5)),K$7-SQRT((1-NORMSDIST(K$9*SQRT($C$11)*NORMSINV($B386)+SQRT(1-K$9^2*$C$11)*NORMSINV(J386)))*(K$7-K$5)*(K$7-K$6))))</f>
        <v>0.42530801879681</v>
      </c>
      <c r="L386" s="2" t="n">
        <v>0.044051135</v>
      </c>
      <c r="M386" s="2" t="n">
        <f aca="false">IF(M$7=M$5,M$6,IF(NORMSDIST(M$9*SQRT($C$11)*NORMSINV($B386)+SQRT(1-M$9^2*$C$11)*NORMSINV(L386))&lt;M$8,M$5+SQRT(NORMSDIST(M$9*SQRT($C$11)*NORMSINV($B386)+SQRT(1-M$9^2*$C$11)*NORMSINV(L386))*(M$7-M$5)*(M$6-M$5)),M$7-SQRT((1-NORMSDIST(M$9*SQRT($C$11)*NORMSINV($B386)+SQRT(1-M$9^2*$C$11)*NORMSINV(L386)))*(M$7-M$5)*(M$7-M$6))))</f>
        <v>1587.34203073099</v>
      </c>
      <c r="N386" s="2" t="n">
        <v>0.349631926</v>
      </c>
      <c r="O386" s="2" t="n">
        <f aca="false">IF(O$7=O$5,O$6,IF(NORMSDIST(O$9*SQRT($C$11)*NORMSINV($B386)+SQRT(1-O$9^2*$C$11)*NORMSINV(N386))&lt;O$8,O$5+SQRT(NORMSDIST(O$9*SQRT($C$11)*NORMSINV($B386)+SQRT(1-O$9^2*$C$11)*NORMSINV(N386))*(O$7-O$5)*(O$6-O$5)),O$7-SQRT((1-NORMSDIST(O$9*SQRT($C$11)*NORMSINV($B386)+SQRT(1-O$9^2*$C$11)*NORMSINV(N386)))*(O$7-O$5)*(O$7-O$6))))</f>
        <v>0.177390629279453</v>
      </c>
      <c r="P386" s="2" t="n">
        <v>0.114019003</v>
      </c>
      <c r="Q386" s="2" t="n">
        <f aca="false">IF(Q$7=Q$5,Q$6,IF(NORMSDIST(Q$9*SQRT($C$11)*NORMSINV($B386)+SQRT(1-Q$9^2*$C$11)*NORMSINV(P386))&lt;Q$8,Q$5+SQRT(NORMSDIST(Q$9*SQRT($C$11)*NORMSINV($B386)+SQRT(1-Q$9^2*$C$11)*NORMSINV(P386))*(Q$7-Q$5)*(Q$6-Q$5)),Q$7-SQRT((1-NORMSDIST(Q$9*SQRT($C$11)*NORMSINV($B386)+SQRT(1-Q$9^2*$C$11)*NORMSINV(P386)))*(Q$7-Q$5)*(Q$7-Q$6))))</f>
        <v>0.0591013300479312</v>
      </c>
      <c r="R386" s="2" t="n">
        <v>0.797825946</v>
      </c>
      <c r="S386" s="2" t="n">
        <f aca="false">IF(S$7=S$5,S$6,IF(NORMSDIST(S$9*SQRT($C$11)*NORMSINV($B386)+SQRT(1-S$9^2*$C$11)*NORMSINV(R386))&lt;S$8,S$5+SQRT(NORMSDIST(S$9*SQRT($C$11)*NORMSINV($B386)+SQRT(1-S$9^2*$C$11)*NORMSINV(R386))*(S$7-S$5)*(S$6-S$5)),S$7-SQRT((1-NORMSDIST(S$9*SQRT($C$11)*NORMSINV($B386)+SQRT(1-S$9^2*$C$11)*NORMSINV(R386)))*(S$7-S$5)*(S$7-S$6))))</f>
        <v>0.891403127246916</v>
      </c>
      <c r="T386" s="2" t="n">
        <v>0.498770191</v>
      </c>
      <c r="U386" s="2" t="n">
        <f aca="false">IF(U$7=U$5,U$6,IF(NORMSDIST(U$9*SQRT($C$11)*NORMSINV($B386)+SQRT(1-U$9^2*$C$11)*NORMSINV(T386))&lt;U$8,U$5+SQRT(NORMSDIST(U$9*SQRT($C$11)*NORMSINV($B386)+SQRT(1-U$9^2*$C$11)*NORMSINV(T386))*(U$7-U$5)*(U$6-U$5)),U$7-SQRT((1-NORMSDIST(U$9*SQRT($C$11)*NORMSINV($B386)+SQRT(1-U$9^2*$C$11)*NORMSINV(T386)))*(U$7-U$5)*(U$7-U$6))))</f>
        <v>0.787040102602645</v>
      </c>
      <c r="V386" s="2" t="n">
        <v>0.944983587</v>
      </c>
      <c r="W386" s="2" t="n">
        <f aca="false">IF(W$7=W$5,W$6,IF(NORMSDIST(W$9*SQRT($C$11)*NORMSINV($B386)+SQRT(1-W$9^2*$C$11)*NORMSINV(V386))&lt;W$8,W$5+SQRT(NORMSDIST(W$9*SQRT($C$11)*NORMSINV($B386)+SQRT(1-W$9^2*$C$11)*NORMSINV(V386))*(W$7-W$5)*(W$6-W$5)),W$7-SQRT((1-NORMSDIST(W$9*SQRT($C$11)*NORMSINV($B386)+SQRT(1-W$9^2*$C$11)*NORMSINV(V386)))*(W$7-W$5)*(W$7-W$6))))</f>
        <v>11.8002406963003</v>
      </c>
      <c r="X386" s="2" t="n">
        <v>0.267010329</v>
      </c>
      <c r="Y386" s="2" t="n">
        <f aca="false">IF(Y$7=Y$5,Y$6,IF(NORMSDIST(Y$9*SQRT($C$11)*NORMSINV($B386)+SQRT(1-Y$9^2*$C$11)*NORMSINV(X386))&lt;Y$8,Y$5+SQRT(NORMSDIST(Y$9*SQRT($C$11)*NORMSINV($B386)+SQRT(1-Y$9^2*$C$11)*NORMSINV(X386))*(Y$7-Y$5)*(Y$6-Y$5)),Y$7-SQRT((1-NORMSDIST(Y$9*SQRT($C$11)*NORMSINV($B386)+SQRT(1-Y$9^2*$C$11)*NORMSINV(X386)))*(Y$7-Y$5)*(Y$7-Y$6))))</f>
        <v>0.365383585427698</v>
      </c>
      <c r="Z386" s="2" t="n">
        <v>0.963775947</v>
      </c>
      <c r="AA386" s="2" t="n">
        <f aca="false">IF(AA$7=AA$5,AA$6,IF(NORMSDIST(AA$9*SQRT($C$11)*NORMSINV($B386)+SQRT(1-AA$9^2*$C$11)*NORMSINV(Z386))&lt;AA$8,AA$5+SQRT(NORMSDIST(AA$9*SQRT($C$11)*NORMSINV($B386)+SQRT(1-AA$9^2*$C$11)*NORMSINV(Z386))*(AA$7-AA$5)*(AA$6-AA$5)),AA$7-SQRT((1-NORMSDIST(AA$9*SQRT($C$11)*NORMSINV($B386)+SQRT(1-AA$9^2*$C$11)*NORMSINV(Z386)))*(AA$7-AA$5)*(AA$7-AA$6))))</f>
        <v>0.751855256565039</v>
      </c>
      <c r="AB386" s="2" t="n">
        <v>0.169469348</v>
      </c>
      <c r="AC386" s="2" t="n">
        <f aca="false">IF(AC$7=AC$5,AC$6,IF(NORMSDIST(AC$9*SQRT($C$11)*NORMSINV($B386)+SQRT(1-AC$9^2*$C$11)*NORMSINV(AB386))&lt;AC$8,AC$5+SQRT(NORMSDIST(AC$9*SQRT($C$11)*NORMSINV($B386)+SQRT(1-AC$9^2*$C$11)*NORMSINV(AB386))*(AC$7-AC$5)*(AC$6-AC$5)),AC$7-SQRT((1-NORMSDIST(AC$9*SQRT($C$11)*NORMSINV($B386)+SQRT(1-AC$9^2*$C$11)*NORMSINV(AB386)))*(AC$7-AC$5)*(AC$7-AC$6))))</f>
        <v>9.91027193851261</v>
      </c>
      <c r="AD386" s="2" t="n">
        <f aca="false">Entrées!$C$8*(1+E386)</f>
        <v>7436.91315239578</v>
      </c>
      <c r="AE386" s="2" t="n">
        <f aca="false">I386*Hypothèses!$J$24/12/Hypothèses!$J$19</f>
        <v>101.594010778992</v>
      </c>
      <c r="AF386" s="2" t="n">
        <f aca="false">Entrées!$C$36*S386*1000</f>
        <v>445.701563623458</v>
      </c>
      <c r="AG386" s="2" t="n">
        <f aca="false">-AF386/W386</f>
        <v>-37.7705485078111</v>
      </c>
      <c r="AH386" s="2" t="n">
        <f aca="false">AD386+AE386+AG386</f>
        <v>7500.73661466696</v>
      </c>
      <c r="AI386" s="2" t="n">
        <f aca="false">Entrées!$C$16-M386+Hypothèses!$J$22*1000-AF386+Hypothèses!$J$23</f>
        <v>22514.9564056456</v>
      </c>
      <c r="AJ386" s="2" t="n">
        <f aca="false">AI386/AH386</f>
        <v>3.00169937464805</v>
      </c>
      <c r="AK386" s="2" t="n">
        <f aca="false">AI386/(AH386+I386*(12-Hypothèses!$J$24)/12/Hypothèses!$J$19)</f>
        <v>2.97293718879127</v>
      </c>
      <c r="AL386" s="2" t="n">
        <f aca="false">(AD386+AG386+I386/Hypothèses!$J$19)*(1+G386)</f>
        <v>8022.92829604564</v>
      </c>
      <c r="AM386" s="2" t="n">
        <f aca="false">Entrées!$C$54*K386/Hypothèses!$J$19</f>
        <v>43.4044690711873</v>
      </c>
      <c r="AN386" s="2" t="n">
        <f aca="false">Y386*1000/AC386</f>
        <v>36.8691785346243</v>
      </c>
      <c r="AO386" s="2" t="n">
        <f aca="false">(Entrées!$C$36*(1-S386)+MAX(0,Entrées!$C$30-Entrées!$C$35-Entrées!$C$36)*U386)*1000</f>
        <v>1156.15458002024</v>
      </c>
      <c r="AP386" s="2" t="n">
        <f aca="false">-AO386/W386</f>
        <v>-97.9772031584685</v>
      </c>
      <c r="AQ386" s="2" t="n">
        <f aca="false">AL386+AM386+AN386+AP386</f>
        <v>8005.22474049299</v>
      </c>
      <c r="AR386" s="2" t="n">
        <f aca="false">O386*AQ386-Hypothèses!$J$25/Hypothèses!$J$19</f>
        <v>1400.91669197787</v>
      </c>
      <c r="AS386" s="2" t="n">
        <f aca="false">Entrées!$C$79*(1+Q386)+Hypothèses!$J$20</f>
        <v>1458.95236172268</v>
      </c>
      <c r="AT386" s="2" t="n">
        <f aca="false">AI386-AR386+AS386+Y386*1000-AO386+Hypothèses!$J$23</f>
        <v>21782.2210807978</v>
      </c>
      <c r="AU386" s="2" t="n">
        <f aca="false">AT386/AQ386</f>
        <v>2.72100056986737</v>
      </c>
      <c r="AV386" s="2" t="n">
        <f aca="false">Hypothèses!$J$26*AQ386-AT386</f>
        <v>2233.45314068114</v>
      </c>
      <c r="AW386" s="2" t="n">
        <f aca="false">IF(AC386&gt;Hypothèses!$J$26,MAX(0,AV386)/(1-Hypothèses!$J$26/AC386),0)</f>
        <v>3203.07625850676</v>
      </c>
      <c r="AX386" s="2" t="n">
        <f aca="false">AQ386-Entrées!$C$17*1000</f>
        <v>5.22474049298671</v>
      </c>
      <c r="AY386" s="2" t="n">
        <f aca="false">AI386+(Entrées!$C$244-Entrées!$C$13)</f>
        <v>28261.9564056456</v>
      </c>
      <c r="AZ386" s="2" t="n">
        <f aca="false">AA386*AH386</f>
        <v>5639.46825184721</v>
      </c>
      <c r="BA386" s="2" t="n">
        <f aca="false">AZ386/AY386</f>
        <v>0.199542741164256</v>
      </c>
      <c r="BB386" s="2" t="n">
        <f aca="false">AZ386/(Entrées!$C$151/100)-AY386</f>
        <v>3068.42277128339</v>
      </c>
      <c r="BC386" s="2" t="n">
        <f aca="false">AT386+(Entrées!$C$244-Entrées!$C$13)</f>
        <v>27529.2210807978</v>
      </c>
      <c r="BD386" s="2" t="n">
        <f aca="false">AA386*AQ386</f>
        <v>6018.77030112415</v>
      </c>
      <c r="BE386" s="2" t="n">
        <f aca="false">BD386/BC386</f>
        <v>0.218632059492681</v>
      </c>
      <c r="BF386" s="2" t="n">
        <f aca="false">BD386/(Entrées!$C$151/100)-BC386</f>
        <v>5908.39170322525</v>
      </c>
      <c r="BG386" s="2" t="n">
        <f aca="false">MIN(AV386,BF386)</f>
        <v>2233.45314068114</v>
      </c>
      <c r="BH386" s="2" t="n">
        <f aca="false">IF(AC386&gt;Hypothèses!$J$26,MAX(0,BG386)/(1-Hypothèses!$J$26/AC386),0)</f>
        <v>3203.07625850676</v>
      </c>
    </row>
    <row r="387" customFormat="false" ht="15" hidden="false" customHeight="false" outlineLevel="0" collapsed="false">
      <c r="A387" s="2" t="n">
        <v>372</v>
      </c>
      <c r="B387" s="2" t="n">
        <v>0.003157598</v>
      </c>
      <c r="C387" s="2"/>
      <c r="D387" s="2" t="n">
        <v>0.109506419</v>
      </c>
      <c r="E387" s="2" t="n">
        <f aca="false">IF(E$7=E$5,E$6,IF(NORMSDIST(E$9*SQRT($C$11)*NORMSINV($B387)+SQRT(1-E$9^2*$C$11)*NORMSINV(D387))&lt;E$8,E$5+SQRT(NORMSDIST(E$9*SQRT($C$11)*NORMSINV($B387)+SQRT(1-E$9^2*$C$11)*NORMSINV(D387))*(E$7-E$5)*(E$6-E$5)),E$7-SQRT((1-NORMSDIST(E$9*SQRT($C$11)*NORMSINV($B387)+SQRT(1-E$9^2*$C$11)*NORMSINV(D387)))*(E$7-E$5)*(E$7-E$6))))</f>
        <v>0.0504294617721501</v>
      </c>
      <c r="F387" s="2" t="n">
        <v>0.52693381</v>
      </c>
      <c r="G387" s="2" t="n">
        <f aca="false">IF(G$7=G$5,G$6,IF(NORMSDIST(G$9*SQRT($C$11)*NORMSINV($B387)+SQRT(1-G$9^2*$C$11)*NORMSINV(F387))&lt;G$8,G$5+SQRT(NORMSDIST(G$9*SQRT($C$11)*NORMSINV($B387)+SQRT(1-G$9^2*$C$11)*NORMSINV(F387))*(G$7-G$5)*(G$6-G$5)),G$7-SQRT((1-NORMSDIST(G$9*SQRT($C$11)*NORMSINV($B387)+SQRT(1-G$9^2*$C$11)*NORMSINV(F387)))*(G$7-G$5)*(G$7-G$6))))</f>
        <v>0.0445979300698567</v>
      </c>
      <c r="H387" s="2" t="n">
        <v>0.756750794</v>
      </c>
      <c r="I387" s="2" t="n">
        <f aca="false">IF(I$7=I$5,I$6,IF(NORMSDIST(I$9*SQRT($C$11)*NORMSINV($B387)+SQRT(1-I$9^2*$C$11)*NORMSINV(H387))&lt;I$8,I$5+SQRT(NORMSDIST(I$9*SQRT($C$11)*NORMSINV($B387)+SQRT(1-I$9^2*$C$11)*NORMSINV(H387))*(I$7-I$5)*(I$6-I$5)),I$7-SQRT((1-NORMSDIST(I$9*SQRT($C$11)*NORMSINV($B387)+SQRT(1-I$9^2*$C$11)*NORMSINV(H387)))*(I$7-I$5)*(I$7-I$6))))</f>
        <v>189.690528211383</v>
      </c>
      <c r="J387" s="2" t="n">
        <v>0.440855319</v>
      </c>
      <c r="K387" s="2" t="n">
        <f aca="false">IF(K$7=K$5,K$6,IF(NORMSDIST(K$9*SQRT($C$11)*NORMSINV($B387)+SQRT(1-K$9^2*$C$11)*NORMSINV(J387))&lt;K$8,K$5+SQRT(NORMSDIST(K$9*SQRT($C$11)*NORMSINV($B387)+SQRT(1-K$9^2*$C$11)*NORMSINV(J387))*(K$7-K$5)*(K$6-K$5)),K$7-SQRT((1-NORMSDIST(K$9*SQRT($C$11)*NORMSINV($B387)+SQRT(1-K$9^2*$C$11)*NORMSINV(J387)))*(K$7-K$5)*(K$7-K$6))))</f>
        <v>0.0639370224695635</v>
      </c>
      <c r="L387" s="2" t="n">
        <v>0.457842897</v>
      </c>
      <c r="M387" s="2" t="n">
        <f aca="false">IF(M$7=M$5,M$6,IF(NORMSDIST(M$9*SQRT($C$11)*NORMSINV($B387)+SQRT(1-M$9^2*$C$11)*NORMSINV(L387))&lt;M$8,M$5+SQRT(NORMSDIST(M$9*SQRT($C$11)*NORMSINV($B387)+SQRT(1-M$9^2*$C$11)*NORMSINV(L387))*(M$7-M$5)*(M$6-M$5)),M$7-SQRT((1-NORMSDIST(M$9*SQRT($C$11)*NORMSINV($B387)+SQRT(1-M$9^2*$C$11)*NORMSINV(L387)))*(M$7-M$5)*(M$7-M$6))))</f>
        <v>1378.07283248805</v>
      </c>
      <c r="N387" s="2" t="n">
        <v>0.030217659</v>
      </c>
      <c r="O387" s="2" t="n">
        <f aca="false">IF(O$7=O$5,O$6,IF(NORMSDIST(O$9*SQRT($C$11)*NORMSINV($B387)+SQRT(1-O$9^2*$C$11)*NORMSINV(N387))&lt;O$8,O$5+SQRT(NORMSDIST(O$9*SQRT($C$11)*NORMSINV($B387)+SQRT(1-O$9^2*$C$11)*NORMSINV(N387))*(O$7-O$5)*(O$6-O$5)),O$7-SQRT((1-NORMSDIST(O$9*SQRT($C$11)*NORMSINV($B387)+SQRT(1-O$9^2*$C$11)*NORMSINV(N387)))*(O$7-O$5)*(O$7-O$6))))</f>
        <v>0.141025075218574</v>
      </c>
      <c r="P387" s="2" t="n">
        <v>0.357811822</v>
      </c>
      <c r="Q387" s="2" t="n">
        <f aca="false">IF(Q$7=Q$5,Q$6,IF(NORMSDIST(Q$9*SQRT($C$11)*NORMSINV($B387)+SQRT(1-Q$9^2*$C$11)*NORMSINV(P387))&lt;Q$8,Q$5+SQRT(NORMSDIST(Q$9*SQRT($C$11)*NORMSINV($B387)+SQRT(1-Q$9^2*$C$11)*NORMSINV(P387))*(Q$7-Q$5)*(Q$6-Q$5)),Q$7-SQRT((1-NORMSDIST(Q$9*SQRT($C$11)*NORMSINV($B387)+SQRT(1-Q$9^2*$C$11)*NORMSINV(P387)))*(Q$7-Q$5)*(Q$7-Q$6))))</f>
        <v>0.0738378165725864</v>
      </c>
      <c r="R387" s="2" t="n">
        <v>0.62627021</v>
      </c>
      <c r="S387" s="2" t="n">
        <f aca="false">IF(S$7=S$5,S$6,IF(NORMSDIST(S$9*SQRT($C$11)*NORMSINV($B387)+SQRT(1-S$9^2*$C$11)*NORMSINV(R387))&lt;S$8,S$5+SQRT(NORMSDIST(S$9*SQRT($C$11)*NORMSINV($B387)+SQRT(1-S$9^2*$C$11)*NORMSINV(R387))*(S$7-S$5)*(S$6-S$5)),S$7-SQRT((1-NORMSDIST(S$9*SQRT($C$11)*NORMSINV($B387)+SQRT(1-S$9^2*$C$11)*NORMSINV(R387)))*(S$7-S$5)*(S$7-S$6))))</f>
        <v>0.186724097070732</v>
      </c>
      <c r="T387" s="2" t="n">
        <v>0.711190803</v>
      </c>
      <c r="U387" s="2" t="n">
        <f aca="false">IF(U$7=U$5,U$6,IF(NORMSDIST(U$9*SQRT($C$11)*NORMSINV($B387)+SQRT(1-U$9^2*$C$11)*NORMSINV(T387))&lt;U$8,U$5+SQRT(NORMSDIST(U$9*SQRT($C$11)*NORMSINV($B387)+SQRT(1-U$9^2*$C$11)*NORMSINV(T387))*(U$7-U$5)*(U$6-U$5)),U$7-SQRT((1-NORMSDIST(U$9*SQRT($C$11)*NORMSINV($B387)+SQRT(1-U$9^2*$C$11)*NORMSINV(T387)))*(U$7-U$5)*(U$7-U$6))))</f>
        <v>0.220807935406419</v>
      </c>
      <c r="V387" s="2" t="n">
        <v>0.9816339</v>
      </c>
      <c r="W387" s="2" t="n">
        <f aca="false">IF(W$7=W$5,W$6,IF(NORMSDIST(W$9*SQRT($C$11)*NORMSINV($B387)+SQRT(1-W$9^2*$C$11)*NORMSINV(V387))&lt;W$8,W$5+SQRT(NORMSDIST(W$9*SQRT($C$11)*NORMSINV($B387)+SQRT(1-W$9^2*$C$11)*NORMSINV(V387))*(W$7-W$5)*(W$6-W$5)),W$7-SQRT((1-NORMSDIST(W$9*SQRT($C$11)*NORMSINV($B387)+SQRT(1-W$9^2*$C$11)*NORMSINV(V387)))*(W$7-W$5)*(W$7-W$6))))</f>
        <v>9.91099779359646</v>
      </c>
      <c r="X387" s="2" t="n">
        <v>0.920881549</v>
      </c>
      <c r="Y387" s="2" t="n">
        <f aca="false">IF(Y$7=Y$5,Y$6,IF(NORMSDIST(Y$9*SQRT($C$11)*NORMSINV($B387)+SQRT(1-Y$9^2*$C$11)*NORMSINV(X387))&lt;Y$8,Y$5+SQRT(NORMSDIST(Y$9*SQRT($C$11)*NORMSINV($B387)+SQRT(1-Y$9^2*$C$11)*NORMSINV(X387))*(Y$7-Y$5)*(Y$6-Y$5)),Y$7-SQRT((1-NORMSDIST(Y$9*SQRT($C$11)*NORMSINV($B387)+SQRT(1-Y$9^2*$C$11)*NORMSINV(X387)))*(Y$7-Y$5)*(Y$7-Y$6))))</f>
        <v>0.801104988750346</v>
      </c>
      <c r="Z387" s="2" t="n">
        <v>0.79067809</v>
      </c>
      <c r="AA387" s="2" t="n">
        <f aca="false">IF(AA$7=AA$5,AA$6,IF(NORMSDIST(AA$9*SQRT($C$11)*NORMSINV($B387)+SQRT(1-AA$9^2*$C$11)*NORMSINV(Z387))&lt;AA$8,AA$5+SQRT(NORMSDIST(AA$9*SQRT($C$11)*NORMSINV($B387)+SQRT(1-AA$9^2*$C$11)*NORMSINV(Z387))*(AA$7-AA$5)*(AA$6-AA$5)),AA$7-SQRT((1-NORMSDIST(AA$9*SQRT($C$11)*NORMSINV($B387)+SQRT(1-AA$9^2*$C$11)*NORMSINV(Z387)))*(AA$7-AA$5)*(AA$7-AA$6))))</f>
        <v>0.712359237191651</v>
      </c>
      <c r="AB387" s="2" t="n">
        <v>0.515680041</v>
      </c>
      <c r="AC387" s="2" t="n">
        <f aca="false">IF(AC$7=AC$5,AC$6,IF(NORMSDIST(AC$9*SQRT($C$11)*NORMSINV($B387)+SQRT(1-AC$9^2*$C$11)*NORMSINV(AB387))&lt;AC$8,AC$5+SQRT(NORMSDIST(AC$9*SQRT($C$11)*NORMSINV($B387)+SQRT(1-AC$9^2*$C$11)*NORMSINV(AB387))*(AC$7-AC$5)*(AC$6-AC$5)),AC$7-SQRT((1-NORMSDIST(AC$9*SQRT($C$11)*NORMSINV($B387)+SQRT(1-AC$9^2*$C$11)*NORMSINV(AB387)))*(AC$7-AC$5)*(AC$7-AC$6))))</f>
        <v>8.02264923262409</v>
      </c>
      <c r="AD387" s="2" t="n">
        <f aca="false">Entrées!$C$8*(1+E387)</f>
        <v>7405.52770549366</v>
      </c>
      <c r="AE387" s="2" t="n">
        <f aca="false">I387*Hypothèses!$J$24/12/Hypothèses!$J$19</f>
        <v>94.1048639175126</v>
      </c>
      <c r="AF387" s="2" t="n">
        <f aca="false">Entrées!$C$36*S387*1000</f>
        <v>93.362048535366</v>
      </c>
      <c r="AG387" s="2" t="n">
        <f aca="false">-AF387/W387</f>
        <v>-9.42004533546437</v>
      </c>
      <c r="AH387" s="2" t="n">
        <f aca="false">AD387+AE387+AG387</f>
        <v>7490.21252407571</v>
      </c>
      <c r="AI387" s="2" t="n">
        <f aca="false">Entrées!$C$16-M387+Hypothèses!$J$22*1000-AF387+Hypothèses!$J$23</f>
        <v>23076.5651189766</v>
      </c>
      <c r="AJ387" s="2" t="n">
        <f aca="false">AI387/AH387</f>
        <v>3.08089590846746</v>
      </c>
      <c r="AK387" s="2" t="n">
        <f aca="false">AI387/(AH387+I387*(12-Hypothèses!$J$24)/12/Hypothèses!$J$19)</f>
        <v>3.05349361512222</v>
      </c>
      <c r="AL387" s="2" t="n">
        <f aca="false">(AD387+AG387+I387/Hypothèses!$J$19)*(1+G387)</f>
        <v>7894.47603133119</v>
      </c>
      <c r="AM387" s="2" t="n">
        <f aca="false">Entrées!$C$54*K387/Hypothèses!$J$19</f>
        <v>6.52504159722838</v>
      </c>
      <c r="AN387" s="2" t="n">
        <f aca="false">Y387*1000/AC387</f>
        <v>99.8554175212665</v>
      </c>
      <c r="AO387" s="2" t="n">
        <f aca="false">(Entrées!$C$36*(1-S387)+MAX(0,Entrées!$C$30-Entrées!$C$35-Entrées!$C$36)*U387)*1000</f>
        <v>715.769061033621</v>
      </c>
      <c r="AP387" s="2" t="n">
        <f aca="false">-AO387/W387</f>
        <v>-72.2196771647031</v>
      </c>
      <c r="AQ387" s="2" t="n">
        <f aca="false">AL387+AM387+AN387+AP387</f>
        <v>7928.63681328498</v>
      </c>
      <c r="AR387" s="2" t="n">
        <f aca="false">O387*AQ387-Hypothèses!$J$25/Hypothèses!$J$19</f>
        <v>1099.00144071264</v>
      </c>
      <c r="AS387" s="2" t="n">
        <f aca="false">Entrées!$C$79*(1+Q387)+Hypothèses!$J$20</f>
        <v>1475.14776041327</v>
      </c>
      <c r="AT387" s="2" t="n">
        <f aca="false">AI387-AR387+AS387+Y387*1000-AO387+Hypothèses!$J$23</f>
        <v>23538.0473663939</v>
      </c>
      <c r="AU387" s="2" t="n">
        <f aca="false">AT387/AQ387</f>
        <v>2.96873824854158</v>
      </c>
      <c r="AV387" s="2" t="n">
        <f aca="false">Hypothèses!$J$26*AQ387-AT387</f>
        <v>247.863073460991</v>
      </c>
      <c r="AW387" s="2" t="n">
        <f aca="false">IF(AC387&gt;Hypothèses!$J$26,MAX(0,AV387)/(1-Hypothèses!$J$26/AC387),0)</f>
        <v>395.910286384614</v>
      </c>
      <c r="AX387" s="2" t="n">
        <f aca="false">AQ387-Entrées!$C$17*1000</f>
        <v>-71.3631867150225</v>
      </c>
      <c r="AY387" s="2" t="n">
        <f aca="false">AI387+(Entrées!$C$244-Entrées!$C$13)</f>
        <v>28823.5651189766</v>
      </c>
      <c r="AZ387" s="2" t="n">
        <f aca="false">AA387*AH387</f>
        <v>5335.72208005392</v>
      </c>
      <c r="BA387" s="2" t="n">
        <f aca="false">AZ387/AY387</f>
        <v>0.185116659165144</v>
      </c>
      <c r="BB387" s="2" t="n">
        <f aca="false">AZ387/(Entrées!$C$151/100)-AY387</f>
        <v>819.335325767435</v>
      </c>
      <c r="BC387" s="2" t="n">
        <f aca="false">AT387+(Entrées!$C$244-Entrées!$C$13)</f>
        <v>29285.0473663939</v>
      </c>
      <c r="BD387" s="2" t="n">
        <f aca="false">AA387*AQ387</f>
        <v>5648.03767228133</v>
      </c>
      <c r="BE387" s="2" t="n">
        <f aca="false">BD387/BC387</f>
        <v>0.192864215024721</v>
      </c>
      <c r="BF387" s="2" t="n">
        <f aca="false">BD387/(Entrées!$C$151/100)-BC387</f>
        <v>2092.93970183568</v>
      </c>
      <c r="BG387" s="2" t="n">
        <f aca="false">MIN(AV387,BF387)</f>
        <v>247.863073460991</v>
      </c>
      <c r="BH387" s="2" t="n">
        <f aca="false">IF(AC387&gt;Hypothèses!$J$26,MAX(0,BG387)/(1-Hypothèses!$J$26/AC387),0)</f>
        <v>395.910286384614</v>
      </c>
    </row>
    <row r="388" customFormat="false" ht="15" hidden="false" customHeight="false" outlineLevel="0" collapsed="false">
      <c r="A388" s="2" t="n">
        <v>373</v>
      </c>
      <c r="B388" s="2" t="n">
        <v>0.273589902</v>
      </c>
      <c r="C388" s="2"/>
      <c r="D388" s="2" t="n">
        <v>0.986132058</v>
      </c>
      <c r="E388" s="2" t="n">
        <f aca="false">IF(E$7=E$5,E$6,IF(NORMSDIST(E$9*SQRT($C$11)*NORMSINV($B388)+SQRT(1-E$9^2*$C$11)*NORMSINV(D388))&lt;E$8,E$5+SQRT(NORMSDIST(E$9*SQRT($C$11)*NORMSINV($B388)+SQRT(1-E$9^2*$C$11)*NORMSINV(D388))*(E$7-E$5)*(E$6-E$5)),E$7-SQRT((1-NORMSDIST(E$9*SQRT($C$11)*NORMSINV($B388)+SQRT(1-E$9^2*$C$11)*NORMSINV(D388)))*(E$7-E$5)*(E$7-E$6))))</f>
        <v>0.0578467974081252</v>
      </c>
      <c r="F388" s="2" t="n">
        <v>0.074835892</v>
      </c>
      <c r="G388" s="2" t="n">
        <f aca="false">IF(G$7=G$5,G$6,IF(NORMSDIST(G$9*SQRT($C$11)*NORMSINV($B388)+SQRT(1-G$9^2*$C$11)*NORMSINV(F388))&lt;G$8,G$5+SQRT(NORMSDIST(G$9*SQRT($C$11)*NORMSINV($B388)+SQRT(1-G$9^2*$C$11)*NORMSINV(F388))*(G$7-G$5)*(G$6-G$5)),G$7-SQRT((1-NORMSDIST(G$9*SQRT($C$11)*NORMSINV($B388)+SQRT(1-G$9^2*$C$11)*NORMSINV(F388)))*(G$7-G$5)*(G$7-G$6))))</f>
        <v>0.0455006145378784</v>
      </c>
      <c r="H388" s="2" t="n">
        <v>0.663408977</v>
      </c>
      <c r="I388" s="2" t="n">
        <f aca="false">IF(I$7=I$5,I$6,IF(NORMSDIST(I$9*SQRT($C$11)*NORMSINV($B388)+SQRT(1-I$9^2*$C$11)*NORMSINV(H388))&lt;I$8,I$5+SQRT(NORMSDIST(I$9*SQRT($C$11)*NORMSINV($B388)+SQRT(1-I$9^2*$C$11)*NORMSINV(H388))*(I$7-I$5)*(I$6-I$5)),I$7-SQRT((1-NORMSDIST(I$9*SQRT($C$11)*NORMSINV($B388)+SQRT(1-I$9^2*$C$11)*NORMSINV(H388)))*(I$7-I$5)*(I$7-I$6))))</f>
        <v>199.564452251016</v>
      </c>
      <c r="J388" s="2" t="n">
        <v>0.554318608</v>
      </c>
      <c r="K388" s="2" t="n">
        <f aca="false">IF(K$7=K$5,K$6,IF(NORMSDIST(K$9*SQRT($C$11)*NORMSINV($B388)+SQRT(1-K$9^2*$C$11)*NORMSINV(J388))&lt;K$8,K$5+SQRT(NORMSDIST(K$9*SQRT($C$11)*NORMSINV($B388)+SQRT(1-K$9^2*$C$11)*NORMSINV(J388))*(K$7-K$5)*(K$6-K$5)),K$7-SQRT((1-NORMSDIST(K$9*SQRT($C$11)*NORMSINV($B388)+SQRT(1-K$9^2*$C$11)*NORMSINV(J388)))*(K$7-K$5)*(K$7-K$6))))</f>
        <v>0.221269567024068</v>
      </c>
      <c r="L388" s="2" t="n">
        <v>0.910405373</v>
      </c>
      <c r="M388" s="2" t="n">
        <f aca="false">IF(M$7=M$5,M$6,IF(NORMSDIST(M$9*SQRT($C$11)*NORMSINV($B388)+SQRT(1-M$9^2*$C$11)*NORMSINV(L388))&lt;M$8,M$5+SQRT(NORMSDIST(M$9*SQRT($C$11)*NORMSINV($B388)+SQRT(1-M$9^2*$C$11)*NORMSINV(L388))*(M$7-M$5)*(M$6-M$5)),M$7-SQRT((1-NORMSDIST(M$9*SQRT($C$11)*NORMSINV($B388)+SQRT(1-M$9^2*$C$11)*NORMSINV(L388)))*(M$7-M$5)*(M$7-M$6))))</f>
        <v>1649.50238738057</v>
      </c>
      <c r="N388" s="2" t="n">
        <v>0.133260764</v>
      </c>
      <c r="O388" s="2" t="n">
        <f aca="false">IF(O$7=O$5,O$6,IF(NORMSDIST(O$9*SQRT($C$11)*NORMSINV($B388)+SQRT(1-O$9^2*$C$11)*NORMSINV(N388))&lt;O$8,O$5+SQRT(NORMSDIST(O$9*SQRT($C$11)*NORMSINV($B388)+SQRT(1-O$9^2*$C$11)*NORMSINV(N388))*(O$7-O$5)*(O$6-O$5)),O$7-SQRT((1-NORMSDIST(O$9*SQRT($C$11)*NORMSINV($B388)+SQRT(1-O$9^2*$C$11)*NORMSINV(N388)))*(O$7-O$5)*(O$7-O$6))))</f>
        <v>0.152403859243322</v>
      </c>
      <c r="P388" s="2" t="n">
        <v>0.683886609</v>
      </c>
      <c r="Q388" s="2" t="n">
        <f aca="false">IF(Q$7=Q$5,Q$6,IF(NORMSDIST(Q$9*SQRT($C$11)*NORMSINV($B388)+SQRT(1-Q$9^2*$C$11)*NORMSINV(P388))&lt;Q$8,Q$5+SQRT(NORMSDIST(Q$9*SQRT($C$11)*NORMSINV($B388)+SQRT(1-Q$9^2*$C$11)*NORMSINV(P388))*(Q$7-Q$5)*(Q$6-Q$5)),Q$7-SQRT((1-NORMSDIST(Q$9*SQRT($C$11)*NORMSINV($B388)+SQRT(1-Q$9^2*$C$11)*NORMSINV(P388)))*(Q$7-Q$5)*(Q$7-Q$6))))</f>
        <v>0.0881949241283722</v>
      </c>
      <c r="R388" s="2" t="n">
        <v>0.764086888</v>
      </c>
      <c r="S388" s="2" t="n">
        <f aca="false">IF(S$7=S$5,S$6,IF(NORMSDIST(S$9*SQRT($C$11)*NORMSINV($B388)+SQRT(1-S$9^2*$C$11)*NORMSINV(R388))&lt;S$8,S$5+SQRT(NORMSDIST(S$9*SQRT($C$11)*NORMSINV($B388)+SQRT(1-S$9^2*$C$11)*NORMSINV(R388))*(S$7-S$5)*(S$6-S$5)),S$7-SQRT((1-NORMSDIST(S$9*SQRT($C$11)*NORMSINV($B388)+SQRT(1-S$9^2*$C$11)*NORMSINV(R388)))*(S$7-S$5)*(S$7-S$6))))</f>
        <v>0.536366449033235</v>
      </c>
      <c r="T388" s="2" t="n">
        <v>0.664681395</v>
      </c>
      <c r="U388" s="2" t="n">
        <f aca="false">IF(U$7=U$5,U$6,IF(NORMSDIST(U$9*SQRT($C$11)*NORMSINV($B388)+SQRT(1-U$9^2*$C$11)*NORMSINV(T388))&lt;U$8,U$5+SQRT(NORMSDIST(U$9*SQRT($C$11)*NORMSINV($B388)+SQRT(1-U$9^2*$C$11)*NORMSINV(T388))*(U$7-U$5)*(U$6-U$5)),U$7-SQRT((1-NORMSDIST(U$9*SQRT($C$11)*NORMSINV($B388)+SQRT(1-U$9^2*$C$11)*NORMSINV(T388)))*(U$7-U$5)*(U$7-U$6))))</f>
        <v>0.489661280774128</v>
      </c>
      <c r="V388" s="2" t="n">
        <v>0.861937919</v>
      </c>
      <c r="W388" s="2" t="n">
        <f aca="false">IF(W$7=W$5,W$6,IF(NORMSDIST(W$9*SQRT($C$11)*NORMSINV($B388)+SQRT(1-W$9^2*$C$11)*NORMSINV(V388))&lt;W$8,W$5+SQRT(NORMSDIST(W$9*SQRT($C$11)*NORMSINV($B388)+SQRT(1-W$9^2*$C$11)*NORMSINV(V388))*(W$7-W$5)*(W$6-W$5)),W$7-SQRT((1-NORMSDIST(W$9*SQRT($C$11)*NORMSINV($B388)+SQRT(1-W$9^2*$C$11)*NORMSINV(V388)))*(W$7-W$5)*(W$7-W$6))))</f>
        <v>10.3956706009231</v>
      </c>
      <c r="X388" s="2" t="n">
        <v>0.911432134</v>
      </c>
      <c r="Y388" s="2" t="n">
        <f aca="false">IF(Y$7=Y$5,Y$6,IF(NORMSDIST(Y$9*SQRT($C$11)*NORMSINV($B388)+SQRT(1-Y$9^2*$C$11)*NORMSINV(X388))&lt;Y$8,Y$5+SQRT(NORMSDIST(Y$9*SQRT($C$11)*NORMSINV($B388)+SQRT(1-Y$9^2*$C$11)*NORMSINV(X388))*(Y$7-Y$5)*(Y$6-Y$5)),Y$7-SQRT((1-NORMSDIST(Y$9*SQRT($C$11)*NORMSINV($B388)+SQRT(1-Y$9^2*$C$11)*NORMSINV(X388)))*(Y$7-Y$5)*(Y$7-Y$6))))</f>
        <v>0.789562519973271</v>
      </c>
      <c r="Z388" s="2" t="n">
        <v>0.492581022</v>
      </c>
      <c r="AA388" s="2" t="n">
        <f aca="false">IF(AA$7=AA$5,AA$6,IF(NORMSDIST(AA$9*SQRT($C$11)*NORMSINV($B388)+SQRT(1-AA$9^2*$C$11)*NORMSINV(Z388))&lt;AA$8,AA$5+SQRT(NORMSDIST(AA$9*SQRT($C$11)*NORMSINV($B388)+SQRT(1-AA$9^2*$C$11)*NORMSINV(Z388))*(AA$7-AA$5)*(AA$6-AA$5)),AA$7-SQRT((1-NORMSDIST(AA$9*SQRT($C$11)*NORMSINV($B388)+SQRT(1-AA$9^2*$C$11)*NORMSINV(Z388)))*(AA$7-AA$5)*(AA$7-AA$6))))</f>
        <v>0.722562524300436</v>
      </c>
      <c r="AB388" s="2" t="n">
        <v>0.159020476</v>
      </c>
      <c r="AC388" s="2" t="n">
        <f aca="false">IF(AC$7=AC$5,AC$6,IF(NORMSDIST(AC$9*SQRT($C$11)*NORMSINV($B388)+SQRT(1-AC$9^2*$C$11)*NORMSINV(AB388))&lt;AC$8,AC$5+SQRT(NORMSDIST(AC$9*SQRT($C$11)*NORMSINV($B388)+SQRT(1-AC$9^2*$C$11)*NORMSINV(AB388))*(AC$7-AC$5)*(AC$6-AC$5)),AC$7-SQRT((1-NORMSDIST(AC$9*SQRT($C$11)*NORMSINV($B388)+SQRT(1-AC$9^2*$C$11)*NORMSINV(AB388)))*(AC$7-AC$5)*(AC$7-AC$6))))</f>
        <v>8.43597064105776</v>
      </c>
      <c r="AD388" s="2" t="n">
        <f aca="false">Entrées!$C$8*(1+E388)</f>
        <v>7457.81992172728</v>
      </c>
      <c r="AE388" s="2" t="n">
        <f aca="false">I388*Hypothèses!$J$24/12/Hypothèses!$J$19</f>
        <v>99.0032860308514</v>
      </c>
      <c r="AF388" s="2" t="n">
        <f aca="false">Entrées!$C$36*S388*1000</f>
        <v>268.183224516618</v>
      </c>
      <c r="AG388" s="2" t="n">
        <f aca="false">-AF388/W388</f>
        <v>-25.7975877470381</v>
      </c>
      <c r="AH388" s="2" t="n">
        <f aca="false">AD388+AE388+AG388</f>
        <v>7531.0256200111</v>
      </c>
      <c r="AI388" s="2" t="n">
        <f aca="false">Entrées!$C$16-M388+Hypothèses!$J$22*1000-AF388+Hypothèses!$J$23</f>
        <v>22630.3143881028</v>
      </c>
      <c r="AJ388" s="2" t="n">
        <f aca="false">AI388/AH388</f>
        <v>3.00494454938124</v>
      </c>
      <c r="AK388" s="2" t="n">
        <f aca="false">AI388/(AH388+I388*(12-Hypothèses!$J$24)/12/Hypothèses!$J$19)</f>
        <v>2.97699048918667</v>
      </c>
      <c r="AL388" s="2" t="n">
        <f aca="false">(AD388+AG388+I388/Hypothèses!$J$19)*(1+G388)</f>
        <v>7947.62619695534</v>
      </c>
      <c r="AM388" s="2" t="n">
        <f aca="false">Entrées!$C$54*K388/Hypothèses!$J$19</f>
        <v>22.5814883656814</v>
      </c>
      <c r="AN388" s="2" t="n">
        <f aca="false">Y388*1000/AC388</f>
        <v>93.5947448809838</v>
      </c>
      <c r="AO388" s="2" t="n">
        <f aca="false">(Entrées!$C$36*(1-S388)+MAX(0,Entrées!$C$30-Entrées!$C$35-Entrées!$C$36)*U388)*1000</f>
        <v>917.342568567162</v>
      </c>
      <c r="AP388" s="2" t="n">
        <f aca="false">-AO388/W388</f>
        <v>-88.2427506394542</v>
      </c>
      <c r="AQ388" s="2" t="n">
        <f aca="false">AL388+AM388+AN388+AP388</f>
        <v>7975.55967956255</v>
      </c>
      <c r="AR388" s="2" t="n">
        <f aca="false">O388*AQ388-Hypothèses!$J$25/Hypothèses!$J$19</f>
        <v>1196.37091252914</v>
      </c>
      <c r="AS388" s="2" t="n">
        <f aca="false">Entrées!$C$79*(1+Q388)+Hypothèses!$J$20</f>
        <v>1490.92622161708</v>
      </c>
      <c r="AT388" s="2" t="n">
        <f aca="false">AI388-AR388+AS388+Y388*1000-AO388+Hypothèses!$J$23</f>
        <v>22797.0896485969</v>
      </c>
      <c r="AU388" s="2" t="n">
        <f aca="false">AT388/AQ388</f>
        <v>2.85836863675093</v>
      </c>
      <c r="AV388" s="2" t="n">
        <f aca="false">Hypothèses!$J$26*AQ388-AT388</f>
        <v>1129.58939009079</v>
      </c>
      <c r="AW388" s="2" t="n">
        <f aca="false">IF(AC388&gt;Hypothèses!$J$26,MAX(0,AV388)/(1-Hypothèses!$J$26/AC388),0)</f>
        <v>1752.98646009649</v>
      </c>
      <c r="AX388" s="2" t="n">
        <f aca="false">AQ388-Entrées!$C$17*1000</f>
        <v>-24.4403204374494</v>
      </c>
      <c r="AY388" s="2" t="n">
        <f aca="false">AI388+(Entrées!$C$244-Entrées!$C$13)</f>
        <v>28377.3143881028</v>
      </c>
      <c r="AZ388" s="2" t="n">
        <f aca="false">AA388*AH388</f>
        <v>5441.63688256647</v>
      </c>
      <c r="BA388" s="2" t="n">
        <f aca="false">AZ388/AY388</f>
        <v>0.191760108378962</v>
      </c>
      <c r="BB388" s="2" t="n">
        <f aca="false">AZ388/(Entrées!$C$151/100)-AY388</f>
        <v>1854.00162615536</v>
      </c>
      <c r="BC388" s="2" t="n">
        <f aca="false">AT388+(Entrées!$C$244-Entrées!$C$13)</f>
        <v>28544.0896485969</v>
      </c>
      <c r="BD388" s="2" t="n">
        <f aca="false">AA388*AQ388</f>
        <v>5762.84053477349</v>
      </c>
      <c r="BE388" s="2" t="n">
        <f aca="false">BD388/BC388</f>
        <v>0.201892602136526</v>
      </c>
      <c r="BF388" s="2" t="n">
        <f aca="false">BD388/(Entrées!$C$151/100)-BC388</f>
        <v>3471.69110014476</v>
      </c>
      <c r="BG388" s="2" t="n">
        <f aca="false">MIN(AV388,BF388)</f>
        <v>1129.58939009079</v>
      </c>
      <c r="BH388" s="2" t="n">
        <f aca="false">IF(AC388&gt;Hypothèses!$J$26,MAX(0,BG388)/(1-Hypothèses!$J$26/AC388),0)</f>
        <v>1752.98646009649</v>
      </c>
    </row>
    <row r="389" customFormat="false" ht="15" hidden="false" customHeight="false" outlineLevel="0" collapsed="false">
      <c r="A389" s="2" t="n">
        <v>374</v>
      </c>
      <c r="B389" s="2" t="n">
        <v>0.082536028</v>
      </c>
      <c r="C389" s="2"/>
      <c r="D389" s="2" t="n">
        <v>0.253385801</v>
      </c>
      <c r="E389" s="2" t="n">
        <f aca="false">IF(E$7=E$5,E$6,IF(NORMSDIST(E$9*SQRT($C$11)*NORMSINV($B389)+SQRT(1-E$9^2*$C$11)*NORMSINV(D389))&lt;E$8,E$5+SQRT(NORMSDIST(E$9*SQRT($C$11)*NORMSINV($B389)+SQRT(1-E$9^2*$C$11)*NORMSINV(D389))*(E$7-E$5)*(E$6-E$5)),E$7-SQRT((1-NORMSDIST(E$9*SQRT($C$11)*NORMSINV($B389)+SQRT(1-E$9^2*$C$11)*NORMSINV(D389)))*(E$7-E$5)*(E$7-E$6))))</f>
        <v>0.0520239606534578</v>
      </c>
      <c r="F389" s="2" t="n">
        <v>0.048579689</v>
      </c>
      <c r="G389" s="2" t="n">
        <f aca="false">IF(G$7=G$5,G$6,IF(NORMSDIST(G$9*SQRT($C$11)*NORMSINV($B389)+SQRT(1-G$9^2*$C$11)*NORMSINV(F389))&lt;G$8,G$5+SQRT(NORMSDIST(G$9*SQRT($C$11)*NORMSINV($B389)+SQRT(1-G$9^2*$C$11)*NORMSINV(F389))*(G$7-G$5)*(G$6-G$5)),G$7-SQRT((1-NORMSDIST(G$9*SQRT($C$11)*NORMSINV($B389)+SQRT(1-G$9^2*$C$11)*NORMSINV(F389)))*(G$7-G$5)*(G$7-G$6))))</f>
        <v>0.0426218289527565</v>
      </c>
      <c r="H389" s="2" t="n">
        <v>0.83987657</v>
      </c>
      <c r="I389" s="2" t="n">
        <f aca="false">IF(I$7=I$5,I$6,IF(NORMSDIST(I$9*SQRT($C$11)*NORMSINV($B389)+SQRT(1-I$9^2*$C$11)*NORMSINV(H389))&lt;I$8,I$5+SQRT(NORMSDIST(I$9*SQRT($C$11)*NORMSINV($B389)+SQRT(1-I$9^2*$C$11)*NORMSINV(H389))*(I$7-I$5)*(I$6-I$5)),I$7-SQRT((1-NORMSDIST(I$9*SQRT($C$11)*NORMSINV($B389)+SQRT(1-I$9^2*$C$11)*NORMSINV(H389)))*(I$7-I$5)*(I$7-I$6))))</f>
        <v>199.120023960961</v>
      </c>
      <c r="J389" s="2" t="n">
        <v>0.69784713</v>
      </c>
      <c r="K389" s="2" t="n">
        <f aca="false">IF(K$7=K$5,K$6,IF(NORMSDIST(K$9*SQRT($C$11)*NORMSINV($B389)+SQRT(1-K$9^2*$C$11)*NORMSINV(J389))&lt;K$8,K$5+SQRT(NORMSDIST(K$9*SQRT($C$11)*NORMSINV($B389)+SQRT(1-K$9^2*$C$11)*NORMSINV(J389))*(K$7-K$5)*(K$6-K$5)),K$7-SQRT((1-NORMSDIST(K$9*SQRT($C$11)*NORMSINV($B389)+SQRT(1-K$9^2*$C$11)*NORMSINV(J389)))*(K$7-K$5)*(K$7-K$6))))</f>
        <v>0.199007901064319</v>
      </c>
      <c r="L389" s="2" t="n">
        <v>0.478577878</v>
      </c>
      <c r="M389" s="2" t="n">
        <f aca="false">IF(M$7=M$5,M$6,IF(NORMSDIST(M$9*SQRT($C$11)*NORMSINV($B389)+SQRT(1-M$9^2*$C$11)*NORMSINV(L389))&lt;M$8,M$5+SQRT(NORMSDIST(M$9*SQRT($C$11)*NORMSINV($B389)+SQRT(1-M$9^2*$C$11)*NORMSINV(L389))*(M$7-M$5)*(M$6-M$5)),M$7-SQRT((1-NORMSDIST(M$9*SQRT($C$11)*NORMSINV($B389)+SQRT(1-M$9^2*$C$11)*NORMSINV(L389)))*(M$7-M$5)*(M$7-M$6))))</f>
        <v>1471.96865553368</v>
      </c>
      <c r="N389" s="2" t="n">
        <v>0.596782558</v>
      </c>
      <c r="O389" s="2" t="n">
        <f aca="false">IF(O$7=O$5,O$6,IF(NORMSDIST(O$9*SQRT($C$11)*NORMSINV($B389)+SQRT(1-O$9^2*$C$11)*NORMSINV(N389))&lt;O$8,O$5+SQRT(NORMSDIST(O$9*SQRT($C$11)*NORMSINV($B389)+SQRT(1-O$9^2*$C$11)*NORMSINV(N389))*(O$7-O$5)*(O$6-O$5)),O$7-SQRT((1-NORMSDIST(O$9*SQRT($C$11)*NORMSINV($B389)+SQRT(1-O$9^2*$C$11)*NORMSINV(N389)))*(O$7-O$5)*(O$7-O$6))))</f>
        <v>0.158774687383532</v>
      </c>
      <c r="P389" s="2" t="n">
        <v>0.349493214</v>
      </c>
      <c r="Q389" s="2" t="n">
        <f aca="false">IF(Q$7=Q$5,Q$6,IF(NORMSDIST(Q$9*SQRT($C$11)*NORMSINV($B389)+SQRT(1-Q$9^2*$C$11)*NORMSINV(P389))&lt;Q$8,Q$5+SQRT(NORMSDIST(Q$9*SQRT($C$11)*NORMSINV($B389)+SQRT(1-Q$9^2*$C$11)*NORMSINV(P389))*(Q$7-Q$5)*(Q$6-Q$5)),Q$7-SQRT((1-NORMSDIST(Q$9*SQRT($C$11)*NORMSINV($B389)+SQRT(1-Q$9^2*$C$11)*NORMSINV(P389)))*(Q$7-Q$5)*(Q$7-Q$6))))</f>
        <v>0.0734421632793096</v>
      </c>
      <c r="R389" s="2" t="n">
        <v>0.809985251</v>
      </c>
      <c r="S389" s="2" t="n">
        <f aca="false">IF(S$7=S$5,S$6,IF(NORMSDIST(S$9*SQRT($C$11)*NORMSINV($B389)+SQRT(1-S$9^2*$C$11)*NORMSINV(R389))&lt;S$8,S$5+SQRT(NORMSDIST(S$9*SQRT($C$11)*NORMSINV($B389)+SQRT(1-S$9^2*$C$11)*NORMSINV(R389))*(S$7-S$5)*(S$6-S$5)),S$7-SQRT((1-NORMSDIST(S$9*SQRT($C$11)*NORMSINV($B389)+SQRT(1-S$9^2*$C$11)*NORMSINV(R389)))*(S$7-S$5)*(S$7-S$6))))</f>
        <v>0.459085332588354</v>
      </c>
      <c r="T389" s="2" t="n">
        <v>0.548452497</v>
      </c>
      <c r="U389" s="2" t="n">
        <f aca="false">IF(U$7=U$5,U$6,IF(NORMSDIST(U$9*SQRT($C$11)*NORMSINV($B389)+SQRT(1-U$9^2*$C$11)*NORMSINV(T389))&lt;U$8,U$5+SQRT(NORMSDIST(U$9*SQRT($C$11)*NORMSINV($B389)+SQRT(1-U$9^2*$C$11)*NORMSINV(T389))*(U$7-U$5)*(U$6-U$5)),U$7-SQRT((1-NORMSDIST(U$9*SQRT($C$11)*NORMSINV($B389)+SQRT(1-U$9^2*$C$11)*NORMSINV(T389)))*(U$7-U$5)*(U$7-U$6))))</f>
        <v>0.329101550184087</v>
      </c>
      <c r="V389" s="2" t="n">
        <v>0.813686442</v>
      </c>
      <c r="W389" s="2" t="n">
        <f aca="false">IF(W$7=W$5,W$6,IF(NORMSDIST(W$9*SQRT($C$11)*NORMSINV($B389)+SQRT(1-W$9^2*$C$11)*NORMSINV(V389))&lt;W$8,W$5+SQRT(NORMSDIST(W$9*SQRT($C$11)*NORMSINV($B389)+SQRT(1-W$9^2*$C$11)*NORMSINV(V389))*(W$7-W$5)*(W$6-W$5)),W$7-SQRT((1-NORMSDIST(W$9*SQRT($C$11)*NORMSINV($B389)+SQRT(1-W$9^2*$C$11)*NORMSINV(V389)))*(W$7-W$5)*(W$7-W$6))))</f>
        <v>9.84538515598394</v>
      </c>
      <c r="X389" s="2" t="n">
        <v>0.428449617</v>
      </c>
      <c r="Y389" s="2" t="n">
        <f aca="false">IF(Y$7=Y$5,Y$6,IF(NORMSDIST(Y$9*SQRT($C$11)*NORMSINV($B389)+SQRT(1-Y$9^2*$C$11)*NORMSINV(X389))&lt;Y$8,Y$5+SQRT(NORMSDIST(Y$9*SQRT($C$11)*NORMSINV($B389)+SQRT(1-Y$9^2*$C$11)*NORMSINV(X389))*(Y$7-Y$5)*(Y$6-Y$5)),Y$7-SQRT((1-NORMSDIST(Y$9*SQRT($C$11)*NORMSINV($B389)+SQRT(1-Y$9^2*$C$11)*NORMSINV(X389)))*(Y$7-Y$5)*(Y$7-Y$6))))</f>
        <v>0.462844259443714</v>
      </c>
      <c r="Z389" s="2" t="n">
        <v>0.920154339</v>
      </c>
      <c r="AA389" s="2" t="n">
        <f aca="false">IF(AA$7=AA$5,AA$6,IF(NORMSDIST(AA$9*SQRT($C$11)*NORMSINV($B389)+SQRT(1-AA$9^2*$C$11)*NORMSINV(Z389))&lt;AA$8,AA$5+SQRT(NORMSDIST(AA$9*SQRT($C$11)*NORMSINV($B389)+SQRT(1-AA$9^2*$C$11)*NORMSINV(Z389))*(AA$7-AA$5)*(AA$6-AA$5)),AA$7-SQRT((1-NORMSDIST(AA$9*SQRT($C$11)*NORMSINV($B389)+SQRT(1-AA$9^2*$C$11)*NORMSINV(Z389)))*(AA$7-AA$5)*(AA$7-AA$6))))</f>
        <v>0.730682944599613</v>
      </c>
      <c r="AB389" s="2" t="n">
        <v>0.787849248</v>
      </c>
      <c r="AC389" s="2" t="n">
        <f aca="false">IF(AC$7=AC$5,AC$6,IF(NORMSDIST(AC$9*SQRT($C$11)*NORMSINV($B389)+SQRT(1-AC$9^2*$C$11)*NORMSINV(AB389))&lt;AC$8,AC$5+SQRT(NORMSDIST(AC$9*SQRT($C$11)*NORMSINV($B389)+SQRT(1-AC$9^2*$C$11)*NORMSINV(AB389))*(AC$7-AC$5)*(AC$6-AC$5)),AC$7-SQRT((1-NORMSDIST(AC$9*SQRT($C$11)*NORMSINV($B389)+SQRT(1-AC$9^2*$C$11)*NORMSINV(AB389)))*(AC$7-AC$5)*(AC$7-AC$6))))</f>
        <v>9.25386795556282</v>
      </c>
      <c r="AD389" s="2" t="n">
        <f aca="false">Entrées!$C$8*(1+E389)</f>
        <v>7416.76892260688</v>
      </c>
      <c r="AE389" s="2" t="n">
        <f aca="false">I389*Hypothèses!$J$24/12/Hypothèses!$J$19</f>
        <v>98.782806578603</v>
      </c>
      <c r="AF389" s="2" t="n">
        <f aca="false">Entrées!$C$36*S389*1000</f>
        <v>229.542666294177</v>
      </c>
      <c r="AG389" s="2" t="n">
        <f aca="false">-AF389/W389</f>
        <v>-23.3147472300424</v>
      </c>
      <c r="AH389" s="2" t="n">
        <f aca="false">AD389+AE389+AG389</f>
        <v>7492.23698195544</v>
      </c>
      <c r="AI389" s="2" t="n">
        <f aca="false">Entrées!$C$16-M389+Hypothèses!$J$22*1000-AF389+Hypothèses!$J$23</f>
        <v>22846.4886781722</v>
      </c>
      <c r="AJ389" s="2" t="n">
        <f aca="false">AI389/AH389</f>
        <v>3.04935478325051</v>
      </c>
      <c r="AK389" s="2" t="n">
        <f aca="false">AI389/(AH389+I389*(12-Hypothèses!$J$24)/12/Hypothèses!$J$19)</f>
        <v>3.02090500483286</v>
      </c>
      <c r="AL389" s="2" t="n">
        <f aca="false">(AD389+AG389+I389/Hypothèses!$J$19)*(1+G389)</f>
        <v>7885.13633254819</v>
      </c>
      <c r="AM389" s="2" t="n">
        <f aca="false">Entrées!$C$54*K389/Hypothèses!$J$19</f>
        <v>20.3095918837938</v>
      </c>
      <c r="AN389" s="2" t="n">
        <f aca="false">Y389*1000/AC389</f>
        <v>50.016302552219</v>
      </c>
      <c r="AO389" s="2" t="n">
        <f aca="false">(Entrées!$C$36*(1-S389)+MAX(0,Entrées!$C$30-Entrées!$C$35-Entrées!$C$36)*U389)*1000</f>
        <v>731.199503963544</v>
      </c>
      <c r="AP389" s="2" t="n">
        <f aca="false">-AO389/W389</f>
        <v>-74.2682477504831</v>
      </c>
      <c r="AQ389" s="2" t="n">
        <f aca="false">AL389+AM389+AN389+AP389</f>
        <v>7881.19397923372</v>
      </c>
      <c r="AR389" s="2" t="n">
        <f aca="false">O389*AQ389-Hypothèses!$J$25/Hypothèses!$J$19</f>
        <v>1232.19894800019</v>
      </c>
      <c r="AS389" s="2" t="n">
        <f aca="false">Entrées!$C$79*(1+Q389)+Hypothèses!$J$20</f>
        <v>1474.71293744396</v>
      </c>
      <c r="AT389" s="2" t="n">
        <f aca="false">AI389-AR389+AS389+Y389*1000-AO389+Hypothèses!$J$23</f>
        <v>22820.6474230961</v>
      </c>
      <c r="AU389" s="2" t="n">
        <f aca="false">AT389/AQ389</f>
        <v>2.89558250732396</v>
      </c>
      <c r="AV389" s="2" t="n">
        <f aca="false">Hypothèses!$J$26*AQ389-AT389</f>
        <v>822.934514605076</v>
      </c>
      <c r="AW389" s="2" t="n">
        <f aca="false">IF(AC389&gt;Hypothèses!$J$26,MAX(0,AV389)/(1-Hypothèses!$J$26/AC389),0)</f>
        <v>1217.69877271821</v>
      </c>
      <c r="AX389" s="2" t="n">
        <f aca="false">AQ389-Entrées!$C$17*1000</f>
        <v>-118.806020766277</v>
      </c>
      <c r="AY389" s="2" t="n">
        <f aca="false">AI389+(Entrées!$C$244-Entrées!$C$13)</f>
        <v>28593.4886781722</v>
      </c>
      <c r="AZ389" s="2" t="n">
        <f aca="false">AA389*AH389</f>
        <v>5474.44977961332</v>
      </c>
      <c r="BA389" s="2" t="n">
        <f aca="false">AZ389/AY389</f>
        <v>0.191457916913526</v>
      </c>
      <c r="BB389" s="2" t="n">
        <f aca="false">AZ389/(Entrées!$C$151/100)-AY389</f>
        <v>1820.1212085685</v>
      </c>
      <c r="BC389" s="2" t="n">
        <f aca="false">AT389+(Entrées!$C$244-Entrées!$C$13)</f>
        <v>28567.6474230961</v>
      </c>
      <c r="BD389" s="2" t="n">
        <f aca="false">AA389*AQ389</f>
        <v>5758.65402370724</v>
      </c>
      <c r="BE389" s="2" t="n">
        <f aca="false">BD389/BC389</f>
        <v>0.2015795679084</v>
      </c>
      <c r="BF389" s="2" t="n">
        <f aca="false">BD389/(Entrées!$C$151/100)-BC389</f>
        <v>3424.87493083301</v>
      </c>
      <c r="BG389" s="2" t="n">
        <f aca="false">MIN(AV389,BF389)</f>
        <v>822.934514605076</v>
      </c>
      <c r="BH389" s="2" t="n">
        <f aca="false">IF(AC389&gt;Hypothèses!$J$26,MAX(0,BG389)/(1-Hypothèses!$J$26/AC389),0)</f>
        <v>1217.69877271821</v>
      </c>
    </row>
    <row r="390" customFormat="false" ht="15" hidden="false" customHeight="false" outlineLevel="0" collapsed="false">
      <c r="A390" s="2" t="n">
        <v>375</v>
      </c>
      <c r="B390" s="2" t="n">
        <v>0.126638903</v>
      </c>
      <c r="C390" s="2"/>
      <c r="D390" s="2" t="n">
        <v>0.525272333</v>
      </c>
      <c r="E390" s="2" t="n">
        <f aca="false">IF(E$7=E$5,E$6,IF(NORMSDIST(E$9*SQRT($C$11)*NORMSINV($B390)+SQRT(1-E$9^2*$C$11)*NORMSINV(D390))&lt;E$8,E$5+SQRT(NORMSDIST(E$9*SQRT($C$11)*NORMSINV($B390)+SQRT(1-E$9^2*$C$11)*NORMSINV(D390))*(E$7-E$5)*(E$6-E$5)),E$7-SQRT((1-NORMSDIST(E$9*SQRT($C$11)*NORMSINV($B390)+SQRT(1-E$9^2*$C$11)*NORMSINV(D390)))*(E$7-E$5)*(E$7-E$6))))</f>
        <v>0.0535379149695138</v>
      </c>
      <c r="F390" s="2" t="n">
        <v>0.185223533</v>
      </c>
      <c r="G390" s="2" t="n">
        <f aca="false">IF(G$7=G$5,G$6,IF(NORMSDIST(G$9*SQRT($C$11)*NORMSINV($B390)+SQRT(1-G$9^2*$C$11)*NORMSINV(F390))&lt;G$8,G$5+SQRT(NORMSDIST(G$9*SQRT($C$11)*NORMSINV($B390)+SQRT(1-G$9^2*$C$11)*NORMSINV(F390))*(G$7-G$5)*(G$6-G$5)),G$7-SQRT((1-NORMSDIST(G$9*SQRT($C$11)*NORMSINV($B390)+SQRT(1-G$9^2*$C$11)*NORMSINV(F390)))*(G$7-G$5)*(G$7-G$6))))</f>
        <v>0.0459376289039966</v>
      </c>
      <c r="H390" s="2" t="n">
        <v>0.770522815</v>
      </c>
      <c r="I390" s="2" t="n">
        <f aca="false">IF(I$7=I$5,I$6,IF(NORMSDIST(I$9*SQRT($C$11)*NORMSINV($B390)+SQRT(1-I$9^2*$C$11)*NORMSINV(H390))&lt;I$8,I$5+SQRT(NORMSDIST(I$9*SQRT($C$11)*NORMSINV($B390)+SQRT(1-I$9^2*$C$11)*NORMSINV(H390))*(I$7-I$5)*(I$6-I$5)),I$7-SQRT((1-NORMSDIST(I$9*SQRT($C$11)*NORMSINV($B390)+SQRT(1-I$9^2*$C$11)*NORMSINV(H390)))*(I$7-I$5)*(I$7-I$6))))</f>
        <v>198.779145682542</v>
      </c>
      <c r="J390" s="2" t="n">
        <v>0.286311445</v>
      </c>
      <c r="K390" s="2" t="n">
        <f aca="false">IF(K$7=K$5,K$6,IF(NORMSDIST(K$9*SQRT($C$11)*NORMSINV($B390)+SQRT(1-K$9^2*$C$11)*NORMSINV(J390))&lt;K$8,K$5+SQRT(NORMSDIST(K$9*SQRT($C$11)*NORMSINV($B390)+SQRT(1-K$9^2*$C$11)*NORMSINV(J390))*(K$7-K$5)*(K$6-K$5)),K$7-SQRT((1-NORMSDIST(K$9*SQRT($C$11)*NORMSINV($B390)+SQRT(1-K$9^2*$C$11)*NORMSINV(J390)))*(K$7-K$5)*(K$7-K$6))))</f>
        <v>0.124053998834301</v>
      </c>
      <c r="L390" s="2" t="n">
        <v>0.851512114</v>
      </c>
      <c r="M390" s="2" t="n">
        <f aca="false">IF(M$7=M$5,M$6,IF(NORMSDIST(M$9*SQRT($C$11)*NORMSINV($B390)+SQRT(1-M$9^2*$C$11)*NORMSINV(L390))&lt;M$8,M$5+SQRT(NORMSDIST(M$9*SQRT($C$11)*NORMSINV($B390)+SQRT(1-M$9^2*$C$11)*NORMSINV(L390))*(M$7-M$5)*(M$6-M$5)),M$7-SQRT((1-NORMSDIST(M$9*SQRT($C$11)*NORMSINV($B390)+SQRT(1-M$9^2*$C$11)*NORMSINV(L390)))*(M$7-M$5)*(M$7-M$6))))</f>
        <v>1594.78614302502</v>
      </c>
      <c r="N390" s="2" t="n">
        <v>0.372250748</v>
      </c>
      <c r="O390" s="2" t="n">
        <f aca="false">IF(O$7=O$5,O$6,IF(NORMSDIST(O$9*SQRT($C$11)*NORMSINV($B390)+SQRT(1-O$9^2*$C$11)*NORMSINV(N390))&lt;O$8,O$5+SQRT(NORMSDIST(O$9*SQRT($C$11)*NORMSINV($B390)+SQRT(1-O$9^2*$C$11)*NORMSINV(N390))*(O$7-O$5)*(O$6-O$5)),O$7-SQRT((1-NORMSDIST(O$9*SQRT($C$11)*NORMSINV($B390)+SQRT(1-O$9^2*$C$11)*NORMSINV(N390)))*(O$7-O$5)*(O$7-O$6))))</f>
        <v>0.155376589975624</v>
      </c>
      <c r="P390" s="2" t="n">
        <v>0.081967795</v>
      </c>
      <c r="Q390" s="2" t="n">
        <f aca="false">IF(Q$7=Q$5,Q$6,IF(NORMSDIST(Q$9*SQRT($C$11)*NORMSINV($B390)+SQRT(1-Q$9^2*$C$11)*NORMSINV(P390))&lt;Q$8,Q$5+SQRT(NORMSDIST(Q$9*SQRT($C$11)*NORMSINV($B390)+SQRT(1-Q$9^2*$C$11)*NORMSINV(P390))*(Q$7-Q$5)*(Q$6-Q$5)),Q$7-SQRT((1-NORMSDIST(Q$9*SQRT($C$11)*NORMSINV($B390)+SQRT(1-Q$9^2*$C$11)*NORMSINV(P390)))*(Q$7-Q$5)*(Q$7-Q$6))))</f>
        <v>0.056195584089498</v>
      </c>
      <c r="R390" s="2" t="n">
        <v>0.896043543</v>
      </c>
      <c r="S390" s="2" t="n">
        <f aca="false">IF(S$7=S$5,S$6,IF(NORMSDIST(S$9*SQRT($C$11)*NORMSINV($B390)+SQRT(1-S$9^2*$C$11)*NORMSINV(R390))&lt;S$8,S$5+SQRT(NORMSDIST(S$9*SQRT($C$11)*NORMSINV($B390)+SQRT(1-S$9^2*$C$11)*NORMSINV(R390))*(S$7-S$5)*(S$6-S$5)),S$7-SQRT((1-NORMSDIST(S$9*SQRT($C$11)*NORMSINV($B390)+SQRT(1-S$9^2*$C$11)*NORMSINV(R390)))*(S$7-S$5)*(S$7-S$6))))</f>
        <v>0.552697765279083</v>
      </c>
      <c r="T390" s="2" t="n">
        <v>0.161373281</v>
      </c>
      <c r="U390" s="2" t="n">
        <f aca="false">IF(U$7=U$5,U$6,IF(NORMSDIST(U$9*SQRT($C$11)*NORMSINV($B390)+SQRT(1-U$9^2*$C$11)*NORMSINV(T390))&lt;U$8,U$5+SQRT(NORMSDIST(U$9*SQRT($C$11)*NORMSINV($B390)+SQRT(1-U$9^2*$C$11)*NORMSINV(T390))*(U$7-U$5)*(U$6-U$5)),U$7-SQRT((1-NORMSDIST(U$9*SQRT($C$11)*NORMSINV($B390)+SQRT(1-U$9^2*$C$11)*NORMSINV(T390)))*(U$7-U$5)*(U$7-U$6))))</f>
        <v>0.184814291261953</v>
      </c>
      <c r="V390" s="2" t="n">
        <v>0.965528134</v>
      </c>
      <c r="W390" s="2" t="n">
        <f aca="false">IF(W$7=W$5,W$6,IF(NORMSDIST(W$9*SQRT($C$11)*NORMSINV($B390)+SQRT(1-W$9^2*$C$11)*NORMSINV(V390))&lt;W$8,W$5+SQRT(NORMSDIST(W$9*SQRT($C$11)*NORMSINV($B390)+SQRT(1-W$9^2*$C$11)*NORMSINV(V390))*(W$7-W$5)*(W$6-W$5)),W$7-SQRT((1-NORMSDIST(W$9*SQRT($C$11)*NORMSINV($B390)+SQRT(1-W$9^2*$C$11)*NORMSINV(V390)))*(W$7-W$5)*(W$7-W$6))))</f>
        <v>10.5963944708073</v>
      </c>
      <c r="X390" s="2" t="n">
        <v>0.842393487</v>
      </c>
      <c r="Y390" s="2" t="n">
        <f aca="false">IF(Y$7=Y$5,Y$6,IF(NORMSDIST(Y$9*SQRT($C$11)*NORMSINV($B390)+SQRT(1-Y$9^2*$C$11)*NORMSINV(X390))&lt;Y$8,Y$5+SQRT(NORMSDIST(Y$9*SQRT($C$11)*NORMSINV($B390)+SQRT(1-Y$9^2*$C$11)*NORMSINV(X390))*(Y$7-Y$5)*(Y$6-Y$5)),Y$7-SQRT((1-NORMSDIST(Y$9*SQRT($C$11)*NORMSINV($B390)+SQRT(1-Y$9^2*$C$11)*NORMSINV(X390)))*(Y$7-Y$5)*(Y$7-Y$6))))</f>
        <v>0.719280822707105</v>
      </c>
      <c r="Z390" s="2" t="n">
        <v>0.572887303</v>
      </c>
      <c r="AA390" s="2" t="n">
        <f aca="false">IF(AA$7=AA$5,AA$6,IF(NORMSDIST(AA$9*SQRT($C$11)*NORMSINV($B390)+SQRT(1-AA$9^2*$C$11)*NORMSINV(Z390))&lt;AA$8,AA$5+SQRT(NORMSDIST(AA$9*SQRT($C$11)*NORMSINV($B390)+SQRT(1-AA$9^2*$C$11)*NORMSINV(Z390))*(AA$7-AA$5)*(AA$6-AA$5)),AA$7-SQRT((1-NORMSDIST(AA$9*SQRT($C$11)*NORMSINV($B390)+SQRT(1-AA$9^2*$C$11)*NORMSINV(Z390)))*(AA$7-AA$5)*(AA$7-AA$6))))</f>
        <v>0.719852365184077</v>
      </c>
      <c r="AB390" s="2" t="n">
        <v>0.002466903</v>
      </c>
      <c r="AC390" s="2" t="n">
        <f aca="false">IF(AC$7=AC$5,AC$6,IF(NORMSDIST(AC$9*SQRT($C$11)*NORMSINV($B390)+SQRT(1-AC$9^2*$C$11)*NORMSINV(AB390))&lt;AC$8,AC$5+SQRT(NORMSDIST(AC$9*SQRT($C$11)*NORMSINV($B390)+SQRT(1-AC$9^2*$C$11)*NORMSINV(AB390))*(AC$7-AC$5)*(AC$6-AC$5)),AC$7-SQRT((1-NORMSDIST(AC$9*SQRT($C$11)*NORMSINV($B390)+SQRT(1-AC$9^2*$C$11)*NORMSINV(AB390)))*(AC$7-AC$5)*(AC$7-AC$6))))</f>
        <v>7.52693165586335</v>
      </c>
      <c r="AD390" s="2" t="n">
        <f aca="false">Entrées!$C$8*(1+E390)</f>
        <v>7427.44230053507</v>
      </c>
      <c r="AE390" s="2" t="n">
        <f aca="false">I390*Hypothèses!$J$24/12/Hypothèses!$J$19</f>
        <v>98.6136979557029</v>
      </c>
      <c r="AF390" s="2" t="n">
        <f aca="false">Entrées!$C$36*S390*1000</f>
        <v>276.348882639541</v>
      </c>
      <c r="AG390" s="2" t="n">
        <f aca="false">-AF390/W390</f>
        <v>-26.0795201047745</v>
      </c>
      <c r="AH390" s="2" t="n">
        <f aca="false">AD390+AE390+AG390</f>
        <v>7499.976478386</v>
      </c>
      <c r="AI390" s="2" t="n">
        <f aca="false">Entrées!$C$16-M390+Hypothèses!$J$22*1000-AF390+Hypothèses!$J$23</f>
        <v>22676.8649743354</v>
      </c>
      <c r="AJ390" s="2" t="n">
        <f aca="false">AI390/AH390</f>
        <v>3.02359147921161</v>
      </c>
      <c r="AK390" s="2" t="n">
        <f aca="false">AI390/(AH390+I390*(12-Hypothèses!$J$24)/12/Hypothèses!$J$19)</f>
        <v>2.99545869960576</v>
      </c>
      <c r="AL390" s="2" t="n">
        <f aca="false">(AD390+AG390+I390/Hypothèses!$J$19)*(1+G390)</f>
        <v>7918.1817413654</v>
      </c>
      <c r="AM390" s="2" t="n">
        <f aca="false">Entrées!$C$54*K390/Hypothèses!$J$19</f>
        <v>12.6602314501222</v>
      </c>
      <c r="AN390" s="2" t="n">
        <f aca="false">Y390*1000/AC390</f>
        <v>95.5609610387252</v>
      </c>
      <c r="AO390" s="2" t="n">
        <f aca="false">(Entrées!$C$36*(1-S390)+MAX(0,Entrées!$C$30-Entrées!$C$35-Entrées!$C$36)*U390)*1000</f>
        <v>482.391125127192</v>
      </c>
      <c r="AP390" s="2" t="n">
        <f aca="false">-AO390/W390</f>
        <v>-45.5240814652721</v>
      </c>
      <c r="AQ390" s="2" t="n">
        <f aca="false">AL390+AM390+AN390+AP390</f>
        <v>7980.87885238898</v>
      </c>
      <c r="AR390" s="2" t="n">
        <f aca="false">O390*AQ390-Hypothèses!$J$25/Hypothèses!$J$19</f>
        <v>1220.90657883115</v>
      </c>
      <c r="AS390" s="2" t="n">
        <f aca="false">Entrées!$C$79*(1+Q390)+Hypothèses!$J$20</f>
        <v>1455.75894691436</v>
      </c>
      <c r="AT390" s="2" t="n">
        <f aca="false">AI390-AR390+AS390+Y390*1000-AO390+Hypothèses!$J$23</f>
        <v>23148.6070399986</v>
      </c>
      <c r="AU390" s="2" t="n">
        <f aca="false">AT390/AQ390</f>
        <v>2.90050851142407</v>
      </c>
      <c r="AV390" s="2" t="n">
        <f aca="false">Hypothèses!$J$26*AQ390-AT390</f>
        <v>794.029517168372</v>
      </c>
      <c r="AW390" s="2" t="n">
        <f aca="false">IF(AC390&gt;Hypothèses!$J$26,MAX(0,AV390)/(1-Hypothèses!$J$26/AC390),0)</f>
        <v>1320.23329769592</v>
      </c>
      <c r="AX390" s="2" t="n">
        <f aca="false">AQ390-Entrées!$C$17*1000</f>
        <v>-19.121147611022</v>
      </c>
      <c r="AY390" s="2" t="n">
        <f aca="false">AI390+(Entrées!$C$244-Entrées!$C$13)</f>
        <v>28423.8649743354</v>
      </c>
      <c r="AZ390" s="2" t="n">
        <f aca="false">AA390*AH390</f>
        <v>5398.87580679111</v>
      </c>
      <c r="BA390" s="2" t="n">
        <f aca="false">AZ390/AY390</f>
        <v>0.189941649795546</v>
      </c>
      <c r="BB390" s="2" t="n">
        <f aca="false">AZ390/(Entrées!$C$151/100)-AY390</f>
        <v>1569.88950783737</v>
      </c>
      <c r="BC390" s="2" t="n">
        <f aca="false">AT390+(Entrées!$C$244-Entrées!$C$13)</f>
        <v>28895.6070399986</v>
      </c>
      <c r="BD390" s="2" t="n">
        <f aca="false">AA390*AQ390</f>
        <v>5745.05451813979</v>
      </c>
      <c r="BE390" s="2" t="n">
        <f aca="false">BD390/BC390</f>
        <v>0.198821035674635</v>
      </c>
      <c r="BF390" s="2" t="n">
        <f aca="false">BD390/(Entrées!$C$151/100)-BC390</f>
        <v>3021.36250522247</v>
      </c>
      <c r="BG390" s="2" t="n">
        <f aca="false">MIN(AV390,BF390)</f>
        <v>794.029517168372</v>
      </c>
      <c r="BH390" s="2" t="n">
        <f aca="false">IF(AC390&gt;Hypothèses!$J$26,MAX(0,BG390)/(1-Hypothèses!$J$26/AC390),0)</f>
        <v>1320.23329769592</v>
      </c>
    </row>
    <row r="391" customFormat="false" ht="15" hidden="false" customHeight="false" outlineLevel="0" collapsed="false">
      <c r="A391" s="2" t="n">
        <v>376</v>
      </c>
      <c r="B391" s="2" t="n">
        <v>0.405270671</v>
      </c>
      <c r="C391" s="2"/>
      <c r="D391" s="2" t="n">
        <v>0.063853253</v>
      </c>
      <c r="E391" s="2" t="n">
        <f aca="false">IF(E$7=E$5,E$6,IF(NORMSDIST(E$9*SQRT($C$11)*NORMSINV($B391)+SQRT(1-E$9^2*$C$11)*NORMSINV(D391))&lt;E$8,E$5+SQRT(NORMSDIST(E$9*SQRT($C$11)*NORMSINV($B391)+SQRT(1-E$9^2*$C$11)*NORMSINV(D391))*(E$7-E$5)*(E$6-E$5)),E$7-SQRT((1-NORMSDIST(E$9*SQRT($C$11)*NORMSINV($B391)+SQRT(1-E$9^2*$C$11)*NORMSINV(D391)))*(E$7-E$5)*(E$7-E$6))))</f>
        <v>0.0521390885928678</v>
      </c>
      <c r="F391" s="2" t="n">
        <v>0.912859118</v>
      </c>
      <c r="G391" s="2" t="n">
        <f aca="false">IF(G$7=G$5,G$6,IF(NORMSDIST(G$9*SQRT($C$11)*NORMSINV($B391)+SQRT(1-G$9^2*$C$11)*NORMSINV(F391))&lt;G$8,G$5+SQRT(NORMSDIST(G$9*SQRT($C$11)*NORMSINV($B391)+SQRT(1-G$9^2*$C$11)*NORMSINV(F391))*(G$7-G$5)*(G$6-G$5)),G$7-SQRT((1-NORMSDIST(G$9*SQRT($C$11)*NORMSINV($B391)+SQRT(1-G$9^2*$C$11)*NORMSINV(F391)))*(G$7-G$5)*(G$7-G$6))))</f>
        <v>0.060903860929174</v>
      </c>
      <c r="H391" s="2" t="n">
        <v>0.835311138</v>
      </c>
      <c r="I391" s="2" t="n">
        <f aca="false">IF(I$7=I$5,I$6,IF(NORMSDIST(I$9*SQRT($C$11)*NORMSINV($B391)+SQRT(1-I$9^2*$C$11)*NORMSINV(H391))&lt;I$8,I$5+SQRT(NORMSDIST(I$9*SQRT($C$11)*NORMSINV($B391)+SQRT(1-I$9^2*$C$11)*NORMSINV(H391))*(I$7-I$5)*(I$6-I$5)),I$7-SQRT((1-NORMSDIST(I$9*SQRT($C$11)*NORMSINV($B391)+SQRT(1-I$9^2*$C$11)*NORMSINV(H391)))*(I$7-I$5)*(I$7-I$6))))</f>
        <v>205.222851238882</v>
      </c>
      <c r="J391" s="2" t="n">
        <v>0.665632834</v>
      </c>
      <c r="K391" s="2" t="n">
        <f aca="false">IF(K$7=K$5,K$6,IF(NORMSDIST(K$9*SQRT($C$11)*NORMSINV($B391)+SQRT(1-K$9^2*$C$11)*NORMSINV(J391))&lt;K$8,K$5+SQRT(NORMSDIST(K$9*SQRT($C$11)*NORMSINV($B391)+SQRT(1-K$9^2*$C$11)*NORMSINV(J391))*(K$7-K$5)*(K$6-K$5)),K$7-SQRT((1-NORMSDIST(K$9*SQRT($C$11)*NORMSINV($B391)+SQRT(1-K$9^2*$C$11)*NORMSINV(J391)))*(K$7-K$5)*(K$7-K$6))))</f>
        <v>0.268524767686252</v>
      </c>
      <c r="L391" s="2" t="n">
        <v>0.44322954</v>
      </c>
      <c r="M391" s="2" t="n">
        <f aca="false">IF(M$7=M$5,M$6,IF(NORMSDIST(M$9*SQRT($C$11)*NORMSINV($B391)+SQRT(1-M$9^2*$C$11)*NORMSINV(L391))&lt;M$8,M$5+SQRT(NORMSDIST(M$9*SQRT($C$11)*NORMSINV($B391)+SQRT(1-M$9^2*$C$11)*NORMSINV(L391))*(M$7-M$5)*(M$6-M$5)),M$7-SQRT((1-NORMSDIST(M$9*SQRT($C$11)*NORMSINV($B391)+SQRT(1-M$9^2*$C$11)*NORMSINV(L391)))*(M$7-M$5)*(M$7-M$6))))</f>
        <v>1554.48127810732</v>
      </c>
      <c r="N391" s="2" t="n">
        <v>0.146047838</v>
      </c>
      <c r="O391" s="2" t="n">
        <f aca="false">IF(O$7=O$5,O$6,IF(NORMSDIST(O$9*SQRT($C$11)*NORMSINV($B391)+SQRT(1-O$9^2*$C$11)*NORMSINV(N391))&lt;O$8,O$5+SQRT(NORMSDIST(O$9*SQRT($C$11)*NORMSINV($B391)+SQRT(1-O$9^2*$C$11)*NORMSINV(N391))*(O$7-O$5)*(O$6-O$5)),O$7-SQRT((1-NORMSDIST(O$9*SQRT($C$11)*NORMSINV($B391)+SQRT(1-O$9^2*$C$11)*NORMSINV(N391)))*(O$7-O$5)*(O$7-O$6))))</f>
        <v>0.155461014479657</v>
      </c>
      <c r="P391" s="2" t="n">
        <v>0.146527682</v>
      </c>
      <c r="Q391" s="2" t="n">
        <f aca="false">IF(Q$7=Q$5,Q$6,IF(NORMSDIST(Q$9*SQRT($C$11)*NORMSINV($B391)+SQRT(1-Q$9^2*$C$11)*NORMSINV(P391))&lt;Q$8,Q$5+SQRT(NORMSDIST(Q$9*SQRT($C$11)*NORMSINV($B391)+SQRT(1-Q$9^2*$C$11)*NORMSINV(P391))*(Q$7-Q$5)*(Q$6-Q$5)),Q$7-SQRT((1-NORMSDIST(Q$9*SQRT($C$11)*NORMSINV($B391)+SQRT(1-Q$9^2*$C$11)*NORMSINV(P391)))*(Q$7-Q$5)*(Q$7-Q$6))))</f>
        <v>0.0616538352815385</v>
      </c>
      <c r="R391" s="2" t="n">
        <v>0.401034526</v>
      </c>
      <c r="S391" s="2" t="n">
        <f aca="false">IF(S$7=S$5,S$6,IF(NORMSDIST(S$9*SQRT($C$11)*NORMSINV($B391)+SQRT(1-S$9^2*$C$11)*NORMSINV(R391))&lt;S$8,S$5+SQRT(NORMSDIST(S$9*SQRT($C$11)*NORMSINV($B391)+SQRT(1-S$9^2*$C$11)*NORMSINV(R391))*(S$7-S$5)*(S$6-S$5)),S$7-SQRT((1-NORMSDIST(S$9*SQRT($C$11)*NORMSINV($B391)+SQRT(1-S$9^2*$C$11)*NORMSINV(R391)))*(S$7-S$5)*(S$7-S$6))))</f>
        <v>0.42705501421908</v>
      </c>
      <c r="T391" s="2" t="n">
        <v>0.61211527</v>
      </c>
      <c r="U391" s="2" t="n">
        <f aca="false">IF(U$7=U$5,U$6,IF(NORMSDIST(U$9*SQRT($C$11)*NORMSINV($B391)+SQRT(1-U$9^2*$C$11)*NORMSINV(T391))&lt;U$8,U$5+SQRT(NORMSDIST(U$9*SQRT($C$11)*NORMSINV($B391)+SQRT(1-U$9^2*$C$11)*NORMSINV(T391))*(U$7-U$5)*(U$6-U$5)),U$7-SQRT((1-NORMSDIST(U$9*SQRT($C$11)*NORMSINV($B391)+SQRT(1-U$9^2*$C$11)*NORMSINV(T391)))*(U$7-U$5)*(U$7-U$6))))</f>
        <v>0.513950438851668</v>
      </c>
      <c r="V391" s="2" t="n">
        <v>0.705753402</v>
      </c>
      <c r="W391" s="2" t="n">
        <f aca="false">IF(W$7=W$5,W$6,IF(NORMSDIST(W$9*SQRT($C$11)*NORMSINV($B391)+SQRT(1-W$9^2*$C$11)*NORMSINV(V391))&lt;W$8,W$5+SQRT(NORMSDIST(W$9*SQRT($C$11)*NORMSINV($B391)+SQRT(1-W$9^2*$C$11)*NORMSINV(V391))*(W$7-W$5)*(W$6-W$5)),W$7-SQRT((1-NORMSDIST(W$9*SQRT($C$11)*NORMSINV($B391)+SQRT(1-W$9^2*$C$11)*NORMSINV(V391)))*(W$7-W$5)*(W$7-W$6))))</f>
        <v>10.2233534855435</v>
      </c>
      <c r="X391" s="2" t="n">
        <v>0.768797082</v>
      </c>
      <c r="Y391" s="2" t="n">
        <f aca="false">IF(Y$7=Y$5,Y$6,IF(NORMSDIST(Y$9*SQRT($C$11)*NORMSINV($B391)+SQRT(1-Y$9^2*$C$11)*NORMSINV(X391))&lt;Y$8,Y$5+SQRT(NORMSDIST(Y$9*SQRT($C$11)*NORMSINV($B391)+SQRT(1-Y$9^2*$C$11)*NORMSINV(X391))*(Y$7-Y$5)*(Y$6-Y$5)),Y$7-SQRT((1-NORMSDIST(Y$9*SQRT($C$11)*NORMSINV($B391)+SQRT(1-Y$9^2*$C$11)*NORMSINV(X391)))*(Y$7-Y$5)*(Y$7-Y$6))))</f>
        <v>0.659997854418535</v>
      </c>
      <c r="Z391" s="2" t="n">
        <v>0.70795915</v>
      </c>
      <c r="AA391" s="2" t="n">
        <f aca="false">IF(AA$7=AA$5,AA$6,IF(NORMSDIST(AA$9*SQRT($C$11)*NORMSINV($B391)+SQRT(1-AA$9^2*$C$11)*NORMSINV(Z391))&lt;AA$8,AA$5+SQRT(NORMSDIST(AA$9*SQRT($C$11)*NORMSINV($B391)+SQRT(1-AA$9^2*$C$11)*NORMSINV(Z391))*(AA$7-AA$5)*(AA$6-AA$5)),AA$7-SQRT((1-NORMSDIST(AA$9*SQRT($C$11)*NORMSINV($B391)+SQRT(1-AA$9^2*$C$11)*NORMSINV(Z391)))*(AA$7-AA$5)*(AA$7-AA$6))))</f>
        <v>0.731394499563585</v>
      </c>
      <c r="AB391" s="2" t="n">
        <v>0.753416735</v>
      </c>
      <c r="AC391" s="2" t="n">
        <f aca="false">IF(AC$7=AC$5,AC$6,IF(NORMSDIST(AC$9*SQRT($C$11)*NORMSINV($B391)+SQRT(1-AC$9^2*$C$11)*NORMSINV(AB391))&lt;AC$8,AC$5+SQRT(NORMSDIST(AC$9*SQRT($C$11)*NORMSINV($B391)+SQRT(1-AC$9^2*$C$11)*NORMSINV(AB391))*(AC$7-AC$5)*(AC$6-AC$5)),AC$7-SQRT((1-NORMSDIST(AC$9*SQRT($C$11)*NORMSINV($B391)+SQRT(1-AC$9^2*$C$11)*NORMSINV(AB391)))*(AC$7-AC$5)*(AC$7-AC$6))))</f>
        <v>9.76566860829234</v>
      </c>
      <c r="AD391" s="2" t="n">
        <f aca="false">Entrées!$C$8*(1+E391)</f>
        <v>7417.58057457972</v>
      </c>
      <c r="AE391" s="2" t="n">
        <f aca="false">I391*Hypothèses!$J$24/12/Hypothèses!$J$19</f>
        <v>101.810399658321</v>
      </c>
      <c r="AF391" s="2" t="n">
        <f aca="false">Entrées!$C$36*S391*1000</f>
        <v>213.52750710954</v>
      </c>
      <c r="AG391" s="2" t="n">
        <f aca="false">-AF391/W391</f>
        <v>-20.8862490582452</v>
      </c>
      <c r="AH391" s="2" t="n">
        <f aca="false">AD391+AE391+AG391</f>
        <v>7498.5047251798</v>
      </c>
      <c r="AI391" s="2" t="n">
        <f aca="false">Entrées!$C$16-M391+Hypothèses!$J$22*1000-AF391+Hypothèses!$J$23</f>
        <v>22779.9912147831</v>
      </c>
      <c r="AJ391" s="2" t="n">
        <f aca="false">AI391/AH391</f>
        <v>3.03793783556453</v>
      </c>
      <c r="AK391" s="2" t="n">
        <f aca="false">AI391/(AH391+I391*(12-Hypothèses!$J$24)/12/Hypothèses!$J$19)</f>
        <v>3.00875840891183</v>
      </c>
      <c r="AL391" s="2" t="n">
        <f aca="false">(AD391+AG391+I391/Hypothèses!$J$19)*(1+G391)</f>
        <v>8032.34336133908</v>
      </c>
      <c r="AM391" s="2" t="n">
        <f aca="false">Entrées!$C$54*K391/Hypothèses!$J$19</f>
        <v>27.4040800050232</v>
      </c>
      <c r="AN391" s="2" t="n">
        <f aca="false">Y391*1000/AC391</f>
        <v>67.583478499169</v>
      </c>
      <c r="AO391" s="2" t="n">
        <f aca="false">(Entrées!$C$36*(1-S391)+MAX(0,Entrées!$C$30-Entrées!$C$35-Entrées!$C$36)*U391)*1000</f>
        <v>1006.0031072828</v>
      </c>
      <c r="AP391" s="2" t="n">
        <f aca="false">-AO391/W391</f>
        <v>-98.4024575405081</v>
      </c>
      <c r="AQ391" s="2" t="n">
        <f aca="false">AL391+AM391+AN391+AP391</f>
        <v>8028.92846230277</v>
      </c>
      <c r="AR391" s="2" t="n">
        <f aca="false">O391*AQ391-Hypothèses!$J$25/Hypothèses!$J$19</f>
        <v>1229.05020167256</v>
      </c>
      <c r="AS391" s="2" t="n">
        <f aca="false">Entrées!$C$79*(1+Q391)+Hypothèses!$J$20</f>
        <v>1461.75756497441</v>
      </c>
      <c r="AT391" s="2" t="n">
        <f aca="false">AI391-AR391+AS391+Y391*1000-AO391+Hypothèses!$J$23</f>
        <v>22666.6933252207</v>
      </c>
      <c r="AU391" s="2" t="n">
        <f aca="false">AT391/AQ391</f>
        <v>2.82312807140391</v>
      </c>
      <c r="AV391" s="2" t="n">
        <f aca="false">Hypothèses!$J$26*AQ391-AT391</f>
        <v>1420.09206168757</v>
      </c>
      <c r="AW391" s="2" t="n">
        <f aca="false">IF(AC391&gt;Hypothèses!$J$26,MAX(0,AV391)/(1-Hypothèses!$J$26/AC391),0)</f>
        <v>2049.78240446331</v>
      </c>
      <c r="AX391" s="2" t="n">
        <f aca="false">AQ391-Entrées!$C$17*1000</f>
        <v>28.928462302767</v>
      </c>
      <c r="AY391" s="2" t="n">
        <f aca="false">AI391+(Entrées!$C$244-Entrées!$C$13)</f>
        <v>28526.9912147831</v>
      </c>
      <c r="AZ391" s="2" t="n">
        <f aca="false">AA391*AH391</f>
        <v>5484.36511094805</v>
      </c>
      <c r="BA391" s="2" t="n">
        <f aca="false">AZ391/AY391</f>
        <v>0.192251789529979</v>
      </c>
      <c r="BB391" s="2" t="n">
        <f aca="false">AZ391/(Entrées!$C$151/100)-AY391</f>
        <v>1941.70384603938</v>
      </c>
      <c r="BC391" s="2" t="n">
        <f aca="false">AT391+(Entrées!$C$244-Entrées!$C$13)</f>
        <v>28413.6933252207</v>
      </c>
      <c r="BD391" s="2" t="n">
        <f aca="false">AA391*AQ391</f>
        <v>5872.31411471776</v>
      </c>
      <c r="BE391" s="2" t="n">
        <f aca="false">BD391/BC391</f>
        <v>0.206671974934893</v>
      </c>
      <c r="BF391" s="2" t="n">
        <f aca="false">BD391/(Entrées!$C$151/100)-BC391</f>
        <v>4210.27397876679</v>
      </c>
      <c r="BG391" s="2" t="n">
        <f aca="false">MIN(AV391,BF391)</f>
        <v>1420.09206168757</v>
      </c>
      <c r="BH391" s="2" t="n">
        <f aca="false">IF(AC391&gt;Hypothèses!$J$26,MAX(0,BG391)/(1-Hypothèses!$J$26/AC391),0)</f>
        <v>2049.78240446331</v>
      </c>
    </row>
    <row r="392" customFormat="false" ht="15" hidden="false" customHeight="false" outlineLevel="0" collapsed="false">
      <c r="A392" s="2" t="n">
        <v>377</v>
      </c>
      <c r="B392" s="2" t="n">
        <v>0.127534184</v>
      </c>
      <c r="C392" s="2"/>
      <c r="D392" s="2" t="n">
        <v>0.174846501</v>
      </c>
      <c r="E392" s="2" t="n">
        <f aca="false">IF(E$7=E$5,E$6,IF(NORMSDIST(E$9*SQRT($C$11)*NORMSINV($B392)+SQRT(1-E$9^2*$C$11)*NORMSINV(D392))&lt;E$8,E$5+SQRT(NORMSDIST(E$9*SQRT($C$11)*NORMSINV($B392)+SQRT(1-E$9^2*$C$11)*NORMSINV(D392))*(E$7-E$5)*(E$6-E$5)),E$7-SQRT((1-NORMSDIST(E$9*SQRT($C$11)*NORMSINV($B392)+SQRT(1-E$9^2*$C$11)*NORMSINV(D392)))*(E$7-E$5)*(E$7-E$6))))</f>
        <v>0.0519279618007898</v>
      </c>
      <c r="F392" s="2" t="n">
        <v>0.407960039</v>
      </c>
      <c r="G392" s="2" t="n">
        <f aca="false">IF(G$7=G$5,G$6,IF(NORMSDIST(G$9*SQRT($C$11)*NORMSINV($B392)+SQRT(1-G$9^2*$C$11)*NORMSINV(F392))&lt;G$8,G$5+SQRT(NORMSDIST(G$9*SQRT($C$11)*NORMSINV($B392)+SQRT(1-G$9^2*$C$11)*NORMSINV(F392))*(G$7-G$5)*(G$6-G$5)),G$7-SQRT((1-NORMSDIST(G$9*SQRT($C$11)*NORMSINV($B392)+SQRT(1-G$9^2*$C$11)*NORMSINV(F392)))*(G$7-G$5)*(G$7-G$6))))</f>
        <v>0.0491000419272781</v>
      </c>
      <c r="H392" s="2" t="n">
        <v>0.172519344</v>
      </c>
      <c r="I392" s="2" t="n">
        <f aca="false">IF(I$7=I$5,I$6,IF(NORMSDIST(I$9*SQRT($C$11)*NORMSINV($B392)+SQRT(1-I$9^2*$C$11)*NORMSINV(H392))&lt;I$8,I$5+SQRT(NORMSDIST(I$9*SQRT($C$11)*NORMSINV($B392)+SQRT(1-I$9^2*$C$11)*NORMSINV(H392))*(I$7-I$5)*(I$6-I$5)),I$7-SQRT((1-NORMSDIST(I$9*SQRT($C$11)*NORMSINV($B392)+SQRT(1-I$9^2*$C$11)*NORMSINV(H392)))*(I$7-I$5)*(I$7-I$6))))</f>
        <v>187.660692206626</v>
      </c>
      <c r="J392" s="2" t="n">
        <v>0.393563804</v>
      </c>
      <c r="K392" s="2" t="n">
        <f aca="false">IF(K$7=K$5,K$6,IF(NORMSDIST(K$9*SQRT($C$11)*NORMSINV($B392)+SQRT(1-K$9^2*$C$11)*NORMSINV(J392))&lt;K$8,K$5+SQRT(NORMSDIST(K$9*SQRT($C$11)*NORMSINV($B392)+SQRT(1-K$9^2*$C$11)*NORMSINV(J392))*(K$7-K$5)*(K$6-K$5)),K$7-SQRT((1-NORMSDIST(K$9*SQRT($C$11)*NORMSINV($B392)+SQRT(1-K$9^2*$C$11)*NORMSINV(J392)))*(K$7-K$5)*(K$7-K$6))))</f>
        <v>0.148512555341121</v>
      </c>
      <c r="L392" s="2" t="n">
        <v>0.160416783</v>
      </c>
      <c r="M392" s="2" t="n">
        <f aca="false">IF(M$7=M$5,M$6,IF(NORMSDIST(M$9*SQRT($C$11)*NORMSINV($B392)+SQRT(1-M$9^2*$C$11)*NORMSINV(L392))&lt;M$8,M$5+SQRT(NORMSDIST(M$9*SQRT($C$11)*NORMSINV($B392)+SQRT(1-M$9^2*$C$11)*NORMSINV(L392))*(M$7-M$5)*(M$6-M$5)),M$7-SQRT((1-NORMSDIST(M$9*SQRT($C$11)*NORMSINV($B392)+SQRT(1-M$9^2*$C$11)*NORMSINV(L392)))*(M$7-M$5)*(M$7-M$6))))</f>
        <v>1407.45942884984</v>
      </c>
      <c r="N392" s="2" t="n">
        <v>0.53987396</v>
      </c>
      <c r="O392" s="2" t="n">
        <f aca="false">IF(O$7=O$5,O$6,IF(NORMSDIST(O$9*SQRT($C$11)*NORMSINV($B392)+SQRT(1-O$9^2*$C$11)*NORMSINV(N392))&lt;O$8,O$5+SQRT(NORMSDIST(O$9*SQRT($C$11)*NORMSINV($B392)+SQRT(1-O$9^2*$C$11)*NORMSINV(N392))*(O$7-O$5)*(O$6-O$5)),O$7-SQRT((1-NORMSDIST(O$9*SQRT($C$11)*NORMSINV($B392)+SQRT(1-O$9^2*$C$11)*NORMSINV(N392)))*(O$7-O$5)*(O$7-O$6))))</f>
        <v>0.159327606176897</v>
      </c>
      <c r="P392" s="2" t="n">
        <v>0.043739197</v>
      </c>
      <c r="Q392" s="2" t="n">
        <f aca="false">IF(Q$7=Q$5,Q$6,IF(NORMSDIST(Q$9*SQRT($C$11)*NORMSINV($B392)+SQRT(1-Q$9^2*$C$11)*NORMSINV(P392))&lt;Q$8,Q$5+SQRT(NORMSDIST(Q$9*SQRT($C$11)*NORMSINV($B392)+SQRT(1-Q$9^2*$C$11)*NORMSINV(P392))*(Q$7-Q$5)*(Q$6-Q$5)),Q$7-SQRT((1-NORMSDIST(Q$9*SQRT($C$11)*NORMSINV($B392)+SQRT(1-Q$9^2*$C$11)*NORMSINV(P392)))*(Q$7-Q$5)*(Q$7-Q$6))))</f>
        <v>0.0518306986437826</v>
      </c>
      <c r="R392" s="2" t="n">
        <v>0.303543734</v>
      </c>
      <c r="S392" s="2" t="n">
        <f aca="false">IF(S$7=S$5,S$6,IF(NORMSDIST(S$9*SQRT($C$11)*NORMSINV($B392)+SQRT(1-S$9^2*$C$11)*NORMSINV(R392))&lt;S$8,S$5+SQRT(NORMSDIST(S$9*SQRT($C$11)*NORMSINV($B392)+SQRT(1-S$9^2*$C$11)*NORMSINV(R392))*(S$7-S$5)*(S$6-S$5)),S$7-SQRT((1-NORMSDIST(S$9*SQRT($C$11)*NORMSINV($B392)+SQRT(1-S$9^2*$C$11)*NORMSINV(R392)))*(S$7-S$5)*(S$7-S$6))))</f>
        <v>0.256665115749825</v>
      </c>
      <c r="T392" s="2" t="n">
        <v>0.746544596</v>
      </c>
      <c r="U392" s="2" t="n">
        <f aca="false">IF(U$7=U$5,U$6,IF(NORMSDIST(U$9*SQRT($C$11)*NORMSINV($B392)+SQRT(1-U$9^2*$C$11)*NORMSINV(T392))&lt;U$8,U$5+SQRT(NORMSDIST(U$9*SQRT($C$11)*NORMSINV($B392)+SQRT(1-U$9^2*$C$11)*NORMSINV(T392))*(U$7-U$5)*(U$6-U$5)),U$7-SQRT((1-NORMSDIST(U$9*SQRT($C$11)*NORMSINV($B392)+SQRT(1-U$9^2*$C$11)*NORMSINV(T392)))*(U$7-U$5)*(U$7-U$6))))</f>
        <v>0.457435182237082</v>
      </c>
      <c r="V392" s="2" t="n">
        <v>0.428144798</v>
      </c>
      <c r="W392" s="2" t="n">
        <f aca="false">IF(W$7=W$5,W$6,IF(NORMSDIST(W$9*SQRT($C$11)*NORMSINV($B392)+SQRT(1-W$9^2*$C$11)*NORMSINV(V392))&lt;W$8,W$5+SQRT(NORMSDIST(W$9*SQRT($C$11)*NORMSINV($B392)+SQRT(1-W$9^2*$C$11)*NORMSINV(V392))*(W$7-W$5)*(W$6-W$5)),W$7-SQRT((1-NORMSDIST(W$9*SQRT($C$11)*NORMSINV($B392)+SQRT(1-W$9^2*$C$11)*NORMSINV(V392)))*(W$7-W$5)*(W$7-W$6))))</f>
        <v>9.24858026996791</v>
      </c>
      <c r="X392" s="2" t="n">
        <v>0.458015776</v>
      </c>
      <c r="Y392" s="2" t="n">
        <f aca="false">IF(Y$7=Y$5,Y$6,IF(NORMSDIST(Y$9*SQRT($C$11)*NORMSINV($B392)+SQRT(1-Y$9^2*$C$11)*NORMSINV(X392))&lt;Y$8,Y$5+SQRT(NORMSDIST(Y$9*SQRT($C$11)*NORMSINV($B392)+SQRT(1-Y$9^2*$C$11)*NORMSINV(X392))*(Y$7-Y$5)*(Y$6-Y$5)),Y$7-SQRT((1-NORMSDIST(Y$9*SQRT($C$11)*NORMSINV($B392)+SQRT(1-Y$9^2*$C$11)*NORMSINV(X392)))*(Y$7-Y$5)*(Y$7-Y$6))))</f>
        <v>0.478547686234089</v>
      </c>
      <c r="Z392" s="2" t="n">
        <v>0.551532843</v>
      </c>
      <c r="AA392" s="2" t="n">
        <f aca="false">IF(AA$7=AA$5,AA$6,IF(NORMSDIST(AA$9*SQRT($C$11)*NORMSINV($B392)+SQRT(1-AA$9^2*$C$11)*NORMSINV(Z392))&lt;AA$8,AA$5+SQRT(NORMSDIST(AA$9*SQRT($C$11)*NORMSINV($B392)+SQRT(1-AA$9^2*$C$11)*NORMSINV(Z392))*(AA$7-AA$5)*(AA$6-AA$5)),AA$7-SQRT((1-NORMSDIST(AA$9*SQRT($C$11)*NORMSINV($B392)+SQRT(1-AA$9^2*$C$11)*NORMSINV(Z392)))*(AA$7-AA$5)*(AA$7-AA$6))))</f>
        <v>0.719274196075947</v>
      </c>
      <c r="AB392" s="2" t="n">
        <v>0.829542389</v>
      </c>
      <c r="AC392" s="2" t="n">
        <f aca="false">IF(AC$7=AC$5,AC$6,IF(NORMSDIST(AC$9*SQRT($C$11)*NORMSINV($B392)+SQRT(1-AC$9^2*$C$11)*NORMSINV(AB392))&lt;AC$8,AC$5+SQRT(NORMSDIST(AC$9*SQRT($C$11)*NORMSINV($B392)+SQRT(1-AC$9^2*$C$11)*NORMSINV(AB392))*(AC$7-AC$5)*(AC$6-AC$5)),AC$7-SQRT((1-NORMSDIST(AC$9*SQRT($C$11)*NORMSINV($B392)+SQRT(1-AC$9^2*$C$11)*NORMSINV(AB392)))*(AC$7-AC$5)*(AC$7-AC$6))))</f>
        <v>9.49323381600827</v>
      </c>
      <c r="AD392" s="2" t="n">
        <f aca="false">Entrées!$C$8*(1+E392)</f>
        <v>7416.09213069557</v>
      </c>
      <c r="AE392" s="2" t="n">
        <f aca="false">I392*Hypothèses!$J$24/12/Hypothèses!$J$19</f>
        <v>93.0978687722957</v>
      </c>
      <c r="AF392" s="2" t="n">
        <f aca="false">Entrées!$C$36*S392*1000</f>
        <v>128.332557874912</v>
      </c>
      <c r="AG392" s="2" t="n">
        <f aca="false">-AF392/W392</f>
        <v>-13.8759197767505</v>
      </c>
      <c r="AH392" s="2" t="n">
        <f aca="false">AD392+AE392+AG392</f>
        <v>7495.31407969111</v>
      </c>
      <c r="AI392" s="2" t="n">
        <f aca="false">Entrées!$C$16-M392+Hypothèses!$J$22*1000-AF392+Hypothèses!$J$23</f>
        <v>23012.2080132753</v>
      </c>
      <c r="AJ392" s="2" t="n">
        <f aca="false">AI392/AH392</f>
        <v>3.07021263800377</v>
      </c>
      <c r="AK392" s="2" t="n">
        <f aca="false">AI392/(AH392+I392*(12-Hypothèses!$J$24)/12/Hypothèses!$J$19)</f>
        <v>3.04321322945241</v>
      </c>
      <c r="AL392" s="2" t="n">
        <f aca="false">(AD392+AG392+I392/Hypothèses!$J$19)*(1+G392)</f>
        <v>7933.09787099946</v>
      </c>
      <c r="AM392" s="2" t="n">
        <f aca="false">Entrées!$C$54*K392/Hypothèses!$J$19</f>
        <v>15.1563298364856</v>
      </c>
      <c r="AN392" s="2" t="n">
        <f aca="false">Y392*1000/AC392</f>
        <v>50.4093436977316</v>
      </c>
      <c r="AO392" s="2" t="n">
        <f aca="false">(Entrées!$C$36*(1-S392)+MAX(0,Entrées!$C$30-Entrées!$C$35-Entrées!$C$36)*U392)*1000</f>
        <v>1012.076697257</v>
      </c>
      <c r="AP392" s="2" t="n">
        <f aca="false">-AO392/W392</f>
        <v>-109.430492866395</v>
      </c>
      <c r="AQ392" s="2" t="n">
        <f aca="false">AL392+AM392+AN392+AP392</f>
        <v>7889.23305166729</v>
      </c>
      <c r="AR392" s="2" t="n">
        <f aca="false">O392*AQ392-Hypothèses!$J$25/Hypothèses!$J$19</f>
        <v>1237.83745443218</v>
      </c>
      <c r="AS392" s="2" t="n">
        <f aca="false">Entrées!$C$79*(1+Q392)+Hypothèses!$J$20</f>
        <v>1450.96193780952</v>
      </c>
      <c r="AT392" s="2" t="n">
        <f aca="false">AI392-AR392+AS392+Y392*1000-AO392+Hypothèses!$J$23</f>
        <v>22691.8034856297</v>
      </c>
      <c r="AU392" s="2" t="n">
        <f aca="false">AT392/AQ392</f>
        <v>2.87630031170572</v>
      </c>
      <c r="AV392" s="2" t="n">
        <f aca="false">Hypothèses!$J$26*AQ392-AT392</f>
        <v>975.895669372188</v>
      </c>
      <c r="AW392" s="2" t="n">
        <f aca="false">IF(AC392&gt;Hypothèses!$J$26,MAX(0,AV392)/(1-Hypothèses!$J$26/AC392),0)</f>
        <v>1426.77840224078</v>
      </c>
      <c r="AX392" s="2" t="n">
        <f aca="false">AQ392-Entrées!$C$17*1000</f>
        <v>-110.766948332714</v>
      </c>
      <c r="AY392" s="2" t="n">
        <f aca="false">AI392+(Entrées!$C$244-Entrées!$C$13)</f>
        <v>28759.2080132753</v>
      </c>
      <c r="AZ392" s="2" t="n">
        <f aca="false">AA392*AH392</f>
        <v>5391.18600900656</v>
      </c>
      <c r="BA392" s="2" t="n">
        <f aca="false">AZ392/AY392</f>
        <v>0.18745947407585</v>
      </c>
      <c r="BB392" s="2" t="n">
        <f aca="false">AZ392/(Entrées!$C$151/100)-AY392</f>
        <v>1191.8253700945</v>
      </c>
      <c r="BC392" s="2" t="n">
        <f aca="false">AT392+(Entrées!$C$244-Entrées!$C$13)</f>
        <v>28438.8034856297</v>
      </c>
      <c r="BD392" s="2" t="n">
        <f aca="false">AA392*AQ392</f>
        <v>5674.52176089378</v>
      </c>
      <c r="BE392" s="2" t="n">
        <f aca="false">BD392/BC392</f>
        <v>0.199534476327781</v>
      </c>
      <c r="BF392" s="2" t="n">
        <f aca="false">BD392/(Entrées!$C$151/100)-BC392</f>
        <v>3086.31740822467</v>
      </c>
      <c r="BG392" s="2" t="n">
        <f aca="false">MIN(AV392,BF392)</f>
        <v>975.895669372188</v>
      </c>
      <c r="BH392" s="2" t="n">
        <f aca="false">IF(AC392&gt;Hypothèses!$J$26,MAX(0,BG392)/(1-Hypothèses!$J$26/AC392),0)</f>
        <v>1426.77840224078</v>
      </c>
    </row>
    <row r="393" customFormat="false" ht="15" hidden="false" customHeight="false" outlineLevel="0" collapsed="false">
      <c r="A393" s="2" t="n">
        <v>378</v>
      </c>
      <c r="B393" s="2" t="n">
        <v>0.911044979</v>
      </c>
      <c r="C393" s="2"/>
      <c r="D393" s="2" t="n">
        <v>0.11490552</v>
      </c>
      <c r="E393" s="2" t="n">
        <f aca="false">IF(E$7=E$5,E$6,IF(NORMSDIST(E$9*SQRT($C$11)*NORMSINV($B393)+SQRT(1-E$9^2*$C$11)*NORMSINV(D393))&lt;E$8,E$5+SQRT(NORMSDIST(E$9*SQRT($C$11)*NORMSINV($B393)+SQRT(1-E$9^2*$C$11)*NORMSINV(D393))*(E$7-E$5)*(E$6-E$5)),E$7-SQRT((1-NORMSDIST(E$9*SQRT($C$11)*NORMSINV($B393)+SQRT(1-E$9^2*$C$11)*NORMSINV(D393)))*(E$7-E$5)*(E$7-E$6))))</f>
        <v>0.0548418386178717</v>
      </c>
      <c r="F393" s="2" t="n">
        <v>0.071908253</v>
      </c>
      <c r="G393" s="2" t="n">
        <f aca="false">IF(G$7=G$5,G$6,IF(NORMSDIST(G$9*SQRT($C$11)*NORMSINV($B393)+SQRT(1-G$9^2*$C$11)*NORMSINV(F393))&lt;G$8,G$5+SQRT(NORMSDIST(G$9*SQRT($C$11)*NORMSINV($B393)+SQRT(1-G$9^2*$C$11)*NORMSINV(F393))*(G$7-G$5)*(G$6-G$5)),G$7-SQRT((1-NORMSDIST(G$9*SQRT($C$11)*NORMSINV($B393)+SQRT(1-G$9^2*$C$11)*NORMSINV(F393)))*(G$7-G$5)*(G$7-G$6))))</f>
        <v>0.0532419516132227</v>
      </c>
      <c r="H393" s="2" t="n">
        <v>0.718142419</v>
      </c>
      <c r="I393" s="2" t="n">
        <f aca="false">IF(I$7=I$5,I$6,IF(NORMSDIST(I$9*SQRT($C$11)*NORMSINV($B393)+SQRT(1-I$9^2*$C$11)*NORMSINV(H393))&lt;I$8,I$5+SQRT(NORMSDIST(I$9*SQRT($C$11)*NORMSINV($B393)+SQRT(1-I$9^2*$C$11)*NORMSINV(H393))*(I$7-I$5)*(I$6-I$5)),I$7-SQRT((1-NORMSDIST(I$9*SQRT($C$11)*NORMSINV($B393)+SQRT(1-I$9^2*$C$11)*NORMSINV(H393)))*(I$7-I$5)*(I$7-I$6))))</f>
        <v>211.194173511953</v>
      </c>
      <c r="J393" s="2" t="n">
        <v>0.828521678</v>
      </c>
      <c r="K393" s="2" t="n">
        <f aca="false">IF(K$7=K$5,K$6,IF(NORMSDIST(K$9*SQRT($C$11)*NORMSINV($B393)+SQRT(1-K$9^2*$C$11)*NORMSINV(J393))&lt;K$8,K$5+SQRT(NORMSDIST(K$9*SQRT($C$11)*NORMSINV($B393)+SQRT(1-K$9^2*$C$11)*NORMSINV(J393))*(K$7-K$5)*(K$6-K$5)),K$7-SQRT((1-NORMSDIST(K$9*SQRT($C$11)*NORMSINV($B393)+SQRT(1-K$9^2*$C$11)*NORMSINV(J393)))*(K$7-K$5)*(K$7-K$6))))</f>
        <v>0.41611202024865</v>
      </c>
      <c r="L393" s="2" t="n">
        <v>0.873656364</v>
      </c>
      <c r="M393" s="2" t="n">
        <f aca="false">IF(M$7=M$5,M$6,IF(NORMSDIST(M$9*SQRT($C$11)*NORMSINV($B393)+SQRT(1-M$9^2*$C$11)*NORMSINV(L393))&lt;M$8,M$5+SQRT(NORMSDIST(M$9*SQRT($C$11)*NORMSINV($B393)+SQRT(1-M$9^2*$C$11)*NORMSINV(L393))*(M$7-M$5)*(M$6-M$5)),M$7-SQRT((1-NORMSDIST(M$9*SQRT($C$11)*NORMSINV($B393)+SQRT(1-M$9^2*$C$11)*NORMSINV(L393)))*(M$7-M$5)*(M$7-M$6))))</f>
        <v>1734.69997922915</v>
      </c>
      <c r="N393" s="2" t="n">
        <v>0.177105688</v>
      </c>
      <c r="O393" s="2" t="n">
        <f aca="false">IF(O$7=O$5,O$6,IF(NORMSDIST(O$9*SQRT($C$11)*NORMSINV($B393)+SQRT(1-O$9^2*$C$11)*NORMSINV(N393))&lt;O$8,O$5+SQRT(NORMSDIST(O$9*SQRT($C$11)*NORMSINV($B393)+SQRT(1-O$9^2*$C$11)*NORMSINV(N393))*(O$7-O$5)*(O$6-O$5)),O$7-SQRT((1-NORMSDIST(O$9*SQRT($C$11)*NORMSINV($B393)+SQRT(1-O$9^2*$C$11)*NORMSINV(N393)))*(O$7-O$5)*(O$7-O$6))))</f>
        <v>0.168180250986276</v>
      </c>
      <c r="P393" s="2" t="n">
        <v>0.294358385</v>
      </c>
      <c r="Q393" s="2" t="n">
        <f aca="false">IF(Q$7=Q$5,Q$6,IF(NORMSDIST(Q$9*SQRT($C$11)*NORMSINV($B393)+SQRT(1-Q$9^2*$C$11)*NORMSINV(P393))&lt;Q$8,Q$5+SQRT(NORMSDIST(Q$9*SQRT($C$11)*NORMSINV($B393)+SQRT(1-Q$9^2*$C$11)*NORMSINV(P393))*(Q$7-Q$5)*(Q$6-Q$5)),Q$7-SQRT((1-NORMSDIST(Q$9*SQRT($C$11)*NORMSINV($B393)+SQRT(1-Q$9^2*$C$11)*NORMSINV(P393)))*(Q$7-Q$5)*(Q$7-Q$6))))</f>
        <v>0.0706911523406991</v>
      </c>
      <c r="R393" s="2" t="n">
        <v>0.047682138</v>
      </c>
      <c r="S393" s="2" t="n">
        <f aca="false">IF(S$7=S$5,S$6,IF(NORMSDIST(S$9*SQRT($C$11)*NORMSINV($B393)+SQRT(1-S$9^2*$C$11)*NORMSINV(R393))&lt;S$8,S$5+SQRT(NORMSDIST(S$9*SQRT($C$11)*NORMSINV($B393)+SQRT(1-S$9^2*$C$11)*NORMSINV(R393))*(S$7-S$5)*(S$6-S$5)),S$7-SQRT((1-NORMSDIST(S$9*SQRT($C$11)*NORMSINV($B393)+SQRT(1-S$9^2*$C$11)*NORMSINV(R393)))*(S$7-S$5)*(S$7-S$6))))</f>
        <v>0.406231069232538</v>
      </c>
      <c r="T393" s="2" t="n">
        <v>0.409691849</v>
      </c>
      <c r="U393" s="2" t="n">
        <f aca="false">IF(U$7=U$5,U$6,IF(NORMSDIST(U$9*SQRT($C$11)*NORMSINV($B393)+SQRT(1-U$9^2*$C$11)*NORMSINV(T393))&lt;U$8,U$5+SQRT(NORMSDIST(U$9*SQRT($C$11)*NORMSINV($B393)+SQRT(1-U$9^2*$C$11)*NORMSINV(T393))*(U$7-U$5)*(U$6-U$5)),U$7-SQRT((1-NORMSDIST(U$9*SQRT($C$11)*NORMSINV($B393)+SQRT(1-U$9^2*$C$11)*NORMSINV(T393)))*(U$7-U$5)*(U$7-U$6))))</f>
        <v>0.646603014650926</v>
      </c>
      <c r="V393" s="2" t="n">
        <v>0.024859481</v>
      </c>
      <c r="W393" s="2" t="n">
        <f aca="false">IF(W$7=W$5,W$6,IF(NORMSDIST(W$9*SQRT($C$11)*NORMSINV($B393)+SQRT(1-W$9^2*$C$11)*NORMSINV(V393))&lt;W$8,W$5+SQRT(NORMSDIST(W$9*SQRT($C$11)*NORMSINV($B393)+SQRT(1-W$9^2*$C$11)*NORMSINV(V393))*(W$7-W$5)*(W$6-W$5)),W$7-SQRT((1-NORMSDIST(W$9*SQRT($C$11)*NORMSINV($B393)+SQRT(1-W$9^2*$C$11)*NORMSINV(V393)))*(W$7-W$5)*(W$7-W$6))))</f>
        <v>9.42005371702554</v>
      </c>
      <c r="X393" s="2" t="n">
        <v>0.44845914</v>
      </c>
      <c r="Y393" s="2" t="n">
        <f aca="false">IF(Y$7=Y$5,Y$6,IF(NORMSDIST(Y$9*SQRT($C$11)*NORMSINV($B393)+SQRT(1-Y$9^2*$C$11)*NORMSINV(X393))&lt;Y$8,Y$5+SQRT(NORMSDIST(Y$9*SQRT($C$11)*NORMSINV($B393)+SQRT(1-Y$9^2*$C$11)*NORMSINV(X393))*(Y$7-Y$5)*(Y$6-Y$5)),Y$7-SQRT((1-NORMSDIST(Y$9*SQRT($C$11)*NORMSINV($B393)+SQRT(1-Y$9^2*$C$11)*NORMSINV(X393)))*(Y$7-Y$5)*(Y$7-Y$6))))</f>
        <v>0.473528848118042</v>
      </c>
      <c r="Z393" s="2" t="n">
        <v>0.552479246</v>
      </c>
      <c r="AA393" s="2" t="n">
        <f aca="false">IF(AA$7=AA$5,AA$6,IF(NORMSDIST(AA$9*SQRT($C$11)*NORMSINV($B393)+SQRT(1-AA$9^2*$C$11)*NORMSINV(Z393))&lt;AA$8,AA$5+SQRT(NORMSDIST(AA$9*SQRT($C$11)*NORMSINV($B393)+SQRT(1-AA$9^2*$C$11)*NORMSINV(Z393))*(AA$7-AA$5)*(AA$6-AA$5)),AA$7-SQRT((1-NORMSDIST(AA$9*SQRT($C$11)*NORMSINV($B393)+SQRT(1-AA$9^2*$C$11)*NORMSINV(Z393)))*(AA$7-AA$5)*(AA$7-AA$6))))</f>
        <v>0.739089274788074</v>
      </c>
      <c r="AB393" s="2" t="n">
        <v>0.584834792</v>
      </c>
      <c r="AC393" s="2" t="n">
        <f aca="false">IF(AC$7=AC$5,AC$6,IF(NORMSDIST(AC$9*SQRT($C$11)*NORMSINV($B393)+SQRT(1-AC$9^2*$C$11)*NORMSINV(AB393))&lt;AC$8,AC$5+SQRT(NORMSDIST(AC$9*SQRT($C$11)*NORMSINV($B393)+SQRT(1-AC$9^2*$C$11)*NORMSINV(AB393))*(AC$7-AC$5)*(AC$6-AC$5)),AC$7-SQRT((1-NORMSDIST(AC$9*SQRT($C$11)*NORMSINV($B393)+SQRT(1-AC$9^2*$C$11)*NORMSINV(AB393)))*(AC$7-AC$5)*(AC$7-AC$6))))</f>
        <v>10.1834774133506</v>
      </c>
      <c r="AD393" s="2" t="n">
        <f aca="false">Entrées!$C$8*(1+E393)</f>
        <v>7436.634962256</v>
      </c>
      <c r="AE393" s="2" t="n">
        <f aca="false">I393*Hypothèses!$J$24/12/Hypothèses!$J$19</f>
        <v>104.772753526031</v>
      </c>
      <c r="AF393" s="2" t="n">
        <f aca="false">Entrées!$C$36*S393*1000</f>
        <v>203.115534616269</v>
      </c>
      <c r="AG393" s="2" t="n">
        <f aca="false">-AF393/W393</f>
        <v>-21.5620357078393</v>
      </c>
      <c r="AH393" s="2" t="n">
        <f aca="false">AD393+AE393+AG393</f>
        <v>7519.84568007419</v>
      </c>
      <c r="AI393" s="2" t="n">
        <f aca="false">Entrées!$C$16-M393+Hypothèses!$J$22*1000-AF393+Hypothèses!$J$23</f>
        <v>22610.1844861546</v>
      </c>
      <c r="AJ393" s="2" t="n">
        <f aca="false">AI393/AH393</f>
        <v>3.00673517091796</v>
      </c>
      <c r="AK393" s="2" t="n">
        <f aca="false">AI393/(AH393+I393*(12-Hypothèses!$J$24)/12/Hypothèses!$J$19)</f>
        <v>2.97710693269622</v>
      </c>
      <c r="AL393" s="2" t="n">
        <f aca="false">(AD393+AG393+I393/Hypothèses!$J$19)*(1+G393)</f>
        <v>7999.03912519706</v>
      </c>
      <c r="AM393" s="2" t="n">
        <f aca="false">Entrées!$C$54*K393/Hypothèses!$J$19</f>
        <v>42.4659788078449</v>
      </c>
      <c r="AN393" s="2" t="n">
        <f aca="false">Y393*1000/AC393</f>
        <v>46.4997199775044</v>
      </c>
      <c r="AO393" s="2" t="n">
        <f aca="false">(Entrées!$C$36*(1-S393)+MAX(0,Entrées!$C$30-Entrées!$C$35-Entrées!$C$36)*U393)*1000</f>
        <v>1202.12868589503</v>
      </c>
      <c r="AP393" s="2" t="n">
        <f aca="false">-AO393/W393</f>
        <v>-127.61378246945</v>
      </c>
      <c r="AQ393" s="2" t="n">
        <f aca="false">AL393+AM393+AN393+AP393</f>
        <v>7960.39104151296</v>
      </c>
      <c r="AR393" s="2" t="n">
        <f aca="false">O393*AQ393-Hypothèses!$J$25/Hypothèses!$J$19</f>
        <v>1319.64540104892</v>
      </c>
      <c r="AS393" s="2" t="n">
        <f aca="false">Entrées!$C$79*(1+Q393)+Hypothèses!$J$20</f>
        <v>1471.68957642243</v>
      </c>
      <c r="AT393" s="2" t="n">
        <f aca="false">AI393-AR393+AS393+Y393*1000-AO393+Hypothèses!$J$23</f>
        <v>22033.6288237511</v>
      </c>
      <c r="AU393" s="2" t="n">
        <f aca="false">AT393/AQ393</f>
        <v>2.7679078463416</v>
      </c>
      <c r="AV393" s="2" t="n">
        <f aca="false">Hypothèses!$J$26*AQ393-AT393</f>
        <v>1847.54430078778</v>
      </c>
      <c r="AW393" s="2" t="n">
        <f aca="false">IF(AC393&gt;Hypothèses!$J$26,MAX(0,AV393)/(1-Hypothèses!$J$26/AC393),0)</f>
        <v>2619.12505248087</v>
      </c>
      <c r="AX393" s="2" t="n">
        <f aca="false">AQ393-Entrées!$C$17*1000</f>
        <v>-39.6089584870379</v>
      </c>
      <c r="AY393" s="2" t="n">
        <f aca="false">AI393+(Entrées!$C$244-Entrées!$C$13)</f>
        <v>28357.1844861546</v>
      </c>
      <c r="AZ393" s="2" t="n">
        <f aca="false">AA393*AH393</f>
        <v>5557.83729020427</v>
      </c>
      <c r="BA393" s="2" t="n">
        <f aca="false">AZ393/AY393</f>
        <v>0.1959939743989</v>
      </c>
      <c r="BB393" s="2" t="n">
        <f aca="false">AZ393/(Entrées!$C$151/100)-AY393</f>
        <v>2519.68934831356</v>
      </c>
      <c r="BC393" s="2" t="n">
        <f aca="false">AT393+(Entrées!$C$244-Entrées!$C$13)</f>
        <v>27780.6288237511</v>
      </c>
      <c r="BD393" s="2" t="n">
        <f aca="false">AA393*AQ393</f>
        <v>5883.4396419013</v>
      </c>
      <c r="BE393" s="2" t="n">
        <f aca="false">BD393/BC393</f>
        <v>0.21178209029132</v>
      </c>
      <c r="BF393" s="2" t="n">
        <f aca="false">BD393/(Entrées!$C$151/100)-BC393</f>
        <v>4905.14696458945</v>
      </c>
      <c r="BG393" s="2" t="n">
        <f aca="false">MIN(AV393,BF393)</f>
        <v>1847.54430078778</v>
      </c>
      <c r="BH393" s="2" t="n">
        <f aca="false">IF(AC393&gt;Hypothèses!$J$26,MAX(0,BG393)/(1-Hypothèses!$J$26/AC393),0)</f>
        <v>2619.12505248087</v>
      </c>
    </row>
    <row r="394" customFormat="false" ht="15" hidden="false" customHeight="false" outlineLevel="0" collapsed="false">
      <c r="A394" s="2" t="n">
        <v>379</v>
      </c>
      <c r="B394" s="2" t="n">
        <v>0.211334888</v>
      </c>
      <c r="C394" s="2"/>
      <c r="D394" s="2" t="n">
        <v>0.611756215</v>
      </c>
      <c r="E394" s="2" t="n">
        <f aca="false">IF(E$7=E$5,E$6,IF(NORMSDIST(E$9*SQRT($C$11)*NORMSINV($B394)+SQRT(1-E$9^2*$C$11)*NORMSINV(D394))&lt;E$8,E$5+SQRT(NORMSDIST(E$9*SQRT($C$11)*NORMSINV($B394)+SQRT(1-E$9^2*$C$11)*NORMSINV(D394))*(E$7-E$5)*(E$6-E$5)),E$7-SQRT((1-NORMSDIST(E$9*SQRT($C$11)*NORMSINV($B394)+SQRT(1-E$9^2*$C$11)*NORMSINV(D394)))*(E$7-E$5)*(E$7-E$6))))</f>
        <v>0.0543987601530413</v>
      </c>
      <c r="F394" s="2" t="n">
        <v>0.71207111</v>
      </c>
      <c r="G394" s="2" t="n">
        <f aca="false">IF(G$7=G$5,G$6,IF(NORMSDIST(G$9*SQRT($C$11)*NORMSINV($B394)+SQRT(1-G$9^2*$C$11)*NORMSINV(F394))&lt;G$8,G$5+SQRT(NORMSDIST(G$9*SQRT($C$11)*NORMSINV($B394)+SQRT(1-G$9^2*$C$11)*NORMSINV(F394))*(G$7-G$5)*(G$6-G$5)),G$7-SQRT((1-NORMSDIST(G$9*SQRT($C$11)*NORMSINV($B394)+SQRT(1-G$9^2*$C$11)*NORMSINV(F394)))*(G$7-G$5)*(G$7-G$6))))</f>
        <v>0.0545523478719902</v>
      </c>
      <c r="H394" s="2" t="n">
        <v>0.055714652</v>
      </c>
      <c r="I394" s="2" t="n">
        <f aca="false">IF(I$7=I$5,I$6,IF(NORMSDIST(I$9*SQRT($C$11)*NORMSINV($B394)+SQRT(1-I$9^2*$C$11)*NORMSINV(H394))&lt;I$8,I$5+SQRT(NORMSDIST(I$9*SQRT($C$11)*NORMSINV($B394)+SQRT(1-I$9^2*$C$11)*NORMSINV(H394))*(I$7-I$5)*(I$6-I$5)),I$7-SQRT((1-NORMSDIST(I$9*SQRT($C$11)*NORMSINV($B394)+SQRT(1-I$9^2*$C$11)*NORMSINV(H394)))*(I$7-I$5)*(I$7-I$6))))</f>
        <v>185.72155373506</v>
      </c>
      <c r="J394" s="2" t="n">
        <v>0.01648084</v>
      </c>
      <c r="K394" s="2" t="n">
        <f aca="false">IF(K$7=K$5,K$6,IF(NORMSDIST(K$9*SQRT($C$11)*NORMSINV($B394)+SQRT(1-K$9^2*$C$11)*NORMSINV(J394))&lt;K$8,K$5+SQRT(NORMSDIST(K$9*SQRT($C$11)*NORMSINV($B394)+SQRT(1-K$9^2*$C$11)*NORMSINV(J394))*(K$7-K$5)*(K$6-K$5)),K$7-SQRT((1-NORMSDIST(K$9*SQRT($C$11)*NORMSINV($B394)+SQRT(1-K$9^2*$C$11)*NORMSINV(J394)))*(K$7-K$5)*(K$7-K$6))))</f>
        <v>0.0439123306430461</v>
      </c>
      <c r="L394" s="2" t="n">
        <v>0.41359436</v>
      </c>
      <c r="M394" s="2" t="n">
        <f aca="false">IF(M$7=M$5,M$6,IF(NORMSDIST(M$9*SQRT($C$11)*NORMSINV($B394)+SQRT(1-M$9^2*$C$11)*NORMSINV(L394))&lt;M$8,M$5+SQRT(NORMSDIST(M$9*SQRT($C$11)*NORMSINV($B394)+SQRT(1-M$9^2*$C$11)*NORMSINV(L394))*(M$7-M$5)*(M$6-M$5)),M$7-SQRT((1-NORMSDIST(M$9*SQRT($C$11)*NORMSINV($B394)+SQRT(1-M$9^2*$C$11)*NORMSINV(L394)))*(M$7-M$5)*(M$7-M$6))))</f>
        <v>1502.49374603832</v>
      </c>
      <c r="N394" s="2" t="n">
        <v>0.64879754</v>
      </c>
      <c r="O394" s="2" t="n">
        <f aca="false">IF(O$7=O$5,O$6,IF(NORMSDIST(O$9*SQRT($C$11)*NORMSINV($B394)+SQRT(1-O$9^2*$C$11)*NORMSINV(N394))&lt;O$8,O$5+SQRT(NORMSDIST(O$9*SQRT($C$11)*NORMSINV($B394)+SQRT(1-O$9^2*$C$11)*NORMSINV(N394))*(O$7-O$5)*(O$6-O$5)),O$7-SQRT((1-NORMSDIST(O$9*SQRT($C$11)*NORMSINV($B394)+SQRT(1-O$9^2*$C$11)*NORMSINV(N394)))*(O$7-O$5)*(O$7-O$6))))</f>
        <v>0.164442560551982</v>
      </c>
      <c r="P394" s="2" t="n">
        <v>0.789569939</v>
      </c>
      <c r="Q394" s="2" t="n">
        <f aca="false">IF(Q$7=Q$5,Q$6,IF(NORMSDIST(Q$9*SQRT($C$11)*NORMSINV($B394)+SQRT(1-Q$9^2*$C$11)*NORMSINV(P394))&lt;Q$8,Q$5+SQRT(NORMSDIST(Q$9*SQRT($C$11)*NORMSINV($B394)+SQRT(1-Q$9^2*$C$11)*NORMSINV(P394))*(Q$7-Q$5)*(Q$6-Q$5)),Q$7-SQRT((1-NORMSDIST(Q$9*SQRT($C$11)*NORMSINV($B394)+SQRT(1-Q$9^2*$C$11)*NORMSINV(P394)))*(Q$7-Q$5)*(Q$7-Q$6))))</f>
        <v>0.0940505068411732</v>
      </c>
      <c r="R394" s="2" t="n">
        <v>0.444765716</v>
      </c>
      <c r="S394" s="2" t="n">
        <f aca="false">IF(S$7=S$5,S$6,IF(NORMSDIST(S$9*SQRT($C$11)*NORMSINV($B394)+SQRT(1-S$9^2*$C$11)*NORMSINV(R394))&lt;S$8,S$5+SQRT(NORMSDIST(S$9*SQRT($C$11)*NORMSINV($B394)+SQRT(1-S$9^2*$C$11)*NORMSINV(R394))*(S$7-S$5)*(S$6-S$5)),S$7-SQRT((1-NORMSDIST(S$9*SQRT($C$11)*NORMSINV($B394)+SQRT(1-S$9^2*$C$11)*NORMSINV(R394)))*(S$7-S$5)*(S$7-S$6))))</f>
        <v>0.367000981069322</v>
      </c>
      <c r="T394" s="2" t="n">
        <v>0.236456923</v>
      </c>
      <c r="U394" s="2" t="n">
        <f aca="false">IF(U$7=U$5,U$6,IF(NORMSDIST(U$9*SQRT($C$11)*NORMSINV($B394)+SQRT(1-U$9^2*$C$11)*NORMSINV(T394))&lt;U$8,U$5+SQRT(NORMSDIST(U$9*SQRT($C$11)*NORMSINV($B394)+SQRT(1-U$9^2*$C$11)*NORMSINV(T394))*(U$7-U$5)*(U$6-U$5)),U$7-SQRT((1-NORMSDIST(U$9*SQRT($C$11)*NORMSINV($B394)+SQRT(1-U$9^2*$C$11)*NORMSINV(T394)))*(U$7-U$5)*(U$7-U$6))))</f>
        <v>0.268212745306308</v>
      </c>
      <c r="V394" s="2" t="n">
        <v>0.409687457</v>
      </c>
      <c r="W394" s="2" t="n">
        <f aca="false">IF(W$7=W$5,W$6,IF(NORMSDIST(W$9*SQRT($C$11)*NORMSINV($B394)+SQRT(1-W$9^2*$C$11)*NORMSINV(V394))&lt;W$8,W$5+SQRT(NORMSDIST(W$9*SQRT($C$11)*NORMSINV($B394)+SQRT(1-W$9^2*$C$11)*NORMSINV(V394))*(W$7-W$5)*(W$6-W$5)),W$7-SQRT((1-NORMSDIST(W$9*SQRT($C$11)*NORMSINV($B394)+SQRT(1-W$9^2*$C$11)*NORMSINV(V394)))*(W$7-W$5)*(W$7-W$6))))</f>
        <v>9.40568528922549</v>
      </c>
      <c r="X394" s="2" t="n">
        <v>0.239814785</v>
      </c>
      <c r="Y394" s="2" t="n">
        <f aca="false">IF(Y$7=Y$5,Y$6,IF(NORMSDIST(Y$9*SQRT($C$11)*NORMSINV($B394)+SQRT(1-Y$9^2*$C$11)*NORMSINV(X394))&lt;Y$8,Y$5+SQRT(NORMSDIST(Y$9*SQRT($C$11)*NORMSINV($B394)+SQRT(1-Y$9^2*$C$11)*NORMSINV(X394))*(Y$7-Y$5)*(Y$6-Y$5)),Y$7-SQRT((1-NORMSDIST(Y$9*SQRT($C$11)*NORMSINV($B394)+SQRT(1-Y$9^2*$C$11)*NORMSINV(X394)))*(Y$7-Y$5)*(Y$7-Y$6))))</f>
        <v>0.346276468302425</v>
      </c>
      <c r="Z394" s="2" t="n">
        <v>0.088417805</v>
      </c>
      <c r="AA394" s="2" t="n">
        <f aca="false">IF(AA$7=AA$5,AA$6,IF(NORMSDIST(AA$9*SQRT($C$11)*NORMSINV($B394)+SQRT(1-AA$9^2*$C$11)*NORMSINV(Z394))&lt;AA$8,AA$5+SQRT(NORMSDIST(AA$9*SQRT($C$11)*NORMSINV($B394)+SQRT(1-AA$9^2*$C$11)*NORMSINV(Z394))*(AA$7-AA$5)*(AA$6-AA$5)),AA$7-SQRT((1-NORMSDIST(AA$9*SQRT($C$11)*NORMSINV($B394)+SQRT(1-AA$9^2*$C$11)*NORMSINV(Z394)))*(AA$7-AA$5)*(AA$7-AA$6))))</f>
        <v>0.706675162895932</v>
      </c>
      <c r="AB394" s="2" t="n">
        <v>0.664787668</v>
      </c>
      <c r="AC394" s="2" t="n">
        <f aca="false">IF(AC$7=AC$5,AC$6,IF(NORMSDIST(AC$9*SQRT($C$11)*NORMSINV($B394)+SQRT(1-AC$9^2*$C$11)*NORMSINV(AB394))&lt;AC$8,AC$5+SQRT(NORMSDIST(AC$9*SQRT($C$11)*NORMSINV($B394)+SQRT(1-AC$9^2*$C$11)*NORMSINV(AB394))*(AC$7-AC$5)*(AC$6-AC$5)),AC$7-SQRT((1-NORMSDIST(AC$9*SQRT($C$11)*NORMSINV($B394)+SQRT(1-AC$9^2*$C$11)*NORMSINV(AB394)))*(AC$7-AC$5)*(AC$7-AC$6))))</f>
        <v>9.32652919176167</v>
      </c>
      <c r="AD394" s="2" t="n">
        <f aca="false">Entrées!$C$8*(1+E394)</f>
        <v>7433.51125907894</v>
      </c>
      <c r="AE394" s="2" t="n">
        <f aca="false">I394*Hypothèses!$J$24/12/Hypothèses!$J$19</f>
        <v>92.1358683830059</v>
      </c>
      <c r="AF394" s="2" t="n">
        <f aca="false">Entrées!$C$36*S394*1000</f>
        <v>183.500490534661</v>
      </c>
      <c r="AG394" s="2" t="n">
        <f aca="false">-AF394/W394</f>
        <v>-19.5095290658796</v>
      </c>
      <c r="AH394" s="2" t="n">
        <f aca="false">AD394+AE394+AG394</f>
        <v>7506.13759839607</v>
      </c>
      <c r="AI394" s="2" t="n">
        <f aca="false">Entrées!$C$16-M394+Hypothèses!$J$22*1000-AF394+Hypothèses!$J$23</f>
        <v>22862.005763427</v>
      </c>
      <c r="AJ394" s="2" t="n">
        <f aca="false">AI394/AH394</f>
        <v>3.04577493600867</v>
      </c>
      <c r="AK394" s="2" t="n">
        <f aca="false">AI394/(AH394+I394*(12-Hypothèses!$J$24)/12/Hypothèses!$J$19)</f>
        <v>3.0193026875716</v>
      </c>
      <c r="AL394" s="2" t="n">
        <f aca="false">(AD394+AG394+I394/Hypothèses!$J$19)*(1+G394)</f>
        <v>7985.01652521488</v>
      </c>
      <c r="AM394" s="2" t="n">
        <f aca="false">Entrées!$C$54*K394/Hypothèses!$J$19</f>
        <v>4.48143771808457</v>
      </c>
      <c r="AN394" s="2" t="n">
        <f aca="false">Y394*1000/AC394</f>
        <v>37.1281171358257</v>
      </c>
      <c r="AO394" s="2" t="n">
        <f aca="false">(Entrées!$C$36*(1-S394)+MAX(0,Entrées!$C$30-Entrées!$C$35-Entrées!$C$36)*U394)*1000</f>
        <v>691.99735289417</v>
      </c>
      <c r="AP394" s="2" t="n">
        <f aca="false">-AO394/W394</f>
        <v>-73.5722418532198</v>
      </c>
      <c r="AQ394" s="2" t="n">
        <f aca="false">AL394+AM394+AN394+AP394</f>
        <v>7953.05383821558</v>
      </c>
      <c r="AR394" s="2" t="n">
        <f aca="false">O394*AQ394-Hypothèses!$J$25/Hypothèses!$J$19</f>
        <v>1288.68537510231</v>
      </c>
      <c r="AS394" s="2" t="n">
        <f aca="false">Entrées!$C$79*(1+Q394)+Hypothèses!$J$20</f>
        <v>1497.36150701845</v>
      </c>
      <c r="AT394" s="2" t="n">
        <f aca="false">AI394-AR394+AS394+Y394*1000-AO394+Hypothèses!$J$23</f>
        <v>22724.9610107514</v>
      </c>
      <c r="AU394" s="2" t="n">
        <f aca="false">AT394/AQ394</f>
        <v>2.85738805156262</v>
      </c>
      <c r="AV394" s="2" t="n">
        <f aca="false">Hypothèses!$J$26*AQ394-AT394</f>
        <v>1134.20050389531</v>
      </c>
      <c r="AW394" s="2" t="n">
        <f aca="false">IF(AC394&gt;Hypothèses!$J$26,MAX(0,AV394)/(1-Hypothèses!$J$26/AC394),0)</f>
        <v>1672.03118617791</v>
      </c>
      <c r="AX394" s="2" t="n">
        <f aca="false">AQ394-Entrées!$C$17*1000</f>
        <v>-46.9461617844245</v>
      </c>
      <c r="AY394" s="2" t="n">
        <f aca="false">AI394+(Entrées!$C$244-Entrées!$C$13)</f>
        <v>28609.005763427</v>
      </c>
      <c r="AZ394" s="2" t="n">
        <f aca="false">AA394*AH394</f>
        <v>5304.40101006582</v>
      </c>
      <c r="BA394" s="2" t="n">
        <f aca="false">AZ394/AY394</f>
        <v>0.18541018355999</v>
      </c>
      <c r="BB394" s="2" t="n">
        <f aca="false">AZ394/(Entrées!$C$151/100)-AY394</f>
        <v>859.888736938643</v>
      </c>
      <c r="BC394" s="2" t="n">
        <f aca="false">AT394+(Entrées!$C$244-Entrées!$C$13)</f>
        <v>28471.9610107514</v>
      </c>
      <c r="BD394" s="2" t="n">
        <f aca="false">AA394*AQ394</f>
        <v>5620.22561664111</v>
      </c>
      <c r="BE394" s="2" t="n">
        <f aca="false">BD394/BC394</f>
        <v>0.197395100903616</v>
      </c>
      <c r="BF394" s="2" t="n">
        <f aca="false">BD394/(Entrées!$C$151/100)-BC394</f>
        <v>2751.51463725474</v>
      </c>
      <c r="BG394" s="2" t="n">
        <f aca="false">MIN(AV394,BF394)</f>
        <v>1134.20050389531</v>
      </c>
      <c r="BH394" s="2" t="n">
        <f aca="false">IF(AC394&gt;Hypothèses!$J$26,MAX(0,BG394)/(1-Hypothèses!$J$26/AC394),0)</f>
        <v>1672.03118617791</v>
      </c>
    </row>
    <row r="395" customFormat="false" ht="15" hidden="false" customHeight="false" outlineLevel="0" collapsed="false">
      <c r="A395" s="2" t="n">
        <v>380</v>
      </c>
      <c r="B395" s="2" t="n">
        <v>0.32603391</v>
      </c>
      <c r="C395" s="2"/>
      <c r="D395" s="2" t="n">
        <v>0.7113289</v>
      </c>
      <c r="E395" s="2" t="n">
        <f aca="false">IF(E$7=E$5,E$6,IF(NORMSDIST(E$9*SQRT($C$11)*NORMSINV($B395)+SQRT(1-E$9^2*$C$11)*NORMSINV(D395))&lt;E$8,E$5+SQRT(NORMSDIST(E$9*SQRT($C$11)*NORMSINV($B395)+SQRT(1-E$9^2*$C$11)*NORMSINV(D395))*(E$7-E$5)*(E$6-E$5)),E$7-SQRT((1-NORMSDIST(E$9*SQRT($C$11)*NORMSINV($B395)+SQRT(1-E$9^2*$C$11)*NORMSINV(D395)))*(E$7-E$5)*(E$7-E$6))))</f>
        <v>0.0553001773343681</v>
      </c>
      <c r="F395" s="2" t="n">
        <v>0.808765037</v>
      </c>
      <c r="G395" s="2" t="n">
        <f aca="false">IF(G$7=G$5,G$6,IF(NORMSDIST(G$9*SQRT($C$11)*NORMSINV($B395)+SQRT(1-G$9^2*$C$11)*NORMSINV(F395))&lt;G$8,G$5+SQRT(NORMSDIST(G$9*SQRT($C$11)*NORMSINV($B395)+SQRT(1-G$9^2*$C$11)*NORMSINV(F395))*(G$7-G$5)*(G$6-G$5)),G$7-SQRT((1-NORMSDIST(G$9*SQRT($C$11)*NORMSINV($B395)+SQRT(1-G$9^2*$C$11)*NORMSINV(F395)))*(G$7-G$5)*(G$7-G$6))))</f>
        <v>0.0574900151603505</v>
      </c>
      <c r="H395" s="2" t="n">
        <v>0.458120882</v>
      </c>
      <c r="I395" s="2" t="n">
        <f aca="false">IF(I$7=I$5,I$6,IF(NORMSDIST(I$9*SQRT($C$11)*NORMSINV($B395)+SQRT(1-I$9^2*$C$11)*NORMSINV(H395))&lt;I$8,I$5+SQRT(NORMSDIST(I$9*SQRT($C$11)*NORMSINV($B395)+SQRT(1-I$9^2*$C$11)*NORMSINV(H395))*(I$7-I$5)*(I$6-I$5)),I$7-SQRT((1-NORMSDIST(I$9*SQRT($C$11)*NORMSINV($B395)+SQRT(1-I$9^2*$C$11)*NORMSINV(H395)))*(I$7-I$5)*(I$7-I$6))))</f>
        <v>196.898441792359</v>
      </c>
      <c r="J395" s="2" t="n">
        <v>0.59766551</v>
      </c>
      <c r="K395" s="2" t="n">
        <f aca="false">IF(K$7=K$5,K$6,IF(NORMSDIST(K$9*SQRT($C$11)*NORMSINV($B395)+SQRT(1-K$9^2*$C$11)*NORMSINV(J395))&lt;K$8,K$5+SQRT(NORMSDIST(K$9*SQRT($C$11)*NORMSINV($B395)+SQRT(1-K$9^2*$C$11)*NORMSINV(J395))*(K$7-K$5)*(K$6-K$5)),K$7-SQRT((1-NORMSDIST(K$9*SQRT($C$11)*NORMSINV($B395)+SQRT(1-K$9^2*$C$11)*NORMSINV(J395)))*(K$7-K$5)*(K$7-K$6))))</f>
        <v>0.240497374647416</v>
      </c>
      <c r="L395" s="2" t="n">
        <v>0.581268232</v>
      </c>
      <c r="M395" s="2" t="n">
        <f aca="false">IF(M$7=M$5,M$6,IF(NORMSDIST(M$9*SQRT($C$11)*NORMSINV($B395)+SQRT(1-M$9^2*$C$11)*NORMSINV(L395))&lt;M$8,M$5+SQRT(NORMSDIST(M$9*SQRT($C$11)*NORMSINV($B395)+SQRT(1-M$9^2*$C$11)*NORMSINV(L395))*(M$7-M$5)*(M$6-M$5)),M$7-SQRT((1-NORMSDIST(M$9*SQRT($C$11)*NORMSINV($B395)+SQRT(1-M$9^2*$C$11)*NORMSINV(L395)))*(M$7-M$5)*(M$7-M$6))))</f>
        <v>1570.8005008184</v>
      </c>
      <c r="N395" s="2" t="n">
        <v>0.840269122</v>
      </c>
      <c r="O395" s="2" t="n">
        <f aca="false">IF(O$7=O$5,O$6,IF(NORMSDIST(O$9*SQRT($C$11)*NORMSINV($B395)+SQRT(1-O$9^2*$C$11)*NORMSINV(N395))&lt;O$8,O$5+SQRT(NORMSDIST(O$9*SQRT($C$11)*NORMSINV($B395)+SQRT(1-O$9^2*$C$11)*NORMSINV(N395))*(O$7-O$5)*(O$6-O$5)),O$7-SQRT((1-NORMSDIST(O$9*SQRT($C$11)*NORMSINV($B395)+SQRT(1-O$9^2*$C$11)*NORMSINV(N395)))*(O$7-O$5)*(O$7-O$6))))</f>
        <v>0.171726523849008</v>
      </c>
      <c r="P395" s="2" t="n">
        <v>0.757735874</v>
      </c>
      <c r="Q395" s="2" t="n">
        <f aca="false">IF(Q$7=Q$5,Q$6,IF(NORMSDIST(Q$9*SQRT($C$11)*NORMSINV($B395)+SQRT(1-Q$9^2*$C$11)*NORMSINV(P395))&lt;Q$8,Q$5+SQRT(NORMSDIST(Q$9*SQRT($C$11)*NORMSINV($B395)+SQRT(1-Q$9^2*$C$11)*NORMSINV(P395))*(Q$7-Q$5)*(Q$6-Q$5)),Q$7-SQRT((1-NORMSDIST(Q$9*SQRT($C$11)*NORMSINV($B395)+SQRT(1-Q$9^2*$C$11)*NORMSINV(P395)))*(Q$7-Q$5)*(Q$7-Q$6))))</f>
        <v>0.0921567745546605</v>
      </c>
      <c r="R395" s="2" t="n">
        <v>0.007717266</v>
      </c>
      <c r="S395" s="2" t="n">
        <f aca="false">IF(S$7=S$5,S$6,IF(NORMSDIST(S$9*SQRT($C$11)*NORMSINV($B395)+SQRT(1-S$9^2*$C$11)*NORMSINV(R395))&lt;S$8,S$5+SQRT(NORMSDIST(S$9*SQRT($C$11)*NORMSINV($B395)+SQRT(1-S$9^2*$C$11)*NORMSINV(R395))*(S$7-S$5)*(S$6-S$5)),S$7-SQRT((1-NORMSDIST(S$9*SQRT($C$11)*NORMSINV($B395)+SQRT(1-S$9^2*$C$11)*NORMSINV(R395)))*(S$7-S$5)*(S$7-S$6))))</f>
        <v>0.0875721220363592</v>
      </c>
      <c r="T395" s="2" t="n">
        <v>0.110271475</v>
      </c>
      <c r="U395" s="2" t="n">
        <f aca="false">IF(U$7=U$5,U$6,IF(NORMSDIST(U$9*SQRT($C$11)*NORMSINV($B395)+SQRT(1-U$9^2*$C$11)*NORMSINV(T395))&lt;U$8,U$5+SQRT(NORMSDIST(U$9*SQRT($C$11)*NORMSINV($B395)+SQRT(1-U$9^2*$C$11)*NORMSINV(T395))*(U$7-U$5)*(U$6-U$5)),U$7-SQRT((1-NORMSDIST(U$9*SQRT($C$11)*NORMSINV($B395)+SQRT(1-U$9^2*$C$11)*NORMSINV(T395)))*(U$7-U$5)*(U$7-U$6))))</f>
        <v>0.233001969688027</v>
      </c>
      <c r="V395" s="2" t="n">
        <v>0.121984892</v>
      </c>
      <c r="W395" s="2" t="n">
        <f aca="false">IF(W$7=W$5,W$6,IF(NORMSDIST(W$9*SQRT($C$11)*NORMSINV($B395)+SQRT(1-W$9^2*$C$11)*NORMSINV(V395))&lt;W$8,W$5+SQRT(NORMSDIST(W$9*SQRT($C$11)*NORMSINV($B395)+SQRT(1-W$9^2*$C$11)*NORMSINV(V395))*(W$7-W$5)*(W$6-W$5)),W$7-SQRT((1-NORMSDIST(W$9*SQRT($C$11)*NORMSINV($B395)+SQRT(1-W$9^2*$C$11)*NORMSINV(V395)))*(W$7-W$5)*(W$7-W$6))))</f>
        <v>8.96946214805922</v>
      </c>
      <c r="X395" s="2" t="n">
        <v>0.197564499</v>
      </c>
      <c r="Y395" s="2" t="n">
        <f aca="false">IF(Y$7=Y$5,Y$6,IF(NORMSDIST(Y$9*SQRT($C$11)*NORMSINV($B395)+SQRT(1-Y$9^2*$C$11)*NORMSINV(X395))&lt;Y$8,Y$5+SQRT(NORMSDIST(Y$9*SQRT($C$11)*NORMSINV($B395)+SQRT(1-Y$9^2*$C$11)*NORMSINV(X395))*(Y$7-Y$5)*(Y$6-Y$5)),Y$7-SQRT((1-NORMSDIST(Y$9*SQRT($C$11)*NORMSINV($B395)+SQRT(1-Y$9^2*$C$11)*NORMSINV(X395)))*(Y$7-Y$5)*(Y$7-Y$6))))</f>
        <v>0.314296435709984</v>
      </c>
      <c r="Z395" s="2" t="n">
        <v>0.296572725</v>
      </c>
      <c r="AA395" s="2" t="n">
        <f aca="false">IF(AA$7=AA$5,AA$6,IF(NORMSDIST(AA$9*SQRT($C$11)*NORMSINV($B395)+SQRT(1-AA$9^2*$C$11)*NORMSINV(Z395))&lt;AA$8,AA$5+SQRT(NORMSDIST(AA$9*SQRT($C$11)*NORMSINV($B395)+SQRT(1-AA$9^2*$C$11)*NORMSINV(Z395))*(AA$7-AA$5)*(AA$6-AA$5)),AA$7-SQRT((1-NORMSDIST(AA$9*SQRT($C$11)*NORMSINV($B395)+SQRT(1-AA$9^2*$C$11)*NORMSINV(Z395)))*(AA$7-AA$5)*(AA$7-AA$6))))</f>
        <v>0.718103641926133</v>
      </c>
      <c r="AB395" s="2" t="n">
        <v>0.251650871</v>
      </c>
      <c r="AC395" s="2" t="n">
        <f aca="false">IF(AC$7=AC$5,AC$6,IF(NORMSDIST(AC$9*SQRT($C$11)*NORMSINV($B395)+SQRT(1-AC$9^2*$C$11)*NORMSINV(AB395))&lt;AC$8,AC$5+SQRT(NORMSDIST(AC$9*SQRT($C$11)*NORMSINV($B395)+SQRT(1-AC$9^2*$C$11)*NORMSINV(AB395))*(AC$7-AC$5)*(AC$6-AC$5)),AC$7-SQRT((1-NORMSDIST(AC$9*SQRT($C$11)*NORMSINV($B395)+SQRT(1-AC$9^2*$C$11)*NORMSINV(AB395)))*(AC$7-AC$5)*(AC$7-AC$6))))</f>
        <v>8.74959626415951</v>
      </c>
      <c r="AD395" s="2" t="n">
        <f aca="false">Entrées!$C$8*(1+E395)</f>
        <v>7439.86625020729</v>
      </c>
      <c r="AE395" s="2" t="n">
        <f aca="false">I395*Hypothèses!$J$24/12/Hypothèses!$J$19</f>
        <v>97.6806867752101</v>
      </c>
      <c r="AF395" s="2" t="n">
        <f aca="false">Entrées!$C$36*S395*1000</f>
        <v>43.7860610181796</v>
      </c>
      <c r="AG395" s="2" t="n">
        <f aca="false">-AF395/W395</f>
        <v>-4.88168189969494</v>
      </c>
      <c r="AH395" s="2" t="n">
        <f aca="false">AD395+AE395+AG395</f>
        <v>7532.66525508281</v>
      </c>
      <c r="AI395" s="2" t="n">
        <f aca="false">Entrées!$C$16-M395+Hypothèses!$J$22*1000-AF395+Hypothèses!$J$23</f>
        <v>22933.4134381634</v>
      </c>
      <c r="AJ395" s="2" t="n">
        <f aca="false">AI395/AH395</f>
        <v>3.04452841876767</v>
      </c>
      <c r="AK395" s="2" t="n">
        <f aca="false">AI395/(AH395+I395*(12-Hypothèses!$J$24)/12/Hypothèses!$J$19)</f>
        <v>3.01658703816289</v>
      </c>
      <c r="AL395" s="2" t="n">
        <f aca="false">(AD395+AG395+I395/Hypothèses!$J$19)*(1+G395)</f>
        <v>8039.50140260879</v>
      </c>
      <c r="AM395" s="2" t="n">
        <f aca="false">Entrées!$C$54*K395/Hypothèses!$J$19</f>
        <v>24.5437668659913</v>
      </c>
      <c r="AN395" s="2" t="n">
        <f aca="false">Y395*1000/AC395</f>
        <v>35.9212501035527</v>
      </c>
      <c r="AO395" s="2" t="n">
        <f aca="false">(Entrées!$C$36*(1-S395)+MAX(0,Entrées!$C$30-Entrées!$C$35-Entrées!$C$36)*U395)*1000</f>
        <v>782.416696545058</v>
      </c>
      <c r="AP395" s="2" t="n">
        <f aca="false">-AO395/W395</f>
        <v>-87.2311721293516</v>
      </c>
      <c r="AQ395" s="2" t="n">
        <f aca="false">AL395+AM395+AN395+AP395</f>
        <v>8012.73524744898</v>
      </c>
      <c r="AR395" s="2" t="n">
        <f aca="false">O395*AQ395-Hypothèses!$J$25/Hypothèses!$J$19</f>
        <v>1356.86400830521</v>
      </c>
      <c r="AS395" s="2" t="n">
        <f aca="false">Entrées!$C$79*(1+Q395)+Hypothèses!$J$20</f>
        <v>1495.28029523557</v>
      </c>
      <c r="AT395" s="2" t="n">
        <f aca="false">AI395-AR395+AS395+Y395*1000-AO395+Hypothèses!$J$23</f>
        <v>22603.7094642587</v>
      </c>
      <c r="AU395" s="2" t="n">
        <f aca="false">AT395/AQ395</f>
        <v>2.82097295944666</v>
      </c>
      <c r="AV395" s="2" t="n">
        <f aca="false">Hypothèses!$J$26*AQ395-AT395</f>
        <v>1434.49627808822</v>
      </c>
      <c r="AW395" s="2" t="n">
        <f aca="false">IF(AC395&gt;Hypothèses!$J$26,MAX(0,AV395)/(1-Hypothèses!$J$26/AC395),0)</f>
        <v>2182.98167367864</v>
      </c>
      <c r="AX395" s="2" t="n">
        <f aca="false">AQ395-Entrées!$C$17*1000</f>
        <v>12.735247448978</v>
      </c>
      <c r="AY395" s="2" t="n">
        <f aca="false">AI395+(Entrées!$C$244-Entrées!$C$13)</f>
        <v>28680.4134381634</v>
      </c>
      <c r="AZ395" s="2" t="n">
        <f aca="false">AA395*AH395</f>
        <v>5409.23435308541</v>
      </c>
      <c r="BA395" s="2" t="n">
        <f aca="false">AZ395/AY395</f>
        <v>0.188603778838405</v>
      </c>
      <c r="BB395" s="2" t="n">
        <f aca="false">AZ395/(Entrées!$C$151/100)-AY395</f>
        <v>1370.88852342216</v>
      </c>
      <c r="BC395" s="2" t="n">
        <f aca="false">AT395+(Entrées!$C$244-Entrées!$C$13)</f>
        <v>28350.7094642587</v>
      </c>
      <c r="BD395" s="2" t="n">
        <f aca="false">AA395*AQ395</f>
        <v>5753.974362983</v>
      </c>
      <c r="BE395" s="2" t="n">
        <f aca="false">BD395/BC395</f>
        <v>0.202956979621161</v>
      </c>
      <c r="BF395" s="2" t="n">
        <f aca="false">BD395/(Entrées!$C$151/100)-BC395</f>
        <v>3615.81477453574</v>
      </c>
      <c r="BG395" s="2" t="n">
        <f aca="false">MIN(AV395,BF395)</f>
        <v>1434.49627808822</v>
      </c>
      <c r="BH395" s="2" t="n">
        <f aca="false">IF(AC395&gt;Hypothèses!$J$26,MAX(0,BG395)/(1-Hypothèses!$J$26/AC395),0)</f>
        <v>2182.98167367864</v>
      </c>
    </row>
    <row r="396" customFormat="false" ht="15" hidden="false" customHeight="false" outlineLevel="0" collapsed="false">
      <c r="A396" s="2" t="n">
        <v>381</v>
      </c>
      <c r="B396" s="2" t="n">
        <v>0.36824533</v>
      </c>
      <c r="C396" s="2"/>
      <c r="D396" s="2" t="n">
        <v>0.002153267</v>
      </c>
      <c r="E396" s="2" t="n">
        <f aca="false">IF(E$7=E$5,E$6,IF(NORMSDIST(E$9*SQRT($C$11)*NORMSINV($B396)+SQRT(1-E$9^2*$C$11)*NORMSINV(D396))&lt;E$8,E$5+SQRT(NORMSDIST(E$9*SQRT($C$11)*NORMSINV($B396)+SQRT(1-E$9^2*$C$11)*NORMSINV(D396))*(E$7-E$5)*(E$6-E$5)),E$7-SQRT((1-NORMSDIST(E$9*SQRT($C$11)*NORMSINV($B396)+SQRT(1-E$9^2*$C$11)*NORMSINV(D396)))*(E$7-E$5)*(E$7-E$6))))</f>
        <v>0.0506193730685153</v>
      </c>
      <c r="F396" s="2" t="n">
        <v>0.74249246</v>
      </c>
      <c r="G396" s="2" t="n">
        <f aca="false">IF(G$7=G$5,G$6,IF(NORMSDIST(G$9*SQRT($C$11)*NORMSINV($B396)+SQRT(1-G$9^2*$C$11)*NORMSINV(F396))&lt;G$8,G$5+SQRT(NORMSDIST(G$9*SQRT($C$11)*NORMSINV($B396)+SQRT(1-G$9^2*$C$11)*NORMSINV(F396))*(G$7-G$5)*(G$6-G$5)),G$7-SQRT((1-NORMSDIST(G$9*SQRT($C$11)*NORMSINV($B396)+SQRT(1-G$9^2*$C$11)*NORMSINV(F396)))*(G$7-G$5)*(G$7-G$6))))</f>
        <v>0.056831681389004</v>
      </c>
      <c r="H396" s="2" t="n">
        <v>0.421673855</v>
      </c>
      <c r="I396" s="2" t="n">
        <f aca="false">IF(I$7=I$5,I$6,IF(NORMSDIST(I$9*SQRT($C$11)*NORMSINV($B396)+SQRT(1-I$9^2*$C$11)*NORMSINV(H396))&lt;I$8,I$5+SQRT(NORMSDIST(I$9*SQRT($C$11)*NORMSINV($B396)+SQRT(1-I$9^2*$C$11)*NORMSINV(H396))*(I$7-I$5)*(I$6-I$5)),I$7-SQRT((1-NORMSDIST(I$9*SQRT($C$11)*NORMSINV($B396)+SQRT(1-I$9^2*$C$11)*NORMSINV(H396)))*(I$7-I$5)*(I$7-I$6))))</f>
        <v>196.904955611128</v>
      </c>
      <c r="J396" s="2" t="n">
        <v>0.082319613</v>
      </c>
      <c r="K396" s="2" t="n">
        <f aca="false">IF(K$7=K$5,K$6,IF(NORMSDIST(K$9*SQRT($C$11)*NORMSINV($B396)+SQRT(1-K$9^2*$C$11)*NORMSINV(J396))&lt;K$8,K$5+SQRT(NORMSDIST(K$9*SQRT($C$11)*NORMSINV($B396)+SQRT(1-K$9^2*$C$11)*NORMSINV(J396))*(K$7-K$5)*(K$6-K$5)),K$7-SQRT((1-NORMSDIST(K$9*SQRT($C$11)*NORMSINV($B396)+SQRT(1-K$9^2*$C$11)*NORMSINV(J396)))*(K$7-K$5)*(K$7-K$6))))</f>
        <v>0.111051077909946</v>
      </c>
      <c r="L396" s="2" t="n">
        <v>0.06664484</v>
      </c>
      <c r="M396" s="2" t="n">
        <f aca="false">IF(M$7=M$5,M$6,IF(NORMSDIST(M$9*SQRT($C$11)*NORMSINV($B396)+SQRT(1-M$9^2*$C$11)*NORMSINV(L396))&lt;M$8,M$5+SQRT(NORMSDIST(M$9*SQRT($C$11)*NORMSINV($B396)+SQRT(1-M$9^2*$C$11)*NORMSINV(L396))*(M$7-M$5)*(M$6-M$5)),M$7-SQRT((1-NORMSDIST(M$9*SQRT($C$11)*NORMSINV($B396)+SQRT(1-M$9^2*$C$11)*NORMSINV(L396)))*(M$7-M$5)*(M$7-M$6))))</f>
        <v>1419.16283928881</v>
      </c>
      <c r="N396" s="2" t="n">
        <v>0.917719887</v>
      </c>
      <c r="O396" s="2" t="n">
        <f aca="false">IF(O$7=O$5,O$6,IF(NORMSDIST(O$9*SQRT($C$11)*NORMSINV($B396)+SQRT(1-O$9^2*$C$11)*NORMSINV(N396))&lt;O$8,O$5+SQRT(NORMSDIST(O$9*SQRT($C$11)*NORMSINV($B396)+SQRT(1-O$9^2*$C$11)*NORMSINV(N396))*(O$7-O$5)*(O$6-O$5)),O$7-SQRT((1-NORMSDIST(O$9*SQRT($C$11)*NORMSINV($B396)+SQRT(1-O$9^2*$C$11)*NORMSINV(N396)))*(O$7-O$5)*(O$7-O$6))))</f>
        <v>0.175630290282441</v>
      </c>
      <c r="P396" s="2" t="n">
        <v>0.658535969</v>
      </c>
      <c r="Q396" s="2" t="n">
        <f aca="false">IF(Q$7=Q$5,Q$6,IF(NORMSDIST(Q$9*SQRT($C$11)*NORMSINV($B396)+SQRT(1-Q$9^2*$C$11)*NORMSINV(P396))&lt;Q$8,Q$5+SQRT(NORMSDIST(Q$9*SQRT($C$11)*NORMSINV($B396)+SQRT(1-Q$9^2*$C$11)*NORMSINV(P396))*(Q$7-Q$5)*(Q$6-Q$5)),Q$7-SQRT((1-NORMSDIST(Q$9*SQRT($C$11)*NORMSINV($B396)+SQRT(1-Q$9^2*$C$11)*NORMSINV(P396)))*(Q$7-Q$5)*(Q$7-Q$6))))</f>
        <v>0.0869442153443607</v>
      </c>
      <c r="R396" s="2" t="n">
        <v>0.289194074</v>
      </c>
      <c r="S396" s="2" t="n">
        <f aca="false">IF(S$7=S$5,S$6,IF(NORMSDIST(S$9*SQRT($C$11)*NORMSINV($B396)+SQRT(1-S$9^2*$C$11)*NORMSINV(R396))&lt;S$8,S$5+SQRT(NORMSDIST(S$9*SQRT($C$11)*NORMSINV($B396)+SQRT(1-S$9^2*$C$11)*NORMSINV(R396))*(S$7-S$5)*(S$6-S$5)),S$7-SQRT((1-NORMSDIST(S$9*SQRT($C$11)*NORMSINV($B396)+SQRT(1-S$9^2*$C$11)*NORMSINV(R396)))*(S$7-S$5)*(S$7-S$6))))</f>
        <v>0.360565600983906</v>
      </c>
      <c r="T396" s="2" t="n">
        <v>0.639122592</v>
      </c>
      <c r="U396" s="2" t="n">
        <f aca="false">IF(U$7=U$5,U$6,IF(NORMSDIST(U$9*SQRT($C$11)*NORMSINV($B396)+SQRT(1-U$9^2*$C$11)*NORMSINV(T396))&lt;U$8,U$5+SQRT(NORMSDIST(U$9*SQRT($C$11)*NORMSINV($B396)+SQRT(1-U$9^2*$C$11)*NORMSINV(T396))*(U$7-U$5)*(U$6-U$5)),U$7-SQRT((1-NORMSDIST(U$9*SQRT($C$11)*NORMSINV($B396)+SQRT(1-U$9^2*$C$11)*NORMSINV(T396)))*(U$7-U$5)*(U$7-U$6))))</f>
        <v>0.51272449609575</v>
      </c>
      <c r="V396" s="2" t="n">
        <v>0.028414681</v>
      </c>
      <c r="W396" s="2" t="n">
        <f aca="false">IF(W$7=W$5,W$6,IF(NORMSDIST(W$9*SQRT($C$11)*NORMSINV($B396)+SQRT(1-W$9^2*$C$11)*NORMSINV(V396))&lt;W$8,W$5+SQRT(NORMSDIST(W$9*SQRT($C$11)*NORMSINV($B396)+SQRT(1-W$9^2*$C$11)*NORMSINV(V396))*(W$7-W$5)*(W$6-W$5)),W$7-SQRT((1-NORMSDIST(W$9*SQRT($C$11)*NORMSINV($B396)+SQRT(1-W$9^2*$C$11)*NORMSINV(V396)))*(W$7-W$5)*(W$7-W$6))))</f>
        <v>8.60459881783877</v>
      </c>
      <c r="X396" s="2" t="n">
        <v>0.37355508</v>
      </c>
      <c r="Y396" s="2" t="n">
        <f aca="false">IF(Y$7=Y$5,Y$6,IF(NORMSDIST(Y$9*SQRT($C$11)*NORMSINV($B396)+SQRT(1-Y$9^2*$C$11)*NORMSINV(X396))&lt;Y$8,Y$5+SQRT(NORMSDIST(Y$9*SQRT($C$11)*NORMSINV($B396)+SQRT(1-Y$9^2*$C$11)*NORMSINV(X396))*(Y$7-Y$5)*(Y$6-Y$5)),Y$7-SQRT((1-NORMSDIST(Y$9*SQRT($C$11)*NORMSINV($B396)+SQRT(1-Y$9^2*$C$11)*NORMSINV(X396)))*(Y$7-Y$5)*(Y$7-Y$6))))</f>
        <v>0.432177671797144</v>
      </c>
      <c r="Z396" s="2" t="n">
        <v>0.864142245</v>
      </c>
      <c r="AA396" s="2" t="n">
        <f aca="false">IF(AA$7=AA$5,AA$6,IF(NORMSDIST(AA$9*SQRT($C$11)*NORMSINV($B396)+SQRT(1-AA$9^2*$C$11)*NORMSINV(Z396))&lt;AA$8,AA$5+SQRT(NORMSDIST(AA$9*SQRT($C$11)*NORMSINV($B396)+SQRT(1-AA$9^2*$C$11)*NORMSINV(Z396))*(AA$7-AA$5)*(AA$6-AA$5)),AA$7-SQRT((1-NORMSDIST(AA$9*SQRT($C$11)*NORMSINV($B396)+SQRT(1-AA$9^2*$C$11)*NORMSINV(Z396)))*(AA$7-AA$5)*(AA$7-AA$6))))</f>
        <v>0.735534432352893</v>
      </c>
      <c r="AB396" s="2" t="n">
        <v>0.34131905</v>
      </c>
      <c r="AC396" s="2" t="n">
        <f aca="false">IF(AC$7=AC$5,AC$6,IF(NORMSDIST(AC$9*SQRT($C$11)*NORMSINV($B396)+SQRT(1-AC$9^2*$C$11)*NORMSINV(AB396))&lt;AC$8,AC$5+SQRT(NORMSDIST(AC$9*SQRT($C$11)*NORMSINV($B396)+SQRT(1-AC$9^2*$C$11)*NORMSINV(AB396))*(AC$7-AC$5)*(AC$6-AC$5)),AC$7-SQRT((1-NORMSDIST(AC$9*SQRT($C$11)*NORMSINV($B396)+SQRT(1-AC$9^2*$C$11)*NORMSINV(AB396)))*(AC$7-AC$5)*(AC$7-AC$6))))</f>
        <v>9.00518259399784</v>
      </c>
      <c r="AD396" s="2" t="n">
        <f aca="false">Entrées!$C$8*(1+E396)</f>
        <v>7406.86658013303</v>
      </c>
      <c r="AE396" s="2" t="n">
        <f aca="false">I396*Hypothèses!$J$24/12/Hypothèses!$J$19</f>
        <v>97.6839182598529</v>
      </c>
      <c r="AF396" s="2" t="n">
        <f aca="false">Entrées!$C$36*S396*1000</f>
        <v>180.282800491953</v>
      </c>
      <c r="AG396" s="2" t="n">
        <f aca="false">-AF396/W396</f>
        <v>-20.9519123794821</v>
      </c>
      <c r="AH396" s="2" t="n">
        <f aca="false">AD396+AE396+AG396</f>
        <v>7483.59858601341</v>
      </c>
      <c r="AI396" s="2" t="n">
        <f aca="false">Entrées!$C$16-M396+Hypothèses!$J$22*1000-AF396+Hypothèses!$J$23</f>
        <v>22948.5543602192</v>
      </c>
      <c r="AJ396" s="2" t="n">
        <f aca="false">AI396/AH396</f>
        <v>3.06651326851086</v>
      </c>
      <c r="AK396" s="2" t="n">
        <f aca="false">AI396/(AH396+I396*(12-Hypothèses!$J$24)/12/Hypothèses!$J$19)</f>
        <v>3.03818637413</v>
      </c>
      <c r="AL396" s="2" t="n">
        <f aca="false">(AD396+AG396+I396/Hypothèses!$J$19)*(1+G396)</f>
        <v>7982.64369048208</v>
      </c>
      <c r="AM396" s="2" t="n">
        <f aca="false">Entrées!$C$54*K396/Hypothèses!$J$19</f>
        <v>11.3332287740548</v>
      </c>
      <c r="AN396" s="2" t="n">
        <f aca="false">Y396*1000/AC396</f>
        <v>47.9921053555538</v>
      </c>
      <c r="AO396" s="2" t="n">
        <f aca="false">(Entrées!$C$36*(1-S396)+MAX(0,Entrées!$C$30-Entrées!$C$35-Entrées!$C$36)*U396)*1000</f>
        <v>1037.5314940421</v>
      </c>
      <c r="AP396" s="2" t="n">
        <f aca="false">-AO396/W396</f>
        <v>-120.578717963134</v>
      </c>
      <c r="AQ396" s="2" t="n">
        <f aca="false">AL396+AM396+AN396+AP396</f>
        <v>7921.39030664855</v>
      </c>
      <c r="AR396" s="2" t="n">
        <f aca="false">O396*AQ396-Hypothèses!$J$25/Hypothèses!$J$19</f>
        <v>1372.10091673557</v>
      </c>
      <c r="AS396" s="2" t="n">
        <f aca="false">Entrées!$C$79*(1+Q396)+Hypothèses!$J$20</f>
        <v>1489.55169266345</v>
      </c>
      <c r="AT396" s="2" t="n">
        <f aca="false">AI396-AR396+AS396+Y396*1000-AO396+Hypothèses!$J$23</f>
        <v>22460.6513139022</v>
      </c>
      <c r="AU396" s="2" t="n">
        <f aca="false">AT396/AQ396</f>
        <v>2.83544307809837</v>
      </c>
      <c r="AV396" s="2" t="n">
        <f aca="false">Hypothèses!$J$26*AQ396-AT396</f>
        <v>1303.5196060435</v>
      </c>
      <c r="AW396" s="2" t="n">
        <f aca="false">IF(AC396&gt;Hypothèses!$J$26,MAX(0,AV396)/(1-Hypothèses!$J$26/AC396),0)</f>
        <v>1954.71692717726</v>
      </c>
      <c r="AX396" s="2" t="n">
        <f aca="false">AQ396-Entrées!$C$17*1000</f>
        <v>-78.6096933514455</v>
      </c>
      <c r="AY396" s="2" t="n">
        <f aca="false">AI396+(Entrées!$C$244-Entrées!$C$13)</f>
        <v>28695.5543602192</v>
      </c>
      <c r="AZ396" s="2" t="n">
        <f aca="false">AA396*AH396</f>
        <v>5504.44443792028</v>
      </c>
      <c r="BA396" s="2" t="n">
        <f aca="false">AZ396/AY396</f>
        <v>0.191822202450674</v>
      </c>
      <c r="BB396" s="2" t="n">
        <f aca="false">AZ396/(Entrées!$C$151/100)-AY396</f>
        <v>1884.69251711568</v>
      </c>
      <c r="BC396" s="2" t="n">
        <f aca="false">AT396+(Entrées!$C$244-Entrées!$C$13)</f>
        <v>28207.6513139022</v>
      </c>
      <c r="BD396" s="2" t="n">
        <f aca="false">AA396*AQ396</f>
        <v>5826.45532264646</v>
      </c>
      <c r="BE396" s="2" t="n">
        <f aca="false">BD396/BC396</f>
        <v>0.206555847482945</v>
      </c>
      <c r="BF396" s="2" t="n">
        <f aca="false">BD396/(Entrées!$C$151/100)-BC396</f>
        <v>4161.54492302259</v>
      </c>
      <c r="BG396" s="2" t="n">
        <f aca="false">MIN(AV396,BF396)</f>
        <v>1303.5196060435</v>
      </c>
      <c r="BH396" s="2" t="n">
        <f aca="false">IF(AC396&gt;Hypothèses!$J$26,MAX(0,BG396)/(1-Hypothèses!$J$26/AC396),0)</f>
        <v>1954.71692717726</v>
      </c>
    </row>
    <row r="397" customFormat="false" ht="15" hidden="false" customHeight="false" outlineLevel="0" collapsed="false">
      <c r="A397" s="2" t="n">
        <v>382</v>
      </c>
      <c r="B397" s="2" t="n">
        <v>0.255295972</v>
      </c>
      <c r="C397" s="2"/>
      <c r="D397" s="2" t="n">
        <v>0.692034003</v>
      </c>
      <c r="E397" s="2" t="n">
        <f aca="false">IF(E$7=E$5,E$6,IF(NORMSDIST(E$9*SQRT($C$11)*NORMSINV($B397)+SQRT(1-E$9^2*$C$11)*NORMSINV(D397))&lt;E$8,E$5+SQRT(NORMSDIST(E$9*SQRT($C$11)*NORMSINV($B397)+SQRT(1-E$9^2*$C$11)*NORMSINV(D397))*(E$7-E$5)*(E$6-E$5)),E$7-SQRT((1-NORMSDIST(E$9*SQRT($C$11)*NORMSINV($B397)+SQRT(1-E$9^2*$C$11)*NORMSINV(D397)))*(E$7-E$5)*(E$7-E$6))))</f>
        <v>0.0549447545190337</v>
      </c>
      <c r="F397" s="2" t="n">
        <v>0.764968417</v>
      </c>
      <c r="G397" s="2" t="n">
        <f aca="false">IF(G$7=G$5,G$6,IF(NORMSDIST(G$9*SQRT($C$11)*NORMSINV($B397)+SQRT(1-G$9^2*$C$11)*NORMSINV(F397))&lt;G$8,G$5+SQRT(NORMSDIST(G$9*SQRT($C$11)*NORMSINV($B397)+SQRT(1-G$9^2*$C$11)*NORMSINV(F397))*(G$7-G$5)*(G$6-G$5)),G$7-SQRT((1-NORMSDIST(G$9*SQRT($C$11)*NORMSINV($B397)+SQRT(1-G$9^2*$C$11)*NORMSINV(F397)))*(G$7-G$5)*(G$7-G$6))))</f>
        <v>0.0558813677624518</v>
      </c>
      <c r="H397" s="2" t="n">
        <v>0.451812222</v>
      </c>
      <c r="I397" s="2" t="n">
        <f aca="false">IF(I$7=I$5,I$6,IF(NORMSDIST(I$9*SQRT($C$11)*NORMSINV($B397)+SQRT(1-I$9^2*$C$11)*NORMSINV(H397))&lt;I$8,I$5+SQRT(NORMSDIST(I$9*SQRT($C$11)*NORMSINV($B397)+SQRT(1-I$9^2*$C$11)*NORMSINV(H397))*(I$7-I$5)*(I$6-I$5)),I$7-SQRT((1-NORMSDIST(I$9*SQRT($C$11)*NORMSINV($B397)+SQRT(1-I$9^2*$C$11)*NORMSINV(H397)))*(I$7-I$5)*(I$7-I$6))))</f>
        <v>195.622108160528</v>
      </c>
      <c r="J397" s="2" t="n">
        <v>0.584069928</v>
      </c>
      <c r="K397" s="2" t="n">
        <f aca="false">IF(K$7=K$5,K$6,IF(NORMSDIST(K$9*SQRT($C$11)*NORMSINV($B397)+SQRT(1-K$9^2*$C$11)*NORMSINV(J397))&lt;K$8,K$5+SQRT(NORMSDIST(K$9*SQRT($C$11)*NORMSINV($B397)+SQRT(1-K$9^2*$C$11)*NORMSINV(J397))*(K$7-K$5)*(K$6-K$5)),K$7-SQRT((1-NORMSDIST(K$9*SQRT($C$11)*NORMSINV($B397)+SQRT(1-K$9^2*$C$11)*NORMSINV(J397)))*(K$7-K$5)*(K$7-K$6))))</f>
        <v>0.223790765636873</v>
      </c>
      <c r="L397" s="2" t="n">
        <v>0.090275929</v>
      </c>
      <c r="M397" s="2" t="n">
        <f aca="false">IF(M$7=M$5,M$6,IF(NORMSDIST(M$9*SQRT($C$11)*NORMSINV($B397)+SQRT(1-M$9^2*$C$11)*NORMSINV(L397))&lt;M$8,M$5+SQRT(NORMSDIST(M$9*SQRT($C$11)*NORMSINV($B397)+SQRT(1-M$9^2*$C$11)*NORMSINV(L397))*(M$7-M$5)*(M$6-M$5)),M$7-SQRT((1-NORMSDIST(M$9*SQRT($C$11)*NORMSINV($B397)+SQRT(1-M$9^2*$C$11)*NORMSINV(L397)))*(M$7-M$5)*(M$7-M$6))))</f>
        <v>1411.05830127899</v>
      </c>
      <c r="N397" s="2" t="n">
        <v>0.537955812</v>
      </c>
      <c r="O397" s="2" t="n">
        <f aca="false">IF(O$7=O$5,O$6,IF(NORMSDIST(O$9*SQRT($C$11)*NORMSINV($B397)+SQRT(1-O$9^2*$C$11)*NORMSINV(N397))&lt;O$8,O$5+SQRT(NORMSDIST(O$9*SQRT($C$11)*NORMSINV($B397)+SQRT(1-O$9^2*$C$11)*NORMSINV(N397))*(O$7-O$5)*(O$6-O$5)),O$7-SQRT((1-NORMSDIST(O$9*SQRT($C$11)*NORMSINV($B397)+SQRT(1-O$9^2*$C$11)*NORMSINV(N397)))*(O$7-O$5)*(O$7-O$6))))</f>
        <v>0.162918023591144</v>
      </c>
      <c r="P397" s="2" t="n">
        <v>0.262629333</v>
      </c>
      <c r="Q397" s="2" t="n">
        <f aca="false">IF(Q$7=Q$5,Q$6,IF(NORMSDIST(Q$9*SQRT($C$11)*NORMSINV($B397)+SQRT(1-Q$9^2*$C$11)*NORMSINV(P397))&lt;Q$8,Q$5+SQRT(NORMSDIST(Q$9*SQRT($C$11)*NORMSINV($B397)+SQRT(1-Q$9^2*$C$11)*NORMSINV(P397))*(Q$7-Q$5)*(Q$6-Q$5)),Q$7-SQRT((1-NORMSDIST(Q$9*SQRT($C$11)*NORMSINV($B397)+SQRT(1-Q$9^2*$C$11)*NORMSINV(P397)))*(Q$7-Q$5)*(Q$7-Q$6))))</f>
        <v>0.0689898924730672</v>
      </c>
      <c r="R397" s="2" t="n">
        <v>0.892269567</v>
      </c>
      <c r="S397" s="2" t="n">
        <f aca="false">IF(S$7=S$5,S$6,IF(NORMSDIST(S$9*SQRT($C$11)*NORMSINV($B397)+SQRT(1-S$9^2*$C$11)*NORMSINV(R397))&lt;S$8,S$5+SQRT(NORMSDIST(S$9*SQRT($C$11)*NORMSINV($B397)+SQRT(1-S$9^2*$C$11)*NORMSINV(R397))*(S$7-S$5)*(S$6-S$5)),S$7-SQRT((1-NORMSDIST(S$9*SQRT($C$11)*NORMSINV($B397)+SQRT(1-S$9^2*$C$11)*NORMSINV(R397)))*(S$7-S$5)*(S$7-S$6))))</f>
        <v>0.616963663251119</v>
      </c>
      <c r="T397" s="2" t="n">
        <v>0.328181866</v>
      </c>
      <c r="U397" s="2" t="n">
        <f aca="false">IF(U$7=U$5,U$6,IF(NORMSDIST(U$9*SQRT($C$11)*NORMSINV($B397)+SQRT(1-U$9^2*$C$11)*NORMSINV(T397))&lt;U$8,U$5+SQRT(NORMSDIST(U$9*SQRT($C$11)*NORMSINV($B397)+SQRT(1-U$9^2*$C$11)*NORMSINV(T397))*(U$7-U$5)*(U$6-U$5)),U$7-SQRT((1-NORMSDIST(U$9*SQRT($C$11)*NORMSINV($B397)+SQRT(1-U$9^2*$C$11)*NORMSINV(T397)))*(U$7-U$5)*(U$7-U$6))))</f>
        <v>0.334217636089923</v>
      </c>
      <c r="V397" s="2" t="n">
        <v>0.558284531</v>
      </c>
      <c r="W397" s="2" t="n">
        <f aca="false">IF(W$7=W$5,W$6,IF(NORMSDIST(W$9*SQRT($C$11)*NORMSINV($B397)+SQRT(1-W$9^2*$C$11)*NORMSINV(V397))&lt;W$8,W$5+SQRT(NORMSDIST(W$9*SQRT($C$11)*NORMSINV($B397)+SQRT(1-W$9^2*$C$11)*NORMSINV(V397))*(W$7-W$5)*(W$6-W$5)),W$7-SQRT((1-NORMSDIST(W$9*SQRT($C$11)*NORMSINV($B397)+SQRT(1-W$9^2*$C$11)*NORMSINV(V397)))*(W$7-W$5)*(W$7-W$6))))</f>
        <v>9.74613603169003</v>
      </c>
      <c r="X397" s="2" t="n">
        <v>0.003650001</v>
      </c>
      <c r="Y397" s="2" t="n">
        <f aca="false">IF(Y$7=Y$5,Y$6,IF(NORMSDIST(Y$9*SQRT($C$11)*NORMSINV($B397)+SQRT(1-Y$9^2*$C$11)*NORMSINV(X397))&lt;Y$8,Y$5+SQRT(NORMSDIST(Y$9*SQRT($C$11)*NORMSINV($B397)+SQRT(1-Y$9^2*$C$11)*NORMSINV(X397))*(Y$7-Y$5)*(Y$6-Y$5)),Y$7-SQRT((1-NORMSDIST(Y$9*SQRT($C$11)*NORMSINV($B397)+SQRT(1-Y$9^2*$C$11)*NORMSINV(X397)))*(Y$7-Y$5)*(Y$7-Y$6))))</f>
        <v>0.0427200245786446</v>
      </c>
      <c r="Z397" s="2" t="n">
        <v>0.347885716</v>
      </c>
      <c r="AA397" s="2" t="n">
        <f aca="false">IF(AA$7=AA$5,AA$6,IF(NORMSDIST(AA$9*SQRT($C$11)*NORMSINV($B397)+SQRT(1-AA$9^2*$C$11)*NORMSINV(Z397))&lt;AA$8,AA$5+SQRT(NORMSDIST(AA$9*SQRT($C$11)*NORMSINV($B397)+SQRT(1-AA$9^2*$C$11)*NORMSINV(Z397))*(AA$7-AA$5)*(AA$6-AA$5)),AA$7-SQRT((1-NORMSDIST(AA$9*SQRT($C$11)*NORMSINV($B397)+SQRT(1-AA$9^2*$C$11)*NORMSINV(Z397)))*(AA$7-AA$5)*(AA$7-AA$6))))</f>
        <v>0.717810327882257</v>
      </c>
      <c r="AB397" s="2" t="n">
        <v>0.386630046</v>
      </c>
      <c r="AC397" s="2" t="n">
        <f aca="false">IF(AC$7=AC$5,AC$6,IF(NORMSDIST(AC$9*SQRT($C$11)*NORMSINV($B397)+SQRT(1-AC$9^2*$C$11)*NORMSINV(AB397))&lt;AC$8,AC$5+SQRT(NORMSDIST(AC$9*SQRT($C$11)*NORMSINV($B397)+SQRT(1-AC$9^2*$C$11)*NORMSINV(AB397))*(AC$7-AC$5)*(AC$6-AC$5)),AC$7-SQRT((1-NORMSDIST(AC$9*SQRT($C$11)*NORMSINV($B397)+SQRT(1-AC$9^2*$C$11)*NORMSINV(AB397)))*(AC$7-AC$5)*(AC$7-AC$6))))</f>
        <v>8.90260582478016</v>
      </c>
      <c r="AD397" s="2" t="n">
        <f aca="false">Entrées!$C$8*(1+E397)</f>
        <v>7437.36051935919</v>
      </c>
      <c r="AE397" s="2" t="n">
        <f aca="false">I397*Hypothèses!$J$24/12/Hypothèses!$J$19</f>
        <v>97.0475017455232</v>
      </c>
      <c r="AF397" s="2" t="n">
        <f aca="false">Entrées!$C$36*S397*1000</f>
        <v>308.48183162556</v>
      </c>
      <c r="AG397" s="2" t="n">
        <f aca="false">-AF397/W397</f>
        <v>-31.6517059296644</v>
      </c>
      <c r="AH397" s="2" t="n">
        <f aca="false">AD397+AE397+AG397</f>
        <v>7502.75631517505</v>
      </c>
      <c r="AI397" s="2" t="n">
        <f aca="false">Entrées!$C$16-M397+Hypothèses!$J$22*1000-AF397+Hypothèses!$J$23</f>
        <v>22828.4598670955</v>
      </c>
      <c r="AJ397" s="2" t="n">
        <f aca="false">AI397/AH397</f>
        <v>3.04267643891388</v>
      </c>
      <c r="AK397" s="2" t="n">
        <f aca="false">AI397/(AH397+I397*(12-Hypothèses!$J$24)/12/Hypothèses!$J$19)</f>
        <v>3.01482182559473</v>
      </c>
      <c r="AL397" s="2" t="n">
        <f aca="false">(AD397+AG397+I397/Hypothèses!$J$19)*(1+G397)</f>
        <v>7995.21392068468</v>
      </c>
      <c r="AM397" s="2" t="n">
        <f aca="false">Entrées!$C$54*K397/Hypothèses!$J$19</f>
        <v>22.838787269947</v>
      </c>
      <c r="AN397" s="2" t="n">
        <f aca="false">Y397*1000/AC397</f>
        <v>4.79859778355396</v>
      </c>
      <c r="AO397" s="2" t="n">
        <f aca="false">(Entrées!$C$36*(1-S397)+MAX(0,Entrées!$C$30-Entrées!$C$35-Entrées!$C$36)*U397)*1000</f>
        <v>659.422858900333</v>
      </c>
      <c r="AP397" s="2" t="n">
        <f aca="false">-AO397/W397</f>
        <v>-67.6599276632491</v>
      </c>
      <c r="AQ397" s="2" t="n">
        <f aca="false">AL397+AM397+AN397+AP397</f>
        <v>7955.19137807493</v>
      </c>
      <c r="AR397" s="2" t="n">
        <f aca="false">O397*AQ397-Hypothèses!$J$25/Hypothèses!$J$19</f>
        <v>1276.90889434365</v>
      </c>
      <c r="AS397" s="2" t="n">
        <f aca="false">Entrées!$C$79*(1+Q397)+Hypothèses!$J$20</f>
        <v>1469.8198918279</v>
      </c>
      <c r="AT397" s="2" t="n">
        <f aca="false">AI397-AR397+AS397+Y397*1000-AO397+Hypothèses!$J$23</f>
        <v>22404.668030258</v>
      </c>
      <c r="AU397" s="2" t="n">
        <f aca="false">AT397/AQ397</f>
        <v>2.81635814469616</v>
      </c>
      <c r="AV397" s="2" t="n">
        <f aca="false">Hypothèses!$J$26*AQ397-AT397</f>
        <v>1460.90610396679</v>
      </c>
      <c r="AW397" s="2" t="n">
        <f aca="false">IF(AC397&gt;Hypothèses!$J$26,MAX(0,AV397)/(1-Hypothèses!$J$26/AC397),0)</f>
        <v>2203.411777224</v>
      </c>
      <c r="AX397" s="2" t="n">
        <f aca="false">AQ397-Entrées!$C$17*1000</f>
        <v>-44.8086219250672</v>
      </c>
      <c r="AY397" s="2" t="n">
        <f aca="false">AI397+(Entrées!$C$244-Entrées!$C$13)</f>
        <v>28575.4598670955</v>
      </c>
      <c r="AZ397" s="2" t="n">
        <f aca="false">AA397*AH397</f>
        <v>5385.55597061647</v>
      </c>
      <c r="BA397" s="2" t="n">
        <f aca="false">AZ397/AY397</f>
        <v>0.188467867032227</v>
      </c>
      <c r="BB397" s="2" t="n">
        <f aca="false">AZ397/(Entrées!$C$151/100)-AY397</f>
        <v>1344.29552521829</v>
      </c>
      <c r="BC397" s="2" t="n">
        <f aca="false">AT397+(Entrées!$C$244-Entrées!$C$13)</f>
        <v>28151.668030258</v>
      </c>
      <c r="BD397" s="2" t="n">
        <f aca="false">AA397*AQ397</f>
        <v>5710.31853146207</v>
      </c>
      <c r="BE397" s="2" t="n">
        <f aca="false">BD397/BC397</f>
        <v>0.202841214429088</v>
      </c>
      <c r="BF397" s="2" t="n">
        <f aca="false">BD397/(Entrées!$C$151/100)-BC397</f>
        <v>3572.32381119794</v>
      </c>
      <c r="BG397" s="2" t="n">
        <f aca="false">MIN(AV397,BF397)</f>
        <v>1460.90610396679</v>
      </c>
      <c r="BH397" s="2" t="n">
        <f aca="false">IF(AC397&gt;Hypothèses!$J$26,MAX(0,BG397)/(1-Hypothèses!$J$26/AC397),0)</f>
        <v>2203.411777224</v>
      </c>
    </row>
    <row r="398" customFormat="false" ht="15" hidden="false" customHeight="false" outlineLevel="0" collapsed="false">
      <c r="A398" s="2" t="n">
        <v>383</v>
      </c>
      <c r="B398" s="2" t="n">
        <v>0.417390612</v>
      </c>
      <c r="C398" s="2"/>
      <c r="D398" s="2" t="n">
        <v>0.211228052</v>
      </c>
      <c r="E398" s="2" t="n">
        <f aca="false">IF(E$7=E$5,E$6,IF(NORMSDIST(E$9*SQRT($C$11)*NORMSINV($B398)+SQRT(1-E$9^2*$C$11)*NORMSINV(D398))&lt;E$8,E$5+SQRT(NORMSDIST(E$9*SQRT($C$11)*NORMSINV($B398)+SQRT(1-E$9^2*$C$11)*NORMSINV(D398))*(E$7-E$5)*(E$6-E$5)),E$7-SQRT((1-NORMSDIST(E$9*SQRT($C$11)*NORMSINV($B398)+SQRT(1-E$9^2*$C$11)*NORMSINV(D398)))*(E$7-E$5)*(E$7-E$6))))</f>
        <v>0.0533588981700742</v>
      </c>
      <c r="F398" s="2" t="n">
        <v>0.854306236</v>
      </c>
      <c r="G398" s="2" t="n">
        <f aca="false">IF(G$7=G$5,G$6,IF(NORMSDIST(G$9*SQRT($C$11)*NORMSINV($B398)+SQRT(1-G$9^2*$C$11)*NORMSINV(F398))&lt;G$8,G$5+SQRT(NORMSDIST(G$9*SQRT($C$11)*NORMSINV($B398)+SQRT(1-G$9^2*$C$11)*NORMSINV(F398))*(G$7-G$5)*(G$6-G$5)),G$7-SQRT((1-NORMSDIST(G$9*SQRT($C$11)*NORMSINV($B398)+SQRT(1-G$9^2*$C$11)*NORMSINV(F398)))*(G$7-G$5)*(G$7-G$6))))</f>
        <v>0.0594665918996164</v>
      </c>
      <c r="H398" s="2" t="n">
        <v>0.336550497</v>
      </c>
      <c r="I398" s="2" t="n">
        <f aca="false">IF(I$7=I$5,I$6,IF(NORMSDIST(I$9*SQRT($C$11)*NORMSINV($B398)+SQRT(1-I$9^2*$C$11)*NORMSINV(H398))&lt;I$8,I$5+SQRT(NORMSDIST(I$9*SQRT($C$11)*NORMSINV($B398)+SQRT(1-I$9^2*$C$11)*NORMSINV(H398))*(I$7-I$5)*(I$6-I$5)),I$7-SQRT((1-NORMSDIST(I$9*SQRT($C$11)*NORMSINV($B398)+SQRT(1-I$9^2*$C$11)*NORMSINV(H398)))*(I$7-I$5)*(I$7-I$6))))</f>
        <v>196.080305417397</v>
      </c>
      <c r="J398" s="2" t="n">
        <v>0.360573428</v>
      </c>
      <c r="K398" s="2" t="n">
        <f aca="false">IF(K$7=K$5,K$6,IF(NORMSDIST(K$9*SQRT($C$11)*NORMSINV($B398)+SQRT(1-K$9^2*$C$11)*NORMSINV(J398))&lt;K$8,K$5+SQRT(NORMSDIST(K$9*SQRT($C$11)*NORMSINV($B398)+SQRT(1-K$9^2*$C$11)*NORMSINV(J398))*(K$7-K$5)*(K$6-K$5)),K$7-SQRT((1-NORMSDIST(K$9*SQRT($C$11)*NORMSINV($B398)+SQRT(1-K$9^2*$C$11)*NORMSINV(J398)))*(K$7-K$5)*(K$7-K$6))))</f>
        <v>0.206607903427265</v>
      </c>
      <c r="L398" s="2" t="n">
        <v>0.0503075</v>
      </c>
      <c r="M398" s="2" t="n">
        <f aca="false">IF(M$7=M$5,M$6,IF(NORMSDIST(M$9*SQRT($C$11)*NORMSINV($B398)+SQRT(1-M$9^2*$C$11)*NORMSINV(L398))&lt;M$8,M$5+SQRT(NORMSDIST(M$9*SQRT($C$11)*NORMSINV($B398)+SQRT(1-M$9^2*$C$11)*NORMSINV(L398))*(M$7-M$5)*(M$6-M$5)),M$7-SQRT((1-NORMSDIST(M$9*SQRT($C$11)*NORMSINV($B398)+SQRT(1-M$9^2*$C$11)*NORMSINV(L398)))*(M$7-M$5)*(M$7-M$6))))</f>
        <v>1416.20349330147</v>
      </c>
      <c r="N398" s="2" t="n">
        <v>0.40296675</v>
      </c>
      <c r="O398" s="2" t="n">
        <f aca="false">IF(O$7=O$5,O$6,IF(NORMSDIST(O$9*SQRT($C$11)*NORMSINV($B398)+SQRT(1-O$9^2*$C$11)*NORMSINV(N398))&lt;O$8,O$5+SQRT(NORMSDIST(O$9*SQRT($C$11)*NORMSINV($B398)+SQRT(1-O$9^2*$C$11)*NORMSINV(N398))*(O$7-O$5)*(O$6-O$5)),O$7-SQRT((1-NORMSDIST(O$9*SQRT($C$11)*NORMSINV($B398)+SQRT(1-O$9^2*$C$11)*NORMSINV(N398)))*(O$7-O$5)*(O$7-O$6))))</f>
        <v>0.163154129625453</v>
      </c>
      <c r="P398" s="2" t="n">
        <v>0.340996563</v>
      </c>
      <c r="Q398" s="2" t="n">
        <f aca="false">IF(Q$7=Q$5,Q$6,IF(NORMSDIST(Q$9*SQRT($C$11)*NORMSINV($B398)+SQRT(1-Q$9^2*$C$11)*NORMSINV(P398))&lt;Q$8,Q$5+SQRT(NORMSDIST(Q$9*SQRT($C$11)*NORMSINV($B398)+SQRT(1-Q$9^2*$C$11)*NORMSINV(P398))*(Q$7-Q$5)*(Q$6-Q$5)),Q$7-SQRT((1-NORMSDIST(Q$9*SQRT($C$11)*NORMSINV($B398)+SQRT(1-Q$9^2*$C$11)*NORMSINV(P398)))*(Q$7-Q$5)*(Q$7-Q$6))))</f>
        <v>0.0730331500405275</v>
      </c>
      <c r="R398" s="2" t="n">
        <v>0.865123402</v>
      </c>
      <c r="S398" s="2" t="n">
        <f aca="false">IF(S$7=S$5,S$6,IF(NORMSDIST(S$9*SQRT($C$11)*NORMSINV($B398)+SQRT(1-S$9^2*$C$11)*NORMSINV(R398))&lt;S$8,S$5+SQRT(NORMSDIST(S$9*SQRT($C$11)*NORMSINV($B398)+SQRT(1-S$9^2*$C$11)*NORMSINV(R398))*(S$7-S$5)*(S$6-S$5)),S$7-SQRT((1-NORMSDIST(S$9*SQRT($C$11)*NORMSINV($B398)+SQRT(1-S$9^2*$C$11)*NORMSINV(R398)))*(S$7-S$5)*(S$7-S$6))))</f>
        <v>0.657324057177561</v>
      </c>
      <c r="T398" s="2" t="n">
        <v>0.814441757</v>
      </c>
      <c r="U398" s="2" t="n">
        <f aca="false">IF(U$7=U$5,U$6,IF(NORMSDIST(U$9*SQRT($C$11)*NORMSINV($B398)+SQRT(1-U$9^2*$C$11)*NORMSINV(T398))&lt;U$8,U$5+SQRT(NORMSDIST(U$9*SQRT($C$11)*NORMSINV($B398)+SQRT(1-U$9^2*$C$11)*NORMSINV(T398))*(U$7-U$5)*(U$6-U$5)),U$7-SQRT((1-NORMSDIST(U$9*SQRT($C$11)*NORMSINV($B398)+SQRT(1-U$9^2*$C$11)*NORMSINV(T398)))*(U$7-U$5)*(U$7-U$6))))</f>
        <v>0.620894525105873</v>
      </c>
      <c r="V398" s="2" t="n">
        <v>0.748486827</v>
      </c>
      <c r="W398" s="2" t="n">
        <f aca="false">IF(W$7=W$5,W$6,IF(NORMSDIST(W$9*SQRT($C$11)*NORMSINV($B398)+SQRT(1-W$9^2*$C$11)*NORMSINV(V398))&lt;W$8,W$5+SQRT(NORMSDIST(W$9*SQRT($C$11)*NORMSINV($B398)+SQRT(1-W$9^2*$C$11)*NORMSINV(V398))*(W$7-W$5)*(W$6-W$5)),W$7-SQRT((1-NORMSDIST(W$9*SQRT($C$11)*NORMSINV($B398)+SQRT(1-W$9^2*$C$11)*NORMSINV(V398)))*(W$7-W$5)*(W$7-W$6))))</f>
        <v>10.3280445907814</v>
      </c>
      <c r="X398" s="2" t="n">
        <v>0.648049926</v>
      </c>
      <c r="Y398" s="2" t="n">
        <f aca="false">IF(Y$7=Y$5,Y$6,IF(NORMSDIST(Y$9*SQRT($C$11)*NORMSINV($B398)+SQRT(1-Y$9^2*$C$11)*NORMSINV(X398))&lt;Y$8,Y$5+SQRT(NORMSDIST(Y$9*SQRT($C$11)*NORMSINV($B398)+SQRT(1-Y$9^2*$C$11)*NORMSINV(X398))*(Y$7-Y$5)*(Y$6-Y$5)),Y$7-SQRT((1-NORMSDIST(Y$9*SQRT($C$11)*NORMSINV($B398)+SQRT(1-Y$9^2*$C$11)*NORMSINV(X398)))*(Y$7-Y$5)*(Y$7-Y$6))))</f>
        <v>0.58050621339524</v>
      </c>
      <c r="Z398" s="2" t="n">
        <v>0.187576017</v>
      </c>
      <c r="AA398" s="2" t="n">
        <f aca="false">IF(AA$7=AA$5,AA$6,IF(NORMSDIST(AA$9*SQRT($C$11)*NORMSINV($B398)+SQRT(1-AA$9^2*$C$11)*NORMSINV(Z398))&lt;AA$8,AA$5+SQRT(NORMSDIST(AA$9*SQRT($C$11)*NORMSINV($B398)+SQRT(1-AA$9^2*$C$11)*NORMSINV(Z398))*(AA$7-AA$5)*(AA$6-AA$5)),AA$7-SQRT((1-NORMSDIST(AA$9*SQRT($C$11)*NORMSINV($B398)+SQRT(1-AA$9^2*$C$11)*NORMSINV(Z398)))*(AA$7-AA$5)*(AA$7-AA$6))))</f>
        <v>0.716350910627213</v>
      </c>
      <c r="AB398" s="2" t="n">
        <v>0.276412219</v>
      </c>
      <c r="AC398" s="2" t="n">
        <f aca="false">IF(AC$7=AC$5,AC$6,IF(NORMSDIST(AC$9*SQRT($C$11)*NORMSINV($B398)+SQRT(1-AC$9^2*$C$11)*NORMSINV(AB398))&lt;AC$8,AC$5+SQRT(NORMSDIST(AC$9*SQRT($C$11)*NORMSINV($B398)+SQRT(1-AC$9^2*$C$11)*NORMSINV(AB398))*(AC$7-AC$5)*(AC$6-AC$5)),AC$7-SQRT((1-NORMSDIST(AC$9*SQRT($C$11)*NORMSINV($B398)+SQRT(1-AC$9^2*$C$11)*NORMSINV(AB398)))*(AC$7-AC$5)*(AC$7-AC$6))))</f>
        <v>8.94713018709924</v>
      </c>
      <c r="AD398" s="2" t="n">
        <f aca="false">Entrées!$C$8*(1+E398)</f>
        <v>7426.18023209902</v>
      </c>
      <c r="AE398" s="2" t="n">
        <f aca="false">I398*Hypothèses!$J$24/12/Hypothèses!$J$19</f>
        <v>97.2748119381386</v>
      </c>
      <c r="AF398" s="2" t="n">
        <f aca="false">Entrées!$C$36*S398*1000</f>
        <v>328.66202858878</v>
      </c>
      <c r="AG398" s="2" t="n">
        <f aca="false">-AF398/W398</f>
        <v>-31.8222898536029</v>
      </c>
      <c r="AH398" s="2" t="n">
        <f aca="false">AD398+AE398+AG398</f>
        <v>7491.63275418356</v>
      </c>
      <c r="AI398" s="2" t="n">
        <f aca="false">Entrées!$C$16-M398+Hypothèses!$J$22*1000-AF398+Hypothèses!$J$23</f>
        <v>22803.1344781098</v>
      </c>
      <c r="AJ398" s="2" t="n">
        <f aca="false">AI398/AH398</f>
        <v>3.04381370875071</v>
      </c>
      <c r="AK398" s="2" t="n">
        <f aca="false">AI398/(AH398+I398*(12-Hypothèses!$J$24)/12/Hypothèses!$J$19)</f>
        <v>3.0158429270996</v>
      </c>
      <c r="AL398" s="2" t="n">
        <f aca="false">(AD398+AG398+I398/Hypothèses!$J$19)*(1+G398)</f>
        <v>8010.74848861109</v>
      </c>
      <c r="AM398" s="2" t="n">
        <f aca="false">Entrées!$C$54*K398/Hypothèses!$J$19</f>
        <v>21.0852040352803</v>
      </c>
      <c r="AN398" s="2" t="n">
        <f aca="false">Y398*1000/AC398</f>
        <v>64.8818337562881</v>
      </c>
      <c r="AO398" s="2" t="n">
        <f aca="false">(Entrées!$C$36*(1-S398)+MAX(0,Entrées!$C$30-Entrées!$C$35-Entrées!$C$36)*U398)*1000</f>
        <v>1040.59030655944</v>
      </c>
      <c r="AP398" s="2" t="n">
        <f aca="false">-AO398/W398</f>
        <v>-100.753854944454</v>
      </c>
      <c r="AQ398" s="2" t="n">
        <f aca="false">AL398+AM398+AN398+AP398</f>
        <v>7995.9616714582</v>
      </c>
      <c r="AR398" s="2" t="n">
        <f aca="false">O398*AQ398-Hypothèses!$J$25/Hypothèses!$J$19</f>
        <v>1285.43900476362</v>
      </c>
      <c r="AS398" s="2" t="n">
        <f aca="false">Entrées!$C$79*(1+Q398)+Hypothèses!$J$20</f>
        <v>1474.26343189454</v>
      </c>
      <c r="AT398" s="2" t="n">
        <f aca="false">AI398-AR398+AS398+Y398*1000-AO398+Hypothèses!$J$23</f>
        <v>22531.8748120765</v>
      </c>
      <c r="AU398" s="2" t="n">
        <f aca="false">AT398/AQ398</f>
        <v>2.81790680569475</v>
      </c>
      <c r="AV398" s="2" t="n">
        <f aca="false">Hypothèses!$J$26*AQ398-AT398</f>
        <v>1456.01020229814</v>
      </c>
      <c r="AW398" s="2" t="n">
        <f aca="false">IF(AC398&gt;Hypothèses!$J$26,MAX(0,AV398)/(1-Hypothèses!$J$26/AC398),0)</f>
        <v>2190.48724743997</v>
      </c>
      <c r="AX398" s="2" t="n">
        <f aca="false">AQ398-Entrées!$C$17*1000</f>
        <v>-4.03832854179746</v>
      </c>
      <c r="AY398" s="2" t="n">
        <f aca="false">AI398+(Entrées!$C$244-Entrées!$C$13)</f>
        <v>28550.1344781098</v>
      </c>
      <c r="AZ398" s="2" t="n">
        <f aca="false">AA398*AH398</f>
        <v>5366.63794554405</v>
      </c>
      <c r="BA398" s="2" t="n">
        <f aca="false">AZ398/AY398</f>
        <v>0.187972422674885</v>
      </c>
      <c r="BB398" s="2" t="n">
        <f aca="false">AZ398/(Entrées!$C$151/100)-AY398</f>
        <v>1264.52077491275</v>
      </c>
      <c r="BC398" s="2" t="n">
        <f aca="false">AT398+(Entrées!$C$244-Entrées!$C$13)</f>
        <v>28278.8748120765</v>
      </c>
      <c r="BD398" s="2" t="n">
        <f aca="false">AA398*AQ398</f>
        <v>5727.91442468938</v>
      </c>
      <c r="BE398" s="2" t="n">
        <f aca="false">BD398/BC398</f>
        <v>0.202551001861053</v>
      </c>
      <c r="BF398" s="2" t="n">
        <f aca="false">BD398/(Entrées!$C$151/100)-BC398</f>
        <v>3542.87199175341</v>
      </c>
      <c r="BG398" s="2" t="n">
        <f aca="false">MIN(AV398,BF398)</f>
        <v>1456.01020229814</v>
      </c>
      <c r="BH398" s="2" t="n">
        <f aca="false">IF(AC398&gt;Hypothèses!$J$26,MAX(0,BG398)/(1-Hypothèses!$J$26/AC398),0)</f>
        <v>2190.48724743997</v>
      </c>
    </row>
    <row r="399" customFormat="false" ht="15" hidden="false" customHeight="false" outlineLevel="0" collapsed="false">
      <c r="A399" s="2" t="n">
        <v>384</v>
      </c>
      <c r="B399" s="2" t="n">
        <v>0.23458851</v>
      </c>
      <c r="C399" s="2"/>
      <c r="D399" s="2" t="n">
        <v>0.429033646</v>
      </c>
      <c r="E399" s="2" t="n">
        <f aca="false">IF(E$7=E$5,E$6,IF(NORMSDIST(E$9*SQRT($C$11)*NORMSINV($B399)+SQRT(1-E$9^2*$C$11)*NORMSINV(D399))&lt;E$8,E$5+SQRT(NORMSDIST(E$9*SQRT($C$11)*NORMSINV($B399)+SQRT(1-E$9^2*$C$11)*NORMSINV(D399))*(E$7-E$5)*(E$6-E$5)),E$7-SQRT((1-NORMSDIST(E$9*SQRT($C$11)*NORMSINV($B399)+SQRT(1-E$9^2*$C$11)*NORMSINV(D399)))*(E$7-E$5)*(E$7-E$6))))</f>
        <v>0.0537113656428412</v>
      </c>
      <c r="F399" s="2" t="n">
        <v>0.27206672</v>
      </c>
      <c r="G399" s="2" t="n">
        <f aca="false">IF(G$7=G$5,G$6,IF(NORMSDIST(G$9*SQRT($C$11)*NORMSINV($B399)+SQRT(1-G$9^2*$C$11)*NORMSINV(F399))&lt;G$8,G$5+SQRT(NORMSDIST(G$9*SQRT($C$11)*NORMSINV($B399)+SQRT(1-G$9^2*$C$11)*NORMSINV(F399))*(G$7-G$5)*(G$6-G$5)),G$7-SQRT((1-NORMSDIST(G$9*SQRT($C$11)*NORMSINV($B399)+SQRT(1-G$9^2*$C$11)*NORMSINV(F399)))*(G$7-G$5)*(G$7-G$6))))</f>
        <v>0.0489196116014625</v>
      </c>
      <c r="H399" s="2" t="n">
        <v>0.651351923</v>
      </c>
      <c r="I399" s="2" t="n">
        <f aca="false">IF(I$7=I$5,I$6,IF(NORMSDIST(I$9*SQRT($C$11)*NORMSINV($B399)+SQRT(1-I$9^2*$C$11)*NORMSINV(H399))&lt;I$8,I$5+SQRT(NORMSDIST(I$9*SQRT($C$11)*NORMSINV($B399)+SQRT(1-I$9^2*$C$11)*NORMSINV(H399))*(I$7-I$5)*(I$6-I$5)),I$7-SQRT((1-NORMSDIST(I$9*SQRT($C$11)*NORMSINV($B399)+SQRT(1-I$9^2*$C$11)*NORMSINV(H399)))*(I$7-I$5)*(I$7-I$6))))</f>
        <v>198.71523381488</v>
      </c>
      <c r="J399" s="2" t="n">
        <v>0.048146774</v>
      </c>
      <c r="K399" s="2" t="n">
        <f aca="false">IF(K$7=K$5,K$6,IF(NORMSDIST(K$9*SQRT($C$11)*NORMSINV($B399)+SQRT(1-K$9^2*$C$11)*NORMSINV(J399))&lt;K$8,K$5+SQRT(NORMSDIST(K$9*SQRT($C$11)*NORMSINV($B399)+SQRT(1-K$9^2*$C$11)*NORMSINV(J399))*(K$7-K$5)*(K$6-K$5)),K$7-SQRT((1-NORMSDIST(K$9*SQRT($C$11)*NORMSINV($B399)+SQRT(1-K$9^2*$C$11)*NORMSINV(J399)))*(K$7-K$5)*(K$7-K$6))))</f>
        <v>0.0710673638142913</v>
      </c>
      <c r="L399" s="2" t="n">
        <v>0.747827315</v>
      </c>
      <c r="M399" s="2" t="n">
        <f aca="false">IF(M$7=M$5,M$6,IF(NORMSDIST(M$9*SQRT($C$11)*NORMSINV($B399)+SQRT(1-M$9^2*$C$11)*NORMSINV(L399))&lt;M$8,M$5+SQRT(NORMSDIST(M$9*SQRT($C$11)*NORMSINV($B399)+SQRT(1-M$9^2*$C$11)*NORMSINV(L399))*(M$7-M$5)*(M$6-M$5)),M$7-SQRT((1-NORMSDIST(M$9*SQRT($C$11)*NORMSINV($B399)+SQRT(1-M$9^2*$C$11)*NORMSINV(L399)))*(M$7-M$5)*(M$7-M$6))))</f>
        <v>1591.95497195359</v>
      </c>
      <c r="N399" s="2" t="n">
        <v>0.467629156</v>
      </c>
      <c r="O399" s="2" t="n">
        <f aca="false">IF(O$7=O$5,O$6,IF(NORMSDIST(O$9*SQRT($C$11)*NORMSINV($B399)+SQRT(1-O$9^2*$C$11)*NORMSINV(N399))&lt;O$8,O$5+SQRT(NORMSDIST(O$9*SQRT($C$11)*NORMSINV($B399)+SQRT(1-O$9^2*$C$11)*NORMSINV(N399))*(O$7-O$5)*(O$6-O$5)),O$7-SQRT((1-NORMSDIST(O$9*SQRT($C$11)*NORMSINV($B399)+SQRT(1-O$9^2*$C$11)*NORMSINV(N399)))*(O$7-O$5)*(O$7-O$6))))</f>
        <v>0.160791612923812</v>
      </c>
      <c r="P399" s="2" t="n">
        <v>0.608539756</v>
      </c>
      <c r="Q399" s="2" t="n">
        <f aca="false">IF(Q$7=Q$5,Q$6,IF(NORMSDIST(Q$9*SQRT($C$11)*NORMSINV($B399)+SQRT(1-Q$9^2*$C$11)*NORMSINV(P399))&lt;Q$8,Q$5+SQRT(NORMSDIST(Q$9*SQRT($C$11)*NORMSINV($B399)+SQRT(1-Q$9^2*$C$11)*NORMSINV(P399))*(Q$7-Q$5)*(Q$6-Q$5)),Q$7-SQRT((1-NORMSDIST(Q$9*SQRT($C$11)*NORMSINV($B399)+SQRT(1-Q$9^2*$C$11)*NORMSINV(P399)))*(Q$7-Q$5)*(Q$7-Q$6))))</f>
        <v>0.08460688229613</v>
      </c>
      <c r="R399" s="2" t="n">
        <v>0.206008437</v>
      </c>
      <c r="S399" s="2" t="n">
        <f aca="false">IF(S$7=S$5,S$6,IF(NORMSDIST(S$9*SQRT($C$11)*NORMSINV($B399)+SQRT(1-S$9^2*$C$11)*NORMSINV(R399))&lt;S$8,S$5+SQRT(NORMSDIST(S$9*SQRT($C$11)*NORMSINV($B399)+SQRT(1-S$9^2*$C$11)*NORMSINV(R399))*(S$7-S$5)*(S$6-S$5)),S$7-SQRT((1-NORMSDIST(S$9*SQRT($C$11)*NORMSINV($B399)+SQRT(1-S$9^2*$C$11)*NORMSINV(R399)))*(S$7-S$5)*(S$7-S$6))))</f>
        <v>0.261866291387161</v>
      </c>
      <c r="T399" s="2" t="n">
        <v>0.386805312</v>
      </c>
      <c r="U399" s="2" t="n">
        <f aca="false">IF(U$7=U$5,U$6,IF(NORMSDIST(U$9*SQRT($C$11)*NORMSINV($B399)+SQRT(1-U$9^2*$C$11)*NORMSINV(T399))&lt;U$8,U$5+SQRT(NORMSDIST(U$9*SQRT($C$11)*NORMSINV($B399)+SQRT(1-U$9^2*$C$11)*NORMSINV(T399))*(U$7-U$5)*(U$6-U$5)),U$7-SQRT((1-NORMSDIST(U$9*SQRT($C$11)*NORMSINV($B399)+SQRT(1-U$9^2*$C$11)*NORMSINV(T399)))*(U$7-U$5)*(U$7-U$6))))</f>
        <v>0.352180575833499</v>
      </c>
      <c r="V399" s="2" t="n">
        <v>0.396144748</v>
      </c>
      <c r="W399" s="2" t="n">
        <f aca="false">IF(W$7=W$5,W$6,IF(NORMSDIST(W$9*SQRT($C$11)*NORMSINV($B399)+SQRT(1-W$9^2*$C$11)*NORMSINV(V399))&lt;W$8,W$5+SQRT(NORMSDIST(W$9*SQRT($C$11)*NORMSINV($B399)+SQRT(1-W$9^2*$C$11)*NORMSINV(V399))*(W$7-W$5)*(W$6-W$5)),W$7-SQRT((1-NORMSDIST(W$9*SQRT($C$11)*NORMSINV($B399)+SQRT(1-W$9^2*$C$11)*NORMSINV(V399)))*(W$7-W$5)*(W$7-W$6))))</f>
        <v>9.42565377144002</v>
      </c>
      <c r="X399" s="2" t="n">
        <v>0.926795652</v>
      </c>
      <c r="Y399" s="2" t="n">
        <f aca="false">IF(Y$7=Y$5,Y$6,IF(NORMSDIST(Y$9*SQRT($C$11)*NORMSINV($B399)+SQRT(1-Y$9^2*$C$11)*NORMSINV(X399))&lt;Y$8,Y$5+SQRT(NORMSDIST(Y$9*SQRT($C$11)*NORMSINV($B399)+SQRT(1-Y$9^2*$C$11)*NORMSINV(X399))*(Y$7-Y$5)*(Y$6-Y$5)),Y$7-SQRT((1-NORMSDIST(Y$9*SQRT($C$11)*NORMSINV($B399)+SQRT(1-Y$9^2*$C$11)*NORMSINV(X399)))*(Y$7-Y$5)*(Y$7-Y$6))))</f>
        <v>0.808683053547262</v>
      </c>
      <c r="Z399" s="2" t="n">
        <v>0.463824826</v>
      </c>
      <c r="AA399" s="2" t="n">
        <f aca="false">IF(AA$7=AA$5,AA$6,IF(NORMSDIST(AA$9*SQRT($C$11)*NORMSINV($B399)+SQRT(1-AA$9^2*$C$11)*NORMSINV(Z399))&lt;AA$8,AA$5+SQRT(NORMSDIST(AA$9*SQRT($C$11)*NORMSINV($B399)+SQRT(1-AA$9^2*$C$11)*NORMSINV(Z399))*(AA$7-AA$5)*(AA$6-AA$5)),AA$7-SQRT((1-NORMSDIST(AA$9*SQRT($C$11)*NORMSINV($B399)+SQRT(1-AA$9^2*$C$11)*NORMSINV(Z399)))*(AA$7-AA$5)*(AA$7-AA$6))))</f>
        <v>0.720618794665792</v>
      </c>
      <c r="AB399" s="2" t="n">
        <v>0.984406695</v>
      </c>
      <c r="AC399" s="2" t="n">
        <f aca="false">IF(AC$7=AC$5,AC$6,IF(NORMSDIST(AC$9*SQRT($C$11)*NORMSINV($B399)+SQRT(1-AC$9^2*$C$11)*NORMSINV(AB399))&lt;AC$8,AC$5+SQRT(NORMSDIST(AC$9*SQRT($C$11)*NORMSINV($B399)+SQRT(1-AC$9^2*$C$11)*NORMSINV(AB399))*(AC$7-AC$5)*(AC$6-AC$5)),AC$7-SQRT((1-NORMSDIST(AC$9*SQRT($C$11)*NORMSINV($B399)+SQRT(1-AC$9^2*$C$11)*NORMSINV(AB399)))*(AC$7-AC$5)*(AC$7-AC$6))))</f>
        <v>10.3016120169123</v>
      </c>
      <c r="AD399" s="2" t="n">
        <f aca="false">Entrées!$C$8*(1+E399)</f>
        <v>7428.66512778203</v>
      </c>
      <c r="AE399" s="2" t="n">
        <f aca="false">I399*Hypothèses!$J$24/12/Hypothèses!$J$19</f>
        <v>98.5819914827135</v>
      </c>
      <c r="AF399" s="2" t="n">
        <f aca="false">Entrées!$C$36*S399*1000</f>
        <v>130.93314569358</v>
      </c>
      <c r="AG399" s="2" t="n">
        <f aca="false">-AF399/W399</f>
        <v>-13.8911473801755</v>
      </c>
      <c r="AH399" s="2" t="n">
        <f aca="false">AD399+AE399+AG399</f>
        <v>7513.35597188457</v>
      </c>
      <c r="AI399" s="2" t="n">
        <f aca="false">Entrées!$C$16-M399+Hypothèses!$J$22*1000-AF399+Hypothèses!$J$23</f>
        <v>22825.1118823528</v>
      </c>
      <c r="AJ399" s="2" t="n">
        <f aca="false">AI399/AH399</f>
        <v>3.03793830184085</v>
      </c>
      <c r="AK399" s="2" t="n">
        <f aca="false">AI399/(AH399+I399*(12-Hypothèses!$J$24)/12/Hypothèses!$J$19)</f>
        <v>3.00973088922061</v>
      </c>
      <c r="AL399" s="2" t="n">
        <f aca="false">(AD399+AG399+I399/Hypothèses!$J$19)*(1+G399)</f>
        <v>7954.76684515051</v>
      </c>
      <c r="AM399" s="2" t="n">
        <f aca="false">Entrées!$C$54*K399/Hypothèses!$J$19</f>
        <v>7.2527228698265</v>
      </c>
      <c r="AN399" s="2" t="n">
        <f aca="false">Y399*1000/AC399</f>
        <v>78.5006319612535</v>
      </c>
      <c r="AO399" s="2" t="n">
        <f aca="false">(Entrées!$C$36*(1-S399)+MAX(0,Entrées!$C$30-Entrées!$C$35-Entrées!$C$36)*U399)*1000</f>
        <v>862.119660473318</v>
      </c>
      <c r="AP399" s="2" t="n">
        <f aca="false">-AO399/W399</f>
        <v>-91.465237465603</v>
      </c>
      <c r="AQ399" s="2" t="n">
        <f aca="false">AL399+AM399+AN399+AP399</f>
        <v>7949.05496251599</v>
      </c>
      <c r="AR399" s="2" t="n">
        <f aca="false">O399*AQ399-Hypothèses!$J$25/Hypothèses!$J$19</f>
        <v>1259.00620638135</v>
      </c>
      <c r="AS399" s="2" t="n">
        <f aca="false">Entrées!$C$79*(1+Q399)+Hypothèses!$J$20</f>
        <v>1486.98296364345</v>
      </c>
      <c r="AT399" s="2" t="n">
        <f aca="false">AI399-AR399+AS399+Y399*1000-AO399+Hypothèses!$J$23</f>
        <v>22999.6520326889</v>
      </c>
      <c r="AU399" s="2" t="n">
        <f aca="false">AT399/AQ399</f>
        <v>2.89338193548094</v>
      </c>
      <c r="AV399" s="2" t="n">
        <f aca="false">Hypothèses!$J$26*AQ399-AT399</f>
        <v>847.512854859091</v>
      </c>
      <c r="AW399" s="2" t="n">
        <f aca="false">IF(AC399&gt;Hypothèses!$J$26,MAX(0,AV399)/(1-Hypothèses!$J$26/AC399),0)</f>
        <v>1195.72891436597</v>
      </c>
      <c r="AX399" s="2" t="n">
        <f aca="false">AQ399-Entrées!$C$17*1000</f>
        <v>-50.9450374840144</v>
      </c>
      <c r="AY399" s="2" t="n">
        <f aca="false">AI399+(Entrées!$C$244-Entrées!$C$13)</f>
        <v>28572.1118823528</v>
      </c>
      <c r="AZ399" s="2" t="n">
        <f aca="false">AA399*AH399</f>
        <v>5414.26552435449</v>
      </c>
      <c r="BA399" s="2" t="n">
        <f aca="false">AZ399/AY399</f>
        <v>0.189494761417987</v>
      </c>
      <c r="BB399" s="2" t="n">
        <f aca="false">AZ399/(Entrées!$C$151/100)-AY399</f>
        <v>1507.14103072766</v>
      </c>
      <c r="BC399" s="2" t="n">
        <f aca="false">AT399+(Entrées!$C$244-Entrées!$C$13)</f>
        <v>28746.6520326889</v>
      </c>
      <c r="BD399" s="2" t="n">
        <f aca="false">AA399*AQ399</f>
        <v>5728.2384058204</v>
      </c>
      <c r="BE399" s="2" t="n">
        <f aca="false">BD399/BC399</f>
        <v>0.199266279749955</v>
      </c>
      <c r="BF399" s="2" t="n">
        <f aca="false">BD399/(Entrées!$C$151/100)-BC399</f>
        <v>3076.89466631338</v>
      </c>
      <c r="BG399" s="2" t="n">
        <f aca="false">MIN(AV399,BF399)</f>
        <v>847.512854859091</v>
      </c>
      <c r="BH399" s="2" t="n">
        <f aca="false">IF(AC399&gt;Hypothèses!$J$26,MAX(0,BG399)/(1-Hypothèses!$J$26/AC399),0)</f>
        <v>1195.72891436597</v>
      </c>
    </row>
    <row r="400" customFormat="false" ht="15" hidden="false" customHeight="false" outlineLevel="0" collapsed="false">
      <c r="A400" s="2" t="n">
        <v>385</v>
      </c>
      <c r="B400" s="2" t="n">
        <v>0.062521004</v>
      </c>
      <c r="C400" s="2"/>
      <c r="D400" s="2" t="n">
        <v>0.693827713</v>
      </c>
      <c r="E400" s="2" t="n">
        <f aca="false">IF(E$7=E$5,E$6,IF(NORMSDIST(E$9*SQRT($C$11)*NORMSINV($B400)+SQRT(1-E$9^2*$C$11)*NORMSINV(D400))&lt;E$8,E$5+SQRT(NORMSDIST(E$9*SQRT($C$11)*NORMSINV($B400)+SQRT(1-E$9^2*$C$11)*NORMSINV(D400))*(E$7-E$5)*(E$6-E$5)),E$7-SQRT((1-NORMSDIST(E$9*SQRT($C$11)*NORMSINV($B400)+SQRT(1-E$9^2*$C$11)*NORMSINV(D400)))*(E$7-E$5)*(E$7-E$6))))</f>
        <v>0.053753346863486</v>
      </c>
      <c r="F400" s="2" t="n">
        <v>0.593881873</v>
      </c>
      <c r="G400" s="2" t="n">
        <f aca="false">IF(G$7=G$5,G$6,IF(NORMSDIST(G$9*SQRT($C$11)*NORMSINV($B400)+SQRT(1-G$9^2*$C$11)*NORMSINV(F400))&lt;G$8,G$5+SQRT(NORMSDIST(G$9*SQRT($C$11)*NORMSINV($B400)+SQRT(1-G$9^2*$C$11)*NORMSINV(F400))*(G$7-G$5)*(G$6-G$5)),G$7-SQRT((1-NORMSDIST(G$9*SQRT($C$11)*NORMSINV($B400)+SQRT(1-G$9^2*$C$11)*NORMSINV(F400)))*(G$7-G$5)*(G$7-G$6))))</f>
        <v>0.0498564528361077</v>
      </c>
      <c r="H400" s="2" t="n">
        <v>0.140093953</v>
      </c>
      <c r="I400" s="2" t="n">
        <f aca="false">IF(I$7=I$5,I$6,IF(NORMSDIST(I$9*SQRT($C$11)*NORMSINV($B400)+SQRT(1-I$9^2*$C$11)*NORMSINV(H400))&lt;I$8,I$5+SQRT(NORMSDIST(I$9*SQRT($C$11)*NORMSINV($B400)+SQRT(1-I$9^2*$C$11)*NORMSINV(H400))*(I$7-I$5)*(I$6-I$5)),I$7-SQRT((1-NORMSDIST(I$9*SQRT($C$11)*NORMSINV($B400)+SQRT(1-I$9^2*$C$11)*NORMSINV(H400)))*(I$7-I$5)*(I$7-I$6))))</f>
        <v>185.322347044363</v>
      </c>
      <c r="J400" s="2" t="n">
        <v>0.148679369</v>
      </c>
      <c r="K400" s="2" t="n">
        <f aca="false">IF(K$7=K$5,K$6,IF(NORMSDIST(K$9*SQRT($C$11)*NORMSINV($B400)+SQRT(1-K$9^2*$C$11)*NORMSINV(J400))&lt;K$8,K$5+SQRT(NORMSDIST(K$9*SQRT($C$11)*NORMSINV($B400)+SQRT(1-K$9^2*$C$11)*NORMSINV(J400))*(K$7-K$5)*(K$6-K$5)),K$7-SQRT((1-NORMSDIST(K$9*SQRT($C$11)*NORMSINV($B400)+SQRT(1-K$9^2*$C$11)*NORMSINV(J400)))*(K$7-K$5)*(K$7-K$6))))</f>
        <v>0.0686962770627146</v>
      </c>
      <c r="L400" s="2" t="n">
        <v>0.694079365</v>
      </c>
      <c r="M400" s="2" t="n">
        <f aca="false">IF(M$7=M$5,M$6,IF(NORMSDIST(M$9*SQRT($C$11)*NORMSINV($B400)+SQRT(1-M$9^2*$C$11)*NORMSINV(L400))&lt;M$8,M$5+SQRT(NORMSDIST(M$9*SQRT($C$11)*NORMSINV($B400)+SQRT(1-M$9^2*$C$11)*NORMSINV(L400))*(M$7-M$5)*(M$6-M$5)),M$7-SQRT((1-NORMSDIST(M$9*SQRT($C$11)*NORMSINV($B400)+SQRT(1-M$9^2*$C$11)*NORMSINV(L400)))*(M$7-M$5)*(M$7-M$6))))</f>
        <v>1515.072687575</v>
      </c>
      <c r="N400" s="2" t="n">
        <v>0.706143357</v>
      </c>
      <c r="O400" s="2" t="n">
        <f aca="false">IF(O$7=O$5,O$6,IF(NORMSDIST(O$9*SQRT($C$11)*NORMSINV($B400)+SQRT(1-O$9^2*$C$11)*NORMSINV(N400))&lt;O$8,O$5+SQRT(NORMSDIST(O$9*SQRT($C$11)*NORMSINV($B400)+SQRT(1-O$9^2*$C$11)*NORMSINV(N400))*(O$7-O$5)*(O$6-O$5)),O$7-SQRT((1-NORMSDIST(O$9*SQRT($C$11)*NORMSINV($B400)+SQRT(1-O$9^2*$C$11)*NORMSINV(N400)))*(O$7-O$5)*(O$7-O$6))))</f>
        <v>0.160436736599801</v>
      </c>
      <c r="P400" s="2" t="n">
        <v>0.799604678</v>
      </c>
      <c r="Q400" s="2" t="n">
        <f aca="false">IF(Q$7=Q$5,Q$6,IF(NORMSDIST(Q$9*SQRT($C$11)*NORMSINV($B400)+SQRT(1-Q$9^2*$C$11)*NORMSINV(P400))&lt;Q$8,Q$5+SQRT(NORMSDIST(Q$9*SQRT($C$11)*NORMSINV($B400)+SQRT(1-Q$9^2*$C$11)*NORMSINV(P400))*(Q$7-Q$5)*(Q$6-Q$5)),Q$7-SQRT((1-NORMSDIST(Q$9*SQRT($C$11)*NORMSINV($B400)+SQRT(1-Q$9^2*$C$11)*NORMSINV(P400)))*(Q$7-Q$5)*(Q$7-Q$6))))</f>
        <v>0.0946767887028521</v>
      </c>
      <c r="R400" s="2" t="n">
        <v>0.842051346</v>
      </c>
      <c r="S400" s="2" t="n">
        <f aca="false">IF(S$7=S$5,S$6,IF(NORMSDIST(S$9*SQRT($C$11)*NORMSINV($B400)+SQRT(1-S$9^2*$C$11)*NORMSINV(R400))&lt;S$8,S$5+SQRT(NORMSDIST(S$9*SQRT($C$11)*NORMSINV($B400)+SQRT(1-S$9^2*$C$11)*NORMSINV(R400))*(S$7-S$5)*(S$6-S$5)),S$7-SQRT((1-NORMSDIST(S$9*SQRT($C$11)*NORMSINV($B400)+SQRT(1-S$9^2*$C$11)*NORMSINV(R400)))*(S$7-S$5)*(S$7-S$6))))</f>
        <v>0.460089515568276</v>
      </c>
      <c r="T400" s="2" t="n">
        <v>0.331806057</v>
      </c>
      <c r="U400" s="2" t="n">
        <f aca="false">IF(U$7=U$5,U$6,IF(NORMSDIST(U$9*SQRT($C$11)*NORMSINV($B400)+SQRT(1-U$9^2*$C$11)*NORMSINV(T400))&lt;U$8,U$5+SQRT(NORMSDIST(U$9*SQRT($C$11)*NORMSINV($B400)+SQRT(1-U$9^2*$C$11)*NORMSINV(T400))*(U$7-U$5)*(U$6-U$5)),U$7-SQRT((1-NORMSDIST(U$9*SQRT($C$11)*NORMSINV($B400)+SQRT(1-U$9^2*$C$11)*NORMSINV(T400)))*(U$7-U$5)*(U$7-U$6))))</f>
        <v>0.218629368647294</v>
      </c>
      <c r="V400" s="2" t="n">
        <v>0.298421032</v>
      </c>
      <c r="W400" s="2" t="n">
        <f aca="false">IF(W$7=W$5,W$6,IF(NORMSDIST(W$9*SQRT($C$11)*NORMSINV($B400)+SQRT(1-W$9^2*$C$11)*NORMSINV(V400))&lt;W$8,W$5+SQRT(NORMSDIST(W$9*SQRT($C$11)*NORMSINV($B400)+SQRT(1-W$9^2*$C$11)*NORMSINV(V400))*(W$7-W$5)*(W$6-W$5)),W$7-SQRT((1-NORMSDIST(W$9*SQRT($C$11)*NORMSINV($B400)+SQRT(1-W$9^2*$C$11)*NORMSINV(V400)))*(W$7-W$5)*(W$7-W$6))))</f>
        <v>8.81884038803665</v>
      </c>
      <c r="X400" s="2" t="n">
        <v>0.623385543</v>
      </c>
      <c r="Y400" s="2" t="n">
        <f aca="false">IF(Y$7=Y$5,Y$6,IF(NORMSDIST(Y$9*SQRT($C$11)*NORMSINV($B400)+SQRT(1-Y$9^2*$C$11)*NORMSINV(X400))&lt;Y$8,Y$5+SQRT(NORMSDIST(Y$9*SQRT($C$11)*NORMSINV($B400)+SQRT(1-Y$9^2*$C$11)*NORMSINV(X400))*(Y$7-Y$5)*(Y$6-Y$5)),Y$7-SQRT((1-NORMSDIST(Y$9*SQRT($C$11)*NORMSINV($B400)+SQRT(1-Y$9^2*$C$11)*NORMSINV(X400)))*(Y$7-Y$5)*(Y$7-Y$6))))</f>
        <v>0.566056192001776</v>
      </c>
      <c r="Z400" s="2" t="n">
        <v>0.10154822</v>
      </c>
      <c r="AA400" s="2" t="n">
        <f aca="false">IF(AA$7=AA$5,AA$6,IF(NORMSDIST(AA$9*SQRT($C$11)*NORMSINV($B400)+SQRT(1-AA$9^2*$C$11)*NORMSINV(Z400))&lt;AA$8,AA$5+SQRT(NORMSDIST(AA$9*SQRT($C$11)*NORMSINV($B400)+SQRT(1-AA$9^2*$C$11)*NORMSINV(Z400))*(AA$7-AA$5)*(AA$6-AA$5)),AA$7-SQRT((1-NORMSDIST(AA$9*SQRT($C$11)*NORMSINV($B400)+SQRT(1-AA$9^2*$C$11)*NORMSINV(Z400)))*(AA$7-AA$5)*(AA$7-AA$6))))</f>
        <v>0.702671874110486</v>
      </c>
      <c r="AB400" s="2" t="n">
        <v>0.081035878</v>
      </c>
      <c r="AC400" s="2" t="n">
        <f aca="false">IF(AC$7=AC$5,AC$6,IF(NORMSDIST(AC$9*SQRT($C$11)*NORMSINV($B400)+SQRT(1-AC$9^2*$C$11)*NORMSINV(AB400))&lt;AC$8,AC$5+SQRT(NORMSDIST(AC$9*SQRT($C$11)*NORMSINV($B400)+SQRT(1-AC$9^2*$C$11)*NORMSINV(AB400))*(AC$7-AC$5)*(AC$6-AC$5)),AC$7-SQRT((1-NORMSDIST(AC$9*SQRT($C$11)*NORMSINV($B400)+SQRT(1-AC$9^2*$C$11)*NORMSINV(AB400)))*(AC$7-AC$5)*(AC$7-AC$6))))</f>
        <v>7.81599476574987</v>
      </c>
      <c r="AD400" s="2" t="n">
        <f aca="false">Entrées!$C$8*(1+E400)</f>
        <v>7428.96109538758</v>
      </c>
      <c r="AE400" s="2" t="n">
        <f aca="false">I400*Hypothèses!$J$24/12/Hypothèses!$J$19</f>
        <v>91.937823221462</v>
      </c>
      <c r="AF400" s="2" t="n">
        <f aca="false">Entrées!$C$36*S400*1000</f>
        <v>230.044757784138</v>
      </c>
      <c r="AG400" s="2" t="n">
        <f aca="false">-AF400/W400</f>
        <v>-26.0856016961379</v>
      </c>
      <c r="AH400" s="2" t="n">
        <f aca="false">AD400+AE400+AG400</f>
        <v>7494.8133169129</v>
      </c>
      <c r="AI400" s="2" t="n">
        <f aca="false">Entrées!$C$16-M400+Hypothèses!$J$22*1000-AF400+Hypothèses!$J$23</f>
        <v>22802.8825546409</v>
      </c>
      <c r="AJ400" s="2" t="n">
        <f aca="false">AI400/AH400</f>
        <v>3.04248839703366</v>
      </c>
      <c r="AK400" s="2" t="n">
        <f aca="false">AI400/(AH400+I400*(12-Hypothèses!$J$24)/12/Hypothèses!$J$19)</f>
        <v>3.01606153729217</v>
      </c>
      <c r="AL400" s="2" t="n">
        <f aca="false">(AD400+AG400+I400/Hypothèses!$J$19)*(1+G400)</f>
        <v>7937.42206425497</v>
      </c>
      <c r="AM400" s="2" t="n">
        <f aca="false">Entrées!$C$54*K400/Hypothèses!$J$19</f>
        <v>7.01074351127817</v>
      </c>
      <c r="AN400" s="2" t="n">
        <f aca="false">Y400*1000/AC400</f>
        <v>72.4227956858756</v>
      </c>
      <c r="AO400" s="2" t="n">
        <f aca="false">(Entrées!$C$36*(1-S400)+MAX(0,Entrées!$C$30-Entrées!$C$35-Entrées!$C$36)*U400)*1000</f>
        <v>576.036358322074</v>
      </c>
      <c r="AP400" s="2" t="n">
        <f aca="false">-AO400/W400</f>
        <v>-65.3188325194666</v>
      </c>
      <c r="AQ400" s="2" t="n">
        <f aca="false">AL400+AM400+AN400+AP400</f>
        <v>7951.53677093266</v>
      </c>
      <c r="AR400" s="2" t="n">
        <f aca="false">O400*AQ400-Hypothèses!$J$25/Hypothèses!$J$19</f>
        <v>1256.58344822013</v>
      </c>
      <c r="AS400" s="2" t="n">
        <f aca="false">Entrées!$C$79*(1+Q400)+Hypothèses!$J$20</f>
        <v>1498.04979078443</v>
      </c>
      <c r="AT400" s="2" t="n">
        <f aca="false">AI400-AR400+AS400+Y400*1000-AO400+Hypothèses!$J$23</f>
        <v>23034.3687308849</v>
      </c>
      <c r="AU400" s="2" t="n">
        <f aca="false">AT400/AQ400</f>
        <v>2.89684489859727</v>
      </c>
      <c r="AV400" s="2" t="n">
        <f aca="false">Hypothèses!$J$26*AQ400-AT400</f>
        <v>820.241581913102</v>
      </c>
      <c r="AW400" s="2" t="n">
        <f aca="false">IF(AC400&gt;Hypothèses!$J$26,MAX(0,AV400)/(1-Hypothèses!$J$26/AC400),0)</f>
        <v>1331.18996650009</v>
      </c>
      <c r="AX400" s="2" t="n">
        <f aca="false">AQ400-Entrées!$C$17*1000</f>
        <v>-48.4632290673435</v>
      </c>
      <c r="AY400" s="2" t="n">
        <f aca="false">AI400+(Entrées!$C$244-Entrées!$C$13)</f>
        <v>28549.8825546409</v>
      </c>
      <c r="AZ400" s="2" t="n">
        <f aca="false">AA400*AH400</f>
        <v>5266.39451950341</v>
      </c>
      <c r="BA400" s="2" t="n">
        <f aca="false">AZ400/AY400</f>
        <v>0.184462913618793</v>
      </c>
      <c r="BB400" s="2" t="n">
        <f aca="false">AZ400/(Entrées!$C$151/100)-AY400</f>
        <v>707.864775933656</v>
      </c>
      <c r="BC400" s="2" t="n">
        <f aca="false">AT400+(Entrées!$C$244-Entrées!$C$13)</f>
        <v>28781.3687308849</v>
      </c>
      <c r="BD400" s="2" t="n">
        <f aca="false">AA400*AQ400</f>
        <v>5587.32124488969</v>
      </c>
      <c r="BE400" s="2" t="n">
        <f aca="false">BD400/BC400</f>
        <v>0.194129796158513</v>
      </c>
      <c r="BF400" s="2" t="n">
        <f aca="false">BD400/(Entrées!$C$151/100)-BC400</f>
        <v>2259.30485183563</v>
      </c>
      <c r="BG400" s="2" t="n">
        <f aca="false">MIN(AV400,BF400)</f>
        <v>820.241581913102</v>
      </c>
      <c r="BH400" s="2" t="n">
        <f aca="false">IF(AC400&gt;Hypothèses!$J$26,MAX(0,BG400)/(1-Hypothèses!$J$26/AC400),0)</f>
        <v>1331.18996650009</v>
      </c>
    </row>
    <row r="401" customFormat="false" ht="15" hidden="false" customHeight="false" outlineLevel="0" collapsed="false">
      <c r="A401" s="2" t="n">
        <v>386</v>
      </c>
      <c r="B401" s="2" t="n">
        <v>0.420001186</v>
      </c>
      <c r="C401" s="2"/>
      <c r="D401" s="2" t="n">
        <v>0.857325685</v>
      </c>
      <c r="E401" s="2" t="n">
        <f aca="false">IF(E$7=E$5,E$6,IF(NORMSDIST(E$9*SQRT($C$11)*NORMSINV($B401)+SQRT(1-E$9^2*$C$11)*NORMSINV(D401))&lt;E$8,E$5+SQRT(NORMSDIST(E$9*SQRT($C$11)*NORMSINV($B401)+SQRT(1-E$9^2*$C$11)*NORMSINV(D401))*(E$7-E$5)*(E$6-E$5)),E$7-SQRT((1-NORMSDIST(E$9*SQRT($C$11)*NORMSINV($B401)+SQRT(1-E$9^2*$C$11)*NORMSINV(D401)))*(E$7-E$5)*(E$7-E$6))))</f>
        <v>0.0565214813946953</v>
      </c>
      <c r="F401" s="2" t="n">
        <v>0.085818343</v>
      </c>
      <c r="G401" s="2" t="n">
        <f aca="false">IF(G$7=G$5,G$6,IF(NORMSDIST(G$9*SQRT($C$11)*NORMSINV($B401)+SQRT(1-G$9^2*$C$11)*NORMSINV(F401))&lt;G$8,G$5+SQRT(NORMSDIST(G$9*SQRT($C$11)*NORMSINV($B401)+SQRT(1-G$9^2*$C$11)*NORMSINV(F401))*(G$7-G$5)*(G$6-G$5)),G$7-SQRT((1-NORMSDIST(G$9*SQRT($C$11)*NORMSINV($B401)+SQRT(1-G$9^2*$C$11)*NORMSINV(F401)))*(G$7-G$5)*(G$7-G$6))))</f>
        <v>0.0472778938426914</v>
      </c>
      <c r="H401" s="2" t="n">
        <v>0.403201222</v>
      </c>
      <c r="I401" s="2" t="n">
        <f aca="false">IF(I$7=I$5,I$6,IF(NORMSDIST(I$9*SQRT($C$11)*NORMSINV($B401)+SQRT(1-I$9^2*$C$11)*NORMSINV(H401))&lt;I$8,I$5+SQRT(NORMSDIST(I$9*SQRT($C$11)*NORMSINV($B401)+SQRT(1-I$9^2*$C$11)*NORMSINV(H401))*(I$7-I$5)*(I$6-I$5)),I$7-SQRT((1-NORMSDIST(I$9*SQRT($C$11)*NORMSINV($B401)+SQRT(1-I$9^2*$C$11)*NORMSINV(H401)))*(I$7-I$5)*(I$7-I$6))))</f>
        <v>197.330336425594</v>
      </c>
      <c r="J401" s="2" t="n">
        <v>0.89393881</v>
      </c>
      <c r="K401" s="2" t="n">
        <f aca="false">IF(K$7=K$5,K$6,IF(NORMSDIST(K$9*SQRT($C$11)*NORMSINV($B401)+SQRT(1-K$9^2*$C$11)*NORMSINV(J401))&lt;K$8,K$5+SQRT(NORMSDIST(K$9*SQRT($C$11)*NORMSINV($B401)+SQRT(1-K$9^2*$C$11)*NORMSINV(J401))*(K$7-K$5)*(K$6-K$5)),K$7-SQRT((1-NORMSDIST(K$9*SQRT($C$11)*NORMSINV($B401)+SQRT(1-K$9^2*$C$11)*NORMSINV(J401)))*(K$7-K$5)*(K$7-K$6))))</f>
        <v>0.34157570186788</v>
      </c>
      <c r="L401" s="2" t="n">
        <v>0.38224096</v>
      </c>
      <c r="M401" s="2" t="n">
        <f aca="false">IF(M$7=M$5,M$6,IF(NORMSDIST(M$9*SQRT($C$11)*NORMSINV($B401)+SQRT(1-M$9^2*$C$11)*NORMSINV(L401))&lt;M$8,M$5+SQRT(NORMSDIST(M$9*SQRT($C$11)*NORMSINV($B401)+SQRT(1-M$9^2*$C$11)*NORMSINV(L401))*(M$7-M$5)*(M$6-M$5)),M$7-SQRT((1-NORMSDIST(M$9*SQRT($C$11)*NORMSINV($B401)+SQRT(1-M$9^2*$C$11)*NORMSINV(L401)))*(M$7-M$5)*(M$7-M$6))))</f>
        <v>1542.45170442873</v>
      </c>
      <c r="N401" s="2" t="n">
        <v>0.330353394</v>
      </c>
      <c r="O401" s="2" t="n">
        <f aca="false">IF(O$7=O$5,O$6,IF(NORMSDIST(O$9*SQRT($C$11)*NORMSINV($B401)+SQRT(1-O$9^2*$C$11)*NORMSINV(N401))&lt;O$8,O$5+SQRT(NORMSDIST(O$9*SQRT($C$11)*NORMSINV($B401)+SQRT(1-O$9^2*$C$11)*NORMSINV(N401))*(O$7-O$5)*(O$6-O$5)),O$7-SQRT((1-NORMSDIST(O$9*SQRT($C$11)*NORMSINV($B401)+SQRT(1-O$9^2*$C$11)*NORMSINV(N401)))*(O$7-O$5)*(O$7-O$6))))</f>
        <v>0.161427744833889</v>
      </c>
      <c r="P401" s="2" t="n">
        <v>0.669993393</v>
      </c>
      <c r="Q401" s="2" t="n">
        <f aca="false">IF(Q$7=Q$5,Q$6,IF(NORMSDIST(Q$9*SQRT($C$11)*NORMSINV($B401)+SQRT(1-Q$9^2*$C$11)*NORMSINV(P401))&lt;Q$8,Q$5+SQRT(NORMSDIST(Q$9*SQRT($C$11)*NORMSINV($B401)+SQRT(1-Q$9^2*$C$11)*NORMSINV(P401))*(Q$7-Q$5)*(Q$6-Q$5)),Q$7-SQRT((1-NORMSDIST(Q$9*SQRT($C$11)*NORMSINV($B401)+SQRT(1-Q$9^2*$C$11)*NORMSINV(P401)))*(Q$7-Q$5)*(Q$7-Q$6))))</f>
        <v>0.0875035210768921</v>
      </c>
      <c r="R401" s="2" t="n">
        <v>0.827383815</v>
      </c>
      <c r="S401" s="2" t="n">
        <f aca="false">IF(S$7=S$5,S$6,IF(NORMSDIST(S$9*SQRT($C$11)*NORMSINV($B401)+SQRT(1-S$9^2*$C$11)*NORMSINV(R401))&lt;S$8,S$5+SQRT(NORMSDIST(S$9*SQRT($C$11)*NORMSINV($B401)+SQRT(1-S$9^2*$C$11)*NORMSINV(R401))*(S$7-S$5)*(S$6-S$5)),S$7-SQRT((1-NORMSDIST(S$9*SQRT($C$11)*NORMSINV($B401)+SQRT(1-S$9^2*$C$11)*NORMSINV(R401)))*(S$7-S$5)*(S$7-S$6))))</f>
        <v>0.630467285166657</v>
      </c>
      <c r="T401" s="2" t="n">
        <v>0.392111648</v>
      </c>
      <c r="U401" s="2" t="n">
        <f aca="false">IF(U$7=U$5,U$6,IF(NORMSDIST(U$9*SQRT($C$11)*NORMSINV($B401)+SQRT(1-U$9^2*$C$11)*NORMSINV(T401))&lt;U$8,U$5+SQRT(NORMSDIST(U$9*SQRT($C$11)*NORMSINV($B401)+SQRT(1-U$9^2*$C$11)*NORMSINV(T401))*(U$7-U$5)*(U$6-U$5)),U$7-SQRT((1-NORMSDIST(U$9*SQRT($C$11)*NORMSINV($B401)+SQRT(1-U$9^2*$C$11)*NORMSINV(T401)))*(U$7-U$5)*(U$7-U$6))))</f>
        <v>0.428374064907311</v>
      </c>
      <c r="V401" s="2" t="n">
        <v>0.447018183</v>
      </c>
      <c r="W401" s="2" t="n">
        <f aca="false">IF(W$7=W$5,W$6,IF(NORMSDIST(W$9*SQRT($C$11)*NORMSINV($B401)+SQRT(1-W$9^2*$C$11)*NORMSINV(V401))&lt;W$8,W$5+SQRT(NORMSDIST(W$9*SQRT($C$11)*NORMSINV($B401)+SQRT(1-W$9^2*$C$11)*NORMSINV(V401))*(W$7-W$5)*(W$6-W$5)),W$7-SQRT((1-NORMSDIST(W$9*SQRT($C$11)*NORMSINV($B401)+SQRT(1-W$9^2*$C$11)*NORMSINV(V401)))*(W$7-W$5)*(W$7-W$6))))</f>
        <v>9.80822798450474</v>
      </c>
      <c r="X401" s="2" t="n">
        <v>0.93230445</v>
      </c>
      <c r="Y401" s="2" t="n">
        <f aca="false">IF(Y$7=Y$5,Y$6,IF(NORMSDIST(Y$9*SQRT($C$11)*NORMSINV($B401)+SQRT(1-Y$9^2*$C$11)*NORMSINV(X401))&lt;Y$8,Y$5+SQRT(NORMSDIST(Y$9*SQRT($C$11)*NORMSINV($B401)+SQRT(1-Y$9^2*$C$11)*NORMSINV(X401))*(Y$7-Y$5)*(Y$6-Y$5)),Y$7-SQRT((1-NORMSDIST(Y$9*SQRT($C$11)*NORMSINV($B401)+SQRT(1-Y$9^2*$C$11)*NORMSINV(X401)))*(Y$7-Y$5)*(Y$7-Y$6))))</f>
        <v>0.816022351901107</v>
      </c>
      <c r="Z401" s="2" t="n">
        <v>0.634646966</v>
      </c>
      <c r="AA401" s="2" t="n">
        <f aca="false">IF(AA$7=AA$5,AA$6,IF(NORMSDIST(AA$9*SQRT($C$11)*NORMSINV($B401)+SQRT(1-AA$9^2*$C$11)*NORMSINV(Z401))&lt;AA$8,AA$5+SQRT(NORMSDIST(AA$9*SQRT($C$11)*NORMSINV($B401)+SQRT(1-AA$9^2*$C$11)*NORMSINV(Z401))*(AA$7-AA$5)*(AA$6-AA$5)),AA$7-SQRT((1-NORMSDIST(AA$9*SQRT($C$11)*NORMSINV($B401)+SQRT(1-AA$9^2*$C$11)*NORMSINV(Z401)))*(AA$7-AA$5)*(AA$7-AA$6))))</f>
        <v>0.729812237889462</v>
      </c>
      <c r="AB401" s="2" t="n">
        <v>0.908993003</v>
      </c>
      <c r="AC401" s="2" t="n">
        <f aca="false">IF(AC$7=AC$5,AC$6,IF(NORMSDIST(AC$9*SQRT($C$11)*NORMSINV($B401)+SQRT(1-AC$9^2*$C$11)*NORMSINV(AB401))&lt;AC$8,AC$5+SQRT(NORMSDIST(AC$9*SQRT($C$11)*NORMSINV($B401)+SQRT(1-AC$9^2*$C$11)*NORMSINV(AB401))*(AC$7-AC$5)*(AC$6-AC$5)),AC$7-SQRT((1-NORMSDIST(AC$9*SQRT($C$11)*NORMSINV($B401)+SQRT(1-AC$9^2*$C$11)*NORMSINV(AB401)))*(AC$7-AC$5)*(AC$7-AC$6))))</f>
        <v>10.1122068522733</v>
      </c>
      <c r="AD401" s="2" t="n">
        <f aca="false">Entrées!$C$8*(1+E401)</f>
        <v>7448.4764438326</v>
      </c>
      <c r="AE401" s="2" t="n">
        <f aca="false">I401*Hypothèses!$J$24/12/Hypothèses!$J$19</f>
        <v>97.8949483204253</v>
      </c>
      <c r="AF401" s="2" t="n">
        <f aca="false">Entrées!$C$36*S401*1000</f>
        <v>315.233642583329</v>
      </c>
      <c r="AG401" s="2" t="n">
        <f aca="false">-AF401/W401</f>
        <v>-32.13971403207</v>
      </c>
      <c r="AH401" s="2" t="n">
        <f aca="false">AD401+AE401+AG401</f>
        <v>7514.23167812096</v>
      </c>
      <c r="AI401" s="2" t="n">
        <f aca="false">Entrées!$C$16-M401+Hypothèses!$J$22*1000-AF401+Hypothèses!$J$23</f>
        <v>22690.3146529879</v>
      </c>
      <c r="AJ401" s="2" t="n">
        <f aca="false">AI401/AH401</f>
        <v>3.01964533766704</v>
      </c>
      <c r="AK401" s="2" t="n">
        <f aca="false">AI401/(AH401+I401*(12-Hypothèses!$J$24)/12/Hypothèses!$J$19)</f>
        <v>2.99180459033569</v>
      </c>
      <c r="AL401" s="2" t="n">
        <f aca="false">(AD401+AG401+I401/Hypothèses!$J$19)*(1+G401)</f>
        <v>7942.7195937763</v>
      </c>
      <c r="AM401" s="2" t="n">
        <f aca="false">Entrées!$C$54*K401/Hypothèses!$J$19</f>
        <v>34.8592345593101</v>
      </c>
      <c r="AN401" s="2" t="n">
        <f aca="false">Y401*1000/AC401</f>
        <v>80.6967622223488</v>
      </c>
      <c r="AO401" s="2" t="n">
        <f aca="false">(Entrées!$C$36*(1-S401)+MAX(0,Entrées!$C$30-Entrées!$C$35-Entrées!$C$36)*U401)*1000</f>
        <v>784.490048286907</v>
      </c>
      <c r="AP401" s="2" t="n">
        <f aca="false">-AO401/W401</f>
        <v>-79.982852103995</v>
      </c>
      <c r="AQ401" s="2" t="n">
        <f aca="false">AL401+AM401+AN401+AP401</f>
        <v>7978.29273845397</v>
      </c>
      <c r="AR401" s="2" t="n">
        <f aca="false">O401*AQ401-Hypothèses!$J$25/Hypothèses!$J$19</f>
        <v>1268.78264213159</v>
      </c>
      <c r="AS401" s="2" t="n">
        <f aca="false">Entrées!$C$79*(1+Q401)+Hypothèses!$J$20</f>
        <v>1490.1663696635</v>
      </c>
      <c r="AT401" s="2" t="n">
        <f aca="false">AI401-AR401+AS401+Y401*1000-AO401+Hypothèses!$J$23</f>
        <v>22943.2306841341</v>
      </c>
      <c r="AU401" s="2" t="n">
        <f aca="false">AT401/AQ401</f>
        <v>2.8757068004727</v>
      </c>
      <c r="AV401" s="2" t="n">
        <f aca="false">Hypothèses!$J$26*AQ401-AT401</f>
        <v>991.647531227842</v>
      </c>
      <c r="AW401" s="2" t="n">
        <f aca="false">IF(AC401&gt;Hypothèses!$J$26,MAX(0,AV401)/(1-Hypothèses!$J$26/AC401),0)</f>
        <v>1409.93438022923</v>
      </c>
      <c r="AX401" s="2" t="n">
        <f aca="false">AQ401-Entrées!$C$17*1000</f>
        <v>-21.7072615460338</v>
      </c>
      <c r="AY401" s="2" t="n">
        <f aca="false">AI401+(Entrées!$C$244-Entrées!$C$13)</f>
        <v>28437.3146529879</v>
      </c>
      <c r="AZ401" s="2" t="n">
        <f aca="false">AA401*AH401</f>
        <v>5483.97823702934</v>
      </c>
      <c r="BA401" s="2" t="n">
        <f aca="false">AZ401/AY401</f>
        <v>0.192844447654383</v>
      </c>
      <c r="BB401" s="2" t="n">
        <f aca="false">AZ401/(Entrées!$C$151/100)-AY401</f>
        <v>2029.2311082862</v>
      </c>
      <c r="BC401" s="2" t="n">
        <f aca="false">AT401+(Entrées!$C$244-Entrées!$C$13)</f>
        <v>28690.2306841341</v>
      </c>
      <c r="BD401" s="2" t="n">
        <f aca="false">AA401*AQ401</f>
        <v>5822.65567798833</v>
      </c>
      <c r="BE401" s="2" t="n">
        <f aca="false">BD401/BC401</f>
        <v>0.202949071483357</v>
      </c>
      <c r="BF401" s="2" t="n">
        <f aca="false">BD401/(Entrées!$C$151/100)-BC401</f>
        <v>3657.85641580113</v>
      </c>
      <c r="BG401" s="2" t="n">
        <f aca="false">MIN(AV401,BF401)</f>
        <v>991.647531227842</v>
      </c>
      <c r="BH401" s="2" t="n">
        <f aca="false">IF(AC401&gt;Hypothèses!$J$26,MAX(0,BG401)/(1-Hypothèses!$J$26/AC401),0)</f>
        <v>1409.93438022923</v>
      </c>
    </row>
    <row r="402" customFormat="false" ht="15" hidden="false" customHeight="false" outlineLevel="0" collapsed="false">
      <c r="A402" s="2" t="n">
        <v>387</v>
      </c>
      <c r="B402" s="2" t="n">
        <v>0.857595861</v>
      </c>
      <c r="C402" s="2"/>
      <c r="D402" s="2" t="n">
        <v>0.526054385</v>
      </c>
      <c r="E402" s="2" t="n">
        <f aca="false">IF(E$7=E$5,E$6,IF(NORMSDIST(E$9*SQRT($C$11)*NORMSINV($B402)+SQRT(1-E$9^2*$C$11)*NORMSINV(D402))&lt;E$8,E$5+SQRT(NORMSDIST(E$9*SQRT($C$11)*NORMSINV($B402)+SQRT(1-E$9^2*$C$11)*NORMSINV(D402))*(E$7-E$5)*(E$6-E$5)),E$7-SQRT((1-NORMSDIST(E$9*SQRT($C$11)*NORMSINV($B402)+SQRT(1-E$9^2*$C$11)*NORMSINV(D402)))*(E$7-E$5)*(E$7-E$6))))</f>
        <v>0.0565824959071545</v>
      </c>
      <c r="F402" s="2" t="n">
        <v>0.39829695</v>
      </c>
      <c r="G402" s="2" t="n">
        <f aca="false">IF(G$7=G$5,G$6,IF(NORMSDIST(G$9*SQRT($C$11)*NORMSINV($B402)+SQRT(1-G$9^2*$C$11)*NORMSINV(F402))&lt;G$8,G$5+SQRT(NORMSDIST(G$9*SQRT($C$11)*NORMSINV($B402)+SQRT(1-G$9^2*$C$11)*NORMSINV(F402))*(G$7-G$5)*(G$6-G$5)),G$7-SQRT((1-NORMSDIST(G$9*SQRT($C$11)*NORMSINV($B402)+SQRT(1-G$9^2*$C$11)*NORMSINV(F402)))*(G$7-G$5)*(G$7-G$6))))</f>
        <v>0.0580610749658227</v>
      </c>
      <c r="H402" s="2" t="n">
        <v>0.86380539</v>
      </c>
      <c r="I402" s="2" t="n">
        <f aca="false">IF(I$7=I$5,I$6,IF(NORMSDIST(I$9*SQRT($C$11)*NORMSINV($B402)+SQRT(1-I$9^2*$C$11)*NORMSINV(H402))&lt;I$8,I$5+SQRT(NORMSDIST(I$9*SQRT($C$11)*NORMSINV($B402)+SQRT(1-I$9^2*$C$11)*NORMSINV(H402))*(I$7-I$5)*(I$6-I$5)),I$7-SQRT((1-NORMSDIST(I$9*SQRT($C$11)*NORMSINV($B402)+SQRT(1-I$9^2*$C$11)*NORMSINV(H402)))*(I$7-I$5)*(I$7-I$6))))</f>
        <v>212.876793281311</v>
      </c>
      <c r="J402" s="2" t="n">
        <v>0.007764572</v>
      </c>
      <c r="K402" s="2" t="n">
        <f aca="false">IF(K$7=K$5,K$6,IF(NORMSDIST(K$9*SQRT($C$11)*NORMSINV($B402)+SQRT(1-K$9^2*$C$11)*NORMSINV(J402))&lt;K$8,K$5+SQRT(NORMSDIST(K$9*SQRT($C$11)*NORMSINV($B402)+SQRT(1-K$9^2*$C$11)*NORMSINV(J402))*(K$7-K$5)*(K$6-K$5)),K$7-SQRT((1-NORMSDIST(K$9*SQRT($C$11)*NORMSINV($B402)+SQRT(1-K$9^2*$C$11)*NORMSINV(J402)))*(K$7-K$5)*(K$7-K$6))))</f>
        <v>0.120144157534511</v>
      </c>
      <c r="L402" s="2" t="n">
        <v>0.518857121</v>
      </c>
      <c r="M402" s="2" t="n">
        <f aca="false">IF(M$7=M$5,M$6,IF(NORMSDIST(M$9*SQRT($C$11)*NORMSINV($B402)+SQRT(1-M$9^2*$C$11)*NORMSINV(L402))&lt;M$8,M$5+SQRT(NORMSDIST(M$9*SQRT($C$11)*NORMSINV($B402)+SQRT(1-M$9^2*$C$11)*NORMSINV(L402))*(M$7-M$5)*(M$6-M$5)),M$7-SQRT((1-NORMSDIST(M$9*SQRT($C$11)*NORMSINV($B402)+SQRT(1-M$9^2*$C$11)*NORMSINV(L402)))*(M$7-M$5)*(M$7-M$6))))</f>
        <v>1654.28218472903</v>
      </c>
      <c r="N402" s="2" t="n">
        <v>0.458124924</v>
      </c>
      <c r="O402" s="2" t="n">
        <f aca="false">IF(O$7=O$5,O$6,IF(NORMSDIST(O$9*SQRT($C$11)*NORMSINV($B402)+SQRT(1-O$9^2*$C$11)*NORMSINV(N402))&lt;O$8,O$5+SQRT(NORMSDIST(O$9*SQRT($C$11)*NORMSINV($B402)+SQRT(1-O$9^2*$C$11)*NORMSINV(N402))*(O$7-O$5)*(O$6-O$5)),O$7-SQRT((1-NORMSDIST(O$9*SQRT($C$11)*NORMSINV($B402)+SQRT(1-O$9^2*$C$11)*NORMSINV(N402)))*(O$7-O$5)*(O$7-O$6))))</f>
        <v>0.172856355584198</v>
      </c>
      <c r="P402" s="2" t="n">
        <v>0.160131618</v>
      </c>
      <c r="Q402" s="2" t="n">
        <f aca="false">IF(Q$7=Q$5,Q$6,IF(NORMSDIST(Q$9*SQRT($C$11)*NORMSINV($B402)+SQRT(1-Q$9^2*$C$11)*NORMSINV(P402))&lt;Q$8,Q$5+SQRT(NORMSDIST(Q$9*SQRT($C$11)*NORMSINV($B402)+SQRT(1-Q$9^2*$C$11)*NORMSINV(P402))*(Q$7-Q$5)*(Q$6-Q$5)),Q$7-SQRT((1-NORMSDIST(Q$9*SQRT($C$11)*NORMSINV($B402)+SQRT(1-Q$9^2*$C$11)*NORMSINV(P402)))*(Q$7-Q$5)*(Q$7-Q$6))))</f>
        <v>0.0626367218828169</v>
      </c>
      <c r="R402" s="2" t="n">
        <v>0.100197222</v>
      </c>
      <c r="S402" s="2" t="n">
        <f aca="false">IF(S$7=S$5,S$6,IF(NORMSDIST(S$9*SQRT($C$11)*NORMSINV($B402)+SQRT(1-S$9^2*$C$11)*NORMSINV(R402))&lt;S$8,S$5+SQRT(NORMSDIST(S$9*SQRT($C$11)*NORMSINV($B402)+SQRT(1-S$9^2*$C$11)*NORMSINV(R402))*(S$7-S$5)*(S$6-S$5)),S$7-SQRT((1-NORMSDIST(S$9*SQRT($C$11)*NORMSINV($B402)+SQRT(1-S$9^2*$C$11)*NORMSINV(R402)))*(S$7-S$5)*(S$7-S$6))))</f>
        <v>0.433731792368135</v>
      </c>
      <c r="T402" s="2" t="n">
        <v>0.449380269</v>
      </c>
      <c r="U402" s="2" t="n">
        <f aca="false">IF(U$7=U$5,U$6,IF(NORMSDIST(U$9*SQRT($C$11)*NORMSINV($B402)+SQRT(1-U$9^2*$C$11)*NORMSINV(T402))&lt;U$8,U$5+SQRT(NORMSDIST(U$9*SQRT($C$11)*NORMSINV($B402)+SQRT(1-U$9^2*$C$11)*NORMSINV(T402))*(U$7-U$5)*(U$6-U$5)),U$7-SQRT((1-NORMSDIST(U$9*SQRT($C$11)*NORMSINV($B402)+SQRT(1-U$9^2*$C$11)*NORMSINV(T402)))*(U$7-U$5)*(U$7-U$6))))</f>
        <v>0.624725624680296</v>
      </c>
      <c r="V402" s="2" t="n">
        <v>0.377925467</v>
      </c>
      <c r="W402" s="2" t="n">
        <f aca="false">IF(W$7=W$5,W$6,IF(NORMSDIST(W$9*SQRT($C$11)*NORMSINV($B402)+SQRT(1-W$9^2*$C$11)*NORMSINV(V402))&lt;W$8,W$5+SQRT(NORMSDIST(W$9*SQRT($C$11)*NORMSINV($B402)+SQRT(1-W$9^2*$C$11)*NORMSINV(V402))*(W$7-W$5)*(W$6-W$5)),W$7-SQRT((1-NORMSDIST(W$9*SQRT($C$11)*NORMSINV($B402)+SQRT(1-W$9^2*$C$11)*NORMSINV(V402)))*(W$7-W$5)*(W$7-W$6))))</f>
        <v>10.3713600058992</v>
      </c>
      <c r="X402" s="2" t="n">
        <v>0.400805051</v>
      </c>
      <c r="Y402" s="2" t="n">
        <f aca="false">IF(Y$7=Y$5,Y$6,IF(NORMSDIST(Y$9*SQRT($C$11)*NORMSINV($B402)+SQRT(1-Y$9^2*$C$11)*NORMSINV(X402))&lt;Y$8,Y$5+SQRT(NORMSDIST(Y$9*SQRT($C$11)*NORMSINV($B402)+SQRT(1-Y$9^2*$C$11)*NORMSINV(X402))*(Y$7-Y$5)*(Y$6-Y$5)),Y$7-SQRT((1-NORMSDIST(Y$9*SQRT($C$11)*NORMSINV($B402)+SQRT(1-Y$9^2*$C$11)*NORMSINV(X402)))*(Y$7-Y$5)*(Y$7-Y$6))))</f>
        <v>0.447663406478573</v>
      </c>
      <c r="Z402" s="2" t="n">
        <v>0.959083413</v>
      </c>
      <c r="AA402" s="2" t="n">
        <f aca="false">IF(AA$7=AA$5,AA$6,IF(NORMSDIST(AA$9*SQRT($C$11)*NORMSINV($B402)+SQRT(1-AA$9^2*$C$11)*NORMSINV(Z402))&lt;AA$8,AA$5+SQRT(NORMSDIST(AA$9*SQRT($C$11)*NORMSINV($B402)+SQRT(1-AA$9^2*$C$11)*NORMSINV(Z402))*(AA$7-AA$5)*(AA$6-AA$5)),AA$7-SQRT((1-NORMSDIST(AA$9*SQRT($C$11)*NORMSINV($B402)+SQRT(1-AA$9^2*$C$11)*NORMSINV(Z402)))*(AA$7-AA$5)*(AA$7-AA$6))))</f>
        <v>0.748618945179431</v>
      </c>
      <c r="AB402" s="2" t="n">
        <v>0.481235184</v>
      </c>
      <c r="AC402" s="2" t="n">
        <f aca="false">IF(AC$7=AC$5,AC$6,IF(NORMSDIST(AC$9*SQRT($C$11)*NORMSINV($B402)+SQRT(1-AC$9^2*$C$11)*NORMSINV(AB402))&lt;AC$8,AC$5+SQRT(NORMSDIST(AC$9*SQRT($C$11)*NORMSINV($B402)+SQRT(1-AC$9^2*$C$11)*NORMSINV(AB402))*(AC$7-AC$5)*(AC$6-AC$5)),AC$7-SQRT((1-NORMSDIST(AC$9*SQRT($C$11)*NORMSINV($B402)+SQRT(1-AC$9^2*$C$11)*NORMSINV(AB402)))*(AC$7-AC$5)*(AC$7-AC$6))))</f>
        <v>9.93798644775907</v>
      </c>
      <c r="AD402" s="2" t="n">
        <f aca="false">Entrées!$C$8*(1+E402)</f>
        <v>7448.90659614544</v>
      </c>
      <c r="AE402" s="2" t="n">
        <f aca="false">I402*Hypothèses!$J$24/12/Hypothèses!$J$19</f>
        <v>105.607495808176</v>
      </c>
      <c r="AF402" s="2" t="n">
        <f aca="false">Entrées!$C$36*S402*1000</f>
        <v>216.865896184067</v>
      </c>
      <c r="AG402" s="2" t="n">
        <f aca="false">-AF402/W402</f>
        <v>-20.9100731303044</v>
      </c>
      <c r="AH402" s="2" t="n">
        <f aca="false">AD402+AE402+AG402</f>
        <v>7533.60401882331</v>
      </c>
      <c r="AI402" s="2" t="n">
        <f aca="false">Entrées!$C$16-M402+Hypothèses!$J$22*1000-AF402+Hypothèses!$J$23</f>
        <v>22676.8519190869</v>
      </c>
      <c r="AJ402" s="2" t="n">
        <f aca="false">AI402/AH402</f>
        <v>3.01009342439913</v>
      </c>
      <c r="AK402" s="2" t="n">
        <f aca="false">AI402/(AH402+I402*(12-Hypothèses!$J$24)/12/Hypothèses!$J$19)</f>
        <v>2.98025217968253</v>
      </c>
      <c r="AL402" s="2" t="n">
        <f aca="false">(AD402+AG402+I402/Hypothèses!$J$19)*(1+G402)</f>
        <v>8050.82686690821</v>
      </c>
      <c r="AM402" s="2" t="n">
        <f aca="false">Entrées!$C$54*K402/Hypothèses!$J$19</f>
        <v>12.2612157291158</v>
      </c>
      <c r="AN402" s="2" t="n">
        <f aca="false">Y402*1000/AC402</f>
        <v>45.0456849414921</v>
      </c>
      <c r="AO402" s="2" t="n">
        <f aca="false">(Entrées!$C$36*(1-S402)+MAX(0,Entrées!$C$30-Entrées!$C$35-Entrées!$C$36)*U402)*1000</f>
        <v>1157.74997836835</v>
      </c>
      <c r="AP402" s="2" t="n">
        <f aca="false">-AO402/W402</f>
        <v>-111.629523776035</v>
      </c>
      <c r="AQ402" s="2" t="n">
        <f aca="false">AL402+AM402+AN402+AP402</f>
        <v>7996.50424380279</v>
      </c>
      <c r="AR402" s="2" t="n">
        <f aca="false">O402*AQ402-Hypothèses!$J$25/Hypothèses!$J$19</f>
        <v>1363.1114187357</v>
      </c>
      <c r="AS402" s="2" t="n">
        <f aca="false">Entrées!$C$79*(1+Q402)+Hypothèses!$J$20</f>
        <v>1462.83775734922</v>
      </c>
      <c r="AT402" s="2" t="n">
        <f aca="false">AI402-AR402+AS402+Y402*1000-AO402+Hypothèses!$J$23</f>
        <v>22066.4916858106</v>
      </c>
      <c r="AU402" s="2" t="n">
        <f aca="false">AT402/AQ402</f>
        <v>2.75951728568292</v>
      </c>
      <c r="AV402" s="2" t="n">
        <f aca="false">Hypothèses!$J$26*AQ402-AT402</f>
        <v>1923.02104559771</v>
      </c>
      <c r="AW402" s="2" t="n">
        <f aca="false">IF(AC402&gt;Hypothèses!$J$26,MAX(0,AV402)/(1-Hypothèses!$J$26/AC402),0)</f>
        <v>2754.53940906417</v>
      </c>
      <c r="AX402" s="2" t="n">
        <f aca="false">AQ402-Entrées!$C$17*1000</f>
        <v>-3.49575619721509</v>
      </c>
      <c r="AY402" s="2" t="n">
        <f aca="false">AI402+(Entrées!$C$244-Entrées!$C$13)</f>
        <v>28423.8519190869</v>
      </c>
      <c r="AZ402" s="2" t="n">
        <f aca="false">AA402*AH402</f>
        <v>5639.79869397103</v>
      </c>
      <c r="BA402" s="2" t="n">
        <f aca="false">AZ402/AY402</f>
        <v>0.198417818599169</v>
      </c>
      <c r="BB402" s="2" t="n">
        <f aca="false">AZ402/(Entrées!$C$151/100)-AY402</f>
        <v>2908.36304741883</v>
      </c>
      <c r="BC402" s="2" t="n">
        <f aca="false">AT402+(Entrées!$C$244-Entrées!$C$13)</f>
        <v>27813.4916858106</v>
      </c>
      <c r="BD402" s="2" t="n">
        <f aca="false">AA402*AQ402</f>
        <v>5986.33457211849</v>
      </c>
      <c r="BE402" s="2" t="n">
        <f aca="false">BD402/BC402</f>
        <v>0.215231321537831</v>
      </c>
      <c r="BF402" s="2" t="n">
        <f aca="false">BD402/(Entrées!$C$151/100)-BC402</f>
        <v>5443.9226037365</v>
      </c>
      <c r="BG402" s="2" t="n">
        <f aca="false">MIN(AV402,BF402)</f>
        <v>1923.02104559771</v>
      </c>
      <c r="BH402" s="2" t="n">
        <f aca="false">IF(AC402&gt;Hypothèses!$J$26,MAX(0,BG402)/(1-Hypothèses!$J$26/AC402),0)</f>
        <v>2754.53940906417</v>
      </c>
    </row>
    <row r="403" customFormat="false" ht="15" hidden="false" customHeight="false" outlineLevel="0" collapsed="false">
      <c r="A403" s="2" t="n">
        <v>388</v>
      </c>
      <c r="B403" s="2" t="n">
        <v>0.80683238</v>
      </c>
      <c r="C403" s="2"/>
      <c r="D403" s="2" t="n">
        <v>0.171831644</v>
      </c>
      <c r="E403" s="2" t="n">
        <f aca="false">IF(E$7=E$5,E$6,IF(NORMSDIST(E$9*SQRT($C$11)*NORMSINV($B403)+SQRT(1-E$9^2*$C$11)*NORMSINV(D403))&lt;E$8,E$5+SQRT(NORMSDIST(E$9*SQRT($C$11)*NORMSINV($B403)+SQRT(1-E$9^2*$C$11)*NORMSINV(D403))*(E$7-E$5)*(E$6-E$5)),E$7-SQRT((1-NORMSDIST(E$9*SQRT($C$11)*NORMSINV($B403)+SQRT(1-E$9^2*$C$11)*NORMSINV(D403)))*(E$7-E$5)*(E$7-E$6))))</f>
        <v>0.054617202325223</v>
      </c>
      <c r="F403" s="2" t="n">
        <v>0.625955984</v>
      </c>
      <c r="G403" s="2" t="n">
        <f aca="false">IF(G$7=G$5,G$6,IF(NORMSDIST(G$9*SQRT($C$11)*NORMSINV($B403)+SQRT(1-G$9^2*$C$11)*NORMSINV(F403))&lt;G$8,G$5+SQRT(NORMSDIST(G$9*SQRT($C$11)*NORMSINV($B403)+SQRT(1-G$9^2*$C$11)*NORMSINV(F403))*(G$7-G$5)*(G$6-G$5)),G$7-SQRT((1-NORMSDIST(G$9*SQRT($C$11)*NORMSINV($B403)+SQRT(1-G$9^2*$C$11)*NORMSINV(F403)))*(G$7-G$5)*(G$7-G$6))))</f>
        <v>0.0602137101989711</v>
      </c>
      <c r="H403" s="2" t="n">
        <v>0.591066708</v>
      </c>
      <c r="I403" s="2" t="n">
        <f aca="false">IF(I$7=I$5,I$6,IF(NORMSDIST(I$9*SQRT($C$11)*NORMSINV($B403)+SQRT(1-I$9^2*$C$11)*NORMSINV(H403))&lt;I$8,I$5+SQRT(NORMSDIST(I$9*SQRT($C$11)*NORMSINV($B403)+SQRT(1-I$9^2*$C$11)*NORMSINV(H403))*(I$7-I$5)*(I$6-I$5)),I$7-SQRT((1-NORMSDIST(I$9*SQRT($C$11)*NORMSINV($B403)+SQRT(1-I$9^2*$C$11)*NORMSINV(H403)))*(I$7-I$5)*(I$7-I$6))))</f>
        <v>206.322643993344</v>
      </c>
      <c r="J403" s="2" t="n">
        <v>0.370860913</v>
      </c>
      <c r="K403" s="2" t="n">
        <f aca="false">IF(K$7=K$5,K$6,IF(NORMSDIST(K$9*SQRT($C$11)*NORMSINV($B403)+SQRT(1-K$9^2*$C$11)*NORMSINV(J403))&lt;K$8,K$5+SQRT(NORMSDIST(K$9*SQRT($C$11)*NORMSINV($B403)+SQRT(1-K$9^2*$C$11)*NORMSINV(J403))*(K$7-K$5)*(K$6-K$5)),K$7-SQRT((1-NORMSDIST(K$9*SQRT($C$11)*NORMSINV($B403)+SQRT(1-K$9^2*$C$11)*NORMSINV(J403)))*(K$7-K$5)*(K$7-K$6))))</f>
        <v>0.280650211046159</v>
      </c>
      <c r="L403" s="2" t="n">
        <v>0.093220256</v>
      </c>
      <c r="M403" s="2" t="n">
        <f aca="false">IF(M$7=M$5,M$6,IF(NORMSDIST(M$9*SQRT($C$11)*NORMSINV($B403)+SQRT(1-M$9^2*$C$11)*NORMSINV(L403))&lt;M$8,M$5+SQRT(NORMSDIST(M$9*SQRT($C$11)*NORMSINV($B403)+SQRT(1-M$9^2*$C$11)*NORMSINV(L403))*(M$7-M$5)*(M$6-M$5)),M$7-SQRT((1-NORMSDIST(M$9*SQRT($C$11)*NORMSINV($B403)+SQRT(1-M$9^2*$C$11)*NORMSINV(L403)))*(M$7-M$5)*(M$7-M$6))))</f>
        <v>1527.93679052849</v>
      </c>
      <c r="N403" s="2" t="n">
        <v>0.227658296</v>
      </c>
      <c r="O403" s="2" t="n">
        <f aca="false">IF(O$7=O$5,O$6,IF(NORMSDIST(O$9*SQRT($C$11)*NORMSINV($B403)+SQRT(1-O$9^2*$C$11)*NORMSINV(N403))&lt;O$8,O$5+SQRT(NORMSDIST(O$9*SQRT($C$11)*NORMSINV($B403)+SQRT(1-O$9^2*$C$11)*NORMSINV(N403))*(O$7-O$5)*(O$6-O$5)),O$7-SQRT((1-NORMSDIST(O$9*SQRT($C$11)*NORMSINV($B403)+SQRT(1-O$9^2*$C$11)*NORMSINV(N403)))*(O$7-O$5)*(O$7-O$6))))</f>
        <v>0.166457562167616</v>
      </c>
      <c r="P403" s="2" t="n">
        <v>0.143669832</v>
      </c>
      <c r="Q403" s="2" t="n">
        <f aca="false">IF(Q$7=Q$5,Q$6,IF(NORMSDIST(Q$9*SQRT($C$11)*NORMSINV($B403)+SQRT(1-Q$9^2*$C$11)*NORMSINV(P403))&lt;Q$8,Q$5+SQRT(NORMSDIST(Q$9*SQRT($C$11)*NORMSINV($B403)+SQRT(1-Q$9^2*$C$11)*NORMSINV(P403))*(Q$7-Q$5)*(Q$6-Q$5)),Q$7-SQRT((1-NORMSDIST(Q$9*SQRT($C$11)*NORMSINV($B403)+SQRT(1-Q$9^2*$C$11)*NORMSINV(P403)))*(Q$7-Q$5)*(Q$7-Q$6))))</f>
        <v>0.0614416291918315</v>
      </c>
      <c r="R403" s="2" t="n">
        <v>0.37185942</v>
      </c>
      <c r="S403" s="2" t="n">
        <f aca="false">IF(S$7=S$5,S$6,IF(NORMSDIST(S$9*SQRT($C$11)*NORMSINV($B403)+SQRT(1-S$9^2*$C$11)*NORMSINV(R403))&lt;S$8,S$5+SQRT(NORMSDIST(S$9*SQRT($C$11)*NORMSINV($B403)+SQRT(1-S$9^2*$C$11)*NORMSINV(R403))*(S$7-S$5)*(S$6-S$5)),S$7-SQRT((1-NORMSDIST(S$9*SQRT($C$11)*NORMSINV($B403)+SQRT(1-S$9^2*$C$11)*NORMSINV(R403)))*(S$7-S$5)*(S$7-S$6))))</f>
        <v>0.561746177821212</v>
      </c>
      <c r="T403" s="2" t="n">
        <v>0.021719334</v>
      </c>
      <c r="U403" s="2" t="n">
        <f aca="false">IF(U$7=U$5,U$6,IF(NORMSDIST(U$9*SQRT($C$11)*NORMSINV($B403)+SQRT(1-U$9^2*$C$11)*NORMSINV(T403))&lt;U$8,U$5+SQRT(NORMSDIST(U$9*SQRT($C$11)*NORMSINV($B403)+SQRT(1-U$9^2*$C$11)*NORMSINV(T403))*(U$7-U$5)*(U$6-U$5)),U$7-SQRT((1-NORMSDIST(U$9*SQRT($C$11)*NORMSINV($B403)+SQRT(1-U$9^2*$C$11)*NORMSINV(T403)))*(U$7-U$5)*(U$7-U$6))))</f>
        <v>0.27813885810734</v>
      </c>
      <c r="V403" s="2" t="n">
        <v>0.753896787</v>
      </c>
      <c r="W403" s="2" t="n">
        <f aca="false">IF(W$7=W$5,W$6,IF(NORMSDIST(W$9*SQRT($C$11)*NORMSINV($B403)+SQRT(1-W$9^2*$C$11)*NORMSINV(V403))&lt;W$8,W$5+SQRT(NORMSDIST(W$9*SQRT($C$11)*NORMSINV($B403)+SQRT(1-W$9^2*$C$11)*NORMSINV(V403))*(W$7-W$5)*(W$6-W$5)),W$7-SQRT((1-NORMSDIST(W$9*SQRT($C$11)*NORMSINV($B403)+SQRT(1-W$9^2*$C$11)*NORMSINV(V403)))*(W$7-W$5)*(W$7-W$6))))</f>
        <v>10.9413307409237</v>
      </c>
      <c r="X403" s="2" t="n">
        <v>0.111891011</v>
      </c>
      <c r="Y403" s="2" t="n">
        <f aca="false">IF(Y$7=Y$5,Y$6,IF(NORMSDIST(Y$9*SQRT($C$11)*NORMSINV($B403)+SQRT(1-Y$9^2*$C$11)*NORMSINV(X403))&lt;Y$8,Y$5+SQRT(NORMSDIST(Y$9*SQRT($C$11)*NORMSINV($B403)+SQRT(1-Y$9^2*$C$11)*NORMSINV(X403))*(Y$7-Y$5)*(Y$6-Y$5)),Y$7-SQRT((1-NORMSDIST(Y$9*SQRT($C$11)*NORMSINV($B403)+SQRT(1-Y$9^2*$C$11)*NORMSINV(X403)))*(Y$7-Y$5)*(Y$7-Y$6))))</f>
        <v>0.236528022652708</v>
      </c>
      <c r="Z403" s="2" t="n">
        <v>0.407154248</v>
      </c>
      <c r="AA403" s="2" t="n">
        <f aca="false">IF(AA$7=AA$5,AA$6,IF(NORMSDIST(AA$9*SQRT($C$11)*NORMSINV($B403)+SQRT(1-AA$9^2*$C$11)*NORMSINV(Z403))&lt;AA$8,AA$5+SQRT(NORMSDIST(AA$9*SQRT($C$11)*NORMSINV($B403)+SQRT(1-AA$9^2*$C$11)*NORMSINV(Z403))*(AA$7-AA$5)*(AA$6-AA$5)),AA$7-SQRT((1-NORMSDIST(AA$9*SQRT($C$11)*NORMSINV($B403)+SQRT(1-AA$9^2*$C$11)*NORMSINV(Z403)))*(AA$7-AA$5)*(AA$7-AA$6))))</f>
        <v>0.732442367176308</v>
      </c>
      <c r="AB403" s="2" t="n">
        <v>0.963580212</v>
      </c>
      <c r="AC403" s="2" t="n">
        <f aca="false">IF(AC$7=AC$5,AC$6,IF(NORMSDIST(AC$9*SQRT($C$11)*NORMSINV($B403)+SQRT(1-AC$9^2*$C$11)*NORMSINV(AB403))&lt;AC$8,AC$5+SQRT(NORMSDIST(AC$9*SQRT($C$11)*NORMSINV($B403)+SQRT(1-AC$9^2*$C$11)*NORMSINV(AB403))*(AC$7-AC$5)*(AC$6-AC$5)),AC$7-SQRT((1-NORMSDIST(AC$9*SQRT($C$11)*NORMSINV($B403)+SQRT(1-AC$9^2*$C$11)*NORMSINV(AB403)))*(AC$7-AC$5)*(AC$7-AC$6))))</f>
        <v>10.6626148664101</v>
      </c>
      <c r="AD403" s="2" t="n">
        <f aca="false">Entrées!$C$8*(1+E403)</f>
        <v>7435.05127639282</v>
      </c>
      <c r="AE403" s="2" t="n">
        <f aca="false">I403*Hypothèses!$J$24/12/Hypothèses!$J$19</f>
        <v>102.356003323786</v>
      </c>
      <c r="AF403" s="2" t="n">
        <f aca="false">Entrées!$C$36*S403*1000</f>
        <v>280.873088910606</v>
      </c>
      <c r="AG403" s="2" t="n">
        <f aca="false">-AF403/W403</f>
        <v>-25.6708343401102</v>
      </c>
      <c r="AH403" s="2" t="n">
        <f aca="false">AD403+AE403+AG403</f>
        <v>7511.7364453765</v>
      </c>
      <c r="AI403" s="2" t="n">
        <f aca="false">Entrées!$C$16-M403+Hypothèses!$J$22*1000-AF403+Hypothèses!$J$23</f>
        <v>22739.1901205609</v>
      </c>
      <c r="AJ403" s="2" t="n">
        <f aca="false">AI403/AH403</f>
        <v>3.02715494425486</v>
      </c>
      <c r="AK403" s="2" t="n">
        <f aca="false">AI403/(AH403+I403*(12-Hypothèses!$J$24)/12/Hypothèses!$J$19)</f>
        <v>2.99797576580894</v>
      </c>
      <c r="AL403" s="2" t="n">
        <f aca="false">(AD403+AG403+I403/Hypothèses!$J$19)*(1+G403)</f>
        <v>8041.5597082502</v>
      </c>
      <c r="AM403" s="2" t="n">
        <f aca="false">Entrées!$C$54*K403/Hypothèses!$J$19</f>
        <v>28.6415324113484</v>
      </c>
      <c r="AN403" s="2" t="n">
        <f aca="false">Y403*1000/AC403</f>
        <v>22.1829284482393</v>
      </c>
      <c r="AO403" s="2" t="n">
        <f aca="false">(Entrées!$C$36*(1-S403)+MAX(0,Entrées!$C$30-Entrées!$C$35-Entrées!$C$36)*U403)*1000</f>
        <v>608.521312439669</v>
      </c>
      <c r="AP403" s="2" t="n">
        <f aca="false">-AO403/W403</f>
        <v>-55.6167551140401</v>
      </c>
      <c r="AQ403" s="2" t="n">
        <f aca="false">AL403+AM403+AN403+AP403</f>
        <v>8036.76741399574</v>
      </c>
      <c r="AR403" s="2" t="n">
        <f aca="false">O403*AQ403-Hypothèses!$J$25/Hypothèses!$J$19</f>
        <v>1318.64554918024</v>
      </c>
      <c r="AS403" s="2" t="n">
        <f aca="false">Entrées!$C$79*(1+Q403)+Hypothèses!$J$20</f>
        <v>1461.52435048182</v>
      </c>
      <c r="AT403" s="2" t="n">
        <f aca="false">AI403-AR403+AS403+Y403*1000-AO403+Hypothèses!$J$23</f>
        <v>22510.0756320755</v>
      </c>
      <c r="AU403" s="2" t="n">
        <f aca="false">AT403/AQ403</f>
        <v>2.80088678351883</v>
      </c>
      <c r="AV403" s="2" t="n">
        <f aca="false">Hypothèses!$J$26*AQ403-AT403</f>
        <v>1600.22660991171</v>
      </c>
      <c r="AW403" s="2" t="n">
        <f aca="false">IF(AC403&gt;Hypothèses!$J$26,MAX(0,AV403)/(1-Hypothèses!$J$26/AC403),0)</f>
        <v>2226.7333459842</v>
      </c>
      <c r="AX403" s="2" t="n">
        <f aca="false">AQ403-Entrées!$C$17*1000</f>
        <v>36.7674139957444</v>
      </c>
      <c r="AY403" s="2" t="n">
        <f aca="false">AI403+(Entrées!$C$244-Entrées!$C$13)</f>
        <v>28486.1901205609</v>
      </c>
      <c r="AZ403" s="2" t="n">
        <f aca="false">AA403*AH403</f>
        <v>5501.91402365611</v>
      </c>
      <c r="BA403" s="2" t="n">
        <f aca="false">AZ403/AY403</f>
        <v>0.193143203789997</v>
      </c>
      <c r="BB403" s="2" t="n">
        <f aca="false">AZ403/(Entrées!$C$151/100)-AY403</f>
        <v>2079.99889975079</v>
      </c>
      <c r="BC403" s="2" t="n">
        <f aca="false">AT403+(Entrées!$C$244-Entrées!$C$13)</f>
        <v>28257.0756320755</v>
      </c>
      <c r="BD403" s="2" t="n">
        <f aca="false">AA403*AQ403</f>
        <v>5886.46894915246</v>
      </c>
      <c r="BE403" s="2" t="n">
        <f aca="false">BD403/BC403</f>
        <v>0.20831840583215</v>
      </c>
      <c r="BF403" s="2" t="n">
        <f aca="false">BD403/(Entrées!$C$151/100)-BC403</f>
        <v>4445.52964099368</v>
      </c>
      <c r="BG403" s="2" t="n">
        <f aca="false">MIN(AV403,BF403)</f>
        <v>1600.22660991171</v>
      </c>
      <c r="BH403" s="2" t="n">
        <f aca="false">IF(AC403&gt;Hypothèses!$J$26,MAX(0,BG403)/(1-Hypothèses!$J$26/AC403),0)</f>
        <v>2226.7333459842</v>
      </c>
    </row>
    <row r="404" customFormat="false" ht="15" hidden="false" customHeight="false" outlineLevel="0" collapsed="false">
      <c r="A404" s="2" t="n">
        <v>389</v>
      </c>
      <c r="B404" s="2" t="n">
        <v>0.860265552</v>
      </c>
      <c r="C404" s="2"/>
      <c r="D404" s="2" t="n">
        <v>0.379225242</v>
      </c>
      <c r="E404" s="2" t="n">
        <f aca="false">IF(E$7=E$5,E$6,IF(NORMSDIST(E$9*SQRT($C$11)*NORMSINV($B404)+SQRT(1-E$9^2*$C$11)*NORMSINV(D404))&lt;E$8,E$5+SQRT(NORMSDIST(E$9*SQRT($C$11)*NORMSINV($B404)+SQRT(1-E$9^2*$C$11)*NORMSINV(D404))*(E$7-E$5)*(E$6-E$5)),E$7-SQRT((1-NORMSDIST(E$9*SQRT($C$11)*NORMSINV($B404)+SQRT(1-E$9^2*$C$11)*NORMSINV(D404)))*(E$7-E$5)*(E$7-E$6))))</f>
        <v>0.0559511237148096</v>
      </c>
      <c r="F404" s="2" t="n">
        <v>0.034097859</v>
      </c>
      <c r="G404" s="2" t="n">
        <f aca="false">IF(G$7=G$5,G$6,IF(NORMSDIST(G$9*SQRT($C$11)*NORMSINV($B404)+SQRT(1-G$9^2*$C$11)*NORMSINV(F404))&lt;G$8,G$5+SQRT(NORMSDIST(G$9*SQRT($C$11)*NORMSINV($B404)+SQRT(1-G$9^2*$C$11)*NORMSINV(F404))*(G$7-G$5)*(G$6-G$5)),G$7-SQRT((1-NORMSDIST(G$9*SQRT($C$11)*NORMSINV($B404)+SQRT(1-G$9^2*$C$11)*NORMSINV(F404)))*(G$7-G$5)*(G$7-G$6))))</f>
        <v>0.0502421220026017</v>
      </c>
      <c r="H404" s="2" t="n">
        <v>0.25365645</v>
      </c>
      <c r="I404" s="2" t="n">
        <f aca="false">IF(I$7=I$5,I$6,IF(NORMSDIST(I$9*SQRT($C$11)*NORMSINV($B404)+SQRT(1-I$9^2*$C$11)*NORMSINV(H404))&lt;I$8,I$5+SQRT(NORMSDIST(I$9*SQRT($C$11)*NORMSINV($B404)+SQRT(1-I$9^2*$C$11)*NORMSINV(H404))*(I$7-I$5)*(I$6-I$5)),I$7-SQRT((1-NORMSDIST(I$9*SQRT($C$11)*NORMSINV($B404)+SQRT(1-I$9^2*$C$11)*NORMSINV(H404)))*(I$7-I$5)*(I$7-I$6))))</f>
        <v>201.40245246723</v>
      </c>
      <c r="J404" s="2" t="n">
        <v>0.313792118</v>
      </c>
      <c r="K404" s="2" t="n">
        <f aca="false">IF(K$7=K$5,K$6,IF(NORMSDIST(K$9*SQRT($C$11)*NORMSINV($B404)+SQRT(1-K$9^2*$C$11)*NORMSINV(J404))&lt;K$8,K$5+SQRT(NORMSDIST(K$9*SQRT($C$11)*NORMSINV($B404)+SQRT(1-K$9^2*$C$11)*NORMSINV(J404))*(K$7-K$5)*(K$6-K$5)),K$7-SQRT((1-NORMSDIST(K$9*SQRT($C$11)*NORMSINV($B404)+SQRT(1-K$9^2*$C$11)*NORMSINV(J404)))*(K$7-K$5)*(K$7-K$6))))</f>
        <v>0.28235521153278</v>
      </c>
      <c r="L404" s="2" t="n">
        <v>0.255952323</v>
      </c>
      <c r="M404" s="2" t="n">
        <f aca="false">IF(M$7=M$5,M$6,IF(NORMSDIST(M$9*SQRT($C$11)*NORMSINV($B404)+SQRT(1-M$9^2*$C$11)*NORMSINV(L404))&lt;M$8,M$5+SQRT(NORMSDIST(M$9*SQRT($C$11)*NORMSINV($B404)+SQRT(1-M$9^2*$C$11)*NORMSINV(L404))*(M$7-M$5)*(M$6-M$5)),M$7-SQRT((1-NORMSDIST(M$9*SQRT($C$11)*NORMSINV($B404)+SQRT(1-M$9^2*$C$11)*NORMSINV(L404)))*(M$7-M$5)*(M$7-M$6))))</f>
        <v>1604.41301086131</v>
      </c>
      <c r="N404" s="2" t="n">
        <v>0.14709947</v>
      </c>
      <c r="O404" s="2" t="n">
        <f aca="false">IF(O$7=O$5,O$6,IF(NORMSDIST(O$9*SQRT($C$11)*NORMSINV($B404)+SQRT(1-O$9^2*$C$11)*NORMSINV(N404))&lt;O$8,O$5+SQRT(NORMSDIST(O$9*SQRT($C$11)*NORMSINV($B404)+SQRT(1-O$9^2*$C$11)*NORMSINV(N404))*(O$7-O$5)*(O$6-O$5)),O$7-SQRT((1-NORMSDIST(O$9*SQRT($C$11)*NORMSINV($B404)+SQRT(1-O$9^2*$C$11)*NORMSINV(N404)))*(O$7-O$5)*(O$7-O$6))))</f>
        <v>0.165378178267272</v>
      </c>
      <c r="P404" s="2" t="n">
        <v>0.944034246</v>
      </c>
      <c r="Q404" s="2" t="n">
        <f aca="false">IF(Q$7=Q$5,Q$6,IF(NORMSDIST(Q$9*SQRT($C$11)*NORMSINV($B404)+SQRT(1-Q$9^2*$C$11)*NORMSINV(P404))&lt;Q$8,Q$5+SQRT(NORMSDIST(Q$9*SQRT($C$11)*NORMSINV($B404)+SQRT(1-Q$9^2*$C$11)*NORMSINV(P404))*(Q$7-Q$5)*(Q$6-Q$5)),Q$7-SQRT((1-NORMSDIST(Q$9*SQRT($C$11)*NORMSINV($B404)+SQRT(1-Q$9^2*$C$11)*NORMSINV(P404)))*(Q$7-Q$5)*(Q$7-Q$6))))</f>
        <v>0.106617533381323</v>
      </c>
      <c r="R404" s="2" t="n">
        <v>0.997805681</v>
      </c>
      <c r="S404" s="2" t="n">
        <f aca="false">IF(S$7=S$5,S$6,IF(NORMSDIST(S$9*SQRT($C$11)*NORMSINV($B404)+SQRT(1-S$9^2*$C$11)*NORMSINV(R404))&lt;S$8,S$5+SQRT(NORMSDIST(S$9*SQRT($C$11)*NORMSINV($B404)+SQRT(1-S$9^2*$C$11)*NORMSINV(R404))*(S$7-S$5)*(S$6-S$5)),S$7-SQRT((1-NORMSDIST(S$9*SQRT($C$11)*NORMSINV($B404)+SQRT(1-S$9^2*$C$11)*NORMSINV(R404)))*(S$7-S$5)*(S$7-S$6))))</f>
        <v>0.968999091388869</v>
      </c>
      <c r="T404" s="2" t="n">
        <v>0.608951464</v>
      </c>
      <c r="U404" s="2" t="n">
        <f aca="false">IF(U$7=U$5,U$6,IF(NORMSDIST(U$9*SQRT($C$11)*NORMSINV($B404)+SQRT(1-U$9^2*$C$11)*NORMSINV(T404))&lt;U$8,U$5+SQRT(NORMSDIST(U$9*SQRT($C$11)*NORMSINV($B404)+SQRT(1-U$9^2*$C$11)*NORMSINV(T404))*(U$7-U$5)*(U$6-U$5)),U$7-SQRT((1-NORMSDIST(U$9*SQRT($C$11)*NORMSINV($B404)+SQRT(1-U$9^2*$C$11)*NORMSINV(T404)))*(U$7-U$5)*(U$7-U$6))))</f>
        <v>0.696252191512315</v>
      </c>
      <c r="V404" s="2" t="n">
        <v>0.193758834</v>
      </c>
      <c r="W404" s="2" t="n">
        <f aca="false">IF(W$7=W$5,W$6,IF(NORMSDIST(W$9*SQRT($C$11)*NORMSINV($B404)+SQRT(1-W$9^2*$C$11)*NORMSINV(V404))&lt;W$8,W$5+SQRT(NORMSDIST(W$9*SQRT($C$11)*NORMSINV($B404)+SQRT(1-W$9^2*$C$11)*NORMSINV(V404))*(W$7-W$5)*(W$6-W$5)),W$7-SQRT((1-NORMSDIST(W$9*SQRT($C$11)*NORMSINV($B404)+SQRT(1-W$9^2*$C$11)*NORMSINV(V404)))*(W$7-W$5)*(W$7-W$6))))</f>
        <v>10.0117297333645</v>
      </c>
      <c r="X404" s="2" t="n">
        <v>0.211241654</v>
      </c>
      <c r="Y404" s="2" t="n">
        <f aca="false">IF(Y$7=Y$5,Y$6,IF(NORMSDIST(Y$9*SQRT($C$11)*NORMSINV($B404)+SQRT(1-Y$9^2*$C$11)*NORMSINV(X404))&lt;Y$8,Y$5+SQRT(NORMSDIST(Y$9*SQRT($C$11)*NORMSINV($B404)+SQRT(1-Y$9^2*$C$11)*NORMSINV(X404))*(Y$7-Y$5)*(Y$6-Y$5)),Y$7-SQRT((1-NORMSDIST(Y$9*SQRT($C$11)*NORMSINV($B404)+SQRT(1-Y$9^2*$C$11)*NORMSINV(X404)))*(Y$7-Y$5)*(Y$7-Y$6))))</f>
        <v>0.324993579936589</v>
      </c>
      <c r="Z404" s="2" t="n">
        <v>0.496455365</v>
      </c>
      <c r="AA404" s="2" t="n">
        <f aca="false">IF(AA$7=AA$5,AA$6,IF(NORMSDIST(AA$9*SQRT($C$11)*NORMSINV($B404)+SQRT(1-AA$9^2*$C$11)*NORMSINV(Z404))&lt;AA$8,AA$5+SQRT(NORMSDIST(AA$9*SQRT($C$11)*NORMSINV($B404)+SQRT(1-AA$9^2*$C$11)*NORMSINV(Z404))*(AA$7-AA$5)*(AA$6-AA$5)),AA$7-SQRT((1-NORMSDIST(AA$9*SQRT($C$11)*NORMSINV($B404)+SQRT(1-AA$9^2*$C$11)*NORMSINV(Z404)))*(AA$7-AA$5)*(AA$7-AA$6))))</f>
        <v>0.735974203193508</v>
      </c>
      <c r="AB404" s="2" t="n">
        <v>0.65234441</v>
      </c>
      <c r="AC404" s="2" t="n">
        <f aca="false">IF(AC$7=AC$5,AC$6,IF(NORMSDIST(AC$9*SQRT($C$11)*NORMSINV($B404)+SQRT(1-AC$9^2*$C$11)*NORMSINV(AB404))&lt;AC$8,AC$5+SQRT(NORMSDIST(AC$9*SQRT($C$11)*NORMSINV($B404)+SQRT(1-AC$9^2*$C$11)*NORMSINV(AB404))*(AC$7-AC$5)*(AC$6-AC$5)),AC$7-SQRT((1-NORMSDIST(AC$9*SQRT($C$11)*NORMSINV($B404)+SQRT(1-AC$9^2*$C$11)*NORMSINV(AB404)))*(AC$7-AC$5)*(AC$7-AC$6))))</f>
        <v>10.1641413158487</v>
      </c>
      <c r="AD404" s="2" t="n">
        <f aca="false">Entrées!$C$8*(1+E404)</f>
        <v>7444.45542218941</v>
      </c>
      <c r="AE404" s="2" t="n">
        <f aca="false">I404*Hypothèses!$J$24/12/Hypothèses!$J$19</f>
        <v>99.9151120553664</v>
      </c>
      <c r="AF404" s="2" t="n">
        <f aca="false">Entrées!$C$36*S404*1000</f>
        <v>484.499545694434</v>
      </c>
      <c r="AG404" s="2" t="n">
        <f aca="false">-AF404/W404</f>
        <v>-48.3931906471488</v>
      </c>
      <c r="AH404" s="2" t="n">
        <f aca="false">AD404+AE404+AG404</f>
        <v>7495.97734359763</v>
      </c>
      <c r="AI404" s="2" t="n">
        <f aca="false">Entrées!$C$16-M404+Hypothèses!$J$22*1000-AF404+Hypothèses!$J$23</f>
        <v>22459.0874434443</v>
      </c>
      <c r="AJ404" s="2" t="n">
        <f aca="false">AI404/AH404</f>
        <v>2.99615199112451</v>
      </c>
      <c r="AK404" s="2" t="n">
        <f aca="false">AI404/(AH404+I404*(12-Hypothèses!$J$24)/12/Hypothèses!$J$19)</f>
        <v>2.96789516139657</v>
      </c>
      <c r="AL404" s="2" t="n">
        <f aca="false">(AD404+AG404+I404/Hypothèses!$J$19)*(1+G404)</f>
        <v>7947.54476561279</v>
      </c>
      <c r="AM404" s="2" t="n">
        <f aca="false">Entrées!$C$54*K404/Hypothèses!$J$19</f>
        <v>28.8155348698425</v>
      </c>
      <c r="AN404" s="2" t="n">
        <f aca="false">Y404*1000/AC404</f>
        <v>31.974523950177</v>
      </c>
      <c r="AO404" s="2" t="n">
        <f aca="false">(Entrées!$C$36*(1-S404)+MAX(0,Entrées!$C$30-Entrées!$C$35-Entrées!$C$36)*U404)*1000</f>
        <v>990.253522422806</v>
      </c>
      <c r="AP404" s="2" t="n">
        <f aca="false">-AO404/W404</f>
        <v>-98.9093342305027</v>
      </c>
      <c r="AQ404" s="2" t="n">
        <f aca="false">AL404+AM404+AN404+AP404</f>
        <v>7909.42549020231</v>
      </c>
      <c r="AR404" s="2" t="n">
        <f aca="false">O404*AQ404-Hypothèses!$J$25/Hypothèses!$J$19</f>
        <v>1288.91121644875</v>
      </c>
      <c r="AS404" s="2" t="n">
        <f aca="false">Entrées!$C$79*(1+Q404)+Hypothèses!$J$20</f>
        <v>1511.17266918607</v>
      </c>
      <c r="AT404" s="2" t="n">
        <f aca="false">AI404-AR404+AS404+Y404*1000-AO404+Hypothèses!$J$23</f>
        <v>22016.0889536954</v>
      </c>
      <c r="AU404" s="2" t="n">
        <f aca="false">AT404/AQ404</f>
        <v>2.78352567844118</v>
      </c>
      <c r="AV404" s="2" t="n">
        <f aca="false">Hypothèses!$J$26*AQ404-AT404</f>
        <v>1712.18751691157</v>
      </c>
      <c r="AW404" s="2" t="n">
        <f aca="false">IF(AC404&gt;Hypothèses!$J$26,MAX(0,AV404)/(1-Hypothèses!$J$26/AC404),0)</f>
        <v>2429.16982145817</v>
      </c>
      <c r="AX404" s="2" t="n">
        <f aca="false">AQ404-Entrées!$C$17*1000</f>
        <v>-90.5745097976906</v>
      </c>
      <c r="AY404" s="2" t="n">
        <f aca="false">AI404+(Entrées!$C$244-Entrées!$C$13)</f>
        <v>28206.0874434443</v>
      </c>
      <c r="AZ404" s="2" t="n">
        <f aca="false">AA404*AH404</f>
        <v>5516.84595261085</v>
      </c>
      <c r="BA404" s="2" t="n">
        <f aca="false">AZ404/AY404</f>
        <v>0.195590613681271</v>
      </c>
      <c r="BB404" s="2" t="n">
        <f aca="false">AZ404/(Entrées!$C$151/100)-AY404</f>
        <v>2443.05673772712</v>
      </c>
      <c r="BC404" s="2" t="n">
        <f aca="false">AT404+(Entrées!$C$244-Entrées!$C$13)</f>
        <v>27763.0889536954</v>
      </c>
      <c r="BD404" s="2" t="n">
        <f aca="false">AA404*AQ404</f>
        <v>5821.13312287006</v>
      </c>
      <c r="BE404" s="2" t="n">
        <f aca="false">BD404/BC404</f>
        <v>0.209671666311297</v>
      </c>
      <c r="BF404" s="2" t="n">
        <f aca="false">BD404/(Entrées!$C$151/100)-BC404</f>
        <v>4576.53950669388</v>
      </c>
      <c r="BG404" s="2" t="n">
        <f aca="false">MIN(AV404,BF404)</f>
        <v>1712.18751691157</v>
      </c>
      <c r="BH404" s="2" t="n">
        <f aca="false">IF(AC404&gt;Hypothèses!$J$26,MAX(0,BG404)/(1-Hypothèses!$J$26/AC404),0)</f>
        <v>2429.16982145817</v>
      </c>
    </row>
    <row r="405" customFormat="false" ht="15" hidden="false" customHeight="false" outlineLevel="0" collapsed="false">
      <c r="A405" s="2" t="n">
        <v>390</v>
      </c>
      <c r="B405" s="2" t="n">
        <v>0.260986746</v>
      </c>
      <c r="C405" s="2"/>
      <c r="D405" s="2" t="n">
        <v>0.920366912</v>
      </c>
      <c r="E405" s="2" t="n">
        <f aca="false">IF(E$7=E$5,E$6,IF(NORMSDIST(E$9*SQRT($C$11)*NORMSINV($B405)+SQRT(1-E$9^2*$C$11)*NORMSINV(D405))&lt;E$8,E$5+SQRT(NORMSDIST(E$9*SQRT($C$11)*NORMSINV($B405)+SQRT(1-E$9^2*$C$11)*NORMSINV(D405))*(E$7-E$5)*(E$6-E$5)),E$7-SQRT((1-NORMSDIST(E$9*SQRT($C$11)*NORMSINV($B405)+SQRT(1-E$9^2*$C$11)*NORMSINV(D405)))*(E$7-E$5)*(E$7-E$6))))</f>
        <v>0.0564887819520233</v>
      </c>
      <c r="F405" s="2" t="n">
        <v>0.563660509</v>
      </c>
      <c r="G405" s="2" t="n">
        <f aca="false">IF(G$7=G$5,G$6,IF(NORMSDIST(G$9*SQRT($C$11)*NORMSINV($B405)+SQRT(1-G$9^2*$C$11)*NORMSINV(F405))&lt;G$8,G$5+SQRT(NORMSDIST(G$9*SQRT($C$11)*NORMSINV($B405)+SQRT(1-G$9^2*$C$11)*NORMSINV(F405))*(G$7-G$5)*(G$6-G$5)),G$7-SQRT((1-NORMSDIST(G$9*SQRT($C$11)*NORMSINV($B405)+SQRT(1-G$9^2*$C$11)*NORMSINV(F405)))*(G$7-G$5)*(G$7-G$6))))</f>
        <v>0.0532377866283271</v>
      </c>
      <c r="H405" s="2" t="n">
        <v>0.295238409</v>
      </c>
      <c r="I405" s="2" t="n">
        <f aca="false">IF(I$7=I$5,I$6,IF(NORMSDIST(I$9*SQRT($C$11)*NORMSINV($B405)+SQRT(1-I$9^2*$C$11)*NORMSINV(H405))&lt;I$8,I$5+SQRT(NORMSDIST(I$9*SQRT($C$11)*NORMSINV($B405)+SQRT(1-I$9^2*$C$11)*NORMSINV(H405))*(I$7-I$5)*(I$6-I$5)),I$7-SQRT((1-NORMSDIST(I$9*SQRT($C$11)*NORMSINV($B405)+SQRT(1-I$9^2*$C$11)*NORMSINV(H405)))*(I$7-I$5)*(I$7-I$6))))</f>
        <v>192.82473592042</v>
      </c>
      <c r="J405" s="2" t="n">
        <v>0.679260715</v>
      </c>
      <c r="K405" s="2" t="n">
        <f aca="false">IF(K$7=K$5,K$6,IF(NORMSDIST(K$9*SQRT($C$11)*NORMSINV($B405)+SQRT(1-K$9^2*$C$11)*NORMSINV(J405))&lt;K$8,K$5+SQRT(NORMSDIST(K$9*SQRT($C$11)*NORMSINV($B405)+SQRT(1-K$9^2*$C$11)*NORMSINV(J405))*(K$7-K$5)*(K$6-K$5)),K$7-SQRT((1-NORMSDIST(K$9*SQRT($C$11)*NORMSINV($B405)+SQRT(1-K$9^2*$C$11)*NORMSINV(J405)))*(K$7-K$5)*(K$7-K$6))))</f>
        <v>0.24554466801349</v>
      </c>
      <c r="L405" s="2" t="n">
        <v>0.108166468</v>
      </c>
      <c r="M405" s="2" t="n">
        <f aca="false">IF(M$7=M$5,M$6,IF(NORMSDIST(M$9*SQRT($C$11)*NORMSINV($B405)+SQRT(1-M$9^2*$C$11)*NORMSINV(L405))&lt;M$8,M$5+SQRT(NORMSDIST(M$9*SQRT($C$11)*NORMSINV($B405)+SQRT(1-M$9^2*$C$11)*NORMSINV(L405))*(M$7-M$5)*(M$6-M$5)),M$7-SQRT((1-NORMSDIST(M$9*SQRT($C$11)*NORMSINV($B405)+SQRT(1-M$9^2*$C$11)*NORMSINV(L405)))*(M$7-M$5)*(M$7-M$6))))</f>
        <v>1420.55571808492</v>
      </c>
      <c r="N405" s="2" t="n">
        <v>0.782637417</v>
      </c>
      <c r="O405" s="2" t="n">
        <f aca="false">IF(O$7=O$5,O$6,IF(NORMSDIST(O$9*SQRT($C$11)*NORMSINV($B405)+SQRT(1-O$9^2*$C$11)*NORMSINV(N405))&lt;O$8,O$5+SQRT(NORMSDIST(O$9*SQRT($C$11)*NORMSINV($B405)+SQRT(1-O$9^2*$C$11)*NORMSINV(N405))*(O$7-O$5)*(O$6-O$5)),O$7-SQRT((1-NORMSDIST(O$9*SQRT($C$11)*NORMSINV($B405)+SQRT(1-O$9^2*$C$11)*NORMSINV(N405)))*(O$7-O$5)*(O$7-O$6))))</f>
        <v>0.168831044956175</v>
      </c>
      <c r="P405" s="2" t="n">
        <v>0.455178118</v>
      </c>
      <c r="Q405" s="2" t="n">
        <f aca="false">IF(Q$7=Q$5,Q$6,IF(NORMSDIST(Q$9*SQRT($C$11)*NORMSINV($B405)+SQRT(1-Q$9^2*$C$11)*NORMSINV(P405))&lt;Q$8,Q$5+SQRT(NORMSDIST(Q$9*SQRT($C$11)*NORMSINV($B405)+SQRT(1-Q$9^2*$C$11)*NORMSINV(P405))*(Q$7-Q$5)*(Q$6-Q$5)),Q$7-SQRT((1-NORMSDIST(Q$9*SQRT($C$11)*NORMSINV($B405)+SQRT(1-Q$9^2*$C$11)*NORMSINV(P405)))*(Q$7-Q$5)*(Q$7-Q$6))))</f>
        <v>0.0781650360618197</v>
      </c>
      <c r="R405" s="2" t="n">
        <v>0.621892582</v>
      </c>
      <c r="S405" s="2" t="n">
        <f aca="false">IF(S$7=S$5,S$6,IF(NORMSDIST(S$9*SQRT($C$11)*NORMSINV($B405)+SQRT(1-S$9^2*$C$11)*NORMSINV(R405))&lt;S$8,S$5+SQRT(NORMSDIST(S$9*SQRT($C$11)*NORMSINV($B405)+SQRT(1-S$9^2*$C$11)*NORMSINV(R405))*(S$7-S$5)*(S$6-S$5)),S$7-SQRT((1-NORMSDIST(S$9*SQRT($C$11)*NORMSINV($B405)+SQRT(1-S$9^2*$C$11)*NORMSINV(R405)))*(S$7-S$5)*(S$7-S$6))))</f>
        <v>0.466193957686606</v>
      </c>
      <c r="T405" s="2" t="n">
        <v>0.303923662</v>
      </c>
      <c r="U405" s="2" t="n">
        <f aca="false">IF(U$7=U$5,U$6,IF(NORMSDIST(U$9*SQRT($C$11)*NORMSINV($B405)+SQRT(1-U$9^2*$C$11)*NORMSINV(T405))&lt;U$8,U$5+SQRT(NORMSDIST(U$9*SQRT($C$11)*NORMSINV($B405)+SQRT(1-U$9^2*$C$11)*NORMSINV(T405))*(U$7-U$5)*(U$6-U$5)),U$7-SQRT((1-NORMSDIST(U$9*SQRT($C$11)*NORMSINV($B405)+SQRT(1-U$9^2*$C$11)*NORMSINV(T405)))*(U$7-U$5)*(U$7-U$6))))</f>
        <v>0.324920590698551</v>
      </c>
      <c r="V405" s="2" t="n">
        <v>0.191236047</v>
      </c>
      <c r="W405" s="2" t="n">
        <f aca="false">IF(W$7=W$5,W$6,IF(NORMSDIST(W$9*SQRT($C$11)*NORMSINV($B405)+SQRT(1-W$9^2*$C$11)*NORMSINV(V405))&lt;W$8,W$5+SQRT(NORMSDIST(W$9*SQRT($C$11)*NORMSINV($B405)+SQRT(1-W$9^2*$C$11)*NORMSINV(V405))*(W$7-W$5)*(W$6-W$5)),W$7-SQRT((1-NORMSDIST(W$9*SQRT($C$11)*NORMSINV($B405)+SQRT(1-W$9^2*$C$11)*NORMSINV(V405)))*(W$7-W$5)*(W$7-W$6))))</f>
        <v>9.05734142557676</v>
      </c>
      <c r="X405" s="2" t="n">
        <v>0.422527604</v>
      </c>
      <c r="Y405" s="2" t="n">
        <f aca="false">IF(Y$7=Y$5,Y$6,IF(NORMSDIST(Y$9*SQRT($C$11)*NORMSINV($B405)+SQRT(1-Y$9^2*$C$11)*NORMSINV(X405))&lt;Y$8,Y$5+SQRT(NORMSDIST(Y$9*SQRT($C$11)*NORMSINV($B405)+SQRT(1-Y$9^2*$C$11)*NORMSINV(X405))*(Y$7-Y$5)*(Y$6-Y$5)),Y$7-SQRT((1-NORMSDIST(Y$9*SQRT($C$11)*NORMSINV($B405)+SQRT(1-Y$9^2*$C$11)*NORMSINV(X405)))*(Y$7-Y$5)*(Y$7-Y$6))))</f>
        <v>0.459634422122626</v>
      </c>
      <c r="Z405" s="2" t="n">
        <v>0.920588941</v>
      </c>
      <c r="AA405" s="2" t="n">
        <f aca="false">IF(AA$7=AA$5,AA$6,IF(NORMSDIST(AA$9*SQRT($C$11)*NORMSINV($B405)+SQRT(1-AA$9^2*$C$11)*NORMSINV(Z405))&lt;AA$8,AA$5+SQRT(NORMSDIST(AA$9*SQRT($C$11)*NORMSINV($B405)+SQRT(1-AA$9^2*$C$11)*NORMSINV(Z405))*(AA$7-AA$5)*(AA$6-AA$5)),AA$7-SQRT((1-NORMSDIST(AA$9*SQRT($C$11)*NORMSINV($B405)+SQRT(1-AA$9^2*$C$11)*NORMSINV(Z405)))*(AA$7-AA$5)*(AA$7-AA$6))))</f>
        <v>0.736080697231809</v>
      </c>
      <c r="AB405" s="2" t="n">
        <v>0.048534131</v>
      </c>
      <c r="AC405" s="2" t="n">
        <f aca="false">IF(AC$7=AC$5,AC$6,IF(NORMSDIST(AC$9*SQRT($C$11)*NORMSINV($B405)+SQRT(1-AC$9^2*$C$11)*NORMSINV(AB405))&lt;AC$8,AC$5+SQRT(NORMSDIST(AC$9*SQRT($C$11)*NORMSINV($B405)+SQRT(1-AC$9^2*$C$11)*NORMSINV(AB405))*(AC$7-AC$5)*(AC$6-AC$5)),AC$7-SQRT((1-NORMSDIST(AC$9*SQRT($C$11)*NORMSINV($B405)+SQRT(1-AC$9^2*$C$11)*NORMSINV(AB405)))*(AC$7-AC$5)*(AC$7-AC$6))))</f>
        <v>8.02695478076866</v>
      </c>
      <c r="AD405" s="2" t="n">
        <f aca="false">Entrées!$C$8*(1+E405)</f>
        <v>7448.24591276176</v>
      </c>
      <c r="AE405" s="2" t="n">
        <f aca="false">I405*Hypothèses!$J$24/12/Hypothèses!$J$19</f>
        <v>95.659734330544</v>
      </c>
      <c r="AF405" s="2" t="n">
        <f aca="false">Entrées!$C$36*S405*1000</f>
        <v>233.096978843303</v>
      </c>
      <c r="AG405" s="2" t="n">
        <f aca="false">-AF405/W405</f>
        <v>-25.7356952653973</v>
      </c>
      <c r="AH405" s="2" t="n">
        <f aca="false">AD405+AE405+AG405</f>
        <v>7518.16995182691</v>
      </c>
      <c r="AI405" s="2" t="n">
        <f aca="false">Entrées!$C$16-M405+Hypothèses!$J$22*1000-AF405+Hypothèses!$J$23</f>
        <v>22894.3473030718</v>
      </c>
      <c r="AJ405" s="2" t="n">
        <f aca="false">AI405/AH405</f>
        <v>3.04520215022653</v>
      </c>
      <c r="AK405" s="2" t="n">
        <f aca="false">AI405/(AH405+I405*(12-Hypothèses!$J$24)/12/Hypothèses!$J$19)</f>
        <v>3.01777530247409</v>
      </c>
      <c r="AL405" s="2" t="n">
        <f aca="false">(AD405+AG405+I405/Hypothèses!$J$19)*(1+G405)</f>
        <v>7990.38671302617</v>
      </c>
      <c r="AM405" s="2" t="n">
        <f aca="false">Entrées!$C$54*K405/Hypothèses!$J$19</f>
        <v>25.0588643462145</v>
      </c>
      <c r="AN405" s="2" t="n">
        <f aca="false">Y405*1000/AC405</f>
        <v>57.2613693083009</v>
      </c>
      <c r="AO405" s="2" t="n">
        <f aca="false">(Entrées!$C$36*(1-S405)+MAX(0,Entrées!$C$30-Entrées!$C$35-Entrées!$C$36)*U405)*1000</f>
        <v>721.791848134668</v>
      </c>
      <c r="AP405" s="2" t="n">
        <f aca="false">-AO405/W405</f>
        <v>-79.6913591107895</v>
      </c>
      <c r="AQ405" s="2" t="n">
        <f aca="false">AL405+AM405+AN405+AP405</f>
        <v>7993.0155875699</v>
      </c>
      <c r="AR405" s="2" t="n">
        <f aca="false">O405*AQ405-Hypothèses!$J$25/Hypothèses!$J$19</f>
        <v>1330.3340117388</v>
      </c>
      <c r="AS405" s="2" t="n">
        <f aca="false">Entrées!$C$79*(1+Q405)+Hypothèses!$J$20</f>
        <v>1479.90337463194</v>
      </c>
      <c r="AT405" s="2" t="n">
        <f aca="false">AI405-AR405+AS405+Y405*1000-AO405+Hypothèses!$J$23</f>
        <v>22781.7592399529</v>
      </c>
      <c r="AU405" s="2" t="n">
        <f aca="false">AT405/AQ405</f>
        <v>2.8502082837648</v>
      </c>
      <c r="AV405" s="2" t="n">
        <f aca="false">Hypothèses!$J$26*AQ405-AT405</f>
        <v>1197.28752275681</v>
      </c>
      <c r="AW405" s="2" t="n">
        <f aca="false">IF(AC405&gt;Hypothèses!$J$26,MAX(0,AV405)/(1-Hypothèses!$J$26/AC405),0)</f>
        <v>1911.80808737609</v>
      </c>
      <c r="AX405" s="2" t="n">
        <f aca="false">AQ405-Entrées!$C$17*1000</f>
        <v>-6.98441243010439</v>
      </c>
      <c r="AY405" s="2" t="n">
        <f aca="false">AI405+(Entrées!$C$244-Entrées!$C$13)</f>
        <v>28641.3473030718</v>
      </c>
      <c r="AZ405" s="2" t="n">
        <f aca="false">AA405*AH405</f>
        <v>5533.97978004799</v>
      </c>
      <c r="BA405" s="2" t="n">
        <f aca="false">AZ405/AY405</f>
        <v>0.193216461554323</v>
      </c>
      <c r="BB405" s="2" t="n">
        <f aca="false">AZ405/(Entrées!$C$151/100)-AY405</f>
        <v>2102.98480830594</v>
      </c>
      <c r="BC405" s="2" t="n">
        <f aca="false">AT405+(Entrées!$C$244-Entrées!$C$13)</f>
        <v>28528.7592399529</v>
      </c>
      <c r="BD405" s="2" t="n">
        <f aca="false">AA405*AQ405</f>
        <v>5883.50448668317</v>
      </c>
      <c r="BE405" s="2" t="n">
        <f aca="false">BD405/BC405</f>
        <v>0.206230647368767</v>
      </c>
      <c r="BF405" s="2" t="n">
        <f aca="false">BD405/(Entrées!$C$151/100)-BC405</f>
        <v>4157.37679717583</v>
      </c>
      <c r="BG405" s="2" t="n">
        <f aca="false">MIN(AV405,BF405)</f>
        <v>1197.28752275681</v>
      </c>
      <c r="BH405" s="2" t="n">
        <f aca="false">IF(AC405&gt;Hypothèses!$J$26,MAX(0,BG405)/(1-Hypothèses!$J$26/AC405),0)</f>
        <v>1911.80808737609</v>
      </c>
    </row>
    <row r="406" customFormat="false" ht="15" hidden="false" customHeight="false" outlineLevel="0" collapsed="false">
      <c r="A406" s="2" t="n">
        <v>391</v>
      </c>
      <c r="B406" s="2" t="n">
        <v>0.590386221</v>
      </c>
      <c r="C406" s="2"/>
      <c r="D406" s="2" t="n">
        <v>0.871545627</v>
      </c>
      <c r="E406" s="2" t="n">
        <f aca="false">IF(E$7=E$5,E$6,IF(NORMSDIST(E$9*SQRT($C$11)*NORMSINV($B406)+SQRT(1-E$9^2*$C$11)*NORMSINV(D406))&lt;E$8,E$5+SQRT(NORMSDIST(E$9*SQRT($C$11)*NORMSINV($B406)+SQRT(1-E$9^2*$C$11)*NORMSINV(D406))*(E$7-E$5)*(E$6-E$5)),E$7-SQRT((1-NORMSDIST(E$9*SQRT($C$11)*NORMSINV($B406)+SQRT(1-E$9^2*$C$11)*NORMSINV(D406)))*(E$7-E$5)*(E$7-E$6))))</f>
        <v>0.0572321525607267</v>
      </c>
      <c r="F406" s="2" t="n">
        <v>0.675417309</v>
      </c>
      <c r="G406" s="2" t="n">
        <f aca="false">IF(G$7=G$5,G$6,IF(NORMSDIST(G$9*SQRT($C$11)*NORMSINV($B406)+SQRT(1-G$9^2*$C$11)*NORMSINV(F406))&lt;G$8,G$5+SQRT(NORMSDIST(G$9*SQRT($C$11)*NORMSINV($B406)+SQRT(1-G$9^2*$C$11)*NORMSINV(F406))*(G$7-G$5)*(G$6-G$5)),G$7-SQRT((1-NORMSDIST(G$9*SQRT($C$11)*NORMSINV($B406)+SQRT(1-G$9^2*$C$11)*NORMSINV(F406)))*(G$7-G$5)*(G$7-G$6))))</f>
        <v>0.0581961876154185</v>
      </c>
      <c r="H406" s="2" t="n">
        <v>0.66926657</v>
      </c>
      <c r="I406" s="2" t="n">
        <f aca="false">IF(I$7=I$5,I$6,IF(NORMSDIST(I$9*SQRT($C$11)*NORMSINV($B406)+SQRT(1-I$9^2*$C$11)*NORMSINV(H406))&lt;I$8,I$5+SQRT(NORMSDIST(I$9*SQRT($C$11)*NORMSINV($B406)+SQRT(1-I$9^2*$C$11)*NORMSINV(H406))*(I$7-I$5)*(I$6-I$5)),I$7-SQRT((1-NORMSDIST(I$9*SQRT($C$11)*NORMSINV($B406)+SQRT(1-I$9^2*$C$11)*NORMSINV(H406)))*(I$7-I$5)*(I$7-I$6))))</f>
        <v>204.143403850677</v>
      </c>
      <c r="J406" s="2" t="n">
        <v>0.902231906</v>
      </c>
      <c r="K406" s="2" t="n">
        <f aca="false">IF(K$7=K$5,K$6,IF(NORMSDIST(K$9*SQRT($C$11)*NORMSINV($B406)+SQRT(1-K$9^2*$C$11)*NORMSINV(J406))&lt;K$8,K$5+SQRT(NORMSDIST(K$9*SQRT($C$11)*NORMSINV($B406)+SQRT(1-K$9^2*$C$11)*NORMSINV(J406))*(K$7-K$5)*(K$6-K$5)),K$7-SQRT((1-NORMSDIST(K$9*SQRT($C$11)*NORMSINV($B406)+SQRT(1-K$9^2*$C$11)*NORMSINV(J406)))*(K$7-K$5)*(K$7-K$6))))</f>
        <v>0.374671398138865</v>
      </c>
      <c r="L406" s="2" t="n">
        <v>0.874094916</v>
      </c>
      <c r="M406" s="2" t="n">
        <f aca="false">IF(M$7=M$5,M$6,IF(NORMSDIST(M$9*SQRT($C$11)*NORMSINV($B406)+SQRT(1-M$9^2*$C$11)*NORMSINV(L406))&lt;M$8,M$5+SQRT(NORMSDIST(M$9*SQRT($C$11)*NORMSINV($B406)+SQRT(1-M$9^2*$C$11)*NORMSINV(L406))*(M$7-M$5)*(M$6-M$5)),M$7-SQRT((1-NORMSDIST(M$9*SQRT($C$11)*NORMSINV($B406)+SQRT(1-M$9^2*$C$11)*NORMSINV(L406)))*(M$7-M$5)*(M$7-M$6))))</f>
        <v>1682.26363656852</v>
      </c>
      <c r="N406" s="2" t="n">
        <v>0.145109444</v>
      </c>
      <c r="O406" s="2" t="n">
        <f aca="false">IF(O$7=O$5,O$6,IF(NORMSDIST(O$9*SQRT($C$11)*NORMSINV($B406)+SQRT(1-O$9^2*$C$11)*NORMSINV(N406))&lt;O$8,O$5+SQRT(NORMSDIST(O$9*SQRT($C$11)*NORMSINV($B406)+SQRT(1-O$9^2*$C$11)*NORMSINV(N406))*(O$7-O$5)*(O$6-O$5)),O$7-SQRT((1-NORMSDIST(O$9*SQRT($C$11)*NORMSINV($B406)+SQRT(1-O$9^2*$C$11)*NORMSINV(N406)))*(O$7-O$5)*(O$7-O$6))))</f>
        <v>0.158936904686975</v>
      </c>
      <c r="P406" s="2" t="n">
        <v>0.042616511</v>
      </c>
      <c r="Q406" s="2" t="n">
        <f aca="false">IF(Q$7=Q$5,Q$6,IF(NORMSDIST(Q$9*SQRT($C$11)*NORMSINV($B406)+SQRT(1-Q$9^2*$C$11)*NORMSINV(P406))&lt;Q$8,Q$5+SQRT(NORMSDIST(Q$9*SQRT($C$11)*NORMSINV($B406)+SQRT(1-Q$9^2*$C$11)*NORMSINV(P406))*(Q$7-Q$5)*(Q$6-Q$5)),Q$7-SQRT((1-NORMSDIST(Q$9*SQRT($C$11)*NORMSINV($B406)+SQRT(1-Q$9^2*$C$11)*NORMSINV(P406)))*(Q$7-Q$5)*(Q$7-Q$6))))</f>
        <v>0.0516778780264224</v>
      </c>
      <c r="R406" s="2" t="n">
        <v>0.921803051</v>
      </c>
      <c r="S406" s="2" t="n">
        <f aca="false">IF(S$7=S$5,S$6,IF(NORMSDIST(S$9*SQRT($C$11)*NORMSINV($B406)+SQRT(1-S$9^2*$C$11)*NORMSINV(R406))&lt;S$8,S$5+SQRT(NORMSDIST(S$9*SQRT($C$11)*NORMSINV($B406)+SQRT(1-S$9^2*$C$11)*NORMSINV(R406))*(S$7-S$5)*(S$6-S$5)),S$7-SQRT((1-NORMSDIST(S$9*SQRT($C$11)*NORMSINV($B406)+SQRT(1-S$9^2*$C$11)*NORMSINV(R406)))*(S$7-S$5)*(S$7-S$6))))</f>
        <v>0.768647223888533</v>
      </c>
      <c r="T406" s="2" t="n">
        <v>0.028108878</v>
      </c>
      <c r="U406" s="2" t="n">
        <f aca="false">IF(U$7=U$5,U$6,IF(NORMSDIST(U$9*SQRT($C$11)*NORMSINV($B406)+SQRT(1-U$9^2*$C$11)*NORMSINV(T406))&lt;U$8,U$5+SQRT(NORMSDIST(U$9*SQRT($C$11)*NORMSINV($B406)+SQRT(1-U$9^2*$C$11)*NORMSINV(T406))*(U$7-U$5)*(U$6-U$5)),U$7-SQRT((1-NORMSDIST(U$9*SQRT($C$11)*NORMSINV($B406)+SQRT(1-U$9^2*$C$11)*NORMSINV(T406)))*(U$7-U$5)*(U$7-U$6))))</f>
        <v>0.213344027169672</v>
      </c>
      <c r="V406" s="2" t="n">
        <v>0.890071891</v>
      </c>
      <c r="W406" s="2" t="n">
        <f aca="false">IF(W$7=W$5,W$6,IF(NORMSDIST(W$9*SQRT($C$11)*NORMSINV($B406)+SQRT(1-W$9^2*$C$11)*NORMSINV(V406))&lt;W$8,W$5+SQRT(NORMSDIST(W$9*SQRT($C$11)*NORMSINV($B406)+SQRT(1-W$9^2*$C$11)*NORMSINV(V406))*(W$7-W$5)*(W$6-W$5)),W$7-SQRT((1-NORMSDIST(W$9*SQRT($C$11)*NORMSINV($B406)+SQRT(1-W$9^2*$C$11)*NORMSINV(V406)))*(W$7-W$5)*(W$7-W$6))))</f>
        <v>10.9539409683187</v>
      </c>
      <c r="X406" s="2" t="n">
        <v>0.210719449</v>
      </c>
      <c r="Y406" s="2" t="n">
        <f aca="false">IF(Y$7=Y$5,Y$6,IF(NORMSDIST(Y$9*SQRT($C$11)*NORMSINV($B406)+SQRT(1-Y$9^2*$C$11)*NORMSINV(X406))&lt;Y$8,Y$5+SQRT(NORMSDIST(Y$9*SQRT($C$11)*NORMSINV($B406)+SQRT(1-Y$9^2*$C$11)*NORMSINV(X406))*(Y$7-Y$5)*(Y$6-Y$5)),Y$7-SQRT((1-NORMSDIST(Y$9*SQRT($C$11)*NORMSINV($B406)+SQRT(1-Y$9^2*$C$11)*NORMSINV(X406)))*(Y$7-Y$5)*(Y$7-Y$6))))</f>
        <v>0.324591627279571</v>
      </c>
      <c r="Z406" s="2" t="n">
        <v>0.025481674</v>
      </c>
      <c r="AA406" s="2" t="n">
        <f aca="false">IF(AA$7=AA$5,AA$6,IF(NORMSDIST(AA$9*SQRT($C$11)*NORMSINV($B406)+SQRT(1-AA$9^2*$C$11)*NORMSINV(Z406))&lt;AA$8,AA$5+SQRT(NORMSDIST(AA$9*SQRT($C$11)*NORMSINV($B406)+SQRT(1-AA$9^2*$C$11)*NORMSINV(Z406))*(AA$7-AA$5)*(AA$6-AA$5)),AA$7-SQRT((1-NORMSDIST(AA$9*SQRT($C$11)*NORMSINV($B406)+SQRT(1-AA$9^2*$C$11)*NORMSINV(Z406)))*(AA$7-AA$5)*(AA$7-AA$6))))</f>
        <v>0.708875537604728</v>
      </c>
      <c r="AB406" s="2" t="n">
        <v>0.894321419</v>
      </c>
      <c r="AC406" s="2" t="n">
        <f aca="false">IF(AC$7=AC$5,AC$6,IF(NORMSDIST(AC$9*SQRT($C$11)*NORMSINV($B406)+SQRT(1-AC$9^2*$C$11)*NORMSINV(AB406))&lt;AC$8,AC$5+SQRT(NORMSDIST(AC$9*SQRT($C$11)*NORMSINV($B406)+SQRT(1-AC$9^2*$C$11)*NORMSINV(AB406))*(AC$7-AC$5)*(AC$6-AC$5)),AC$7-SQRT((1-NORMSDIST(AC$9*SQRT($C$11)*NORMSINV($B406)+SQRT(1-AC$9^2*$C$11)*NORMSINV(AB406)))*(AC$7-AC$5)*(AC$7-AC$6))))</f>
        <v>10.2422125606409</v>
      </c>
      <c r="AD406" s="2" t="n">
        <f aca="false">Entrées!$C$8*(1+E406)</f>
        <v>7453.48667555312</v>
      </c>
      <c r="AE406" s="2" t="n">
        <f aca="false">I406*Hypothèses!$J$24/12/Hypothèses!$J$19</f>
        <v>101.274889263938</v>
      </c>
      <c r="AF406" s="2" t="n">
        <f aca="false">Entrées!$C$36*S406*1000</f>
        <v>384.323611944266</v>
      </c>
      <c r="AG406" s="2" t="n">
        <f aca="false">-AF406/W406</f>
        <v>-35.0854193076099</v>
      </c>
      <c r="AH406" s="2" t="n">
        <f aca="false">AD406+AE406+AG406</f>
        <v>7519.67614550945</v>
      </c>
      <c r="AI406" s="2" t="n">
        <f aca="false">Entrées!$C$16-M406+Hypothèses!$J$22*1000-AF406+Hypothèses!$J$23</f>
        <v>22481.4127514872</v>
      </c>
      <c r="AJ406" s="2" t="n">
        <f aca="false">AI406/AH406</f>
        <v>2.98967832077616</v>
      </c>
      <c r="AK406" s="2" t="n">
        <f aca="false">AI406/(AH406+I406*(12-Hypothèses!$J$24)/12/Hypothèses!$J$19)</f>
        <v>2.96119168742067</v>
      </c>
      <c r="AL406" s="2" t="n">
        <f aca="false">(AD406+AG406+I406/Hypothèses!$J$19)*(1+G406)</f>
        <v>8033.84170193804</v>
      </c>
      <c r="AM406" s="2" t="n">
        <f aca="false">Entrées!$C$54*K406/Hypothèses!$J$19</f>
        <v>38.2367893236131</v>
      </c>
      <c r="AN406" s="2" t="n">
        <f aca="false">Y406*1000/AC406</f>
        <v>31.6915534956696</v>
      </c>
      <c r="AO406" s="2" t="n">
        <f aca="false">(Entrées!$C$36*(1-S406)+MAX(0,Entrées!$C$30-Entrées!$C$35-Entrées!$C$36)*U406)*1000</f>
        <v>414.358026093275</v>
      </c>
      <c r="AP406" s="2" t="n">
        <f aca="false">-AO406/W406</f>
        <v>-37.8273013604596</v>
      </c>
      <c r="AQ406" s="2" t="n">
        <f aca="false">AL406+AM406+AN406+AP406</f>
        <v>8065.94274339687</v>
      </c>
      <c r="AR406" s="2" t="n">
        <f aca="false">O406*AQ406-Hypothèses!$J$25/Hypothèses!$J$19</f>
        <v>1262.84081075624</v>
      </c>
      <c r="AS406" s="2" t="n">
        <f aca="false">Entrées!$C$79*(1+Q406)+Hypothèses!$J$20</f>
        <v>1450.79398795104</v>
      </c>
      <c r="AT406" s="2" t="n">
        <f aca="false">AI406-AR406+AS406+Y406*1000-AO406+Hypothèses!$J$23</f>
        <v>22579.5995298683</v>
      </c>
      <c r="AU406" s="2" t="n">
        <f aca="false">AT406/AQ406</f>
        <v>2.79937513173559</v>
      </c>
      <c r="AV406" s="2" t="n">
        <f aca="false">Hypothèses!$J$26*AQ406-AT406</f>
        <v>1618.22870032229</v>
      </c>
      <c r="AW406" s="2" t="n">
        <f aca="false">IF(AC406&gt;Hypothèses!$J$26,MAX(0,AV406)/(1-Hypothèses!$J$26/AC406),0)</f>
        <v>2288.56059963032</v>
      </c>
      <c r="AX406" s="2" t="n">
        <f aca="false">AQ406-Entrées!$C$17*1000</f>
        <v>65.9427433968676</v>
      </c>
      <c r="AY406" s="2" t="n">
        <f aca="false">AI406+(Entrées!$C$244-Entrées!$C$13)</f>
        <v>28228.4127514872</v>
      </c>
      <c r="AZ406" s="2" t="n">
        <f aca="false">AA406*AH406</f>
        <v>5330.51447026146</v>
      </c>
      <c r="BA406" s="2" t="n">
        <f aca="false">AZ406/AY406</f>
        <v>0.18883507610539</v>
      </c>
      <c r="BB406" s="2" t="n">
        <f aca="false">AZ406/(Entrées!$C$151/100)-AY406</f>
        <v>1385.55652774311</v>
      </c>
      <c r="BC406" s="2" t="n">
        <f aca="false">AT406+(Entrées!$C$244-Entrées!$C$13)</f>
        <v>28326.5995298683</v>
      </c>
      <c r="BD406" s="2" t="n">
        <f aca="false">AA406*AQ406</f>
        <v>5717.74949851441</v>
      </c>
      <c r="BE406" s="2" t="n">
        <f aca="false">BD406/BC406</f>
        <v>0.201850896098046</v>
      </c>
      <c r="BF406" s="2" t="n">
        <f aca="false">BD406/(Entrées!$C$151/100)-BC406</f>
        <v>3438.6754618784</v>
      </c>
      <c r="BG406" s="2" t="n">
        <f aca="false">MIN(AV406,BF406)</f>
        <v>1618.22870032229</v>
      </c>
      <c r="BH406" s="2" t="n">
        <f aca="false">IF(AC406&gt;Hypothèses!$J$26,MAX(0,BG406)/(1-Hypothèses!$J$26/AC406),0)</f>
        <v>2288.56059963032</v>
      </c>
    </row>
    <row r="407" customFormat="false" ht="15" hidden="false" customHeight="false" outlineLevel="0" collapsed="false">
      <c r="A407" s="2" t="n">
        <v>392</v>
      </c>
      <c r="B407" s="2" t="n">
        <v>0.430821136</v>
      </c>
      <c r="C407" s="2"/>
      <c r="D407" s="2" t="n">
        <v>0.37535218</v>
      </c>
      <c r="E407" s="2" t="n">
        <f aca="false">IF(E$7=E$5,E$6,IF(NORMSDIST(E$9*SQRT($C$11)*NORMSINV($B407)+SQRT(1-E$9^2*$C$11)*NORMSINV(D407))&lt;E$8,E$5+SQRT(NORMSDIST(E$9*SQRT($C$11)*NORMSINV($B407)+SQRT(1-E$9^2*$C$11)*NORMSINV(D407))*(E$7-E$5)*(E$6-E$5)),E$7-SQRT((1-NORMSDIST(E$9*SQRT($C$11)*NORMSINV($B407)+SQRT(1-E$9^2*$C$11)*NORMSINV(D407)))*(E$7-E$5)*(E$7-E$6))))</f>
        <v>0.054247344801376</v>
      </c>
      <c r="F407" s="2" t="n">
        <v>0.578122922</v>
      </c>
      <c r="G407" s="2" t="n">
        <f aca="false">IF(G$7=G$5,G$6,IF(NORMSDIST(G$9*SQRT($C$11)*NORMSINV($B407)+SQRT(1-G$9^2*$C$11)*NORMSINV(F407))&lt;G$8,G$5+SQRT(NORMSDIST(G$9*SQRT($C$11)*NORMSINV($B407)+SQRT(1-G$9^2*$C$11)*NORMSINV(F407))*(G$7-G$5)*(G$6-G$5)),G$7-SQRT((1-NORMSDIST(G$9*SQRT($C$11)*NORMSINV($B407)+SQRT(1-G$9^2*$C$11)*NORMSINV(F407)))*(G$7-G$5)*(G$7-G$6))))</f>
        <v>0.0552560841779912</v>
      </c>
      <c r="H407" s="2" t="n">
        <v>0.466035763</v>
      </c>
      <c r="I407" s="2" t="n">
        <f aca="false">IF(I$7=I$5,I$6,IF(NORMSDIST(I$9*SQRT($C$11)*NORMSINV($B407)+SQRT(1-I$9^2*$C$11)*NORMSINV(H407))&lt;I$8,I$5+SQRT(NORMSDIST(I$9*SQRT($C$11)*NORMSINV($B407)+SQRT(1-I$9^2*$C$11)*NORMSINV(H407))*(I$7-I$5)*(I$6-I$5)),I$7-SQRT((1-NORMSDIST(I$9*SQRT($C$11)*NORMSINV($B407)+SQRT(1-I$9^2*$C$11)*NORMSINV(H407)))*(I$7-I$5)*(I$7-I$6))))</f>
        <v>198.548266838946</v>
      </c>
      <c r="J407" s="2" t="n">
        <v>0.45942482</v>
      </c>
      <c r="K407" s="2" t="n">
        <f aca="false">IF(K$7=K$5,K$6,IF(NORMSDIST(K$9*SQRT($C$11)*NORMSINV($B407)+SQRT(1-K$9^2*$C$11)*NORMSINV(J407))&lt;K$8,K$5+SQRT(NORMSDIST(K$9*SQRT($C$11)*NORMSINV($B407)+SQRT(1-K$9^2*$C$11)*NORMSINV(J407))*(K$7-K$5)*(K$6-K$5)),K$7-SQRT((1-NORMSDIST(K$9*SQRT($C$11)*NORMSINV($B407)+SQRT(1-K$9^2*$C$11)*NORMSINV(J407)))*(K$7-K$5)*(K$7-K$6))))</f>
        <v>0.230485785622391</v>
      </c>
      <c r="L407" s="2" t="n">
        <v>0.183796195</v>
      </c>
      <c r="M407" s="2" t="n">
        <f aca="false">IF(M$7=M$5,M$6,IF(NORMSDIST(M$9*SQRT($C$11)*NORMSINV($B407)+SQRT(1-M$9^2*$C$11)*NORMSINV(L407))&lt;M$8,M$5+SQRT(NORMSDIST(M$9*SQRT($C$11)*NORMSINV($B407)+SQRT(1-M$9^2*$C$11)*NORMSINV(L407))*(M$7-M$5)*(M$6-M$5)),M$7-SQRT((1-NORMSDIST(M$9*SQRT($C$11)*NORMSINV($B407)+SQRT(1-M$9^2*$C$11)*NORMSINV(L407)))*(M$7-M$5)*(M$7-M$6))))</f>
        <v>1485.84009500884</v>
      </c>
      <c r="N407" s="2" t="n">
        <v>0.07116724</v>
      </c>
      <c r="O407" s="2" t="n">
        <f aca="false">IF(O$7=O$5,O$6,IF(NORMSDIST(O$9*SQRT($C$11)*NORMSINV($B407)+SQRT(1-O$9^2*$C$11)*NORMSINV(N407))&lt;O$8,O$5+SQRT(NORMSDIST(O$9*SQRT($C$11)*NORMSINV($B407)+SQRT(1-O$9^2*$C$11)*NORMSINV(N407))*(O$7-O$5)*(O$6-O$5)),O$7-SQRT((1-NORMSDIST(O$9*SQRT($C$11)*NORMSINV($B407)+SQRT(1-O$9^2*$C$11)*NORMSINV(N407)))*(O$7-O$5)*(O$7-O$6))))</f>
        <v>0.152347488167665</v>
      </c>
      <c r="P407" s="2" t="n">
        <v>0.530992567</v>
      </c>
      <c r="Q407" s="2" t="n">
        <f aca="false">IF(Q$7=Q$5,Q$6,IF(NORMSDIST(Q$9*SQRT($C$11)*NORMSINV($B407)+SQRT(1-Q$9^2*$C$11)*NORMSINV(P407))&lt;Q$8,Q$5+SQRT(NORMSDIST(Q$9*SQRT($C$11)*NORMSINV($B407)+SQRT(1-Q$9^2*$C$11)*NORMSINV(P407))*(Q$7-Q$5)*(Q$6-Q$5)),Q$7-SQRT((1-NORMSDIST(Q$9*SQRT($C$11)*NORMSINV($B407)+SQRT(1-Q$9^2*$C$11)*NORMSINV(P407)))*(Q$7-Q$5)*(Q$7-Q$6))))</f>
        <v>0.0812595329713231</v>
      </c>
      <c r="R407" s="2" t="n">
        <v>0.860504627</v>
      </c>
      <c r="S407" s="2" t="n">
        <f aca="false">IF(S$7=S$5,S$6,IF(NORMSDIST(S$9*SQRT($C$11)*NORMSINV($B407)+SQRT(1-S$9^2*$C$11)*NORMSINV(R407))&lt;S$8,S$5+SQRT(NORMSDIST(S$9*SQRT($C$11)*NORMSINV($B407)+SQRT(1-S$9^2*$C$11)*NORMSINV(R407))*(S$7-S$5)*(S$6-S$5)),S$7-SQRT((1-NORMSDIST(S$9*SQRT($C$11)*NORMSINV($B407)+SQRT(1-S$9^2*$C$11)*NORMSINV(R407)))*(S$7-S$5)*(S$7-S$6))))</f>
        <v>0.658531290147196</v>
      </c>
      <c r="T407" s="2" t="n">
        <v>0.796076238</v>
      </c>
      <c r="U407" s="2" t="n">
        <f aca="false">IF(U$7=U$5,U$6,IF(NORMSDIST(U$9*SQRT($C$11)*NORMSINV($B407)+SQRT(1-U$9^2*$C$11)*NORMSINV(T407))&lt;U$8,U$5+SQRT(NORMSDIST(U$9*SQRT($C$11)*NORMSINV($B407)+SQRT(1-U$9^2*$C$11)*NORMSINV(T407))*(U$7-U$5)*(U$6-U$5)),U$7-SQRT((1-NORMSDIST(U$9*SQRT($C$11)*NORMSINV($B407)+SQRT(1-U$9^2*$C$11)*NORMSINV(T407)))*(U$7-U$5)*(U$7-U$6))))</f>
        <v>0.614159971543008</v>
      </c>
      <c r="V407" s="2" t="n">
        <v>0.978214546</v>
      </c>
      <c r="W407" s="2" t="n">
        <f aca="false">IF(W$7=W$5,W$6,IF(NORMSDIST(W$9*SQRT($C$11)*NORMSINV($B407)+SQRT(1-W$9^2*$C$11)*NORMSINV(V407))&lt;W$8,W$5+SQRT(NORMSDIST(W$9*SQRT($C$11)*NORMSINV($B407)+SQRT(1-W$9^2*$C$11)*NORMSINV(V407))*(W$7-W$5)*(W$6-W$5)),W$7-SQRT((1-NORMSDIST(W$9*SQRT($C$11)*NORMSINV($B407)+SQRT(1-W$9^2*$C$11)*NORMSINV(V407)))*(W$7-W$5)*(W$7-W$6))))</f>
        <v>11.2352597109896</v>
      </c>
      <c r="X407" s="2" t="n">
        <v>0.847379489</v>
      </c>
      <c r="Y407" s="2" t="n">
        <f aca="false">IF(Y$7=Y$5,Y$6,IF(NORMSDIST(Y$9*SQRT($C$11)*NORMSINV($B407)+SQRT(1-Y$9^2*$C$11)*NORMSINV(X407))&lt;Y$8,Y$5+SQRT(NORMSDIST(Y$9*SQRT($C$11)*NORMSINV($B407)+SQRT(1-Y$9^2*$C$11)*NORMSINV(X407))*(Y$7-Y$5)*(Y$6-Y$5)),Y$7-SQRT((1-NORMSDIST(Y$9*SQRT($C$11)*NORMSINV($B407)+SQRT(1-Y$9^2*$C$11)*NORMSINV(X407)))*(Y$7-Y$5)*(Y$7-Y$6))))</f>
        <v>0.723756890583675</v>
      </c>
      <c r="Z407" s="2" t="n">
        <v>0.393429842</v>
      </c>
      <c r="AA407" s="2" t="n">
        <f aca="false">IF(AA$7=AA$5,AA$6,IF(NORMSDIST(AA$9*SQRT($C$11)*NORMSINV($B407)+SQRT(1-AA$9^2*$C$11)*NORMSINV(Z407))&lt;AA$8,AA$5+SQRT(NORMSDIST(AA$9*SQRT($C$11)*NORMSINV($B407)+SQRT(1-AA$9^2*$C$11)*NORMSINV(Z407))*(AA$7-AA$5)*(AA$6-AA$5)),AA$7-SQRT((1-NORMSDIST(AA$9*SQRT($C$11)*NORMSINV($B407)+SQRT(1-AA$9^2*$C$11)*NORMSINV(Z407)))*(AA$7-AA$5)*(AA$7-AA$6))))</f>
        <v>0.723651309361991</v>
      </c>
      <c r="AB407" s="2" t="n">
        <v>0.942037118</v>
      </c>
      <c r="AC407" s="2" t="n">
        <f aca="false">IF(AC$7=AC$5,AC$6,IF(NORMSDIST(AC$9*SQRT($C$11)*NORMSINV($B407)+SQRT(1-AC$9^2*$C$11)*NORMSINV(AB407))&lt;AC$8,AC$5+SQRT(NORMSDIST(AC$9*SQRT($C$11)*NORMSINV($B407)+SQRT(1-AC$9^2*$C$11)*NORMSINV(AB407))*(AC$7-AC$5)*(AC$6-AC$5)),AC$7-SQRT((1-NORMSDIST(AC$9*SQRT($C$11)*NORMSINV($B407)+SQRT(1-AC$9^2*$C$11)*NORMSINV(AB407)))*(AC$7-AC$5)*(AC$7-AC$6))))</f>
        <v>10.2390613341224</v>
      </c>
      <c r="AD407" s="2" t="n">
        <f aca="false">Entrées!$C$8*(1+E407)</f>
        <v>7432.4437808497</v>
      </c>
      <c r="AE407" s="2" t="n">
        <f aca="false">I407*Hypothèses!$J$24/12/Hypothèses!$J$19</f>
        <v>98.4991597003514</v>
      </c>
      <c r="AF407" s="2" t="n">
        <f aca="false">Entrées!$C$36*S407*1000</f>
        <v>329.265645073598</v>
      </c>
      <c r="AG407" s="2" t="n">
        <f aca="false">-AF407/W407</f>
        <v>-29.3064560627408</v>
      </c>
      <c r="AH407" s="2" t="n">
        <f aca="false">AD407+AE407+AG407</f>
        <v>7501.63648448731</v>
      </c>
      <c r="AI407" s="2" t="n">
        <f aca="false">Entrées!$C$16-M407+Hypothèses!$J$22*1000-AF407+Hypothèses!$J$23</f>
        <v>22732.8942599176</v>
      </c>
      <c r="AJ407" s="2" t="n">
        <f aca="false">AI407/AH407</f>
        <v>3.03039134286593</v>
      </c>
      <c r="AK407" s="2" t="n">
        <f aca="false">AI407/(AH407+I407*(12-Hypothèses!$J$24)/12/Hypothèses!$J$19)</f>
        <v>3.00223391364277</v>
      </c>
      <c r="AL407" s="2" t="n">
        <f aca="false">(AD407+AG407+I407/Hypothèses!$J$19)*(1+G407)</f>
        <v>7990.3917112327</v>
      </c>
      <c r="AM407" s="2" t="n">
        <f aca="false">Entrées!$C$54*K407/Hypothèses!$J$19</f>
        <v>23.5220421700415</v>
      </c>
      <c r="AN407" s="2" t="n">
        <f aca="false">Y407*1000/AC407</f>
        <v>70.6858633780917</v>
      </c>
      <c r="AO407" s="2" t="n">
        <f aca="false">(Entrées!$C$36*(1-S407)+MAX(0,Entrées!$C$30-Entrées!$C$35-Entrées!$C$36)*U407)*1000</f>
        <v>1030.55831508661</v>
      </c>
      <c r="AP407" s="2" t="n">
        <f aca="false">-AO407/W407</f>
        <v>-91.7253665332355</v>
      </c>
      <c r="AQ407" s="2" t="n">
        <f aca="false">AL407+AM407+AN407+AP407</f>
        <v>7992.8742502476</v>
      </c>
      <c r="AR407" s="2" t="n">
        <f aca="false">O407*AQ407-Hypothèses!$J$25/Hypothèses!$J$19</f>
        <v>1198.5591530036</v>
      </c>
      <c r="AS407" s="2" t="n">
        <f aca="false">Entrées!$C$79*(1+Q407)+Hypothèses!$J$20</f>
        <v>1483.30422673548</v>
      </c>
      <c r="AT407" s="2" t="n">
        <f aca="false">AI407-AR407+AS407+Y407*1000-AO407+Hypothèses!$J$23</f>
        <v>22710.8379091465</v>
      </c>
      <c r="AU407" s="2" t="n">
        <f aca="false">AT407/AQ407</f>
        <v>2.84138561399774</v>
      </c>
      <c r="AV407" s="2" t="n">
        <f aca="false">Hypothèses!$J$26*AQ407-AT407</f>
        <v>1267.78484159629</v>
      </c>
      <c r="AW407" s="2" t="n">
        <f aca="false">IF(AC407&gt;Hypothèses!$J$26,MAX(0,AV407)/(1-Hypothèses!$J$26/AC407),0)</f>
        <v>1793.17816943857</v>
      </c>
      <c r="AX407" s="2" t="n">
        <f aca="false">AQ407-Entrées!$C$17*1000</f>
        <v>-7.12574975240113</v>
      </c>
      <c r="AY407" s="2" t="n">
        <f aca="false">AI407+(Entrées!$C$244-Entrées!$C$13)</f>
        <v>28479.8942599176</v>
      </c>
      <c r="AZ407" s="2" t="n">
        <f aca="false">AA407*AH407</f>
        <v>5428.56906435693</v>
      </c>
      <c r="BA407" s="2" t="n">
        <f aca="false">AZ407/AY407</f>
        <v>0.190610576528617</v>
      </c>
      <c r="BB407" s="2" t="n">
        <f aca="false">AZ407/(Entrées!$C$151/100)-AY407</f>
        <v>1678.82276428759</v>
      </c>
      <c r="BC407" s="2" t="n">
        <f aca="false">AT407+(Entrées!$C$244-Entrées!$C$13)</f>
        <v>28457.8379091465</v>
      </c>
      <c r="BD407" s="2" t="n">
        <f aca="false">AA407*AQ407</f>
        <v>5784.05391675742</v>
      </c>
      <c r="BE407" s="2" t="n">
        <f aca="false">BD407/BC407</f>
        <v>0.203249942431445</v>
      </c>
      <c r="BF407" s="2" t="n">
        <f aca="false">BD407/(Entrées!$C$151/100)-BC407</f>
        <v>3675.79496172804</v>
      </c>
      <c r="BG407" s="2" t="n">
        <f aca="false">MIN(AV407,BF407)</f>
        <v>1267.78484159629</v>
      </c>
      <c r="BH407" s="2" t="n">
        <f aca="false">IF(AC407&gt;Hypothèses!$J$26,MAX(0,BG407)/(1-Hypothèses!$J$26/AC407),0)</f>
        <v>1793.17816943857</v>
      </c>
    </row>
    <row r="408" customFormat="false" ht="15" hidden="false" customHeight="false" outlineLevel="0" collapsed="false">
      <c r="A408" s="2" t="n">
        <v>393</v>
      </c>
      <c r="B408" s="2" t="n">
        <v>0.031933915</v>
      </c>
      <c r="C408" s="2"/>
      <c r="D408" s="2" t="n">
        <v>0.227187149</v>
      </c>
      <c r="E408" s="2" t="n">
        <f aca="false">IF(E$7=E$5,E$6,IF(NORMSDIST(E$9*SQRT($C$11)*NORMSINV($B408)+SQRT(1-E$9^2*$C$11)*NORMSINV(D408))&lt;E$8,E$5+SQRT(NORMSDIST(E$9*SQRT($C$11)*NORMSINV($B408)+SQRT(1-E$9^2*$C$11)*NORMSINV(D408))*(E$7-E$5)*(E$6-E$5)),E$7-SQRT((1-NORMSDIST(E$9*SQRT($C$11)*NORMSINV($B408)+SQRT(1-E$9^2*$C$11)*NORMSINV(D408)))*(E$7-E$5)*(E$7-E$6))))</f>
        <v>0.0514129545300049</v>
      </c>
      <c r="F408" s="2" t="n">
        <v>0.590654479</v>
      </c>
      <c r="G408" s="2" t="n">
        <f aca="false">IF(G$7=G$5,G$6,IF(NORMSDIST(G$9*SQRT($C$11)*NORMSINV($B408)+SQRT(1-G$9^2*$C$11)*NORMSINV(F408))&lt;G$8,G$5+SQRT(NORMSDIST(G$9*SQRT($C$11)*NORMSINV($B408)+SQRT(1-G$9^2*$C$11)*NORMSINV(F408))*(G$7-G$5)*(G$6-G$5)),G$7-SQRT((1-NORMSDIST(G$9*SQRT($C$11)*NORMSINV($B408)+SQRT(1-G$9^2*$C$11)*NORMSINV(F408)))*(G$7-G$5)*(G$7-G$6))))</f>
        <v>0.0484853689906302</v>
      </c>
      <c r="H408" s="2" t="n">
        <v>0.927231032</v>
      </c>
      <c r="I408" s="2" t="n">
        <f aca="false">IF(I$7=I$5,I$6,IF(NORMSDIST(I$9*SQRT($C$11)*NORMSINV($B408)+SQRT(1-I$9^2*$C$11)*NORMSINV(H408))&lt;I$8,I$5+SQRT(NORMSDIST(I$9*SQRT($C$11)*NORMSINV($B408)+SQRT(1-I$9^2*$C$11)*NORMSINV(H408))*(I$7-I$5)*(I$6-I$5)),I$7-SQRT((1-NORMSDIST(I$9*SQRT($C$11)*NORMSINV($B408)+SQRT(1-I$9^2*$C$11)*NORMSINV(H408)))*(I$7-I$5)*(I$7-I$6))))</f>
        <v>199.641052370791</v>
      </c>
      <c r="J408" s="2" t="n">
        <v>0.366308755</v>
      </c>
      <c r="K408" s="2" t="n">
        <f aca="false">IF(K$7=K$5,K$6,IF(NORMSDIST(K$9*SQRT($C$11)*NORMSINV($B408)+SQRT(1-K$9^2*$C$11)*NORMSINV(J408))&lt;K$8,K$5+SQRT(NORMSDIST(K$9*SQRT($C$11)*NORMSINV($B408)+SQRT(1-K$9^2*$C$11)*NORMSINV(J408))*(K$7-K$5)*(K$6-K$5)),K$7-SQRT((1-NORMSDIST(K$9*SQRT($C$11)*NORMSINV($B408)+SQRT(1-K$9^2*$C$11)*NORMSINV(J408)))*(K$7-K$5)*(K$7-K$6))))</f>
        <v>0.0970888061904788</v>
      </c>
      <c r="L408" s="2" t="n">
        <v>0.279659663</v>
      </c>
      <c r="M408" s="2" t="n">
        <f aca="false">IF(M$7=M$5,M$6,IF(NORMSDIST(M$9*SQRT($C$11)*NORMSINV($B408)+SQRT(1-M$9^2*$C$11)*NORMSINV(L408))&lt;M$8,M$5+SQRT(NORMSDIST(M$9*SQRT($C$11)*NORMSINV($B408)+SQRT(1-M$9^2*$C$11)*NORMSINV(L408))*(M$7-M$5)*(M$6-M$5)),M$7-SQRT((1-NORMSDIST(M$9*SQRT($C$11)*NORMSINV($B408)+SQRT(1-M$9^2*$C$11)*NORMSINV(L408)))*(M$7-M$5)*(M$7-M$6))))</f>
        <v>1394.33150687979</v>
      </c>
      <c r="N408" s="2" t="n">
        <v>0.920156344</v>
      </c>
      <c r="O408" s="2" t="n">
        <f aca="false">IF(O$7=O$5,O$6,IF(NORMSDIST(O$9*SQRT($C$11)*NORMSINV($B408)+SQRT(1-O$9^2*$C$11)*NORMSINV(N408))&lt;O$8,O$5+SQRT(NORMSDIST(O$9*SQRT($C$11)*NORMSINV($B408)+SQRT(1-O$9^2*$C$11)*NORMSINV(N408))*(O$7-O$5)*(O$6-O$5)),O$7-SQRT((1-NORMSDIST(O$9*SQRT($C$11)*NORMSINV($B408)+SQRT(1-O$9^2*$C$11)*NORMSINV(N408)))*(O$7-O$5)*(O$7-O$6))))</f>
        <v>0.165885387424366</v>
      </c>
      <c r="P408" s="2" t="n">
        <v>0.26756968</v>
      </c>
      <c r="Q408" s="2" t="n">
        <f aca="false">IF(Q$7=Q$5,Q$6,IF(NORMSDIST(Q$9*SQRT($C$11)*NORMSINV($B408)+SQRT(1-Q$9^2*$C$11)*NORMSINV(P408))&lt;Q$8,Q$5+SQRT(NORMSDIST(Q$9*SQRT($C$11)*NORMSINV($B408)+SQRT(1-Q$9^2*$C$11)*NORMSINV(P408))*(Q$7-Q$5)*(Q$6-Q$5)),Q$7-SQRT((1-NORMSDIST(Q$9*SQRT($C$11)*NORMSINV($B408)+SQRT(1-Q$9^2*$C$11)*NORMSINV(P408)))*(Q$7-Q$5)*(Q$7-Q$6))))</f>
        <v>0.0692612880099287</v>
      </c>
      <c r="R408" s="2" t="n">
        <v>0.450016905</v>
      </c>
      <c r="S408" s="2" t="n">
        <f aca="false">IF(S$7=S$5,S$6,IF(NORMSDIST(S$9*SQRT($C$11)*NORMSINV($B408)+SQRT(1-S$9^2*$C$11)*NORMSINV(R408))&lt;S$8,S$5+SQRT(NORMSDIST(S$9*SQRT($C$11)*NORMSINV($B408)+SQRT(1-S$9^2*$C$11)*NORMSINV(R408))*(S$7-S$5)*(S$6-S$5)),S$7-SQRT((1-NORMSDIST(S$9*SQRT($C$11)*NORMSINV($B408)+SQRT(1-S$9^2*$C$11)*NORMSINV(R408)))*(S$7-S$5)*(S$7-S$6))))</f>
        <v>0.22601506411525</v>
      </c>
      <c r="T408" s="2" t="n">
        <v>0.176512963</v>
      </c>
      <c r="U408" s="2" t="n">
        <f aca="false">IF(U$7=U$5,U$6,IF(NORMSDIST(U$9*SQRT($C$11)*NORMSINV($B408)+SQRT(1-U$9^2*$C$11)*NORMSINV(T408))&lt;U$8,U$5+SQRT(NORMSDIST(U$9*SQRT($C$11)*NORMSINV($B408)+SQRT(1-U$9^2*$C$11)*NORMSINV(T408))*(U$7-U$5)*(U$6-U$5)),U$7-SQRT((1-NORMSDIST(U$9*SQRT($C$11)*NORMSINV($B408)+SQRT(1-U$9^2*$C$11)*NORMSINV(T408)))*(U$7-U$5)*(U$7-U$6))))</f>
        <v>0.121007196380983</v>
      </c>
      <c r="V408" s="2" t="n">
        <v>0.512303766</v>
      </c>
      <c r="W408" s="2" t="n">
        <f aca="false">IF(W$7=W$5,W$6,IF(NORMSDIST(W$9*SQRT($C$11)*NORMSINV($B408)+SQRT(1-W$9^2*$C$11)*NORMSINV(V408))&lt;W$8,W$5+SQRT(NORMSDIST(W$9*SQRT($C$11)*NORMSINV($B408)+SQRT(1-W$9^2*$C$11)*NORMSINV(V408))*(W$7-W$5)*(W$6-W$5)),W$7-SQRT((1-NORMSDIST(W$9*SQRT($C$11)*NORMSINV($B408)+SQRT(1-W$9^2*$C$11)*NORMSINV(V408)))*(W$7-W$5)*(W$7-W$6))))</f>
        <v>9.00184369217136</v>
      </c>
      <c r="X408" s="2" t="n">
        <v>0.954906267</v>
      </c>
      <c r="Y408" s="2" t="n">
        <f aca="false">IF(Y$7=Y$5,Y$6,IF(NORMSDIST(Y$9*SQRT($C$11)*NORMSINV($B408)+SQRT(1-Y$9^2*$C$11)*NORMSINV(X408))&lt;Y$8,Y$5+SQRT(NORMSDIST(Y$9*SQRT($C$11)*NORMSINV($B408)+SQRT(1-Y$9^2*$C$11)*NORMSINV(X408))*(Y$7-Y$5)*(Y$6-Y$5)),Y$7-SQRT((1-NORMSDIST(Y$9*SQRT($C$11)*NORMSINV($B408)+SQRT(1-Y$9^2*$C$11)*NORMSINV(X408)))*(Y$7-Y$5)*(Y$7-Y$6))))</f>
        <v>0.849843859599416</v>
      </c>
      <c r="Z408" s="2" t="n">
        <v>0.551020277</v>
      </c>
      <c r="AA408" s="2" t="n">
        <f aca="false">IF(AA$7=AA$5,AA$6,IF(NORMSDIST(AA$9*SQRT($C$11)*NORMSINV($B408)+SQRT(1-AA$9^2*$C$11)*NORMSINV(Z408))&lt;AA$8,AA$5+SQRT(NORMSDIST(AA$9*SQRT($C$11)*NORMSINV($B408)+SQRT(1-AA$9^2*$C$11)*NORMSINV(Z408))*(AA$7-AA$5)*(AA$6-AA$5)),AA$7-SQRT((1-NORMSDIST(AA$9*SQRT($C$11)*NORMSINV($B408)+SQRT(1-AA$9^2*$C$11)*NORMSINV(Z408)))*(AA$7-AA$5)*(AA$7-AA$6))))</f>
        <v>0.712744843878801</v>
      </c>
      <c r="AB408" s="2" t="n">
        <v>0.754186808</v>
      </c>
      <c r="AC408" s="2" t="n">
        <f aca="false">IF(AC$7=AC$5,AC$6,IF(NORMSDIST(AC$9*SQRT($C$11)*NORMSINV($B408)+SQRT(1-AC$9^2*$C$11)*NORMSINV(AB408))&lt;AC$8,AC$5+SQRT(NORMSDIST(AC$9*SQRT($C$11)*NORMSINV($B408)+SQRT(1-AC$9^2*$C$11)*NORMSINV(AB408))*(AC$7-AC$5)*(AC$6-AC$5)),AC$7-SQRT((1-NORMSDIST(AC$9*SQRT($C$11)*NORMSINV($B408)+SQRT(1-AC$9^2*$C$11)*NORMSINV(AB408)))*(AC$7-AC$5)*(AC$7-AC$6))))</f>
        <v>8.9025862576502</v>
      </c>
      <c r="AD408" s="2" t="n">
        <f aca="false">Entrées!$C$8*(1+E408)</f>
        <v>7412.46132943654</v>
      </c>
      <c r="AE408" s="2" t="n">
        <f aca="false">I408*Hypothèses!$J$24/12/Hypothèses!$J$19</f>
        <v>99.0412871051038</v>
      </c>
      <c r="AF408" s="2" t="n">
        <f aca="false">Entrées!$C$36*S408*1000</f>
        <v>113.007532057625</v>
      </c>
      <c r="AG408" s="2" t="n">
        <f aca="false">-AF408/W408</f>
        <v>-12.5538207418448</v>
      </c>
      <c r="AH408" s="2" t="n">
        <f aca="false">AD408+AE408+AG408</f>
        <v>7498.94879579979</v>
      </c>
      <c r="AI408" s="2" t="n">
        <f aca="false">Entrées!$C$16-M408+Hypothèses!$J$22*1000-AF408+Hypothèses!$J$23</f>
        <v>23040.6609610626</v>
      </c>
      <c r="AJ408" s="2" t="n">
        <f aca="false">AI408/AH408</f>
        <v>3.07251877409375</v>
      </c>
      <c r="AK408" s="2" t="n">
        <f aca="false">AI408/(AH408+I408*(12-Hypothèses!$J$24)/12/Hypothèses!$J$19)</f>
        <v>3.04380405689994</v>
      </c>
      <c r="AL408" s="2" t="n">
        <f aca="false">(AD408+AG408+I408/Hypothèses!$J$19)*(1+G408)</f>
        <v>7936.71190981721</v>
      </c>
      <c r="AM408" s="2" t="n">
        <f aca="false">Entrées!$C$54*K408/Hypothèses!$J$19</f>
        <v>9.90832032129263</v>
      </c>
      <c r="AN408" s="2" t="n">
        <f aca="false">Y408*1000/AC408</f>
        <v>95.460334222443</v>
      </c>
      <c r="AO408" s="2" t="n">
        <f aca="false">(Entrées!$C$36*(1-S408)+MAX(0,Entrées!$C$30-Entrées!$C$35-Entrées!$C$36)*U408)*1000</f>
        <v>556.402542875751</v>
      </c>
      <c r="AP408" s="2" t="n">
        <f aca="false">-AO408/W408</f>
        <v>-61.8098427280667</v>
      </c>
      <c r="AQ408" s="2" t="n">
        <f aca="false">AL408+AM408+AN408+AP408</f>
        <v>7980.27072163287</v>
      </c>
      <c r="AR408" s="2" t="n">
        <f aca="false">O408*AQ408-Hypothèses!$J$25/Hypothèses!$J$19</f>
        <v>1304.67513814777</v>
      </c>
      <c r="AS408" s="2" t="n">
        <f aca="false">Entrées!$C$79*(1+Q408)+Hypothèses!$J$20</f>
        <v>1470.11815552291</v>
      </c>
      <c r="AT408" s="2" t="n">
        <f aca="false">AI408-AR408+AS408+Y408*1000-AO408+Hypothèses!$J$23</f>
        <v>23499.5452951614</v>
      </c>
      <c r="AU408" s="2" t="n">
        <f aca="false">AT408/AQ408</f>
        <v>2.94470527565675</v>
      </c>
      <c r="AV408" s="2" t="n">
        <f aca="false">Hypothèses!$J$26*AQ408-AT408</f>
        <v>441.266869737232</v>
      </c>
      <c r="AW408" s="2" t="n">
        <f aca="false">IF(AC408&gt;Hypothèses!$J$26,MAX(0,AV408)/(1-Hypothèses!$J$26/AC408),0)</f>
        <v>665.541543825383</v>
      </c>
      <c r="AX408" s="2" t="n">
        <f aca="false">AQ408-Entrées!$C$17*1000</f>
        <v>-19.7292783671264</v>
      </c>
      <c r="AY408" s="2" t="n">
        <f aca="false">AI408+(Entrées!$C$244-Entrées!$C$13)</f>
        <v>28787.6609610626</v>
      </c>
      <c r="AZ408" s="2" t="n">
        <f aca="false">AA408*AH408</f>
        <v>5344.83708871745</v>
      </c>
      <c r="BA408" s="2" t="n">
        <f aca="false">AZ408/AY408</f>
        <v>0.185664166878536</v>
      </c>
      <c r="BB408" s="2" t="n">
        <f aca="false">AZ408/(Entrées!$C$151/100)-AY408</f>
        <v>905.878420701003</v>
      </c>
      <c r="BC408" s="2" t="n">
        <f aca="false">AT408+(Entrées!$C$244-Entrées!$C$13)</f>
        <v>29246.5452951614</v>
      </c>
      <c r="BD408" s="2" t="n">
        <f aca="false">AA408*AQ408</f>
        <v>5687.89680960079</v>
      </c>
      <c r="BE408" s="2" t="n">
        <f aca="false">BD408/BC408</f>
        <v>0.194480980649082</v>
      </c>
      <c r="BF408" s="2" t="n">
        <f aca="false">BD408/(Entrées!$C$151/100)-BC408</f>
        <v>2352.88142484298</v>
      </c>
      <c r="BG408" s="2" t="n">
        <f aca="false">MIN(AV408,BF408)</f>
        <v>441.266869737232</v>
      </c>
      <c r="BH408" s="2" t="n">
        <f aca="false">IF(AC408&gt;Hypothèses!$J$26,MAX(0,BG408)/(1-Hypothèses!$J$26/AC408),0)</f>
        <v>665.541543825383</v>
      </c>
    </row>
    <row r="409" customFormat="false" ht="15" hidden="false" customHeight="false" outlineLevel="0" collapsed="false">
      <c r="A409" s="2" t="n">
        <v>394</v>
      </c>
      <c r="B409" s="2" t="n">
        <v>0.835884929</v>
      </c>
      <c r="C409" s="2"/>
      <c r="D409" s="2" t="n">
        <v>0.655886439</v>
      </c>
      <c r="E409" s="2" t="n">
        <f aca="false">IF(E$7=E$5,E$6,IF(NORMSDIST(E$9*SQRT($C$11)*NORMSINV($B409)+SQRT(1-E$9^2*$C$11)*NORMSINV(D409))&lt;E$8,E$5+SQRT(NORMSDIST(E$9*SQRT($C$11)*NORMSINV($B409)+SQRT(1-E$9^2*$C$11)*NORMSINV(D409))*(E$7-E$5)*(E$6-E$5)),E$7-SQRT((1-NORMSDIST(E$9*SQRT($C$11)*NORMSINV($B409)+SQRT(1-E$9^2*$C$11)*NORMSINV(D409)))*(E$7-E$5)*(E$7-E$6))))</f>
        <v>0.0570301225210613</v>
      </c>
      <c r="F409" s="2" t="n">
        <v>0.8779946</v>
      </c>
      <c r="G409" s="2" t="n">
        <f aca="false">IF(G$7=G$5,G$6,IF(NORMSDIST(G$9*SQRT($C$11)*NORMSINV($B409)+SQRT(1-G$9^2*$C$11)*NORMSINV(F409))&lt;G$8,G$5+SQRT(NORMSDIST(G$9*SQRT($C$11)*NORMSINV($B409)+SQRT(1-G$9^2*$C$11)*NORMSINV(F409))*(G$7-G$5)*(G$6-G$5)),G$7-SQRT((1-NORMSDIST(G$9*SQRT($C$11)*NORMSINV($B409)+SQRT(1-G$9^2*$C$11)*NORMSINV(F409)))*(G$7-G$5)*(G$7-G$6))))</f>
        <v>0.0646267474706251</v>
      </c>
      <c r="H409" s="2" t="n">
        <v>0.473937397</v>
      </c>
      <c r="I409" s="2" t="n">
        <f aca="false">IF(I$7=I$5,I$6,IF(NORMSDIST(I$9*SQRT($C$11)*NORMSINV($B409)+SQRT(1-I$9^2*$C$11)*NORMSINV(H409))&lt;I$8,I$5+SQRT(NORMSDIST(I$9*SQRT($C$11)*NORMSINV($B409)+SQRT(1-I$9^2*$C$11)*NORMSINV(H409))*(I$7-I$5)*(I$6-I$5)),I$7-SQRT((1-NORMSDIST(I$9*SQRT($C$11)*NORMSINV($B409)+SQRT(1-I$9^2*$C$11)*NORMSINV(H409)))*(I$7-I$5)*(I$7-I$6))))</f>
        <v>204.897191616684</v>
      </c>
      <c r="J409" s="2" t="n">
        <v>0.690635885</v>
      </c>
      <c r="K409" s="2" t="n">
        <f aca="false">IF(K$7=K$5,K$6,IF(NORMSDIST(K$9*SQRT($C$11)*NORMSINV($B409)+SQRT(1-K$9^2*$C$11)*NORMSINV(J409))&lt;K$8,K$5+SQRT(NORMSDIST(K$9*SQRT($C$11)*NORMSINV($B409)+SQRT(1-K$9^2*$C$11)*NORMSINV(J409))*(K$7-K$5)*(K$6-K$5)),K$7-SQRT((1-NORMSDIST(K$9*SQRT($C$11)*NORMSINV($B409)+SQRT(1-K$9^2*$C$11)*NORMSINV(J409)))*(K$7-K$5)*(K$7-K$6))))</f>
        <v>0.359584569438011</v>
      </c>
      <c r="L409" s="2" t="n">
        <v>0.753131667</v>
      </c>
      <c r="M409" s="2" t="n">
        <f aca="false">IF(M$7=M$5,M$6,IF(NORMSDIST(M$9*SQRT($C$11)*NORMSINV($B409)+SQRT(1-M$9^2*$C$11)*NORMSINV(L409))&lt;M$8,M$5+SQRT(NORMSDIST(M$9*SQRT($C$11)*NORMSINV($B409)+SQRT(1-M$9^2*$C$11)*NORMSINV(L409))*(M$7-M$5)*(M$6-M$5)),M$7-SQRT((1-NORMSDIST(M$9*SQRT($C$11)*NORMSINV($B409)+SQRT(1-M$9^2*$C$11)*NORMSINV(L409)))*(M$7-M$5)*(M$7-M$6))))</f>
        <v>1691.98920706175</v>
      </c>
      <c r="N409" s="2" t="n">
        <v>0.14182963</v>
      </c>
      <c r="O409" s="2" t="n">
        <f aca="false">IF(O$7=O$5,O$6,IF(NORMSDIST(O$9*SQRT($C$11)*NORMSINV($B409)+SQRT(1-O$9^2*$C$11)*NORMSINV(N409))&lt;O$8,O$5+SQRT(NORMSDIST(O$9*SQRT($C$11)*NORMSINV($B409)+SQRT(1-O$9^2*$C$11)*NORMSINV(N409))*(O$7-O$5)*(O$6-O$5)),O$7-SQRT((1-NORMSDIST(O$9*SQRT($C$11)*NORMSINV($B409)+SQRT(1-O$9^2*$C$11)*NORMSINV(N409)))*(O$7-O$5)*(O$7-O$6))))</f>
        <v>0.164431298026644</v>
      </c>
      <c r="P409" s="2" t="n">
        <v>0.28465155</v>
      </c>
      <c r="Q409" s="2" t="n">
        <f aca="false">IF(Q$7=Q$5,Q$6,IF(NORMSDIST(Q$9*SQRT($C$11)*NORMSINV($B409)+SQRT(1-Q$9^2*$C$11)*NORMSINV(P409))&lt;Q$8,Q$5+SQRT(NORMSDIST(Q$9*SQRT($C$11)*NORMSINV($B409)+SQRT(1-Q$9^2*$C$11)*NORMSINV(P409))*(Q$7-Q$5)*(Q$6-Q$5)),Q$7-SQRT((1-NORMSDIST(Q$9*SQRT($C$11)*NORMSINV($B409)+SQRT(1-Q$9^2*$C$11)*NORMSINV(P409)))*(Q$7-Q$5)*(Q$7-Q$6))))</f>
        <v>0.0701808707627862</v>
      </c>
      <c r="R409" s="2" t="n">
        <v>0.449820392</v>
      </c>
      <c r="S409" s="2" t="n">
        <f aca="false">IF(S$7=S$5,S$6,IF(NORMSDIST(S$9*SQRT($C$11)*NORMSINV($B409)+SQRT(1-S$9^2*$C$11)*NORMSINV(R409))&lt;S$8,S$5+SQRT(NORMSDIST(S$9*SQRT($C$11)*NORMSINV($B409)+SQRT(1-S$9^2*$C$11)*NORMSINV(R409))*(S$7-S$5)*(S$6-S$5)),S$7-SQRT((1-NORMSDIST(S$9*SQRT($C$11)*NORMSINV($B409)+SQRT(1-S$9^2*$C$11)*NORMSINV(R409)))*(S$7-S$5)*(S$7-S$6))))</f>
        <v>0.611860888579174</v>
      </c>
      <c r="T409" s="2" t="n">
        <v>0.999534601</v>
      </c>
      <c r="U409" s="2" t="n">
        <f aca="false">IF(U$7=U$5,U$6,IF(NORMSDIST(U$9*SQRT($C$11)*NORMSINV($B409)+SQRT(1-U$9^2*$C$11)*NORMSINV(T409))&lt;U$8,U$5+SQRT(NORMSDIST(U$9*SQRT($C$11)*NORMSINV($B409)+SQRT(1-U$9^2*$C$11)*NORMSINV(T409))*(U$7-U$5)*(U$6-U$5)),U$7-SQRT((1-NORMSDIST(U$9*SQRT($C$11)*NORMSINV($B409)+SQRT(1-U$9^2*$C$11)*NORMSINV(T409)))*(U$7-U$5)*(U$7-U$6))))</f>
        <v>0.980902985067382</v>
      </c>
      <c r="V409" s="2" t="n">
        <v>0.137730622</v>
      </c>
      <c r="W409" s="2" t="n">
        <f aca="false">IF(W$7=W$5,W$6,IF(NORMSDIST(W$9*SQRT($C$11)*NORMSINV($B409)+SQRT(1-W$9^2*$C$11)*NORMSINV(V409))&lt;W$8,W$5+SQRT(NORMSDIST(W$9*SQRT($C$11)*NORMSINV($B409)+SQRT(1-W$9^2*$C$11)*NORMSINV(V409))*(W$7-W$5)*(W$6-W$5)),W$7-SQRT((1-NORMSDIST(W$9*SQRT($C$11)*NORMSINV($B409)+SQRT(1-W$9^2*$C$11)*NORMSINV(V409)))*(W$7-W$5)*(W$7-W$6))))</f>
        <v>9.81205037444279</v>
      </c>
      <c r="X409" s="2" t="n">
        <v>0.158499705</v>
      </c>
      <c r="Y409" s="2" t="n">
        <f aca="false">IF(Y$7=Y$5,Y$6,IF(NORMSDIST(Y$9*SQRT($C$11)*NORMSINV($B409)+SQRT(1-Y$9^2*$C$11)*NORMSINV(X409))&lt;Y$8,Y$5+SQRT(NORMSDIST(Y$9*SQRT($C$11)*NORMSINV($B409)+SQRT(1-Y$9^2*$C$11)*NORMSINV(X409))*(Y$7-Y$5)*(Y$6-Y$5)),Y$7-SQRT((1-NORMSDIST(Y$9*SQRT($C$11)*NORMSINV($B409)+SQRT(1-Y$9^2*$C$11)*NORMSINV(X409)))*(Y$7-Y$5)*(Y$7-Y$6))))</f>
        <v>0.281513503228531</v>
      </c>
      <c r="Z409" s="2" t="n">
        <v>0.137397219</v>
      </c>
      <c r="AA409" s="2" t="n">
        <f aca="false">IF(AA$7=AA$5,AA$6,IF(NORMSDIST(AA$9*SQRT($C$11)*NORMSINV($B409)+SQRT(1-AA$9^2*$C$11)*NORMSINV(Z409))&lt;AA$8,AA$5+SQRT(NORMSDIST(AA$9*SQRT($C$11)*NORMSINV($B409)+SQRT(1-AA$9^2*$C$11)*NORMSINV(Z409))*(AA$7-AA$5)*(AA$6-AA$5)),AA$7-SQRT((1-NORMSDIST(AA$9*SQRT($C$11)*NORMSINV($B409)+SQRT(1-AA$9^2*$C$11)*NORMSINV(Z409)))*(AA$7-AA$5)*(AA$7-AA$6))))</f>
        <v>0.724958874823902</v>
      </c>
      <c r="AB409" s="2" t="n">
        <v>0.292338701</v>
      </c>
      <c r="AC409" s="2" t="n">
        <f aca="false">IF(AC$7=AC$5,AC$6,IF(NORMSDIST(AC$9*SQRT($C$11)*NORMSINV($B409)+SQRT(1-AC$9^2*$C$11)*NORMSINV(AB409))&lt;AC$8,AC$5+SQRT(NORMSDIST(AC$9*SQRT($C$11)*NORMSINV($B409)+SQRT(1-AC$9^2*$C$11)*NORMSINV(AB409))*(AC$7-AC$5)*(AC$6-AC$5)),AC$7-SQRT((1-NORMSDIST(AC$9*SQRT($C$11)*NORMSINV($B409)+SQRT(1-AC$9^2*$C$11)*NORMSINV(AB409)))*(AC$7-AC$5)*(AC$7-AC$6))))</f>
        <v>9.63334202708834</v>
      </c>
      <c r="AD409" s="2" t="n">
        <f aca="false">Entrées!$C$8*(1+E409)</f>
        <v>7452.06236377348</v>
      </c>
      <c r="AE409" s="2" t="n">
        <f aca="false">I409*Hypothèses!$J$24/12/Hypothèses!$J$19</f>
        <v>101.648840962063</v>
      </c>
      <c r="AF409" s="2" t="n">
        <f aca="false">Entrées!$C$36*S409*1000</f>
        <v>305.930444289587</v>
      </c>
      <c r="AG409" s="2" t="n">
        <f aca="false">-AF409/W409</f>
        <v>-31.1790535733935</v>
      </c>
      <c r="AH409" s="2" t="n">
        <f aca="false">AD409+AE409+AG409</f>
        <v>7522.53215116215</v>
      </c>
      <c r="AI409" s="2" t="n">
        <f aca="false">Entrées!$C$16-M409+Hypothèses!$J$22*1000-AF409+Hypothèses!$J$23</f>
        <v>22550.0803486487</v>
      </c>
      <c r="AJ409" s="2" t="n">
        <f aca="false">AI409/AH409</f>
        <v>2.99767151479238</v>
      </c>
      <c r="AK409" s="2" t="n">
        <f aca="false">AI409/(AH409+I409*(12-Hypothèses!$J$24)/12/Hypothèses!$J$19)</f>
        <v>2.96901504155509</v>
      </c>
      <c r="AL409" s="2" t="n">
        <f aca="false">(AD409+AG409+I409/Hypothèses!$J$19)*(1+G409)</f>
        <v>8085.98756179039</v>
      </c>
      <c r="AM409" s="2" t="n">
        <f aca="false">Entrées!$C$54*K409/Hypothèses!$J$19</f>
        <v>36.6971151091906</v>
      </c>
      <c r="AN409" s="2" t="n">
        <f aca="false">Y409*1000/AC409</f>
        <v>29.222828633815</v>
      </c>
      <c r="AO409" s="2" t="n">
        <f aca="false">(Entrées!$C$36*(1-S409)+MAX(0,Entrées!$C$30-Entrées!$C$35-Entrées!$C$36)*U409)*1000</f>
        <v>1567.33373480475</v>
      </c>
      <c r="AP409" s="2" t="n">
        <f aca="false">-AO409/W409</f>
        <v>-159.735598064921</v>
      </c>
      <c r="AQ409" s="2" t="n">
        <f aca="false">AL409+AM409+AN409+AP409</f>
        <v>7992.17190746848</v>
      </c>
      <c r="AR409" s="2" t="n">
        <f aca="false">O409*AQ409-Hypothèses!$J$25/Hypothèses!$J$19</f>
        <v>1295.0280385355</v>
      </c>
      <c r="AS409" s="2" t="n">
        <f aca="false">Entrées!$C$79*(1+Q409)+Hypothèses!$J$20</f>
        <v>1471.1287769683</v>
      </c>
      <c r="AT409" s="2" t="n">
        <f aca="false">AI409-AR409+AS409+Y409*1000-AO409+Hypothèses!$J$23</f>
        <v>21440.3608555053</v>
      </c>
      <c r="AU409" s="2" t="n">
        <f aca="false">AT409/AQ409</f>
        <v>2.68267013068998</v>
      </c>
      <c r="AV409" s="2" t="n">
        <f aca="false">Hypothèses!$J$26*AQ409-AT409</f>
        <v>2536.15486690019</v>
      </c>
      <c r="AW409" s="2" t="n">
        <f aca="false">IF(AC409&gt;Hypothèses!$J$26,MAX(0,AV409)/(1-Hypothèses!$J$26/AC409),0)</f>
        <v>3683.1580772925</v>
      </c>
      <c r="AX409" s="2" t="n">
        <f aca="false">AQ409-Entrées!$C$17*1000</f>
        <v>-7.82809253152118</v>
      </c>
      <c r="AY409" s="2" t="n">
        <f aca="false">AI409+(Entrées!$C$244-Entrées!$C$13)</f>
        <v>28297.0803486487</v>
      </c>
      <c r="AZ409" s="2" t="n">
        <f aca="false">AA409*AH409</f>
        <v>5453.52644413314</v>
      </c>
      <c r="BA409" s="2" t="n">
        <f aca="false">AZ409/AY409</f>
        <v>0.192723997562299</v>
      </c>
      <c r="BB409" s="2" t="n">
        <f aca="false">AZ409/(Entrées!$C$151/100)-AY409</f>
        <v>2000.28878542433</v>
      </c>
      <c r="BC409" s="2" t="n">
        <f aca="false">AT409+(Entrées!$C$244-Entrées!$C$13)</f>
        <v>27187.3608555053</v>
      </c>
      <c r="BD409" s="2" t="n">
        <f aca="false">AA409*AQ409</f>
        <v>5793.99595343755</v>
      </c>
      <c r="BE409" s="2" t="n">
        <f aca="false">BD409/BC409</f>
        <v>0.213113585545553</v>
      </c>
      <c r="BF409" s="2" t="n">
        <f aca="false">BD409/(Entrées!$C$151/100)-BC409</f>
        <v>5001.50555248112</v>
      </c>
      <c r="BG409" s="2" t="n">
        <f aca="false">MIN(AV409,BF409)</f>
        <v>2536.15486690019</v>
      </c>
      <c r="BH409" s="2" t="n">
        <f aca="false">IF(AC409&gt;Hypothèses!$J$26,MAX(0,BG409)/(1-Hypothèses!$J$26/AC409),0)</f>
        <v>3683.1580772925</v>
      </c>
    </row>
    <row r="410" customFormat="false" ht="15" hidden="false" customHeight="false" outlineLevel="0" collapsed="false">
      <c r="A410" s="2" t="n">
        <v>395</v>
      </c>
      <c r="B410" s="2" t="n">
        <v>0.390137283</v>
      </c>
      <c r="C410" s="2"/>
      <c r="D410" s="2" t="n">
        <v>0.977070442</v>
      </c>
      <c r="E410" s="2" t="n">
        <f aca="false">IF(E$7=E$5,E$6,IF(NORMSDIST(E$9*SQRT($C$11)*NORMSINV($B410)+SQRT(1-E$9^2*$C$11)*NORMSINV(D410))&lt;E$8,E$5+SQRT(NORMSDIST(E$9*SQRT($C$11)*NORMSINV($B410)+SQRT(1-E$9^2*$C$11)*NORMSINV(D410))*(E$7-E$5)*(E$6-E$5)),E$7-SQRT((1-NORMSDIST(E$9*SQRT($C$11)*NORMSINV($B410)+SQRT(1-E$9^2*$C$11)*NORMSINV(D410)))*(E$7-E$5)*(E$7-E$6))))</f>
        <v>0.0579346586890184</v>
      </c>
      <c r="F410" s="2" t="n">
        <v>0.546466367</v>
      </c>
      <c r="G410" s="2" t="n">
        <f aca="false">IF(G$7=G$5,G$6,IF(NORMSDIST(G$9*SQRT($C$11)*NORMSINV($B410)+SQRT(1-G$9^2*$C$11)*NORMSINV(F410))&lt;G$8,G$5+SQRT(NORMSDIST(G$9*SQRT($C$11)*NORMSINV($B410)+SQRT(1-G$9^2*$C$11)*NORMSINV(F410))*(G$7-G$5)*(G$6-G$5)),G$7-SQRT((1-NORMSDIST(G$9*SQRT($C$11)*NORMSINV($B410)+SQRT(1-G$9^2*$C$11)*NORMSINV(F410)))*(G$7-G$5)*(G$7-G$6))))</f>
        <v>0.0544768433393088</v>
      </c>
      <c r="H410" s="2" t="n">
        <v>0.515444545</v>
      </c>
      <c r="I410" s="2" t="n">
        <f aca="false">IF(I$7=I$5,I$6,IF(NORMSDIST(I$9*SQRT($C$11)*NORMSINV($B410)+SQRT(1-I$9^2*$C$11)*NORMSINV(H410))&lt;I$8,I$5+SQRT(NORMSDIST(I$9*SQRT($C$11)*NORMSINV($B410)+SQRT(1-I$9^2*$C$11)*NORMSINV(H410))*(I$7-I$5)*(I$6-I$5)),I$7-SQRT((1-NORMSDIST(I$9*SQRT($C$11)*NORMSINV($B410)+SQRT(1-I$9^2*$C$11)*NORMSINV(H410)))*(I$7-I$5)*(I$7-I$6))))</f>
        <v>198.799761245929</v>
      </c>
      <c r="J410" s="2" t="n">
        <v>0.652690535</v>
      </c>
      <c r="K410" s="2" t="n">
        <f aca="false">IF(K$7=K$5,K$6,IF(NORMSDIST(K$9*SQRT($C$11)*NORMSINV($B410)+SQRT(1-K$9^2*$C$11)*NORMSINV(J410))&lt;K$8,K$5+SQRT(NORMSDIST(K$9*SQRT($C$11)*NORMSINV($B410)+SQRT(1-K$9^2*$C$11)*NORMSINV(J410))*(K$7-K$5)*(K$6-K$5)),K$7-SQRT((1-NORMSDIST(K$9*SQRT($C$11)*NORMSINV($B410)+SQRT(1-K$9^2*$C$11)*NORMSINV(J410)))*(K$7-K$5)*(K$7-K$6))))</f>
        <v>0.263038948275063</v>
      </c>
      <c r="L410" s="2" t="n">
        <v>0.958405153</v>
      </c>
      <c r="M410" s="2" t="n">
        <f aca="false">IF(M$7=M$5,M$6,IF(NORMSDIST(M$9*SQRT($C$11)*NORMSINV($B410)+SQRT(1-M$9^2*$C$11)*NORMSINV(L410))&lt;M$8,M$5+SQRT(NORMSDIST(M$9*SQRT($C$11)*NORMSINV($B410)+SQRT(1-M$9^2*$C$11)*NORMSINV(L410))*(M$7-M$5)*(M$6-M$5)),M$7-SQRT((1-NORMSDIST(M$9*SQRT($C$11)*NORMSINV($B410)+SQRT(1-M$9^2*$C$11)*NORMSINV(L410)))*(M$7-M$5)*(M$7-M$6))))</f>
        <v>1693.38882931769</v>
      </c>
      <c r="N410" s="2" t="n">
        <v>0.799253117</v>
      </c>
      <c r="O410" s="2" t="n">
        <f aca="false">IF(O$7=O$5,O$6,IF(NORMSDIST(O$9*SQRT($C$11)*NORMSINV($B410)+SQRT(1-O$9^2*$C$11)*NORMSINV(N410))&lt;O$8,O$5+SQRT(NORMSDIST(O$9*SQRT($C$11)*NORMSINV($B410)+SQRT(1-O$9^2*$C$11)*NORMSINV(N410))*(O$7-O$5)*(O$6-O$5)),O$7-SQRT((1-NORMSDIST(O$9*SQRT($C$11)*NORMSINV($B410)+SQRT(1-O$9^2*$C$11)*NORMSINV(N410)))*(O$7-O$5)*(O$7-O$6))))</f>
        <v>0.171596714706614</v>
      </c>
      <c r="P410" s="2" t="n">
        <v>0.69522583</v>
      </c>
      <c r="Q410" s="2" t="n">
        <f aca="false">IF(Q$7=Q$5,Q$6,IF(NORMSDIST(Q$9*SQRT($C$11)*NORMSINV($B410)+SQRT(1-Q$9^2*$C$11)*NORMSINV(P410))&lt;Q$8,Q$5+SQRT(NORMSDIST(Q$9*SQRT($C$11)*NORMSINV($B410)+SQRT(1-Q$9^2*$C$11)*NORMSINV(P410))*(Q$7-Q$5)*(Q$6-Q$5)),Q$7-SQRT((1-NORMSDIST(Q$9*SQRT($C$11)*NORMSINV($B410)+SQRT(1-Q$9^2*$C$11)*NORMSINV(P410)))*(Q$7-Q$5)*(Q$7-Q$6))))</f>
        <v>0.0887705692655149</v>
      </c>
      <c r="R410" s="2" t="n">
        <v>0.590673862</v>
      </c>
      <c r="S410" s="2" t="n">
        <f aca="false">IF(S$7=S$5,S$6,IF(NORMSDIST(S$9*SQRT($C$11)*NORMSINV($B410)+SQRT(1-S$9^2*$C$11)*NORMSINV(R410))&lt;S$8,S$5+SQRT(NORMSDIST(S$9*SQRT($C$11)*NORMSINV($B410)+SQRT(1-S$9^2*$C$11)*NORMSINV(R410))*(S$7-S$5)*(S$6-S$5)),S$7-SQRT((1-NORMSDIST(S$9*SQRT($C$11)*NORMSINV($B410)+SQRT(1-S$9^2*$C$11)*NORMSINV(R410)))*(S$7-S$5)*(S$7-S$6))))</f>
        <v>0.500233029691251</v>
      </c>
      <c r="T410" s="2" t="n">
        <v>0.822889887</v>
      </c>
      <c r="U410" s="2" t="n">
        <f aca="false">IF(U$7=U$5,U$6,IF(NORMSDIST(U$9*SQRT($C$11)*NORMSINV($B410)+SQRT(1-U$9^2*$C$11)*NORMSINV(T410))&lt;U$8,U$5+SQRT(NORMSDIST(U$9*SQRT($C$11)*NORMSINV($B410)+SQRT(1-U$9^2*$C$11)*NORMSINV(T410))*(U$7-U$5)*(U$6-U$5)),U$7-SQRT((1-NORMSDIST(U$9*SQRT($C$11)*NORMSINV($B410)+SQRT(1-U$9^2*$C$11)*NORMSINV(T410)))*(U$7-U$5)*(U$7-U$6))))</f>
        <v>0.616469751470583</v>
      </c>
      <c r="V410" s="2" t="n">
        <v>0.515167091</v>
      </c>
      <c r="W410" s="2" t="n">
        <f aca="false">IF(W$7=W$5,W$6,IF(NORMSDIST(W$9*SQRT($C$11)*NORMSINV($B410)+SQRT(1-W$9^2*$C$11)*NORMSINV(V410))&lt;W$8,W$5+SQRT(NORMSDIST(W$9*SQRT($C$11)*NORMSINV($B410)+SQRT(1-W$9^2*$C$11)*NORMSINV(V410))*(W$7-W$5)*(W$6-W$5)),W$7-SQRT((1-NORMSDIST(W$9*SQRT($C$11)*NORMSINV($B410)+SQRT(1-W$9^2*$C$11)*NORMSINV(V410)))*(W$7-W$5)*(W$7-W$6))))</f>
        <v>9.87952335960509</v>
      </c>
      <c r="X410" s="2" t="n">
        <v>0.804810569</v>
      </c>
      <c r="Y410" s="2" t="n">
        <f aca="false">IF(Y$7=Y$5,Y$6,IF(NORMSDIST(Y$9*SQRT($C$11)*NORMSINV($B410)+SQRT(1-Y$9^2*$C$11)*NORMSINV(X410))&lt;Y$8,Y$5+SQRT(NORMSDIST(Y$9*SQRT($C$11)*NORMSINV($B410)+SQRT(1-Y$9^2*$C$11)*NORMSINV(X410))*(Y$7-Y$5)*(Y$6-Y$5)),Y$7-SQRT((1-NORMSDIST(Y$9*SQRT($C$11)*NORMSINV($B410)+SQRT(1-Y$9^2*$C$11)*NORMSINV(X410)))*(Y$7-Y$5)*(Y$7-Y$6))))</f>
        <v>0.687598470714371</v>
      </c>
      <c r="Z410" s="2" t="n">
        <v>0.405512909</v>
      </c>
      <c r="AA410" s="2" t="n">
        <f aca="false">IF(AA$7=AA$5,AA$6,IF(NORMSDIST(AA$9*SQRT($C$11)*NORMSINV($B410)+SQRT(1-AA$9^2*$C$11)*NORMSINV(Z410))&lt;AA$8,AA$5+SQRT(NORMSDIST(AA$9*SQRT($C$11)*NORMSINV($B410)+SQRT(1-AA$9^2*$C$11)*NORMSINV(Z410))*(AA$7-AA$5)*(AA$6-AA$5)),AA$7-SQRT((1-NORMSDIST(AA$9*SQRT($C$11)*NORMSINV($B410)+SQRT(1-AA$9^2*$C$11)*NORMSINV(Z410)))*(AA$7-AA$5)*(AA$7-AA$6))))</f>
        <v>0.723047460736643</v>
      </c>
      <c r="AB410" s="2" t="n">
        <v>0.029132364</v>
      </c>
      <c r="AC410" s="2" t="n">
        <f aca="false">IF(AC$7=AC$5,AC$6,IF(NORMSDIST(AC$9*SQRT($C$11)*NORMSINV($B410)+SQRT(1-AC$9^2*$C$11)*NORMSINV(AB410))&lt;AC$8,AC$5+SQRT(NORMSDIST(AC$9*SQRT($C$11)*NORMSINV($B410)+SQRT(1-AC$9^2*$C$11)*NORMSINV(AB410))*(AC$7-AC$5)*(AC$6-AC$5)),AC$7-SQRT((1-NORMSDIST(AC$9*SQRT($C$11)*NORMSINV($B410)+SQRT(1-AC$9^2*$C$11)*NORMSINV(AB410)))*(AC$7-AC$5)*(AC$7-AC$6))))</f>
        <v>8.05833094549014</v>
      </c>
      <c r="AD410" s="2" t="n">
        <f aca="false">Entrées!$C$8*(1+E410)</f>
        <v>7458.43934375758</v>
      </c>
      <c r="AE410" s="2" t="n">
        <f aca="false">I410*Hypothèses!$J$24/12/Hypothèses!$J$19</f>
        <v>98.6239252707165</v>
      </c>
      <c r="AF410" s="2" t="n">
        <f aca="false">Entrées!$C$36*S410*1000</f>
        <v>250.116514845626</v>
      </c>
      <c r="AG410" s="2" t="n">
        <f aca="false">-AF410/W410</f>
        <v>-25.3166580756608</v>
      </c>
      <c r="AH410" s="2" t="n">
        <f aca="false">AD410+AE410+AG410</f>
        <v>7531.74661095264</v>
      </c>
      <c r="AI410" s="2" t="n">
        <f aca="false">Entrées!$C$16-M410+Hypothèses!$J$22*1000-AF410+Hypothèses!$J$23</f>
        <v>22604.4946558367</v>
      </c>
      <c r="AJ410" s="2" t="n">
        <f aca="false">AI410/AH410</f>
        <v>3.00122877513767</v>
      </c>
      <c r="AK410" s="2" t="n">
        <f aca="false">AI410/(AH410+I410*(12-Hypothèses!$J$24)/12/Hypothèses!$J$19)</f>
        <v>2.97341790992419</v>
      </c>
      <c r="AL410" s="2" t="n">
        <f aca="false">(AD410+AG410+I410/Hypothèses!$J$19)*(1+G410)</f>
        <v>8016.33570928973</v>
      </c>
      <c r="AM410" s="2" t="n">
        <f aca="false">Entrées!$C$54*K410/Hypothèses!$J$19</f>
        <v>26.8442291006441</v>
      </c>
      <c r="AN410" s="2" t="n">
        <f aca="false">Y410*1000/AC410</f>
        <v>85.3276535011491</v>
      </c>
      <c r="AO410" s="2" t="n">
        <f aca="false">(Entrées!$C$36*(1-S410)+MAX(0,Entrées!$C$30-Entrées!$C$35-Entrées!$C$36)*U410)*1000</f>
        <v>1112.94113721319</v>
      </c>
      <c r="AP410" s="2" t="n">
        <f aca="false">-AO410/W410</f>
        <v>-112.651298721933</v>
      </c>
      <c r="AQ410" s="2" t="n">
        <f aca="false">AL410+AM410+AN410+AP410</f>
        <v>8015.85629316959</v>
      </c>
      <c r="AR410" s="2" t="n">
        <f aca="false">O410*AQ410-Hypothèses!$J$25/Hypothèses!$J$19</f>
        <v>1356.35944320662</v>
      </c>
      <c r="AS410" s="2" t="n">
        <f aca="false">Entrées!$C$79*(1+Q410)+Hypothèses!$J$20</f>
        <v>1491.5588556228</v>
      </c>
      <c r="AT410" s="2" t="n">
        <f aca="false">AI410-AR410+AS410+Y410*1000-AO410+Hypothèses!$J$23</f>
        <v>22314.3514017541</v>
      </c>
      <c r="AU410" s="2" t="n">
        <f aca="false">AT410/AQ410</f>
        <v>2.7837763784224</v>
      </c>
      <c r="AV410" s="2" t="n">
        <f aca="false">Hypothèses!$J$26*AQ410-AT410</f>
        <v>1733.21747775471</v>
      </c>
      <c r="AW410" s="2" t="n">
        <f aca="false">IF(AC410&gt;Hypothèses!$J$26,MAX(0,AV410)/(1-Hypothèses!$J$26/AC410),0)</f>
        <v>2761.15584107987</v>
      </c>
      <c r="AX410" s="2" t="n">
        <f aca="false">AQ410-Entrées!$C$17*1000</f>
        <v>15.8562931695869</v>
      </c>
      <c r="AY410" s="2" t="n">
        <f aca="false">AI410+(Entrées!$C$244-Entrées!$C$13)</f>
        <v>28351.4946558367</v>
      </c>
      <c r="AZ410" s="2" t="n">
        <f aca="false">AA410*AH410</f>
        <v>5445.81026196112</v>
      </c>
      <c r="BA410" s="2" t="n">
        <f aca="false">AZ410/AY410</f>
        <v>0.192081945875118</v>
      </c>
      <c r="BB410" s="2" t="n">
        <f aca="false">AZ410/(Entrées!$C$151/100)-AY410</f>
        <v>1903.00679950288</v>
      </c>
      <c r="BC410" s="2" t="n">
        <f aca="false">AT410+(Entrées!$C$244-Entrées!$C$13)</f>
        <v>28061.3514017541</v>
      </c>
      <c r="BD410" s="2" t="n">
        <f aca="false">AA410*AQ410</f>
        <v>5795.84453840611</v>
      </c>
      <c r="BE410" s="2" t="n">
        <f aca="false">BD410/BC410</f>
        <v>0.206541889427457</v>
      </c>
      <c r="BF410" s="2" t="n">
        <f aca="false">BD410/(Entrées!$C$151/100)-BC410</f>
        <v>4137.78492272435</v>
      </c>
      <c r="BG410" s="2" t="n">
        <f aca="false">MIN(AV410,BF410)</f>
        <v>1733.21747775471</v>
      </c>
      <c r="BH410" s="2" t="n">
        <f aca="false">IF(AC410&gt;Hypothèses!$J$26,MAX(0,BG410)/(1-Hypothèses!$J$26/AC410),0)</f>
        <v>2761.15584107987</v>
      </c>
    </row>
    <row r="411" customFormat="false" ht="15" hidden="false" customHeight="false" outlineLevel="0" collapsed="false">
      <c r="A411" s="2" t="n">
        <v>396</v>
      </c>
      <c r="B411" s="2" t="n">
        <v>0.565526635</v>
      </c>
      <c r="C411" s="2"/>
      <c r="D411" s="2" t="n">
        <v>0.320539446</v>
      </c>
      <c r="E411" s="2" t="n">
        <f aca="false">IF(E$7=E$5,E$6,IF(NORMSDIST(E$9*SQRT($C$11)*NORMSINV($B411)+SQRT(1-E$9^2*$C$11)*NORMSINV(D411))&lt;E$8,E$5+SQRT(NORMSDIST(E$9*SQRT($C$11)*NORMSINV($B411)+SQRT(1-E$9^2*$C$11)*NORMSINV(D411))*(E$7-E$5)*(E$6-E$5)),E$7-SQRT((1-NORMSDIST(E$9*SQRT($C$11)*NORMSINV($B411)+SQRT(1-E$9^2*$C$11)*NORMSINV(D411)))*(E$7-E$5)*(E$7-E$6))))</f>
        <v>0.0544647688048454</v>
      </c>
      <c r="F411" s="2" t="n">
        <v>0.998224083</v>
      </c>
      <c r="G411" s="2" t="n">
        <f aca="false">IF(G$7=G$5,G$6,IF(NORMSDIST(G$9*SQRT($C$11)*NORMSINV($B411)+SQRT(1-G$9^2*$C$11)*NORMSINV(F411))&lt;G$8,G$5+SQRT(NORMSDIST(G$9*SQRT($C$11)*NORMSINV($B411)+SQRT(1-G$9^2*$C$11)*NORMSINV(F411))*(G$7-G$5)*(G$6-G$5)),G$7-SQRT((1-NORMSDIST(G$9*SQRT($C$11)*NORMSINV($B411)+SQRT(1-G$9^2*$C$11)*NORMSINV(F411)))*(G$7-G$5)*(G$7-G$6))))</f>
        <v>0.0679794491600337</v>
      </c>
      <c r="H411" s="2" t="n">
        <v>0.712390873</v>
      </c>
      <c r="I411" s="2" t="n">
        <f aca="false">IF(I$7=I$5,I$6,IF(NORMSDIST(I$9*SQRT($C$11)*NORMSINV($B411)+SQRT(1-I$9^2*$C$11)*NORMSINV(H411))&lt;I$8,I$5+SQRT(NORMSDIST(I$9*SQRT($C$11)*NORMSINV($B411)+SQRT(1-I$9^2*$C$11)*NORMSINV(H411))*(I$7-I$5)*(I$6-I$5)),I$7-SQRT((1-NORMSDIST(I$9*SQRT($C$11)*NORMSINV($B411)+SQRT(1-I$9^2*$C$11)*NORMSINV(H411)))*(I$7-I$5)*(I$7-I$6))))</f>
        <v>204.634004430787</v>
      </c>
      <c r="J411" s="2" t="n">
        <v>0.43102663</v>
      </c>
      <c r="K411" s="2" t="n">
        <f aca="false">IF(K$7=K$5,K$6,IF(NORMSDIST(K$9*SQRT($C$11)*NORMSINV($B411)+SQRT(1-K$9^2*$C$11)*NORMSINV(J411))&lt;K$8,K$5+SQRT(NORMSDIST(K$9*SQRT($C$11)*NORMSINV($B411)+SQRT(1-K$9^2*$C$11)*NORMSINV(J411))*(K$7-K$5)*(K$6-K$5)),K$7-SQRT((1-NORMSDIST(K$9*SQRT($C$11)*NORMSINV($B411)+SQRT(1-K$9^2*$C$11)*NORMSINV(J411)))*(K$7-K$5)*(K$7-K$6))))</f>
        <v>0.246965867377784</v>
      </c>
      <c r="L411" s="2" t="n">
        <v>0.859304649</v>
      </c>
      <c r="M411" s="2" t="n">
        <f aca="false">IF(M$7=M$5,M$6,IF(NORMSDIST(M$9*SQRT($C$11)*NORMSINV($B411)+SQRT(1-M$9^2*$C$11)*NORMSINV(L411))&lt;M$8,M$5+SQRT(NORMSDIST(M$9*SQRT($C$11)*NORMSINV($B411)+SQRT(1-M$9^2*$C$11)*NORMSINV(L411))*(M$7-M$5)*(M$6-M$5)),M$7-SQRT((1-NORMSDIST(M$9*SQRT($C$11)*NORMSINV($B411)+SQRT(1-M$9^2*$C$11)*NORMSINV(L411)))*(M$7-M$5)*(M$7-M$6))))</f>
        <v>1674.22918294793</v>
      </c>
      <c r="N411" s="2" t="n">
        <v>0.036871402</v>
      </c>
      <c r="O411" s="2" t="n">
        <f aca="false">IF(O$7=O$5,O$6,IF(NORMSDIST(O$9*SQRT($C$11)*NORMSINV($B411)+SQRT(1-O$9^2*$C$11)*NORMSINV(N411))&lt;O$8,O$5+SQRT(NORMSDIST(O$9*SQRT($C$11)*NORMSINV($B411)+SQRT(1-O$9^2*$C$11)*NORMSINV(N411))*(O$7-O$5)*(O$6-O$5)),O$7-SQRT((1-NORMSDIST(O$9*SQRT($C$11)*NORMSINV($B411)+SQRT(1-O$9^2*$C$11)*NORMSINV(N411)))*(O$7-O$5)*(O$7-O$6))))</f>
        <v>0.151986444852804</v>
      </c>
      <c r="P411" s="2" t="n">
        <v>0.740914479</v>
      </c>
      <c r="Q411" s="2" t="n">
        <f aca="false">IF(Q$7=Q$5,Q$6,IF(NORMSDIST(Q$9*SQRT($C$11)*NORMSINV($B411)+SQRT(1-Q$9^2*$C$11)*NORMSINV(P411))&lt;Q$8,Q$5+SQRT(NORMSDIST(Q$9*SQRT($C$11)*NORMSINV($B411)+SQRT(1-Q$9^2*$C$11)*NORMSINV(P411))*(Q$7-Q$5)*(Q$6-Q$5)),Q$7-SQRT((1-NORMSDIST(Q$9*SQRT($C$11)*NORMSINV($B411)+SQRT(1-Q$9^2*$C$11)*NORMSINV(P411)))*(Q$7-Q$5)*(Q$7-Q$6))))</f>
        <v>0.0912063606468373</v>
      </c>
      <c r="R411" s="2" t="n">
        <v>0.888447115</v>
      </c>
      <c r="S411" s="2" t="n">
        <f aca="false">IF(S$7=S$5,S$6,IF(NORMSDIST(S$9*SQRT($C$11)*NORMSINV($B411)+SQRT(1-S$9^2*$C$11)*NORMSINV(R411))&lt;S$8,S$5+SQRT(NORMSDIST(S$9*SQRT($C$11)*NORMSINV($B411)+SQRT(1-S$9^2*$C$11)*NORMSINV(R411))*(S$7-S$5)*(S$6-S$5)),S$7-SQRT((1-NORMSDIST(S$9*SQRT($C$11)*NORMSINV($B411)+SQRT(1-S$9^2*$C$11)*NORMSINV(R411)))*(S$7-S$5)*(S$7-S$6))))</f>
        <v>0.728608062319653</v>
      </c>
      <c r="T411" s="2" t="n">
        <v>0.477334224</v>
      </c>
      <c r="U411" s="2" t="n">
        <f aca="false">IF(U$7=U$5,U$6,IF(NORMSDIST(U$9*SQRT($C$11)*NORMSINV($B411)+SQRT(1-U$9^2*$C$11)*NORMSINV(T411))&lt;U$8,U$5+SQRT(NORMSDIST(U$9*SQRT($C$11)*NORMSINV($B411)+SQRT(1-U$9^2*$C$11)*NORMSINV(T411))*(U$7-U$5)*(U$6-U$5)),U$7-SQRT((1-NORMSDIST(U$9*SQRT($C$11)*NORMSINV($B411)+SQRT(1-U$9^2*$C$11)*NORMSINV(T411)))*(U$7-U$5)*(U$7-U$6))))</f>
        <v>0.512173150382867</v>
      </c>
      <c r="V411" s="2" t="n">
        <v>0.658310037</v>
      </c>
      <c r="W411" s="2" t="n">
        <f aca="false">IF(W$7=W$5,W$6,IF(NORMSDIST(W$9*SQRT($C$11)*NORMSINV($B411)+SQRT(1-W$9^2*$C$11)*NORMSINV(V411))&lt;W$8,W$5+SQRT(NORMSDIST(W$9*SQRT($C$11)*NORMSINV($B411)+SQRT(1-W$9^2*$C$11)*NORMSINV(V411))*(W$7-W$5)*(W$6-W$5)),W$7-SQRT((1-NORMSDIST(W$9*SQRT($C$11)*NORMSINV($B411)+SQRT(1-W$9^2*$C$11)*NORMSINV(V411)))*(W$7-W$5)*(W$7-W$6))))</f>
        <v>10.3577045041596</v>
      </c>
      <c r="X411" s="2" t="n">
        <v>0.088095268</v>
      </c>
      <c r="Y411" s="2" t="n">
        <f aca="false">IF(Y$7=Y$5,Y$6,IF(NORMSDIST(Y$9*SQRT($C$11)*NORMSINV($B411)+SQRT(1-Y$9^2*$C$11)*NORMSINV(X411))&lt;Y$8,Y$5+SQRT(NORMSDIST(Y$9*SQRT($C$11)*NORMSINV($B411)+SQRT(1-Y$9^2*$C$11)*NORMSINV(X411))*(Y$7-Y$5)*(Y$6-Y$5)),Y$7-SQRT((1-NORMSDIST(Y$9*SQRT($C$11)*NORMSINV($B411)+SQRT(1-Y$9^2*$C$11)*NORMSINV(X411)))*(Y$7-Y$5)*(Y$7-Y$6))))</f>
        <v>0.209875282012914</v>
      </c>
      <c r="Z411" s="2" t="n">
        <v>0.767494395</v>
      </c>
      <c r="AA411" s="2" t="n">
        <f aca="false">IF(AA$7=AA$5,AA$6,IF(NORMSDIST(AA$9*SQRT($C$11)*NORMSINV($B411)+SQRT(1-AA$9^2*$C$11)*NORMSINV(Z411))&lt;AA$8,AA$5+SQRT(NORMSDIST(AA$9*SQRT($C$11)*NORMSINV($B411)+SQRT(1-AA$9^2*$C$11)*NORMSINV(Z411))*(AA$7-AA$5)*(AA$6-AA$5)),AA$7-SQRT((1-NORMSDIST(AA$9*SQRT($C$11)*NORMSINV($B411)+SQRT(1-AA$9^2*$C$11)*NORMSINV(Z411)))*(AA$7-AA$5)*(AA$7-AA$6))))</f>
        <v>0.73589629030347</v>
      </c>
      <c r="AB411" s="2" t="n">
        <v>0.196120576</v>
      </c>
      <c r="AC411" s="2" t="n">
        <f aca="false">IF(AC$7=AC$5,AC$6,IF(NORMSDIST(AC$9*SQRT($C$11)*NORMSINV($B411)+SQRT(1-AC$9^2*$C$11)*NORMSINV(AB411))&lt;AC$8,AC$5+SQRT(NORMSDIST(AC$9*SQRT($C$11)*NORMSINV($B411)+SQRT(1-AC$9^2*$C$11)*NORMSINV(AB411))*(AC$7-AC$5)*(AC$6-AC$5)),AC$7-SQRT((1-NORMSDIST(AC$9*SQRT($C$11)*NORMSINV($B411)+SQRT(1-AC$9^2*$C$11)*NORMSINV(AB411)))*(AC$7-AC$5)*(AC$7-AC$6))))</f>
        <v>8.97825941910014</v>
      </c>
      <c r="AD411" s="2" t="n">
        <f aca="false">Entrées!$C$8*(1+E411)</f>
        <v>7433.97662007416</v>
      </c>
      <c r="AE411" s="2" t="n">
        <f aca="false">I411*Hypothèses!$J$24/12/Hypothèses!$J$19</f>
        <v>101.518274641503</v>
      </c>
      <c r="AF411" s="2" t="n">
        <f aca="false">Entrées!$C$36*S411*1000</f>
        <v>364.304031159826</v>
      </c>
      <c r="AG411" s="2" t="n">
        <f aca="false">-AF411/W411</f>
        <v>-35.1722749971795</v>
      </c>
      <c r="AH411" s="2" t="n">
        <f aca="false">AD411+AE411+AG411</f>
        <v>7500.32261971848</v>
      </c>
      <c r="AI411" s="2" t="n">
        <f aca="false">Entrées!$C$16-M411+Hypothèses!$J$22*1000-AF411+Hypothèses!$J$23</f>
        <v>22509.4667858922</v>
      </c>
      <c r="AJ411" s="2" t="n">
        <f aca="false">AI411/AH411</f>
        <v>3.0011331414884</v>
      </c>
      <c r="AK411" s="2" t="n">
        <f aca="false">AI411/(AH411+I411*(12-Hypothèses!$J$24)/12/Hypothèses!$J$19)</f>
        <v>2.97239604261404</v>
      </c>
      <c r="AL411" s="2" t="n">
        <f aca="false">(AD411+AG411+I411/Hypothèses!$J$19)*(1+G411)</f>
        <v>8087.63287066614</v>
      </c>
      <c r="AM411" s="2" t="n">
        <f aca="false">Entrées!$C$54*K411/Hypothèses!$J$19</f>
        <v>25.2039037085712</v>
      </c>
      <c r="AN411" s="2" t="n">
        <f aca="false">Y411*1000/AC411</f>
        <v>23.3759431774081</v>
      </c>
      <c r="AO411" s="2" t="n">
        <f aca="false">(Entrées!$C$36*(1-S411)+MAX(0,Entrées!$C$30-Entrées!$C$35-Entrées!$C$36)*U411)*1000</f>
        <v>852.738379376187</v>
      </c>
      <c r="AP411" s="2" t="n">
        <f aca="false">-AO411/W411</f>
        <v>-82.3288962369733</v>
      </c>
      <c r="AQ411" s="2" t="n">
        <f aca="false">AL411+AM411+AN411+AP411</f>
        <v>8053.88382131514</v>
      </c>
      <c r="AR411" s="2" t="n">
        <f aca="false">O411*AQ411-Hypothèses!$J$25/Hypothèses!$J$19</f>
        <v>1204.94600699758</v>
      </c>
      <c r="AS411" s="2" t="n">
        <f aca="false">Entrées!$C$79*(1+Q411)+Hypothèses!$J$20</f>
        <v>1494.23579035087</v>
      </c>
      <c r="AT411" s="2" t="n">
        <f aca="false">AI411-AR411+AS411+Y411*1000-AO411+Hypothèses!$J$23</f>
        <v>22155.8934718823</v>
      </c>
      <c r="AU411" s="2" t="n">
        <f aca="false">AT411/AQ411</f>
        <v>2.75095767004302</v>
      </c>
      <c r="AV411" s="2" t="n">
        <f aca="false">Hypothèses!$J$26*AQ411-AT411</f>
        <v>2005.75799206317</v>
      </c>
      <c r="AW411" s="2" t="n">
        <f aca="false">IF(AC411&gt;Hypothèses!$J$26,MAX(0,AV411)/(1-Hypothèses!$J$26/AC411),0)</f>
        <v>3012.28406501422</v>
      </c>
      <c r="AX411" s="2" t="n">
        <f aca="false">AQ411-Entrées!$C$17*1000</f>
        <v>53.8838213151439</v>
      </c>
      <c r="AY411" s="2" t="n">
        <f aca="false">AI411+(Entrées!$C$244-Entrées!$C$13)</f>
        <v>28256.4667858922</v>
      </c>
      <c r="AZ411" s="2" t="n">
        <f aca="false">AA411*AH411</f>
        <v>5519.45959193004</v>
      </c>
      <c r="BA411" s="2" t="n">
        <f aca="false">AZ411/AY411</f>
        <v>0.195334386062937</v>
      </c>
      <c r="BB411" s="2" t="n">
        <f aca="false">AZ411/(Entrées!$C$151/100)-AY411</f>
        <v>2407.19761371909</v>
      </c>
      <c r="BC411" s="2" t="n">
        <f aca="false">AT411+(Entrées!$C$244-Entrées!$C$13)</f>
        <v>27902.8934718823</v>
      </c>
      <c r="BD411" s="2" t="n">
        <f aca="false">AA411*AQ411</f>
        <v>5926.82322664095</v>
      </c>
      <c r="BE411" s="2" t="n">
        <f aca="false">BD411/BC411</f>
        <v>0.21240891137736</v>
      </c>
      <c r="BF411" s="2" t="n">
        <f aca="false">BD411/(Entrées!$C$151/100)-BC411</f>
        <v>5023.90223167859</v>
      </c>
      <c r="BG411" s="2" t="n">
        <f aca="false">MIN(AV411,BF411)</f>
        <v>2005.75799206317</v>
      </c>
      <c r="BH411" s="2" t="n">
        <f aca="false">IF(AC411&gt;Hypothèses!$J$26,MAX(0,BG411)/(1-Hypothèses!$J$26/AC411),0)</f>
        <v>3012.28406501422</v>
      </c>
    </row>
    <row r="412" customFormat="false" ht="15" hidden="false" customHeight="false" outlineLevel="0" collapsed="false">
      <c r="A412" s="2" t="n">
        <v>397</v>
      </c>
      <c r="B412" s="2" t="n">
        <v>0.97718958</v>
      </c>
      <c r="C412" s="2"/>
      <c r="D412" s="2" t="n">
        <v>0.4690648</v>
      </c>
      <c r="E412" s="2" t="n">
        <f aca="false">IF(E$7=E$5,E$6,IF(NORMSDIST(E$9*SQRT($C$11)*NORMSINV($B412)+SQRT(1-E$9^2*$C$11)*NORMSINV(D412))&lt;E$8,E$5+SQRT(NORMSDIST(E$9*SQRT($C$11)*NORMSINV($B412)+SQRT(1-E$9^2*$C$11)*NORMSINV(D412))*(E$7-E$5)*(E$6-E$5)),E$7-SQRT((1-NORMSDIST(E$9*SQRT($C$11)*NORMSINV($B412)+SQRT(1-E$9^2*$C$11)*NORMSINV(D412)))*(E$7-E$5)*(E$7-E$6))))</f>
        <v>0.0576096110180521</v>
      </c>
      <c r="F412" s="2" t="n">
        <v>0.752200998</v>
      </c>
      <c r="G412" s="2" t="n">
        <f aca="false">IF(G$7=G$5,G$6,IF(NORMSDIST(G$9*SQRT($C$11)*NORMSINV($B412)+SQRT(1-G$9^2*$C$11)*NORMSINV(F412))&lt;G$8,G$5+SQRT(NORMSDIST(G$9*SQRT($C$11)*NORMSINV($B412)+SQRT(1-G$9^2*$C$11)*NORMSINV(F412))*(G$7-G$5)*(G$6-G$5)),G$7-SQRT((1-NORMSDIST(G$9*SQRT($C$11)*NORMSINV($B412)+SQRT(1-G$9^2*$C$11)*NORMSINV(F412)))*(G$7-G$5)*(G$7-G$6))))</f>
        <v>0.0659437151561501</v>
      </c>
      <c r="H412" s="2" t="n">
        <v>0.213426011</v>
      </c>
      <c r="I412" s="2" t="n">
        <f aca="false">IF(I$7=I$5,I$6,IF(NORMSDIST(I$9*SQRT($C$11)*NORMSINV($B412)+SQRT(1-I$9^2*$C$11)*NORMSINV(H412))&lt;I$8,I$5+SQRT(NORMSDIST(I$9*SQRT($C$11)*NORMSINV($B412)+SQRT(1-I$9^2*$C$11)*NORMSINV(H412))*(I$7-I$5)*(I$6-I$5)),I$7-SQRT((1-NORMSDIST(I$9*SQRT($C$11)*NORMSINV($B412)+SQRT(1-I$9^2*$C$11)*NORMSINV(H412)))*(I$7-I$5)*(I$7-I$6))))</f>
        <v>205.626133125051</v>
      </c>
      <c r="J412" s="2" t="n">
        <v>0.761543574</v>
      </c>
      <c r="K412" s="2" t="n">
        <f aca="false">IF(K$7=K$5,K$6,IF(NORMSDIST(K$9*SQRT($C$11)*NORMSINV($B412)+SQRT(1-K$9^2*$C$11)*NORMSINV(J412))&lt;K$8,K$5+SQRT(NORMSDIST(K$9*SQRT($C$11)*NORMSINV($B412)+SQRT(1-K$9^2*$C$11)*NORMSINV(J412))*(K$7-K$5)*(K$6-K$5)),K$7-SQRT((1-NORMSDIST(K$9*SQRT($C$11)*NORMSINV($B412)+SQRT(1-K$9^2*$C$11)*NORMSINV(J412)))*(K$7-K$5)*(K$7-K$6))))</f>
        <v>0.434093051054857</v>
      </c>
      <c r="L412" s="2" t="n">
        <v>0.836504345</v>
      </c>
      <c r="M412" s="2" t="n">
        <f aca="false">IF(M$7=M$5,M$6,IF(NORMSDIST(M$9*SQRT($C$11)*NORMSINV($B412)+SQRT(1-M$9^2*$C$11)*NORMSINV(L412))&lt;M$8,M$5+SQRT(NORMSDIST(M$9*SQRT($C$11)*NORMSINV($B412)+SQRT(1-M$9^2*$C$11)*NORMSINV(L412))*(M$7-M$5)*(M$6-M$5)),M$7-SQRT((1-NORMSDIST(M$9*SQRT($C$11)*NORMSINV($B412)+SQRT(1-M$9^2*$C$11)*NORMSINV(L412)))*(M$7-M$5)*(M$7-M$6))))</f>
        <v>1750.5161068026</v>
      </c>
      <c r="N412" s="2" t="n">
        <v>0.595753903</v>
      </c>
      <c r="O412" s="2" t="n">
        <f aca="false">IF(O$7=O$5,O$6,IF(NORMSDIST(O$9*SQRT($C$11)*NORMSINV($B412)+SQRT(1-O$9^2*$C$11)*NORMSINV(N412))&lt;O$8,O$5+SQRT(NORMSDIST(O$9*SQRT($C$11)*NORMSINV($B412)+SQRT(1-O$9^2*$C$11)*NORMSINV(N412))*(O$7-O$5)*(O$6-O$5)),O$7-SQRT((1-NORMSDIST(O$9*SQRT($C$11)*NORMSINV($B412)+SQRT(1-O$9^2*$C$11)*NORMSINV(N412)))*(O$7-O$5)*(O$7-O$6))))</f>
        <v>0.181166346702646</v>
      </c>
      <c r="P412" s="2" t="n">
        <v>0.681256098</v>
      </c>
      <c r="Q412" s="2" t="n">
        <f aca="false">IF(Q$7=Q$5,Q$6,IF(NORMSDIST(Q$9*SQRT($C$11)*NORMSINV($B412)+SQRT(1-Q$9^2*$C$11)*NORMSINV(P412))&lt;Q$8,Q$5+SQRT(NORMSDIST(Q$9*SQRT($C$11)*NORMSINV($B412)+SQRT(1-Q$9^2*$C$11)*NORMSINV(P412))*(Q$7-Q$5)*(Q$6-Q$5)),Q$7-SQRT((1-NORMSDIST(Q$9*SQRT($C$11)*NORMSINV($B412)+SQRT(1-Q$9^2*$C$11)*NORMSINV(P412)))*(Q$7-Q$5)*(Q$7-Q$6))))</f>
        <v>0.0880628666533767</v>
      </c>
      <c r="R412" s="2" t="n">
        <v>0.825698121</v>
      </c>
      <c r="S412" s="2" t="n">
        <f aca="false">IF(S$7=S$5,S$6,IF(NORMSDIST(S$9*SQRT($C$11)*NORMSINV($B412)+SQRT(1-S$9^2*$C$11)*NORMSINV(R412))&lt;S$8,S$5+SQRT(NORMSDIST(S$9*SQRT($C$11)*NORMSINV($B412)+SQRT(1-S$9^2*$C$11)*NORMSINV(R412))*(S$7-S$5)*(S$6-S$5)),S$7-SQRT((1-NORMSDIST(S$9*SQRT($C$11)*NORMSINV($B412)+SQRT(1-S$9^2*$C$11)*NORMSINV(R412)))*(S$7-S$5)*(S$7-S$6))))</f>
        <v>0.892105420782716</v>
      </c>
      <c r="T412" s="2" t="n">
        <v>0.26568031</v>
      </c>
      <c r="U412" s="2" t="n">
        <f aca="false">IF(U$7=U$5,U$6,IF(NORMSDIST(U$9*SQRT($C$11)*NORMSINV($B412)+SQRT(1-U$9^2*$C$11)*NORMSINV(T412))&lt;U$8,U$5+SQRT(NORMSDIST(U$9*SQRT($C$11)*NORMSINV($B412)+SQRT(1-U$9^2*$C$11)*NORMSINV(T412))*(U$7-U$5)*(U$6-U$5)),U$7-SQRT((1-NORMSDIST(U$9*SQRT($C$11)*NORMSINV($B412)+SQRT(1-U$9^2*$C$11)*NORMSINV(T412)))*(U$7-U$5)*(U$7-U$6))))</f>
        <v>0.669936950332716</v>
      </c>
      <c r="V412" s="2" t="n">
        <v>0.288260604</v>
      </c>
      <c r="W412" s="2" t="n">
        <f aca="false">IF(W$7=W$5,W$6,IF(NORMSDIST(W$9*SQRT($C$11)*NORMSINV($B412)+SQRT(1-W$9^2*$C$11)*NORMSINV(V412))&lt;W$8,W$5+SQRT(NORMSDIST(W$9*SQRT($C$11)*NORMSINV($B412)+SQRT(1-W$9^2*$C$11)*NORMSINV(V412))*(W$7-W$5)*(W$6-W$5)),W$7-SQRT((1-NORMSDIST(W$9*SQRT($C$11)*NORMSINV($B412)+SQRT(1-W$9^2*$C$11)*NORMSINV(V412)))*(W$7-W$5)*(W$7-W$6))))</f>
        <v>10.7262232044987</v>
      </c>
      <c r="X412" s="2" t="n">
        <v>0.229326348</v>
      </c>
      <c r="Y412" s="2" t="n">
        <f aca="false">IF(Y$7=Y$5,Y$6,IF(NORMSDIST(Y$9*SQRT($C$11)*NORMSINV($B412)+SQRT(1-Y$9^2*$C$11)*NORMSINV(X412))&lt;Y$8,Y$5+SQRT(NORMSDIST(Y$9*SQRT($C$11)*NORMSINV($B412)+SQRT(1-Y$9^2*$C$11)*NORMSINV(X412))*(Y$7-Y$5)*(Y$6-Y$5)),Y$7-SQRT((1-NORMSDIST(Y$9*SQRT($C$11)*NORMSINV($B412)+SQRT(1-Y$9^2*$C$11)*NORMSINV(X412)))*(Y$7-Y$5)*(Y$7-Y$6))))</f>
        <v>0.338619512137148</v>
      </c>
      <c r="Z412" s="2" t="n">
        <v>0.887362248</v>
      </c>
      <c r="AA412" s="2" t="n">
        <f aca="false">IF(AA$7=AA$5,AA$6,IF(NORMSDIST(AA$9*SQRT($C$11)*NORMSINV($B412)+SQRT(1-AA$9^2*$C$11)*NORMSINV(Z412))&lt;AA$8,AA$5+SQRT(NORMSDIST(AA$9*SQRT($C$11)*NORMSINV($B412)+SQRT(1-AA$9^2*$C$11)*NORMSINV(Z412))*(AA$7-AA$5)*(AA$6-AA$5)),AA$7-SQRT((1-NORMSDIST(AA$9*SQRT($C$11)*NORMSINV($B412)+SQRT(1-AA$9^2*$C$11)*NORMSINV(Z412)))*(AA$7-AA$5)*(AA$7-AA$6))))</f>
        <v>0.749663241458685</v>
      </c>
      <c r="AB412" s="2" t="n">
        <v>0.643998561</v>
      </c>
      <c r="AC412" s="2" t="n">
        <f aca="false">IF(AC$7=AC$5,AC$6,IF(NORMSDIST(AC$9*SQRT($C$11)*NORMSINV($B412)+SQRT(1-AC$9^2*$C$11)*NORMSINV(AB412))&lt;AC$8,AC$5+SQRT(NORMSDIST(AC$9*SQRT($C$11)*NORMSINV($B412)+SQRT(1-AC$9^2*$C$11)*NORMSINV(AB412))*(AC$7-AC$5)*(AC$6-AC$5)),AC$7-SQRT((1-NORMSDIST(AC$9*SQRT($C$11)*NORMSINV($B412)+SQRT(1-AC$9^2*$C$11)*NORMSINV(AB412)))*(AC$7-AC$5)*(AC$7-AC$6))))</f>
        <v>10.488549188722</v>
      </c>
      <c r="AD412" s="2" t="n">
        <f aca="false">Entrées!$C$8*(1+E412)</f>
        <v>7456.14775767727</v>
      </c>
      <c r="AE412" s="2" t="n">
        <f aca="false">I412*Hypothèses!$J$24/12/Hypothèses!$J$19</f>
        <v>102.010466511296</v>
      </c>
      <c r="AF412" s="2" t="n">
        <f aca="false">Entrées!$C$36*S412*1000</f>
        <v>446.052710391358</v>
      </c>
      <c r="AG412" s="2" t="n">
        <f aca="false">-AF412/W412</f>
        <v>-41.5852534379743</v>
      </c>
      <c r="AH412" s="2" t="n">
        <f aca="false">AD412+AE412+AG412</f>
        <v>7516.57297075059</v>
      </c>
      <c r="AI412" s="2" t="n">
        <f aca="false">Entrées!$C$16-M412+Hypothèses!$J$22*1000-AF412+Hypothèses!$J$23</f>
        <v>22351.431182806</v>
      </c>
      <c r="AJ412" s="2" t="n">
        <f aca="false">AI412/AH412</f>
        <v>2.97361992889348</v>
      </c>
      <c r="AK412" s="2" t="n">
        <f aca="false">AI412/(AH412+I412*(12-Hypothèses!$J$24)/12/Hypothèses!$J$19)</f>
        <v>2.945070819632</v>
      </c>
      <c r="AL412" s="2" t="n">
        <f aca="false">(AD412+AG412+I412/Hypothèses!$J$19)*(1+G412)</f>
        <v>8089.91330029694</v>
      </c>
      <c r="AM412" s="2" t="n">
        <f aca="false">Entrées!$C$54*K412/Hypothèses!$J$19</f>
        <v>44.3010184990879</v>
      </c>
      <c r="AN412" s="2" t="n">
        <f aca="false">Y412*1000/AC412</f>
        <v>32.2846855217358</v>
      </c>
      <c r="AO412" s="2" t="n">
        <f aca="false">(Entrées!$C$36*(1-S412)+MAX(0,Entrées!$C$30-Entrées!$C$35-Entrées!$C$36)*U412)*1000</f>
        <v>991.859020074444</v>
      </c>
      <c r="AP412" s="2" t="n">
        <f aca="false">-AO412/W412</f>
        <v>-92.4704810970604</v>
      </c>
      <c r="AQ412" s="2" t="n">
        <f aca="false">AL412+AM412+AN412+AP412</f>
        <v>8074.02852322071</v>
      </c>
      <c r="AR412" s="2" t="n">
        <f aca="false">O412*AQ412-Hypothèses!$J$25/Hypothèses!$J$19</f>
        <v>1443.60708846323</v>
      </c>
      <c r="AS412" s="2" t="n">
        <f aca="false">Entrées!$C$79*(1+Q412)+Hypothèses!$J$20</f>
        <v>1490.78109045206</v>
      </c>
      <c r="AT412" s="2" t="n">
        <f aca="false">AI412-AR412+AS412+Y412*1000-AO412+Hypothèses!$J$23</f>
        <v>21745.3656768576</v>
      </c>
      <c r="AU412" s="2" t="n">
        <f aca="false">AT412/AQ412</f>
        <v>2.69324855793096</v>
      </c>
      <c r="AV412" s="2" t="n">
        <f aca="false">Hypothèses!$J$26*AQ412-AT412</f>
        <v>2476.71989280453</v>
      </c>
      <c r="AW412" s="2" t="n">
        <f aca="false">IF(AC412&gt;Hypothèses!$J$26,MAX(0,AV412)/(1-Hypothèses!$J$26/AC412),0)</f>
        <v>3468.92272023653</v>
      </c>
      <c r="AX412" s="2" t="n">
        <f aca="false">AQ412-Entrées!$C$17*1000</f>
        <v>74.0285232207052</v>
      </c>
      <c r="AY412" s="2" t="n">
        <f aca="false">AI412+(Entrées!$C$244-Entrées!$C$13)</f>
        <v>28098.431182806</v>
      </c>
      <c r="AZ412" s="2" t="n">
        <f aca="false">AA412*AH412</f>
        <v>5634.89845791363</v>
      </c>
      <c r="BA412" s="2" t="n">
        <f aca="false">AZ412/AY412</f>
        <v>0.200541390416193</v>
      </c>
      <c r="BB412" s="2" t="n">
        <f aca="false">AZ412/(Entrées!$C$151/100)-AY412</f>
        <v>3206.56025004744</v>
      </c>
      <c r="BC412" s="2" t="n">
        <f aca="false">AT412+(Entrées!$C$244-Entrées!$C$13)</f>
        <v>27492.3656768576</v>
      </c>
      <c r="BD412" s="2" t="n">
        <f aca="false">AA412*AQ412</f>
        <v>6052.80239434752</v>
      </c>
      <c r="BE412" s="2" t="n">
        <f aca="false">BD412/BC412</f>
        <v>0.220163025091821</v>
      </c>
      <c r="BF412" s="2" t="n">
        <f aca="false">BD412/(Entrées!$C$151/100)-BC412</f>
        <v>6134.31429173973</v>
      </c>
      <c r="BG412" s="2" t="n">
        <f aca="false">MIN(AV412,BF412)</f>
        <v>2476.71989280453</v>
      </c>
      <c r="BH412" s="2" t="n">
        <f aca="false">IF(AC412&gt;Hypothèses!$J$26,MAX(0,BG412)/(1-Hypothèses!$J$26/AC412),0)</f>
        <v>3468.92272023653</v>
      </c>
    </row>
    <row r="413" customFormat="false" ht="15" hidden="false" customHeight="false" outlineLevel="0" collapsed="false">
      <c r="A413" s="2" t="n">
        <v>398</v>
      </c>
      <c r="B413" s="2" t="n">
        <v>0.342474251</v>
      </c>
      <c r="C413" s="2"/>
      <c r="D413" s="2" t="n">
        <v>0.980286428</v>
      </c>
      <c r="E413" s="2" t="n">
        <f aca="false">IF(E$7=E$5,E$6,IF(NORMSDIST(E$9*SQRT($C$11)*NORMSINV($B413)+SQRT(1-E$9^2*$C$11)*NORMSINV(D413))&lt;E$8,E$5+SQRT(NORMSDIST(E$9*SQRT($C$11)*NORMSINV($B413)+SQRT(1-E$9^2*$C$11)*NORMSINV(D413))*(E$7-E$5)*(E$6-E$5)),E$7-SQRT((1-NORMSDIST(E$9*SQRT($C$11)*NORMSINV($B413)+SQRT(1-E$9^2*$C$11)*NORMSINV(D413)))*(E$7-E$5)*(E$7-E$6))))</f>
        <v>0.0578750087900222</v>
      </c>
      <c r="F413" s="2" t="n">
        <v>0.404969788</v>
      </c>
      <c r="G413" s="2" t="n">
        <f aca="false">IF(G$7=G$5,G$6,IF(NORMSDIST(G$9*SQRT($C$11)*NORMSINV($B413)+SQRT(1-G$9^2*$C$11)*NORMSINV(F413))&lt;G$8,G$5+SQRT(NORMSDIST(G$9*SQRT($C$11)*NORMSINV($B413)+SQRT(1-G$9^2*$C$11)*NORMSINV(F413))*(G$7-G$5)*(G$6-G$5)),G$7-SQRT((1-NORMSDIST(G$9*SQRT($C$11)*NORMSINV($B413)+SQRT(1-G$9^2*$C$11)*NORMSINV(F413)))*(G$7-G$5)*(G$7-G$6))))</f>
        <v>0.052166127336349</v>
      </c>
      <c r="H413" s="2" t="n">
        <v>0.285942797</v>
      </c>
      <c r="I413" s="2" t="n">
        <f aca="false">IF(I$7=I$5,I$6,IF(NORMSDIST(I$9*SQRT($C$11)*NORMSINV($B413)+SQRT(1-I$9^2*$C$11)*NORMSINV(H413))&lt;I$8,I$5+SQRT(NORMSDIST(I$9*SQRT($C$11)*NORMSINV($B413)+SQRT(1-I$9^2*$C$11)*NORMSINV(H413))*(I$7-I$5)*(I$6-I$5)),I$7-SQRT((1-NORMSDIST(I$9*SQRT($C$11)*NORMSINV($B413)+SQRT(1-I$9^2*$C$11)*NORMSINV(H413)))*(I$7-I$5)*(I$7-I$6))))</f>
        <v>193.962708282174</v>
      </c>
      <c r="J413" s="2" t="n">
        <v>0.051448996</v>
      </c>
      <c r="K413" s="2" t="n">
        <f aca="false">IF(K$7=K$5,K$6,IF(NORMSDIST(K$9*SQRT($C$11)*NORMSINV($B413)+SQRT(1-K$9^2*$C$11)*NORMSINV(J413))&lt;K$8,K$5+SQRT(NORMSDIST(K$9*SQRT($C$11)*NORMSINV($B413)+SQRT(1-K$9^2*$C$11)*NORMSINV(J413))*(K$7-K$5)*(K$6-K$5)),K$7-SQRT((1-NORMSDIST(K$9*SQRT($C$11)*NORMSINV($B413)+SQRT(1-K$9^2*$C$11)*NORMSINV(J413)))*(K$7-K$5)*(K$7-K$6))))</f>
        <v>0.0896264386923195</v>
      </c>
      <c r="L413" s="2" t="n">
        <v>0.771083001</v>
      </c>
      <c r="M413" s="2" t="n">
        <f aca="false">IF(M$7=M$5,M$6,IF(NORMSDIST(M$9*SQRT($C$11)*NORMSINV($B413)+SQRT(1-M$9^2*$C$11)*NORMSINV(L413))&lt;M$8,M$5+SQRT(NORMSDIST(M$9*SQRT($C$11)*NORMSINV($B413)+SQRT(1-M$9^2*$C$11)*NORMSINV(L413))*(M$7-M$5)*(M$6-M$5)),M$7-SQRT((1-NORMSDIST(M$9*SQRT($C$11)*NORMSINV($B413)+SQRT(1-M$9^2*$C$11)*NORMSINV(L413)))*(M$7-M$5)*(M$7-M$6))))</f>
        <v>1618.63875804728</v>
      </c>
      <c r="N413" s="2" t="n">
        <v>0.456334827</v>
      </c>
      <c r="O413" s="2" t="n">
        <f aca="false">IF(O$7=O$5,O$6,IF(NORMSDIST(O$9*SQRT($C$11)*NORMSINV($B413)+SQRT(1-O$9^2*$C$11)*NORMSINV(N413))&lt;O$8,O$5+SQRT(NORMSDIST(O$9*SQRT($C$11)*NORMSINV($B413)+SQRT(1-O$9^2*$C$11)*NORMSINV(N413))*(O$7-O$5)*(O$6-O$5)),O$7-SQRT((1-NORMSDIST(O$9*SQRT($C$11)*NORMSINV($B413)+SQRT(1-O$9^2*$C$11)*NORMSINV(N413)))*(O$7-O$5)*(O$7-O$6))))</f>
        <v>0.162926786846996</v>
      </c>
      <c r="P413" s="2" t="n">
        <v>0.217677584</v>
      </c>
      <c r="Q413" s="2" t="n">
        <f aca="false">IF(Q$7=Q$5,Q$6,IF(NORMSDIST(Q$9*SQRT($C$11)*NORMSINV($B413)+SQRT(1-Q$9^2*$C$11)*NORMSINV(P413))&lt;Q$8,Q$5+SQRT(NORMSDIST(Q$9*SQRT($C$11)*NORMSINV($B413)+SQRT(1-Q$9^2*$C$11)*NORMSINV(P413))*(Q$7-Q$5)*(Q$6-Q$5)),Q$7-SQRT((1-NORMSDIST(Q$9*SQRT($C$11)*NORMSINV($B413)+SQRT(1-Q$9^2*$C$11)*NORMSINV(P413)))*(Q$7-Q$5)*(Q$7-Q$6))))</f>
        <v>0.0663925798056954</v>
      </c>
      <c r="R413" s="2" t="n">
        <v>0.180954771</v>
      </c>
      <c r="S413" s="2" t="n">
        <f aca="false">IF(S$7=S$5,S$6,IF(NORMSDIST(S$9*SQRT($C$11)*NORMSINV($B413)+SQRT(1-S$9^2*$C$11)*NORMSINV(R413))&lt;S$8,S$5+SQRT(NORMSDIST(S$9*SQRT($C$11)*NORMSINV($B413)+SQRT(1-S$9^2*$C$11)*NORMSINV(R413))*(S$7-S$5)*(S$6-S$5)),S$7-SQRT((1-NORMSDIST(S$9*SQRT($C$11)*NORMSINV($B413)+SQRT(1-S$9^2*$C$11)*NORMSINV(R413)))*(S$7-S$5)*(S$7-S$6))))</f>
        <v>0.289670289193983</v>
      </c>
      <c r="T413" s="2" t="n">
        <v>0.910318603</v>
      </c>
      <c r="U413" s="2" t="n">
        <f aca="false">IF(U$7=U$5,U$6,IF(NORMSDIST(U$9*SQRT($C$11)*NORMSINV($B413)+SQRT(1-U$9^2*$C$11)*NORMSINV(T413))&lt;U$8,U$5+SQRT(NORMSDIST(U$9*SQRT($C$11)*NORMSINV($B413)+SQRT(1-U$9^2*$C$11)*NORMSINV(T413))*(U$7-U$5)*(U$6-U$5)),U$7-SQRT((1-NORMSDIST(U$9*SQRT($C$11)*NORMSINV($B413)+SQRT(1-U$9^2*$C$11)*NORMSINV(T413)))*(U$7-U$5)*(U$7-U$6))))</f>
        <v>0.670852128518668</v>
      </c>
      <c r="V413" s="2" t="n">
        <v>0.764436808</v>
      </c>
      <c r="W413" s="2" t="n">
        <f aca="false">IF(W$7=W$5,W$6,IF(NORMSDIST(W$9*SQRT($C$11)*NORMSINV($B413)+SQRT(1-W$9^2*$C$11)*NORMSINV(V413))&lt;W$8,W$5+SQRT(NORMSDIST(W$9*SQRT($C$11)*NORMSINV($B413)+SQRT(1-W$9^2*$C$11)*NORMSINV(V413))*(W$7-W$5)*(W$6-W$5)),W$7-SQRT((1-NORMSDIST(W$9*SQRT($C$11)*NORMSINV($B413)+SQRT(1-W$9^2*$C$11)*NORMSINV(V413)))*(W$7-W$5)*(W$7-W$6))))</f>
        <v>10.2530618117755</v>
      </c>
      <c r="X413" s="2" t="n">
        <v>0.16968066</v>
      </c>
      <c r="Y413" s="2" t="n">
        <f aca="false">IF(Y$7=Y$5,Y$6,IF(NORMSDIST(Y$9*SQRT($C$11)*NORMSINV($B413)+SQRT(1-Y$9^2*$C$11)*NORMSINV(X413))&lt;Y$8,Y$5+SQRT(NORMSDIST(Y$9*SQRT($C$11)*NORMSINV($B413)+SQRT(1-Y$9^2*$C$11)*NORMSINV(X413))*(Y$7-Y$5)*(Y$6-Y$5)),Y$7-SQRT((1-NORMSDIST(Y$9*SQRT($C$11)*NORMSINV($B413)+SQRT(1-Y$9^2*$C$11)*NORMSINV(X413)))*(Y$7-Y$5)*(Y$7-Y$6))))</f>
        <v>0.291273634234203</v>
      </c>
      <c r="Z413" s="2" t="n">
        <v>0.528136332</v>
      </c>
      <c r="AA413" s="2" t="n">
        <f aca="false">IF(AA$7=AA$5,AA$6,IF(NORMSDIST(AA$9*SQRT($C$11)*NORMSINV($B413)+SQRT(1-AA$9^2*$C$11)*NORMSINV(Z413))&lt;AA$8,AA$5+SQRT(NORMSDIST(AA$9*SQRT($C$11)*NORMSINV($B413)+SQRT(1-AA$9^2*$C$11)*NORMSINV(Z413))*(AA$7-AA$5)*(AA$6-AA$5)),AA$7-SQRT((1-NORMSDIST(AA$9*SQRT($C$11)*NORMSINV($B413)+SQRT(1-AA$9^2*$C$11)*NORMSINV(Z413)))*(AA$7-AA$5)*(AA$7-AA$6))))</f>
        <v>0.725318304643509</v>
      </c>
      <c r="AB413" s="2" t="n">
        <v>0.458304654</v>
      </c>
      <c r="AC413" s="2" t="n">
        <f aca="false">IF(AC$7=AC$5,AC$6,IF(NORMSDIST(AC$9*SQRT($C$11)*NORMSINV($B413)+SQRT(1-AC$9^2*$C$11)*NORMSINV(AB413))&lt;AC$8,AC$5+SQRT(NORMSDIST(AC$9*SQRT($C$11)*NORMSINV($B413)+SQRT(1-AC$9^2*$C$11)*NORMSINV(AB413))*(AC$7-AC$5)*(AC$6-AC$5)),AC$7-SQRT((1-NORMSDIST(AC$9*SQRT($C$11)*NORMSINV($B413)+SQRT(1-AC$9^2*$C$11)*NORMSINV(AB413)))*(AC$7-AC$5)*(AC$7-AC$6))))</f>
        <v>9.18261919949906</v>
      </c>
      <c r="AD413" s="2" t="n">
        <f aca="false">Entrées!$C$8*(1+E413)</f>
        <v>7458.01881196966</v>
      </c>
      <c r="AE413" s="2" t="n">
        <f aca="false">I413*Hypothèses!$J$24/12/Hypothèses!$J$19</f>
        <v>96.2242787769879</v>
      </c>
      <c r="AF413" s="2" t="n">
        <f aca="false">Entrées!$C$36*S413*1000</f>
        <v>144.835144596992</v>
      </c>
      <c r="AG413" s="2" t="n">
        <f aca="false">-AF413/W413</f>
        <v>-14.1260383733033</v>
      </c>
      <c r="AH413" s="2" t="n">
        <f aca="false">AD413+AE413+AG413</f>
        <v>7540.11705237334</v>
      </c>
      <c r="AI413" s="2" t="n">
        <f aca="false">Entrées!$C$16-M413+Hypothèses!$J$22*1000-AF413+Hypothèses!$J$23</f>
        <v>22784.5260973557</v>
      </c>
      <c r="AJ413" s="2" t="n">
        <f aca="false">AI413/AH413</f>
        <v>3.02177352673644</v>
      </c>
      <c r="AK413" s="2" t="n">
        <f aca="false">AI413/(AH413+I413*(12-Hypothèses!$J$24)/12/Hypothèses!$J$19)</f>
        <v>2.99447749000872</v>
      </c>
      <c r="AL413" s="2" t="n">
        <f aca="false">(AD413+AG413+I413/Hypothèses!$J$19)*(1+G413)</f>
        <v>8005.77284919879</v>
      </c>
      <c r="AM413" s="2" t="n">
        <f aca="false">Entrées!$C$54*K413/Hypothèses!$J$19</f>
        <v>9.14675438564909</v>
      </c>
      <c r="AN413" s="2" t="n">
        <f aca="false">Y413*1000/AC413</f>
        <v>31.720103807647</v>
      </c>
      <c r="AO413" s="2" t="n">
        <f aca="false">(Entrées!$C$36*(1-S413)+MAX(0,Entrées!$C$30-Entrées!$C$35-Entrées!$C$36)*U413)*1000</f>
        <v>1294.35783532914</v>
      </c>
      <c r="AP413" s="2" t="n">
        <f aca="false">-AO413/W413</f>
        <v>-126.241103300732</v>
      </c>
      <c r="AQ413" s="2" t="n">
        <f aca="false">AL413+AM413+AN413+AP413</f>
        <v>7920.39860409136</v>
      </c>
      <c r="AR413" s="2" t="n">
        <f aca="false">O413*AQ413-Hypothèses!$J$25/Hypothèses!$J$19</f>
        <v>1271.30993285041</v>
      </c>
      <c r="AS413" s="2" t="n">
        <f aca="false">Entrées!$C$79*(1+Q413)+Hypothèses!$J$20</f>
        <v>1466.96544520646</v>
      </c>
      <c r="AT413" s="2" t="n">
        <f aca="false">AI413-AR413+AS413+Y413*1000-AO413+Hypothèses!$J$23</f>
        <v>21977.0974086168</v>
      </c>
      <c r="AU413" s="2" t="n">
        <f aca="false">AT413/AQ413</f>
        <v>2.77474638678719</v>
      </c>
      <c r="AV413" s="2" t="n">
        <f aca="false">Hypothèses!$J$26*AQ413-AT413</f>
        <v>1784.09840365724</v>
      </c>
      <c r="AW413" s="2" t="n">
        <f aca="false">IF(AC413&gt;Hypothèses!$J$26,MAX(0,AV413)/(1-Hypothèses!$J$26/AC413),0)</f>
        <v>2649.79868993807</v>
      </c>
      <c r="AX413" s="2" t="n">
        <f aca="false">AQ413-Entrées!$C$17*1000</f>
        <v>-79.6013959086422</v>
      </c>
      <c r="AY413" s="2" t="n">
        <f aca="false">AI413+(Entrées!$C$244-Entrées!$C$13)</f>
        <v>28531.5260973557</v>
      </c>
      <c r="AZ413" s="2" t="n">
        <f aca="false">AA413*AH413</f>
        <v>5468.98491724104</v>
      </c>
      <c r="BA413" s="2" t="n">
        <f aca="false">AZ413/AY413</f>
        <v>0.191682172856078</v>
      </c>
      <c r="BB413" s="2" t="n">
        <f aca="false">AZ413/(Entrées!$C$151/100)-AY413</f>
        <v>1851.7234428723</v>
      </c>
      <c r="BC413" s="2" t="n">
        <f aca="false">AT413+(Entrées!$C$244-Entrées!$C$13)</f>
        <v>27724.0974086168</v>
      </c>
      <c r="BD413" s="2" t="n">
        <f aca="false">AA413*AQ413</f>
        <v>5744.81008762036</v>
      </c>
      <c r="BE413" s="2" t="n">
        <f aca="false">BD413/BC413</f>
        <v>0.207213602049848</v>
      </c>
      <c r="BF413" s="2" t="n">
        <f aca="false">BD413/(Entrées!$C$151/100)-BC413</f>
        <v>4191.51418927405</v>
      </c>
      <c r="BG413" s="2" t="n">
        <f aca="false">MIN(AV413,BF413)</f>
        <v>1784.09840365724</v>
      </c>
      <c r="BH413" s="2" t="n">
        <f aca="false">IF(AC413&gt;Hypothèses!$J$26,MAX(0,BG413)/(1-Hypothèses!$J$26/AC413),0)</f>
        <v>2649.79868993807</v>
      </c>
    </row>
    <row r="414" customFormat="false" ht="15" hidden="false" customHeight="false" outlineLevel="0" collapsed="false">
      <c r="A414" s="2" t="n">
        <v>399</v>
      </c>
      <c r="B414" s="2" t="n">
        <v>0.313066256</v>
      </c>
      <c r="C414" s="2"/>
      <c r="D414" s="2" t="n">
        <v>0.120553967</v>
      </c>
      <c r="E414" s="2" t="n">
        <f aca="false">IF(E$7=E$5,E$6,IF(NORMSDIST(E$9*SQRT($C$11)*NORMSINV($B414)+SQRT(1-E$9^2*$C$11)*NORMSINV(D414))&lt;E$8,E$5+SQRT(NORMSDIST(E$9*SQRT($C$11)*NORMSINV($B414)+SQRT(1-E$9^2*$C$11)*NORMSINV(D414))*(E$7-E$5)*(E$6-E$5)),E$7-SQRT((1-NORMSDIST(E$9*SQRT($C$11)*NORMSINV($B414)+SQRT(1-E$9^2*$C$11)*NORMSINV(D414)))*(E$7-E$5)*(E$7-E$6))))</f>
        <v>0.0523661160278344</v>
      </c>
      <c r="F414" s="2" t="n">
        <v>0.806761804</v>
      </c>
      <c r="G414" s="2" t="n">
        <f aca="false">IF(G$7=G$5,G$6,IF(NORMSDIST(G$9*SQRT($C$11)*NORMSINV($B414)+SQRT(1-G$9^2*$C$11)*NORMSINV(F414))&lt;G$8,G$5+SQRT(NORMSDIST(G$9*SQRT($C$11)*NORMSINV($B414)+SQRT(1-G$9^2*$C$11)*NORMSINV(F414))*(G$7-G$5)*(G$6-G$5)),G$7-SQRT((1-NORMSDIST(G$9*SQRT($C$11)*NORMSINV($B414)+SQRT(1-G$9^2*$C$11)*NORMSINV(F414)))*(G$7-G$5)*(G$7-G$6))))</f>
        <v>0.0573001502337204</v>
      </c>
      <c r="H414" s="2" t="n">
        <v>0.473083625</v>
      </c>
      <c r="I414" s="2" t="n">
        <f aca="false">IF(I$7=I$5,I$6,IF(NORMSDIST(I$9*SQRT($C$11)*NORMSINV($B414)+SQRT(1-I$9^2*$C$11)*NORMSINV(H414))&lt;I$8,I$5+SQRT(NORMSDIST(I$9*SQRT($C$11)*NORMSINV($B414)+SQRT(1-I$9^2*$C$11)*NORMSINV(H414))*(I$7-I$5)*(I$6-I$5)),I$7-SQRT((1-NORMSDIST(I$9*SQRT($C$11)*NORMSINV($B414)+SQRT(1-I$9^2*$C$11)*NORMSINV(H414)))*(I$7-I$5)*(I$7-I$6))))</f>
        <v>196.953271474859</v>
      </c>
      <c r="J414" s="2" t="n">
        <v>0.650859693</v>
      </c>
      <c r="K414" s="2" t="n">
        <f aca="false">IF(K$7=K$5,K$6,IF(NORMSDIST(K$9*SQRT($C$11)*NORMSINV($B414)+SQRT(1-K$9^2*$C$11)*NORMSINV(J414))&lt;K$8,K$5+SQRT(NORMSDIST(K$9*SQRT($C$11)*NORMSINV($B414)+SQRT(1-K$9^2*$C$11)*NORMSINV(J414))*(K$7-K$5)*(K$6-K$5)),K$7-SQRT((1-NORMSDIST(K$9*SQRT($C$11)*NORMSINV($B414)+SQRT(1-K$9^2*$C$11)*NORMSINV(J414)))*(K$7-K$5)*(K$7-K$6))))</f>
        <v>0.249215699024887</v>
      </c>
      <c r="L414" s="2" t="n">
        <v>0.777971637</v>
      </c>
      <c r="M414" s="2" t="n">
        <f aca="false">IF(M$7=M$5,M$6,IF(NORMSDIST(M$9*SQRT($C$11)*NORMSINV($B414)+SQRT(1-M$9^2*$C$11)*NORMSINV(L414))&lt;M$8,M$5+SQRT(NORMSDIST(M$9*SQRT($C$11)*NORMSINV($B414)+SQRT(1-M$9^2*$C$11)*NORMSINV(L414))*(M$7-M$5)*(M$6-M$5)),M$7-SQRT((1-NORMSDIST(M$9*SQRT($C$11)*NORMSINV($B414)+SQRT(1-M$9^2*$C$11)*NORMSINV(L414)))*(M$7-M$5)*(M$7-M$6))))</f>
        <v>1615.37531009164</v>
      </c>
      <c r="N414" s="2" t="n">
        <v>0.832694701</v>
      </c>
      <c r="O414" s="2" t="n">
        <f aca="false">IF(O$7=O$5,O$6,IF(NORMSDIST(O$9*SQRT($C$11)*NORMSINV($B414)+SQRT(1-O$9^2*$C$11)*NORMSINV(N414))&lt;O$8,O$5+SQRT(NORMSDIST(O$9*SQRT($C$11)*NORMSINV($B414)+SQRT(1-O$9^2*$C$11)*NORMSINV(N414))*(O$7-O$5)*(O$6-O$5)),O$7-SQRT((1-NORMSDIST(O$9*SQRT($C$11)*NORMSINV($B414)+SQRT(1-O$9^2*$C$11)*NORMSINV(N414)))*(O$7-O$5)*(O$7-O$6))))</f>
        <v>0.171244742044106</v>
      </c>
      <c r="P414" s="2" t="n">
        <v>0.928019472</v>
      </c>
      <c r="Q414" s="2" t="n">
        <f aca="false">IF(Q$7=Q$5,Q$6,IF(NORMSDIST(Q$9*SQRT($C$11)*NORMSINV($B414)+SQRT(1-Q$9^2*$C$11)*NORMSINV(P414))&lt;Q$8,Q$5+SQRT(NORMSDIST(Q$9*SQRT($C$11)*NORMSINV($B414)+SQRT(1-Q$9^2*$C$11)*NORMSINV(P414))*(Q$7-Q$5)*(Q$6-Q$5)),Q$7-SQRT((1-NORMSDIST(Q$9*SQRT($C$11)*NORMSINV($B414)+SQRT(1-Q$9^2*$C$11)*NORMSINV(P414)))*(Q$7-Q$5)*(Q$7-Q$6))))</f>
        <v>0.104823119899004</v>
      </c>
      <c r="R414" s="2" t="n">
        <v>0.611451531</v>
      </c>
      <c r="S414" s="2" t="n">
        <f aca="false">IF(S$7=S$5,S$6,IF(NORMSDIST(S$9*SQRT($C$11)*NORMSINV($B414)+SQRT(1-S$9^2*$C$11)*NORMSINV(R414))&lt;S$8,S$5+SQRT(NORMSDIST(S$9*SQRT($C$11)*NORMSINV($B414)+SQRT(1-S$9^2*$C$11)*NORMSINV(R414))*(S$7-S$5)*(S$6-S$5)),S$7-SQRT((1-NORMSDIST(S$9*SQRT($C$11)*NORMSINV($B414)+SQRT(1-S$9^2*$C$11)*NORMSINV(R414)))*(S$7-S$5)*(S$7-S$6))))</f>
        <v>0.481980228525685</v>
      </c>
      <c r="T414" s="2" t="n">
        <v>0.549657922</v>
      </c>
      <c r="U414" s="2" t="n">
        <f aca="false">IF(U$7=U$5,U$6,IF(NORMSDIST(U$9*SQRT($C$11)*NORMSINV($B414)+SQRT(1-U$9^2*$C$11)*NORMSINV(T414))&lt;U$8,U$5+SQRT(NORMSDIST(U$9*SQRT($C$11)*NORMSINV($B414)+SQRT(1-U$9^2*$C$11)*NORMSINV(T414))*(U$7-U$5)*(U$6-U$5)),U$7-SQRT((1-NORMSDIST(U$9*SQRT($C$11)*NORMSINV($B414)+SQRT(1-U$9^2*$C$11)*NORMSINV(T414)))*(U$7-U$5)*(U$7-U$6))))</f>
        <v>0.456216944966434</v>
      </c>
      <c r="V414" s="2" t="n">
        <v>0.373590116</v>
      </c>
      <c r="W414" s="2" t="n">
        <f aca="false">IF(W$7=W$5,W$6,IF(NORMSDIST(W$9*SQRT($C$11)*NORMSINV($B414)+SQRT(1-W$9^2*$C$11)*NORMSINV(V414))&lt;W$8,W$5+SQRT(NORMSDIST(W$9*SQRT($C$11)*NORMSINV($B414)+SQRT(1-W$9^2*$C$11)*NORMSINV(V414))*(W$7-W$5)*(W$6-W$5)),W$7-SQRT((1-NORMSDIST(W$9*SQRT($C$11)*NORMSINV($B414)+SQRT(1-W$9^2*$C$11)*NORMSINV(V414)))*(W$7-W$5)*(W$7-W$6))))</f>
        <v>9.51917009511287</v>
      </c>
      <c r="X414" s="2" t="n">
        <v>0.863812692</v>
      </c>
      <c r="Y414" s="2" t="n">
        <f aca="false">IF(Y$7=Y$5,Y$6,IF(NORMSDIST(Y$9*SQRT($C$11)*NORMSINV($B414)+SQRT(1-Y$9^2*$C$11)*NORMSINV(X414))&lt;Y$8,Y$5+SQRT(NORMSDIST(Y$9*SQRT($C$11)*NORMSINV($B414)+SQRT(1-Y$9^2*$C$11)*NORMSINV(X414))*(Y$7-Y$5)*(Y$6-Y$5)),Y$7-SQRT((1-NORMSDIST(Y$9*SQRT($C$11)*NORMSINV($B414)+SQRT(1-Y$9^2*$C$11)*NORMSINV(X414)))*(Y$7-Y$5)*(Y$7-Y$6))))</f>
        <v>0.739052392231697</v>
      </c>
      <c r="Z414" s="2" t="n">
        <v>0.871743801</v>
      </c>
      <c r="AA414" s="2" t="n">
        <f aca="false">IF(AA$7=AA$5,AA$6,IF(NORMSDIST(AA$9*SQRT($C$11)*NORMSINV($B414)+SQRT(1-AA$9^2*$C$11)*NORMSINV(Z414))&lt;AA$8,AA$5+SQRT(NORMSDIST(AA$9*SQRT($C$11)*NORMSINV($B414)+SQRT(1-AA$9^2*$C$11)*NORMSINV(Z414))*(AA$7-AA$5)*(AA$6-AA$5)),AA$7-SQRT((1-NORMSDIST(AA$9*SQRT($C$11)*NORMSINV($B414)+SQRT(1-AA$9^2*$C$11)*NORMSINV(Z414)))*(AA$7-AA$5)*(AA$7-AA$6))))</f>
        <v>0.734761570787814</v>
      </c>
      <c r="AB414" s="2" t="n">
        <v>0.006490046</v>
      </c>
      <c r="AC414" s="2" t="n">
        <f aca="false">IF(AC$7=AC$5,AC$6,IF(NORMSDIST(AC$9*SQRT($C$11)*NORMSINV($B414)+SQRT(1-AC$9^2*$C$11)*NORMSINV(AB414))&lt;AC$8,AC$5+SQRT(NORMSDIST(AC$9*SQRT($C$11)*NORMSINV($B414)+SQRT(1-AC$9^2*$C$11)*NORMSINV(AB414))*(AC$7-AC$5)*(AC$6-AC$5)),AC$7-SQRT((1-NORMSDIST(AC$9*SQRT($C$11)*NORMSINV($B414)+SQRT(1-AC$9^2*$C$11)*NORMSINV(AB414)))*(AC$7-AC$5)*(AC$7-AC$6))))</f>
        <v>7.73245343466716</v>
      </c>
      <c r="AD414" s="2" t="n">
        <f aca="false">Entrées!$C$8*(1+E414)</f>
        <v>7419.18111799623</v>
      </c>
      <c r="AE414" s="2" t="n">
        <f aca="false">I414*Hypothèses!$J$24/12/Hypothèses!$J$19</f>
        <v>97.707887605209</v>
      </c>
      <c r="AF414" s="2" t="n">
        <f aca="false">Entrées!$C$36*S414*1000</f>
        <v>240.990114262843</v>
      </c>
      <c r="AG414" s="2" t="n">
        <f aca="false">-AF414/W414</f>
        <v>-25.3162945776719</v>
      </c>
      <c r="AH414" s="2" t="n">
        <f aca="false">AD414+AE414+AG414</f>
        <v>7491.57271102377</v>
      </c>
      <c r="AI414" s="2" t="n">
        <f aca="false">Entrées!$C$16-M414+Hypothèses!$J$22*1000-AF414+Hypothèses!$J$23</f>
        <v>22691.6345756455</v>
      </c>
      <c r="AJ414" s="2" t="n">
        <f aca="false">AI414/AH414</f>
        <v>3.0289547269901</v>
      </c>
      <c r="AK414" s="2" t="n">
        <f aca="false">AI414/(AH414+I414*(12-Hypothèses!$J$24)/12/Hypothèses!$J$19)</f>
        <v>3.00099749167567</v>
      </c>
      <c r="AL414" s="2" t="n">
        <f aca="false">(AD414+AG414+I414/Hypothèses!$J$19)*(1+G414)</f>
        <v>7994.6313558837</v>
      </c>
      <c r="AM414" s="2" t="n">
        <f aca="false">Entrées!$C$54*K414/Hypothèses!$J$19</f>
        <v>25.4335084745907</v>
      </c>
      <c r="AN414" s="2" t="n">
        <f aca="false">Y414*1000/AC414</f>
        <v>95.5779945493469</v>
      </c>
      <c r="AO414" s="2" t="n">
        <f aca="false">(Entrées!$C$36*(1-S414)+MAX(0,Entrées!$C$30-Entrées!$C$35-Entrées!$C$36)*U414)*1000</f>
        <v>897.713608690165</v>
      </c>
      <c r="AP414" s="2" t="n">
        <f aca="false">-AO414/W414</f>
        <v>-94.3058690747685</v>
      </c>
      <c r="AQ414" s="2" t="n">
        <f aca="false">AL414+AM414+AN414+AP414</f>
        <v>8021.33698983287</v>
      </c>
      <c r="AR414" s="2" t="n">
        <f aca="false">O414*AQ414-Hypothèses!$J$25/Hypothèses!$J$19</f>
        <v>1354.47662141115</v>
      </c>
      <c r="AS414" s="2" t="n">
        <f aca="false">Entrées!$C$79*(1+Q414)+Hypothèses!$J$20</f>
        <v>1509.20060876901</v>
      </c>
      <c r="AT414" s="2" t="n">
        <f aca="false">AI414-AR414+AS414+Y414*1000-AO414+Hypothèses!$J$23</f>
        <v>22687.6973465449</v>
      </c>
      <c r="AU414" s="2" t="n">
        <f aca="false">AT414/AQ414</f>
        <v>2.82841842641717</v>
      </c>
      <c r="AV414" s="2" t="n">
        <f aca="false">Hypothèses!$J$26*AQ414-AT414</f>
        <v>1376.31362295372</v>
      </c>
      <c r="AW414" s="2" t="n">
        <f aca="false">IF(AC414&gt;Hypothèses!$J$26,MAX(0,AV414)/(1-Hypothèses!$J$26/AC414),0)</f>
        <v>2248.78726180982</v>
      </c>
      <c r="AX414" s="2" t="n">
        <f aca="false">AQ414-Entrées!$C$17*1000</f>
        <v>21.3369898328729</v>
      </c>
      <c r="AY414" s="2" t="n">
        <f aca="false">AI414+(Entrées!$C$244-Entrées!$C$13)</f>
        <v>28438.6345756455</v>
      </c>
      <c r="AZ414" s="2" t="n">
        <f aca="false">AA414*AH414</f>
        <v>5504.51973282295</v>
      </c>
      <c r="BA414" s="2" t="n">
        <f aca="false">AZ414/AY414</f>
        <v>0.193557806658444</v>
      </c>
      <c r="BB414" s="2" t="n">
        <f aca="false">AZ414/(Entrées!$C$151/100)-AY414</f>
        <v>2142.0306067042</v>
      </c>
      <c r="BC414" s="2" t="n">
        <f aca="false">AT414+(Entrées!$C$244-Entrées!$C$13)</f>
        <v>28434.6973465449</v>
      </c>
      <c r="BD414" s="2" t="n">
        <f aca="false">AA414*AQ414</f>
        <v>5893.770166468</v>
      </c>
      <c r="BE414" s="2" t="n">
        <f aca="false">BD414/BC414</f>
        <v>0.207273884249172</v>
      </c>
      <c r="BF414" s="2" t="n">
        <f aca="false">BD414/(Entrées!$C$151/100)-BC414</f>
        <v>4308.47024494398</v>
      </c>
      <c r="BG414" s="2" t="n">
        <f aca="false">MIN(AV414,BF414)</f>
        <v>1376.31362295372</v>
      </c>
      <c r="BH414" s="2" t="n">
        <f aca="false">IF(AC414&gt;Hypothèses!$J$26,MAX(0,BG414)/(1-Hypothèses!$J$26/AC414),0)</f>
        <v>2248.78726180982</v>
      </c>
    </row>
    <row r="415" customFormat="false" ht="15" hidden="false" customHeight="false" outlineLevel="0" collapsed="false">
      <c r="A415" s="2" t="n">
        <v>400</v>
      </c>
      <c r="B415" s="2" t="n">
        <v>0.12582595</v>
      </c>
      <c r="C415" s="2"/>
      <c r="D415" s="2" t="n">
        <v>0.056150072</v>
      </c>
      <c r="E415" s="2" t="n">
        <f aca="false">IF(E$7=E$5,E$6,IF(NORMSDIST(E$9*SQRT($C$11)*NORMSINV($B415)+SQRT(1-E$9^2*$C$11)*NORMSINV(D415))&lt;E$8,E$5+SQRT(NORMSDIST(E$9*SQRT($C$11)*NORMSINV($B415)+SQRT(1-E$9^2*$C$11)*NORMSINV(D415))*(E$7-E$5)*(E$6-E$5)),E$7-SQRT((1-NORMSDIST(E$9*SQRT($C$11)*NORMSINV($B415)+SQRT(1-E$9^2*$C$11)*NORMSINV(D415)))*(E$7-E$5)*(E$7-E$6))))</f>
        <v>0.0511245008609867</v>
      </c>
      <c r="F415" s="2" t="n">
        <v>0.305657867</v>
      </c>
      <c r="G415" s="2" t="n">
        <f aca="false">IF(G$7=G$5,G$6,IF(NORMSDIST(G$9*SQRT($C$11)*NORMSINV($B415)+SQRT(1-G$9^2*$C$11)*NORMSINV(F415))&lt;G$8,G$5+SQRT(NORMSDIST(G$9*SQRT($C$11)*NORMSINV($B415)+SQRT(1-G$9^2*$C$11)*NORMSINV(F415))*(G$7-G$5)*(G$6-G$5)),G$7-SQRT((1-NORMSDIST(G$9*SQRT($C$11)*NORMSINV($B415)+SQRT(1-G$9^2*$C$11)*NORMSINV(F415)))*(G$7-G$5)*(G$7-G$6))))</f>
        <v>0.0476966979070127</v>
      </c>
      <c r="H415" s="2" t="n">
        <v>0.745913337</v>
      </c>
      <c r="I415" s="2" t="n">
        <f aca="false">IF(I$7=I$5,I$6,IF(NORMSDIST(I$9*SQRT($C$11)*NORMSINV($B415)+SQRT(1-I$9^2*$C$11)*NORMSINV(H415))&lt;I$8,I$5+SQRT(NORMSDIST(I$9*SQRT($C$11)*NORMSINV($B415)+SQRT(1-I$9^2*$C$11)*NORMSINV(H415))*(I$7-I$5)*(I$6-I$5)),I$7-SQRT((1-NORMSDIST(I$9*SQRT($C$11)*NORMSINV($B415)+SQRT(1-I$9^2*$C$11)*NORMSINV(H415)))*(I$7-I$5)*(I$7-I$6))))</f>
        <v>198.239923529751</v>
      </c>
      <c r="J415" s="2" t="n">
        <v>0.72807399</v>
      </c>
      <c r="K415" s="2" t="n">
        <f aca="false">IF(K$7=K$5,K$6,IF(NORMSDIST(K$9*SQRT($C$11)*NORMSINV($B415)+SQRT(1-K$9^2*$C$11)*NORMSINV(J415))&lt;K$8,K$5+SQRT(NORMSDIST(K$9*SQRT($C$11)*NORMSINV($B415)+SQRT(1-K$9^2*$C$11)*NORMSINV(J415))*(K$7-K$5)*(K$6-K$5)),K$7-SQRT((1-NORMSDIST(K$9*SQRT($C$11)*NORMSINV($B415)+SQRT(1-K$9^2*$C$11)*NORMSINV(J415)))*(K$7-K$5)*(K$7-K$6))))</f>
        <v>0.223446188745848</v>
      </c>
      <c r="L415" s="2" t="n">
        <v>0.716787678</v>
      </c>
      <c r="M415" s="2" t="n">
        <f aca="false">IF(M$7=M$5,M$6,IF(NORMSDIST(M$9*SQRT($C$11)*NORMSINV($B415)+SQRT(1-M$9^2*$C$11)*NORMSINV(L415))&lt;M$8,M$5+SQRT(NORMSDIST(M$9*SQRT($C$11)*NORMSINV($B415)+SQRT(1-M$9^2*$C$11)*NORMSINV(L415))*(M$7-M$5)*(M$6-M$5)),M$7-SQRT((1-NORMSDIST(M$9*SQRT($C$11)*NORMSINV($B415)+SQRT(1-M$9^2*$C$11)*NORMSINV(L415)))*(M$7-M$5)*(M$7-M$6))))</f>
        <v>1552.19313123093</v>
      </c>
      <c r="N415" s="2" t="n">
        <v>0.858169985</v>
      </c>
      <c r="O415" s="2" t="n">
        <f aca="false">IF(O$7=O$5,O$6,IF(NORMSDIST(O$9*SQRT($C$11)*NORMSINV($B415)+SQRT(1-O$9^2*$C$11)*NORMSINV(N415))&lt;O$8,O$5+SQRT(NORMSDIST(O$9*SQRT($C$11)*NORMSINV($B415)+SQRT(1-O$9^2*$C$11)*NORMSINV(N415))*(O$7-O$5)*(O$6-O$5)),O$7-SQRT((1-NORMSDIST(O$9*SQRT($C$11)*NORMSINV($B415)+SQRT(1-O$9^2*$C$11)*NORMSINV(N415)))*(O$7-O$5)*(O$7-O$6))))</f>
        <v>0.167886602917354</v>
      </c>
      <c r="P415" s="2" t="n">
        <v>0.029723123</v>
      </c>
      <c r="Q415" s="2" t="n">
        <f aca="false">IF(Q$7=Q$5,Q$6,IF(NORMSDIST(Q$9*SQRT($C$11)*NORMSINV($B415)+SQRT(1-Q$9^2*$C$11)*NORMSINV(P415))&lt;Q$8,Q$5+SQRT(NORMSDIST(Q$9*SQRT($C$11)*NORMSINV($B415)+SQRT(1-Q$9^2*$C$11)*NORMSINV(P415))*(Q$7-Q$5)*(Q$6-Q$5)),Q$7-SQRT((1-NORMSDIST(Q$9*SQRT($C$11)*NORMSINV($B415)+SQRT(1-Q$9^2*$C$11)*NORMSINV(P415)))*(Q$7-Q$5)*(Q$7-Q$6))))</f>
        <v>0.0497526403399285</v>
      </c>
      <c r="R415" s="2" t="n">
        <v>0.919142192</v>
      </c>
      <c r="S415" s="2" t="n">
        <f aca="false">IF(S$7=S$5,S$6,IF(NORMSDIST(S$9*SQRT($C$11)*NORMSINV($B415)+SQRT(1-S$9^2*$C$11)*NORMSINV(R415))&lt;S$8,S$5+SQRT(NORMSDIST(S$9*SQRT($C$11)*NORMSINV($B415)+SQRT(1-S$9^2*$C$11)*NORMSINV(R415))*(S$7-S$5)*(S$6-S$5)),S$7-SQRT((1-NORMSDIST(S$9*SQRT($C$11)*NORMSINV($B415)+SQRT(1-S$9^2*$C$11)*NORMSINV(R415)))*(S$7-S$5)*(S$7-S$6))))</f>
        <v>0.575833035117056</v>
      </c>
      <c r="T415" s="2" t="n">
        <v>0.410777974</v>
      </c>
      <c r="U415" s="2" t="n">
        <f aca="false">IF(U$7=U$5,U$6,IF(NORMSDIST(U$9*SQRT($C$11)*NORMSINV($B415)+SQRT(1-U$9^2*$C$11)*NORMSINV(T415))&lt;U$8,U$5+SQRT(NORMSDIST(U$9*SQRT($C$11)*NORMSINV($B415)+SQRT(1-U$9^2*$C$11)*NORMSINV(T415))*(U$7-U$5)*(U$6-U$5)),U$7-SQRT((1-NORMSDIST(U$9*SQRT($C$11)*NORMSINV($B415)+SQRT(1-U$9^2*$C$11)*NORMSINV(T415)))*(U$7-U$5)*(U$7-U$6))))</f>
        <v>0.303426226579997</v>
      </c>
      <c r="V415" s="2" t="n">
        <v>0.695092699</v>
      </c>
      <c r="W415" s="2" t="n">
        <f aca="false">IF(W$7=W$5,W$6,IF(NORMSDIST(W$9*SQRT($C$11)*NORMSINV($B415)+SQRT(1-W$9^2*$C$11)*NORMSINV(V415))&lt;W$8,W$5+SQRT(NORMSDIST(W$9*SQRT($C$11)*NORMSINV($B415)+SQRT(1-W$9^2*$C$11)*NORMSINV(V415))*(W$7-W$5)*(W$6-W$5)),W$7-SQRT((1-NORMSDIST(W$9*SQRT($C$11)*NORMSINV($B415)+SQRT(1-W$9^2*$C$11)*NORMSINV(V415)))*(W$7-W$5)*(W$7-W$6))))</f>
        <v>9.72234895900453</v>
      </c>
      <c r="X415" s="2" t="n">
        <v>0.294915859</v>
      </c>
      <c r="Y415" s="2" t="n">
        <f aca="false">IF(Y$7=Y$5,Y$6,IF(NORMSDIST(Y$9*SQRT($C$11)*NORMSINV($B415)+SQRT(1-Y$9^2*$C$11)*NORMSINV(X415))&lt;Y$8,Y$5+SQRT(NORMSDIST(Y$9*SQRT($C$11)*NORMSINV($B415)+SQRT(1-Y$9^2*$C$11)*NORMSINV(X415))*(Y$7-Y$5)*(Y$6-Y$5)),Y$7-SQRT((1-NORMSDIST(Y$9*SQRT($C$11)*NORMSINV($B415)+SQRT(1-Y$9^2*$C$11)*NORMSINV(X415)))*(Y$7-Y$5)*(Y$7-Y$6))))</f>
        <v>0.384002512361573</v>
      </c>
      <c r="Z415" s="2" t="n">
        <v>0.338522143</v>
      </c>
      <c r="AA415" s="2" t="n">
        <f aca="false">IF(AA$7=AA$5,AA$6,IF(NORMSDIST(AA$9*SQRT($C$11)*NORMSINV($B415)+SQRT(1-AA$9^2*$C$11)*NORMSINV(Z415))&lt;AA$8,AA$5+SQRT(NORMSDIST(AA$9*SQRT($C$11)*NORMSINV($B415)+SQRT(1-AA$9^2*$C$11)*NORMSINV(Z415))*(AA$7-AA$5)*(AA$6-AA$5)),AA$7-SQRT((1-NORMSDIST(AA$9*SQRT($C$11)*NORMSINV($B415)+SQRT(1-AA$9^2*$C$11)*NORMSINV(Z415)))*(AA$7-AA$5)*(AA$7-AA$6))))</f>
        <v>0.713091513187758</v>
      </c>
      <c r="AB415" s="2" t="n">
        <v>0.995580117</v>
      </c>
      <c r="AC415" s="2" t="n">
        <f aca="false">IF(AC$7=AC$5,AC$6,IF(NORMSDIST(AC$9*SQRT($C$11)*NORMSINV($B415)+SQRT(1-AC$9^2*$C$11)*NORMSINV(AB415))&lt;AC$8,AC$5+SQRT(NORMSDIST(AC$9*SQRT($C$11)*NORMSINV($B415)+SQRT(1-AC$9^2*$C$11)*NORMSINV(AB415))*(AC$7-AC$5)*(AC$6-AC$5)),AC$7-SQRT((1-NORMSDIST(AC$9*SQRT($C$11)*NORMSINV($B415)+SQRT(1-AC$9^2*$C$11)*NORMSINV(AB415)))*(AC$7-AC$5)*(AC$7-AC$6))))</f>
        <v>10.3550652094281</v>
      </c>
      <c r="AD415" s="2" t="n">
        <f aca="false">Entrées!$C$8*(1+E415)</f>
        <v>7410.42773106996</v>
      </c>
      <c r="AE415" s="2" t="n">
        <f aca="false">I415*Hypothèses!$J$24/12/Hypothèses!$J$19</f>
        <v>98.346191571551</v>
      </c>
      <c r="AF415" s="2" t="n">
        <f aca="false">Entrées!$C$36*S415*1000</f>
        <v>287.916517558528</v>
      </c>
      <c r="AG415" s="2" t="n">
        <f aca="false">-AF415/W415</f>
        <v>-29.613884337269</v>
      </c>
      <c r="AH415" s="2" t="n">
        <f aca="false">AD415+AE415+AG415</f>
        <v>7479.16003830424</v>
      </c>
      <c r="AI415" s="2" t="n">
        <f aca="false">Entrées!$C$16-M415+Hypothèses!$J$22*1000-AF415+Hypothèses!$J$23</f>
        <v>22707.8903512105</v>
      </c>
      <c r="AJ415" s="2" t="n">
        <f aca="false">AI415/AH415</f>
        <v>3.03615516112945</v>
      </c>
      <c r="AK415" s="2" t="n">
        <f aca="false">AI415/(AH415+I415*(12-Hypothèses!$J$24)/12/Hypothèses!$J$19)</f>
        <v>3.0079037194183</v>
      </c>
      <c r="AL415" s="2" t="n">
        <f aca="false">(AD415+AG415+I415/Hypothèses!$J$19)*(1+G415)</f>
        <v>7909.48911822175</v>
      </c>
      <c r="AM415" s="2" t="n">
        <f aca="false">Entrées!$C$54*K415/Hypothèses!$J$19</f>
        <v>22.8036217514331</v>
      </c>
      <c r="AN415" s="2" t="n">
        <f aca="false">Y415*1000/AC415</f>
        <v>37.0835436180495</v>
      </c>
      <c r="AO415" s="2" t="n">
        <f aca="false">(Entrées!$C$36*(1-S415)+MAX(0,Entrées!$C$30-Entrées!$C$35-Entrées!$C$36)*U415)*1000</f>
        <v>636.880199653467</v>
      </c>
      <c r="AP415" s="2" t="n">
        <f aca="false">-AO415/W415</f>
        <v>-65.5068237458818</v>
      </c>
      <c r="AQ415" s="2" t="n">
        <f aca="false">AL415+AM415+AN415+AP415</f>
        <v>7903.86945984535</v>
      </c>
      <c r="AR415" s="2" t="n">
        <f aca="false">O415*AQ415-Hypothèses!$J$25/Hypothèses!$J$19</f>
        <v>1307.81863125403</v>
      </c>
      <c r="AS415" s="2" t="n">
        <f aca="false">Entrées!$C$79*(1+Q415)+Hypothèses!$J$20</f>
        <v>1448.67815173358</v>
      </c>
      <c r="AT415" s="2" t="n">
        <f aca="false">AI415-AR415+AS415+Y415*1000-AO415+Hypothèses!$J$23</f>
        <v>22595.8721843982</v>
      </c>
      <c r="AU415" s="2" t="n">
        <f aca="false">AT415/AQ415</f>
        <v>2.85883671272581</v>
      </c>
      <c r="AV415" s="2" t="n">
        <f aca="false">Hypothèses!$J$26*AQ415-AT415</f>
        <v>1115.73619513786</v>
      </c>
      <c r="AW415" s="2" t="n">
        <f aca="false">IF(AC415&gt;Hypothèses!$J$26,MAX(0,AV415)/(1-Hypothèses!$J$26/AC415),0)</f>
        <v>1570.82510191234</v>
      </c>
      <c r="AX415" s="2" t="n">
        <f aca="false">AQ415-Entrées!$C$17*1000</f>
        <v>-96.130540154647</v>
      </c>
      <c r="AY415" s="2" t="n">
        <f aca="false">AI415+(Entrées!$C$244-Entrées!$C$13)</f>
        <v>28454.8903512105</v>
      </c>
      <c r="AZ415" s="2" t="n">
        <f aca="false">AA415*AH415</f>
        <v>5333.32554908778</v>
      </c>
      <c r="BA415" s="2" t="n">
        <f aca="false">AZ415/AY415</f>
        <v>0.187430894417799</v>
      </c>
      <c r="BB415" s="2" t="n">
        <f aca="false">AZ415/(Entrées!$C$151/100)-AY415</f>
        <v>1174.69603261045</v>
      </c>
      <c r="BC415" s="2" t="n">
        <f aca="false">AT415+(Entrées!$C$244-Entrées!$C$13)</f>
        <v>28342.8721843982</v>
      </c>
      <c r="BD415" s="2" t="n">
        <f aca="false">AA415*AQ415</f>
        <v>5636.18223315963</v>
      </c>
      <c r="BE415" s="2" t="n">
        <f aca="false">BD415/BC415</f>
        <v>0.198857130515593</v>
      </c>
      <c r="BF415" s="2" t="n">
        <f aca="false">BD415/(Entrées!$C$151/100)-BC415</f>
        <v>2969.25133315531</v>
      </c>
      <c r="BG415" s="2" t="n">
        <f aca="false">MIN(AV415,BF415)</f>
        <v>1115.73619513786</v>
      </c>
      <c r="BH415" s="2" t="n">
        <f aca="false">IF(AC415&gt;Hypothèses!$J$26,MAX(0,BG415)/(1-Hypothèses!$J$26/AC415),0)</f>
        <v>1570.82510191234</v>
      </c>
    </row>
    <row r="416" customFormat="false" ht="15" hidden="false" customHeight="false" outlineLevel="0" collapsed="false">
      <c r="A416" s="2" t="n">
        <v>401</v>
      </c>
      <c r="B416" s="2" t="n">
        <v>0.84307012</v>
      </c>
      <c r="C416" s="2"/>
      <c r="D416" s="2" t="n">
        <v>0.192724592</v>
      </c>
      <c r="E416" s="2" t="n">
        <f aca="false">IF(E$7=E$5,E$6,IF(NORMSDIST(E$9*SQRT($C$11)*NORMSINV($B416)+SQRT(1-E$9^2*$C$11)*NORMSINV(D416))&lt;E$8,E$5+SQRT(NORMSDIST(E$9*SQRT($C$11)*NORMSINV($B416)+SQRT(1-E$9^2*$C$11)*NORMSINV(D416))*(E$7-E$5)*(E$6-E$5)),E$7-SQRT((1-NORMSDIST(E$9*SQRT($C$11)*NORMSINV($B416)+SQRT(1-E$9^2*$C$11)*NORMSINV(D416)))*(E$7-E$5)*(E$7-E$6))))</f>
        <v>0.0549291171179096</v>
      </c>
      <c r="F416" s="2" t="n">
        <v>0.432202919</v>
      </c>
      <c r="G416" s="2" t="n">
        <f aca="false">IF(G$7=G$5,G$6,IF(NORMSDIST(G$9*SQRT($C$11)*NORMSINV($B416)+SQRT(1-G$9^2*$C$11)*NORMSINV(F416))&lt;G$8,G$5+SQRT(NORMSDIST(G$9*SQRT($C$11)*NORMSINV($B416)+SQRT(1-G$9^2*$C$11)*NORMSINV(F416))*(G$7-G$5)*(G$6-G$5)),G$7-SQRT((1-NORMSDIST(G$9*SQRT($C$11)*NORMSINV($B416)+SQRT(1-G$9^2*$C$11)*NORMSINV(F416)))*(G$7-G$5)*(G$7-G$6))))</f>
        <v>0.058248515182466</v>
      </c>
      <c r="H416" s="2" t="n">
        <v>0.217432716</v>
      </c>
      <c r="I416" s="2" t="n">
        <f aca="false">IF(I$7=I$5,I$6,IF(NORMSDIST(I$9*SQRT($C$11)*NORMSINV($B416)+SQRT(1-I$9^2*$C$11)*NORMSINV(H416))&lt;I$8,I$5+SQRT(NORMSDIST(I$9*SQRT($C$11)*NORMSINV($B416)+SQRT(1-I$9^2*$C$11)*NORMSINV(H416))*(I$7-I$5)*(I$6-I$5)),I$7-SQRT((1-NORMSDIST(I$9*SQRT($C$11)*NORMSINV($B416)+SQRT(1-I$9^2*$C$11)*NORMSINV(H416)))*(I$7-I$5)*(I$7-I$6))))</f>
        <v>200.257772753636</v>
      </c>
      <c r="J416" s="2" t="n">
        <v>0.430410981</v>
      </c>
      <c r="K416" s="2" t="n">
        <f aca="false">IF(K$7=K$5,K$6,IF(NORMSDIST(K$9*SQRT($C$11)*NORMSINV($B416)+SQRT(1-K$9^2*$C$11)*NORMSINV(J416))&lt;K$8,K$5+SQRT(NORMSDIST(K$9*SQRT($C$11)*NORMSINV($B416)+SQRT(1-K$9^2*$C$11)*NORMSINV(J416))*(K$7-K$5)*(K$6-K$5)),K$7-SQRT((1-NORMSDIST(K$9*SQRT($C$11)*NORMSINV($B416)+SQRT(1-K$9^2*$C$11)*NORMSINV(J416)))*(K$7-K$5)*(K$7-K$6))))</f>
        <v>0.303746120895592</v>
      </c>
      <c r="L416" s="2" t="n">
        <v>0.450943253</v>
      </c>
      <c r="M416" s="2" t="n">
        <f aca="false">IF(M$7=M$5,M$6,IF(NORMSDIST(M$9*SQRT($C$11)*NORMSINV($B416)+SQRT(1-M$9^2*$C$11)*NORMSINV(L416))&lt;M$8,M$5+SQRT(NORMSDIST(M$9*SQRT($C$11)*NORMSINV($B416)+SQRT(1-M$9^2*$C$11)*NORMSINV(L416))*(M$7-M$5)*(M$6-M$5)),M$7-SQRT((1-NORMSDIST(M$9*SQRT($C$11)*NORMSINV($B416)+SQRT(1-M$9^2*$C$11)*NORMSINV(L416)))*(M$7-M$5)*(M$7-M$6))))</f>
        <v>1638.89062688142</v>
      </c>
      <c r="N416" s="2" t="n">
        <v>0.243086142</v>
      </c>
      <c r="O416" s="2" t="n">
        <f aca="false">IF(O$7=O$5,O$6,IF(NORMSDIST(O$9*SQRT($C$11)*NORMSINV($B416)+SQRT(1-O$9^2*$C$11)*NORMSINV(N416))&lt;O$8,O$5+SQRT(NORMSDIST(O$9*SQRT($C$11)*NORMSINV($B416)+SQRT(1-O$9^2*$C$11)*NORMSINV(N416))*(O$7-O$5)*(O$6-O$5)),O$7-SQRT((1-NORMSDIST(O$9*SQRT($C$11)*NORMSINV($B416)+SQRT(1-O$9^2*$C$11)*NORMSINV(N416)))*(O$7-O$5)*(O$7-O$6))))</f>
        <v>0.167805687989536</v>
      </c>
      <c r="P416" s="2" t="n">
        <v>0.234983464</v>
      </c>
      <c r="Q416" s="2" t="n">
        <f aca="false">IF(Q$7=Q$5,Q$6,IF(NORMSDIST(Q$9*SQRT($C$11)*NORMSINV($B416)+SQRT(1-Q$9^2*$C$11)*NORMSINV(P416))&lt;Q$8,Q$5+SQRT(NORMSDIST(Q$9*SQRT($C$11)*NORMSINV($B416)+SQRT(1-Q$9^2*$C$11)*NORMSINV(P416))*(Q$7-Q$5)*(Q$6-Q$5)),Q$7-SQRT((1-NORMSDIST(Q$9*SQRT($C$11)*NORMSINV($B416)+SQRT(1-Q$9^2*$C$11)*NORMSINV(P416)))*(Q$7-Q$5)*(Q$7-Q$6))))</f>
        <v>0.0674216535752314</v>
      </c>
      <c r="R416" s="2" t="n">
        <v>0.143875036</v>
      </c>
      <c r="S416" s="2" t="n">
        <f aca="false">IF(S$7=S$5,S$6,IF(NORMSDIST(S$9*SQRT($C$11)*NORMSINV($B416)+SQRT(1-S$9^2*$C$11)*NORMSINV(R416))&lt;S$8,S$5+SQRT(NORMSDIST(S$9*SQRT($C$11)*NORMSINV($B416)+SQRT(1-S$9^2*$C$11)*NORMSINV(R416))*(S$7-S$5)*(S$6-S$5)),S$7-SQRT((1-NORMSDIST(S$9*SQRT($C$11)*NORMSINV($B416)+SQRT(1-S$9^2*$C$11)*NORMSINV(R416)))*(S$7-S$5)*(S$7-S$6))))</f>
        <v>0.46154002637119</v>
      </c>
      <c r="T416" s="2" t="n">
        <v>0.519103028</v>
      </c>
      <c r="U416" s="2" t="n">
        <f aca="false">IF(U$7=U$5,U$6,IF(NORMSDIST(U$9*SQRT($C$11)*NORMSINV($B416)+SQRT(1-U$9^2*$C$11)*NORMSINV(T416))&lt;U$8,U$5+SQRT(NORMSDIST(U$9*SQRT($C$11)*NORMSINV($B416)+SQRT(1-U$9^2*$C$11)*NORMSINV(T416))*(U$7-U$5)*(U$6-U$5)),U$7-SQRT((1-NORMSDIST(U$9*SQRT($C$11)*NORMSINV($B416)+SQRT(1-U$9^2*$C$11)*NORMSINV(T416)))*(U$7-U$5)*(U$7-U$6))))</f>
        <v>0.646356014278142</v>
      </c>
      <c r="V416" s="2" t="n">
        <v>0.181104979</v>
      </c>
      <c r="W416" s="2" t="n">
        <f aca="false">IF(W$7=W$5,W$6,IF(NORMSDIST(W$9*SQRT($C$11)*NORMSINV($B416)+SQRT(1-W$9^2*$C$11)*NORMSINV(V416))&lt;W$8,W$5+SQRT(NORMSDIST(W$9*SQRT($C$11)*NORMSINV($B416)+SQRT(1-W$9^2*$C$11)*NORMSINV(V416))*(W$7-W$5)*(W$6-W$5)),W$7-SQRT((1-NORMSDIST(W$9*SQRT($C$11)*NORMSINV($B416)+SQRT(1-W$9^2*$C$11)*NORMSINV(V416)))*(W$7-W$5)*(W$7-W$6))))</f>
        <v>9.94437390636345</v>
      </c>
      <c r="X416" s="2" t="n">
        <v>0.313003949</v>
      </c>
      <c r="Y416" s="2" t="n">
        <f aca="false">IF(Y$7=Y$5,Y$6,IF(NORMSDIST(Y$9*SQRT($C$11)*NORMSINV($B416)+SQRT(1-Y$9^2*$C$11)*NORMSINV(X416))&lt;Y$8,Y$5+SQRT(NORMSDIST(Y$9*SQRT($C$11)*NORMSINV($B416)+SQRT(1-Y$9^2*$C$11)*NORMSINV(X416))*(Y$7-Y$5)*(Y$6-Y$5)),Y$7-SQRT((1-NORMSDIST(Y$9*SQRT($C$11)*NORMSINV($B416)+SQRT(1-Y$9^2*$C$11)*NORMSINV(X416)))*(Y$7-Y$5)*(Y$7-Y$6))))</f>
        <v>0.395603304460415</v>
      </c>
      <c r="Z416" s="2" t="n">
        <v>0.685351183</v>
      </c>
      <c r="AA416" s="2" t="n">
        <f aca="false">IF(AA$7=AA$5,AA$6,IF(NORMSDIST(AA$9*SQRT($C$11)*NORMSINV($B416)+SQRT(1-AA$9^2*$C$11)*NORMSINV(Z416))&lt;AA$8,AA$5+SQRT(NORMSDIST(AA$9*SQRT($C$11)*NORMSINV($B416)+SQRT(1-AA$9^2*$C$11)*NORMSINV(Z416))*(AA$7-AA$5)*(AA$6-AA$5)),AA$7-SQRT((1-NORMSDIST(AA$9*SQRT($C$11)*NORMSINV($B416)+SQRT(1-AA$9^2*$C$11)*NORMSINV(Z416)))*(AA$7-AA$5)*(AA$7-AA$6))))</f>
        <v>0.739708660296591</v>
      </c>
      <c r="AB416" s="2" t="n">
        <v>0.305481375</v>
      </c>
      <c r="AC416" s="2" t="n">
        <f aca="false">IF(AC$7=AC$5,AC$6,IF(NORMSDIST(AC$9*SQRT($C$11)*NORMSINV($B416)+SQRT(1-AC$9^2*$C$11)*NORMSINV(AB416))&lt;AC$8,AC$5+SQRT(NORMSDIST(AC$9*SQRT($C$11)*NORMSINV($B416)+SQRT(1-AC$9^2*$C$11)*NORMSINV(AB416))*(AC$7-AC$5)*(AC$6-AC$5)),AC$7-SQRT((1-NORMSDIST(AC$9*SQRT($C$11)*NORMSINV($B416)+SQRT(1-AC$9^2*$C$11)*NORMSINV(AB416)))*(AC$7-AC$5)*(AC$7-AC$6))))</f>
        <v>9.66919160623969</v>
      </c>
      <c r="AD416" s="2" t="n">
        <f aca="false">Entrées!$C$8*(1+E416)</f>
        <v>7437.25027568126</v>
      </c>
      <c r="AE416" s="2" t="n">
        <f aca="false">I416*Hypothèses!$J$24/12/Hypothèses!$J$19</f>
        <v>99.3472401131425</v>
      </c>
      <c r="AF416" s="2" t="n">
        <f aca="false">Entrées!$C$36*S416*1000</f>
        <v>230.770013185595</v>
      </c>
      <c r="AG416" s="2" t="n">
        <f aca="false">-AF416/W416</f>
        <v>-23.2060877194013</v>
      </c>
      <c r="AH416" s="2" t="n">
        <f aca="false">AD416+AE416+AG416</f>
        <v>7513.391428075</v>
      </c>
      <c r="AI416" s="2" t="n">
        <f aca="false">Entrées!$C$16-M416+Hypothèses!$J$22*1000-AF416+Hypothèses!$J$23</f>
        <v>22678.339359933</v>
      </c>
      <c r="AJ416" s="2" t="n">
        <f aca="false">AI416/AH416</f>
        <v>3.01838917578441</v>
      </c>
      <c r="AK416" s="2" t="n">
        <f aca="false">AI416/(AH416+I416*(12-Hypothèses!$J$24)/12/Hypothèses!$J$19)</f>
        <v>2.99014789263145</v>
      </c>
      <c r="AL416" s="2" t="n">
        <f aca="false">(AD416+AG416+I416/Hypothèses!$J$19)*(1+G416)</f>
        <v>8026.13108655733</v>
      </c>
      <c r="AM416" s="2" t="n">
        <f aca="false">Entrées!$C$54*K416/Hypothèses!$J$19</f>
        <v>30.9985669849419</v>
      </c>
      <c r="AN416" s="2" t="n">
        <f aca="false">Y416*1000/AC416</f>
        <v>40.9137930626099</v>
      </c>
      <c r="AO416" s="2" t="n">
        <f aca="false">(Entrées!$C$36*(1-S416)+MAX(0,Entrées!$C$30-Entrées!$C$35-Entrées!$C$36)*U416)*1000</f>
        <v>1174.1284068038</v>
      </c>
      <c r="AP416" s="2" t="n">
        <f aca="false">-AO416/W416</f>
        <v>-118.069615830965</v>
      </c>
      <c r="AQ416" s="2" t="n">
        <f aca="false">AL416+AM416+AN416+AP416</f>
        <v>7979.97383077392</v>
      </c>
      <c r="AR416" s="2" t="n">
        <f aca="false">O416*AQ416-Hypothèses!$J$25/Hypothèses!$J$19</f>
        <v>1319.94983654989</v>
      </c>
      <c r="AS416" s="2" t="n">
        <f aca="false">Entrées!$C$79*(1+Q416)+Hypothèses!$J$20</f>
        <v>1468.09639727918</v>
      </c>
      <c r="AT416" s="2" t="n">
        <f aca="false">AI416-AR416+AS416+Y416*1000-AO416+Hypothèses!$J$23</f>
        <v>22047.9608183189</v>
      </c>
      <c r="AU416" s="2" t="n">
        <f aca="false">AT416/AQ416</f>
        <v>2.76291141874341</v>
      </c>
      <c r="AV416" s="2" t="n">
        <f aca="false">Hypothèses!$J$26*AQ416-AT416</f>
        <v>1891.96067400288</v>
      </c>
      <c r="AW416" s="2" t="n">
        <f aca="false">IF(AC416&gt;Hypothèses!$J$26,MAX(0,AV416)/(1-Hypothèses!$J$26/AC416),0)</f>
        <v>2743.0206460538</v>
      </c>
      <c r="AX416" s="2" t="n">
        <f aca="false">AQ416-Entrées!$C$17*1000</f>
        <v>-20.0261692260792</v>
      </c>
      <c r="AY416" s="2" t="n">
        <f aca="false">AI416+(Entrées!$C$244-Entrées!$C$13)</f>
        <v>28425.339359933</v>
      </c>
      <c r="AZ416" s="2" t="n">
        <f aca="false">AA416*AH416</f>
        <v>5557.72070754525</v>
      </c>
      <c r="BA416" s="2" t="n">
        <f aca="false">AZ416/AY416</f>
        <v>0.19551994216045</v>
      </c>
      <c r="BB416" s="2" t="n">
        <f aca="false">AZ416/(Entrées!$C$151/100)-AY416</f>
        <v>2450.88679309618</v>
      </c>
      <c r="BC416" s="2" t="n">
        <f aca="false">AT416+(Entrées!$C$244-Entrées!$C$13)</f>
        <v>27794.9608183189</v>
      </c>
      <c r="BD416" s="2" t="n">
        <f aca="false">AA416*AQ416</f>
        <v>5902.85575156363</v>
      </c>
      <c r="BE416" s="2" t="n">
        <f aca="false">BD416/BC416</f>
        <v>0.212371436324286</v>
      </c>
      <c r="BF416" s="2" t="n">
        <f aca="false">BD416/(Entrées!$C$151/100)-BC416</f>
        <v>4998.6822459235</v>
      </c>
      <c r="BG416" s="2" t="n">
        <f aca="false">MIN(AV416,BF416)</f>
        <v>1891.96067400288</v>
      </c>
      <c r="BH416" s="2" t="n">
        <f aca="false">IF(AC416&gt;Hypothèses!$J$26,MAX(0,BG416)/(1-Hypothèses!$J$26/AC416),0)</f>
        <v>2743.0206460538</v>
      </c>
    </row>
    <row r="417" customFormat="false" ht="15" hidden="false" customHeight="false" outlineLevel="0" collapsed="false">
      <c r="A417" s="2" t="n">
        <v>402</v>
      </c>
      <c r="B417" s="2" t="n">
        <v>0.170421497</v>
      </c>
      <c r="C417" s="2"/>
      <c r="D417" s="2" t="n">
        <v>0.503126468</v>
      </c>
      <c r="E417" s="2" t="n">
        <f aca="false">IF(E$7=E$5,E$6,IF(NORMSDIST(E$9*SQRT($C$11)*NORMSINV($B417)+SQRT(1-E$9^2*$C$11)*NORMSINV(D417))&lt;E$8,E$5+SQRT(NORMSDIST(E$9*SQRT($C$11)*NORMSINV($B417)+SQRT(1-E$9^2*$C$11)*NORMSINV(D417))*(E$7-E$5)*(E$6-E$5)),E$7-SQRT((1-NORMSDIST(E$9*SQRT($C$11)*NORMSINV($B417)+SQRT(1-E$9^2*$C$11)*NORMSINV(D417)))*(E$7-E$5)*(E$7-E$6))))</f>
        <v>0.05371128498507</v>
      </c>
      <c r="F417" s="2" t="n">
        <v>0.977976916</v>
      </c>
      <c r="G417" s="2" t="n">
        <f aca="false">IF(G$7=G$5,G$6,IF(NORMSDIST(G$9*SQRT($C$11)*NORMSINV($B417)+SQRT(1-G$9^2*$C$11)*NORMSINV(F417))&lt;G$8,G$5+SQRT(NORMSDIST(G$9*SQRT($C$11)*NORMSINV($B417)+SQRT(1-G$9^2*$C$11)*NORMSINV(F417))*(G$7-G$5)*(G$6-G$5)),G$7-SQRT((1-NORMSDIST(G$9*SQRT($C$11)*NORMSINV($B417)+SQRT(1-G$9^2*$C$11)*NORMSINV(F417)))*(G$7-G$5)*(G$7-G$6))))</f>
        <v>0.0612743167651761</v>
      </c>
      <c r="H417" s="2" t="n">
        <v>0.662657433</v>
      </c>
      <c r="I417" s="2" t="n">
        <f aca="false">IF(I$7=I$5,I$6,IF(NORMSDIST(I$9*SQRT($C$11)*NORMSINV($B417)+SQRT(1-I$9^2*$C$11)*NORMSINV(H417))&lt;I$8,I$5+SQRT(NORMSDIST(I$9*SQRT($C$11)*NORMSINV($B417)+SQRT(1-I$9^2*$C$11)*NORMSINV(H417))*(I$7-I$5)*(I$6-I$5)),I$7-SQRT((1-NORMSDIST(I$9*SQRT($C$11)*NORMSINV($B417)+SQRT(1-I$9^2*$C$11)*NORMSINV(H417)))*(I$7-I$5)*(I$7-I$6))))</f>
        <v>197.681098840423</v>
      </c>
      <c r="J417" s="2" t="n">
        <v>0.639284352</v>
      </c>
      <c r="K417" s="2" t="n">
        <f aca="false">IF(K$7=K$5,K$6,IF(NORMSDIST(K$9*SQRT($C$11)*NORMSINV($B417)+SQRT(1-K$9^2*$C$11)*NORMSINV(J417))&lt;K$8,K$5+SQRT(NORMSDIST(K$9*SQRT($C$11)*NORMSINV($B417)+SQRT(1-K$9^2*$C$11)*NORMSINV(J417))*(K$7-K$5)*(K$6-K$5)),K$7-SQRT((1-NORMSDIST(K$9*SQRT($C$11)*NORMSINV($B417)+SQRT(1-K$9^2*$C$11)*NORMSINV(J417)))*(K$7-K$5)*(K$7-K$6))))</f>
        <v>0.215674346655533</v>
      </c>
      <c r="L417" s="2" t="n">
        <v>0.495929587</v>
      </c>
      <c r="M417" s="2" t="n">
        <f aca="false">IF(M$7=M$5,M$6,IF(NORMSDIST(M$9*SQRT($C$11)*NORMSINV($B417)+SQRT(1-M$9^2*$C$11)*NORMSINV(L417))&lt;M$8,M$5+SQRT(NORMSDIST(M$9*SQRT($C$11)*NORMSINV($B417)+SQRT(1-M$9^2*$C$11)*NORMSINV(L417))*(M$7-M$5)*(M$6-M$5)),M$7-SQRT((1-NORMSDIST(M$9*SQRT($C$11)*NORMSINV($B417)+SQRT(1-M$9^2*$C$11)*NORMSINV(L417)))*(M$7-M$5)*(M$7-M$6))))</f>
        <v>1510.85462062308</v>
      </c>
      <c r="N417" s="2" t="n">
        <v>0.604107693</v>
      </c>
      <c r="O417" s="2" t="n">
        <f aca="false">IF(O$7=O$5,O$6,IF(NORMSDIST(O$9*SQRT($C$11)*NORMSINV($B417)+SQRT(1-O$9^2*$C$11)*NORMSINV(N417))&lt;O$8,O$5+SQRT(NORMSDIST(O$9*SQRT($C$11)*NORMSINV($B417)+SQRT(1-O$9^2*$C$11)*NORMSINV(N417))*(O$7-O$5)*(O$6-O$5)),O$7-SQRT((1-NORMSDIST(O$9*SQRT($C$11)*NORMSINV($B417)+SQRT(1-O$9^2*$C$11)*NORMSINV(N417)))*(O$7-O$5)*(O$7-O$6))))</f>
        <v>0.162259912162748</v>
      </c>
      <c r="P417" s="2" t="n">
        <v>0.176502649</v>
      </c>
      <c r="Q417" s="2" t="n">
        <f aca="false">IF(Q$7=Q$5,Q$6,IF(NORMSDIST(Q$9*SQRT($C$11)*NORMSINV($B417)+SQRT(1-Q$9^2*$C$11)*NORMSINV(P417))&lt;Q$8,Q$5+SQRT(NORMSDIST(Q$9*SQRT($C$11)*NORMSINV($B417)+SQRT(1-Q$9^2*$C$11)*NORMSINV(P417))*(Q$7-Q$5)*(Q$6-Q$5)),Q$7-SQRT((1-NORMSDIST(Q$9*SQRT($C$11)*NORMSINV($B417)+SQRT(1-Q$9^2*$C$11)*NORMSINV(P417)))*(Q$7-Q$5)*(Q$7-Q$6))))</f>
        <v>0.0637656995857475</v>
      </c>
      <c r="R417" s="2" t="n">
        <v>0.446860993</v>
      </c>
      <c r="S417" s="2" t="n">
        <f aca="false">IF(S$7=S$5,S$6,IF(NORMSDIST(S$9*SQRT($C$11)*NORMSINV($B417)+SQRT(1-S$9^2*$C$11)*NORMSINV(R417))&lt;S$8,S$5+SQRT(NORMSDIST(S$9*SQRT($C$11)*NORMSINV($B417)+SQRT(1-S$9^2*$C$11)*NORMSINV(R417))*(S$7-S$5)*(S$6-S$5)),S$7-SQRT((1-NORMSDIST(S$9*SQRT($C$11)*NORMSINV($B417)+SQRT(1-S$9^2*$C$11)*NORMSINV(R417)))*(S$7-S$5)*(S$7-S$6))))</f>
        <v>0.34650102639658</v>
      </c>
      <c r="T417" s="2" t="n">
        <v>0.387642251</v>
      </c>
      <c r="U417" s="2" t="n">
        <f aca="false">IF(U$7=U$5,U$6,IF(NORMSDIST(U$9*SQRT($C$11)*NORMSINV($B417)+SQRT(1-U$9^2*$C$11)*NORMSINV(T417))&lt;U$8,U$5+SQRT(NORMSDIST(U$9*SQRT($C$11)*NORMSINV($B417)+SQRT(1-U$9^2*$C$11)*NORMSINV(T417))*(U$7-U$5)*(U$6-U$5)),U$7-SQRT((1-NORMSDIST(U$9*SQRT($C$11)*NORMSINV($B417)+SQRT(1-U$9^2*$C$11)*NORMSINV(T417)))*(U$7-U$5)*(U$7-U$6))))</f>
        <v>0.320235077249718</v>
      </c>
      <c r="V417" s="2" t="n">
        <v>0.264792842</v>
      </c>
      <c r="W417" s="2" t="n">
        <f aca="false">IF(W$7=W$5,W$6,IF(NORMSDIST(W$9*SQRT($C$11)*NORMSINV($B417)+SQRT(1-W$9^2*$C$11)*NORMSINV(V417))&lt;W$8,W$5+SQRT(NORMSDIST(W$9*SQRT($C$11)*NORMSINV($B417)+SQRT(1-W$9^2*$C$11)*NORMSINV(V417))*(W$7-W$5)*(W$6-W$5)),W$7-SQRT((1-NORMSDIST(W$9*SQRT($C$11)*NORMSINV($B417)+SQRT(1-W$9^2*$C$11)*NORMSINV(V417)))*(W$7-W$5)*(W$7-W$6))))</f>
        <v>9.05070831998943</v>
      </c>
      <c r="X417" s="2" t="n">
        <v>0.49951814</v>
      </c>
      <c r="Y417" s="2" t="n">
        <f aca="false">IF(Y$7=Y$5,Y$6,IF(NORMSDIST(Y$9*SQRT($C$11)*NORMSINV($B417)+SQRT(1-Y$9^2*$C$11)*NORMSINV(X417))&lt;Y$8,Y$5+SQRT(NORMSDIST(Y$9*SQRT($C$11)*NORMSINV($B417)+SQRT(1-Y$9^2*$C$11)*NORMSINV(X417))*(Y$7-Y$5)*(Y$6-Y$5)),Y$7-SQRT((1-NORMSDIST(Y$9*SQRT($C$11)*NORMSINV($B417)+SQRT(1-Y$9^2*$C$11)*NORMSINV(X417)))*(Y$7-Y$5)*(Y$7-Y$6))))</f>
        <v>0.499759011924748</v>
      </c>
      <c r="Z417" s="2" t="n">
        <v>0.864308334</v>
      </c>
      <c r="AA417" s="2" t="n">
        <f aca="false">IF(AA$7=AA$5,AA$6,IF(NORMSDIST(AA$9*SQRT($C$11)*NORMSINV($B417)+SQRT(1-AA$9^2*$C$11)*NORMSINV(Z417))&lt;AA$8,AA$5+SQRT(NORMSDIST(AA$9*SQRT($C$11)*NORMSINV($B417)+SQRT(1-AA$9^2*$C$11)*NORMSINV(Z417))*(AA$7-AA$5)*(AA$6-AA$5)),AA$7-SQRT((1-NORMSDIST(AA$9*SQRT($C$11)*NORMSINV($B417)+SQRT(1-AA$9^2*$C$11)*NORMSINV(Z417)))*(AA$7-AA$5)*(AA$7-AA$6))))</f>
        <v>0.731131637170783</v>
      </c>
      <c r="AB417" s="2" t="n">
        <v>0.434927474</v>
      </c>
      <c r="AC417" s="2" t="n">
        <f aca="false">IF(AC$7=AC$5,AC$6,IF(NORMSDIST(AC$9*SQRT($C$11)*NORMSINV($B417)+SQRT(1-AC$9^2*$C$11)*NORMSINV(AB417))&lt;AC$8,AC$5+SQRT(NORMSDIST(AC$9*SQRT($C$11)*NORMSINV($B417)+SQRT(1-AC$9^2*$C$11)*NORMSINV(AB417))*(AC$7-AC$5)*(AC$6-AC$5)),AC$7-SQRT((1-NORMSDIST(AC$9*SQRT($C$11)*NORMSINV($B417)+SQRT(1-AC$9^2*$C$11)*NORMSINV(AB417)))*(AC$7-AC$5)*(AC$7-AC$6))))</f>
        <v>8.81854306902942</v>
      </c>
      <c r="AD417" s="2" t="n">
        <f aca="false">Entrées!$C$8*(1+E417)</f>
        <v>7428.66455914474</v>
      </c>
      <c r="AE417" s="2" t="n">
        <f aca="false">I417*Hypothèses!$J$24/12/Hypothèses!$J$19</f>
        <v>98.0689604317631</v>
      </c>
      <c r="AF417" s="2" t="n">
        <f aca="false">Entrées!$C$36*S417*1000</f>
        <v>173.25051319829</v>
      </c>
      <c r="AG417" s="2" t="n">
        <f aca="false">-AF417/W417</f>
        <v>-19.1422049051839</v>
      </c>
      <c r="AH417" s="2" t="n">
        <f aca="false">AD417+AE417+AG417</f>
        <v>7507.59131467132</v>
      </c>
      <c r="AI417" s="2" t="n">
        <f aca="false">Entrées!$C$16-M417+Hypothèses!$J$22*1000-AF417+Hypothèses!$J$23</f>
        <v>22863.8948661786</v>
      </c>
      <c r="AJ417" s="2" t="n">
        <f aca="false">AI417/AH417</f>
        <v>3.04543679961615</v>
      </c>
      <c r="AK417" s="2" t="n">
        <f aca="false">AI417/(AH417+I417*(12-Hypothèses!$J$24)/12/Hypothèses!$J$19)</f>
        <v>3.01728415970173</v>
      </c>
      <c r="AL417" s="2" t="n">
        <f aca="false">(AD417+AG417+I417/Hypothèses!$J$19)*(1+G417)</f>
        <v>8041.95532087147</v>
      </c>
      <c r="AM417" s="2" t="n">
        <f aca="false">Entrées!$C$54*K417/Hypothèses!$J$19</f>
        <v>22.0104726342602</v>
      </c>
      <c r="AN417" s="2" t="n">
        <f aca="false">Y417*1000/AC417</f>
        <v>56.6713807499442</v>
      </c>
      <c r="AO417" s="2" t="n">
        <f aca="false">(Entrées!$C$36*(1-S417)+MAX(0,Entrées!$C$30-Entrées!$C$35-Entrées!$C$36)*U417)*1000</f>
        <v>775.078594951316</v>
      </c>
      <c r="AP417" s="2" t="n">
        <f aca="false">-AO417/W417</f>
        <v>-85.6373410288202</v>
      </c>
      <c r="AQ417" s="2" t="n">
        <f aca="false">AL417+AM417+AN417+AP417</f>
        <v>8034.99983322686</v>
      </c>
      <c r="AR417" s="2" t="n">
        <f aca="false">O417*AQ417-Hypothèses!$J$25/Hypothèses!$J$19</f>
        <v>1284.62320490546</v>
      </c>
      <c r="AS417" s="2" t="n">
        <f aca="false">Entrées!$C$79*(1+Q417)+Hypothèses!$J$20</f>
        <v>1464.07850384474</v>
      </c>
      <c r="AT417" s="2" t="n">
        <f aca="false">AI417-AR417+AS417+Y417*1000-AO417+Hypothèses!$J$23</f>
        <v>22768.0305820913</v>
      </c>
      <c r="AU417" s="2" t="n">
        <f aca="false">AT417/AQ417</f>
        <v>2.83360685185574</v>
      </c>
      <c r="AV417" s="2" t="n">
        <f aca="false">Hypothèses!$J$26*AQ417-AT417</f>
        <v>1336.96891758923</v>
      </c>
      <c r="AW417" s="2" t="n">
        <f aca="false">IF(AC417&gt;Hypothèses!$J$26,MAX(0,AV417)/(1-Hypothèses!$J$26/AC417),0)</f>
        <v>2026.30071511716</v>
      </c>
      <c r="AX417" s="2" t="n">
        <f aca="false">AQ417-Entrées!$C$17*1000</f>
        <v>34.9998332268569</v>
      </c>
      <c r="AY417" s="2" t="n">
        <f aca="false">AI417+(Entrées!$C$244-Entrées!$C$13)</f>
        <v>28610.8948661786</v>
      </c>
      <c r="AZ417" s="2" t="n">
        <f aca="false">AA417*AH417</f>
        <v>5489.0375291048</v>
      </c>
      <c r="BA417" s="2" t="n">
        <f aca="false">AZ417/AY417</f>
        <v>0.191851305412802</v>
      </c>
      <c r="BB417" s="2" t="n">
        <f aca="false">AZ417/(Entrées!$C$151/100)-AY417</f>
        <v>1883.75807329249</v>
      </c>
      <c r="BC417" s="2" t="n">
        <f aca="false">AT417+(Entrées!$C$244-Entrées!$C$13)</f>
        <v>28515.0305820913</v>
      </c>
      <c r="BD417" s="2" t="n">
        <f aca="false">AA417*AQ417</f>
        <v>5874.64258273412</v>
      </c>
      <c r="BE417" s="2" t="n">
        <f aca="false">BD417/BC417</f>
        <v>0.206019157714797</v>
      </c>
      <c r="BF417" s="2" t="n">
        <f aca="false">BD417/(Entrées!$C$151/100)-BC417</f>
        <v>4121.87265532047</v>
      </c>
      <c r="BG417" s="2" t="n">
        <f aca="false">MIN(AV417,BF417)</f>
        <v>1336.96891758923</v>
      </c>
      <c r="BH417" s="2" t="n">
        <f aca="false">IF(AC417&gt;Hypothèses!$J$26,MAX(0,BG417)/(1-Hypothèses!$J$26/AC417),0)</f>
        <v>2026.30071511716</v>
      </c>
    </row>
    <row r="418" customFormat="false" ht="15" hidden="false" customHeight="false" outlineLevel="0" collapsed="false">
      <c r="A418" s="2" t="n">
        <v>403</v>
      </c>
      <c r="B418" s="2" t="n">
        <v>0.506281552</v>
      </c>
      <c r="C418" s="2"/>
      <c r="D418" s="2" t="n">
        <v>0.396552589</v>
      </c>
      <c r="E418" s="2" t="n">
        <f aca="false">IF(E$7=E$5,E$6,IF(NORMSDIST(E$9*SQRT($C$11)*NORMSINV($B418)+SQRT(1-E$9^2*$C$11)*NORMSINV(D418))&lt;E$8,E$5+SQRT(NORMSDIST(E$9*SQRT($C$11)*NORMSINV($B418)+SQRT(1-E$9^2*$C$11)*NORMSINV(D418))*(E$7-E$5)*(E$6-E$5)),E$7-SQRT((1-NORMSDIST(E$9*SQRT($C$11)*NORMSINV($B418)+SQRT(1-E$9^2*$C$11)*NORMSINV(D418)))*(E$7-E$5)*(E$7-E$6))))</f>
        <v>0.0546010870792732</v>
      </c>
      <c r="F418" s="2" t="n">
        <v>0.834655228</v>
      </c>
      <c r="G418" s="2" t="n">
        <f aca="false">IF(G$7=G$5,G$6,IF(NORMSDIST(G$9*SQRT($C$11)*NORMSINV($B418)+SQRT(1-G$9^2*$C$11)*NORMSINV(F418))&lt;G$8,G$5+SQRT(NORMSDIST(G$9*SQRT($C$11)*NORMSINV($B418)+SQRT(1-G$9^2*$C$11)*NORMSINV(F418))*(G$7-G$5)*(G$6-G$5)),G$7-SQRT((1-NORMSDIST(G$9*SQRT($C$11)*NORMSINV($B418)+SQRT(1-G$9^2*$C$11)*NORMSINV(F418)))*(G$7-G$5)*(G$7-G$6))))</f>
        <v>0.0599914182941748</v>
      </c>
      <c r="H418" s="2" t="n">
        <v>0.449110864</v>
      </c>
      <c r="I418" s="2" t="n">
        <f aca="false">IF(I$7=I$5,I$6,IF(NORMSDIST(I$9*SQRT($C$11)*NORMSINV($B418)+SQRT(1-I$9^2*$C$11)*NORMSINV(H418))&lt;I$8,I$5+SQRT(NORMSDIST(I$9*SQRT($C$11)*NORMSINV($B418)+SQRT(1-I$9^2*$C$11)*NORMSINV(H418))*(I$7-I$5)*(I$6-I$5)),I$7-SQRT((1-NORMSDIST(I$9*SQRT($C$11)*NORMSINV($B418)+SQRT(1-I$9^2*$C$11)*NORMSINV(H418)))*(I$7-I$5)*(I$7-I$6))))</f>
        <v>199.276802694856</v>
      </c>
      <c r="J418" s="2" t="n">
        <v>0.770606227</v>
      </c>
      <c r="K418" s="2" t="n">
        <f aca="false">IF(K$7=K$5,K$6,IF(NORMSDIST(K$9*SQRT($C$11)*NORMSINV($B418)+SQRT(1-K$9^2*$C$11)*NORMSINV(J418))&lt;K$8,K$5+SQRT(NORMSDIST(K$9*SQRT($C$11)*NORMSINV($B418)+SQRT(1-K$9^2*$C$11)*NORMSINV(J418))*(K$7-K$5)*(K$6-K$5)),K$7-SQRT((1-NORMSDIST(K$9*SQRT($C$11)*NORMSINV($B418)+SQRT(1-K$9^2*$C$11)*NORMSINV(J418)))*(K$7-K$5)*(K$7-K$6))))</f>
        <v>0.313026571215473</v>
      </c>
      <c r="L418" s="2" t="n">
        <v>0.343043414</v>
      </c>
      <c r="M418" s="2" t="n">
        <f aca="false">IF(M$7=M$5,M$6,IF(NORMSDIST(M$9*SQRT($C$11)*NORMSINV($B418)+SQRT(1-M$9^2*$C$11)*NORMSINV(L418))&lt;M$8,M$5+SQRT(NORMSDIST(M$9*SQRT($C$11)*NORMSINV($B418)+SQRT(1-M$9^2*$C$11)*NORMSINV(L418))*(M$7-M$5)*(M$6-M$5)),M$7-SQRT((1-NORMSDIST(M$9*SQRT($C$11)*NORMSINV($B418)+SQRT(1-M$9^2*$C$11)*NORMSINV(L418)))*(M$7-M$5)*(M$7-M$6))))</f>
        <v>1549.46558034133</v>
      </c>
      <c r="N418" s="2" t="n">
        <v>0.292626422</v>
      </c>
      <c r="O418" s="2" t="n">
        <f aca="false">IF(O$7=O$5,O$6,IF(NORMSDIST(O$9*SQRT($C$11)*NORMSINV($B418)+SQRT(1-O$9^2*$C$11)*NORMSINV(N418))&lt;O$8,O$5+SQRT(NORMSDIST(O$9*SQRT($C$11)*NORMSINV($B418)+SQRT(1-O$9^2*$C$11)*NORMSINV(N418))*(O$7-O$5)*(O$6-O$5)),O$7-SQRT((1-NORMSDIST(O$9*SQRT($C$11)*NORMSINV($B418)+SQRT(1-O$9^2*$C$11)*NORMSINV(N418)))*(O$7-O$5)*(O$7-O$6))))</f>
        <v>0.162083521132949</v>
      </c>
      <c r="P418" s="2" t="n">
        <v>0.66766098</v>
      </c>
      <c r="Q418" s="2" t="n">
        <f aca="false">IF(Q$7=Q$5,Q$6,IF(NORMSDIST(Q$9*SQRT($C$11)*NORMSINV($B418)+SQRT(1-Q$9^2*$C$11)*NORMSINV(P418))&lt;Q$8,Q$5+SQRT(NORMSDIST(Q$9*SQRT($C$11)*NORMSINV($B418)+SQRT(1-Q$9^2*$C$11)*NORMSINV(P418))*(Q$7-Q$5)*(Q$6-Q$5)),Q$7-SQRT((1-NORMSDIST(Q$9*SQRT($C$11)*NORMSINV($B418)+SQRT(1-Q$9^2*$C$11)*NORMSINV(P418)))*(Q$7-Q$5)*(Q$7-Q$6))))</f>
        <v>0.0873888843490444</v>
      </c>
      <c r="R418" s="2" t="n">
        <v>0.137671077</v>
      </c>
      <c r="S418" s="2" t="n">
        <f aca="false">IF(S$7=S$5,S$6,IF(NORMSDIST(S$9*SQRT($C$11)*NORMSINV($B418)+SQRT(1-S$9^2*$C$11)*NORMSINV(R418))&lt;S$8,S$5+SQRT(NORMSDIST(S$9*SQRT($C$11)*NORMSINV($B418)+SQRT(1-S$9^2*$C$11)*NORMSINV(R418))*(S$7-S$5)*(S$6-S$5)),S$7-SQRT((1-NORMSDIST(S$9*SQRT($C$11)*NORMSINV($B418)+SQRT(1-S$9^2*$C$11)*NORMSINV(R418)))*(S$7-S$5)*(S$7-S$6))))</f>
        <v>0.317692971452742</v>
      </c>
      <c r="T418" s="2" t="n">
        <v>0.821084172</v>
      </c>
      <c r="U418" s="2" t="n">
        <f aca="false">IF(U$7=U$5,U$6,IF(NORMSDIST(U$9*SQRT($C$11)*NORMSINV($B418)+SQRT(1-U$9^2*$C$11)*NORMSINV(T418))&lt;U$8,U$5+SQRT(NORMSDIST(U$9*SQRT($C$11)*NORMSINV($B418)+SQRT(1-U$9^2*$C$11)*NORMSINV(T418))*(U$7-U$5)*(U$6-U$5)),U$7-SQRT((1-NORMSDIST(U$9*SQRT($C$11)*NORMSINV($B418)+SQRT(1-U$9^2*$C$11)*NORMSINV(T418)))*(U$7-U$5)*(U$7-U$6))))</f>
        <v>0.657155627842776</v>
      </c>
      <c r="V418" s="2" t="n">
        <v>0.603241636</v>
      </c>
      <c r="W418" s="2" t="n">
        <f aca="false">IF(W$7=W$5,W$6,IF(NORMSDIST(W$9*SQRT($C$11)*NORMSINV($B418)+SQRT(1-W$9^2*$C$11)*NORMSINV(V418))&lt;W$8,W$5+SQRT(NORMSDIST(W$9*SQRT($C$11)*NORMSINV($B418)+SQRT(1-W$9^2*$C$11)*NORMSINV(V418))*(W$7-W$5)*(W$6-W$5)),W$7-SQRT((1-NORMSDIST(W$9*SQRT($C$11)*NORMSINV($B418)+SQRT(1-W$9^2*$C$11)*NORMSINV(V418)))*(W$7-W$5)*(W$7-W$6))))</f>
        <v>10.1762065888662</v>
      </c>
      <c r="X418" s="2" t="n">
        <v>0.728554198</v>
      </c>
      <c r="Y418" s="2" t="n">
        <f aca="false">IF(Y$7=Y$5,Y$6,IF(NORMSDIST(Y$9*SQRT($C$11)*NORMSINV($B418)+SQRT(1-Y$9^2*$C$11)*NORMSINV(X418))&lt;Y$8,Y$5+SQRT(NORMSDIST(Y$9*SQRT($C$11)*NORMSINV($B418)+SQRT(1-Y$9^2*$C$11)*NORMSINV(X418))*(Y$7-Y$5)*(Y$6-Y$5)),Y$7-SQRT((1-NORMSDIST(Y$9*SQRT($C$11)*NORMSINV($B418)+SQRT(1-Y$9^2*$C$11)*NORMSINV(X418)))*(Y$7-Y$5)*(Y$7-Y$6))))</f>
        <v>0.6315941083533</v>
      </c>
      <c r="Z418" s="2" t="n">
        <v>0.976333883</v>
      </c>
      <c r="AA418" s="2" t="n">
        <f aca="false">IF(AA$7=AA$5,AA$6,IF(NORMSDIST(AA$9*SQRT($C$11)*NORMSINV($B418)+SQRT(1-AA$9^2*$C$11)*NORMSINV(Z418))&lt;AA$8,AA$5+SQRT(NORMSDIST(AA$9*SQRT($C$11)*NORMSINV($B418)+SQRT(1-AA$9^2*$C$11)*NORMSINV(Z418))*(AA$7-AA$5)*(AA$6-AA$5)),AA$7-SQRT((1-NORMSDIST(AA$9*SQRT($C$11)*NORMSINV($B418)+SQRT(1-AA$9^2*$C$11)*NORMSINV(Z418)))*(AA$7-AA$5)*(AA$7-AA$6))))</f>
        <v>0.745014676548624</v>
      </c>
      <c r="AB418" s="2" t="n">
        <v>0.211195401</v>
      </c>
      <c r="AC418" s="2" t="n">
        <f aca="false">IF(AC$7=AC$5,AC$6,IF(NORMSDIST(AC$9*SQRT($C$11)*NORMSINV($B418)+SQRT(1-AC$9^2*$C$11)*NORMSINV(AB418))&lt;AC$8,AC$5+SQRT(NORMSDIST(AC$9*SQRT($C$11)*NORMSINV($B418)+SQRT(1-AC$9^2*$C$11)*NORMSINV(AB418))*(AC$7-AC$5)*(AC$6-AC$5)),AC$7-SQRT((1-NORMSDIST(AC$9*SQRT($C$11)*NORMSINV($B418)+SQRT(1-AC$9^2*$C$11)*NORMSINV(AB418)))*(AC$7-AC$5)*(AC$7-AC$6))))</f>
        <v>8.9285926472947</v>
      </c>
      <c r="AD418" s="2" t="n">
        <f aca="false">Entrées!$C$8*(1+E418)</f>
        <v>7434.93766390888</v>
      </c>
      <c r="AE418" s="2" t="n">
        <f aca="false">I418*Hypothèses!$J$24/12/Hypothèses!$J$19</f>
        <v>98.8605840066985</v>
      </c>
      <c r="AF418" s="2" t="n">
        <f aca="false">Entrées!$C$36*S418*1000</f>
        <v>158.846485726371</v>
      </c>
      <c r="AG418" s="2" t="n">
        <f aca="false">-AF418/W418</f>
        <v>-15.6095971852779</v>
      </c>
      <c r="AH418" s="2" t="n">
        <f aca="false">AD418+AE418+AG418</f>
        <v>7518.1886507303</v>
      </c>
      <c r="AI418" s="2" t="n">
        <f aca="false">Entrées!$C$16-M418+Hypothèses!$J$22*1000-AF418+Hypothèses!$J$23</f>
        <v>22839.6879339323</v>
      </c>
      <c r="AJ418" s="2" t="n">
        <f aca="false">AI418/AH418</f>
        <v>3.03792429200532</v>
      </c>
      <c r="AK418" s="2" t="n">
        <f aca="false">AI418/(AH418+I418*(12-Hypothèses!$J$24)/12/Hypothèses!$J$19)</f>
        <v>3.00965605112444</v>
      </c>
      <c r="AL418" s="2" t="n">
        <f aca="false">(AD418+AG418+I418/Hypothèses!$J$19)*(1+G418)</f>
        <v>8044.06642992981</v>
      </c>
      <c r="AM418" s="2" t="n">
        <f aca="false">Entrées!$C$54*K418/Hypothèses!$J$19</f>
        <v>31.9456759061786</v>
      </c>
      <c r="AN418" s="2" t="n">
        <f aca="false">Y418*1000/AC418</f>
        <v>70.7383720260403</v>
      </c>
      <c r="AO418" s="2" t="n">
        <f aca="false">(Entrées!$C$36*(1-S418)+MAX(0,Entrées!$C$30-Entrées!$C$35-Entrées!$C$36)*U418)*1000</f>
        <v>1261.17139325351</v>
      </c>
      <c r="AP418" s="2" t="n">
        <f aca="false">-AO418/W418</f>
        <v>-123.933352004997</v>
      </c>
      <c r="AQ418" s="2" t="n">
        <f aca="false">AL418+AM418+AN418+AP418</f>
        <v>8022.81712585703</v>
      </c>
      <c r="AR418" s="2" t="n">
        <f aca="false">O418*AQ418-Hypothèses!$J$25/Hypothèses!$J$19</f>
        <v>1281.231286903</v>
      </c>
      <c r="AS418" s="2" t="n">
        <f aca="false">Entrées!$C$79*(1+Q418)+Hypothèses!$J$20</f>
        <v>1490.0403838996</v>
      </c>
      <c r="AT418" s="2" t="n">
        <f aca="false">AI418-AR418+AS418+Y418*1000-AO418+Hypothèses!$J$23</f>
        <v>22418.9197460287</v>
      </c>
      <c r="AU418" s="2" t="n">
        <f aca="false">AT418/AQ418</f>
        <v>2.7943949605649</v>
      </c>
      <c r="AV418" s="2" t="n">
        <f aca="false">Hypothèses!$J$26*AQ418-AT418</f>
        <v>1649.53163154242</v>
      </c>
      <c r="AW418" s="2" t="n">
        <f aca="false">IF(AC418&gt;Hypothèses!$J$26,MAX(0,AV418)/(1-Hypothèses!$J$26/AC418),0)</f>
        <v>2484.23139741104</v>
      </c>
      <c r="AX418" s="2" t="n">
        <f aca="false">AQ418-Entrées!$C$17*1000</f>
        <v>22.8171258570337</v>
      </c>
      <c r="AY418" s="2" t="n">
        <f aca="false">AI418+(Entrées!$C$244-Entrées!$C$13)</f>
        <v>28586.6879339323</v>
      </c>
      <c r="AZ418" s="2" t="n">
        <f aca="false">AA418*AH418</f>
        <v>5601.16088585536</v>
      </c>
      <c r="BA418" s="2" t="n">
        <f aca="false">AZ418/AY418</f>
        <v>0.195935985966629</v>
      </c>
      <c r="BB418" s="2" t="n">
        <f aca="false">AZ418/(Entrées!$C$151/100)-AY418</f>
        <v>2530.87254304195</v>
      </c>
      <c r="BC418" s="2" t="n">
        <f aca="false">AT418+(Entrées!$C$244-Entrées!$C$13)</f>
        <v>28165.9197460287</v>
      </c>
      <c r="BD418" s="2" t="n">
        <f aca="false">AA418*AQ418</f>
        <v>5977.11650602914</v>
      </c>
      <c r="BE418" s="2" t="n">
        <f aca="false">BD418/BC418</f>
        <v>0.212210947127757</v>
      </c>
      <c r="BF418" s="2" t="n">
        <f aca="false">BD418/(Entrées!$C$151/100)-BC418</f>
        <v>5040.2830652443</v>
      </c>
      <c r="BG418" s="2" t="n">
        <f aca="false">MIN(AV418,BF418)</f>
        <v>1649.53163154242</v>
      </c>
      <c r="BH418" s="2" t="n">
        <f aca="false">IF(AC418&gt;Hypothèses!$J$26,MAX(0,BG418)/(1-Hypothèses!$J$26/AC418),0)</f>
        <v>2484.23139741104</v>
      </c>
    </row>
    <row r="419" customFormat="false" ht="15" hidden="false" customHeight="false" outlineLevel="0" collapsed="false">
      <c r="A419" s="2" t="n">
        <v>404</v>
      </c>
      <c r="B419" s="2" t="n">
        <v>0.903052515</v>
      </c>
      <c r="C419" s="2"/>
      <c r="D419" s="2" t="n">
        <v>0.704342292</v>
      </c>
      <c r="E419" s="2" t="n">
        <f aca="false">IF(E$7=E$5,E$6,IF(NORMSDIST(E$9*SQRT($C$11)*NORMSINV($B419)+SQRT(1-E$9^2*$C$11)*NORMSINV(D419))&lt;E$8,E$5+SQRT(NORMSDIST(E$9*SQRT($C$11)*NORMSINV($B419)+SQRT(1-E$9^2*$C$11)*NORMSINV(D419))*(E$7-E$5)*(E$6-E$5)),E$7-SQRT((1-NORMSDIST(E$9*SQRT($C$11)*NORMSINV($B419)+SQRT(1-E$9^2*$C$11)*NORMSINV(D419)))*(E$7-E$5)*(E$7-E$6))))</f>
        <v>0.0576768491737175</v>
      </c>
      <c r="F419" s="2" t="n">
        <v>0.239695085</v>
      </c>
      <c r="G419" s="2" t="n">
        <f aca="false">IF(G$7=G$5,G$6,IF(NORMSDIST(G$9*SQRT($C$11)*NORMSINV($B419)+SQRT(1-G$9^2*$C$11)*NORMSINV(F419))&lt;G$8,G$5+SQRT(NORMSDIST(G$9*SQRT($C$11)*NORMSINV($B419)+SQRT(1-G$9^2*$C$11)*NORMSINV(F419))*(G$7-G$5)*(G$6-G$5)),G$7-SQRT((1-NORMSDIST(G$9*SQRT($C$11)*NORMSINV($B419)+SQRT(1-G$9^2*$C$11)*NORMSINV(F419)))*(G$7-G$5)*(G$7-G$6))))</f>
        <v>0.0567163524458821</v>
      </c>
      <c r="H419" s="2" t="n">
        <v>0.708947041</v>
      </c>
      <c r="I419" s="2" t="n">
        <f aca="false">IF(I$7=I$5,I$6,IF(NORMSDIST(I$9*SQRT($C$11)*NORMSINV($B419)+SQRT(1-I$9^2*$C$11)*NORMSINV(H419))&lt;I$8,I$5+SQRT(NORMSDIST(I$9*SQRT($C$11)*NORMSINV($B419)+SQRT(1-I$9^2*$C$11)*NORMSINV(H419))*(I$7-I$5)*(I$6-I$5)),I$7-SQRT((1-NORMSDIST(I$9*SQRT($C$11)*NORMSINV($B419)+SQRT(1-I$9^2*$C$11)*NORMSINV(H419)))*(I$7-I$5)*(I$7-I$6))))</f>
        <v>210.7899915299</v>
      </c>
      <c r="J419" s="2" t="n">
        <v>0.694023327</v>
      </c>
      <c r="K419" s="2" t="n">
        <f aca="false">IF(K$7=K$5,K$6,IF(NORMSDIST(K$9*SQRT($C$11)*NORMSINV($B419)+SQRT(1-K$9^2*$C$11)*NORMSINV(J419))&lt;K$8,K$5+SQRT(NORMSDIST(K$9*SQRT($C$11)*NORMSINV($B419)+SQRT(1-K$9^2*$C$11)*NORMSINV(J419))*(K$7-K$5)*(K$6-K$5)),K$7-SQRT((1-NORMSDIST(K$9*SQRT($C$11)*NORMSINV($B419)+SQRT(1-K$9^2*$C$11)*NORMSINV(J419)))*(K$7-K$5)*(K$7-K$6))))</f>
        <v>0.381540779246949</v>
      </c>
      <c r="L419" s="2" t="n">
        <v>0.569166911</v>
      </c>
      <c r="M419" s="2" t="n">
        <f aca="false">IF(M$7=M$5,M$6,IF(NORMSDIST(M$9*SQRT($C$11)*NORMSINV($B419)+SQRT(1-M$9^2*$C$11)*NORMSINV(L419))&lt;M$8,M$5+SQRT(NORMSDIST(M$9*SQRT($C$11)*NORMSINV($B419)+SQRT(1-M$9^2*$C$11)*NORMSINV(L419))*(M$7-M$5)*(M$6-M$5)),M$7-SQRT((1-NORMSDIST(M$9*SQRT($C$11)*NORMSINV($B419)+SQRT(1-M$9^2*$C$11)*NORMSINV(L419)))*(M$7-M$5)*(M$7-M$6))))</f>
        <v>1675.77915669411</v>
      </c>
      <c r="N419" s="2" t="n">
        <v>0.443269878</v>
      </c>
      <c r="O419" s="2" t="n">
        <f aca="false">IF(O$7=O$5,O$6,IF(NORMSDIST(O$9*SQRT($C$11)*NORMSINV($B419)+SQRT(1-O$9^2*$C$11)*NORMSINV(N419))&lt;O$8,O$5+SQRT(NORMSDIST(O$9*SQRT($C$11)*NORMSINV($B419)+SQRT(1-O$9^2*$C$11)*NORMSINV(N419))*(O$7-O$5)*(O$6-O$5)),O$7-SQRT((1-NORMSDIST(O$9*SQRT($C$11)*NORMSINV($B419)+SQRT(1-O$9^2*$C$11)*NORMSINV(N419)))*(O$7-O$5)*(O$7-O$6))))</f>
        <v>0.174061095876079</v>
      </c>
      <c r="P419" s="2" t="n">
        <v>0.967615593</v>
      </c>
      <c r="Q419" s="2" t="n">
        <f aca="false">IF(Q$7=Q$5,Q$6,IF(NORMSDIST(Q$9*SQRT($C$11)*NORMSINV($B419)+SQRT(1-Q$9^2*$C$11)*NORMSINV(P419))&lt;Q$8,Q$5+SQRT(NORMSDIST(Q$9*SQRT($C$11)*NORMSINV($B419)+SQRT(1-Q$9^2*$C$11)*NORMSINV(P419))*(Q$7-Q$5)*(Q$6-Q$5)),Q$7-SQRT((1-NORMSDIST(Q$9*SQRT($C$11)*NORMSINV($B419)+SQRT(1-Q$9^2*$C$11)*NORMSINV(P419)))*(Q$7-Q$5)*(Q$7-Q$6))))</f>
        <v>0.109820112849348</v>
      </c>
      <c r="R419" s="2" t="n">
        <v>0.465339277</v>
      </c>
      <c r="S419" s="2" t="n">
        <f aca="false">IF(S$7=S$5,S$6,IF(NORMSDIST(S$9*SQRT($C$11)*NORMSINV($B419)+SQRT(1-S$9^2*$C$11)*NORMSINV(R419))&lt;S$8,S$5+SQRT(NORMSDIST(S$9*SQRT($C$11)*NORMSINV($B419)+SQRT(1-S$9^2*$C$11)*NORMSINV(R419))*(S$7-S$5)*(S$6-S$5)),S$7-SQRT((1-NORMSDIST(S$9*SQRT($C$11)*NORMSINV($B419)+SQRT(1-S$9^2*$C$11)*NORMSINV(R419)))*(S$7-S$5)*(S$7-S$6))))</f>
        <v>0.66433314166392</v>
      </c>
      <c r="T419" s="2" t="n">
        <v>0.543826063</v>
      </c>
      <c r="U419" s="2" t="n">
        <f aca="false">IF(U$7=U$5,U$6,IF(NORMSDIST(U$9*SQRT($C$11)*NORMSINV($B419)+SQRT(1-U$9^2*$C$11)*NORMSINV(T419))&lt;U$8,U$5+SQRT(NORMSDIST(U$9*SQRT($C$11)*NORMSINV($B419)+SQRT(1-U$9^2*$C$11)*NORMSINV(T419))*(U$7-U$5)*(U$6-U$5)),U$7-SQRT((1-NORMSDIST(U$9*SQRT($C$11)*NORMSINV($B419)+SQRT(1-U$9^2*$C$11)*NORMSINV(T419)))*(U$7-U$5)*(U$7-U$6))))</f>
        <v>0.698150951696725</v>
      </c>
      <c r="V419" s="2" t="n">
        <v>0.45138347</v>
      </c>
      <c r="W419" s="2" t="n">
        <f aca="false">IF(W$7=W$5,W$6,IF(NORMSDIST(W$9*SQRT($C$11)*NORMSINV($B419)+SQRT(1-W$9^2*$C$11)*NORMSINV(V419))&lt;W$8,W$5+SQRT(NORMSDIST(W$9*SQRT($C$11)*NORMSINV($B419)+SQRT(1-W$9^2*$C$11)*NORMSINV(V419))*(W$7-W$5)*(W$6-W$5)),W$7-SQRT((1-NORMSDIST(W$9*SQRT($C$11)*NORMSINV($B419)+SQRT(1-W$9^2*$C$11)*NORMSINV(V419)))*(W$7-W$5)*(W$7-W$6))))</f>
        <v>10.6329393480203</v>
      </c>
      <c r="X419" s="2" t="n">
        <v>0.938661146</v>
      </c>
      <c r="Y419" s="2" t="n">
        <f aca="false">IF(Y$7=Y$5,Y$6,IF(NORMSDIST(Y$9*SQRT($C$11)*NORMSINV($B419)+SQRT(1-Y$9^2*$C$11)*NORMSINV(X419))&lt;Y$8,Y$5+SQRT(NORMSDIST(Y$9*SQRT($C$11)*NORMSINV($B419)+SQRT(1-Y$9^2*$C$11)*NORMSINV(X419))*(Y$7-Y$5)*(Y$6-Y$5)),Y$7-SQRT((1-NORMSDIST(Y$9*SQRT($C$11)*NORMSINV($B419)+SQRT(1-Y$9^2*$C$11)*NORMSINV(X419)))*(Y$7-Y$5)*(Y$7-Y$6))))</f>
        <v>0.824873111716104</v>
      </c>
      <c r="Z419" s="2" t="n">
        <v>0.701599826</v>
      </c>
      <c r="AA419" s="2" t="n">
        <f aca="false">IF(AA$7=AA$5,AA$6,IF(NORMSDIST(AA$9*SQRT($C$11)*NORMSINV($B419)+SQRT(1-AA$9^2*$C$11)*NORMSINV(Z419))&lt;AA$8,AA$5+SQRT(NORMSDIST(AA$9*SQRT($C$11)*NORMSINV($B419)+SQRT(1-AA$9^2*$C$11)*NORMSINV(Z419))*(AA$7-AA$5)*(AA$6-AA$5)),AA$7-SQRT((1-NORMSDIST(AA$9*SQRT($C$11)*NORMSINV($B419)+SQRT(1-AA$9^2*$C$11)*NORMSINV(Z419)))*(AA$7-AA$5)*(AA$7-AA$6))))</f>
        <v>0.742029781191421</v>
      </c>
      <c r="AB419" s="2" t="n">
        <v>0.713327005</v>
      </c>
      <c r="AC419" s="2" t="n">
        <f aca="false">IF(AC$7=AC$5,AC$6,IF(NORMSDIST(AC$9*SQRT($C$11)*NORMSINV($B419)+SQRT(1-AC$9^2*$C$11)*NORMSINV(AB419))&lt;AC$8,AC$5+SQRT(NORMSDIST(AC$9*SQRT($C$11)*NORMSINV($B419)+SQRT(1-AC$9^2*$C$11)*NORMSINV(AB419))*(AC$7-AC$5)*(AC$6-AC$5)),AC$7-SQRT((1-NORMSDIST(AC$9*SQRT($C$11)*NORMSINV($B419)+SQRT(1-AC$9^2*$C$11)*NORMSINV(AB419)))*(AC$7-AC$5)*(AC$7-AC$6))))</f>
        <v>10.3289976563342</v>
      </c>
      <c r="AD419" s="2" t="n">
        <f aca="false">Entrées!$C$8*(1+E419)</f>
        <v>7456.62178667471</v>
      </c>
      <c r="AE419" s="2" t="n">
        <f aca="false">I419*Hypothèses!$J$24/12/Hypothèses!$J$19</f>
        <v>104.57224013837</v>
      </c>
      <c r="AF419" s="2" t="n">
        <f aca="false">Entrées!$C$36*S419*1000</f>
        <v>332.16657083196</v>
      </c>
      <c r="AG419" s="2" t="n">
        <f aca="false">-AF419/W419</f>
        <v>-31.2393929806252</v>
      </c>
      <c r="AH419" s="2" t="n">
        <f aca="false">AD419+AE419+AG419</f>
        <v>7529.95463383245</v>
      </c>
      <c r="AI419" s="2" t="n">
        <f aca="false">Entrées!$C$16-M419+Hypothèses!$J$22*1000-AF419+Hypothèses!$J$23</f>
        <v>22540.0542724739</v>
      </c>
      <c r="AJ419" s="2" t="n">
        <f aca="false">AI419/AH419</f>
        <v>2.99338513557577</v>
      </c>
      <c r="AK419" s="2" t="n">
        <f aca="false">AI419/(AH419+I419*(12-Hypothèses!$J$24)/12/Hypothèses!$J$19)</f>
        <v>2.96398347938632</v>
      </c>
      <c r="AL419" s="2" t="n">
        <f aca="false">(AD419+AG419+I419/Hypothèses!$J$19)*(1+G419)</f>
        <v>8035.95704915076</v>
      </c>
      <c r="AM419" s="2" t="n">
        <f aca="false">Entrées!$C$54*K419/Hypothèses!$J$19</f>
        <v>38.9378385083604</v>
      </c>
      <c r="AN419" s="2" t="n">
        <f aca="false">Y419*1000/AC419</f>
        <v>79.8599379302071</v>
      </c>
      <c r="AO419" s="2" t="n">
        <f aca="false">(Entrées!$C$36*(1-S419)+MAX(0,Entrées!$C$30-Entrées!$C$35-Entrées!$C$36)*U419)*1000</f>
        <v>1145.24476154346</v>
      </c>
      <c r="AP419" s="2" t="n">
        <f aca="false">-AO419/W419</f>
        <v>-107.707259870402</v>
      </c>
      <c r="AQ419" s="2" t="n">
        <f aca="false">AL419+AM419+AN419+AP419</f>
        <v>8047.04756571893</v>
      </c>
      <c r="AR419" s="2" t="n">
        <f aca="false">O419*AQ419-Hypothèses!$J$25/Hypothèses!$J$19</f>
        <v>1381.54275559434</v>
      </c>
      <c r="AS419" s="2" t="n">
        <f aca="false">Entrées!$C$79*(1+Q419)+Hypothèses!$J$20</f>
        <v>1514.69230402143</v>
      </c>
      <c r="AT419" s="2" t="n">
        <f aca="false">AI419-AR419+AS419+Y419*1000-AO419+Hypothèses!$J$23</f>
        <v>22352.8321710737</v>
      </c>
      <c r="AU419" s="2" t="n">
        <f aca="false">AT419/AQ419</f>
        <v>2.7777681178745</v>
      </c>
      <c r="AV419" s="2" t="n">
        <f aca="false">Hypothèses!$J$26*AQ419-AT419</f>
        <v>1788.31052608312</v>
      </c>
      <c r="AW419" s="2" t="n">
        <f aca="false">IF(AC419&gt;Hypothèses!$J$26,MAX(0,AV419)/(1-Hypothèses!$J$26/AC419),0)</f>
        <v>2520.32489282434</v>
      </c>
      <c r="AX419" s="2" t="n">
        <f aca="false">AQ419-Entrées!$C$17*1000</f>
        <v>47.0475657189272</v>
      </c>
      <c r="AY419" s="2" t="n">
        <f aca="false">AI419+(Entrées!$C$244-Entrées!$C$13)</f>
        <v>28287.0542724739</v>
      </c>
      <c r="AZ419" s="2" t="n">
        <f aca="false">AA419*AH419</f>
        <v>5587.45058932402</v>
      </c>
      <c r="BA419" s="2" t="n">
        <f aca="false">AZ419/AY419</f>
        <v>0.197526774456722</v>
      </c>
      <c r="BB419" s="2" t="n">
        <f aca="false">AZ419/(Entrées!$C$151/100)-AY419</f>
        <v>2754.33789043732</v>
      </c>
      <c r="BC419" s="2" t="n">
        <f aca="false">AT419+(Entrées!$C$244-Entrées!$C$13)</f>
        <v>28099.8321710737</v>
      </c>
      <c r="BD419" s="2" t="n">
        <f aca="false">AA419*AQ419</f>
        <v>5971.14894442738</v>
      </c>
      <c r="BE419" s="2" t="n">
        <f aca="false">BD419/BC419</f>
        <v>0.212497672871305</v>
      </c>
      <c r="BF419" s="2" t="n">
        <f aca="false">BD419/(Entrées!$C$151/100)-BC419</f>
        <v>5073.21752018953</v>
      </c>
      <c r="BG419" s="2" t="n">
        <f aca="false">MIN(AV419,BF419)</f>
        <v>1788.31052608312</v>
      </c>
      <c r="BH419" s="2" t="n">
        <f aca="false">IF(AC419&gt;Hypothèses!$J$26,MAX(0,BG419)/(1-Hypothèses!$J$26/AC419),0)</f>
        <v>2520.32489282434</v>
      </c>
    </row>
    <row r="420" customFormat="false" ht="15" hidden="false" customHeight="false" outlineLevel="0" collapsed="false">
      <c r="A420" s="2" t="n">
        <v>405</v>
      </c>
      <c r="B420" s="2" t="n">
        <v>0.889137691</v>
      </c>
      <c r="C420" s="2"/>
      <c r="D420" s="2" t="n">
        <v>0.090018166</v>
      </c>
      <c r="E420" s="2" t="n">
        <f aca="false">IF(E$7=E$5,E$6,IF(NORMSDIST(E$9*SQRT($C$11)*NORMSINV($B420)+SQRT(1-E$9^2*$C$11)*NORMSINV(D420))&lt;E$8,E$5+SQRT(NORMSDIST(E$9*SQRT($C$11)*NORMSINV($B420)+SQRT(1-E$9^2*$C$11)*NORMSINV(D420))*(E$7-E$5)*(E$6-E$5)),E$7-SQRT((1-NORMSDIST(E$9*SQRT($C$11)*NORMSINV($B420)+SQRT(1-E$9^2*$C$11)*NORMSINV(D420)))*(E$7-E$5)*(E$7-E$6))))</f>
        <v>0.0544455810897614</v>
      </c>
      <c r="F420" s="2" t="n">
        <v>0.400377585</v>
      </c>
      <c r="G420" s="2" t="n">
        <f aca="false">IF(G$7=G$5,G$6,IF(NORMSDIST(G$9*SQRT($C$11)*NORMSINV($B420)+SQRT(1-G$9^2*$C$11)*NORMSINV(F420))&lt;G$8,G$5+SQRT(NORMSDIST(G$9*SQRT($C$11)*NORMSINV($B420)+SQRT(1-G$9^2*$C$11)*NORMSINV(F420))*(G$7-G$5)*(G$6-G$5)),G$7-SQRT((1-NORMSDIST(G$9*SQRT($C$11)*NORMSINV($B420)+SQRT(1-G$9^2*$C$11)*NORMSINV(F420)))*(G$7-G$5)*(G$7-G$6))))</f>
        <v>0.0587379582254166</v>
      </c>
      <c r="H420" s="2" t="n">
        <v>0.522355221</v>
      </c>
      <c r="I420" s="2" t="n">
        <f aca="false">IF(I$7=I$5,I$6,IF(NORMSDIST(I$9*SQRT($C$11)*NORMSINV($B420)+SQRT(1-I$9^2*$C$11)*NORMSINV(H420))&lt;I$8,I$5+SQRT(NORMSDIST(I$9*SQRT($C$11)*NORMSINV($B420)+SQRT(1-I$9^2*$C$11)*NORMSINV(H420))*(I$7-I$5)*(I$6-I$5)),I$7-SQRT((1-NORMSDIST(I$9*SQRT($C$11)*NORMSINV($B420)+SQRT(1-I$9^2*$C$11)*NORMSINV(H420)))*(I$7-I$5)*(I$7-I$6))))</f>
        <v>207.125976808859</v>
      </c>
      <c r="J420" s="2" t="n">
        <v>0.645654267</v>
      </c>
      <c r="K420" s="2" t="n">
        <f aca="false">IF(K$7=K$5,K$6,IF(NORMSDIST(K$9*SQRT($C$11)*NORMSINV($B420)+SQRT(1-K$9^2*$C$11)*NORMSINV(J420))&lt;K$8,K$5+SQRT(NORMSDIST(K$9*SQRT($C$11)*NORMSINV($B420)+SQRT(1-K$9^2*$C$11)*NORMSINV(J420))*(K$7-K$5)*(K$6-K$5)),K$7-SQRT((1-NORMSDIST(K$9*SQRT($C$11)*NORMSINV($B420)+SQRT(1-K$9^2*$C$11)*NORMSINV(J420)))*(K$7-K$5)*(K$7-K$6))))</f>
        <v>0.365805605419907</v>
      </c>
      <c r="L420" s="2" t="n">
        <v>0.892181148</v>
      </c>
      <c r="M420" s="2" t="n">
        <f aca="false">IF(M$7=M$5,M$6,IF(NORMSDIST(M$9*SQRT($C$11)*NORMSINV($B420)+SQRT(1-M$9^2*$C$11)*NORMSINV(L420))&lt;M$8,M$5+SQRT(NORMSDIST(M$9*SQRT($C$11)*NORMSINV($B420)+SQRT(1-M$9^2*$C$11)*NORMSINV(L420))*(M$7-M$5)*(M$6-M$5)),M$7-SQRT((1-NORMSDIST(M$9*SQRT($C$11)*NORMSINV($B420)+SQRT(1-M$9^2*$C$11)*NORMSINV(L420)))*(M$7-M$5)*(M$7-M$6))))</f>
        <v>1734.32352620629</v>
      </c>
      <c r="N420" s="2" t="n">
        <v>0.627157868</v>
      </c>
      <c r="O420" s="2" t="n">
        <f aca="false">IF(O$7=O$5,O$6,IF(NORMSDIST(O$9*SQRT($C$11)*NORMSINV($B420)+SQRT(1-O$9^2*$C$11)*NORMSINV(N420))&lt;O$8,O$5+SQRT(NORMSDIST(O$9*SQRT($C$11)*NORMSINV($B420)+SQRT(1-O$9^2*$C$11)*NORMSINV(N420))*(O$7-O$5)*(O$6-O$5)),O$7-SQRT((1-NORMSDIST(O$9*SQRT($C$11)*NORMSINV($B420)+SQRT(1-O$9^2*$C$11)*NORMSINV(N420)))*(O$7-O$5)*(O$7-O$6))))</f>
        <v>0.177237959369656</v>
      </c>
      <c r="P420" s="2" t="n">
        <v>0.77906551</v>
      </c>
      <c r="Q420" s="2" t="n">
        <f aca="false">IF(Q$7=Q$5,Q$6,IF(NORMSDIST(Q$9*SQRT($C$11)*NORMSINV($B420)+SQRT(1-Q$9^2*$C$11)*NORMSINV(P420))&lt;Q$8,Q$5+SQRT(NORMSDIST(Q$9*SQRT($C$11)*NORMSINV($B420)+SQRT(1-Q$9^2*$C$11)*NORMSINV(P420))*(Q$7-Q$5)*(Q$6-Q$5)),Q$7-SQRT((1-NORMSDIST(Q$9*SQRT($C$11)*NORMSINV($B420)+SQRT(1-Q$9^2*$C$11)*NORMSINV(P420)))*(Q$7-Q$5)*(Q$7-Q$6))))</f>
        <v>0.0934107095243216</v>
      </c>
      <c r="R420" s="2" t="n">
        <v>0.914931443</v>
      </c>
      <c r="S420" s="2" t="n">
        <f aca="false">IF(S$7=S$5,S$6,IF(NORMSDIST(S$9*SQRT($C$11)*NORMSINV($B420)+SQRT(1-S$9^2*$C$11)*NORMSINV(R420))&lt;S$8,S$5+SQRT(NORMSDIST(S$9*SQRT($C$11)*NORMSINV($B420)+SQRT(1-S$9^2*$C$11)*NORMSINV(R420))*(S$7-S$5)*(S$6-S$5)),S$7-SQRT((1-NORMSDIST(S$9*SQRT($C$11)*NORMSINV($B420)+SQRT(1-S$9^2*$C$11)*NORMSINV(R420)))*(S$7-S$5)*(S$7-S$6))))</f>
        <v>0.871113326932704</v>
      </c>
      <c r="T420" s="2" t="n">
        <v>0.450106321</v>
      </c>
      <c r="U420" s="2" t="n">
        <f aca="false">IF(U$7=U$5,U$6,IF(NORMSDIST(U$9*SQRT($C$11)*NORMSINV($B420)+SQRT(1-U$9^2*$C$11)*NORMSINV(T420))&lt;U$8,U$5+SQRT(NORMSDIST(U$9*SQRT($C$11)*NORMSINV($B420)+SQRT(1-U$9^2*$C$11)*NORMSINV(T420))*(U$7-U$5)*(U$6-U$5)),U$7-SQRT((1-NORMSDIST(U$9*SQRT($C$11)*NORMSINV($B420)+SQRT(1-U$9^2*$C$11)*NORMSINV(T420)))*(U$7-U$5)*(U$7-U$6))))</f>
        <v>0.646719324121393</v>
      </c>
      <c r="V420" s="2" t="n">
        <v>0.826271686</v>
      </c>
      <c r="W420" s="2" t="n">
        <f aca="false">IF(W$7=W$5,W$6,IF(NORMSDIST(W$9*SQRT($C$11)*NORMSINV($B420)+SQRT(1-W$9^2*$C$11)*NORMSINV(V420))&lt;W$8,W$5+SQRT(NORMSDIST(W$9*SQRT($C$11)*NORMSINV($B420)+SQRT(1-W$9^2*$C$11)*NORMSINV(V420))*(W$7-W$5)*(W$6-W$5)),W$7-SQRT((1-NORMSDIST(W$9*SQRT($C$11)*NORMSINV($B420)+SQRT(1-W$9^2*$C$11)*NORMSINV(V420)))*(W$7-W$5)*(W$7-W$6))))</f>
        <v>11.2693535020502</v>
      </c>
      <c r="X420" s="2" t="n">
        <v>0.201744561</v>
      </c>
      <c r="Y420" s="2" t="n">
        <f aca="false">IF(Y$7=Y$5,Y$6,IF(NORMSDIST(Y$9*SQRT($C$11)*NORMSINV($B420)+SQRT(1-Y$9^2*$C$11)*NORMSINV(X420))&lt;Y$8,Y$5+SQRT(NORMSDIST(Y$9*SQRT($C$11)*NORMSINV($B420)+SQRT(1-Y$9^2*$C$11)*NORMSINV(X420))*(Y$7-Y$5)*(Y$6-Y$5)),Y$7-SQRT((1-NORMSDIST(Y$9*SQRT($C$11)*NORMSINV($B420)+SQRT(1-Y$9^2*$C$11)*NORMSINV(X420)))*(Y$7-Y$5)*(Y$7-Y$6))))</f>
        <v>0.317603968016774</v>
      </c>
      <c r="Z420" s="2" t="n">
        <v>0.462723899</v>
      </c>
      <c r="AA420" s="2" t="n">
        <f aca="false">IF(AA$7=AA$5,AA$6,IF(NORMSDIST(AA$9*SQRT($C$11)*NORMSINV($B420)+SQRT(1-AA$9^2*$C$11)*NORMSINV(Z420))&lt;AA$8,AA$5+SQRT(NORMSDIST(AA$9*SQRT($C$11)*NORMSINV($B420)+SQRT(1-AA$9^2*$C$11)*NORMSINV(Z420))*(AA$7-AA$5)*(AA$6-AA$5)),AA$7-SQRT((1-NORMSDIST(AA$9*SQRT($C$11)*NORMSINV($B420)+SQRT(1-AA$9^2*$C$11)*NORMSINV(Z420)))*(AA$7-AA$5)*(AA$7-AA$6))))</f>
        <v>0.736238655403378</v>
      </c>
      <c r="AB420" s="2" t="n">
        <v>0.669048637</v>
      </c>
      <c r="AC420" s="2" t="n">
        <f aca="false">IF(AC$7=AC$5,AC$6,IF(NORMSDIST(AC$9*SQRT($C$11)*NORMSINV($B420)+SQRT(1-AC$9^2*$C$11)*NORMSINV(AB420))&lt;AC$8,AC$5+SQRT(NORMSDIST(AC$9*SQRT($C$11)*NORMSINV($B420)+SQRT(1-AC$9^2*$C$11)*NORMSINV(AB420))*(AC$7-AC$5)*(AC$6-AC$5)),AC$7-SQRT((1-NORMSDIST(AC$9*SQRT($C$11)*NORMSINV($B420)+SQRT(1-AC$9^2*$C$11)*NORMSINV(AB420)))*(AC$7-AC$5)*(AC$7-AC$6))))</f>
        <v>10.2415325494877</v>
      </c>
      <c r="AD420" s="2" t="n">
        <f aca="false">Entrées!$C$8*(1+E420)</f>
        <v>7433.84134668282</v>
      </c>
      <c r="AE420" s="2" t="n">
        <f aca="false">I420*Hypothèses!$J$24/12/Hypothèses!$J$19</f>
        <v>102.754534162397</v>
      </c>
      <c r="AF420" s="2" t="n">
        <f aca="false">Entrées!$C$36*S420*1000</f>
        <v>435.556663466352</v>
      </c>
      <c r="AG420" s="2" t="n">
        <f aca="false">-AF420/W420</f>
        <v>-38.649658419812</v>
      </c>
      <c r="AH420" s="2" t="n">
        <f aca="false">AD420+AE420+AG420</f>
        <v>7497.9462224254</v>
      </c>
      <c r="AI420" s="2" t="n">
        <f aca="false">Entrées!$C$16-M420+Hypothèses!$J$22*1000-AF420+Hypothèses!$J$23</f>
        <v>22378.1198103274</v>
      </c>
      <c r="AJ420" s="2" t="n">
        <f aca="false">AI420/AH420</f>
        <v>2.98456659283542</v>
      </c>
      <c r="AK420" s="2" t="n">
        <f aca="false">AI420/(AH420+I420*(12-Hypothèses!$J$24)/12/Hypothèses!$J$19)</f>
        <v>2.95563440004162</v>
      </c>
      <c r="AL420" s="2" t="n">
        <f aca="false">(AD420+AG420+I420/Hypothèses!$J$19)*(1+G420)</f>
        <v>8016.06750705572</v>
      </c>
      <c r="AM420" s="2" t="n">
        <f aca="false">Entrées!$C$54*K420/Hypothèses!$J$19</f>
        <v>37.3319979515853</v>
      </c>
      <c r="AN420" s="2" t="n">
        <f aca="false">Y420*1000/AC420</f>
        <v>31.0113712456696</v>
      </c>
      <c r="AO420" s="2" t="n">
        <f aca="false">(Entrées!$C$36*(1-S420)+MAX(0,Entrées!$C$30-Entrées!$C$35-Entrées!$C$36)*U420)*1000</f>
        <v>969.850390303598</v>
      </c>
      <c r="AP420" s="2" t="n">
        <f aca="false">-AO420/W420</f>
        <v>-86.0608720923659</v>
      </c>
      <c r="AQ420" s="2" t="n">
        <f aca="false">AL420+AM420+AN420+AP420</f>
        <v>7998.35000416061</v>
      </c>
      <c r="AR420" s="2" t="n">
        <f aca="false">O420*AQ420-Hypothèses!$J$25/Hypothèses!$J$19</f>
        <v>1398.47607080008</v>
      </c>
      <c r="AS420" s="2" t="n">
        <f aca="false">Entrées!$C$79*(1+Q420)+Hypothèses!$J$20</f>
        <v>1496.65836976723</v>
      </c>
      <c r="AT420" s="2" t="n">
        <f aca="false">AI420-AR420+AS420+Y420*1000-AO420+Hypothèses!$J$23</f>
        <v>21824.0556870077</v>
      </c>
      <c r="AU420" s="2" t="n">
        <f aca="false">AT420/AQ420</f>
        <v>2.72856972696308</v>
      </c>
      <c r="AV420" s="2" t="n">
        <f aca="false">Hypothèses!$J$26*AQ420-AT420</f>
        <v>2170.99432547414</v>
      </c>
      <c r="AW420" s="2" t="n">
        <f aca="false">IF(AC420&gt;Hypothèses!$J$26,MAX(0,AV420)/(1-Hypothèses!$J$26/AC420),0)</f>
        <v>3070.38722772426</v>
      </c>
      <c r="AX420" s="2" t="n">
        <f aca="false">AQ420-Entrées!$C$17*1000</f>
        <v>-1.64999583939425</v>
      </c>
      <c r="AY420" s="2" t="n">
        <f aca="false">AI420+(Entrées!$C$244-Entrées!$C$13)</f>
        <v>28125.1198103274</v>
      </c>
      <c r="AZ420" s="2" t="n">
        <f aca="false">AA420*AH420</f>
        <v>5520.27784508532</v>
      </c>
      <c r="BA420" s="2" t="n">
        <f aca="false">AZ420/AY420</f>
        <v>0.196275709483673</v>
      </c>
      <c r="BB420" s="2" t="n">
        <f aca="false">AZ420/(Entrées!$C$151/100)-AY420</f>
        <v>2543.09044014662</v>
      </c>
      <c r="BC420" s="2" t="n">
        <f aca="false">AT420+(Entrées!$C$244-Entrées!$C$13)</f>
        <v>27571.0556870077</v>
      </c>
      <c r="BD420" s="2" t="n">
        <f aca="false">AA420*AQ420</f>
        <v>5888.69445250881</v>
      </c>
      <c r="BE420" s="2" t="n">
        <f aca="false">BD420/BC420</f>
        <v>0.213582480096464</v>
      </c>
      <c r="BF420" s="2" t="n">
        <f aca="false">BD420/(Entrées!$C$151/100)-BC420</f>
        <v>5143.91349359681</v>
      </c>
      <c r="BG420" s="2" t="n">
        <f aca="false">MIN(AV420,BF420)</f>
        <v>2170.99432547414</v>
      </c>
      <c r="BH420" s="2" t="n">
        <f aca="false">IF(AC420&gt;Hypothèses!$J$26,MAX(0,BG420)/(1-Hypothèses!$J$26/AC420),0)</f>
        <v>3070.38722772426</v>
      </c>
    </row>
    <row r="421" customFormat="false" ht="15" hidden="false" customHeight="false" outlineLevel="0" collapsed="false">
      <c r="A421" s="2" t="n">
        <v>406</v>
      </c>
      <c r="B421" s="2" t="n">
        <v>0.217158794</v>
      </c>
      <c r="C421" s="2"/>
      <c r="D421" s="2" t="n">
        <v>0.598020269</v>
      </c>
      <c r="E421" s="2" t="n">
        <f aca="false">IF(E$7=E$5,E$6,IF(NORMSDIST(E$9*SQRT($C$11)*NORMSINV($B421)+SQRT(1-E$9^2*$C$11)*NORMSINV(D421))&lt;E$8,E$5+SQRT(NORMSDIST(E$9*SQRT($C$11)*NORMSINV($B421)+SQRT(1-E$9^2*$C$11)*NORMSINV(D421))*(E$7-E$5)*(E$6-E$5)),E$7-SQRT((1-NORMSDIST(E$9*SQRT($C$11)*NORMSINV($B421)+SQRT(1-E$9^2*$C$11)*NORMSINV(D421)))*(E$7-E$5)*(E$7-E$6))))</f>
        <v>0.0543660737123334</v>
      </c>
      <c r="F421" s="2" t="n">
        <v>0.308063986</v>
      </c>
      <c r="G421" s="2" t="n">
        <f aca="false">IF(G$7=G$5,G$6,IF(NORMSDIST(G$9*SQRT($C$11)*NORMSINV($B421)+SQRT(1-G$9^2*$C$11)*NORMSINV(F421))&lt;G$8,G$5+SQRT(NORMSDIST(G$9*SQRT($C$11)*NORMSINV($B421)+SQRT(1-G$9^2*$C$11)*NORMSINV(F421))*(G$7-G$5)*(G$6-G$5)),G$7-SQRT((1-NORMSDIST(G$9*SQRT($C$11)*NORMSINV($B421)+SQRT(1-G$9^2*$C$11)*NORMSINV(F421)))*(G$7-G$5)*(G$7-G$6))))</f>
        <v>0.0492141883733642</v>
      </c>
      <c r="H421" s="2" t="n">
        <v>0.625797391</v>
      </c>
      <c r="I421" s="2" t="n">
        <f aca="false">IF(I$7=I$5,I$6,IF(NORMSDIST(I$9*SQRT($C$11)*NORMSINV($B421)+SQRT(1-I$9^2*$C$11)*NORMSINV(H421))&lt;I$8,I$5+SQRT(NORMSDIST(I$9*SQRT($C$11)*NORMSINV($B421)+SQRT(1-I$9^2*$C$11)*NORMSINV(H421))*(I$7-I$5)*(I$6-I$5)),I$7-SQRT((1-NORMSDIST(I$9*SQRT($C$11)*NORMSINV($B421)+SQRT(1-I$9^2*$C$11)*NORMSINV(H421)))*(I$7-I$5)*(I$7-I$6))))</f>
        <v>197.951762565757</v>
      </c>
      <c r="J421" s="2" t="n">
        <v>0.289604675</v>
      </c>
      <c r="K421" s="2" t="n">
        <f aca="false">IF(K$7=K$5,K$6,IF(NORMSDIST(K$9*SQRT($C$11)*NORMSINV($B421)+SQRT(1-K$9^2*$C$11)*NORMSINV(J421))&lt;K$8,K$5+SQRT(NORMSDIST(K$9*SQRT($C$11)*NORMSINV($B421)+SQRT(1-K$9^2*$C$11)*NORMSINV(J421))*(K$7-K$5)*(K$6-K$5)),K$7-SQRT((1-NORMSDIST(K$9*SQRT($C$11)*NORMSINV($B421)+SQRT(1-K$9^2*$C$11)*NORMSINV(J421)))*(K$7-K$5)*(K$7-K$6))))</f>
        <v>0.149055133330921</v>
      </c>
      <c r="L421" s="2" t="n">
        <v>0.169177784</v>
      </c>
      <c r="M421" s="2" t="n">
        <f aca="false">IF(M$7=M$5,M$6,IF(NORMSDIST(M$9*SQRT($C$11)*NORMSINV($B421)+SQRT(1-M$9^2*$C$11)*NORMSINV(L421))&lt;M$8,M$5+SQRT(NORMSDIST(M$9*SQRT($C$11)*NORMSINV($B421)+SQRT(1-M$9^2*$C$11)*NORMSINV(L421))*(M$7-M$5)*(M$6-M$5)),M$7-SQRT((1-NORMSDIST(M$9*SQRT($C$11)*NORMSINV($B421)+SQRT(1-M$9^2*$C$11)*NORMSINV(L421)))*(M$7-M$5)*(M$7-M$6))))</f>
        <v>1434.46170138884</v>
      </c>
      <c r="N421" s="2" t="n">
        <v>0.974792702</v>
      </c>
      <c r="O421" s="2" t="n">
        <f aca="false">IF(O$7=O$5,O$6,IF(NORMSDIST(O$9*SQRT($C$11)*NORMSINV($B421)+SQRT(1-O$9^2*$C$11)*NORMSINV(N421))&lt;O$8,O$5+SQRT(NORMSDIST(O$9*SQRT($C$11)*NORMSINV($B421)+SQRT(1-O$9^2*$C$11)*NORMSINV(N421))*(O$7-O$5)*(O$6-O$5)),O$7-SQRT((1-NORMSDIST(O$9*SQRT($C$11)*NORMSINV($B421)+SQRT(1-O$9^2*$C$11)*NORMSINV(N421)))*(O$7-O$5)*(O$7-O$6))))</f>
        <v>0.177207525625722</v>
      </c>
      <c r="P421" s="2" t="n">
        <v>0.768566575</v>
      </c>
      <c r="Q421" s="2" t="n">
        <f aca="false">IF(Q$7=Q$5,Q$6,IF(NORMSDIST(Q$9*SQRT($C$11)*NORMSINV($B421)+SQRT(1-Q$9^2*$C$11)*NORMSINV(P421))&lt;Q$8,Q$5+SQRT(NORMSDIST(Q$9*SQRT($C$11)*NORMSINV($B421)+SQRT(1-Q$9^2*$C$11)*NORMSINV(P421))*(Q$7-Q$5)*(Q$6-Q$5)),Q$7-SQRT((1-NORMSDIST(Q$9*SQRT($C$11)*NORMSINV($B421)+SQRT(1-Q$9^2*$C$11)*NORMSINV(P421)))*(Q$7-Q$5)*(Q$7-Q$6))))</f>
        <v>0.0927862725816547</v>
      </c>
      <c r="R421" s="2" t="n">
        <v>0.659591787</v>
      </c>
      <c r="S421" s="2" t="n">
        <f aca="false">IF(S$7=S$5,S$6,IF(NORMSDIST(S$9*SQRT($C$11)*NORMSINV($B421)+SQRT(1-S$9^2*$C$11)*NORMSINV(R421))&lt;S$8,S$5+SQRT(NORMSDIST(S$9*SQRT($C$11)*NORMSINV($B421)+SQRT(1-S$9^2*$C$11)*NORMSINV(R421))*(S$7-S$5)*(S$6-S$5)),S$7-SQRT((1-NORMSDIST(S$9*SQRT($C$11)*NORMSINV($B421)+SQRT(1-S$9^2*$C$11)*NORMSINV(R421)))*(S$7-S$5)*(S$7-S$6))))</f>
        <v>0.46379412902603</v>
      </c>
      <c r="T421" s="2" t="n">
        <v>0.12976302</v>
      </c>
      <c r="U421" s="2" t="n">
        <f aca="false">IF(U$7=U$5,U$6,IF(NORMSDIST(U$9*SQRT($C$11)*NORMSINV($B421)+SQRT(1-U$9^2*$C$11)*NORMSINV(T421))&lt;U$8,U$5+SQRT(NORMSDIST(U$9*SQRT($C$11)*NORMSINV($B421)+SQRT(1-U$9^2*$C$11)*NORMSINV(T421))*(U$7-U$5)*(U$6-U$5)),U$7-SQRT((1-NORMSDIST(U$9*SQRT($C$11)*NORMSINV($B421)+SQRT(1-U$9^2*$C$11)*NORMSINV(T421)))*(U$7-U$5)*(U$7-U$6))))</f>
        <v>0.206980234651358</v>
      </c>
      <c r="V421" s="2" t="n">
        <v>0.308716615</v>
      </c>
      <c r="W421" s="2" t="n">
        <f aca="false">IF(W$7=W$5,W$6,IF(NORMSDIST(W$9*SQRT($C$11)*NORMSINV($B421)+SQRT(1-W$9^2*$C$11)*NORMSINV(V421))&lt;W$8,W$5+SQRT(NORMSDIST(W$9*SQRT($C$11)*NORMSINV($B421)+SQRT(1-W$9^2*$C$11)*NORMSINV(V421))*(W$7-W$5)*(W$6-W$5)),W$7-SQRT((1-NORMSDIST(W$9*SQRT($C$11)*NORMSINV($B421)+SQRT(1-W$9^2*$C$11)*NORMSINV(V421)))*(W$7-W$5)*(W$7-W$6))))</f>
        <v>9.22982202587982</v>
      </c>
      <c r="X421" s="2" t="n">
        <v>0.369716433</v>
      </c>
      <c r="Y421" s="2" t="n">
        <f aca="false">IF(Y$7=Y$5,Y$6,IF(NORMSDIST(Y$9*SQRT($C$11)*NORMSINV($B421)+SQRT(1-Y$9^2*$C$11)*NORMSINV(X421))&lt;Y$8,Y$5+SQRT(NORMSDIST(Y$9*SQRT($C$11)*NORMSINV($B421)+SQRT(1-Y$9^2*$C$11)*NORMSINV(X421))*(Y$7-Y$5)*(Y$6-Y$5)),Y$7-SQRT((1-NORMSDIST(Y$9*SQRT($C$11)*NORMSINV($B421)+SQRT(1-Y$9^2*$C$11)*NORMSINV(X421)))*(Y$7-Y$5)*(Y$7-Y$6))))</f>
        <v>0.429951411789751</v>
      </c>
      <c r="Z421" s="2" t="n">
        <v>0.467613555</v>
      </c>
      <c r="AA421" s="2" t="n">
        <f aca="false">IF(AA$7=AA$5,AA$6,IF(NORMSDIST(AA$9*SQRT($C$11)*NORMSINV($B421)+SQRT(1-AA$9^2*$C$11)*NORMSINV(Z421))&lt;AA$8,AA$5+SQRT(NORMSDIST(AA$9*SQRT($C$11)*NORMSINV($B421)+SQRT(1-AA$9^2*$C$11)*NORMSINV(Z421))*(AA$7-AA$5)*(AA$6-AA$5)),AA$7-SQRT((1-NORMSDIST(AA$9*SQRT($C$11)*NORMSINV($B421)+SQRT(1-AA$9^2*$C$11)*NORMSINV(Z421)))*(AA$7-AA$5)*(AA$7-AA$6))))</f>
        <v>0.720187886180519</v>
      </c>
      <c r="AB421" s="2" t="n">
        <v>0.876070516</v>
      </c>
      <c r="AC421" s="2" t="n">
        <f aca="false">IF(AC$7=AC$5,AC$6,IF(NORMSDIST(AC$9*SQRT($C$11)*NORMSINV($B421)+SQRT(1-AC$9^2*$C$11)*NORMSINV(AB421))&lt;AC$8,AC$5+SQRT(NORMSDIST(AC$9*SQRT($C$11)*NORMSINV($B421)+SQRT(1-AC$9^2*$C$11)*NORMSINV(AB421))*(AC$7-AC$5)*(AC$6-AC$5)),AC$7-SQRT((1-NORMSDIST(AC$9*SQRT($C$11)*NORMSINV($B421)+SQRT(1-AC$9^2*$C$11)*NORMSINV(AB421)))*(AC$7-AC$5)*(AC$7-AC$6))))</f>
        <v>9.78009263712928</v>
      </c>
      <c r="AD421" s="2" t="n">
        <f aca="false">Entrées!$C$8*(1+E421)</f>
        <v>7433.28081967195</v>
      </c>
      <c r="AE421" s="2" t="n">
        <f aca="false">I421*Hypothèses!$J$24/12/Hypothèses!$J$19</f>
        <v>98.2032358396088</v>
      </c>
      <c r="AF421" s="2" t="n">
        <f aca="false">Entrées!$C$36*S421*1000</f>
        <v>231.897064513015</v>
      </c>
      <c r="AG421" s="2" t="n">
        <f aca="false">-AF421/W421</f>
        <v>-25.1247601376051</v>
      </c>
      <c r="AH421" s="2" t="n">
        <f aca="false">AD421+AE421+AG421</f>
        <v>7506.35929537395</v>
      </c>
      <c r="AI421" s="2" t="n">
        <f aca="false">Entrées!$C$16-M421+Hypothèses!$J$22*1000-AF421+Hypothèses!$J$23</f>
        <v>22881.6412340981</v>
      </c>
      <c r="AJ421" s="2" t="n">
        <f aca="false">AI421/AH421</f>
        <v>3.0483008251683</v>
      </c>
      <c r="AK421" s="2" t="n">
        <f aca="false">AI421/(AH421+I421*(12-Hypothèses!$J$24)/12/Hypothèses!$J$19)</f>
        <v>3.02007889566118</v>
      </c>
      <c r="AL421" s="2" t="n">
        <f aca="false">(AD421+AG421+I421/Hypothèses!$J$19)*(1+G421)</f>
        <v>7949.37598172542</v>
      </c>
      <c r="AM421" s="2" t="n">
        <f aca="false">Entrées!$C$54*K421/Hypothèses!$J$19</f>
        <v>15.2117021984825</v>
      </c>
      <c r="AN421" s="2" t="n">
        <f aca="false">Y421*1000/AC421</f>
        <v>43.9618956325094</v>
      </c>
      <c r="AO421" s="2" t="n">
        <f aca="false">(Entrées!$C$36*(1-S421)+MAX(0,Entrées!$C$30-Entrées!$C$35-Entrées!$C$36)*U421)*1000</f>
        <v>557.875263998887</v>
      </c>
      <c r="AP421" s="2" t="n">
        <f aca="false">-AO421/W421</f>
        <v>-60.4426891910419</v>
      </c>
      <c r="AQ421" s="2" t="n">
        <f aca="false">AL421+AM421+AN421+AP421</f>
        <v>7948.10689036537</v>
      </c>
      <c r="AR421" s="2" t="n">
        <f aca="false">O421*AQ421-Hypothèses!$J$25/Hypothèses!$J$19</f>
        <v>1389.32919318877</v>
      </c>
      <c r="AS421" s="2" t="n">
        <f aca="false">Entrées!$C$79*(1+Q421)+Hypothèses!$J$20</f>
        <v>1495.97211356724</v>
      </c>
      <c r="AT421" s="2" t="n">
        <f aca="false">AI421-AR421+AS421+Y421*1000-AO421+Hypothèses!$J$23</f>
        <v>22860.3603022675</v>
      </c>
      <c r="AU421" s="2" t="n">
        <f aca="false">AT421/AQ421</f>
        <v>2.8762019204823</v>
      </c>
      <c r="AV421" s="2" t="n">
        <f aca="false">Hypothèses!$J$26*AQ421-AT421</f>
        <v>983.96036882863</v>
      </c>
      <c r="AW421" s="2" t="n">
        <f aca="false">IF(AC421&gt;Hypothèses!$J$26,MAX(0,AV421)/(1-Hypothèses!$J$26/AC421),0)</f>
        <v>1419.3351143477</v>
      </c>
      <c r="AX421" s="2" t="n">
        <f aca="false">AQ421-Entrées!$C$17*1000</f>
        <v>-51.8931096346287</v>
      </c>
      <c r="AY421" s="2" t="n">
        <f aca="false">AI421+(Entrées!$C$244-Entrées!$C$13)</f>
        <v>28628.6412340981</v>
      </c>
      <c r="AZ421" s="2" t="n">
        <f aca="false">AA421*AH421</f>
        <v>5405.98903384686</v>
      </c>
      <c r="BA421" s="2" t="n">
        <f aca="false">AZ421/AY421</f>
        <v>0.188831491849081</v>
      </c>
      <c r="BB421" s="2" t="n">
        <f aca="false">AZ421/(Entrées!$C$151/100)-AY421</f>
        <v>1404.63117616219</v>
      </c>
      <c r="BC421" s="2" t="n">
        <f aca="false">AT421+(Entrées!$C$244-Entrées!$C$13)</f>
        <v>28607.3603022675</v>
      </c>
      <c r="BD421" s="2" t="n">
        <f aca="false">AA421*AQ421</f>
        <v>5724.13030050906</v>
      </c>
      <c r="BE421" s="2" t="n">
        <f aca="false">BD421/BC421</f>
        <v>0.200092921542829</v>
      </c>
      <c r="BF421" s="2" t="n">
        <f aca="false">BD421/(Entrées!$C$151/100)-BC421</f>
        <v>3193.36358944951</v>
      </c>
      <c r="BG421" s="2" t="n">
        <f aca="false">MIN(AV421,BF421)</f>
        <v>983.96036882863</v>
      </c>
      <c r="BH421" s="2" t="n">
        <f aca="false">IF(AC421&gt;Hypothèses!$J$26,MAX(0,BG421)/(1-Hypothèses!$J$26/AC421),0)</f>
        <v>1419.3351143477</v>
      </c>
    </row>
    <row r="422" customFormat="false" ht="15" hidden="false" customHeight="false" outlineLevel="0" collapsed="false">
      <c r="A422" s="2" t="n">
        <v>407</v>
      </c>
      <c r="B422" s="2" t="n">
        <v>0.666546325</v>
      </c>
      <c r="C422" s="2"/>
      <c r="D422" s="2" t="n">
        <v>0.874971904</v>
      </c>
      <c r="E422" s="2" t="n">
        <f aca="false">IF(E$7=E$5,E$6,IF(NORMSDIST(E$9*SQRT($C$11)*NORMSINV($B422)+SQRT(1-E$9^2*$C$11)*NORMSINV(D422))&lt;E$8,E$5+SQRT(NORMSDIST(E$9*SQRT($C$11)*NORMSINV($B422)+SQRT(1-E$9^2*$C$11)*NORMSINV(D422))*(E$7-E$5)*(E$6-E$5)),E$7-SQRT((1-NORMSDIST(E$9*SQRT($C$11)*NORMSINV($B422)+SQRT(1-E$9^2*$C$11)*NORMSINV(D422)))*(E$7-E$5)*(E$7-E$6))))</f>
        <v>0.0575263106991538</v>
      </c>
      <c r="F422" s="2" t="n">
        <v>0.831443704</v>
      </c>
      <c r="G422" s="2" t="n">
        <f aca="false">IF(G$7=G$5,G$6,IF(NORMSDIST(G$9*SQRT($C$11)*NORMSINV($B422)+SQRT(1-G$9^2*$C$11)*NORMSINV(F422))&lt;G$8,G$5+SQRT(NORMSDIST(G$9*SQRT($C$11)*NORMSINV($B422)+SQRT(1-G$9^2*$C$11)*NORMSINV(F422))*(G$7-G$5)*(G$6-G$5)),G$7-SQRT((1-NORMSDIST(G$9*SQRT($C$11)*NORMSINV($B422)+SQRT(1-G$9^2*$C$11)*NORMSINV(F422)))*(G$7-G$5)*(G$7-G$6))))</f>
        <v>0.0616516209816307</v>
      </c>
      <c r="H422" s="2" t="n">
        <v>0.298609882</v>
      </c>
      <c r="I422" s="2" t="n">
        <f aca="false">IF(I$7=I$5,I$6,IF(NORMSDIST(I$9*SQRT($C$11)*NORMSINV($B422)+SQRT(1-I$9^2*$C$11)*NORMSINV(H422))&lt;I$8,I$5+SQRT(NORMSDIST(I$9*SQRT($C$11)*NORMSINV($B422)+SQRT(1-I$9^2*$C$11)*NORMSINV(H422))*(I$7-I$5)*(I$6-I$5)),I$7-SQRT((1-NORMSDIST(I$9*SQRT($C$11)*NORMSINV($B422)+SQRT(1-I$9^2*$C$11)*NORMSINV(H422)))*(I$7-I$5)*(I$7-I$6))))</f>
        <v>198.878110674032</v>
      </c>
      <c r="J422" s="2" t="n">
        <v>0.542485794</v>
      </c>
      <c r="K422" s="2" t="n">
        <f aca="false">IF(K$7=K$5,K$6,IF(NORMSDIST(K$9*SQRT($C$11)*NORMSINV($B422)+SQRT(1-K$9^2*$C$11)*NORMSINV(J422))&lt;K$8,K$5+SQRT(NORMSDIST(K$9*SQRT($C$11)*NORMSINV($B422)+SQRT(1-K$9^2*$C$11)*NORMSINV(J422))*(K$7-K$5)*(K$6-K$5)),K$7-SQRT((1-NORMSDIST(K$9*SQRT($C$11)*NORMSINV($B422)+SQRT(1-K$9^2*$C$11)*NORMSINV(J422)))*(K$7-K$5)*(K$7-K$6))))</f>
        <v>0.287470809997682</v>
      </c>
      <c r="L422" s="2" t="n">
        <v>0.711547028</v>
      </c>
      <c r="M422" s="2" t="n">
        <f aca="false">IF(M$7=M$5,M$6,IF(NORMSDIST(M$9*SQRT($C$11)*NORMSINV($B422)+SQRT(1-M$9^2*$C$11)*NORMSINV(L422))&lt;M$8,M$5+SQRT(NORMSDIST(M$9*SQRT($C$11)*NORMSINV($B422)+SQRT(1-M$9^2*$C$11)*NORMSINV(L422))*(M$7-M$5)*(M$6-M$5)),M$7-SQRT((1-NORMSDIST(M$9*SQRT($C$11)*NORMSINV($B422)+SQRT(1-M$9^2*$C$11)*NORMSINV(L422)))*(M$7-M$5)*(M$7-M$6))))</f>
        <v>1653.50100372157</v>
      </c>
      <c r="N422" s="2" t="n">
        <v>0.901322803</v>
      </c>
      <c r="O422" s="2" t="n">
        <f aca="false">IF(O$7=O$5,O$6,IF(NORMSDIST(O$9*SQRT($C$11)*NORMSINV($B422)+SQRT(1-O$9^2*$C$11)*NORMSINV(N422))&lt;O$8,O$5+SQRT(NORMSDIST(O$9*SQRT($C$11)*NORMSINV($B422)+SQRT(1-O$9^2*$C$11)*NORMSINV(N422))*(O$7-O$5)*(O$6-O$5)),O$7-SQRT((1-NORMSDIST(O$9*SQRT($C$11)*NORMSINV($B422)+SQRT(1-O$9^2*$C$11)*NORMSINV(N422)))*(O$7-O$5)*(O$7-O$6))))</f>
        <v>0.179581281824974</v>
      </c>
      <c r="P422" s="2" t="n">
        <v>0.994398643</v>
      </c>
      <c r="Q422" s="2" t="n">
        <f aca="false">IF(Q$7=Q$5,Q$6,IF(NORMSDIST(Q$9*SQRT($C$11)*NORMSINV($B422)+SQRT(1-Q$9^2*$C$11)*NORMSINV(P422))&lt;Q$8,Q$5+SQRT(NORMSDIST(Q$9*SQRT($C$11)*NORMSINV($B422)+SQRT(1-Q$9^2*$C$11)*NORMSINV(P422))*(Q$7-Q$5)*(Q$6-Q$5)),Q$7-SQRT((1-NORMSDIST(Q$9*SQRT($C$11)*NORMSINV($B422)+SQRT(1-Q$9^2*$C$11)*NORMSINV(P422)))*(Q$7-Q$5)*(Q$7-Q$6))))</f>
        <v>0.115766285035575</v>
      </c>
      <c r="R422" s="2" t="n">
        <v>0.220531027</v>
      </c>
      <c r="S422" s="2" t="n">
        <f aca="false">IF(S$7=S$5,S$6,IF(NORMSDIST(S$9*SQRT($C$11)*NORMSINV($B422)+SQRT(1-S$9^2*$C$11)*NORMSINV(R422))&lt;S$8,S$5+SQRT(NORMSDIST(S$9*SQRT($C$11)*NORMSINV($B422)+SQRT(1-S$9^2*$C$11)*NORMSINV(R422))*(S$7-S$5)*(S$6-S$5)),S$7-SQRT((1-NORMSDIST(S$9*SQRT($C$11)*NORMSINV($B422)+SQRT(1-S$9^2*$C$11)*NORMSINV(R422)))*(S$7-S$5)*(S$7-S$6))))</f>
        <v>0.431719408660136</v>
      </c>
      <c r="T422" s="2" t="n">
        <v>0.627853138</v>
      </c>
      <c r="U422" s="2" t="n">
        <f aca="false">IF(U$7=U$5,U$6,IF(NORMSDIST(U$9*SQRT($C$11)*NORMSINV($B422)+SQRT(1-U$9^2*$C$11)*NORMSINV(T422))&lt;U$8,U$5+SQRT(NORMSDIST(U$9*SQRT($C$11)*NORMSINV($B422)+SQRT(1-U$9^2*$C$11)*NORMSINV(T422))*(U$7-U$5)*(U$6-U$5)),U$7-SQRT((1-NORMSDIST(U$9*SQRT($C$11)*NORMSINV($B422)+SQRT(1-U$9^2*$C$11)*NORMSINV(T422)))*(U$7-U$5)*(U$7-U$6))))</f>
        <v>0.612804524449343</v>
      </c>
      <c r="V422" s="2" t="n">
        <v>0.260568272</v>
      </c>
      <c r="W422" s="2" t="n">
        <f aca="false">IF(W$7=W$5,W$6,IF(NORMSDIST(W$9*SQRT($C$11)*NORMSINV($B422)+SQRT(1-W$9^2*$C$11)*NORMSINV(V422))&lt;W$8,W$5+SQRT(NORMSDIST(W$9*SQRT($C$11)*NORMSINV($B422)+SQRT(1-W$9^2*$C$11)*NORMSINV(V422))*(W$7-W$5)*(W$6-W$5)),W$7-SQRT((1-NORMSDIST(W$9*SQRT($C$11)*NORMSINV($B422)+SQRT(1-W$9^2*$C$11)*NORMSINV(V422)))*(W$7-W$5)*(W$7-W$6))))</f>
        <v>9.81345848865066</v>
      </c>
      <c r="X422" s="2" t="n">
        <v>0.280432233</v>
      </c>
      <c r="Y422" s="2" t="n">
        <f aca="false">IF(Y$7=Y$5,Y$6,IF(NORMSDIST(Y$9*SQRT($C$11)*NORMSINV($B422)+SQRT(1-Y$9^2*$C$11)*NORMSINV(X422))&lt;Y$8,Y$5+SQRT(NORMSDIST(Y$9*SQRT($C$11)*NORMSINV($B422)+SQRT(1-Y$9^2*$C$11)*NORMSINV(X422))*(Y$7-Y$5)*(Y$6-Y$5)),Y$7-SQRT((1-NORMSDIST(Y$9*SQRT($C$11)*NORMSINV($B422)+SQRT(1-Y$9^2*$C$11)*NORMSINV(X422)))*(Y$7-Y$5)*(Y$7-Y$6))))</f>
        <v>0.374454425130749</v>
      </c>
      <c r="Z422" s="2" t="n">
        <v>0.417543251</v>
      </c>
      <c r="AA422" s="2" t="n">
        <f aca="false">IF(AA$7=AA$5,AA$6,IF(NORMSDIST(AA$9*SQRT($C$11)*NORMSINV($B422)+SQRT(1-AA$9^2*$C$11)*NORMSINV(Z422))&lt;AA$8,AA$5+SQRT(NORMSDIST(AA$9*SQRT($C$11)*NORMSINV($B422)+SQRT(1-AA$9^2*$C$11)*NORMSINV(Z422))*(AA$7-AA$5)*(AA$6-AA$5)),AA$7-SQRT((1-NORMSDIST(AA$9*SQRT($C$11)*NORMSINV($B422)+SQRT(1-AA$9^2*$C$11)*NORMSINV(Z422)))*(AA$7-AA$5)*(AA$7-AA$6))))</f>
        <v>0.729466619259919</v>
      </c>
      <c r="AB422" s="2" t="n">
        <v>0.287223132</v>
      </c>
      <c r="AC422" s="2" t="n">
        <f aca="false">IF(AC$7=AC$5,AC$6,IF(NORMSDIST(AC$9*SQRT($C$11)*NORMSINV($B422)+SQRT(1-AC$9^2*$C$11)*NORMSINV(AB422))&lt;AC$8,AC$5+SQRT(NORMSDIST(AC$9*SQRT($C$11)*NORMSINV($B422)+SQRT(1-AC$9^2*$C$11)*NORMSINV(AB422))*(AC$7-AC$5)*(AC$6-AC$5)),AC$7-SQRT((1-NORMSDIST(AC$9*SQRT($C$11)*NORMSINV($B422)+SQRT(1-AC$9^2*$C$11)*NORMSINV(AB422)))*(AC$7-AC$5)*(AC$7-AC$6))))</f>
        <v>9.33946367414307</v>
      </c>
      <c r="AD422" s="2" t="n">
        <f aca="false">Entrées!$C$8*(1+E422)</f>
        <v>7455.56049042903</v>
      </c>
      <c r="AE422" s="2" t="n">
        <f aca="false">I422*Hypothèses!$J$24/12/Hypothèses!$J$19</f>
        <v>98.6627941712314</v>
      </c>
      <c r="AF422" s="2" t="n">
        <f aca="false">Entrées!$C$36*S422*1000</f>
        <v>215.859704330068</v>
      </c>
      <c r="AG422" s="2" t="n">
        <f aca="false">-AF422/W422</f>
        <v>-21.9962925995674</v>
      </c>
      <c r="AH422" s="2" t="n">
        <f aca="false">AD422+AE422+AG422</f>
        <v>7532.2269920007</v>
      </c>
      <c r="AI422" s="2" t="n">
        <f aca="false">Entrées!$C$16-M422+Hypothèses!$J$22*1000-AF422+Hypothèses!$J$23</f>
        <v>22678.6392919484</v>
      </c>
      <c r="AJ422" s="2" t="n">
        <f aca="false">AI422/AH422</f>
        <v>3.01088102045163</v>
      </c>
      <c r="AK422" s="2" t="n">
        <f aca="false">AI422/(AH422+I422*(12-Hypothèses!$J$24)/12/Hypothèses!$J$19)</f>
        <v>2.98297158243953</v>
      </c>
      <c r="AL422" s="2" t="n">
        <f aca="false">(AD422+AG422+I422/Hypothèses!$J$19)*(1+G422)</f>
        <v>8071.41922091804</v>
      </c>
      <c r="AM422" s="2" t="n">
        <f aca="false">Entrées!$C$54*K422/Hypothèses!$J$19</f>
        <v>29.3376031721957</v>
      </c>
      <c r="AN422" s="2" t="n">
        <f aca="false">Y422*1000/AC422</f>
        <v>40.0937824906854</v>
      </c>
      <c r="AO422" s="2" t="n">
        <f aca="false">(Entrées!$C$36*(1-S422)+MAX(0,Entrées!$C$30-Entrées!$C$35-Entrées!$C$36)*U422)*1000</f>
        <v>1142.06662989901</v>
      </c>
      <c r="AP422" s="2" t="n">
        <f aca="false">-AO422/W422</f>
        <v>-116.377588107171</v>
      </c>
      <c r="AQ422" s="2" t="n">
        <f aca="false">AL422+AM422+AN422+AP422</f>
        <v>8024.47301847375</v>
      </c>
      <c r="AR422" s="2" t="n">
        <f aca="false">O422*AQ422-Hypothèses!$J$25/Hypothèses!$J$19</f>
        <v>1421.90998836581</v>
      </c>
      <c r="AS422" s="2" t="n">
        <f aca="false">Entrées!$C$79*(1+Q422)+Hypothèses!$J$20</f>
        <v>1521.2271472541</v>
      </c>
      <c r="AT422" s="2" t="n">
        <f aca="false">AI422-AR422+AS422+Y422*1000-AO422+Hypothèses!$J$23</f>
        <v>22010.3442460684</v>
      </c>
      <c r="AU422" s="2" t="n">
        <f aca="false">AT422/AQ422</f>
        <v>2.74290214390362</v>
      </c>
      <c r="AV422" s="2" t="n">
        <f aca="false">Hypothèses!$J$26*AQ422-AT422</f>
        <v>2063.07480935285</v>
      </c>
      <c r="AW422" s="2" t="n">
        <f aca="false">IF(AC422&gt;Hypothèses!$J$26,MAX(0,AV422)/(1-Hypothèses!$J$26/AC422),0)</f>
        <v>3039.3757625869</v>
      </c>
      <c r="AX422" s="2" t="n">
        <f aca="false">AQ422-Entrées!$C$17*1000</f>
        <v>24.4730184737464</v>
      </c>
      <c r="AY422" s="2" t="n">
        <f aca="false">AI422+(Entrées!$C$244-Entrées!$C$13)</f>
        <v>28425.6392919484</v>
      </c>
      <c r="AZ422" s="2" t="n">
        <f aca="false">AA422*AH422</f>
        <v>5494.50815935306</v>
      </c>
      <c r="BA422" s="2" t="n">
        <f aca="false">AZ422/AY422</f>
        <v>0.193294092805483</v>
      </c>
      <c r="BB422" s="2" t="n">
        <f aca="false">AZ422/(Entrées!$C$151/100)-AY422</f>
        <v>2099.40603779084</v>
      </c>
      <c r="BC422" s="2" t="n">
        <f aca="false">AT422+(Entrées!$C$244-Entrées!$C$13)</f>
        <v>27757.3442460684</v>
      </c>
      <c r="BD422" s="2" t="n">
        <f aca="false">AA422*AQ422</f>
        <v>5853.58520412848</v>
      </c>
      <c r="BE422" s="2" t="n">
        <f aca="false">BD422/BC422</f>
        <v>0.210884195268702</v>
      </c>
      <c r="BF422" s="2" t="n">
        <f aca="false">BD422/(Entrées!$C$151/100)-BC422</f>
        <v>4762.57355464537</v>
      </c>
      <c r="BG422" s="2" t="n">
        <f aca="false">MIN(AV422,BF422)</f>
        <v>2063.07480935285</v>
      </c>
      <c r="BH422" s="2" t="n">
        <f aca="false">IF(AC422&gt;Hypothèses!$J$26,MAX(0,BG422)/(1-Hypothèses!$J$26/AC422),0)</f>
        <v>3039.3757625869</v>
      </c>
    </row>
    <row r="423" customFormat="false" ht="15" hidden="false" customHeight="false" outlineLevel="0" collapsed="false">
      <c r="A423" s="2" t="n">
        <v>408</v>
      </c>
      <c r="B423" s="2" t="n">
        <v>0.535169363</v>
      </c>
      <c r="C423" s="2"/>
      <c r="D423" s="2" t="n">
        <v>0.816495113</v>
      </c>
      <c r="E423" s="2" t="n">
        <f aca="false">IF(E$7=E$5,E$6,IF(NORMSDIST(E$9*SQRT($C$11)*NORMSINV($B423)+SQRT(1-E$9^2*$C$11)*NORMSINV(D423))&lt;E$8,E$5+SQRT(NORMSDIST(E$9*SQRT($C$11)*NORMSINV($B423)+SQRT(1-E$9^2*$C$11)*NORMSINV(D423))*(E$7-E$5)*(E$6-E$5)),E$7-SQRT((1-NORMSDIST(E$9*SQRT($C$11)*NORMSINV($B423)+SQRT(1-E$9^2*$C$11)*NORMSINV(D423)))*(E$7-E$5)*(E$7-E$6))))</f>
        <v>0.0566440366139282</v>
      </c>
      <c r="F423" s="2" t="n">
        <v>0.321213555</v>
      </c>
      <c r="G423" s="2" t="n">
        <f aca="false">IF(G$7=G$5,G$6,IF(NORMSDIST(G$9*SQRT($C$11)*NORMSINV($B423)+SQRT(1-G$9^2*$C$11)*NORMSINV(F423))&lt;G$8,G$5+SQRT(NORMSDIST(G$9*SQRT($C$11)*NORMSINV($B423)+SQRT(1-G$9^2*$C$11)*NORMSINV(F423))*(G$7-G$5)*(G$6-G$5)),G$7-SQRT((1-NORMSDIST(G$9*SQRT($C$11)*NORMSINV($B423)+SQRT(1-G$9^2*$C$11)*NORMSINV(F423)))*(G$7-G$5)*(G$7-G$6))))</f>
        <v>0.0530875497956219</v>
      </c>
      <c r="H423" s="2" t="n">
        <v>0.374175431</v>
      </c>
      <c r="I423" s="2" t="n">
        <f aca="false">IF(I$7=I$5,I$6,IF(NORMSDIST(I$9*SQRT($C$11)*NORMSINV($B423)+SQRT(1-I$9^2*$C$11)*NORMSINV(H423))&lt;I$8,I$5+SQRT(NORMSDIST(I$9*SQRT($C$11)*NORMSINV($B423)+SQRT(1-I$9^2*$C$11)*NORMSINV(H423))*(I$7-I$5)*(I$6-I$5)),I$7-SQRT((1-NORMSDIST(I$9*SQRT($C$11)*NORMSINV($B423)+SQRT(1-I$9^2*$C$11)*NORMSINV(H423)))*(I$7-I$5)*(I$7-I$6))))</f>
        <v>198.408844895809</v>
      </c>
      <c r="J423" s="2" t="n">
        <v>0.441503814</v>
      </c>
      <c r="K423" s="2" t="n">
        <f aca="false">IF(K$7=K$5,K$6,IF(NORMSDIST(K$9*SQRT($C$11)*NORMSINV($B423)+SQRT(1-K$9^2*$C$11)*NORMSINV(J423))&lt;K$8,K$5+SQRT(NORMSDIST(K$9*SQRT($C$11)*NORMSINV($B423)+SQRT(1-K$9^2*$C$11)*NORMSINV(J423))*(K$7-K$5)*(K$6-K$5)),K$7-SQRT((1-NORMSDIST(K$9*SQRT($C$11)*NORMSINV($B423)+SQRT(1-K$9^2*$C$11)*NORMSINV(J423)))*(K$7-K$5)*(K$7-K$6))))</f>
        <v>0.244133793924678</v>
      </c>
      <c r="L423" s="2" t="n">
        <v>0.369586472</v>
      </c>
      <c r="M423" s="2" t="n">
        <f aca="false">IF(M$7=M$5,M$6,IF(NORMSDIST(M$9*SQRT($C$11)*NORMSINV($B423)+SQRT(1-M$9^2*$C$11)*NORMSINV(L423))&lt;M$8,M$5+SQRT(NORMSDIST(M$9*SQRT($C$11)*NORMSINV($B423)+SQRT(1-M$9^2*$C$11)*NORMSINV(L423))*(M$7-M$5)*(M$6-M$5)),M$7-SQRT((1-NORMSDIST(M$9*SQRT($C$11)*NORMSINV($B423)+SQRT(1-M$9^2*$C$11)*NORMSINV(L423)))*(M$7-M$5)*(M$7-M$6))))</f>
        <v>1561.77406625087</v>
      </c>
      <c r="N423" s="2" t="n">
        <v>0.459615151</v>
      </c>
      <c r="O423" s="2" t="n">
        <f aca="false">IF(O$7=O$5,O$6,IF(NORMSDIST(O$9*SQRT($C$11)*NORMSINV($B423)+SQRT(1-O$9^2*$C$11)*NORMSINV(N423))&lt;O$8,O$5+SQRT(NORMSDIST(O$9*SQRT($C$11)*NORMSINV($B423)+SQRT(1-O$9^2*$C$11)*NORMSINV(N423))*(O$7-O$5)*(O$6-O$5)),O$7-SQRT((1-NORMSDIST(O$9*SQRT($C$11)*NORMSINV($B423)+SQRT(1-O$9^2*$C$11)*NORMSINV(N423)))*(O$7-O$5)*(O$7-O$6))))</f>
        <v>0.166540639637353</v>
      </c>
      <c r="P423" s="2" t="n">
        <v>0.023967262</v>
      </c>
      <c r="Q423" s="2" t="n">
        <f aca="false">IF(Q$7=Q$5,Q$6,IF(NORMSDIST(Q$9*SQRT($C$11)*NORMSINV($B423)+SQRT(1-Q$9^2*$C$11)*NORMSINV(P423))&lt;Q$8,Q$5+SQRT(NORMSDIST(Q$9*SQRT($C$11)*NORMSINV($B423)+SQRT(1-Q$9^2*$C$11)*NORMSINV(P423))*(Q$7-Q$5)*(Q$6-Q$5)),Q$7-SQRT((1-NORMSDIST(Q$9*SQRT($C$11)*NORMSINV($B423)+SQRT(1-Q$9^2*$C$11)*NORMSINV(P423)))*(Q$7-Q$5)*(Q$7-Q$6))))</f>
        <v>0.0487575817666751</v>
      </c>
      <c r="R423" s="2" t="n">
        <v>0.524248084</v>
      </c>
      <c r="S423" s="2" t="n">
        <f aca="false">IF(S$7=S$5,S$6,IF(NORMSDIST(S$9*SQRT($C$11)*NORMSINV($B423)+SQRT(1-S$9^2*$C$11)*NORMSINV(R423))&lt;S$8,S$5+SQRT(NORMSDIST(S$9*SQRT($C$11)*NORMSINV($B423)+SQRT(1-S$9^2*$C$11)*NORMSINV(R423))*(S$7-S$5)*(S$6-S$5)),S$7-SQRT((1-NORMSDIST(S$9*SQRT($C$11)*NORMSINV($B423)+SQRT(1-S$9^2*$C$11)*NORMSINV(R423)))*(S$7-S$5)*(S$7-S$6))))</f>
        <v>0.520935079707429</v>
      </c>
      <c r="T423" s="2" t="n">
        <v>0.05989083</v>
      </c>
      <c r="U423" s="2" t="n">
        <f aca="false">IF(U$7=U$5,U$6,IF(NORMSDIST(U$9*SQRT($C$11)*NORMSINV($B423)+SQRT(1-U$9^2*$C$11)*NORMSINV(T423))&lt;U$8,U$5+SQRT(NORMSDIST(U$9*SQRT($C$11)*NORMSINV($B423)+SQRT(1-U$9^2*$C$11)*NORMSINV(T423))*(U$7-U$5)*(U$6-U$5)),U$7-SQRT((1-NORMSDIST(U$9*SQRT($C$11)*NORMSINV($B423)+SQRT(1-U$9^2*$C$11)*NORMSINV(T423)))*(U$7-U$5)*(U$7-U$6))))</f>
        <v>0.250235549062127</v>
      </c>
      <c r="V423" s="2" t="n">
        <v>0.372494775</v>
      </c>
      <c r="W423" s="2" t="n">
        <f aca="false">IF(W$7=W$5,W$6,IF(NORMSDIST(W$9*SQRT($C$11)*NORMSINV($B423)+SQRT(1-W$9^2*$C$11)*NORMSINV(V423))&lt;W$8,W$5+SQRT(NORMSDIST(W$9*SQRT($C$11)*NORMSINV($B423)+SQRT(1-W$9^2*$C$11)*NORMSINV(V423))*(W$7-W$5)*(W$6-W$5)),W$7-SQRT((1-NORMSDIST(W$9*SQRT($C$11)*NORMSINV($B423)+SQRT(1-W$9^2*$C$11)*NORMSINV(V423)))*(W$7-W$5)*(W$7-W$6))))</f>
        <v>9.83795772924432</v>
      </c>
      <c r="X423" s="2" t="n">
        <v>0.49259635</v>
      </c>
      <c r="Y423" s="2" t="n">
        <f aca="false">IF(Y$7=Y$5,Y$6,IF(NORMSDIST(Y$9*SQRT($C$11)*NORMSINV($B423)+SQRT(1-Y$9^2*$C$11)*NORMSINV(X423))&lt;Y$8,Y$5+SQRT(NORMSDIST(Y$9*SQRT($C$11)*NORMSINV($B423)+SQRT(1-Y$9^2*$C$11)*NORMSINV(X423))*(Y$7-Y$5)*(Y$6-Y$5)),Y$7-SQRT((1-NORMSDIST(Y$9*SQRT($C$11)*NORMSINV($B423)+SQRT(1-Y$9^2*$C$11)*NORMSINV(X423)))*(Y$7-Y$5)*(Y$7-Y$6))))</f>
        <v>0.496284369086918</v>
      </c>
      <c r="Z423" s="2" t="n">
        <v>0.010539183</v>
      </c>
      <c r="AA423" s="2" t="n">
        <f aca="false">IF(AA$7=AA$5,AA$6,IF(NORMSDIST(AA$9*SQRT($C$11)*NORMSINV($B423)+SQRT(1-AA$9^2*$C$11)*NORMSINV(Z423))&lt;AA$8,AA$5+SQRT(NORMSDIST(AA$9*SQRT($C$11)*NORMSINV($B423)+SQRT(1-AA$9^2*$C$11)*NORMSINV(Z423))*(AA$7-AA$5)*(AA$6-AA$5)),AA$7-SQRT((1-NORMSDIST(AA$9*SQRT($C$11)*NORMSINV($B423)+SQRT(1-AA$9^2*$C$11)*NORMSINV(Z423)))*(AA$7-AA$5)*(AA$7-AA$6))))</f>
        <v>0.704776458123866</v>
      </c>
      <c r="AB423" s="2" t="n">
        <v>0.139231759</v>
      </c>
      <c r="AC423" s="2" t="n">
        <f aca="false">IF(AC$7=AC$5,AC$6,IF(NORMSDIST(AC$9*SQRT($C$11)*NORMSINV($B423)+SQRT(1-AC$9^2*$C$11)*NORMSINV(AB423))&lt;AC$8,AC$5+SQRT(NORMSDIST(AC$9*SQRT($C$11)*NORMSINV($B423)+SQRT(1-AC$9^2*$C$11)*NORMSINV(AB423))*(AC$7-AC$5)*(AC$6-AC$5)),AC$7-SQRT((1-NORMSDIST(AC$9*SQRT($C$11)*NORMSINV($B423)+SQRT(1-AC$9^2*$C$11)*NORMSINV(AB423)))*(AC$7-AC$5)*(AC$7-AC$6))))</f>
        <v>8.76805994247004</v>
      </c>
      <c r="AD423" s="2" t="n">
        <f aca="false">Entrées!$C$8*(1+E423)</f>
        <v>7449.34045812819</v>
      </c>
      <c r="AE423" s="2" t="n">
        <f aca="false">I423*Hypothèses!$J$24/12/Hypothèses!$J$19</f>
        <v>98.4299929205982</v>
      </c>
      <c r="AF423" s="2" t="n">
        <f aca="false">Entrées!$C$36*S423*1000</f>
        <v>260.467539853714</v>
      </c>
      <c r="AG423" s="2" t="n">
        <f aca="false">-AF423/W423</f>
        <v>-26.475773430033</v>
      </c>
      <c r="AH423" s="2" t="n">
        <f aca="false">AD423+AE423+AG423</f>
        <v>7521.29467761876</v>
      </c>
      <c r="AI423" s="2" t="n">
        <f aca="false">Entrées!$C$16-M423+Hypothèses!$J$22*1000-AF423+Hypothèses!$J$23</f>
        <v>22725.7583938954</v>
      </c>
      <c r="AJ423" s="2" t="n">
        <f aca="false">AI423/AH423</f>
        <v>3.02152214053264</v>
      </c>
      <c r="AK423" s="2" t="n">
        <f aca="false">AI423/(AH423+I423*(12-Hypothèses!$J$24)/12/Hypothèses!$J$19)</f>
        <v>2.99353930124964</v>
      </c>
      <c r="AL423" s="2" t="n">
        <f aca="false">(AD423+AG423+I423/Hypothèses!$J$19)*(1+G423)</f>
        <v>7994.62135482379</v>
      </c>
      <c r="AM423" s="2" t="n">
        <f aca="false">Entrées!$C$54*K423/Hypothèses!$J$19</f>
        <v>24.9148787215737</v>
      </c>
      <c r="AN423" s="2" t="n">
        <f aca="false">Y423*1000/AC423</f>
        <v>56.6013887157699</v>
      </c>
      <c r="AO423" s="2" t="n">
        <f aca="false">(Entrées!$C$36*(1-S423)+MAX(0,Entrées!$C$30-Entrées!$C$35-Entrées!$C$36)*U423)*1000</f>
        <v>589.862228833264</v>
      </c>
      <c r="AP423" s="2" t="n">
        <f aca="false">-AO423/W423</f>
        <v>-59.9577925690653</v>
      </c>
      <c r="AQ423" s="2" t="n">
        <f aca="false">AL423+AM423+AN423+AP423</f>
        <v>8016.17982969206</v>
      </c>
      <c r="AR423" s="2" t="n">
        <f aca="false">O423*AQ423-Hypothèses!$J$25/Hypothèses!$J$19</f>
        <v>1315.88455402334</v>
      </c>
      <c r="AS423" s="2" t="n">
        <f aca="false">Entrées!$C$79*(1+Q423)+Hypothèses!$J$20</f>
        <v>1447.58458236158</v>
      </c>
      <c r="AT423" s="2" t="n">
        <f aca="false">AI423-AR423+AS423+Y423*1000-AO423+Hypothèses!$J$23</f>
        <v>22763.8805624873</v>
      </c>
      <c r="AU423" s="2" t="n">
        <f aca="false">AT423/AQ423</f>
        <v>2.83974175306915</v>
      </c>
      <c r="AV423" s="2" t="n">
        <f aca="false">Hypothèses!$J$26*AQ423-AT423</f>
        <v>1284.65892658889</v>
      </c>
      <c r="AW423" s="2" t="n">
        <f aca="false">IF(AC423&gt;Hypothèses!$J$26,MAX(0,AV423)/(1-Hypothèses!$J$26/AC423),0)</f>
        <v>1952.81716665674</v>
      </c>
      <c r="AX423" s="2" t="n">
        <f aca="false">AQ423-Entrées!$C$17*1000</f>
        <v>16.1798296920642</v>
      </c>
      <c r="AY423" s="2" t="n">
        <f aca="false">AI423+(Entrées!$C$244-Entrées!$C$13)</f>
        <v>28472.7583938954</v>
      </c>
      <c r="AZ423" s="2" t="n">
        <f aca="false">AA423*AH423</f>
        <v>5300.83142339803</v>
      </c>
      <c r="BA423" s="2" t="n">
        <f aca="false">AZ423/AY423</f>
        <v>0.186172036796215</v>
      </c>
      <c r="BB423" s="2" t="n">
        <f aca="false">AZ423/(Entrées!$C$151/100)-AY423</f>
        <v>976.305069426973</v>
      </c>
      <c r="BC423" s="2" t="n">
        <f aca="false">AT423+(Entrées!$C$244-Entrées!$C$13)</f>
        <v>28510.8805624873</v>
      </c>
      <c r="BD423" s="2" t="n">
        <f aca="false">AA423*AQ423</f>
        <v>5649.61482805434</v>
      </c>
      <c r="BE423" s="2" t="n">
        <f aca="false">BD423/BC423</f>
        <v>0.198156448225865</v>
      </c>
      <c r="BF423" s="2" t="n">
        <f aca="false">BD423/(Entrées!$C$151/100)-BC423</f>
        <v>2875.86848225905</v>
      </c>
      <c r="BG423" s="2" t="n">
        <f aca="false">MIN(AV423,BF423)</f>
        <v>1284.65892658889</v>
      </c>
      <c r="BH423" s="2" t="n">
        <f aca="false">IF(AC423&gt;Hypothèses!$J$26,MAX(0,BG423)/(1-Hypothèses!$J$26/AC423),0)</f>
        <v>1952.81716665674</v>
      </c>
    </row>
    <row r="424" customFormat="false" ht="15" hidden="false" customHeight="false" outlineLevel="0" collapsed="false">
      <c r="A424" s="2" t="n">
        <v>409</v>
      </c>
      <c r="B424" s="2" t="n">
        <v>0.314148112</v>
      </c>
      <c r="C424" s="2"/>
      <c r="D424" s="2" t="n">
        <v>0.339538676</v>
      </c>
      <c r="E424" s="2" t="n">
        <f aca="false">IF(E$7=E$5,E$6,IF(NORMSDIST(E$9*SQRT($C$11)*NORMSINV($B424)+SQRT(1-E$9^2*$C$11)*NORMSINV(D424))&lt;E$8,E$5+SQRT(NORMSDIST(E$9*SQRT($C$11)*NORMSINV($B424)+SQRT(1-E$9^2*$C$11)*NORMSINV(D424))*(E$7-E$5)*(E$6-E$5)),E$7-SQRT((1-NORMSDIST(E$9*SQRT($C$11)*NORMSINV($B424)+SQRT(1-E$9^2*$C$11)*NORMSINV(D424)))*(E$7-E$5)*(E$7-E$6))))</f>
        <v>0.0536430909516262</v>
      </c>
      <c r="F424" s="2" t="n">
        <v>0.846024889</v>
      </c>
      <c r="G424" s="2" t="n">
        <f aca="false">IF(G$7=G$5,G$6,IF(NORMSDIST(G$9*SQRT($C$11)*NORMSINV($B424)+SQRT(1-G$9^2*$C$11)*NORMSINV(F424))&lt;G$8,G$5+SQRT(NORMSDIST(G$9*SQRT($C$11)*NORMSINV($B424)+SQRT(1-G$9^2*$C$11)*NORMSINV(F424))*(G$7-G$5)*(G$6-G$5)),G$7-SQRT((1-NORMSDIST(G$9*SQRT($C$11)*NORMSINV($B424)+SQRT(1-G$9^2*$C$11)*NORMSINV(F424)))*(G$7-G$5)*(G$7-G$6))))</f>
        <v>0.0581062797476659</v>
      </c>
      <c r="H424" s="2" t="n">
        <v>0.249129447</v>
      </c>
      <c r="I424" s="2" t="n">
        <f aca="false">IF(I$7=I$5,I$6,IF(NORMSDIST(I$9*SQRT($C$11)*NORMSINV($B424)+SQRT(1-I$9^2*$C$11)*NORMSINV(H424))&lt;I$8,I$5+SQRT(NORMSDIST(I$9*SQRT($C$11)*NORMSINV($B424)+SQRT(1-I$9^2*$C$11)*NORMSINV(H424))*(I$7-I$5)*(I$6-I$5)),I$7-SQRT((1-NORMSDIST(I$9*SQRT($C$11)*NORMSINV($B424)+SQRT(1-I$9^2*$C$11)*NORMSINV(H424)))*(I$7-I$5)*(I$7-I$6))))</f>
        <v>192.745252437621</v>
      </c>
      <c r="J424" s="2" t="n">
        <v>0.108839317</v>
      </c>
      <c r="K424" s="2" t="n">
        <f aca="false">IF(K$7=K$5,K$6,IF(NORMSDIST(K$9*SQRT($C$11)*NORMSINV($B424)+SQRT(1-K$9^2*$C$11)*NORMSINV(J424))&lt;K$8,K$5+SQRT(NORMSDIST(K$9*SQRT($C$11)*NORMSINV($B424)+SQRT(1-K$9^2*$C$11)*NORMSINV(J424))*(K$7-K$5)*(K$6-K$5)),K$7-SQRT((1-NORMSDIST(K$9*SQRT($C$11)*NORMSINV($B424)+SQRT(1-K$9^2*$C$11)*NORMSINV(J424)))*(K$7-K$5)*(K$7-K$6))))</f>
        <v>0.113822758140478</v>
      </c>
      <c r="L424" s="2" t="n">
        <v>0.319639351</v>
      </c>
      <c r="M424" s="2" t="n">
        <f aca="false">IF(M$7=M$5,M$6,IF(NORMSDIST(M$9*SQRT($C$11)*NORMSINV($B424)+SQRT(1-M$9^2*$C$11)*NORMSINV(L424))&lt;M$8,M$5+SQRT(NORMSDIST(M$9*SQRT($C$11)*NORMSINV($B424)+SQRT(1-M$9^2*$C$11)*NORMSINV(L424))*(M$7-M$5)*(M$6-M$5)),M$7-SQRT((1-NORMSDIST(M$9*SQRT($C$11)*NORMSINV($B424)+SQRT(1-M$9^2*$C$11)*NORMSINV(L424)))*(M$7-M$5)*(M$7-M$6))))</f>
        <v>1503.37570124571</v>
      </c>
      <c r="N424" s="2" t="n">
        <v>0.478707311</v>
      </c>
      <c r="O424" s="2" t="n">
        <f aca="false">IF(O$7=O$5,O$6,IF(NORMSDIST(O$9*SQRT($C$11)*NORMSINV($B424)+SQRT(1-O$9^2*$C$11)*NORMSINV(N424))&lt;O$8,O$5+SQRT(NORMSDIST(O$9*SQRT($C$11)*NORMSINV($B424)+SQRT(1-O$9^2*$C$11)*NORMSINV(N424))*(O$7-O$5)*(O$6-O$5)),O$7-SQRT((1-NORMSDIST(O$9*SQRT($C$11)*NORMSINV($B424)+SQRT(1-O$9^2*$C$11)*NORMSINV(N424)))*(O$7-O$5)*(O$7-O$6))))</f>
        <v>0.162856102119639</v>
      </c>
      <c r="P424" s="2" t="n">
        <v>0.118940886</v>
      </c>
      <c r="Q424" s="2" t="n">
        <f aca="false">IF(Q$7=Q$5,Q$6,IF(NORMSDIST(Q$9*SQRT($C$11)*NORMSINV($B424)+SQRT(1-Q$9^2*$C$11)*NORMSINV(P424))&lt;Q$8,Q$5+SQRT(NORMSDIST(Q$9*SQRT($C$11)*NORMSINV($B424)+SQRT(1-Q$9^2*$C$11)*NORMSINV(P424))*(Q$7-Q$5)*(Q$6-Q$5)),Q$7-SQRT((1-NORMSDIST(Q$9*SQRT($C$11)*NORMSINV($B424)+SQRT(1-Q$9^2*$C$11)*NORMSINV(P424)))*(Q$7-Q$5)*(Q$7-Q$6))))</f>
        <v>0.0595092499907095</v>
      </c>
      <c r="R424" s="2" t="n">
        <v>0.96918207</v>
      </c>
      <c r="S424" s="2" t="n">
        <f aca="false">IF(S$7=S$5,S$6,IF(NORMSDIST(S$9*SQRT($C$11)*NORMSINV($B424)+SQRT(1-S$9^2*$C$11)*NORMSINV(R424))&lt;S$8,S$5+SQRT(NORMSDIST(S$9*SQRT($C$11)*NORMSINV($B424)+SQRT(1-S$9^2*$C$11)*NORMSINV(R424))*(S$7-S$5)*(S$6-S$5)),S$7-SQRT((1-NORMSDIST(S$9*SQRT($C$11)*NORMSINV($B424)+SQRT(1-S$9^2*$C$11)*NORMSINV(R424)))*(S$7-S$5)*(S$7-S$6))))</f>
        <v>0.748167479491139</v>
      </c>
      <c r="T424" s="2" t="n">
        <v>0.515270026</v>
      </c>
      <c r="U424" s="2" t="n">
        <f aca="false">IF(U$7=U$5,U$6,IF(NORMSDIST(U$9*SQRT($C$11)*NORMSINV($B424)+SQRT(1-U$9^2*$C$11)*NORMSINV(T424))&lt;U$8,U$5+SQRT(NORMSDIST(U$9*SQRT($C$11)*NORMSINV($B424)+SQRT(1-U$9^2*$C$11)*NORMSINV(T424))*(U$7-U$5)*(U$6-U$5)),U$7-SQRT((1-NORMSDIST(U$9*SQRT($C$11)*NORMSINV($B424)+SQRT(1-U$9^2*$C$11)*NORMSINV(T424)))*(U$7-U$5)*(U$7-U$6))))</f>
        <v>0.442193153982882</v>
      </c>
      <c r="V424" s="2" t="n">
        <v>0.767046135</v>
      </c>
      <c r="W424" s="2" t="n">
        <f aca="false">IF(W$7=W$5,W$6,IF(NORMSDIST(W$9*SQRT($C$11)*NORMSINV($B424)+SQRT(1-W$9^2*$C$11)*NORMSINV(V424))&lt;W$8,W$5+SQRT(NORMSDIST(W$9*SQRT($C$11)*NORMSINV($B424)+SQRT(1-W$9^2*$C$11)*NORMSINV(V424))*(W$7-W$5)*(W$6-W$5)),W$7-SQRT((1-NORMSDIST(W$9*SQRT($C$11)*NORMSINV($B424)+SQRT(1-W$9^2*$C$11)*NORMSINV(V424)))*(W$7-W$5)*(W$7-W$6))))</f>
        <v>10.2156962527971</v>
      </c>
      <c r="X424" s="2" t="n">
        <v>0.71889984</v>
      </c>
      <c r="Y424" s="2" t="n">
        <f aca="false">IF(Y$7=Y$5,Y$6,IF(NORMSDIST(Y$9*SQRT($C$11)*NORMSINV($B424)+SQRT(1-Y$9^2*$C$11)*NORMSINV(X424))&lt;Y$8,Y$5+SQRT(NORMSDIST(Y$9*SQRT($C$11)*NORMSINV($B424)+SQRT(1-Y$9^2*$C$11)*NORMSINV(X424))*(Y$7-Y$5)*(Y$6-Y$5)),Y$7-SQRT((1-NORMSDIST(Y$9*SQRT($C$11)*NORMSINV($B424)+SQRT(1-Y$9^2*$C$11)*NORMSINV(X424)))*(Y$7-Y$5)*(Y$7-Y$6))))</f>
        <v>0.625099906641783</v>
      </c>
      <c r="Z424" s="2" t="n">
        <v>0.187023999</v>
      </c>
      <c r="AA424" s="2" t="n">
        <f aca="false">IF(AA$7=AA$5,AA$6,IF(NORMSDIST(AA$9*SQRT($C$11)*NORMSINV($B424)+SQRT(1-AA$9^2*$C$11)*NORMSINV(Z424))&lt;AA$8,AA$5+SQRT(NORMSDIST(AA$9*SQRT($C$11)*NORMSINV($B424)+SQRT(1-AA$9^2*$C$11)*NORMSINV(Z424))*(AA$7-AA$5)*(AA$6-AA$5)),AA$7-SQRT((1-NORMSDIST(AA$9*SQRT($C$11)*NORMSINV($B424)+SQRT(1-AA$9^2*$C$11)*NORMSINV(Z424)))*(AA$7-AA$5)*(AA$7-AA$6))))</f>
        <v>0.713831321176262</v>
      </c>
      <c r="AB424" s="2" t="n">
        <v>0.168494126</v>
      </c>
      <c r="AC424" s="2" t="n">
        <f aca="false">IF(AC$7=AC$5,AC$6,IF(NORMSDIST(AC$9*SQRT($C$11)*NORMSINV($B424)+SQRT(1-AC$9^2*$C$11)*NORMSINV(AB424))&lt;AC$8,AC$5+SQRT(NORMSDIST(AC$9*SQRT($C$11)*NORMSINV($B424)+SQRT(1-AC$9^2*$C$11)*NORMSINV(AB424))*(AC$7-AC$5)*(AC$6-AC$5)),AC$7-SQRT((1-NORMSDIST(AC$9*SQRT($C$11)*NORMSINV($B424)+SQRT(1-AC$9^2*$C$11)*NORMSINV(AB424)))*(AC$7-AC$5)*(AC$7-AC$6))))</f>
        <v>8.52652228425339</v>
      </c>
      <c r="AD424" s="2" t="n">
        <f aca="false">Entrées!$C$8*(1+E424)</f>
        <v>7428.18379120896</v>
      </c>
      <c r="AE424" s="2" t="n">
        <f aca="false">I424*Hypothèses!$J$24/12/Hypothèses!$J$19</f>
        <v>95.6203028291241</v>
      </c>
      <c r="AF424" s="2" t="n">
        <f aca="false">Entrées!$C$36*S424*1000</f>
        <v>374.083739745569</v>
      </c>
      <c r="AG424" s="2" t="n">
        <f aca="false">-AF424/W424</f>
        <v>-36.6185260885319</v>
      </c>
      <c r="AH424" s="2" t="n">
        <f aca="false">AD424+AE424+AG424</f>
        <v>7487.18556794956</v>
      </c>
      <c r="AI424" s="2" t="n">
        <f aca="false">Entrées!$C$16-M424+Hypothèses!$J$22*1000-AF424+Hypothèses!$J$23</f>
        <v>22670.5405590087</v>
      </c>
      <c r="AJ424" s="2" t="n">
        <f aca="false">AI424/AH424</f>
        <v>3.02791220456117</v>
      </c>
      <c r="AK424" s="2" t="n">
        <f aca="false">AI424/(AH424+I424*(12-Hypothèses!$J$24)/12/Hypothèses!$J$19)</f>
        <v>3.00054042934592</v>
      </c>
      <c r="AL424" s="2" t="n">
        <f aca="false">(AD424+AG424+I424/Hypothèses!$J$19)*(1+G424)</f>
        <v>7994.50695486557</v>
      </c>
      <c r="AM424" s="2" t="n">
        <f aca="false">Entrées!$C$54*K424/Hypothèses!$J$19</f>
        <v>11.6160903791139</v>
      </c>
      <c r="AN424" s="2" t="n">
        <f aca="false">Y424*1000/AC424</f>
        <v>73.3124110630901</v>
      </c>
      <c r="AO424" s="2" t="n">
        <f aca="false">(Entrées!$C$36*(1-S424)+MAX(0,Entrées!$C$30-Entrées!$C$35-Entrées!$C$36)*U424)*1000</f>
        <v>744.986675830466</v>
      </c>
      <c r="AP424" s="2" t="n">
        <f aca="false">-AO424/W424</f>
        <v>-72.9256878234299</v>
      </c>
      <c r="AQ424" s="2" t="n">
        <f aca="false">AL424+AM424+AN424+AP424</f>
        <v>8006.50976848434</v>
      </c>
      <c r="AR424" s="2" t="n">
        <f aca="false">O424*AQ424-Hypothèses!$J$25/Hypothèses!$J$19</f>
        <v>1284.77381021655</v>
      </c>
      <c r="AS424" s="2" t="n">
        <f aca="false">Entrées!$C$79*(1+Q424)+Hypothèses!$J$20</f>
        <v>1459.40066573979</v>
      </c>
      <c r="AT424" s="2" t="n">
        <f aca="false">AI424-AR424+AS424+Y424*1000-AO424+Hypothèses!$J$23</f>
        <v>22725.2806453433</v>
      </c>
      <c r="AU424" s="2" t="n">
        <f aca="false">AT424/AQ424</f>
        <v>2.83835045512537</v>
      </c>
      <c r="AV424" s="2" t="n">
        <f aca="false">Hypothèses!$J$26*AQ424-AT424</f>
        <v>1294.24866010975</v>
      </c>
      <c r="AW424" s="2" t="n">
        <f aca="false">IF(AC424&gt;Hypothèses!$J$26,MAX(0,AV424)/(1-Hypothèses!$J$26/AC424),0)</f>
        <v>1996.8145380023</v>
      </c>
      <c r="AX424" s="2" t="n">
        <f aca="false">AQ424-Entrées!$C$17*1000</f>
        <v>6.50976848434311</v>
      </c>
      <c r="AY424" s="2" t="n">
        <f aca="false">AI424+(Entrées!$C$244-Entrées!$C$13)</f>
        <v>28417.5405590087</v>
      </c>
      <c r="AZ424" s="2" t="n">
        <f aca="false">AA424*AH424</f>
        <v>5344.58756586127</v>
      </c>
      <c r="BA424" s="2" t="n">
        <f aca="false">AZ424/AY424</f>
        <v>0.188073544040987</v>
      </c>
      <c r="BB424" s="2" t="n">
        <f aca="false">AZ424/(Entrées!$C$151/100)-AY424</f>
        <v>1274.612584665</v>
      </c>
      <c r="BC424" s="2" t="n">
        <f aca="false">AT424+(Entrées!$C$244-Entrées!$C$13)</f>
        <v>28472.2806453433</v>
      </c>
      <c r="BD424" s="2" t="n">
        <f aca="false">AA424*AQ424</f>
        <v>5715.29744604782</v>
      </c>
      <c r="BE424" s="2" t="n">
        <f aca="false">BD424/BC424</f>
        <v>0.200731986216305</v>
      </c>
      <c r="BF424" s="2" t="n">
        <f aca="false">BD424/(Entrées!$C$151/100)-BC424</f>
        <v>3279.37183270018</v>
      </c>
      <c r="BG424" s="2" t="n">
        <f aca="false">MIN(AV424,BF424)</f>
        <v>1294.24866010975</v>
      </c>
      <c r="BH424" s="2" t="n">
        <f aca="false">IF(AC424&gt;Hypothèses!$J$26,MAX(0,BG424)/(1-Hypothèses!$J$26/AC424),0)</f>
        <v>1996.8145380023</v>
      </c>
    </row>
    <row r="425" customFormat="false" ht="15" hidden="false" customHeight="false" outlineLevel="0" collapsed="false">
      <c r="A425" s="2" t="n">
        <v>410</v>
      </c>
      <c r="B425" s="2" t="n">
        <v>0.852571261</v>
      </c>
      <c r="C425" s="2"/>
      <c r="D425" s="2" t="n">
        <v>0.832695932</v>
      </c>
      <c r="E425" s="2" t="n">
        <f aca="false">IF(E$7=E$5,E$6,IF(NORMSDIST(E$9*SQRT($C$11)*NORMSINV($B425)+SQRT(1-E$9^2*$C$11)*NORMSINV(D425))&lt;E$8,E$5+SQRT(NORMSDIST(E$9*SQRT($C$11)*NORMSINV($B425)+SQRT(1-E$9^2*$C$11)*NORMSINV(D425))*(E$7-E$5)*(E$6-E$5)),E$7-SQRT((1-NORMSDIST(E$9*SQRT($C$11)*NORMSINV($B425)+SQRT(1-E$9^2*$C$11)*NORMSINV(D425)))*(E$7-E$5)*(E$7-E$6))))</f>
        <v>0.0580089641405936</v>
      </c>
      <c r="F425" s="2" t="n">
        <v>0.764289599</v>
      </c>
      <c r="G425" s="2" t="n">
        <f aca="false">IF(G$7=G$5,G$6,IF(NORMSDIST(G$9*SQRT($C$11)*NORMSINV($B425)+SQRT(1-G$9^2*$C$11)*NORMSINV(F425))&lt;G$8,G$5+SQRT(NORMSDIST(G$9*SQRT($C$11)*NORMSINV($B425)+SQRT(1-G$9^2*$C$11)*NORMSINV(F425))*(G$7-G$5)*(G$6-G$5)),G$7-SQRT((1-NORMSDIST(G$9*SQRT($C$11)*NORMSINV($B425)+SQRT(1-G$9^2*$C$11)*NORMSINV(F425)))*(G$7-G$5)*(G$7-G$6))))</f>
        <v>0.062927204693801</v>
      </c>
      <c r="H425" s="2" t="n">
        <v>0.906548722</v>
      </c>
      <c r="I425" s="2" t="n">
        <f aca="false">IF(I$7=I$5,I$6,IF(NORMSDIST(I$9*SQRT($C$11)*NORMSINV($B425)+SQRT(1-I$9^2*$C$11)*NORMSINV(H425))&lt;I$8,I$5+SQRT(NORMSDIST(I$9*SQRT($C$11)*NORMSINV($B425)+SQRT(1-I$9^2*$C$11)*NORMSINV(H425))*(I$7-I$5)*(I$6-I$5)),I$7-SQRT((1-NORMSDIST(I$9*SQRT($C$11)*NORMSINV($B425)+SQRT(1-I$9^2*$C$11)*NORMSINV(H425)))*(I$7-I$5)*(I$7-I$6))))</f>
        <v>213.932956523123</v>
      </c>
      <c r="J425" s="2" t="n">
        <v>0.48598792</v>
      </c>
      <c r="K425" s="2" t="n">
        <f aca="false">IF(K$7=K$5,K$6,IF(NORMSDIST(K$9*SQRT($C$11)*NORMSINV($B425)+SQRT(1-K$9^2*$C$11)*NORMSINV(J425))&lt;K$8,K$5+SQRT(NORMSDIST(K$9*SQRT($C$11)*NORMSINV($B425)+SQRT(1-K$9^2*$C$11)*NORMSINV(J425))*(K$7-K$5)*(K$6-K$5)),K$7-SQRT((1-NORMSDIST(K$9*SQRT($C$11)*NORMSINV($B425)+SQRT(1-K$9^2*$C$11)*NORMSINV(J425)))*(K$7-K$5)*(K$7-K$6))))</f>
        <v>0.318817773796221</v>
      </c>
      <c r="L425" s="2" t="n">
        <v>0.968459631</v>
      </c>
      <c r="M425" s="2" t="n">
        <f aca="false">IF(M$7=M$5,M$6,IF(NORMSDIST(M$9*SQRT($C$11)*NORMSINV($B425)+SQRT(1-M$9^2*$C$11)*NORMSINV(L425))&lt;M$8,M$5+SQRT(NORMSDIST(M$9*SQRT($C$11)*NORMSINV($B425)+SQRT(1-M$9^2*$C$11)*NORMSINV(L425))*(M$7-M$5)*(M$6-M$5)),M$7-SQRT((1-NORMSDIST(M$9*SQRT($C$11)*NORMSINV($B425)+SQRT(1-M$9^2*$C$11)*NORMSINV(L425)))*(M$7-M$5)*(M$7-M$6))))</f>
        <v>1754.29011852096</v>
      </c>
      <c r="N425" s="2" t="n">
        <v>0.942871683</v>
      </c>
      <c r="O425" s="2" t="n">
        <f aca="false">IF(O$7=O$5,O$6,IF(NORMSDIST(O$9*SQRT($C$11)*NORMSINV($B425)+SQRT(1-O$9^2*$C$11)*NORMSINV(N425))&lt;O$8,O$5+SQRT(NORMSDIST(O$9*SQRT($C$11)*NORMSINV($B425)+SQRT(1-O$9^2*$C$11)*NORMSINV(N425))*(O$7-O$5)*(O$6-O$5)),O$7-SQRT((1-NORMSDIST(O$9*SQRT($C$11)*NORMSINV($B425)+SQRT(1-O$9^2*$C$11)*NORMSINV(N425)))*(O$7-O$5)*(O$7-O$6))))</f>
        <v>0.184379562010062</v>
      </c>
      <c r="P425" s="2" t="n">
        <v>0.806141089</v>
      </c>
      <c r="Q425" s="2" t="n">
        <f aca="false">IF(Q$7=Q$5,Q$6,IF(NORMSDIST(Q$9*SQRT($C$11)*NORMSINV($B425)+SQRT(1-Q$9^2*$C$11)*NORMSINV(P425))&lt;Q$8,Q$5+SQRT(NORMSDIST(Q$9*SQRT($C$11)*NORMSINV($B425)+SQRT(1-Q$9^2*$C$11)*NORMSINV(P425))*(Q$7-Q$5)*(Q$6-Q$5)),Q$7-SQRT((1-NORMSDIST(Q$9*SQRT($C$11)*NORMSINV($B425)+SQRT(1-Q$9^2*$C$11)*NORMSINV(P425)))*(Q$7-Q$5)*(Q$7-Q$6))))</f>
        <v>0.0950932034336007</v>
      </c>
      <c r="R425" s="2" t="n">
        <v>0.150745358</v>
      </c>
      <c r="S425" s="2" t="n">
        <f aca="false">IF(S$7=S$5,S$6,IF(NORMSDIST(S$9*SQRT($C$11)*NORMSINV($B425)+SQRT(1-S$9^2*$C$11)*NORMSINV(R425))&lt;S$8,S$5+SQRT(NORMSDIST(S$9*SQRT($C$11)*NORMSINV($B425)+SQRT(1-S$9^2*$C$11)*NORMSINV(R425))*(S$7-S$5)*(S$6-S$5)),S$7-SQRT((1-NORMSDIST(S$9*SQRT($C$11)*NORMSINV($B425)+SQRT(1-S$9^2*$C$11)*NORMSINV(R425)))*(S$7-S$5)*(S$7-S$6))))</f>
        <v>0.471797795608011</v>
      </c>
      <c r="T425" s="2" t="n">
        <v>0.045277281</v>
      </c>
      <c r="U425" s="2" t="n">
        <f aca="false">IF(U$7=U$5,U$6,IF(NORMSDIST(U$9*SQRT($C$11)*NORMSINV($B425)+SQRT(1-U$9^2*$C$11)*NORMSINV(T425))&lt;U$8,U$5+SQRT(NORMSDIST(U$9*SQRT($C$11)*NORMSINV($B425)+SQRT(1-U$9^2*$C$11)*NORMSINV(T425))*(U$7-U$5)*(U$6-U$5)),U$7-SQRT((1-NORMSDIST(U$9*SQRT($C$11)*NORMSINV($B425)+SQRT(1-U$9^2*$C$11)*NORMSINV(T425)))*(U$7-U$5)*(U$7-U$6))))</f>
        <v>0.359401270161952</v>
      </c>
      <c r="V425" s="2" t="n">
        <v>0.401791479</v>
      </c>
      <c r="W425" s="2" t="n">
        <f aca="false">IF(W$7=W$5,W$6,IF(NORMSDIST(W$9*SQRT($C$11)*NORMSINV($B425)+SQRT(1-W$9^2*$C$11)*NORMSINV(V425))&lt;W$8,W$5+SQRT(NORMSDIST(W$9*SQRT($C$11)*NORMSINV($B425)+SQRT(1-W$9^2*$C$11)*NORMSINV(V425))*(W$7-W$5)*(W$6-W$5)),W$7-SQRT((1-NORMSDIST(W$9*SQRT($C$11)*NORMSINV($B425)+SQRT(1-W$9^2*$C$11)*NORMSINV(V425)))*(W$7-W$5)*(W$7-W$6))))</f>
        <v>10.4019331908854</v>
      </c>
      <c r="X425" s="2" t="n">
        <v>0.380739332</v>
      </c>
      <c r="Y425" s="2" t="n">
        <f aca="false">IF(Y$7=Y$5,Y$6,IF(NORMSDIST(Y$9*SQRT($C$11)*NORMSINV($B425)+SQRT(1-Y$9^2*$C$11)*NORMSINV(X425))&lt;Y$8,Y$5+SQRT(NORMSDIST(Y$9*SQRT($C$11)*NORMSINV($B425)+SQRT(1-Y$9^2*$C$11)*NORMSINV(X425))*(Y$7-Y$5)*(Y$6-Y$5)),Y$7-SQRT((1-NORMSDIST(Y$9*SQRT($C$11)*NORMSINV($B425)+SQRT(1-Y$9^2*$C$11)*NORMSINV(X425)))*(Y$7-Y$5)*(Y$7-Y$6))))</f>
        <v>0.436313724285634</v>
      </c>
      <c r="Z425" s="2" t="n">
        <v>0.765936708</v>
      </c>
      <c r="AA425" s="2" t="n">
        <f aca="false">IF(AA$7=AA$5,AA$6,IF(NORMSDIST(AA$9*SQRT($C$11)*NORMSINV($B425)+SQRT(1-AA$9^2*$C$11)*NORMSINV(Z425))&lt;AA$8,AA$5+SQRT(NORMSDIST(AA$9*SQRT($C$11)*NORMSINV($B425)+SQRT(1-AA$9^2*$C$11)*NORMSINV(Z425))*(AA$7-AA$5)*(AA$6-AA$5)),AA$7-SQRT((1-NORMSDIST(AA$9*SQRT($C$11)*NORMSINV($B425)+SQRT(1-AA$9^2*$C$11)*NORMSINV(Z425)))*(AA$7-AA$5)*(AA$7-AA$6))))</f>
        <v>0.7419595758784</v>
      </c>
      <c r="AB425" s="2" t="n">
        <v>0.280466939</v>
      </c>
      <c r="AC425" s="2" t="n">
        <f aca="false">IF(AC$7=AC$5,AC$6,IF(NORMSDIST(AC$9*SQRT($C$11)*NORMSINV($B425)+SQRT(1-AC$9^2*$C$11)*NORMSINV(AB425))&lt;AC$8,AC$5+SQRT(NORMSDIST(AC$9*SQRT($C$11)*NORMSINV($B425)+SQRT(1-AC$9^2*$C$11)*NORMSINV(AB425))*(AC$7-AC$5)*(AC$6-AC$5)),AC$7-SQRT((1-NORMSDIST(AC$9*SQRT($C$11)*NORMSINV($B425)+SQRT(1-AC$9^2*$C$11)*NORMSINV(AB425)))*(AC$7-AC$5)*(AC$7-AC$6))))</f>
        <v>9.64626398923151</v>
      </c>
      <c r="AD425" s="2" t="n">
        <f aca="false">Entrées!$C$8*(1+E425)</f>
        <v>7458.96319719119</v>
      </c>
      <c r="AE425" s="2" t="n">
        <f aca="false">I425*Hypothèses!$J$24/12/Hypothèses!$J$19</f>
        <v>106.131455012057</v>
      </c>
      <c r="AF425" s="2" t="n">
        <f aca="false">Entrées!$C$36*S425*1000</f>
        <v>235.898897804005</v>
      </c>
      <c r="AG425" s="2" t="n">
        <f aca="false">-AF425/W425</f>
        <v>-22.6783707869524</v>
      </c>
      <c r="AH425" s="2" t="n">
        <f aca="false">AD425+AE425+AG425</f>
        <v>7542.41628141629</v>
      </c>
      <c r="AI425" s="2" t="n">
        <f aca="false">Entrées!$C$16-M425+Hypothèses!$J$22*1000-AF425+Hypothèses!$J$23</f>
        <v>22557.810983675</v>
      </c>
      <c r="AJ425" s="2" t="n">
        <f aca="false">AI425/AH425</f>
        <v>2.99079368494352</v>
      </c>
      <c r="AK425" s="2" t="n">
        <f aca="false">AI425/(AH425+I425*(12-Hypothèses!$J$24)/12/Hypothèses!$J$19)</f>
        <v>2.96103259907241</v>
      </c>
      <c r="AL425" s="2" t="n">
        <f aca="false">(AD425+AG425+I425/Hypothèses!$J$19)*(1+G425)</f>
        <v>8097.61803379001</v>
      </c>
      <c r="AM425" s="2" t="n">
        <f aca="false">Entrées!$C$54*K425/Hypothèses!$J$19</f>
        <v>32.5366924452323</v>
      </c>
      <c r="AN425" s="2" t="n">
        <f aca="false">Y425*1000/AC425</f>
        <v>45.2313688255585</v>
      </c>
      <c r="AO425" s="2" t="n">
        <f aca="false">(Entrées!$C$36*(1-S425)+MAX(0,Entrées!$C$30-Entrées!$C$35-Entrées!$C$36)*U425)*1000</f>
        <v>767.262880422727</v>
      </c>
      <c r="AP425" s="2" t="n">
        <f aca="false">-AO425/W425</f>
        <v>-73.7615658880636</v>
      </c>
      <c r="AQ425" s="2" t="n">
        <f aca="false">AL425+AM425+AN425+AP425</f>
        <v>8101.62452917274</v>
      </c>
      <c r="AR425" s="2" t="n">
        <f aca="false">O425*AQ425-Hypothèses!$J$25/Hypothèses!$J$19</f>
        <v>1474.63881999721</v>
      </c>
      <c r="AS425" s="2" t="n">
        <f aca="false">Entrées!$C$79*(1+Q425)+Hypothèses!$J$20</f>
        <v>1498.50743057353</v>
      </c>
      <c r="AT425" s="2" t="n">
        <f aca="false">AI425-AR425+AS425+Y425*1000-AO425+Hypothèses!$J$23</f>
        <v>22250.7304381143</v>
      </c>
      <c r="AU425" s="2" t="n">
        <f aca="false">AT425/AQ425</f>
        <v>2.74645293150685</v>
      </c>
      <c r="AV425" s="2" t="n">
        <f aca="false">Hypothèses!$J$26*AQ425-AT425</f>
        <v>2054.14314940395</v>
      </c>
      <c r="AW425" s="2" t="n">
        <f aca="false">IF(AC425&gt;Hypothèses!$J$26,MAX(0,AV425)/(1-Hypothèses!$J$26/AC425),0)</f>
        <v>2981.34517721933</v>
      </c>
      <c r="AX425" s="2" t="n">
        <f aca="false">AQ425-Entrées!$C$17*1000</f>
        <v>101.624529172735</v>
      </c>
      <c r="AY425" s="2" t="n">
        <f aca="false">AI425+(Entrées!$C$244-Entrées!$C$13)</f>
        <v>28304.810983675</v>
      </c>
      <c r="AZ425" s="2" t="n">
        <f aca="false">AA425*AH425</f>
        <v>5596.16798525797</v>
      </c>
      <c r="BA425" s="2" t="n">
        <f aca="false">AZ425/AY425</f>
        <v>0.197710841046972</v>
      </c>
      <c r="BB425" s="2" t="n">
        <f aca="false">AZ425/(Entrées!$C$151/100)-AY425</f>
        <v>2785.01115664703</v>
      </c>
      <c r="BC425" s="2" t="n">
        <f aca="false">AT425+(Entrées!$C$244-Entrées!$C$13)</f>
        <v>27997.7304381143</v>
      </c>
      <c r="BD425" s="2" t="n">
        <f aca="false">AA425*AQ425</f>
        <v>6011.07789959105</v>
      </c>
      <c r="BE425" s="2" t="n">
        <f aca="false">BD425/BC425</f>
        <v>0.214698756132317</v>
      </c>
      <c r="BF425" s="2" t="n">
        <f aca="false">BD425/(Entrées!$C$151/100)-BC425</f>
        <v>5397.14678183601</v>
      </c>
      <c r="BG425" s="2" t="n">
        <f aca="false">MIN(AV425,BF425)</f>
        <v>2054.14314940395</v>
      </c>
      <c r="BH425" s="2" t="n">
        <f aca="false">IF(AC425&gt;Hypothèses!$J$26,MAX(0,BG425)/(1-Hypothèses!$J$26/AC425),0)</f>
        <v>2981.34517721933</v>
      </c>
    </row>
    <row r="426" customFormat="false" ht="15" hidden="false" customHeight="false" outlineLevel="0" collapsed="false">
      <c r="A426" s="2" t="n">
        <v>411</v>
      </c>
      <c r="B426" s="2" t="n">
        <v>0.462491671</v>
      </c>
      <c r="C426" s="2"/>
      <c r="D426" s="2" t="n">
        <v>0.172199592</v>
      </c>
      <c r="E426" s="2" t="n">
        <f aca="false">IF(E$7=E$5,E$6,IF(NORMSDIST(E$9*SQRT($C$11)*NORMSINV($B426)+SQRT(1-E$9^2*$C$11)*NORMSINV(D426))&lt;E$8,E$5+SQRT(NORMSDIST(E$9*SQRT($C$11)*NORMSINV($B426)+SQRT(1-E$9^2*$C$11)*NORMSINV(D426))*(E$7-E$5)*(E$6-E$5)),E$7-SQRT((1-NORMSDIST(E$9*SQRT($C$11)*NORMSINV($B426)+SQRT(1-E$9^2*$C$11)*NORMSINV(D426)))*(E$7-E$5)*(E$7-E$6))))</f>
        <v>0.0532725993976442</v>
      </c>
      <c r="F426" s="2" t="n">
        <v>0.378029667</v>
      </c>
      <c r="G426" s="2" t="n">
        <f aca="false">IF(G$7=G$5,G$6,IF(NORMSDIST(G$9*SQRT($C$11)*NORMSINV($B426)+SQRT(1-G$9^2*$C$11)*NORMSINV(F426))&lt;G$8,G$5+SQRT(NORMSDIST(G$9*SQRT($C$11)*NORMSINV($B426)+SQRT(1-G$9^2*$C$11)*NORMSINV(F426))*(G$7-G$5)*(G$6-G$5)),G$7-SQRT((1-NORMSDIST(G$9*SQRT($C$11)*NORMSINV($B426)+SQRT(1-G$9^2*$C$11)*NORMSINV(F426)))*(G$7-G$5)*(G$7-G$6))))</f>
        <v>0.0531113604720207</v>
      </c>
      <c r="H426" s="2" t="n">
        <v>0.243612568</v>
      </c>
      <c r="I426" s="2" t="n">
        <f aca="false">IF(I$7=I$5,I$6,IF(NORMSDIST(I$9*SQRT($C$11)*NORMSINV($B426)+SQRT(1-I$9^2*$C$11)*NORMSINV(H426))&lt;I$8,I$5+SQRT(NORMSDIST(I$9*SQRT($C$11)*NORMSINV($B426)+SQRT(1-I$9^2*$C$11)*NORMSINV(H426))*(I$7-I$5)*(I$6-I$5)),I$7-SQRT((1-NORMSDIST(I$9*SQRT($C$11)*NORMSINV($B426)+SQRT(1-I$9^2*$C$11)*NORMSINV(H426)))*(I$7-I$5)*(I$7-I$6))))</f>
        <v>194.833065986528</v>
      </c>
      <c r="J426" s="2" t="n">
        <v>0.902091717</v>
      </c>
      <c r="K426" s="2" t="n">
        <f aca="false">IF(K$7=K$5,K$6,IF(NORMSDIST(K$9*SQRT($C$11)*NORMSINV($B426)+SQRT(1-K$9^2*$C$11)*NORMSINV(J426))&lt;K$8,K$5+SQRT(NORMSDIST(K$9*SQRT($C$11)*NORMSINV($B426)+SQRT(1-K$9^2*$C$11)*NORMSINV(J426))*(K$7-K$5)*(K$6-K$5)),K$7-SQRT((1-NORMSDIST(K$9*SQRT($C$11)*NORMSINV($B426)+SQRT(1-K$9^2*$C$11)*NORMSINV(J426)))*(K$7-K$5)*(K$7-K$6))))</f>
        <v>0.352952322367789</v>
      </c>
      <c r="L426" s="2" t="n">
        <v>0.393239829</v>
      </c>
      <c r="M426" s="2" t="n">
        <f aca="false">IF(M$7=M$5,M$6,IF(NORMSDIST(M$9*SQRT($C$11)*NORMSINV($B426)+SQRT(1-M$9^2*$C$11)*NORMSINV(L426))&lt;M$8,M$5+SQRT(NORMSDIST(M$9*SQRT($C$11)*NORMSINV($B426)+SQRT(1-M$9^2*$C$11)*NORMSINV(L426))*(M$7-M$5)*(M$6-M$5)),M$7-SQRT((1-NORMSDIST(M$9*SQRT($C$11)*NORMSINV($B426)+SQRT(1-M$9^2*$C$11)*NORMSINV(L426)))*(M$7-M$5)*(M$7-M$6))))</f>
        <v>1553.60637820172</v>
      </c>
      <c r="N426" s="2" t="n">
        <v>0.107724067</v>
      </c>
      <c r="O426" s="2" t="n">
        <f aca="false">IF(O$7=O$5,O$6,IF(NORMSDIST(O$9*SQRT($C$11)*NORMSINV($B426)+SQRT(1-O$9^2*$C$11)*NORMSINV(N426))&lt;O$8,O$5+SQRT(NORMSDIST(O$9*SQRT($C$11)*NORMSINV($B426)+SQRT(1-O$9^2*$C$11)*NORMSINV(N426))*(O$7-O$5)*(O$6-O$5)),O$7-SQRT((1-NORMSDIST(O$9*SQRT($C$11)*NORMSINV($B426)+SQRT(1-O$9^2*$C$11)*NORMSINV(N426)))*(O$7-O$5)*(O$7-O$6))))</f>
        <v>0.154868982076474</v>
      </c>
      <c r="P426" s="2" t="n">
        <v>0.874249207</v>
      </c>
      <c r="Q426" s="2" t="n">
        <f aca="false">IF(Q$7=Q$5,Q$6,IF(NORMSDIST(Q$9*SQRT($C$11)*NORMSINV($B426)+SQRT(1-Q$9^2*$C$11)*NORMSINV(P426))&lt;Q$8,Q$5+SQRT(NORMSDIST(Q$9*SQRT($C$11)*NORMSINV($B426)+SQRT(1-Q$9^2*$C$11)*NORMSINV(P426))*(Q$7-Q$5)*(Q$6-Q$5)),Q$7-SQRT((1-NORMSDIST(Q$9*SQRT($C$11)*NORMSINV($B426)+SQRT(1-Q$9^2*$C$11)*NORMSINV(P426)))*(Q$7-Q$5)*(Q$7-Q$6))))</f>
        <v>0.0999400264805758</v>
      </c>
      <c r="R426" s="2" t="n">
        <v>0.407306297</v>
      </c>
      <c r="S426" s="2" t="n">
        <f aca="false">IF(S$7=S$5,S$6,IF(NORMSDIST(S$9*SQRT($C$11)*NORMSINV($B426)+SQRT(1-S$9^2*$C$11)*NORMSINV(R426))&lt;S$8,S$5+SQRT(NORMSDIST(S$9*SQRT($C$11)*NORMSINV($B426)+SQRT(1-S$9^2*$C$11)*NORMSINV(R426))*(S$7-S$5)*(S$6-S$5)),S$7-SQRT((1-NORMSDIST(S$9*SQRT($C$11)*NORMSINV($B426)+SQRT(1-S$9^2*$C$11)*NORMSINV(R426)))*(S$7-S$5)*(S$7-S$6))))</f>
        <v>0.449838031780994</v>
      </c>
      <c r="T426" s="2" t="n">
        <v>0.49549401</v>
      </c>
      <c r="U426" s="2" t="n">
        <f aca="false">IF(U$7=U$5,U$6,IF(NORMSDIST(U$9*SQRT($C$11)*NORMSINV($B426)+SQRT(1-U$9^2*$C$11)*NORMSINV(T426))&lt;U$8,U$5+SQRT(NORMSDIST(U$9*SQRT($C$11)*NORMSINV($B426)+SQRT(1-U$9^2*$C$11)*NORMSINV(T426))*(U$7-U$5)*(U$6-U$5)),U$7-SQRT((1-NORMSDIST(U$9*SQRT($C$11)*NORMSINV($B426)+SQRT(1-U$9^2*$C$11)*NORMSINV(T426)))*(U$7-U$5)*(U$7-U$6))))</f>
        <v>0.486196134594522</v>
      </c>
      <c r="V426" s="2" t="n">
        <v>0.259304757</v>
      </c>
      <c r="W426" s="2" t="n">
        <f aca="false">IF(W$7=W$5,W$6,IF(NORMSDIST(W$9*SQRT($C$11)*NORMSINV($B426)+SQRT(1-W$9^2*$C$11)*NORMSINV(V426))&lt;W$8,W$5+SQRT(NORMSDIST(W$9*SQRT($C$11)*NORMSINV($B426)+SQRT(1-W$9^2*$C$11)*NORMSINV(V426))*(W$7-W$5)*(W$6-W$5)),W$7-SQRT((1-NORMSDIST(W$9*SQRT($C$11)*NORMSINV($B426)+SQRT(1-W$9^2*$C$11)*NORMSINV(V426)))*(W$7-W$5)*(W$7-W$6))))</f>
        <v>9.51761577507343</v>
      </c>
      <c r="X426" s="2" t="n">
        <v>0.856563178</v>
      </c>
      <c r="Y426" s="2" t="n">
        <f aca="false">IF(Y$7=Y$5,Y$6,IF(NORMSDIST(Y$9*SQRT($C$11)*NORMSINV($B426)+SQRT(1-Y$9^2*$C$11)*NORMSINV(X426))&lt;Y$8,Y$5+SQRT(NORMSDIST(Y$9*SQRT($C$11)*NORMSINV($B426)+SQRT(1-Y$9^2*$C$11)*NORMSINV(X426))*(Y$7-Y$5)*(Y$6-Y$5)),Y$7-SQRT((1-NORMSDIST(Y$9*SQRT($C$11)*NORMSINV($B426)+SQRT(1-Y$9^2*$C$11)*NORMSINV(X426)))*(Y$7-Y$5)*(Y$7-Y$6))))</f>
        <v>0.732197066856989</v>
      </c>
      <c r="Z426" s="2" t="n">
        <v>0.009336803</v>
      </c>
      <c r="AA426" s="2" t="n">
        <f aca="false">IF(AA$7=AA$5,AA$6,IF(NORMSDIST(AA$9*SQRT($C$11)*NORMSINV($B426)+SQRT(1-AA$9^2*$C$11)*NORMSINV(Z426))&lt;AA$8,AA$5+SQRT(NORMSDIST(AA$9*SQRT($C$11)*NORMSINV($B426)+SQRT(1-AA$9^2*$C$11)*NORMSINV(Z426))*(AA$7-AA$5)*(AA$6-AA$5)),AA$7-SQRT((1-NORMSDIST(AA$9*SQRT($C$11)*NORMSINV($B426)+SQRT(1-AA$9^2*$C$11)*NORMSINV(Z426)))*(AA$7-AA$5)*(AA$7-AA$6))))</f>
        <v>0.703331457715296</v>
      </c>
      <c r="AB426" s="2" t="n">
        <v>0.859202829</v>
      </c>
      <c r="AC426" s="2" t="n">
        <f aca="false">IF(AC$7=AC$5,AC$6,IF(NORMSDIST(AC$9*SQRT($C$11)*NORMSINV($B426)+SQRT(1-AC$9^2*$C$11)*NORMSINV(AB426))&lt;AC$8,AC$5+SQRT(NORMSDIST(AC$9*SQRT($C$11)*NORMSINV($B426)+SQRT(1-AC$9^2*$C$11)*NORMSINV(AB426))*(AC$7-AC$5)*(AC$6-AC$5)),AC$7-SQRT((1-NORMSDIST(AC$9*SQRT($C$11)*NORMSINV($B426)+SQRT(1-AC$9^2*$C$11)*NORMSINV(AB426)))*(AC$7-AC$5)*(AC$7-AC$6))))</f>
        <v>10.0266232179705</v>
      </c>
      <c r="AD426" s="2" t="n">
        <f aca="false">Entrées!$C$8*(1+E426)</f>
        <v>7425.57182575339</v>
      </c>
      <c r="AE426" s="2" t="n">
        <f aca="false">I426*Hypothèses!$J$24/12/Hypothèses!$J$19</f>
        <v>96.65606044843</v>
      </c>
      <c r="AF426" s="2" t="n">
        <f aca="false">Entrées!$C$36*S426*1000</f>
        <v>224.919015890497</v>
      </c>
      <c r="AG426" s="2" t="n">
        <f aca="false">-AF426/W426</f>
        <v>-23.6318655013956</v>
      </c>
      <c r="AH426" s="2" t="n">
        <f aca="false">AD426+AE426+AG426</f>
        <v>7498.59602070043</v>
      </c>
      <c r="AI426" s="2" t="n">
        <f aca="false">Entrées!$C$16-M426+Hypothèses!$J$22*1000-AF426+Hypothèses!$J$23</f>
        <v>22769.4746059078</v>
      </c>
      <c r="AJ426" s="2" t="n">
        <f aca="false">AI426/AH426</f>
        <v>3.03649837156862</v>
      </c>
      <c r="AK426" s="2" t="n">
        <f aca="false">AI426/(AH426+I426*(12-Hypothèses!$J$24)/12/Hypothèses!$J$19)</f>
        <v>3.00879619655494</v>
      </c>
      <c r="AL426" s="2" t="n">
        <f aca="false">(AD426+AG426+I426/Hypothèses!$J$19)*(1+G426)</f>
        <v>7969.56351078756</v>
      </c>
      <c r="AM426" s="2" t="n">
        <f aca="false">Entrées!$C$54*K426/Hypothèses!$J$19</f>
        <v>36.0202664486685</v>
      </c>
      <c r="AN426" s="2" t="n">
        <f aca="false">Y426*1000/AC426</f>
        <v>73.025289864756</v>
      </c>
      <c r="AO426" s="2" t="n">
        <f aca="false">(Entrées!$C$36*(1-S426)+MAX(0,Entrées!$C$30-Entrées!$C$35-Entrées!$C$36)*U426)*1000</f>
        <v>955.755572541833</v>
      </c>
      <c r="AP426" s="2" t="n">
        <f aca="false">-AO426/W426</f>
        <v>-100.419642390372</v>
      </c>
      <c r="AQ426" s="2" t="n">
        <f aca="false">AL426+AM426+AN426+AP426</f>
        <v>7978.18942471061</v>
      </c>
      <c r="AR426" s="2" t="n">
        <f aca="false">O426*AQ426-Hypothèses!$J$25/Hypothèses!$J$19</f>
        <v>1216.43891275659</v>
      </c>
      <c r="AS426" s="2" t="n">
        <f aca="false">Entrées!$C$79*(1+Q426)+Hypothèses!$J$20</f>
        <v>1503.83408910215</v>
      </c>
      <c r="AT426" s="2" t="n">
        <f aca="false">AI426-AR426+AS426+Y426*1000-AO426+Hypothèses!$J$23</f>
        <v>22833.3112765685</v>
      </c>
      <c r="AU426" s="2" t="n">
        <f aca="false">AT426/AQ426</f>
        <v>2.86196655168998</v>
      </c>
      <c r="AV426" s="2" t="n">
        <f aca="false">Hypothèses!$J$26*AQ426-AT426</f>
        <v>1101.25699756334</v>
      </c>
      <c r="AW426" s="2" t="n">
        <f aca="false">IF(AC426&gt;Hypothèses!$J$26,MAX(0,AV426)/(1-Hypothèses!$J$26/AC426),0)</f>
        <v>1571.43604234841</v>
      </c>
      <c r="AX426" s="2" t="n">
        <f aca="false">AQ426-Entrées!$C$17*1000</f>
        <v>-21.8105752893898</v>
      </c>
      <c r="AY426" s="2" t="n">
        <f aca="false">AI426+(Entrées!$C$244-Entrées!$C$13)</f>
        <v>28516.4746059078</v>
      </c>
      <c r="AZ426" s="2" t="n">
        <f aca="false">AA426*AH426</f>
        <v>5273.99847005735</v>
      </c>
      <c r="BA426" s="2" t="n">
        <f aca="false">AZ426/AY426</f>
        <v>0.184945668878885</v>
      </c>
      <c r="BB426" s="2" t="n">
        <f aca="false">AZ426/(Entrées!$C$151/100)-AY426</f>
        <v>783.51689441083</v>
      </c>
      <c r="BC426" s="2" t="n">
        <f aca="false">AT426+(Entrées!$C$244-Entrées!$C$13)</f>
        <v>28580.3112765685</v>
      </c>
      <c r="BD426" s="2" t="n">
        <f aca="false">AA426*AQ426</f>
        <v>5611.31159801047</v>
      </c>
      <c r="BE426" s="2" t="n">
        <f aca="false">BD426/BC426</f>
        <v>0.196334866464904</v>
      </c>
      <c r="BF426" s="2" t="n">
        <f aca="false">BD426/(Entrées!$C$151/100)-BC426</f>
        <v>2593.64204571191</v>
      </c>
      <c r="BG426" s="2" t="n">
        <f aca="false">MIN(AV426,BF426)</f>
        <v>1101.25699756334</v>
      </c>
      <c r="BH426" s="2" t="n">
        <f aca="false">IF(AC426&gt;Hypothèses!$J$26,MAX(0,BG426)/(1-Hypothèses!$J$26/AC426),0)</f>
        <v>1571.43604234841</v>
      </c>
    </row>
    <row r="427" customFormat="false" ht="15" hidden="false" customHeight="false" outlineLevel="0" collapsed="false">
      <c r="A427" s="2" t="n">
        <v>412</v>
      </c>
      <c r="B427" s="2" t="n">
        <v>0.84400973</v>
      </c>
      <c r="C427" s="2"/>
      <c r="D427" s="2" t="n">
        <v>0.316505681</v>
      </c>
      <c r="E427" s="2" t="n">
        <f aca="false">IF(E$7=E$5,E$6,IF(NORMSDIST(E$9*SQRT($C$11)*NORMSINV($B427)+SQRT(1-E$9^2*$C$11)*NORMSINV(D427))&lt;E$8,E$5+SQRT(NORMSDIST(E$9*SQRT($C$11)*NORMSINV($B427)+SQRT(1-E$9^2*$C$11)*NORMSINV(D427))*(E$7-E$5)*(E$6-E$5)),E$7-SQRT((1-NORMSDIST(E$9*SQRT($C$11)*NORMSINV($B427)+SQRT(1-E$9^2*$C$11)*NORMSINV(D427)))*(E$7-E$5)*(E$7-E$6))))</f>
        <v>0.0555630211286719</v>
      </c>
      <c r="F427" s="2" t="n">
        <v>0.432713833</v>
      </c>
      <c r="G427" s="2" t="n">
        <f aca="false">IF(G$7=G$5,G$6,IF(NORMSDIST(G$9*SQRT($C$11)*NORMSINV($B427)+SQRT(1-G$9^2*$C$11)*NORMSINV(F427))&lt;G$8,G$5+SQRT(NORMSDIST(G$9*SQRT($C$11)*NORMSINV($B427)+SQRT(1-G$9^2*$C$11)*NORMSINV(F427))*(G$7-G$5)*(G$6-G$5)),G$7-SQRT((1-NORMSDIST(G$9*SQRT($C$11)*NORMSINV($B427)+SQRT(1-G$9^2*$C$11)*NORMSINV(F427)))*(G$7-G$5)*(G$7-G$6))))</f>
        <v>0.0582719540842757</v>
      </c>
      <c r="H427" s="2" t="n">
        <v>0.627411315</v>
      </c>
      <c r="I427" s="2" t="n">
        <f aca="false">IF(I$7=I$5,I$6,IF(NORMSDIST(I$9*SQRT($C$11)*NORMSINV($B427)+SQRT(1-I$9^2*$C$11)*NORMSINV(H427))&lt;I$8,I$5+SQRT(NORMSDIST(I$9*SQRT($C$11)*NORMSINV($B427)+SQRT(1-I$9^2*$C$11)*NORMSINV(H427))*(I$7-I$5)*(I$6-I$5)),I$7-SQRT((1-NORMSDIST(I$9*SQRT($C$11)*NORMSINV($B427)+SQRT(1-I$9^2*$C$11)*NORMSINV(H427)))*(I$7-I$5)*(I$7-I$6))))</f>
        <v>207.788238995688</v>
      </c>
      <c r="J427" s="2" t="n">
        <v>0.560275492</v>
      </c>
      <c r="K427" s="2" t="n">
        <f aca="false">IF(K$7=K$5,K$6,IF(NORMSDIST(K$9*SQRT($C$11)*NORMSINV($B427)+SQRT(1-K$9^2*$C$11)*NORMSINV(J427))&lt;K$8,K$5+SQRT(NORMSDIST(K$9*SQRT($C$11)*NORMSINV($B427)+SQRT(1-K$9^2*$C$11)*NORMSINV(J427))*(K$7-K$5)*(K$6-K$5)),K$7-SQRT((1-NORMSDIST(K$9*SQRT($C$11)*NORMSINV($B427)+SQRT(1-K$9^2*$C$11)*NORMSINV(J427)))*(K$7-K$5)*(K$7-K$6))))</f>
        <v>0.332465481002779</v>
      </c>
      <c r="L427" s="2" t="n">
        <v>0.892536026</v>
      </c>
      <c r="M427" s="2" t="n">
        <f aca="false">IF(M$7=M$5,M$6,IF(NORMSDIST(M$9*SQRT($C$11)*NORMSINV($B427)+SQRT(1-M$9^2*$C$11)*NORMSINV(L427))&lt;M$8,M$5+SQRT(NORMSDIST(M$9*SQRT($C$11)*NORMSINV($B427)+SQRT(1-M$9^2*$C$11)*NORMSINV(L427))*(M$7-M$5)*(M$6-M$5)),M$7-SQRT((1-NORMSDIST(M$9*SQRT($C$11)*NORMSINV($B427)+SQRT(1-M$9^2*$C$11)*NORMSINV(L427)))*(M$7-M$5)*(M$7-M$6))))</f>
        <v>1725.8545111667</v>
      </c>
      <c r="N427" s="2" t="n">
        <v>0.238247304</v>
      </c>
      <c r="O427" s="2" t="n">
        <f aca="false">IF(O$7=O$5,O$6,IF(NORMSDIST(O$9*SQRT($C$11)*NORMSINV($B427)+SQRT(1-O$9^2*$C$11)*NORMSINV(N427))&lt;O$8,O$5+SQRT(NORMSDIST(O$9*SQRT($C$11)*NORMSINV($B427)+SQRT(1-O$9^2*$C$11)*NORMSINV(N427))*(O$7-O$5)*(O$6-O$5)),O$7-SQRT((1-NORMSDIST(O$9*SQRT($C$11)*NORMSINV($B427)+SQRT(1-O$9^2*$C$11)*NORMSINV(N427)))*(O$7-O$5)*(O$7-O$6))))</f>
        <v>0.167707532562547</v>
      </c>
      <c r="P427" s="2" t="n">
        <v>0.024542934</v>
      </c>
      <c r="Q427" s="2" t="n">
        <f aca="false">IF(Q$7=Q$5,Q$6,IF(NORMSDIST(Q$9*SQRT($C$11)*NORMSINV($B427)+SQRT(1-Q$9^2*$C$11)*NORMSINV(P427))&lt;Q$8,Q$5+SQRT(NORMSDIST(Q$9*SQRT($C$11)*NORMSINV($B427)+SQRT(1-Q$9^2*$C$11)*NORMSINV(P427))*(Q$7-Q$5)*(Q$6-Q$5)),Q$7-SQRT((1-NORMSDIST(Q$9*SQRT($C$11)*NORMSINV($B427)+SQRT(1-Q$9^2*$C$11)*NORMSINV(P427)))*(Q$7-Q$5)*(Q$7-Q$6))))</f>
        <v>0.0488621322942055</v>
      </c>
      <c r="R427" s="2" t="n">
        <v>0.256445568</v>
      </c>
      <c r="S427" s="2" t="n">
        <f aca="false">IF(S$7=S$5,S$6,IF(NORMSDIST(S$9*SQRT($C$11)*NORMSINV($B427)+SQRT(1-S$9^2*$C$11)*NORMSINV(R427))&lt;S$8,S$5+SQRT(NORMSDIST(S$9*SQRT($C$11)*NORMSINV($B427)+SQRT(1-S$9^2*$C$11)*NORMSINV(R427))*(S$7-S$5)*(S$6-S$5)),S$7-SQRT((1-NORMSDIST(S$9*SQRT($C$11)*NORMSINV($B427)+SQRT(1-S$9^2*$C$11)*NORMSINV(R427)))*(S$7-S$5)*(S$7-S$6))))</f>
        <v>0.527109134464775</v>
      </c>
      <c r="T427" s="2" t="n">
        <v>0.290270071</v>
      </c>
      <c r="U427" s="2" t="n">
        <f aca="false">IF(U$7=U$5,U$6,IF(NORMSDIST(U$9*SQRT($C$11)*NORMSINV($B427)+SQRT(1-U$9^2*$C$11)*NORMSINV(T427))&lt;U$8,U$5+SQRT(NORMSDIST(U$9*SQRT($C$11)*NORMSINV($B427)+SQRT(1-U$9^2*$C$11)*NORMSINV(T427))*(U$7-U$5)*(U$6-U$5)),U$7-SQRT((1-NORMSDIST(U$9*SQRT($C$11)*NORMSINV($B427)+SQRT(1-U$9^2*$C$11)*NORMSINV(T427)))*(U$7-U$5)*(U$7-U$6))))</f>
        <v>0.543776710953166</v>
      </c>
      <c r="V427" s="2" t="n">
        <v>0.358917669</v>
      </c>
      <c r="W427" s="2" t="n">
        <f aca="false">IF(W$7=W$5,W$6,IF(NORMSDIST(W$9*SQRT($C$11)*NORMSINV($B427)+SQRT(1-W$9^2*$C$11)*NORMSINV(V427))&lt;W$8,W$5+SQRT(NORMSDIST(W$9*SQRT($C$11)*NORMSINV($B427)+SQRT(1-W$9^2*$C$11)*NORMSINV(V427))*(W$7-W$5)*(W$6-W$5)),W$7-SQRT((1-NORMSDIST(W$9*SQRT($C$11)*NORMSINV($B427)+SQRT(1-W$9^2*$C$11)*NORMSINV(V427)))*(W$7-W$5)*(W$7-W$6))))</f>
        <v>10.3039121175533</v>
      </c>
      <c r="X427" s="2" t="n">
        <v>0.136598616</v>
      </c>
      <c r="Y427" s="2" t="n">
        <f aca="false">IF(Y$7=Y$5,Y$6,IF(NORMSDIST(Y$9*SQRT($C$11)*NORMSINV($B427)+SQRT(1-Y$9^2*$C$11)*NORMSINV(X427))&lt;Y$8,Y$5+SQRT(NORMSDIST(Y$9*SQRT($C$11)*NORMSINV($B427)+SQRT(1-Y$9^2*$C$11)*NORMSINV(X427))*(Y$7-Y$5)*(Y$6-Y$5)),Y$7-SQRT((1-NORMSDIST(Y$9*SQRT($C$11)*NORMSINV($B427)+SQRT(1-Y$9^2*$C$11)*NORMSINV(X427)))*(Y$7-Y$5)*(Y$7-Y$6))))</f>
        <v>0.26134136297188</v>
      </c>
      <c r="Z427" s="2" t="n">
        <v>0.869559048</v>
      </c>
      <c r="AA427" s="2" t="n">
        <f aca="false">IF(AA$7=AA$5,AA$6,IF(NORMSDIST(AA$9*SQRT($C$11)*NORMSINV($B427)+SQRT(1-AA$9^2*$C$11)*NORMSINV(Z427))&lt;AA$8,AA$5+SQRT(NORMSDIST(AA$9*SQRT($C$11)*NORMSINV($B427)+SQRT(1-AA$9^2*$C$11)*NORMSINV(Z427))*(AA$7-AA$5)*(AA$6-AA$5)),AA$7-SQRT((1-NORMSDIST(AA$9*SQRT($C$11)*NORMSINV($B427)+SQRT(1-AA$9^2*$C$11)*NORMSINV(Z427)))*(AA$7-AA$5)*(AA$7-AA$6))))</f>
        <v>0.744697205057208</v>
      </c>
      <c r="AB427" s="2" t="n">
        <v>0.849853949</v>
      </c>
      <c r="AC427" s="2" t="n">
        <f aca="false">IF(AC$7=AC$5,AC$6,IF(NORMSDIST(AC$9*SQRT($C$11)*NORMSINV($B427)+SQRT(1-AC$9^2*$C$11)*NORMSINV(AB427))&lt;AC$8,AC$5+SQRT(NORMSDIST(AC$9*SQRT($C$11)*NORMSINV($B427)+SQRT(1-AC$9^2*$C$11)*NORMSINV(AB427))*(AC$7-AC$5)*(AC$6-AC$5)),AC$7-SQRT((1-NORMSDIST(AC$9*SQRT($C$11)*NORMSINV($B427)+SQRT(1-AC$9^2*$C$11)*NORMSINV(AB427)))*(AC$7-AC$5)*(AC$7-AC$6))))</f>
        <v>10.4320040309512</v>
      </c>
      <c r="AD427" s="2" t="n">
        <f aca="false">Entrées!$C$8*(1+E427)</f>
        <v>7441.71929895714</v>
      </c>
      <c r="AE427" s="2" t="n">
        <f aca="false">I427*Hypothèses!$J$24/12/Hypothèses!$J$19</f>
        <v>103.08308031363</v>
      </c>
      <c r="AF427" s="2" t="n">
        <f aca="false">Entrées!$C$36*S427*1000</f>
        <v>263.554567232387</v>
      </c>
      <c r="AG427" s="2" t="n">
        <f aca="false">-AF427/W427</f>
        <v>-25.5781070554171</v>
      </c>
      <c r="AH427" s="2" t="n">
        <f aca="false">AD427+AE427+AG427</f>
        <v>7519.22427221535</v>
      </c>
      <c r="AI427" s="2" t="n">
        <f aca="false">Entrées!$C$16-M427+Hypothèses!$J$22*1000-AF427+Hypothèses!$J$23</f>
        <v>22558.5909216009</v>
      </c>
      <c r="AJ427" s="2" t="n">
        <f aca="false">AI427/AH427</f>
        <v>3.00012210102022</v>
      </c>
      <c r="AK427" s="2" t="n">
        <f aca="false">AI427/(AH427+I427*(12-Hypothèses!$J$24)/12/Hypothèses!$J$19)</f>
        <v>2.97102878841595</v>
      </c>
      <c r="AL427" s="2" t="n">
        <f aca="false">(AD427+AG427+I427/Hypothèses!$J$19)*(1+G427)</f>
        <v>8035.30554435278</v>
      </c>
      <c r="AM427" s="2" t="n">
        <f aca="false">Entrées!$C$54*K427/Hypothèses!$J$19</f>
        <v>33.9294982686811</v>
      </c>
      <c r="AN427" s="2" t="n">
        <f aca="false">Y427*1000/AC427</f>
        <v>25.0518847765487</v>
      </c>
      <c r="AO427" s="2" t="n">
        <f aca="false">(Entrées!$C$36*(1-S427)+MAX(0,Entrées!$C$30-Entrées!$C$35-Entrées!$C$36)*U427)*1000</f>
        <v>997.732828102045</v>
      </c>
      <c r="AP427" s="2" t="n">
        <f aca="false">-AO427/W427</f>
        <v>-96.830486976141</v>
      </c>
      <c r="AQ427" s="2" t="n">
        <f aca="false">AL427+AM427+AN427+AP427</f>
        <v>7997.45644042186</v>
      </c>
      <c r="AR427" s="2" t="n">
        <f aca="false">O427*AQ427-Hypothèses!$J$25/Hypothèses!$J$19</f>
        <v>1322.09852413798</v>
      </c>
      <c r="AS427" s="2" t="n">
        <f aca="false">Entrées!$C$79*(1+Q427)+Hypothèses!$J$20</f>
        <v>1447.69948339133</v>
      </c>
      <c r="AT427" s="2" t="n">
        <f aca="false">AI427-AR427+AS427+Y427*1000-AO427+Hypothèses!$J$23</f>
        <v>21947.8004157241</v>
      </c>
      <c r="AU427" s="2" t="n">
        <f aca="false">AT427/AQ427</f>
        <v>2.74434760341956</v>
      </c>
      <c r="AV427" s="2" t="n">
        <f aca="false">Hypothèses!$J$26*AQ427-AT427</f>
        <v>2044.56890554149</v>
      </c>
      <c r="AW427" s="2" t="n">
        <f aca="false">IF(AC427&gt;Hypothèses!$J$26,MAX(0,AV427)/(1-Hypothèses!$J$26/AC427),0)</f>
        <v>2869.87883420678</v>
      </c>
      <c r="AX427" s="2" t="n">
        <f aca="false">AQ427-Entrées!$C$17*1000</f>
        <v>-2.54355957813641</v>
      </c>
      <c r="AY427" s="2" t="n">
        <f aca="false">AI427+(Entrées!$C$244-Entrées!$C$13)</f>
        <v>28305.5909216009</v>
      </c>
      <c r="AZ427" s="2" t="n">
        <f aca="false">AA427*AH427</f>
        <v>5599.54529971709</v>
      </c>
      <c r="BA427" s="2" t="n">
        <f aca="false">AZ427/AY427</f>
        <v>0.197824709444377</v>
      </c>
      <c r="BB427" s="2" t="n">
        <f aca="false">AZ427/(Entrées!$C$151/100)-AY427</f>
        <v>2802.99407682736</v>
      </c>
      <c r="BC427" s="2" t="n">
        <f aca="false">AT427+(Entrées!$C$244-Entrées!$C$13)</f>
        <v>27694.8004157241</v>
      </c>
      <c r="BD427" s="2" t="n">
        <f aca="false">AA427*AQ427</f>
        <v>5955.68345874893</v>
      </c>
      <c r="BE427" s="2" t="n">
        <f aca="false">BD427/BC427</f>
        <v>0.215046989664078</v>
      </c>
      <c r="BF427" s="2" t="n">
        <f aca="false">BD427/(Entrées!$C$151/100)-BC427</f>
        <v>5392.32991065882</v>
      </c>
      <c r="BG427" s="2" t="n">
        <f aca="false">MIN(AV427,BF427)</f>
        <v>2044.56890554149</v>
      </c>
      <c r="BH427" s="2" t="n">
        <f aca="false">IF(AC427&gt;Hypothèses!$J$26,MAX(0,BG427)/(1-Hypothèses!$J$26/AC427),0)</f>
        <v>2869.87883420678</v>
      </c>
    </row>
    <row r="428" customFormat="false" ht="15" hidden="false" customHeight="false" outlineLevel="0" collapsed="false">
      <c r="A428" s="2" t="n">
        <v>413</v>
      </c>
      <c r="B428" s="2" t="n">
        <v>0.129427059</v>
      </c>
      <c r="C428" s="2"/>
      <c r="D428" s="2" t="n">
        <v>0.868071115</v>
      </c>
      <c r="E428" s="2" t="n">
        <f aca="false">IF(E$7=E$5,E$6,IF(NORMSDIST(E$9*SQRT($C$11)*NORMSINV($B428)+SQRT(1-E$9^2*$C$11)*NORMSINV(D428))&lt;E$8,E$5+SQRT(NORMSDIST(E$9*SQRT($C$11)*NORMSINV($B428)+SQRT(1-E$9^2*$C$11)*NORMSINV(D428))*(E$7-E$5)*(E$6-E$5)),E$7-SQRT((1-NORMSDIST(E$9*SQRT($C$11)*NORMSINV($B428)+SQRT(1-E$9^2*$C$11)*NORMSINV(D428)))*(E$7-E$5)*(E$7-E$6))))</f>
        <v>0.055310414381419</v>
      </c>
      <c r="F428" s="2" t="n">
        <v>0.487554851</v>
      </c>
      <c r="G428" s="2" t="n">
        <f aca="false">IF(G$7=G$5,G$6,IF(NORMSDIST(G$9*SQRT($C$11)*NORMSINV($B428)+SQRT(1-G$9^2*$C$11)*NORMSINV(F428))&lt;G$8,G$5+SQRT(NORMSDIST(G$9*SQRT($C$11)*NORMSINV($B428)+SQRT(1-G$9^2*$C$11)*NORMSINV(F428))*(G$7-G$5)*(G$6-G$5)),G$7-SQRT((1-NORMSDIST(G$9*SQRT($C$11)*NORMSINV($B428)+SQRT(1-G$9^2*$C$11)*NORMSINV(F428)))*(G$7-G$5)*(G$7-G$6))))</f>
        <v>0.0501773314280823</v>
      </c>
      <c r="H428" s="2" t="n">
        <v>0.062724987</v>
      </c>
      <c r="I428" s="2" t="n">
        <f aca="false">IF(I$7=I$5,I$6,IF(NORMSDIST(I$9*SQRT($C$11)*NORMSINV($B428)+SQRT(1-I$9^2*$C$11)*NORMSINV(H428))&lt;I$8,I$5+SQRT(NORMSDIST(I$9*SQRT($C$11)*NORMSINV($B428)+SQRT(1-I$9^2*$C$11)*NORMSINV(H428))*(I$7-I$5)*(I$6-I$5)),I$7-SQRT((1-NORMSDIST(I$9*SQRT($C$11)*NORMSINV($B428)+SQRT(1-I$9^2*$C$11)*NORMSINV(H428)))*(I$7-I$5)*(I$7-I$6))))</f>
        <v>184.787472331945</v>
      </c>
      <c r="J428" s="2" t="n">
        <v>0.666848721</v>
      </c>
      <c r="K428" s="2" t="n">
        <f aca="false">IF(K$7=K$5,K$6,IF(NORMSDIST(K$9*SQRT($C$11)*NORMSINV($B428)+SQRT(1-K$9^2*$C$11)*NORMSINV(J428))&lt;K$8,K$5+SQRT(NORMSDIST(K$9*SQRT($C$11)*NORMSINV($B428)+SQRT(1-K$9^2*$C$11)*NORMSINV(J428))*(K$7-K$5)*(K$6-K$5)),K$7-SQRT((1-NORMSDIST(K$9*SQRT($C$11)*NORMSINV($B428)+SQRT(1-K$9^2*$C$11)*NORMSINV(J428)))*(K$7-K$5)*(K$7-K$6))))</f>
        <v>0.20974478712409</v>
      </c>
      <c r="L428" s="2" t="n">
        <v>0.669018378</v>
      </c>
      <c r="M428" s="2" t="n">
        <f aca="false">IF(M$7=M$5,M$6,IF(NORMSDIST(M$9*SQRT($C$11)*NORMSINV($B428)+SQRT(1-M$9^2*$C$11)*NORMSINV(L428))&lt;M$8,M$5+SQRT(NORMSDIST(M$9*SQRT($C$11)*NORMSINV($B428)+SQRT(1-M$9^2*$C$11)*NORMSINV(L428))*(M$7-M$5)*(M$6-M$5)),M$7-SQRT((1-NORMSDIST(M$9*SQRT($C$11)*NORMSINV($B428)+SQRT(1-M$9^2*$C$11)*NORMSINV(L428)))*(M$7-M$5)*(M$7-M$6))))</f>
        <v>1540.49646211092</v>
      </c>
      <c r="N428" s="2" t="n">
        <v>0.18375519</v>
      </c>
      <c r="O428" s="2" t="n">
        <f aca="false">IF(O$7=O$5,O$6,IF(NORMSDIST(O$9*SQRT($C$11)*NORMSINV($B428)+SQRT(1-O$9^2*$C$11)*NORMSINV(N428))&lt;O$8,O$5+SQRT(NORMSDIST(O$9*SQRT($C$11)*NORMSINV($B428)+SQRT(1-O$9^2*$C$11)*NORMSINV(N428))*(O$7-O$5)*(O$6-O$5)),O$7-SQRT((1-NORMSDIST(O$9*SQRT($C$11)*NORMSINV($B428)+SQRT(1-O$9^2*$C$11)*NORMSINV(N428)))*(O$7-O$5)*(O$7-O$6))))</f>
        <v>0.150643620190227</v>
      </c>
      <c r="P428" s="2" t="n">
        <v>0.220115241</v>
      </c>
      <c r="Q428" s="2" t="n">
        <f aca="false">IF(Q$7=Q$5,Q$6,IF(NORMSDIST(Q$9*SQRT($C$11)*NORMSINV($B428)+SQRT(1-Q$9^2*$C$11)*NORMSINV(P428))&lt;Q$8,Q$5+SQRT(NORMSDIST(Q$9*SQRT($C$11)*NORMSINV($B428)+SQRT(1-Q$9^2*$C$11)*NORMSINV(P428))*(Q$7-Q$5)*(Q$6-Q$5)),Q$7-SQRT((1-NORMSDIST(Q$9*SQRT($C$11)*NORMSINV($B428)+SQRT(1-Q$9^2*$C$11)*NORMSINV(P428)))*(Q$7-Q$5)*(Q$7-Q$6))))</f>
        <v>0.0665399467068041</v>
      </c>
      <c r="R428" s="2" t="n">
        <v>0.763726232</v>
      </c>
      <c r="S428" s="2" t="n">
        <f aca="false">IF(S$7=S$5,S$6,IF(NORMSDIST(S$9*SQRT($C$11)*NORMSINV($B428)+SQRT(1-S$9^2*$C$11)*NORMSINV(R428))&lt;S$8,S$5+SQRT(NORMSDIST(S$9*SQRT($C$11)*NORMSINV($B428)+SQRT(1-S$9^2*$C$11)*NORMSINV(R428))*(S$7-S$5)*(S$6-S$5)),S$7-SQRT((1-NORMSDIST(S$9*SQRT($C$11)*NORMSINV($B428)+SQRT(1-S$9^2*$C$11)*NORMSINV(R428)))*(S$7-S$5)*(S$7-S$6))))</f>
        <v>0.467628562413808</v>
      </c>
      <c r="T428" s="2" t="n">
        <v>0.615541641</v>
      </c>
      <c r="U428" s="2" t="n">
        <f aca="false">IF(U$7=U$5,U$6,IF(NORMSDIST(U$9*SQRT($C$11)*NORMSINV($B428)+SQRT(1-U$9^2*$C$11)*NORMSINV(T428))&lt;U$8,U$5+SQRT(NORMSDIST(U$9*SQRT($C$11)*NORMSINV($B428)+SQRT(1-U$9^2*$C$11)*NORMSINV(T428))*(U$7-U$5)*(U$6-U$5)),U$7-SQRT((1-NORMSDIST(U$9*SQRT($C$11)*NORMSINV($B428)+SQRT(1-U$9^2*$C$11)*NORMSINV(T428)))*(U$7-U$5)*(U$7-U$6))))</f>
        <v>0.395785987867571</v>
      </c>
      <c r="V428" s="2" t="n">
        <v>0.418568651</v>
      </c>
      <c r="W428" s="2" t="n">
        <f aca="false">IF(W$7=W$5,W$6,IF(NORMSDIST(W$9*SQRT($C$11)*NORMSINV($B428)+SQRT(1-W$9^2*$C$11)*NORMSINV(V428))&lt;W$8,W$5+SQRT(NORMSDIST(W$9*SQRT($C$11)*NORMSINV($B428)+SQRT(1-W$9^2*$C$11)*NORMSINV(V428))*(W$7-W$5)*(W$6-W$5)),W$7-SQRT((1-NORMSDIST(W$9*SQRT($C$11)*NORMSINV($B428)+SQRT(1-W$9^2*$C$11)*NORMSINV(V428)))*(W$7-W$5)*(W$7-W$6))))</f>
        <v>9.23690345117477</v>
      </c>
      <c r="X428" s="2" t="n">
        <v>0.595947799</v>
      </c>
      <c r="Y428" s="2" t="n">
        <f aca="false">IF(Y$7=Y$5,Y$6,IF(NORMSDIST(Y$9*SQRT($C$11)*NORMSINV($B428)+SQRT(1-Y$9^2*$C$11)*NORMSINV(X428))&lt;Y$8,Y$5+SQRT(NORMSDIST(Y$9*SQRT($C$11)*NORMSINV($B428)+SQRT(1-Y$9^2*$C$11)*NORMSINV(X428))*(Y$7-Y$5)*(Y$6-Y$5)),Y$7-SQRT((1-NORMSDIST(Y$9*SQRT($C$11)*NORMSINV($B428)+SQRT(1-Y$9^2*$C$11)*NORMSINV(X428)))*(Y$7-Y$5)*(Y$7-Y$6))))</f>
        <v>0.550526863427857</v>
      </c>
      <c r="Z428" s="2" t="n">
        <v>0.74980522</v>
      </c>
      <c r="AA428" s="2" t="n">
        <f aca="false">IF(AA$7=AA$5,AA$6,IF(NORMSDIST(AA$9*SQRT($C$11)*NORMSINV($B428)+SQRT(1-AA$9^2*$C$11)*NORMSINV(Z428))&lt;AA$8,AA$5+SQRT(NORMSDIST(AA$9*SQRT($C$11)*NORMSINV($B428)+SQRT(1-AA$9^2*$C$11)*NORMSINV(Z428))*(AA$7-AA$5)*(AA$6-AA$5)),AA$7-SQRT((1-NORMSDIST(AA$9*SQRT($C$11)*NORMSINV($B428)+SQRT(1-AA$9^2*$C$11)*NORMSINV(Z428)))*(AA$7-AA$5)*(AA$7-AA$6))))</f>
        <v>0.725454926429589</v>
      </c>
      <c r="AB428" s="2" t="n">
        <v>0.062458716</v>
      </c>
      <c r="AC428" s="2" t="n">
        <f aca="false">IF(AC$7=AC$5,AC$6,IF(NORMSDIST(AC$9*SQRT($C$11)*NORMSINV($B428)+SQRT(1-AC$9^2*$C$11)*NORMSINV(AB428))&lt;AC$8,AC$5+SQRT(NORMSDIST(AC$9*SQRT($C$11)*NORMSINV($B428)+SQRT(1-AC$9^2*$C$11)*NORMSINV(AB428))*(AC$7-AC$5)*(AC$6-AC$5)),AC$7-SQRT((1-NORMSDIST(AC$9*SQRT($C$11)*NORMSINV($B428)+SQRT(1-AC$9^2*$C$11)*NORMSINV(AB428)))*(AC$7-AC$5)*(AC$7-AC$6))))</f>
        <v>7.89657677193511</v>
      </c>
      <c r="AD428" s="2" t="n">
        <f aca="false">Entrées!$C$8*(1+E428)</f>
        <v>7439.938421389</v>
      </c>
      <c r="AE428" s="2" t="n">
        <f aca="false">I428*Hypothèses!$J$24/12/Hypothèses!$J$19</f>
        <v>91.6724735885646</v>
      </c>
      <c r="AF428" s="2" t="n">
        <f aca="false">Entrées!$C$36*S428*1000</f>
        <v>233.814281206904</v>
      </c>
      <c r="AG428" s="2" t="n">
        <f aca="false">-AF428/W428</f>
        <v>-25.3130589101445</v>
      </c>
      <c r="AH428" s="2" t="n">
        <f aca="false">AD428+AE428+AG428</f>
        <v>7506.29783606742</v>
      </c>
      <c r="AI428" s="2" t="n">
        <f aca="false">Entrées!$C$16-M428+Hypothèses!$J$22*1000-AF428+Hypothèses!$J$23</f>
        <v>22773.6892566822</v>
      </c>
      <c r="AJ428" s="2" t="n">
        <f aca="false">AI428/AH428</f>
        <v>3.03394426307675</v>
      </c>
      <c r="AK428" s="2" t="n">
        <f aca="false">AI428/(AH428+I428*(12-Hypothèses!$J$24)/12/Hypothèses!$J$19)</f>
        <v>3.00770687311535</v>
      </c>
      <c r="AL428" s="2" t="n">
        <f aca="false">(AD428+AG428+I428/Hypothèses!$J$19)*(1+G428)</f>
        <v>7951.709797299</v>
      </c>
      <c r="AM428" s="2" t="n">
        <f aca="false">Entrées!$C$54*K428/Hypothèses!$J$19</f>
        <v>21.4053361874649</v>
      </c>
      <c r="AN428" s="2" t="n">
        <f aca="false">Y428*1000/AC428</f>
        <v>69.7171545756969</v>
      </c>
      <c r="AO428" s="2" t="n">
        <f aca="false">(Entrées!$C$36*(1-S428)+MAX(0,Entrées!$C$30-Entrées!$C$35-Entrées!$C$36)*U428)*1000</f>
        <v>820.286101807696</v>
      </c>
      <c r="AP428" s="2" t="n">
        <f aca="false">-AO428/W428</f>
        <v>-88.8053129648518</v>
      </c>
      <c r="AQ428" s="2" t="n">
        <f aca="false">AL428+AM428+AN428+AP428</f>
        <v>7954.02697509731</v>
      </c>
      <c r="AR428" s="2" t="n">
        <f aca="false">O428*AQ428-Hypothèses!$J$25/Hypothèses!$J$19</f>
        <v>1179.08825635775</v>
      </c>
      <c r="AS428" s="2" t="n">
        <f aca="false">Entrées!$C$79*(1+Q428)+Hypothèses!$J$20</f>
        <v>1467.12740143078</v>
      </c>
      <c r="AT428" s="2" t="n">
        <f aca="false">AI428-AR428+AS428+Y428*1000-AO428+Hypothèses!$J$23</f>
        <v>22791.9691633754</v>
      </c>
      <c r="AU428" s="2" t="n">
        <f aca="false">AT428/AQ428</f>
        <v>2.86546289505091</v>
      </c>
      <c r="AV428" s="2" t="n">
        <f aca="false">Hypothèses!$J$26*AQ428-AT428</f>
        <v>1070.11176191656</v>
      </c>
      <c r="AW428" s="2" t="n">
        <f aca="false">IF(AC428&gt;Hypothèses!$J$26,MAX(0,AV428)/(1-Hypothèses!$J$26/AC428),0)</f>
        <v>1725.74026224965</v>
      </c>
      <c r="AX428" s="2" t="n">
        <f aca="false">AQ428-Entrées!$C$17*1000</f>
        <v>-45.9730249026934</v>
      </c>
      <c r="AY428" s="2" t="n">
        <f aca="false">AI428+(Entrées!$C$244-Entrées!$C$13)</f>
        <v>28520.6892566822</v>
      </c>
      <c r="AZ428" s="2" t="n">
        <f aca="false">AA428*AH428</f>
        <v>5445.48074442287</v>
      </c>
      <c r="BA428" s="2" t="n">
        <f aca="false">AZ428/AY428</f>
        <v>0.190930895653128</v>
      </c>
      <c r="BB428" s="2" t="n">
        <f aca="false">AZ428/(Entrées!$C$151/100)-AY428</f>
        <v>1731.98154566713</v>
      </c>
      <c r="BC428" s="2" t="n">
        <f aca="false">AT428+(Entrées!$C$244-Entrées!$C$13)</f>
        <v>28538.9691633754</v>
      </c>
      <c r="BD428" s="2" t="n">
        <f aca="false">AA428*AQ428</f>
        <v>5770.28805403818</v>
      </c>
      <c r="BE428" s="2" t="n">
        <f aca="false">BD428/BC428</f>
        <v>0.202189785517667</v>
      </c>
      <c r="BF428" s="2" t="n">
        <f aca="false">BD428/(Entrées!$C$151/100)-BC428</f>
        <v>3518.18669239232</v>
      </c>
      <c r="BG428" s="2" t="n">
        <f aca="false">MIN(AV428,BF428)</f>
        <v>1070.11176191656</v>
      </c>
      <c r="BH428" s="2" t="n">
        <f aca="false">IF(AC428&gt;Hypothèses!$J$26,MAX(0,BG428)/(1-Hypothèses!$J$26/AC428),0)</f>
        <v>1725.74026224965</v>
      </c>
    </row>
    <row r="429" customFormat="false" ht="15" hidden="false" customHeight="false" outlineLevel="0" collapsed="false">
      <c r="A429" s="2" t="n">
        <v>414</v>
      </c>
      <c r="B429" s="2" t="n">
        <v>0.241264108</v>
      </c>
      <c r="C429" s="2"/>
      <c r="D429" s="2" t="n">
        <v>0.366447971</v>
      </c>
      <c r="E429" s="2" t="n">
        <f aca="false">IF(E$7=E$5,E$6,IF(NORMSDIST(E$9*SQRT($C$11)*NORMSINV($B429)+SQRT(1-E$9^2*$C$11)*NORMSINV(D429))&lt;E$8,E$5+SQRT(NORMSDIST(E$9*SQRT($C$11)*NORMSINV($B429)+SQRT(1-E$9^2*$C$11)*NORMSINV(D429))*(E$7-E$5)*(E$6-E$5)),E$7-SQRT((1-NORMSDIST(E$9*SQRT($C$11)*NORMSINV($B429)+SQRT(1-E$9^2*$C$11)*NORMSINV(D429)))*(E$7-E$5)*(E$7-E$6))))</f>
        <v>0.0534591988283573</v>
      </c>
      <c r="F429" s="2" t="n">
        <v>0.470794504</v>
      </c>
      <c r="G429" s="2" t="n">
        <f aca="false">IF(G$7=G$5,G$6,IF(NORMSDIST(G$9*SQRT($C$11)*NORMSINV($B429)+SQRT(1-G$9^2*$C$11)*NORMSINV(F429))&lt;G$8,G$5+SQRT(NORMSDIST(G$9*SQRT($C$11)*NORMSINV($B429)+SQRT(1-G$9^2*$C$11)*NORMSINV(F429))*(G$7-G$5)*(G$6-G$5)),G$7-SQRT((1-NORMSDIST(G$9*SQRT($C$11)*NORMSINV($B429)+SQRT(1-G$9^2*$C$11)*NORMSINV(F429)))*(G$7-G$5)*(G$7-G$6))))</f>
        <v>0.0517771101756909</v>
      </c>
      <c r="H429" s="2" t="n">
        <v>0.828861467</v>
      </c>
      <c r="I429" s="2" t="n">
        <f aca="false">IF(I$7=I$5,I$6,IF(NORMSDIST(I$9*SQRT($C$11)*NORMSINV($B429)+SQRT(1-I$9^2*$C$11)*NORMSINV(H429))&lt;I$8,I$5+SQRT(NORMSDIST(I$9*SQRT($C$11)*NORMSINV($B429)+SQRT(1-I$9^2*$C$11)*NORMSINV(H429))*(I$7-I$5)*(I$6-I$5)),I$7-SQRT((1-NORMSDIST(I$9*SQRT($C$11)*NORMSINV($B429)+SQRT(1-I$9^2*$C$11)*NORMSINV(H429)))*(I$7-I$5)*(I$7-I$6))))</f>
        <v>202.442264424916</v>
      </c>
      <c r="J429" s="2" t="n">
        <v>0.06219645</v>
      </c>
      <c r="K429" s="2" t="n">
        <f aca="false">IF(K$7=K$5,K$6,IF(NORMSDIST(K$9*SQRT($C$11)*NORMSINV($B429)+SQRT(1-K$9^2*$C$11)*NORMSINV(J429))&lt;K$8,K$5+SQRT(NORMSDIST(K$9*SQRT($C$11)*NORMSINV($B429)+SQRT(1-K$9^2*$C$11)*NORMSINV(J429))*(K$7-K$5)*(K$6-K$5)),K$7-SQRT((1-NORMSDIST(K$9*SQRT($C$11)*NORMSINV($B429)+SQRT(1-K$9^2*$C$11)*NORMSINV(J429)))*(K$7-K$5)*(K$7-K$6))))</f>
        <v>0.079913901404206</v>
      </c>
      <c r="L429" s="2" t="n">
        <v>0.851250348</v>
      </c>
      <c r="M429" s="2" t="n">
        <f aca="false">IF(M$7=M$5,M$6,IF(NORMSDIST(M$9*SQRT($C$11)*NORMSINV($B429)+SQRT(1-M$9^2*$C$11)*NORMSINV(L429))&lt;M$8,M$5+SQRT(NORMSDIST(M$9*SQRT($C$11)*NORMSINV($B429)+SQRT(1-M$9^2*$C$11)*NORMSINV(L429))*(M$7-M$5)*(M$6-M$5)),M$7-SQRT((1-NORMSDIST(M$9*SQRT($C$11)*NORMSINV($B429)+SQRT(1-M$9^2*$C$11)*NORMSINV(L429)))*(M$7-M$5)*(M$7-M$6))))</f>
        <v>1622.82629150105</v>
      </c>
      <c r="N429" s="2" t="n">
        <v>0.5230677</v>
      </c>
      <c r="O429" s="2" t="n">
        <f aca="false">IF(O$7=O$5,O$6,IF(NORMSDIST(O$9*SQRT($C$11)*NORMSINV($B429)+SQRT(1-O$9^2*$C$11)*NORMSINV(N429))&lt;O$8,O$5+SQRT(NORMSDIST(O$9*SQRT($C$11)*NORMSINV($B429)+SQRT(1-O$9^2*$C$11)*NORMSINV(N429))*(O$7-O$5)*(O$6-O$5)),O$7-SQRT((1-NORMSDIST(O$9*SQRT($C$11)*NORMSINV($B429)+SQRT(1-O$9^2*$C$11)*NORMSINV(N429)))*(O$7-O$5)*(O$7-O$6))))</f>
        <v>0.162243311683542</v>
      </c>
      <c r="P429" s="2" t="n">
        <v>0.410961331</v>
      </c>
      <c r="Q429" s="2" t="n">
        <f aca="false">IF(Q$7=Q$5,Q$6,IF(NORMSDIST(Q$9*SQRT($C$11)*NORMSINV($B429)+SQRT(1-Q$9^2*$C$11)*NORMSINV(P429))&lt;Q$8,Q$5+SQRT(NORMSDIST(Q$9*SQRT($C$11)*NORMSINV($B429)+SQRT(1-Q$9^2*$C$11)*NORMSINV(P429))*(Q$7-Q$5)*(Q$6-Q$5)),Q$7-SQRT((1-NORMSDIST(Q$9*SQRT($C$11)*NORMSINV($B429)+SQRT(1-Q$9^2*$C$11)*NORMSINV(P429)))*(Q$7-Q$5)*(Q$7-Q$6))))</f>
        <v>0.0762639801897144</v>
      </c>
      <c r="R429" s="2" t="n">
        <v>0.962715469</v>
      </c>
      <c r="S429" s="2" t="n">
        <f aca="false">IF(S$7=S$5,S$6,IF(NORMSDIST(S$9*SQRT($C$11)*NORMSINV($B429)+SQRT(1-S$9^2*$C$11)*NORMSINV(R429))&lt;S$8,S$5+SQRT(NORMSDIST(S$9*SQRT($C$11)*NORMSINV($B429)+SQRT(1-S$9^2*$C$11)*NORMSINV(R429))*(S$7-S$5)*(S$6-S$5)),S$7-SQRT((1-NORMSDIST(S$9*SQRT($C$11)*NORMSINV($B429)+SQRT(1-S$9^2*$C$11)*NORMSINV(R429)))*(S$7-S$5)*(S$7-S$6))))</f>
        <v>0.704732194257841</v>
      </c>
      <c r="T429" s="2" t="n">
        <v>0.826506657</v>
      </c>
      <c r="U429" s="2" t="n">
        <f aca="false">IF(U$7=U$5,U$6,IF(NORMSDIST(U$9*SQRT($C$11)*NORMSINV($B429)+SQRT(1-U$9^2*$C$11)*NORMSINV(T429))&lt;U$8,U$5+SQRT(NORMSDIST(U$9*SQRT($C$11)*NORMSINV($B429)+SQRT(1-U$9^2*$C$11)*NORMSINV(T429))*(U$7-U$5)*(U$6-U$5)),U$7-SQRT((1-NORMSDIST(U$9*SQRT($C$11)*NORMSINV($B429)+SQRT(1-U$9^2*$C$11)*NORMSINV(T429)))*(U$7-U$5)*(U$7-U$6))))</f>
        <v>0.559501582717242</v>
      </c>
      <c r="V429" s="2" t="n">
        <v>0.460791678</v>
      </c>
      <c r="W429" s="2" t="n">
        <f aca="false">IF(W$7=W$5,W$6,IF(NORMSDIST(W$9*SQRT($C$11)*NORMSINV($B429)+SQRT(1-W$9^2*$C$11)*NORMSINV(V429))&lt;W$8,W$5+SQRT(NORMSDIST(W$9*SQRT($C$11)*NORMSINV($B429)+SQRT(1-W$9^2*$C$11)*NORMSINV(V429))*(W$7-W$5)*(W$6-W$5)),W$7-SQRT((1-NORMSDIST(W$9*SQRT($C$11)*NORMSINV($B429)+SQRT(1-W$9^2*$C$11)*NORMSINV(V429)))*(W$7-W$5)*(W$7-W$6))))</f>
        <v>9.55279535119976</v>
      </c>
      <c r="X429" s="2" t="n">
        <v>0.980445008</v>
      </c>
      <c r="Y429" s="2" t="n">
        <f aca="false">IF(Y$7=Y$5,Y$6,IF(NORMSDIST(Y$9*SQRT($C$11)*NORMSINV($B429)+SQRT(1-Y$9^2*$C$11)*NORMSINV(X429))&lt;Y$8,Y$5+SQRT(NORMSDIST(Y$9*SQRT($C$11)*NORMSINV($B429)+SQRT(1-Y$9^2*$C$11)*NORMSINV(X429))*(Y$7-Y$5)*(Y$6-Y$5)),Y$7-SQRT((1-NORMSDIST(Y$9*SQRT($C$11)*NORMSINV($B429)+SQRT(1-Y$9^2*$C$11)*NORMSINV(X429)))*(Y$7-Y$5)*(Y$7-Y$6))))</f>
        <v>0.901118778324699</v>
      </c>
      <c r="Z429" s="2" t="n">
        <v>0.073295834</v>
      </c>
      <c r="AA429" s="2" t="n">
        <f aca="false">IF(AA$7=AA$5,AA$6,IF(NORMSDIST(AA$9*SQRT($C$11)*NORMSINV($B429)+SQRT(1-AA$9^2*$C$11)*NORMSINV(Z429))&lt;AA$8,AA$5+SQRT(NORMSDIST(AA$9*SQRT($C$11)*NORMSINV($B429)+SQRT(1-AA$9^2*$C$11)*NORMSINV(Z429))*(AA$7-AA$5)*(AA$6-AA$5)),AA$7-SQRT((1-NORMSDIST(AA$9*SQRT($C$11)*NORMSINV($B429)+SQRT(1-AA$9^2*$C$11)*NORMSINV(Z429)))*(AA$7-AA$5)*(AA$7-AA$6))))</f>
        <v>0.706502898452241</v>
      </c>
      <c r="AB429" s="2" t="n">
        <v>0.621687902</v>
      </c>
      <c r="AC429" s="2" t="n">
        <f aca="false">IF(AC$7=AC$5,AC$6,IF(NORMSDIST(AC$9*SQRT($C$11)*NORMSINV($B429)+SQRT(1-AC$9^2*$C$11)*NORMSINV(AB429))&lt;AC$8,AC$5+SQRT(NORMSDIST(AC$9*SQRT($C$11)*NORMSINV($B429)+SQRT(1-AC$9^2*$C$11)*NORMSINV(AB429))*(AC$7-AC$5)*(AC$6-AC$5)),AC$7-SQRT((1-NORMSDIST(AC$9*SQRT($C$11)*NORMSINV($B429)+SQRT(1-AC$9^2*$C$11)*NORMSINV(AB429)))*(AC$7-AC$5)*(AC$7-AC$6))))</f>
        <v>9.30300537218232</v>
      </c>
      <c r="AD429" s="2" t="n">
        <f aca="false">Entrées!$C$8*(1+E429)</f>
        <v>7426.88735173992</v>
      </c>
      <c r="AE429" s="2" t="n">
        <f aca="false">I429*Hypothèses!$J$24/12/Hypothèses!$J$19</f>
        <v>100.430959439527</v>
      </c>
      <c r="AF429" s="2" t="n">
        <f aca="false">Entrées!$C$36*S429*1000</f>
        <v>352.366097128921</v>
      </c>
      <c r="AG429" s="2" t="n">
        <f aca="false">-AF429/W429</f>
        <v>-36.8861766817465</v>
      </c>
      <c r="AH429" s="2" t="n">
        <f aca="false">AD429+AE429+AG429</f>
        <v>7490.4321344977</v>
      </c>
      <c r="AI429" s="2" t="n">
        <f aca="false">Entrées!$C$16-M429+Hypothèses!$J$22*1000-AF429+Hypothèses!$J$23</f>
        <v>22572.80761137</v>
      </c>
      <c r="AJ429" s="2" t="n">
        <f aca="false">AI429/AH429</f>
        <v>3.01355211636047</v>
      </c>
      <c r="AK429" s="2" t="n">
        <f aca="false">AI429/(AH429+I429*(12-Hypothèses!$J$24)/12/Hypothèses!$J$19)</f>
        <v>2.98496489592775</v>
      </c>
      <c r="AL429" s="2" t="n">
        <f aca="false">(AD429+AG429+I429/Hypothèses!$J$19)*(1+G429)</f>
        <v>7953.71576745446</v>
      </c>
      <c r="AM429" s="2" t="n">
        <f aca="false">Entrées!$C$54*K429/Hypothèses!$J$19</f>
        <v>8.15554917508832</v>
      </c>
      <c r="AN429" s="2" t="n">
        <f aca="false">Y429*1000/AC429</f>
        <v>96.8631901491972</v>
      </c>
      <c r="AO429" s="2" t="n">
        <f aca="false">(Entrées!$C$36*(1-S429)+MAX(0,Entrées!$C$30-Entrées!$C$35-Entrées!$C$36)*U429)*1000</f>
        <v>930.936118675218</v>
      </c>
      <c r="AP429" s="2" t="n">
        <f aca="false">-AO429/W429</f>
        <v>-97.451697063551</v>
      </c>
      <c r="AQ429" s="2" t="n">
        <f aca="false">AL429+AM429+AN429+AP429</f>
        <v>7961.2828097152</v>
      </c>
      <c r="AR429" s="2" t="n">
        <f aca="false">O429*AQ429-Hypothèses!$J$25/Hypothèses!$J$19</f>
        <v>1272.52972603582</v>
      </c>
      <c r="AS429" s="2" t="n">
        <f aca="false">Entrées!$C$79*(1+Q429)+Hypothèses!$J$20</f>
        <v>1477.8141142285</v>
      </c>
      <c r="AT429" s="2" t="n">
        <f aca="false">AI429-AR429+AS429+Y429*1000-AO429+Hypothèses!$J$23</f>
        <v>22748.2746592122</v>
      </c>
      <c r="AU429" s="2" t="n">
        <f aca="false">AT429/AQ429</f>
        <v>2.85736296560805</v>
      </c>
      <c r="AV429" s="2" t="n">
        <f aca="false">Hypothèses!$J$26*AQ429-AT429</f>
        <v>1135.57376993342</v>
      </c>
      <c r="AW429" s="2" t="n">
        <f aca="false">IF(AC429&gt;Hypothèses!$J$26,MAX(0,AV429)/(1-Hypothèses!$J$26/AC429),0)</f>
        <v>1676.06534635433</v>
      </c>
      <c r="AX429" s="2" t="n">
        <f aca="false">AQ429-Entrées!$C$17*1000</f>
        <v>-38.7171902848013</v>
      </c>
      <c r="AY429" s="2" t="n">
        <f aca="false">AI429+(Entrées!$C$244-Entrées!$C$13)</f>
        <v>28319.80761137</v>
      </c>
      <c r="AZ429" s="2" t="n">
        <f aca="false">AA429*AH429</f>
        <v>5292.01201368243</v>
      </c>
      <c r="BA429" s="2" t="n">
        <f aca="false">AZ429/AY429</f>
        <v>0.186866100444756</v>
      </c>
      <c r="BB429" s="2" t="n">
        <f aca="false">AZ429/(Entrées!$C$151/100)-AY429</f>
        <v>1080.25913131015</v>
      </c>
      <c r="BC429" s="2" t="n">
        <f aca="false">AT429+(Entrées!$C$244-Entrées!$C$13)</f>
        <v>28495.2746592122</v>
      </c>
      <c r="BD429" s="2" t="n">
        <f aca="false">AA429*AQ429</f>
        <v>5624.66938046179</v>
      </c>
      <c r="BE429" s="2" t="n">
        <f aca="false">BD429/BC429</f>
        <v>0.197389547836606</v>
      </c>
      <c r="BF429" s="2" t="n">
        <f aca="false">BD429/(Entrées!$C$151/100)-BC429</f>
        <v>2752.88856557554</v>
      </c>
      <c r="BG429" s="2" t="n">
        <f aca="false">MIN(AV429,BF429)</f>
        <v>1135.57376993342</v>
      </c>
      <c r="BH429" s="2" t="n">
        <f aca="false">IF(AC429&gt;Hypothèses!$J$26,MAX(0,BG429)/(1-Hypothèses!$J$26/AC429),0)</f>
        <v>1676.06534635433</v>
      </c>
    </row>
    <row r="430" customFormat="false" ht="15" hidden="false" customHeight="false" outlineLevel="0" collapsed="false">
      <c r="A430" s="2" t="n">
        <v>415</v>
      </c>
      <c r="B430" s="2" t="n">
        <v>0.535511347</v>
      </c>
      <c r="C430" s="2"/>
      <c r="D430" s="2" t="n">
        <v>0.845294498</v>
      </c>
      <c r="E430" s="2" t="n">
        <f aca="false">IF(E$7=E$5,E$6,IF(NORMSDIST(E$9*SQRT($C$11)*NORMSINV($B430)+SQRT(1-E$9^2*$C$11)*NORMSINV(D430))&lt;E$8,E$5+SQRT(NORMSDIST(E$9*SQRT($C$11)*NORMSINV($B430)+SQRT(1-E$9^2*$C$11)*NORMSINV(D430))*(E$7-E$5)*(E$6-E$5)),E$7-SQRT((1-NORMSDIST(E$9*SQRT($C$11)*NORMSINV($B430)+SQRT(1-E$9^2*$C$11)*NORMSINV(D430)))*(E$7-E$5)*(E$7-E$6))))</f>
        <v>0.0568423608872331</v>
      </c>
      <c r="F430" s="2" t="n">
        <v>0.042894348</v>
      </c>
      <c r="G430" s="2" t="n">
        <f aca="false">IF(G$7=G$5,G$6,IF(NORMSDIST(G$9*SQRT($C$11)*NORMSINV($B430)+SQRT(1-G$9^2*$C$11)*NORMSINV(F430))&lt;G$8,G$5+SQRT(NORMSDIST(G$9*SQRT($C$11)*NORMSINV($B430)+SQRT(1-G$9^2*$C$11)*NORMSINV(F430))*(G$7-G$5)*(G$6-G$5)),G$7-SQRT((1-NORMSDIST(G$9*SQRT($C$11)*NORMSINV($B430)+SQRT(1-G$9^2*$C$11)*NORMSINV(F430)))*(G$7-G$5)*(G$7-G$6))))</f>
        <v>0.0467502498278486</v>
      </c>
      <c r="H430" s="2" t="n">
        <v>0.80805721</v>
      </c>
      <c r="I430" s="2" t="n">
        <f aca="false">IF(I$7=I$5,I$6,IF(NORMSDIST(I$9*SQRT($C$11)*NORMSINV($B430)+SQRT(1-I$9^2*$C$11)*NORMSINV(H430))&lt;I$8,I$5+SQRT(NORMSDIST(I$9*SQRT($C$11)*NORMSINV($B430)+SQRT(1-I$9^2*$C$11)*NORMSINV(H430))*(I$7-I$5)*(I$6-I$5)),I$7-SQRT((1-NORMSDIST(I$9*SQRT($C$11)*NORMSINV($B430)+SQRT(1-I$9^2*$C$11)*NORMSINV(H430)))*(I$7-I$5)*(I$7-I$6))))</f>
        <v>206.363794583361</v>
      </c>
      <c r="J430" s="2" t="n">
        <v>0.698569411</v>
      </c>
      <c r="K430" s="2" t="n">
        <f aca="false">IF(K$7=K$5,K$6,IF(NORMSDIST(K$9*SQRT($C$11)*NORMSINV($B430)+SQRT(1-K$9^2*$C$11)*NORMSINV(J430))&lt;K$8,K$5+SQRT(NORMSDIST(K$9*SQRT($C$11)*NORMSINV($B430)+SQRT(1-K$9^2*$C$11)*NORMSINV(J430))*(K$7-K$5)*(K$6-K$5)),K$7-SQRT((1-NORMSDIST(K$9*SQRT($C$11)*NORMSINV($B430)+SQRT(1-K$9^2*$C$11)*NORMSINV(J430)))*(K$7-K$5)*(K$7-K$6))))</f>
        <v>0.299071487133421</v>
      </c>
      <c r="L430" s="2" t="n">
        <v>0.67838667</v>
      </c>
      <c r="M430" s="2" t="n">
        <f aca="false">IF(M$7=M$5,M$6,IF(NORMSDIST(M$9*SQRT($C$11)*NORMSINV($B430)+SQRT(1-M$9^2*$C$11)*NORMSINV(L430))&lt;M$8,M$5+SQRT(NORMSDIST(M$9*SQRT($C$11)*NORMSINV($B430)+SQRT(1-M$9^2*$C$11)*NORMSINV(L430))*(M$7-M$5)*(M$6-M$5)),M$7-SQRT((1-NORMSDIST(M$9*SQRT($C$11)*NORMSINV($B430)+SQRT(1-M$9^2*$C$11)*NORMSINV(L430)))*(M$7-M$5)*(M$7-M$6))))</f>
        <v>1627.60925286361</v>
      </c>
      <c r="N430" s="2" t="n">
        <v>0.053959268</v>
      </c>
      <c r="O430" s="2" t="n">
        <f aca="false">IF(O$7=O$5,O$6,IF(NORMSDIST(O$9*SQRT($C$11)*NORMSINV($B430)+SQRT(1-O$9^2*$C$11)*NORMSINV(N430))&lt;O$8,O$5+SQRT(NORMSDIST(O$9*SQRT($C$11)*NORMSINV($B430)+SQRT(1-O$9^2*$C$11)*NORMSINV(N430))*(O$7-O$5)*(O$6-O$5)),O$7-SQRT((1-NORMSDIST(O$9*SQRT($C$11)*NORMSINV($B430)+SQRT(1-O$9^2*$C$11)*NORMSINV(N430)))*(O$7-O$5)*(O$7-O$6))))</f>
        <v>0.152970028522445</v>
      </c>
      <c r="P430" s="2" t="n">
        <v>0.367133928</v>
      </c>
      <c r="Q430" s="2" t="n">
        <f aca="false">IF(Q$7=Q$5,Q$6,IF(NORMSDIST(Q$9*SQRT($C$11)*NORMSINV($B430)+SQRT(1-Q$9^2*$C$11)*NORMSINV(P430))&lt;Q$8,Q$5+SQRT(NORMSDIST(Q$9*SQRT($C$11)*NORMSINV($B430)+SQRT(1-Q$9^2*$C$11)*NORMSINV(P430))*(Q$7-Q$5)*(Q$6-Q$5)),Q$7-SQRT((1-NORMSDIST(Q$9*SQRT($C$11)*NORMSINV($B430)+SQRT(1-Q$9^2*$C$11)*NORMSINV(P430)))*(Q$7-Q$5)*(Q$7-Q$6))))</f>
        <v>0.0742757723414076</v>
      </c>
      <c r="R430" s="2" t="n">
        <v>0.898528758</v>
      </c>
      <c r="S430" s="2" t="n">
        <f aca="false">IF(S$7=S$5,S$6,IF(NORMSDIST(S$9*SQRT($C$11)*NORMSINV($B430)+SQRT(1-S$9^2*$C$11)*NORMSINV(R430))&lt;S$8,S$5+SQRT(NORMSDIST(S$9*SQRT($C$11)*NORMSINV($B430)+SQRT(1-S$9^2*$C$11)*NORMSINV(R430))*(S$7-S$5)*(S$6-S$5)),S$7-SQRT((1-NORMSDIST(S$9*SQRT($C$11)*NORMSINV($B430)+SQRT(1-S$9^2*$C$11)*NORMSINV(R430)))*(S$7-S$5)*(S$7-S$6))))</f>
        <v>0.727449832485511</v>
      </c>
      <c r="T430" s="2" t="n">
        <v>0.614301967</v>
      </c>
      <c r="U430" s="2" t="n">
        <f aca="false">IF(U$7=U$5,U$6,IF(NORMSDIST(U$9*SQRT($C$11)*NORMSINV($B430)+SQRT(1-U$9^2*$C$11)*NORMSINV(T430))&lt;U$8,U$5+SQRT(NORMSDIST(U$9*SQRT($C$11)*NORMSINV($B430)+SQRT(1-U$9^2*$C$11)*NORMSINV(T430))*(U$7-U$5)*(U$6-U$5)),U$7-SQRT((1-NORMSDIST(U$9*SQRT($C$11)*NORMSINV($B430)+SQRT(1-U$9^2*$C$11)*NORMSINV(T430)))*(U$7-U$5)*(U$7-U$6))))</f>
        <v>0.558870655469524</v>
      </c>
      <c r="V430" s="2" t="n">
        <v>0.535863974</v>
      </c>
      <c r="W430" s="2" t="n">
        <f aca="false">IF(W$7=W$5,W$6,IF(NORMSDIST(W$9*SQRT($C$11)*NORMSINV($B430)+SQRT(1-W$9^2*$C$11)*NORMSINV(V430))&lt;W$8,W$5+SQRT(NORMSDIST(W$9*SQRT($C$11)*NORMSINV($B430)+SQRT(1-W$9^2*$C$11)*NORMSINV(V430))*(W$7-W$5)*(W$6-W$5)),W$7-SQRT((1-NORMSDIST(W$9*SQRT($C$11)*NORMSINV($B430)+SQRT(1-W$9^2*$C$11)*NORMSINV(V430)))*(W$7-W$5)*(W$7-W$6))))</f>
        <v>10.102999678262</v>
      </c>
      <c r="X430" s="2" t="n">
        <v>0.057039946</v>
      </c>
      <c r="Y430" s="2" t="n">
        <f aca="false">IF(Y$7=Y$5,Y$6,IF(NORMSDIST(Y$9*SQRT($C$11)*NORMSINV($B430)+SQRT(1-Y$9^2*$C$11)*NORMSINV(X430))&lt;Y$8,Y$5+SQRT(NORMSDIST(Y$9*SQRT($C$11)*NORMSINV($B430)+SQRT(1-Y$9^2*$C$11)*NORMSINV(X430))*(Y$7-Y$5)*(Y$6-Y$5)),Y$7-SQRT((1-NORMSDIST(Y$9*SQRT($C$11)*NORMSINV($B430)+SQRT(1-Y$9^2*$C$11)*NORMSINV(X430)))*(Y$7-Y$5)*(Y$7-Y$6))))</f>
        <v>0.168878574721603</v>
      </c>
      <c r="Z430" s="2" t="n">
        <v>0.954628547</v>
      </c>
      <c r="AA430" s="2" t="n">
        <f aca="false">IF(AA$7=AA$5,AA$6,IF(NORMSDIST(AA$9*SQRT($C$11)*NORMSINV($B430)+SQRT(1-AA$9^2*$C$11)*NORMSINV(Z430))&lt;AA$8,AA$5+SQRT(NORMSDIST(AA$9*SQRT($C$11)*NORMSINV($B430)+SQRT(1-AA$9^2*$C$11)*NORMSINV(Z430))*(AA$7-AA$5)*(AA$6-AA$5)),AA$7-SQRT((1-NORMSDIST(AA$9*SQRT($C$11)*NORMSINV($B430)+SQRT(1-AA$9^2*$C$11)*NORMSINV(Z430)))*(AA$7-AA$5)*(AA$7-AA$6))))</f>
        <v>0.743364773113673</v>
      </c>
      <c r="AB430" s="2" t="n">
        <v>0.975222155</v>
      </c>
      <c r="AC430" s="2" t="n">
        <f aca="false">IF(AC$7=AC$5,AC$6,IF(NORMSDIST(AC$9*SQRT($C$11)*NORMSINV($B430)+SQRT(1-AC$9^2*$C$11)*NORMSINV(AB430))&lt;AC$8,AC$5+SQRT(NORMSDIST(AC$9*SQRT($C$11)*NORMSINV($B430)+SQRT(1-AC$9^2*$C$11)*NORMSINV(AB430))*(AC$7-AC$5)*(AC$6-AC$5)),AC$7-SQRT((1-NORMSDIST(AC$9*SQRT($C$11)*NORMSINV($B430)+SQRT(1-AC$9^2*$C$11)*NORMSINV(AB430)))*(AC$7-AC$5)*(AC$7-AC$6))))</f>
        <v>10.5022996832146</v>
      </c>
      <c r="AD430" s="2" t="n">
        <f aca="false">Entrées!$C$8*(1+E430)</f>
        <v>7450.73864425499</v>
      </c>
      <c r="AE430" s="2" t="n">
        <f aca="false">I430*Hypothèses!$J$24/12/Hypothèses!$J$19</f>
        <v>102.376417999786</v>
      </c>
      <c r="AF430" s="2" t="n">
        <f aca="false">Entrées!$C$36*S430*1000</f>
        <v>363.724916242756</v>
      </c>
      <c r="AG430" s="2" t="n">
        <f aca="false">-AF430/W430</f>
        <v>-36.0016755246819</v>
      </c>
      <c r="AH430" s="2" t="n">
        <f aca="false">AD430+AE430+AG430</f>
        <v>7517.1133867301</v>
      </c>
      <c r="AI430" s="2" t="n">
        <f aca="false">Entrées!$C$16-M430+Hypothèses!$J$22*1000-AF430+Hypothèses!$J$23</f>
        <v>22556.6658308936</v>
      </c>
      <c r="AJ430" s="2" t="n">
        <f aca="false">AI430/AH430</f>
        <v>3.00070847284448</v>
      </c>
      <c r="AK430" s="2" t="n">
        <f aca="false">AI430/(AH430+I430*(12-Hypothèses!$J$24)/12/Hypothèses!$J$19)</f>
        <v>2.97179899650079</v>
      </c>
      <c r="AL430" s="2" t="n">
        <f aca="false">(AD430+AG430+I430/Hypothèses!$J$19)*(1+G430)</f>
        <v>7945.08498777096</v>
      </c>
      <c r="AM430" s="2" t="n">
        <f aca="false">Entrées!$C$54*K430/Hypothèses!$J$19</f>
        <v>30.5215009819935</v>
      </c>
      <c r="AN430" s="2" t="n">
        <f aca="false">Y430*1000/AC430</f>
        <v>16.0801519491503</v>
      </c>
      <c r="AO430" s="2" t="n">
        <f aca="false">(Entrées!$C$36*(1-S430)+MAX(0,Entrées!$C$30-Entrées!$C$35-Entrées!$C$36)*U430)*1000</f>
        <v>918.694001414578</v>
      </c>
      <c r="AP430" s="2" t="n">
        <f aca="false">-AO430/W430</f>
        <v>-90.9327952757705</v>
      </c>
      <c r="AQ430" s="2" t="n">
        <f aca="false">AL430+AM430+AN430+AP430</f>
        <v>7900.75384542634</v>
      </c>
      <c r="AR430" s="2" t="n">
        <f aca="false">O430*AQ430-Hypothèses!$J$25/Hypothèses!$J$19</f>
        <v>1189.44337882206</v>
      </c>
      <c r="AS430" s="2" t="n">
        <f aca="false">Entrées!$C$79*(1+Q430)+Hypothèses!$J$20</f>
        <v>1475.62907380321</v>
      </c>
      <c r="AT430" s="2" t="n">
        <f aca="false">AI430-AR430+AS430+Y430*1000-AO430+Hypothèses!$J$23</f>
        <v>22093.0360991818</v>
      </c>
      <c r="AU430" s="2" t="n">
        <f aca="false">AT430/AQ430</f>
        <v>2.79632001343406</v>
      </c>
      <c r="AV430" s="2" t="n">
        <f aca="false">Hypothèses!$J$26*AQ430-AT430</f>
        <v>1609.2254370972</v>
      </c>
      <c r="AW430" s="2" t="n">
        <f aca="false">IF(AC430&gt;Hypothèses!$J$26,MAX(0,AV430)/(1-Hypothèses!$J$26/AC430),0)</f>
        <v>2252.71830130427</v>
      </c>
      <c r="AX430" s="2" t="n">
        <f aca="false">AQ430-Entrées!$C$17*1000</f>
        <v>-99.2461545736624</v>
      </c>
      <c r="AY430" s="2" t="n">
        <f aca="false">AI430+(Entrées!$C$244-Entrées!$C$13)</f>
        <v>28303.6658308936</v>
      </c>
      <c r="AZ430" s="2" t="n">
        <f aca="false">AA430*AH430</f>
        <v>5587.95728719637</v>
      </c>
      <c r="BA430" s="2" t="n">
        <f aca="false">AZ430/AY430</f>
        <v>0.197428747236589</v>
      </c>
      <c r="BB430" s="2" t="n">
        <f aca="false">AZ430/(Entrées!$C$151/100)-AY430</f>
        <v>2740.54132019732</v>
      </c>
      <c r="BC430" s="2" t="n">
        <f aca="false">AT430+(Entrées!$C$244-Entrées!$C$13)</f>
        <v>27840.0360991818</v>
      </c>
      <c r="BD430" s="2" t="n">
        <f aca="false">AA430*AQ430</f>
        <v>5873.14208973233</v>
      </c>
      <c r="BE430" s="2" t="n">
        <f aca="false">BD430/BC430</f>
        <v>0.210960290022933</v>
      </c>
      <c r="BF430" s="2" t="n">
        <f aca="false">BD430/(Entrées!$C$151/100)-BC430</f>
        <v>4788.53106599778</v>
      </c>
      <c r="BG430" s="2" t="n">
        <f aca="false">MIN(AV430,BF430)</f>
        <v>1609.2254370972</v>
      </c>
      <c r="BH430" s="2" t="n">
        <f aca="false">IF(AC430&gt;Hypothèses!$J$26,MAX(0,BG430)/(1-Hypothèses!$J$26/AC430),0)</f>
        <v>2252.71830130427</v>
      </c>
    </row>
    <row r="431" customFormat="false" ht="15" hidden="false" customHeight="false" outlineLevel="0" collapsed="false">
      <c r="A431" s="2" t="n">
        <v>416</v>
      </c>
      <c r="B431" s="2" t="n">
        <v>0.110957378</v>
      </c>
      <c r="C431" s="2"/>
      <c r="D431" s="2" t="n">
        <v>0.007307212</v>
      </c>
      <c r="E431" s="2" t="n">
        <f aca="false">IF(E$7=E$5,E$6,IF(NORMSDIST(E$9*SQRT($C$11)*NORMSINV($B431)+SQRT(1-E$9^2*$C$11)*NORMSINV(D431))&lt;E$8,E$5+SQRT(NORMSDIST(E$9*SQRT($C$11)*NORMSINV($B431)+SQRT(1-E$9^2*$C$11)*NORMSINV(D431))*(E$7-E$5)*(E$6-E$5)),E$7-SQRT((1-NORMSDIST(E$9*SQRT($C$11)*NORMSINV($B431)+SQRT(1-E$9^2*$C$11)*NORMSINV(D431)))*(E$7-E$5)*(E$7-E$6))))</f>
        <v>0.0504394192177736</v>
      </c>
      <c r="F431" s="2" t="n">
        <v>0.473285834</v>
      </c>
      <c r="G431" s="2" t="n">
        <f aca="false">IF(G$7=G$5,G$6,IF(NORMSDIST(G$9*SQRT($C$11)*NORMSINV($B431)+SQRT(1-G$9^2*$C$11)*NORMSINV(F431))&lt;G$8,G$5+SQRT(NORMSDIST(G$9*SQRT($C$11)*NORMSINV($B431)+SQRT(1-G$9^2*$C$11)*NORMSINV(F431))*(G$7-G$5)*(G$6-G$5)),G$7-SQRT((1-NORMSDIST(G$9*SQRT($C$11)*NORMSINV($B431)+SQRT(1-G$9^2*$C$11)*NORMSINV(F431)))*(G$7-G$5)*(G$7-G$6))))</f>
        <v>0.0496011689819343</v>
      </c>
      <c r="H431" s="2" t="n">
        <v>0.024444012</v>
      </c>
      <c r="I431" s="2" t="n">
        <f aca="false">IF(I$7=I$5,I$6,IF(NORMSDIST(I$9*SQRT($C$11)*NORMSINV($B431)+SQRT(1-I$9^2*$C$11)*NORMSINV(H431))&lt;I$8,I$5+SQRT(NORMSDIST(I$9*SQRT($C$11)*NORMSINV($B431)+SQRT(1-I$9^2*$C$11)*NORMSINV(H431))*(I$7-I$5)*(I$6-I$5)),I$7-SQRT((1-NORMSDIST(I$9*SQRT($C$11)*NORMSINV($B431)+SQRT(1-I$9^2*$C$11)*NORMSINV(H431)))*(I$7-I$5)*(I$7-I$6))))</f>
        <v>182.936265899048</v>
      </c>
      <c r="J431" s="2" t="n">
        <v>0.589371165</v>
      </c>
      <c r="K431" s="2" t="n">
        <f aca="false">IF(K$7=K$5,K$6,IF(NORMSDIST(K$9*SQRT($C$11)*NORMSINV($B431)+SQRT(1-K$9^2*$C$11)*NORMSINV(J431))&lt;K$8,K$5+SQRT(NORMSDIST(K$9*SQRT($C$11)*NORMSINV($B431)+SQRT(1-K$9^2*$C$11)*NORMSINV(J431))*(K$7-K$5)*(K$6-K$5)),K$7-SQRT((1-NORMSDIST(K$9*SQRT($C$11)*NORMSINV($B431)+SQRT(1-K$9^2*$C$11)*NORMSINV(J431)))*(K$7-K$5)*(K$7-K$6))))</f>
        <v>0.185432923702077</v>
      </c>
      <c r="L431" s="2" t="n">
        <v>0.03194603</v>
      </c>
      <c r="M431" s="2" t="n">
        <f aca="false">IF(M$7=M$5,M$6,IF(NORMSDIST(M$9*SQRT($C$11)*NORMSINV($B431)+SQRT(1-M$9^2*$C$11)*NORMSINV(L431))&lt;M$8,M$5+SQRT(NORMSDIST(M$9*SQRT($C$11)*NORMSINV($B431)+SQRT(1-M$9^2*$C$11)*NORMSINV(L431))*(M$7-M$5)*(M$6-M$5)),M$7-SQRT((1-NORMSDIST(M$9*SQRT($C$11)*NORMSINV($B431)+SQRT(1-M$9^2*$C$11)*NORMSINV(L431)))*(M$7-M$5)*(M$7-M$6))))</f>
        <v>1349.7839422785</v>
      </c>
      <c r="N431" s="2" t="n">
        <v>0.161218499</v>
      </c>
      <c r="O431" s="2" t="n">
        <f aca="false">IF(O$7=O$5,O$6,IF(NORMSDIST(O$9*SQRT($C$11)*NORMSINV($B431)+SQRT(1-O$9^2*$C$11)*NORMSINV(N431))&lt;O$8,O$5+SQRT(NORMSDIST(O$9*SQRT($C$11)*NORMSINV($B431)+SQRT(1-O$9^2*$C$11)*NORMSINV(N431))*(O$7-O$5)*(O$6-O$5)),O$7-SQRT((1-NORMSDIST(O$9*SQRT($C$11)*NORMSINV($B431)+SQRT(1-O$9^2*$C$11)*NORMSINV(N431)))*(O$7-O$5)*(O$7-O$6))))</f>
        <v>0.149424825543518</v>
      </c>
      <c r="P431" s="2" t="n">
        <v>0.182621519</v>
      </c>
      <c r="Q431" s="2" t="n">
        <f aca="false">IF(Q$7=Q$5,Q$6,IF(NORMSDIST(Q$9*SQRT($C$11)*NORMSINV($B431)+SQRT(1-Q$9^2*$C$11)*NORMSINV(P431))&lt;Q$8,Q$5+SQRT(NORMSDIST(Q$9*SQRT($C$11)*NORMSINV($B431)+SQRT(1-Q$9^2*$C$11)*NORMSINV(P431))*(Q$7-Q$5)*(Q$6-Q$5)),Q$7-SQRT((1-NORMSDIST(Q$9*SQRT($C$11)*NORMSINV($B431)+SQRT(1-Q$9^2*$C$11)*NORMSINV(P431)))*(Q$7-Q$5)*(Q$7-Q$6))))</f>
        <v>0.0641741361955293</v>
      </c>
      <c r="R431" s="2" t="n">
        <v>0.90230725</v>
      </c>
      <c r="S431" s="2" t="n">
        <f aca="false">IF(S$7=S$5,S$6,IF(NORMSDIST(S$9*SQRT($C$11)*NORMSINV($B431)+SQRT(1-S$9^2*$C$11)*NORMSINV(R431))&lt;S$8,S$5+SQRT(NORMSDIST(S$9*SQRT($C$11)*NORMSINV($B431)+SQRT(1-S$9^2*$C$11)*NORMSINV(R431))*(S$7-S$5)*(S$6-S$5)),S$7-SQRT((1-NORMSDIST(S$9*SQRT($C$11)*NORMSINV($B431)+SQRT(1-S$9^2*$C$11)*NORMSINV(R431)))*(S$7-S$5)*(S$7-S$6))))</f>
        <v>0.547852762446152</v>
      </c>
      <c r="T431" s="2" t="n">
        <v>0.982865143</v>
      </c>
      <c r="U431" s="2" t="n">
        <f aca="false">IF(U$7=U$5,U$6,IF(NORMSDIST(U$9*SQRT($C$11)*NORMSINV($B431)+SQRT(1-U$9^2*$C$11)*NORMSINV(T431))&lt;U$8,U$5+SQRT(NORMSDIST(U$9*SQRT($C$11)*NORMSINV($B431)+SQRT(1-U$9^2*$C$11)*NORMSINV(T431))*(U$7-U$5)*(U$6-U$5)),U$7-SQRT((1-NORMSDIST(U$9*SQRT($C$11)*NORMSINV($B431)+SQRT(1-U$9^2*$C$11)*NORMSINV(T431)))*(U$7-U$5)*(U$7-U$6))))</f>
        <v>0.689426634621254</v>
      </c>
      <c r="V431" s="2" t="n">
        <v>0.595918442</v>
      </c>
      <c r="W431" s="2" t="n">
        <f aca="false">IF(W$7=W$5,W$6,IF(NORMSDIST(W$9*SQRT($C$11)*NORMSINV($B431)+SQRT(1-W$9^2*$C$11)*NORMSINV(V431))&lt;W$8,W$5+SQRT(NORMSDIST(W$9*SQRT($C$11)*NORMSINV($B431)+SQRT(1-W$9^2*$C$11)*NORMSINV(V431))*(W$7-W$5)*(W$6-W$5)),W$7-SQRT((1-NORMSDIST(W$9*SQRT($C$11)*NORMSINV($B431)+SQRT(1-W$9^2*$C$11)*NORMSINV(V431)))*(W$7-W$5)*(W$7-W$6))))</f>
        <v>9.49522026458765</v>
      </c>
      <c r="X431" s="2" t="n">
        <v>0.681538093</v>
      </c>
      <c r="Y431" s="2" t="n">
        <f aca="false">IF(Y$7=Y$5,Y$6,IF(NORMSDIST(Y$9*SQRT($C$11)*NORMSINV($B431)+SQRT(1-Y$9^2*$C$11)*NORMSINV(X431))&lt;Y$8,Y$5+SQRT(NORMSDIST(Y$9*SQRT($C$11)*NORMSINV($B431)+SQRT(1-Y$9^2*$C$11)*NORMSINV(X431))*(Y$7-Y$5)*(Y$6-Y$5)),Y$7-SQRT((1-NORMSDIST(Y$9*SQRT($C$11)*NORMSINV($B431)+SQRT(1-Y$9^2*$C$11)*NORMSINV(X431)))*(Y$7-Y$5)*(Y$7-Y$6))))</f>
        <v>0.600962466051125</v>
      </c>
      <c r="Z431" s="2" t="n">
        <v>0.715953851</v>
      </c>
      <c r="AA431" s="2" t="n">
        <f aca="false">IF(AA$7=AA$5,AA$6,IF(NORMSDIST(AA$9*SQRT($C$11)*NORMSINV($B431)+SQRT(1-AA$9^2*$C$11)*NORMSINV(Z431))&lt;AA$8,AA$5+SQRT(NORMSDIST(AA$9*SQRT($C$11)*NORMSINV($B431)+SQRT(1-AA$9^2*$C$11)*NORMSINV(Z431))*(AA$7-AA$5)*(AA$6-AA$5)),AA$7-SQRT((1-NORMSDIST(AA$9*SQRT($C$11)*NORMSINV($B431)+SQRT(1-AA$9^2*$C$11)*NORMSINV(Z431)))*(AA$7-AA$5)*(AA$7-AA$6))))</f>
        <v>0.72349842360273</v>
      </c>
      <c r="AB431" s="2" t="n">
        <v>0.871697875</v>
      </c>
      <c r="AC431" s="2" t="n">
        <f aca="false">IF(AC$7=AC$5,AC$6,IF(NORMSDIST(AC$9*SQRT($C$11)*NORMSINV($B431)+SQRT(1-AC$9^2*$C$11)*NORMSINV(AB431))&lt;AC$8,AC$5+SQRT(NORMSDIST(AC$9*SQRT($C$11)*NORMSINV($B431)+SQRT(1-AC$9^2*$C$11)*NORMSINV(AB431))*(AC$7-AC$5)*(AC$6-AC$5)),AC$7-SQRT((1-NORMSDIST(AC$9*SQRT($C$11)*NORMSINV($B431)+SQRT(1-AC$9^2*$C$11)*NORMSINV(AB431)))*(AC$7-AC$5)*(AC$7-AC$6))))</f>
        <v>9.5645950510684</v>
      </c>
      <c r="AD431" s="2" t="n">
        <f aca="false">Entrées!$C$8*(1+E431)</f>
        <v>7405.5979054853</v>
      </c>
      <c r="AE431" s="2" t="n">
        <f aca="false">I431*Hypothèses!$J$24/12/Hypothèses!$J$19</f>
        <v>90.7540960022209</v>
      </c>
      <c r="AF431" s="2" t="n">
        <f aca="false">Entrées!$C$36*S431*1000</f>
        <v>273.926381223076</v>
      </c>
      <c r="AG431" s="2" t="n">
        <f aca="false">-AF431/W431</f>
        <v>-28.8488706517617</v>
      </c>
      <c r="AH431" s="2" t="n">
        <f aca="false">AD431+AE431+AG431</f>
        <v>7467.50313083576</v>
      </c>
      <c r="AI431" s="2" t="n">
        <f aca="false">Entrées!$C$16-M431+Hypothèses!$J$22*1000-AF431+Hypothèses!$J$23</f>
        <v>22924.2896764984</v>
      </c>
      <c r="AJ431" s="2" t="n">
        <f aca="false">AI431/AH431</f>
        <v>3.06987346035873</v>
      </c>
      <c r="AK431" s="2" t="n">
        <f aca="false">AI431/(AH431+I431*(12-Hypothèses!$J$24)/12/Hypothèses!$J$19)</f>
        <v>3.04345366313078</v>
      </c>
      <c r="AL431" s="2" t="n">
        <f aca="false">(AD431+AG431+I431/Hypothèses!$J$19)*(1+G431)</f>
        <v>7905.93973353992</v>
      </c>
      <c r="AM431" s="2" t="n">
        <f aca="false">Entrées!$C$54*K431/Hypothèses!$J$19</f>
        <v>18.9242084463304</v>
      </c>
      <c r="AN431" s="2" t="n">
        <f aca="false">Y431*1000/AC431</f>
        <v>62.8319822054562</v>
      </c>
      <c r="AO431" s="2" t="n">
        <f aca="false">(Entrées!$C$36*(1-S431)+MAX(0,Entrées!$C$30-Entrées!$C$35-Entrées!$C$36)*U431)*1000</f>
        <v>1191.27090724668</v>
      </c>
      <c r="AP431" s="2" t="n">
        <f aca="false">-AO431/W431</f>
        <v>-125.460060330513</v>
      </c>
      <c r="AQ431" s="2" t="n">
        <f aca="false">AL431+AM431+AN431+AP431</f>
        <v>7862.23586386119</v>
      </c>
      <c r="AR431" s="2" t="n">
        <f aca="false">O431*AQ431-Hypothèses!$J$25/Hypothèses!$J$19</f>
        <v>1155.67806007782</v>
      </c>
      <c r="AS431" s="2" t="n">
        <f aca="false">Entrées!$C$79*(1+Q431)+Hypothèses!$J$20</f>
        <v>1464.52737567889</v>
      </c>
      <c r="AT431" s="2" t="n">
        <f aca="false">AI431-AR431+AS431+Y431*1000-AO431+Hypothèses!$J$23</f>
        <v>22642.8305509039</v>
      </c>
      <c r="AU431" s="2" t="n">
        <f aca="false">AT431/AQ431</f>
        <v>2.87994801262346</v>
      </c>
      <c r="AV431" s="2" t="n">
        <f aca="false">Hypothèses!$J$26*AQ431-AT431</f>
        <v>943.877040679643</v>
      </c>
      <c r="AW431" s="2" t="n">
        <f aca="false">IF(AC431&gt;Hypothèses!$J$26,MAX(0,AV431)/(1-Hypothèses!$J$26/AC431),0)</f>
        <v>1375.22598147654</v>
      </c>
      <c r="AX431" s="2" t="n">
        <f aca="false">AQ431-Entrées!$C$17*1000</f>
        <v>-137.764136138808</v>
      </c>
      <c r="AY431" s="2" t="n">
        <f aca="false">AI431+(Entrées!$C$244-Entrées!$C$13)</f>
        <v>28671.2896764984</v>
      </c>
      <c r="AZ431" s="2" t="n">
        <f aca="false">AA431*AH431</f>
        <v>5402.72674340813</v>
      </c>
      <c r="BA431" s="2" t="n">
        <f aca="false">AZ431/AY431</f>
        <v>0.188436823190297</v>
      </c>
      <c r="BB431" s="2" t="n">
        <f aca="false">AZ431/(Entrées!$C$151/100)-AY431</f>
        <v>1343.85889799117</v>
      </c>
      <c r="BC431" s="2" t="n">
        <f aca="false">AT431+(Entrées!$C$244-Entrées!$C$13)</f>
        <v>28389.8305509039</v>
      </c>
      <c r="BD431" s="2" t="n">
        <f aca="false">AA431*AQ431</f>
        <v>5688.31525349642</v>
      </c>
      <c r="BE431" s="2" t="n">
        <f aca="false">BD431/BC431</f>
        <v>0.200364536987887</v>
      </c>
      <c r="BF431" s="2" t="n">
        <f aca="false">BD431/(Entrées!$C$151/100)-BC431</f>
        <v>3211.92085740953</v>
      </c>
      <c r="BG431" s="2" t="n">
        <f aca="false">MIN(AV431,BF431)</f>
        <v>943.877040679643</v>
      </c>
      <c r="BH431" s="2" t="n">
        <f aca="false">IF(AC431&gt;Hypothèses!$J$26,MAX(0,BG431)/(1-Hypothèses!$J$26/AC431),0)</f>
        <v>1375.22598147654</v>
      </c>
    </row>
    <row r="432" customFormat="false" ht="15" hidden="false" customHeight="false" outlineLevel="0" collapsed="false">
      <c r="A432" s="2" t="n">
        <v>417</v>
      </c>
      <c r="B432" s="2" t="n">
        <v>0.409587518</v>
      </c>
      <c r="C432" s="2"/>
      <c r="D432" s="2" t="n">
        <v>0.761677633</v>
      </c>
      <c r="E432" s="2" t="n">
        <f aca="false">IF(E$7=E$5,E$6,IF(NORMSDIST(E$9*SQRT($C$11)*NORMSINV($B432)+SQRT(1-E$9^2*$C$11)*NORMSINV(D432))&lt;E$8,E$5+SQRT(NORMSDIST(E$9*SQRT($C$11)*NORMSINV($B432)+SQRT(1-E$9^2*$C$11)*NORMSINV(D432))*(E$7-E$5)*(E$6-E$5)),E$7-SQRT((1-NORMSDIST(E$9*SQRT($C$11)*NORMSINV($B432)+SQRT(1-E$9^2*$C$11)*NORMSINV(D432)))*(E$7-E$5)*(E$7-E$6))))</f>
        <v>0.0558641052223887</v>
      </c>
      <c r="F432" s="2" t="n">
        <v>0.267456941</v>
      </c>
      <c r="G432" s="2" t="n">
        <f aca="false">IF(G$7=G$5,G$6,IF(NORMSDIST(G$9*SQRT($C$11)*NORMSINV($B432)+SQRT(1-G$9^2*$C$11)*NORMSINV(F432))&lt;G$8,G$5+SQRT(NORMSDIST(G$9*SQRT($C$11)*NORMSINV($B432)+SQRT(1-G$9^2*$C$11)*NORMSINV(F432))*(G$7-G$5)*(G$6-G$5)),G$7-SQRT((1-NORMSDIST(G$9*SQRT($C$11)*NORMSINV($B432)+SQRT(1-G$9^2*$C$11)*NORMSINV(F432)))*(G$7-G$5)*(G$7-G$6))))</f>
        <v>0.0509388466882638</v>
      </c>
      <c r="H432" s="2" t="n">
        <v>0.585020087</v>
      </c>
      <c r="I432" s="2" t="n">
        <f aca="false">IF(I$7=I$5,I$6,IF(NORMSDIST(I$9*SQRT($C$11)*NORMSINV($B432)+SQRT(1-I$9^2*$C$11)*NORMSINV(H432))&lt;I$8,I$5+SQRT(NORMSDIST(I$9*SQRT($C$11)*NORMSINV($B432)+SQRT(1-I$9^2*$C$11)*NORMSINV(H432))*(I$7-I$5)*(I$6-I$5)),I$7-SQRT((1-NORMSDIST(I$9*SQRT($C$11)*NORMSINV($B432)+SQRT(1-I$9^2*$C$11)*NORMSINV(H432)))*(I$7-I$5)*(I$7-I$6))))</f>
        <v>200.174396644225</v>
      </c>
      <c r="J432" s="2" t="n">
        <v>0.297135601</v>
      </c>
      <c r="K432" s="2" t="n">
        <f aca="false">IF(K$7=K$5,K$6,IF(NORMSDIST(K$9*SQRT($C$11)*NORMSINV($B432)+SQRT(1-K$9^2*$C$11)*NORMSINV(J432))&lt;K$8,K$5+SQRT(NORMSDIST(K$9*SQRT($C$11)*NORMSINV($B432)+SQRT(1-K$9^2*$C$11)*NORMSINV(J432))*(K$7-K$5)*(K$6-K$5)),K$7-SQRT((1-NORMSDIST(K$9*SQRT($C$11)*NORMSINV($B432)+SQRT(1-K$9^2*$C$11)*NORMSINV(J432)))*(K$7-K$5)*(K$7-K$6))))</f>
        <v>0.189968128876659</v>
      </c>
      <c r="L432" s="2" t="n">
        <v>0.23596537</v>
      </c>
      <c r="M432" s="2" t="n">
        <f aca="false">IF(M$7=M$5,M$6,IF(NORMSDIST(M$9*SQRT($C$11)*NORMSINV($B432)+SQRT(1-M$9^2*$C$11)*NORMSINV(L432))&lt;M$8,M$5+SQRT(NORMSDIST(M$9*SQRT($C$11)*NORMSINV($B432)+SQRT(1-M$9^2*$C$11)*NORMSINV(L432))*(M$7-M$5)*(M$6-M$5)),M$7-SQRT((1-NORMSDIST(M$9*SQRT($C$11)*NORMSINV($B432)+SQRT(1-M$9^2*$C$11)*NORMSINV(L432)))*(M$7-M$5)*(M$7-M$6))))</f>
        <v>1499.25232879151</v>
      </c>
      <c r="N432" s="2" t="n">
        <v>0.024983506</v>
      </c>
      <c r="O432" s="2" t="n">
        <f aca="false">IF(O$7=O$5,O$6,IF(NORMSDIST(O$9*SQRT($C$11)*NORMSINV($B432)+SQRT(1-O$9^2*$C$11)*NORMSINV(N432))&lt;O$8,O$5+SQRT(NORMSDIST(O$9*SQRT($C$11)*NORMSINV($B432)+SQRT(1-O$9^2*$C$11)*NORMSINV(N432))*(O$7-O$5)*(O$6-O$5)),O$7-SQRT((1-NORMSDIST(O$9*SQRT($C$11)*NORMSINV($B432)+SQRT(1-O$9^2*$C$11)*NORMSINV(N432)))*(O$7-O$5)*(O$7-O$6))))</f>
        <v>0.148312508225162</v>
      </c>
      <c r="P432" s="2" t="n">
        <v>0.894020059</v>
      </c>
      <c r="Q432" s="2" t="n">
        <f aca="false">IF(Q$7=Q$5,Q$6,IF(NORMSDIST(Q$9*SQRT($C$11)*NORMSINV($B432)+SQRT(1-Q$9^2*$C$11)*NORMSINV(P432))&lt;Q$8,Q$5+SQRT(NORMSDIST(Q$9*SQRT($C$11)*NORMSINV($B432)+SQRT(1-Q$9^2*$C$11)*NORMSINV(P432))*(Q$7-Q$5)*(Q$6-Q$5)),Q$7-SQRT((1-NORMSDIST(Q$9*SQRT($C$11)*NORMSINV($B432)+SQRT(1-Q$9^2*$C$11)*NORMSINV(P432)))*(Q$7-Q$5)*(Q$7-Q$6))))</f>
        <v>0.101584359603858</v>
      </c>
      <c r="R432" s="2" t="n">
        <v>0.999473327</v>
      </c>
      <c r="S432" s="2" t="n">
        <f aca="false">IF(S$7=S$5,S$6,IF(NORMSDIST(S$9*SQRT($C$11)*NORMSINV($B432)+SQRT(1-S$9^2*$C$11)*NORMSINV(R432))&lt;S$8,S$5+SQRT(NORMSDIST(S$9*SQRT($C$11)*NORMSINV($B432)+SQRT(1-S$9^2*$C$11)*NORMSINV(R432))*(S$7-S$5)*(S$6-S$5)),S$7-SQRT((1-NORMSDIST(S$9*SQRT($C$11)*NORMSINV($B432)+SQRT(1-S$9^2*$C$11)*NORMSINV(R432)))*(S$7-S$5)*(S$7-S$6))))</f>
        <v>0.935355192406687</v>
      </c>
      <c r="T432" s="2" t="n">
        <v>0.92136851</v>
      </c>
      <c r="U432" s="2" t="n">
        <f aca="false">IF(U$7=U$5,U$6,IF(NORMSDIST(U$9*SQRT($C$11)*NORMSINV($B432)+SQRT(1-U$9^2*$C$11)*NORMSINV(T432))&lt;U$8,U$5+SQRT(NORMSDIST(U$9*SQRT($C$11)*NORMSINV($B432)+SQRT(1-U$9^2*$C$11)*NORMSINV(T432))*(U$7-U$5)*(U$6-U$5)),U$7-SQRT((1-NORMSDIST(U$9*SQRT($C$11)*NORMSINV($B432)+SQRT(1-U$9^2*$C$11)*NORMSINV(T432)))*(U$7-U$5)*(U$7-U$6))))</f>
        <v>0.707756114676359</v>
      </c>
      <c r="V432" s="2" t="n">
        <v>0.704633473</v>
      </c>
      <c r="W432" s="2" t="n">
        <f aca="false">IF(W$7=W$5,W$6,IF(NORMSDIST(W$9*SQRT($C$11)*NORMSINV($B432)+SQRT(1-W$9^2*$C$11)*NORMSINV(V432))&lt;W$8,W$5+SQRT(NORMSDIST(W$9*SQRT($C$11)*NORMSINV($B432)+SQRT(1-W$9^2*$C$11)*NORMSINV(V432))*(W$7-W$5)*(W$6-W$5)),W$7-SQRT((1-NORMSDIST(W$9*SQRT($C$11)*NORMSINV($B432)+SQRT(1-W$9^2*$C$11)*NORMSINV(V432)))*(W$7-W$5)*(W$7-W$6))))</f>
        <v>10.2272716701427</v>
      </c>
      <c r="X432" s="2" t="n">
        <v>0.953986651</v>
      </c>
      <c r="Y432" s="2" t="n">
        <f aca="false">IF(Y$7=Y$5,Y$6,IF(NORMSDIST(Y$9*SQRT($C$11)*NORMSINV($B432)+SQRT(1-Y$9^2*$C$11)*NORMSINV(X432))&lt;Y$8,Y$5+SQRT(NORMSDIST(Y$9*SQRT($C$11)*NORMSINV($B432)+SQRT(1-Y$9^2*$C$11)*NORMSINV(X432))*(Y$7-Y$5)*(Y$6-Y$5)),Y$7-SQRT((1-NORMSDIST(Y$9*SQRT($C$11)*NORMSINV($B432)+SQRT(1-Y$9^2*$C$11)*NORMSINV(X432)))*(Y$7-Y$5)*(Y$7-Y$6))))</f>
        <v>0.848320487540341</v>
      </c>
      <c r="Z432" s="2" t="n">
        <v>0.858565589</v>
      </c>
      <c r="AA432" s="2" t="n">
        <f aca="false">IF(AA$7=AA$5,AA$6,IF(NORMSDIST(AA$9*SQRT($C$11)*NORMSINV($B432)+SQRT(1-AA$9^2*$C$11)*NORMSINV(Z432))&lt;AA$8,AA$5+SQRT(NORMSDIST(AA$9*SQRT($C$11)*NORMSINV($B432)+SQRT(1-AA$9^2*$C$11)*NORMSINV(Z432))*(AA$7-AA$5)*(AA$6-AA$5)),AA$7-SQRT((1-NORMSDIST(AA$9*SQRT($C$11)*NORMSINV($B432)+SQRT(1-AA$9^2*$C$11)*NORMSINV(Z432)))*(AA$7-AA$5)*(AA$7-AA$6))))</f>
        <v>0.736089559763247</v>
      </c>
      <c r="AB432" s="2" t="n">
        <v>0.518376693</v>
      </c>
      <c r="AC432" s="2" t="n">
        <f aca="false">IF(AC$7=AC$5,AC$6,IF(NORMSDIST(AC$9*SQRT($C$11)*NORMSINV($B432)+SQRT(1-AC$9^2*$C$11)*NORMSINV(AB432))&lt;AC$8,AC$5+SQRT(NORMSDIST(AC$9*SQRT($C$11)*NORMSINV($B432)+SQRT(1-AC$9^2*$C$11)*NORMSINV(AB432))*(AC$7-AC$5)*(AC$6-AC$5)),AC$7-SQRT((1-NORMSDIST(AC$9*SQRT($C$11)*NORMSINV($B432)+SQRT(1-AC$9^2*$C$11)*NORMSINV(AB432)))*(AC$7-AC$5)*(AC$7-AC$6))))</f>
        <v>9.38630608799738</v>
      </c>
      <c r="AD432" s="2" t="n">
        <f aca="false">Entrées!$C$8*(1+E432)</f>
        <v>7443.84194181784</v>
      </c>
      <c r="AE432" s="2" t="n">
        <f aca="false">I432*Hypothèses!$J$24/12/Hypothèses!$J$19</f>
        <v>99.3058774921193</v>
      </c>
      <c r="AF432" s="2" t="n">
        <f aca="false">Entrées!$C$36*S432*1000</f>
        <v>467.677596203344</v>
      </c>
      <c r="AG432" s="2" t="n">
        <f aca="false">-AF432/W432</f>
        <v>-45.7284807998863</v>
      </c>
      <c r="AH432" s="2" t="n">
        <f aca="false">AD432+AE432+AG432</f>
        <v>7497.41933851007</v>
      </c>
      <c r="AI432" s="2" t="n">
        <f aca="false">Entrées!$C$16-M432+Hypothèses!$J$22*1000-AF432+Hypothèses!$J$23</f>
        <v>22581.0700750051</v>
      </c>
      <c r="AJ432" s="2" t="n">
        <f aca="false">AI432/AH432</f>
        <v>3.01184568389002</v>
      </c>
      <c r="AK432" s="2" t="n">
        <f aca="false">AI432/(AH432+I432*(12-Hypothèses!$J$24)/12/Hypothèses!$J$19)</f>
        <v>2.98361780111905</v>
      </c>
      <c r="AL432" s="2" t="n">
        <f aca="false">(AD432+AG432+I432/Hypothèses!$J$19)*(1+G432)</f>
        <v>7953.87523586701</v>
      </c>
      <c r="AM432" s="2" t="n">
        <f aca="false">Entrées!$C$54*K432/Hypothèses!$J$19</f>
        <v>19.3870451764925</v>
      </c>
      <c r="AN432" s="2" t="n">
        <f aca="false">Y432*1000/AC432</f>
        <v>90.3785237331136</v>
      </c>
      <c r="AO432" s="2" t="n">
        <f aca="false">(Entrées!$C$36*(1-S432)+MAX(0,Entrées!$C$30-Entrées!$C$35-Entrées!$C$36)*U432)*1000</f>
        <v>1023.18096434356</v>
      </c>
      <c r="AP432" s="2" t="n">
        <f aca="false">-AO432/W432</f>
        <v>-100.044371299005</v>
      </c>
      <c r="AQ432" s="2" t="n">
        <f aca="false">AL432+AM432+AN432+AP432</f>
        <v>7963.59643347761</v>
      </c>
      <c r="AR432" s="2" t="n">
        <f aca="false">O432*AQ432-Hypothèses!$J$25/Hypothèses!$J$19</f>
        <v>1161.96579928039</v>
      </c>
      <c r="AS432" s="2" t="n">
        <f aca="false">Entrées!$C$79*(1+Q432)+Hypothèses!$J$20</f>
        <v>1505.64121120464</v>
      </c>
      <c r="AT432" s="2" t="n">
        <f aca="false">AI432-AR432+AS432+Y432*1000-AO432+Hypothèses!$J$23</f>
        <v>22749.8850101262</v>
      </c>
      <c r="AU432" s="2" t="n">
        <f aca="false">AT432/AQ432</f>
        <v>2.85673504429349</v>
      </c>
      <c r="AV432" s="2" t="n">
        <f aca="false">Hypothèses!$J$26*AQ432-AT432</f>
        <v>1140.90429030667</v>
      </c>
      <c r="AW432" s="2" t="n">
        <f aca="false">IF(AC432&gt;Hypothèses!$J$26,MAX(0,AV432)/(1-Hypothèses!$J$26/AC432),0)</f>
        <v>1676.84992519453</v>
      </c>
      <c r="AX432" s="2" t="n">
        <f aca="false">AQ432-Entrées!$C$17*1000</f>
        <v>-36.4035665223855</v>
      </c>
      <c r="AY432" s="2" t="n">
        <f aca="false">AI432+(Entrées!$C$244-Entrées!$C$13)</f>
        <v>28328.0700750051</v>
      </c>
      <c r="AZ432" s="2" t="n">
        <f aca="false">AA432*AH432</f>
        <v>5518.77210024434</v>
      </c>
      <c r="BA432" s="2" t="n">
        <f aca="false">AZ432/AY432</f>
        <v>0.194816381265371</v>
      </c>
      <c r="BB432" s="2" t="n">
        <f aca="false">AZ432/(Entrées!$C$151/100)-AY432</f>
        <v>2331.77492635227</v>
      </c>
      <c r="BC432" s="2" t="n">
        <f aca="false">AT432+(Entrées!$C$244-Entrées!$C$13)</f>
        <v>28496.8850101262</v>
      </c>
      <c r="BD432" s="2" t="n">
        <f aca="false">AA432*AQ432</f>
        <v>5861.9201928507</v>
      </c>
      <c r="BE432" s="2" t="n">
        <f aca="false">BD432/BC432</f>
        <v>0.205703893277027</v>
      </c>
      <c r="BF432" s="2" t="n">
        <f aca="false">BD432/(Entrées!$C$151/100)-BC432</f>
        <v>4069.33828348884</v>
      </c>
      <c r="BG432" s="2" t="n">
        <f aca="false">MIN(AV432,BF432)</f>
        <v>1140.90429030667</v>
      </c>
      <c r="BH432" s="2" t="n">
        <f aca="false">IF(AC432&gt;Hypothèses!$J$26,MAX(0,BG432)/(1-Hypothèses!$J$26/AC432),0)</f>
        <v>1676.84992519453</v>
      </c>
    </row>
    <row r="433" customFormat="false" ht="15" hidden="false" customHeight="false" outlineLevel="0" collapsed="false">
      <c r="A433" s="2" t="n">
        <v>418</v>
      </c>
      <c r="B433" s="2" t="n">
        <v>0.539236167</v>
      </c>
      <c r="C433" s="2"/>
      <c r="D433" s="2" t="n">
        <v>0.822326461</v>
      </c>
      <c r="E433" s="2" t="n">
        <f aca="false">IF(E$7=E$5,E$6,IF(NORMSDIST(E$9*SQRT($C$11)*NORMSINV($B433)+SQRT(1-E$9^2*$C$11)*NORMSINV(D433))&lt;E$8,E$5+SQRT(NORMSDIST(E$9*SQRT($C$11)*NORMSINV($B433)+SQRT(1-E$9^2*$C$11)*NORMSINV(D433))*(E$7-E$5)*(E$6-E$5)),E$7-SQRT((1-NORMSDIST(E$9*SQRT($C$11)*NORMSINV($B433)+SQRT(1-E$9^2*$C$11)*NORMSINV(D433)))*(E$7-E$5)*(E$7-E$6))))</f>
        <v>0.0566968611292137</v>
      </c>
      <c r="F433" s="2" t="n">
        <v>0.951459372</v>
      </c>
      <c r="G433" s="2" t="n">
        <f aca="false">IF(G$7=G$5,G$6,IF(NORMSDIST(G$9*SQRT($C$11)*NORMSINV($B433)+SQRT(1-G$9^2*$C$11)*NORMSINV(F433))&lt;G$8,G$5+SQRT(NORMSDIST(G$9*SQRT($C$11)*NORMSINV($B433)+SQRT(1-G$9^2*$C$11)*NORMSINV(F433))*(G$7-G$5)*(G$6-G$5)),G$7-SQRT((1-NORMSDIST(G$9*SQRT($C$11)*NORMSINV($B433)+SQRT(1-G$9^2*$C$11)*NORMSINV(F433)))*(G$7-G$5)*(G$7-G$6))))</f>
        <v>0.063674658760468</v>
      </c>
      <c r="H433" s="2" t="n">
        <v>0.248550684</v>
      </c>
      <c r="I433" s="2" t="n">
        <f aca="false">IF(I$7=I$5,I$6,IF(NORMSDIST(I$9*SQRT($C$11)*NORMSINV($B433)+SQRT(1-I$9^2*$C$11)*NORMSINV(H433))&lt;I$8,I$5+SQRT(NORMSDIST(I$9*SQRT($C$11)*NORMSINV($B433)+SQRT(1-I$9^2*$C$11)*NORMSINV(H433))*(I$7-I$5)*(I$6-I$5)),I$7-SQRT((1-NORMSDIST(I$9*SQRT($C$11)*NORMSINV($B433)+SQRT(1-I$9^2*$C$11)*NORMSINV(H433)))*(I$7-I$5)*(I$7-I$6))))</f>
        <v>196.035807912272</v>
      </c>
      <c r="J433" s="2" t="n">
        <v>0.906079939</v>
      </c>
      <c r="K433" s="2" t="n">
        <f aca="false">IF(K$7=K$5,K$6,IF(NORMSDIST(K$9*SQRT($C$11)*NORMSINV($B433)+SQRT(1-K$9^2*$C$11)*NORMSINV(J433))&lt;K$8,K$5+SQRT(NORMSDIST(K$9*SQRT($C$11)*NORMSINV($B433)+SQRT(1-K$9^2*$C$11)*NORMSINV(J433))*(K$7-K$5)*(K$6-K$5)),K$7-SQRT((1-NORMSDIST(K$9*SQRT($C$11)*NORMSINV($B433)+SQRT(1-K$9^2*$C$11)*NORMSINV(J433)))*(K$7-K$5)*(K$7-K$6))))</f>
        <v>0.367935715166576</v>
      </c>
      <c r="L433" s="2" t="n">
        <v>0.07891379</v>
      </c>
      <c r="M433" s="2" t="n">
        <f aca="false">IF(M$7=M$5,M$6,IF(NORMSDIST(M$9*SQRT($C$11)*NORMSINV($B433)+SQRT(1-M$9^2*$C$11)*NORMSINV(L433))&lt;M$8,M$5+SQRT(NORMSDIST(M$9*SQRT($C$11)*NORMSINV($B433)+SQRT(1-M$9^2*$C$11)*NORMSINV(L433))*(M$7-M$5)*(M$6-M$5)),M$7-SQRT((1-NORMSDIST(M$9*SQRT($C$11)*NORMSINV($B433)+SQRT(1-M$9^2*$C$11)*NORMSINV(L433)))*(M$7-M$5)*(M$7-M$6))))</f>
        <v>1458.30341006911</v>
      </c>
      <c r="N433" s="2" t="n">
        <v>0.336550053</v>
      </c>
      <c r="O433" s="2" t="n">
        <f aca="false">IF(O$7=O$5,O$6,IF(NORMSDIST(O$9*SQRT($C$11)*NORMSINV($B433)+SQRT(1-O$9^2*$C$11)*NORMSINV(N433))&lt;O$8,O$5+SQRT(NORMSDIST(O$9*SQRT($C$11)*NORMSINV($B433)+SQRT(1-O$9^2*$C$11)*NORMSINV(N433))*(O$7-O$5)*(O$6-O$5)),O$7-SQRT((1-NORMSDIST(O$9*SQRT($C$11)*NORMSINV($B433)+SQRT(1-O$9^2*$C$11)*NORMSINV(N433)))*(O$7-O$5)*(O$7-O$6))))</f>
        <v>0.163827616347858</v>
      </c>
      <c r="P433" s="2" t="n">
        <v>0.496426225</v>
      </c>
      <c r="Q433" s="2" t="n">
        <f aca="false">IF(Q$7=Q$5,Q$6,IF(NORMSDIST(Q$9*SQRT($C$11)*NORMSINV($B433)+SQRT(1-Q$9^2*$C$11)*NORMSINV(P433))&lt;Q$8,Q$5+SQRT(NORMSDIST(Q$9*SQRT($C$11)*NORMSINV($B433)+SQRT(1-Q$9^2*$C$11)*NORMSINV(P433))*(Q$7-Q$5)*(Q$6-Q$5)),Q$7-SQRT((1-NORMSDIST(Q$9*SQRT($C$11)*NORMSINV($B433)+SQRT(1-Q$9^2*$C$11)*NORMSINV(P433)))*(Q$7-Q$5)*(Q$7-Q$6))))</f>
        <v>0.0798567926456708</v>
      </c>
      <c r="R433" s="2" t="n">
        <v>0.602499759</v>
      </c>
      <c r="S433" s="2" t="n">
        <f aca="false">IF(S$7=S$5,S$6,IF(NORMSDIST(S$9*SQRT($C$11)*NORMSINV($B433)+SQRT(1-S$9^2*$C$11)*NORMSINV(R433))&lt;S$8,S$5+SQRT(NORMSDIST(S$9*SQRT($C$11)*NORMSINV($B433)+SQRT(1-S$9^2*$C$11)*NORMSINV(R433))*(S$7-S$5)*(S$6-S$5)),S$7-SQRT((1-NORMSDIST(S$9*SQRT($C$11)*NORMSINV($B433)+SQRT(1-S$9^2*$C$11)*NORMSINV(R433)))*(S$7-S$5)*(S$7-S$6))))</f>
        <v>0.554994837195066</v>
      </c>
      <c r="T433" s="2" t="n">
        <v>0.547527258</v>
      </c>
      <c r="U433" s="2" t="n">
        <f aca="false">IF(U$7=U$5,U$6,IF(NORMSDIST(U$9*SQRT($C$11)*NORMSINV($B433)+SQRT(1-U$9^2*$C$11)*NORMSINV(T433))&lt;U$8,U$5+SQRT(NORMSDIST(U$9*SQRT($C$11)*NORMSINV($B433)+SQRT(1-U$9^2*$C$11)*NORMSINV(T433))*(U$7-U$5)*(U$6-U$5)),U$7-SQRT((1-NORMSDIST(U$9*SQRT($C$11)*NORMSINV($B433)+SQRT(1-U$9^2*$C$11)*NORMSINV(T433)))*(U$7-U$5)*(U$7-U$6))))</f>
        <v>0.531764735299215</v>
      </c>
      <c r="V433" s="2" t="n">
        <v>0.536352739</v>
      </c>
      <c r="W433" s="2" t="n">
        <f aca="false">IF(W$7=W$5,W$6,IF(NORMSDIST(W$9*SQRT($C$11)*NORMSINV($B433)+SQRT(1-W$9^2*$C$11)*NORMSINV(V433))&lt;W$8,W$5+SQRT(NORMSDIST(W$9*SQRT($C$11)*NORMSINV($B433)+SQRT(1-W$9^2*$C$11)*NORMSINV(V433))*(W$7-W$5)*(W$6-W$5)),W$7-SQRT((1-NORMSDIST(W$9*SQRT($C$11)*NORMSINV($B433)+SQRT(1-W$9^2*$C$11)*NORMSINV(V433)))*(W$7-W$5)*(W$7-W$6))))</f>
        <v>10.108750903119</v>
      </c>
      <c r="X433" s="2" t="n">
        <v>0.865849674</v>
      </c>
      <c r="Y433" s="2" t="n">
        <f aca="false">IF(Y$7=Y$5,Y$6,IF(NORMSDIST(Y$9*SQRT($C$11)*NORMSINV($B433)+SQRT(1-Y$9^2*$C$11)*NORMSINV(X433))&lt;Y$8,Y$5+SQRT(NORMSDIST(Y$9*SQRT($C$11)*NORMSINV($B433)+SQRT(1-Y$9^2*$C$11)*NORMSINV(X433))*(Y$7-Y$5)*(Y$6-Y$5)),Y$7-SQRT((1-NORMSDIST(Y$9*SQRT($C$11)*NORMSINV($B433)+SQRT(1-Y$9^2*$C$11)*NORMSINV(X433)))*(Y$7-Y$5)*(Y$7-Y$6))))</f>
        <v>0.741011268584906</v>
      </c>
      <c r="Z433" s="2" t="n">
        <v>0.376577224</v>
      </c>
      <c r="AA433" s="2" t="n">
        <f aca="false">IF(AA$7=AA$5,AA$6,IF(NORMSDIST(AA$9*SQRT($C$11)*NORMSINV($B433)+SQRT(1-AA$9^2*$C$11)*NORMSINV(Z433))&lt;AA$8,AA$5+SQRT(NORMSDIST(AA$9*SQRT($C$11)*NORMSINV($B433)+SQRT(1-AA$9^2*$C$11)*NORMSINV(Z433))*(AA$7-AA$5)*(AA$6-AA$5)),AA$7-SQRT((1-NORMSDIST(AA$9*SQRT($C$11)*NORMSINV($B433)+SQRT(1-AA$9^2*$C$11)*NORMSINV(Z433)))*(AA$7-AA$5)*(AA$7-AA$6))))</f>
        <v>0.725605510536271</v>
      </c>
      <c r="AB433" s="2" t="n">
        <v>0.960588703</v>
      </c>
      <c r="AC433" s="2" t="n">
        <f aca="false">IF(AC$7=AC$5,AC$6,IF(NORMSDIST(AC$9*SQRT($C$11)*NORMSINV($B433)+SQRT(1-AC$9^2*$C$11)*NORMSINV(AB433))&lt;AC$8,AC$5+SQRT(NORMSDIST(AC$9*SQRT($C$11)*NORMSINV($B433)+SQRT(1-AC$9^2*$C$11)*NORMSINV(AB433))*(AC$7-AC$5)*(AC$6-AC$5)),AC$7-SQRT((1-NORMSDIST(AC$9*SQRT($C$11)*NORMSINV($B433)+SQRT(1-AC$9^2*$C$11)*NORMSINV(AB433)))*(AC$7-AC$5)*(AC$7-AC$6))))</f>
        <v>10.4222538339702</v>
      </c>
      <c r="AD433" s="2" t="n">
        <f aca="false">Entrées!$C$8*(1+E433)</f>
        <v>7449.71287096096</v>
      </c>
      <c r="AE433" s="2" t="n">
        <f aca="false">I433*Hypothèses!$J$24/12/Hypothèses!$J$19</f>
        <v>97.2527368682661</v>
      </c>
      <c r="AF433" s="2" t="n">
        <f aca="false">Entrées!$C$36*S433*1000</f>
        <v>277.497418597533</v>
      </c>
      <c r="AG433" s="2" t="n">
        <f aca="false">-AF433/W433</f>
        <v>-27.4512074990306</v>
      </c>
      <c r="AH433" s="2" t="n">
        <f aca="false">AD433+AE433+AG433</f>
        <v>7519.51440033019</v>
      </c>
      <c r="AI433" s="2" t="n">
        <f aca="false">Entrées!$C$16-M433+Hypothèses!$J$22*1000-AF433+Hypothèses!$J$23</f>
        <v>22812.1991713334</v>
      </c>
      <c r="AJ433" s="2" t="n">
        <f aca="false">AI433/AH433</f>
        <v>3.03373302541074</v>
      </c>
      <c r="AK433" s="2" t="n">
        <f aca="false">AI433/(AH433+I433*(12-Hypothèses!$J$24)/12/Hypothèses!$J$19)</f>
        <v>3.00596354775739</v>
      </c>
      <c r="AL433" s="2" t="n">
        <f aca="false">(AD433+AG433+I433/Hypothèses!$J$19)*(1+G433)</f>
        <v>8072.2063936027</v>
      </c>
      <c r="AM433" s="2" t="n">
        <f aca="false">Entrées!$C$54*K433/Hypothèses!$J$19</f>
        <v>37.5493845949858</v>
      </c>
      <c r="AN433" s="2" t="n">
        <f aca="false">Y433*1000/AC433</f>
        <v>71.0989465800245</v>
      </c>
      <c r="AO433" s="2" t="n">
        <f aca="false">(Entrées!$C$36*(1-S433)+MAX(0,Entrées!$C$30-Entrées!$C$35-Entrées!$C$36)*U433)*1000</f>
        <v>966.973210821367</v>
      </c>
      <c r="AP433" s="2" t="n">
        <f aca="false">-AO433/W433</f>
        <v>-95.6570421102186</v>
      </c>
      <c r="AQ433" s="2" t="n">
        <f aca="false">AL433+AM433+AN433+AP433</f>
        <v>8085.19768266749</v>
      </c>
      <c r="AR433" s="2" t="n">
        <f aca="false">O433*AQ433-Hypothèses!$J$25/Hypothèses!$J$19</f>
        <v>1305.44350179101</v>
      </c>
      <c r="AS433" s="2" t="n">
        <f aca="false">Entrées!$C$79*(1+Q433)+Hypothèses!$J$20</f>
        <v>1481.76261511759</v>
      </c>
      <c r="AT433" s="2" t="n">
        <f aca="false">AI433-AR433+AS433+Y433*1000-AO433+Hypothèses!$J$23</f>
        <v>22762.5563424235</v>
      </c>
      <c r="AU433" s="2" t="n">
        <f aca="false">AT433/AQ433</f>
        <v>2.81533701905896</v>
      </c>
      <c r="AV433" s="2" t="n">
        <f aca="false">Hypothèses!$J$26*AQ433-AT433</f>
        <v>1493.03670557898</v>
      </c>
      <c r="AW433" s="2" t="n">
        <f aca="false">IF(AC433&gt;Hypothèses!$J$26,MAX(0,AV433)/(1-Hypothèses!$J$26/AC433),0)</f>
        <v>2096.50705527747</v>
      </c>
      <c r="AX433" s="2" t="n">
        <f aca="false">AQ433-Entrées!$C$17*1000</f>
        <v>85.1976826674872</v>
      </c>
      <c r="AY433" s="2" t="n">
        <f aca="false">AI433+(Entrées!$C$244-Entrées!$C$13)</f>
        <v>28559.1991713334</v>
      </c>
      <c r="AZ433" s="2" t="n">
        <f aca="false">AA433*AH433</f>
        <v>5456.20108543643</v>
      </c>
      <c r="BA433" s="2" t="n">
        <f aca="false">AZ433/AY433</f>
        <v>0.191048812423044</v>
      </c>
      <c r="BB433" s="2" t="n">
        <f aca="false">AZ433/(Entrées!$C$151/100)-AY433</f>
        <v>1753.02908109125</v>
      </c>
      <c r="BC433" s="2" t="n">
        <f aca="false">AT433+(Entrées!$C$244-Entrées!$C$13)</f>
        <v>28509.5563424235</v>
      </c>
      <c r="BD433" s="2" t="n">
        <f aca="false">AA433*AQ433</f>
        <v>5866.66399231862</v>
      </c>
      <c r="BE433" s="2" t="n">
        <f aca="false">BD433/BC433</f>
        <v>0.205778859616583</v>
      </c>
      <c r="BF433" s="2" t="n">
        <f aca="false">BD433/(Entrées!$C$151/100)-BC433</f>
        <v>4083.02139267994</v>
      </c>
      <c r="BG433" s="2" t="n">
        <f aca="false">MIN(AV433,BF433)</f>
        <v>1493.03670557898</v>
      </c>
      <c r="BH433" s="2" t="n">
        <f aca="false">IF(AC433&gt;Hypothèses!$J$26,MAX(0,BG433)/(1-Hypothèses!$J$26/AC433),0)</f>
        <v>2096.50705527747</v>
      </c>
    </row>
    <row r="434" customFormat="false" ht="15" hidden="false" customHeight="false" outlineLevel="0" collapsed="false">
      <c r="A434" s="2" t="n">
        <v>419</v>
      </c>
      <c r="B434" s="2" t="n">
        <v>0.80280388</v>
      </c>
      <c r="C434" s="2"/>
      <c r="D434" s="2" t="n">
        <v>0.745834563</v>
      </c>
      <c r="E434" s="2" t="n">
        <f aca="false">IF(E$7=E$5,E$6,IF(NORMSDIST(E$9*SQRT($C$11)*NORMSINV($B434)+SQRT(1-E$9^2*$C$11)*NORMSINV(D434))&lt;E$8,E$5+SQRT(NORMSDIST(E$9*SQRT($C$11)*NORMSINV($B434)+SQRT(1-E$9^2*$C$11)*NORMSINV(D434))*(E$7-E$5)*(E$6-E$5)),E$7-SQRT((1-NORMSDIST(E$9*SQRT($C$11)*NORMSINV($B434)+SQRT(1-E$9^2*$C$11)*NORMSINV(D434)))*(E$7-E$5)*(E$7-E$6))))</f>
        <v>0.057292326979818</v>
      </c>
      <c r="F434" s="2" t="n">
        <v>0.67187166</v>
      </c>
      <c r="G434" s="2" t="n">
        <f aca="false">IF(G$7=G$5,G$6,IF(NORMSDIST(G$9*SQRT($C$11)*NORMSINV($B434)+SQRT(1-G$9^2*$C$11)*NORMSINV(F434))&lt;G$8,G$5+SQRT(NORMSDIST(G$9*SQRT($C$11)*NORMSINV($B434)+SQRT(1-G$9^2*$C$11)*NORMSINV(F434))*(G$7-G$5)*(G$6-G$5)),G$7-SQRT((1-NORMSDIST(G$9*SQRT($C$11)*NORMSINV($B434)+SQRT(1-G$9^2*$C$11)*NORMSINV(F434)))*(G$7-G$5)*(G$7-G$6))))</f>
        <v>0.0607897854303853</v>
      </c>
      <c r="H434" s="2" t="n">
        <v>0.384063253</v>
      </c>
      <c r="I434" s="2" t="n">
        <f aca="false">IF(I$7=I$5,I$6,IF(NORMSDIST(I$9*SQRT($C$11)*NORMSINV($B434)+SQRT(1-I$9^2*$C$11)*NORMSINV(H434))&lt;I$8,I$5+SQRT(NORMSDIST(I$9*SQRT($C$11)*NORMSINV($B434)+SQRT(1-I$9^2*$C$11)*NORMSINV(H434))*(I$7-I$5)*(I$6-I$5)),I$7-SQRT((1-NORMSDIST(I$9*SQRT($C$11)*NORMSINV($B434)+SQRT(1-I$9^2*$C$11)*NORMSINV(H434)))*(I$7-I$5)*(I$7-I$6))))</f>
        <v>202.60632455739</v>
      </c>
      <c r="J434" s="2" t="n">
        <v>0.966224135</v>
      </c>
      <c r="K434" s="2" t="n">
        <f aca="false">IF(K$7=K$5,K$6,IF(NORMSDIST(K$9*SQRT($C$11)*NORMSINV($B434)+SQRT(1-K$9^2*$C$11)*NORMSINV(J434))&lt;K$8,K$5+SQRT(NORMSDIST(K$9*SQRT($C$11)*NORMSINV($B434)+SQRT(1-K$9^2*$C$11)*NORMSINV(J434))*(K$7-K$5)*(K$6-K$5)),K$7-SQRT((1-NORMSDIST(K$9*SQRT($C$11)*NORMSINV($B434)+SQRT(1-K$9^2*$C$11)*NORMSINV(J434)))*(K$7-K$5)*(K$7-K$6))))</f>
        <v>0.443747094813951</v>
      </c>
      <c r="L434" s="2" t="n">
        <v>0.702998046</v>
      </c>
      <c r="M434" s="2" t="n">
        <f aca="false">IF(M$7=M$5,M$6,IF(NORMSDIST(M$9*SQRT($C$11)*NORMSINV($B434)+SQRT(1-M$9^2*$C$11)*NORMSINV(L434))&lt;M$8,M$5+SQRT(NORMSDIST(M$9*SQRT($C$11)*NORMSINV($B434)+SQRT(1-M$9^2*$C$11)*NORMSINV(L434))*(M$7-M$5)*(M$6-M$5)),M$7-SQRT((1-NORMSDIST(M$9*SQRT($C$11)*NORMSINV($B434)+SQRT(1-M$9^2*$C$11)*NORMSINV(L434)))*(M$7-M$5)*(M$7-M$6))))</f>
        <v>1675.33896756387</v>
      </c>
      <c r="N434" s="2" t="n">
        <v>0.485365937</v>
      </c>
      <c r="O434" s="2" t="n">
        <f aca="false">IF(O$7=O$5,O$6,IF(NORMSDIST(O$9*SQRT($C$11)*NORMSINV($B434)+SQRT(1-O$9^2*$C$11)*NORMSINV(N434))&lt;O$8,O$5+SQRT(NORMSDIST(O$9*SQRT($C$11)*NORMSINV($B434)+SQRT(1-O$9^2*$C$11)*NORMSINV(N434))*(O$7-O$5)*(O$6-O$5)),O$7-SQRT((1-NORMSDIST(O$9*SQRT($C$11)*NORMSINV($B434)+SQRT(1-O$9^2*$C$11)*NORMSINV(N434)))*(O$7-O$5)*(O$7-O$6))))</f>
        <v>0.171977168618028</v>
      </c>
      <c r="P434" s="2" t="n">
        <v>0.483971712</v>
      </c>
      <c r="Q434" s="2" t="n">
        <f aca="false">IF(Q$7=Q$5,Q$6,IF(NORMSDIST(Q$9*SQRT($C$11)*NORMSINV($B434)+SQRT(1-Q$9^2*$C$11)*NORMSINV(P434))&lt;Q$8,Q$5+SQRT(NORMSDIST(Q$9*SQRT($C$11)*NORMSINV($B434)+SQRT(1-Q$9^2*$C$11)*NORMSINV(P434))*(Q$7-Q$5)*(Q$6-Q$5)),Q$7-SQRT((1-NORMSDIST(Q$9*SQRT($C$11)*NORMSINV($B434)+SQRT(1-Q$9^2*$C$11)*NORMSINV(P434)))*(Q$7-Q$5)*(Q$7-Q$6))))</f>
        <v>0.079353646316447</v>
      </c>
      <c r="R434" s="2" t="n">
        <v>0.694607522</v>
      </c>
      <c r="S434" s="2" t="n">
        <f aca="false">IF(S$7=S$5,S$6,IF(NORMSDIST(S$9*SQRT($C$11)*NORMSINV($B434)+SQRT(1-S$9^2*$C$11)*NORMSINV(R434))&lt;S$8,S$5+SQRT(NORMSDIST(S$9*SQRT($C$11)*NORMSINV($B434)+SQRT(1-S$9^2*$C$11)*NORMSINV(R434))*(S$7-S$5)*(S$6-S$5)),S$7-SQRT((1-NORMSDIST(S$9*SQRT($C$11)*NORMSINV($B434)+SQRT(1-S$9^2*$C$11)*NORMSINV(R434)))*(S$7-S$5)*(S$7-S$6))))</f>
        <v>0.703824144602025</v>
      </c>
      <c r="T434" s="2" t="n">
        <v>0.95475842</v>
      </c>
      <c r="U434" s="2" t="n">
        <f aca="false">IF(U$7=U$5,U$6,IF(NORMSDIST(U$9*SQRT($C$11)*NORMSINV($B434)+SQRT(1-U$9^2*$C$11)*NORMSINV(T434))&lt;U$8,U$5+SQRT(NORMSDIST(U$9*SQRT($C$11)*NORMSINV($B434)+SQRT(1-U$9^2*$C$11)*NORMSINV(T434))*(U$7-U$5)*(U$6-U$5)),U$7-SQRT((1-NORMSDIST(U$9*SQRT($C$11)*NORMSINV($B434)+SQRT(1-U$9^2*$C$11)*NORMSINV(T434)))*(U$7-U$5)*(U$7-U$6))))</f>
        <v>0.873189276732648</v>
      </c>
      <c r="V434" s="2" t="n">
        <v>0.308620889</v>
      </c>
      <c r="W434" s="2" t="n">
        <f aca="false">IF(W$7=W$5,W$6,IF(NORMSDIST(W$9*SQRT($C$11)*NORMSINV($B434)+SQRT(1-W$9^2*$C$11)*NORMSINV(V434))&lt;W$8,W$5+SQRT(NORMSDIST(W$9*SQRT($C$11)*NORMSINV($B434)+SQRT(1-W$9^2*$C$11)*NORMSINV(V434))*(W$7-W$5)*(W$6-W$5)),W$7-SQRT((1-NORMSDIST(W$9*SQRT($C$11)*NORMSINV($B434)+SQRT(1-W$9^2*$C$11)*NORMSINV(V434)))*(W$7-W$5)*(W$7-W$6))))</f>
        <v>10.1243088181305</v>
      </c>
      <c r="X434" s="2" t="n">
        <v>0.878744781</v>
      </c>
      <c r="Y434" s="2" t="n">
        <f aca="false">IF(Y$7=Y$5,Y$6,IF(NORMSDIST(Y$9*SQRT($C$11)*NORMSINV($B434)+SQRT(1-Y$9^2*$C$11)*NORMSINV(X434))&lt;Y$8,Y$5+SQRT(NORMSDIST(Y$9*SQRT($C$11)*NORMSINV($B434)+SQRT(1-Y$9^2*$C$11)*NORMSINV(X434))*(Y$7-Y$5)*(Y$6-Y$5)),Y$7-SQRT((1-NORMSDIST(Y$9*SQRT($C$11)*NORMSINV($B434)+SQRT(1-Y$9^2*$C$11)*NORMSINV(X434)))*(Y$7-Y$5)*(Y$7-Y$6))))</f>
        <v>0.753773255920483</v>
      </c>
      <c r="Z434" s="2" t="n">
        <v>0.843988745</v>
      </c>
      <c r="AA434" s="2" t="n">
        <f aca="false">IF(AA$7=AA$5,AA$6,IF(NORMSDIST(AA$9*SQRT($C$11)*NORMSINV($B434)+SQRT(1-AA$9^2*$C$11)*NORMSINV(Z434))&lt;AA$8,AA$5+SQRT(NORMSDIST(AA$9*SQRT($C$11)*NORMSINV($B434)+SQRT(1-AA$9^2*$C$11)*NORMSINV(Z434))*(AA$7-AA$5)*(AA$6-AA$5)),AA$7-SQRT((1-NORMSDIST(AA$9*SQRT($C$11)*NORMSINV($B434)+SQRT(1-AA$9^2*$C$11)*NORMSINV(Z434)))*(AA$7-AA$5)*(AA$7-AA$6))))</f>
        <v>0.742930296373694</v>
      </c>
      <c r="AB434" s="2" t="n">
        <v>0.349640544</v>
      </c>
      <c r="AC434" s="2" t="n">
        <f aca="false">IF(AC$7=AC$5,AC$6,IF(NORMSDIST(AC$9*SQRT($C$11)*NORMSINV($B434)+SQRT(1-AC$9^2*$C$11)*NORMSINV(AB434))&lt;AC$8,AC$5+SQRT(NORMSDIST(AC$9*SQRT($C$11)*NORMSINV($B434)+SQRT(1-AC$9^2*$C$11)*NORMSINV(AB434))*(AC$7-AC$5)*(AC$6-AC$5)),AC$7-SQRT((1-NORMSDIST(AC$9*SQRT($C$11)*NORMSINV($B434)+SQRT(1-AC$9^2*$C$11)*NORMSINV(AB434)))*(AC$7-AC$5)*(AC$7-AC$6))))</f>
        <v>9.6665970101007</v>
      </c>
      <c r="AD434" s="2" t="n">
        <f aca="false">Entrées!$C$8*(1+E434)</f>
        <v>7453.91090520772</v>
      </c>
      <c r="AE434" s="2" t="n">
        <f aca="false">I434*Hypothèses!$J$24/12/Hypothèses!$J$19</f>
        <v>100.512349146152</v>
      </c>
      <c r="AF434" s="2" t="n">
        <f aca="false">Entrées!$C$36*S434*1000</f>
        <v>351.912072301012</v>
      </c>
      <c r="AG434" s="2" t="n">
        <f aca="false">-AF434/W434</f>
        <v>-34.7591207086466</v>
      </c>
      <c r="AH434" s="2" t="n">
        <f aca="false">AD434+AE434+AG434</f>
        <v>7519.66413364522</v>
      </c>
      <c r="AI434" s="2" t="n">
        <f aca="false">Entrées!$C$16-M434+Hypothèses!$J$22*1000-AF434+Hypothèses!$J$23</f>
        <v>22520.7489601351</v>
      </c>
      <c r="AJ434" s="2" t="n">
        <f aca="false">AI434/AH434</f>
        <v>2.99491420891667</v>
      </c>
      <c r="AK434" s="2" t="n">
        <f aca="false">AI434/(AH434+I434*(12-Hypothèses!$J$24)/12/Hypothèses!$J$19)</f>
        <v>2.96659047263765</v>
      </c>
      <c r="AL434" s="2" t="n">
        <f aca="false">(AD434+AG434+I434/Hypothèses!$J$19)*(1+G434)</f>
        <v>8052.94181232655</v>
      </c>
      <c r="AM434" s="2" t="n">
        <f aca="false">Entrées!$C$54*K434/Hypothèses!$J$19</f>
        <v>45.2862541994137</v>
      </c>
      <c r="AN434" s="2" t="n">
        <f aca="false">Y434*1000/AC434</f>
        <v>77.9771056073673</v>
      </c>
      <c r="AO434" s="2" t="n">
        <f aca="false">(Entrées!$C$36*(1-S434)+MAX(0,Entrées!$C$30-Entrées!$C$35-Entrées!$C$36)*U434)*1000</f>
        <v>1370.55291512469</v>
      </c>
      <c r="AP434" s="2" t="n">
        <f aca="false">-AO434/W434</f>
        <v>-135.372492062898</v>
      </c>
      <c r="AQ434" s="2" t="n">
        <f aca="false">AL434+AM434+AN434+AP434</f>
        <v>8040.83268007043</v>
      </c>
      <c r="AR434" s="2" t="n">
        <f aca="false">O434*AQ434-Hypothèses!$J$25/Hypothèses!$J$19</f>
        <v>1363.70447538819</v>
      </c>
      <c r="AS434" s="2" t="n">
        <f aca="false">Entrées!$C$79*(1+Q434)+Hypothèses!$J$20</f>
        <v>1481.20965730178</v>
      </c>
      <c r="AT434" s="2" t="n">
        <f aca="false">AI434-AR434+AS434+Y434*1000-AO434+Hypothèses!$J$23</f>
        <v>22021.4744828445</v>
      </c>
      <c r="AU434" s="2" t="n">
        <f aca="false">AT434/AQ434</f>
        <v>2.73870572352857</v>
      </c>
      <c r="AV434" s="2" t="n">
        <f aca="false">Hypothèses!$J$26*AQ434-AT434</f>
        <v>2101.0235573668</v>
      </c>
      <c r="AW434" s="2" t="n">
        <f aca="false">IF(AC434&gt;Hypothèses!$J$26,MAX(0,AV434)/(1-Hypothèses!$J$26/AC434),0)</f>
        <v>3046.49403691588</v>
      </c>
      <c r="AX434" s="2" t="n">
        <f aca="false">AQ434-Entrées!$C$17*1000</f>
        <v>40.8326800704299</v>
      </c>
      <c r="AY434" s="2" t="n">
        <f aca="false">AI434+(Entrées!$C$244-Entrées!$C$13)</f>
        <v>28267.7489601351</v>
      </c>
      <c r="AZ434" s="2" t="n">
        <f aca="false">AA434*AH434</f>
        <v>5586.58630343968</v>
      </c>
      <c r="BA434" s="2" t="n">
        <f aca="false">AZ434/AY434</f>
        <v>0.197631099360555</v>
      </c>
      <c r="BB434" s="2" t="n">
        <f aca="false">AZ434/(Entrées!$C$151/100)-AY434</f>
        <v>2768.84161452978</v>
      </c>
      <c r="BC434" s="2" t="n">
        <f aca="false">AT434+(Entrées!$C$244-Entrées!$C$13)</f>
        <v>27768.4744828445</v>
      </c>
      <c r="BD434" s="2" t="n">
        <f aca="false">AA434*AQ434</f>
        <v>5973.77820609601</v>
      </c>
      <c r="BE434" s="2" t="n">
        <f aca="false">BD434/BC434</f>
        <v>0.215128065813865</v>
      </c>
      <c r="BF434" s="2" t="n">
        <f aca="false">BD434/(Entrées!$C$151/100)-BC434</f>
        <v>5419.18221768888</v>
      </c>
      <c r="BG434" s="2" t="n">
        <f aca="false">MIN(AV434,BF434)</f>
        <v>2101.0235573668</v>
      </c>
      <c r="BH434" s="2" t="n">
        <f aca="false">IF(AC434&gt;Hypothèses!$J$26,MAX(0,BG434)/(1-Hypothèses!$J$26/AC434),0)</f>
        <v>3046.49403691588</v>
      </c>
    </row>
    <row r="435" customFormat="false" ht="15" hidden="false" customHeight="false" outlineLevel="0" collapsed="false">
      <c r="A435" s="2" t="n">
        <v>420</v>
      </c>
      <c r="B435" s="2" t="n">
        <v>0.190674966</v>
      </c>
      <c r="C435" s="2"/>
      <c r="D435" s="2" t="n">
        <v>0.845287586</v>
      </c>
      <c r="E435" s="2" t="n">
        <f aca="false">IF(E$7=E$5,E$6,IF(NORMSDIST(E$9*SQRT($C$11)*NORMSINV($B435)+SQRT(1-E$9^2*$C$11)*NORMSINV(D435))&lt;E$8,E$5+SQRT(NORMSDIST(E$9*SQRT($C$11)*NORMSINV($B435)+SQRT(1-E$9^2*$C$11)*NORMSINV(D435))*(E$7-E$5)*(E$6-E$5)),E$7-SQRT((1-NORMSDIST(E$9*SQRT($C$11)*NORMSINV($B435)+SQRT(1-E$9^2*$C$11)*NORMSINV(D435)))*(E$7-E$5)*(E$7-E$6))))</f>
        <v>0.0554854518550686</v>
      </c>
      <c r="F435" s="2" t="n">
        <v>0.272019097</v>
      </c>
      <c r="G435" s="2" t="n">
        <f aca="false">IF(G$7=G$5,G$6,IF(NORMSDIST(G$9*SQRT($C$11)*NORMSINV($B435)+SQRT(1-G$9^2*$C$11)*NORMSINV(F435))&lt;G$8,G$5+SQRT(NORMSDIST(G$9*SQRT($C$11)*NORMSINV($B435)+SQRT(1-G$9^2*$C$11)*NORMSINV(F435))*(G$7-G$5)*(G$6-G$5)),G$7-SQRT((1-NORMSDIST(G$9*SQRT($C$11)*NORMSINV($B435)+SQRT(1-G$9^2*$C$11)*NORMSINV(F435)))*(G$7-G$5)*(G$7-G$6))))</f>
        <v>0.0482977868868292</v>
      </c>
      <c r="H435" s="2" t="n">
        <v>0.59019219</v>
      </c>
      <c r="I435" s="2" t="n">
        <f aca="false">IF(I$7=I$5,I$6,IF(NORMSDIST(I$9*SQRT($C$11)*NORMSINV($B435)+SQRT(1-I$9^2*$C$11)*NORMSINV(H435))&lt;I$8,I$5+SQRT(NORMSDIST(I$9*SQRT($C$11)*NORMSINV($B435)+SQRT(1-I$9^2*$C$11)*NORMSINV(H435))*(I$7-I$5)*(I$6-I$5)),I$7-SQRT((1-NORMSDIST(I$9*SQRT($C$11)*NORMSINV($B435)+SQRT(1-I$9^2*$C$11)*NORMSINV(H435)))*(I$7-I$5)*(I$7-I$6))))</f>
        <v>196.80664659937</v>
      </c>
      <c r="J435" s="2" t="n">
        <v>0.469675316</v>
      </c>
      <c r="K435" s="2" t="n">
        <f aca="false">IF(K$7=K$5,K$6,IF(NORMSDIST(K$9*SQRT($C$11)*NORMSINV($B435)+SQRT(1-K$9^2*$C$11)*NORMSINV(J435))&lt;K$8,K$5+SQRT(NORMSDIST(K$9*SQRT($C$11)*NORMSINV($B435)+SQRT(1-K$9^2*$C$11)*NORMSINV(J435))*(K$7-K$5)*(K$6-K$5)),K$7-SQRT((1-NORMSDIST(K$9*SQRT($C$11)*NORMSINV($B435)+SQRT(1-K$9^2*$C$11)*NORMSINV(J435)))*(K$7-K$5)*(K$7-K$6))))</f>
        <v>0.18373625382805</v>
      </c>
      <c r="L435" s="2" t="n">
        <v>0.81447495</v>
      </c>
      <c r="M435" s="2" t="n">
        <f aca="false">IF(M$7=M$5,M$6,IF(NORMSDIST(M$9*SQRT($C$11)*NORMSINV($B435)+SQRT(1-M$9^2*$C$11)*NORMSINV(L435))&lt;M$8,M$5+SQRT(NORMSDIST(M$9*SQRT($C$11)*NORMSINV($B435)+SQRT(1-M$9^2*$C$11)*NORMSINV(L435))*(M$7-M$5)*(M$6-M$5)),M$7-SQRT((1-NORMSDIST(M$9*SQRT($C$11)*NORMSINV($B435)+SQRT(1-M$9^2*$C$11)*NORMSINV(L435)))*(M$7-M$5)*(M$7-M$6))))</f>
        <v>1600.56191867337</v>
      </c>
      <c r="N435" s="2" t="n">
        <v>0.302410157</v>
      </c>
      <c r="O435" s="2" t="n">
        <f aca="false">IF(O$7=O$5,O$6,IF(NORMSDIST(O$9*SQRT($C$11)*NORMSINV($B435)+SQRT(1-O$9^2*$C$11)*NORMSINV(N435))&lt;O$8,O$5+SQRT(NORMSDIST(O$9*SQRT($C$11)*NORMSINV($B435)+SQRT(1-O$9^2*$C$11)*NORMSINV(N435))*(O$7-O$5)*(O$6-O$5)),O$7-SQRT((1-NORMSDIST(O$9*SQRT($C$11)*NORMSINV($B435)+SQRT(1-O$9^2*$C$11)*NORMSINV(N435)))*(O$7-O$5)*(O$7-O$6))))</f>
        <v>0.155614039902481</v>
      </c>
      <c r="P435" s="2" t="n">
        <v>0.568350733</v>
      </c>
      <c r="Q435" s="2" t="n">
        <f aca="false">IF(Q$7=Q$5,Q$6,IF(NORMSDIST(Q$9*SQRT($C$11)*NORMSINV($B435)+SQRT(1-Q$9^2*$C$11)*NORMSINV(P435))&lt;Q$8,Q$5+SQRT(NORMSDIST(Q$9*SQRT($C$11)*NORMSINV($B435)+SQRT(1-Q$9^2*$C$11)*NORMSINV(P435))*(Q$7-Q$5)*(Q$6-Q$5)),Q$7-SQRT((1-NORMSDIST(Q$9*SQRT($C$11)*NORMSINV($B435)+SQRT(1-Q$9^2*$C$11)*NORMSINV(P435)))*(Q$7-Q$5)*(Q$7-Q$6))))</f>
        <v>0.0828344560863157</v>
      </c>
      <c r="R435" s="2" t="n">
        <v>0.796970774</v>
      </c>
      <c r="S435" s="2" t="n">
        <f aca="false">IF(S$7=S$5,S$6,IF(NORMSDIST(S$9*SQRT($C$11)*NORMSINV($B435)+SQRT(1-S$9^2*$C$11)*NORMSINV(R435))&lt;S$8,S$5+SQRT(NORMSDIST(S$9*SQRT($C$11)*NORMSINV($B435)+SQRT(1-S$9^2*$C$11)*NORMSINV(R435))*(S$7-S$5)*(S$6-S$5)),S$7-SQRT((1-NORMSDIST(S$9*SQRT($C$11)*NORMSINV($B435)+SQRT(1-S$9^2*$C$11)*NORMSINV(R435)))*(S$7-S$5)*(S$7-S$6))))</f>
        <v>0.518244067638785</v>
      </c>
      <c r="T435" s="2" t="n">
        <v>0.055537091</v>
      </c>
      <c r="U435" s="2" t="n">
        <f aca="false">IF(U$7=U$5,U$6,IF(NORMSDIST(U$9*SQRT($C$11)*NORMSINV($B435)+SQRT(1-U$9^2*$C$11)*NORMSINV(T435))&lt;U$8,U$5+SQRT(NORMSDIST(U$9*SQRT($C$11)*NORMSINV($B435)+SQRT(1-U$9^2*$C$11)*NORMSINV(T435))*(U$7-U$5)*(U$6-U$5)),U$7-SQRT((1-NORMSDIST(U$9*SQRT($C$11)*NORMSINV($B435)+SQRT(1-U$9^2*$C$11)*NORMSINV(T435)))*(U$7-U$5)*(U$7-U$6))))</f>
        <v>0.135825248310645</v>
      </c>
      <c r="V435" s="2" t="n">
        <v>0.321707386</v>
      </c>
      <c r="W435" s="2" t="n">
        <f aca="false">IF(W$7=W$5,W$6,IF(NORMSDIST(W$9*SQRT($C$11)*NORMSINV($B435)+SQRT(1-W$9^2*$C$11)*NORMSINV(V435))&lt;W$8,W$5+SQRT(NORMSDIST(W$9*SQRT($C$11)*NORMSINV($B435)+SQRT(1-W$9^2*$C$11)*NORMSINV(V435))*(W$7-W$5)*(W$6-W$5)),W$7-SQRT((1-NORMSDIST(W$9*SQRT($C$11)*NORMSINV($B435)+SQRT(1-W$9^2*$C$11)*NORMSINV(V435)))*(W$7-W$5)*(W$7-W$6))))</f>
        <v>9.20273178374141</v>
      </c>
      <c r="X435" s="2" t="n">
        <v>0.290227019</v>
      </c>
      <c r="Y435" s="2" t="n">
        <f aca="false">IF(Y$7=Y$5,Y$6,IF(NORMSDIST(Y$9*SQRT($C$11)*NORMSINV($B435)+SQRT(1-Y$9^2*$C$11)*NORMSINV(X435))&lt;Y$8,Y$5+SQRT(NORMSDIST(Y$9*SQRT($C$11)*NORMSINV($B435)+SQRT(1-Y$9^2*$C$11)*NORMSINV(X435))*(Y$7-Y$5)*(Y$6-Y$5)),Y$7-SQRT((1-NORMSDIST(Y$9*SQRT($C$11)*NORMSINV($B435)+SQRT(1-Y$9^2*$C$11)*NORMSINV(X435)))*(Y$7-Y$5)*(Y$7-Y$6))))</f>
        <v>0.380937671410954</v>
      </c>
      <c r="Z435" s="2" t="n">
        <v>0.128178065</v>
      </c>
      <c r="AA435" s="2" t="n">
        <f aca="false">IF(AA$7=AA$5,AA$6,IF(NORMSDIST(AA$9*SQRT($C$11)*NORMSINV($B435)+SQRT(1-AA$9^2*$C$11)*NORMSINV(Z435))&lt;AA$8,AA$5+SQRT(NORMSDIST(AA$9*SQRT($C$11)*NORMSINV($B435)+SQRT(1-AA$9^2*$C$11)*NORMSINV(Z435))*(AA$7-AA$5)*(AA$6-AA$5)),AA$7-SQRT((1-NORMSDIST(AA$9*SQRT($C$11)*NORMSINV($B435)+SQRT(1-AA$9^2*$C$11)*NORMSINV(Z435)))*(AA$7-AA$5)*(AA$7-AA$6))))</f>
        <v>0.708076212324196</v>
      </c>
      <c r="AB435" s="2" t="n">
        <v>0.113491676</v>
      </c>
      <c r="AC435" s="2" t="n">
        <f aca="false">IF(AC$7=AC$5,AC$6,IF(NORMSDIST(AC$9*SQRT($C$11)*NORMSINV($B435)+SQRT(1-AC$9^2*$C$11)*NORMSINV(AB435))&lt;AC$8,AC$5+SQRT(NORMSDIST(AC$9*SQRT($C$11)*NORMSINV($B435)+SQRT(1-AC$9^2*$C$11)*NORMSINV(AB435))*(AC$7-AC$5)*(AC$6-AC$5)),AC$7-SQRT((1-NORMSDIST(AC$9*SQRT($C$11)*NORMSINV($B435)+SQRT(1-AC$9^2*$C$11)*NORMSINV(AB435)))*(AC$7-AC$5)*(AC$7-AC$6))))</f>
        <v>8.16750004761089</v>
      </c>
      <c r="AD435" s="2" t="n">
        <f aca="false">Entrées!$C$8*(1+E435)</f>
        <v>7441.17243557823</v>
      </c>
      <c r="AE435" s="2" t="n">
        <f aca="false">I435*Hypothèses!$J$24/12/Hypothèses!$J$19</f>
        <v>97.63514747377</v>
      </c>
      <c r="AF435" s="2" t="n">
        <f aca="false">Entrées!$C$36*S435*1000</f>
        <v>259.122033819392</v>
      </c>
      <c r="AG435" s="2" t="n">
        <f aca="false">-AF435/W435</f>
        <v>-28.1570776926463</v>
      </c>
      <c r="AH435" s="2" t="n">
        <f aca="false">AD435+AE435+AG435</f>
        <v>7510.65050535936</v>
      </c>
      <c r="AI435" s="2" t="n">
        <f aca="false">Entrées!$C$16-M435+Hypothèses!$J$22*1000-AF435+Hypothèses!$J$23</f>
        <v>22688.3160475072</v>
      </c>
      <c r="AJ435" s="2" t="n">
        <f aca="false">AI435/AH435</f>
        <v>3.0208190397513</v>
      </c>
      <c r="AK435" s="2" t="n">
        <f aca="false">AI435/(AH435+I435*(12-Hypothèses!$J$24)/12/Hypothèses!$J$19)</f>
        <v>2.99302758269018</v>
      </c>
      <c r="AL435" s="2" t="n">
        <f aca="false">(AD435+AG435+I435/Hypothèses!$J$19)*(1+G435)</f>
        <v>7946.50595214803</v>
      </c>
      <c r="AM435" s="2" t="n">
        <f aca="false">Entrées!$C$54*K435/Hypothèses!$J$19</f>
        <v>18.7510561618295</v>
      </c>
      <c r="AN435" s="2" t="n">
        <f aca="false">Y435*1000/AC435</f>
        <v>46.6406696284482</v>
      </c>
      <c r="AO435" s="2" t="n">
        <f aca="false">(Entrées!$C$36*(1-S435)+MAX(0,Entrées!$C$30-Entrées!$C$35-Entrées!$C$36)*U435)*1000</f>
        <v>431.033313815511</v>
      </c>
      <c r="AP435" s="2" t="n">
        <f aca="false">-AO435/W435</f>
        <v>-46.8375395420111</v>
      </c>
      <c r="AQ435" s="2" t="n">
        <f aca="false">AL435+AM435+AN435+AP435</f>
        <v>7965.0601383963</v>
      </c>
      <c r="AR435" s="2" t="n">
        <f aca="false">O435*AQ435-Hypothèses!$J$25/Hypothèses!$J$19</f>
        <v>1220.34002394044</v>
      </c>
      <c r="AS435" s="2" t="n">
        <f aca="false">Entrées!$C$79*(1+Q435)+Hypothèses!$J$20</f>
        <v>1485.03506723886</v>
      </c>
      <c r="AT435" s="2" t="n">
        <f aca="false">AI435-AR435+AS435+Y435*1000-AO435+Hypothèses!$J$23</f>
        <v>22902.9154484011</v>
      </c>
      <c r="AU435" s="2" t="n">
        <f aca="false">AT435/AQ435</f>
        <v>2.87542279034348</v>
      </c>
      <c r="AV435" s="2" t="n">
        <f aca="false">Hypothèses!$J$26*AQ435-AT435</f>
        <v>992.264966787807</v>
      </c>
      <c r="AW435" s="2" t="n">
        <f aca="false">IF(AC435&gt;Hypothèses!$J$26,MAX(0,AV435)/(1-Hypothèses!$J$26/AC435),0)</f>
        <v>1568.32590010888</v>
      </c>
      <c r="AX435" s="2" t="n">
        <f aca="false">AQ435-Entrées!$C$17*1000</f>
        <v>-34.9398616036988</v>
      </c>
      <c r="AY435" s="2" t="n">
        <f aca="false">AI435+(Entrées!$C$244-Entrées!$C$13)</f>
        <v>28435.3160475072</v>
      </c>
      <c r="AZ435" s="2" t="n">
        <f aca="false">AA435*AH435</f>
        <v>5318.11296192566</v>
      </c>
      <c r="BA435" s="2" t="n">
        <f aca="false">AZ435/AY435</f>
        <v>0.187024928896188</v>
      </c>
      <c r="BB435" s="2" t="n">
        <f aca="false">AZ435/(Entrées!$C$151/100)-AY435</f>
        <v>1109.7559631909</v>
      </c>
      <c r="BC435" s="2" t="n">
        <f aca="false">AT435+(Entrées!$C$244-Entrées!$C$13)</f>
        <v>28649.9154484011</v>
      </c>
      <c r="BD435" s="2" t="n">
        <f aca="false">AA435*AQ435</f>
        <v>5639.86961373009</v>
      </c>
      <c r="BE435" s="2" t="n">
        <f aca="false">BD435/BC435</f>
        <v>0.196854668694837</v>
      </c>
      <c r="BF435" s="2" t="n">
        <f aca="false">BD435/(Entrées!$C$151/100)-BC435</f>
        <v>2682.69351676607</v>
      </c>
      <c r="BG435" s="2" t="n">
        <f aca="false">MIN(AV435,BF435)</f>
        <v>992.264966787807</v>
      </c>
      <c r="BH435" s="2" t="n">
        <f aca="false">IF(AC435&gt;Hypothèses!$J$26,MAX(0,BG435)/(1-Hypothèses!$J$26/AC435),0)</f>
        <v>1568.32590010888</v>
      </c>
    </row>
    <row r="436" customFormat="false" ht="15" hidden="false" customHeight="false" outlineLevel="0" collapsed="false">
      <c r="A436" s="2" t="n">
        <v>421</v>
      </c>
      <c r="B436" s="2" t="n">
        <v>0.246758549</v>
      </c>
      <c r="C436" s="2"/>
      <c r="D436" s="2" t="n">
        <v>0.082244803</v>
      </c>
      <c r="E436" s="2" t="n">
        <f aca="false">IF(E$7=E$5,E$6,IF(NORMSDIST(E$9*SQRT($C$11)*NORMSINV($B436)+SQRT(1-E$9^2*$C$11)*NORMSINV(D436))&lt;E$8,E$5+SQRT(NORMSDIST(E$9*SQRT($C$11)*NORMSINV($B436)+SQRT(1-E$9^2*$C$11)*NORMSINV(D436))*(E$7-E$5)*(E$6-E$5)),E$7-SQRT((1-NORMSDIST(E$9*SQRT($C$11)*NORMSINV($B436)+SQRT(1-E$9^2*$C$11)*NORMSINV(D436)))*(E$7-E$5)*(E$7-E$6))))</f>
        <v>0.0518102638146189</v>
      </c>
      <c r="F436" s="2" t="n">
        <v>0.513633317</v>
      </c>
      <c r="G436" s="2" t="n">
        <f aca="false">IF(G$7=G$5,G$6,IF(NORMSDIST(G$9*SQRT($C$11)*NORMSINV($B436)+SQRT(1-G$9^2*$C$11)*NORMSINV(F436))&lt;G$8,G$5+SQRT(NORMSDIST(G$9*SQRT($C$11)*NORMSINV($B436)+SQRT(1-G$9^2*$C$11)*NORMSINV(F436))*(G$7-G$5)*(G$6-G$5)),G$7-SQRT((1-NORMSDIST(G$9*SQRT($C$11)*NORMSINV($B436)+SQRT(1-G$9^2*$C$11)*NORMSINV(F436)))*(G$7-G$5)*(G$7-G$6))))</f>
        <v>0.0524084967521268</v>
      </c>
      <c r="H436" s="2" t="n">
        <v>0.518132313</v>
      </c>
      <c r="I436" s="2" t="n">
        <f aca="false">IF(I$7=I$5,I$6,IF(NORMSDIST(I$9*SQRT($C$11)*NORMSINV($B436)+SQRT(1-I$9^2*$C$11)*NORMSINV(H436))&lt;I$8,I$5+SQRT(NORMSDIST(I$9*SQRT($C$11)*NORMSINV($B436)+SQRT(1-I$9^2*$C$11)*NORMSINV(H436))*(I$7-I$5)*(I$6-I$5)),I$7-SQRT((1-NORMSDIST(I$9*SQRT($C$11)*NORMSINV($B436)+SQRT(1-I$9^2*$C$11)*NORMSINV(H436)))*(I$7-I$5)*(I$7-I$6))))</f>
        <v>196.622250043803</v>
      </c>
      <c r="J436" s="2" t="n">
        <v>0.702234814</v>
      </c>
      <c r="K436" s="2" t="n">
        <f aca="false">IF(K$7=K$5,K$6,IF(NORMSDIST(K$9*SQRT($C$11)*NORMSINV($B436)+SQRT(1-K$9^2*$C$11)*NORMSINV(J436))&lt;K$8,K$5+SQRT(NORMSDIST(K$9*SQRT($C$11)*NORMSINV($B436)+SQRT(1-K$9^2*$C$11)*NORMSINV(J436))*(K$7-K$5)*(K$6-K$5)),K$7-SQRT((1-NORMSDIST(K$9*SQRT($C$11)*NORMSINV($B436)+SQRT(1-K$9^2*$C$11)*NORMSINV(J436)))*(K$7-K$5)*(K$7-K$6))))</f>
        <v>0.247809118864815</v>
      </c>
      <c r="L436" s="2" t="n">
        <v>0.06898888</v>
      </c>
      <c r="M436" s="2" t="n">
        <f aca="false">IF(M$7=M$5,M$6,IF(NORMSDIST(M$9*SQRT($C$11)*NORMSINV($B436)+SQRT(1-M$9^2*$C$11)*NORMSINV(L436))&lt;M$8,M$5+SQRT(NORMSDIST(M$9*SQRT($C$11)*NORMSINV($B436)+SQRT(1-M$9^2*$C$11)*NORMSINV(L436))*(M$7-M$5)*(M$6-M$5)),M$7-SQRT((1-NORMSDIST(M$9*SQRT($C$11)*NORMSINV($B436)+SQRT(1-M$9^2*$C$11)*NORMSINV(L436)))*(M$7-M$5)*(M$7-M$6))))</f>
        <v>1398.31221539341</v>
      </c>
      <c r="N436" s="2" t="n">
        <v>0.333256114</v>
      </c>
      <c r="O436" s="2" t="n">
        <f aca="false">IF(O$7=O$5,O$6,IF(NORMSDIST(O$9*SQRT($C$11)*NORMSINV($B436)+SQRT(1-O$9^2*$C$11)*NORMSINV(N436))&lt;O$8,O$5+SQRT(NORMSDIST(O$9*SQRT($C$11)*NORMSINV($B436)+SQRT(1-O$9^2*$C$11)*NORMSINV(N436))*(O$7-O$5)*(O$6-O$5)),O$7-SQRT((1-NORMSDIST(O$9*SQRT($C$11)*NORMSINV($B436)+SQRT(1-O$9^2*$C$11)*NORMSINV(N436)))*(O$7-O$5)*(O$7-O$6))))</f>
        <v>0.157830568843845</v>
      </c>
      <c r="P436" s="2" t="n">
        <v>0.944710957</v>
      </c>
      <c r="Q436" s="2" t="n">
        <f aca="false">IF(Q$7=Q$5,Q$6,IF(NORMSDIST(Q$9*SQRT($C$11)*NORMSINV($B436)+SQRT(1-Q$9^2*$C$11)*NORMSINV(P436))&lt;Q$8,Q$5+SQRT(NORMSDIST(Q$9*SQRT($C$11)*NORMSINV($B436)+SQRT(1-Q$9^2*$C$11)*NORMSINV(P436))*(Q$7-Q$5)*(Q$6-Q$5)),Q$7-SQRT((1-NORMSDIST(Q$9*SQRT($C$11)*NORMSINV($B436)+SQRT(1-Q$9^2*$C$11)*NORMSINV(P436)))*(Q$7-Q$5)*(Q$7-Q$6))))</f>
        <v>0.106698686621239</v>
      </c>
      <c r="R436" s="2" t="n">
        <v>0.920911106</v>
      </c>
      <c r="S436" s="2" t="n">
        <f aca="false">IF(S$7=S$5,S$6,IF(NORMSDIST(S$9*SQRT($C$11)*NORMSINV($B436)+SQRT(1-S$9^2*$C$11)*NORMSINV(R436))&lt;S$8,S$5+SQRT(NORMSDIST(S$9*SQRT($C$11)*NORMSINV($B436)+SQRT(1-S$9^2*$C$11)*NORMSINV(R436))*(S$7-S$5)*(S$6-S$5)),S$7-SQRT((1-NORMSDIST(S$9*SQRT($C$11)*NORMSINV($B436)+SQRT(1-S$9^2*$C$11)*NORMSINV(R436)))*(S$7-S$5)*(S$7-S$6))))</f>
        <v>0.643206295903268</v>
      </c>
      <c r="T436" s="2" t="n">
        <v>0.42792137</v>
      </c>
      <c r="U436" s="2" t="n">
        <f aca="false">IF(U$7=U$5,U$6,IF(NORMSDIST(U$9*SQRT($C$11)*NORMSINV($B436)+SQRT(1-U$9^2*$C$11)*NORMSINV(T436))&lt;U$8,U$5+SQRT(NORMSDIST(U$9*SQRT($C$11)*NORMSINV($B436)+SQRT(1-U$9^2*$C$11)*NORMSINV(T436))*(U$7-U$5)*(U$6-U$5)),U$7-SQRT((1-NORMSDIST(U$9*SQRT($C$11)*NORMSINV($B436)+SQRT(1-U$9^2*$C$11)*NORMSINV(T436)))*(U$7-U$5)*(U$7-U$6))))</f>
        <v>0.376203978784383</v>
      </c>
      <c r="V436" s="2" t="n">
        <v>0.738126525</v>
      </c>
      <c r="W436" s="2" t="n">
        <f aca="false">IF(W$7=W$5,W$6,IF(NORMSDIST(W$9*SQRT($C$11)*NORMSINV($B436)+SQRT(1-W$9^2*$C$11)*NORMSINV(V436))&lt;W$8,W$5+SQRT(NORMSDIST(W$9*SQRT($C$11)*NORMSINV($B436)+SQRT(1-W$9^2*$C$11)*NORMSINV(V436))*(W$7-W$5)*(W$6-W$5)),W$7-SQRT((1-NORMSDIST(W$9*SQRT($C$11)*NORMSINV($B436)+SQRT(1-W$9^2*$C$11)*NORMSINV(V436)))*(W$7-W$5)*(W$7-W$6))))</f>
        <v>10.0490912097307</v>
      </c>
      <c r="X436" s="2" t="n">
        <v>0.38709507</v>
      </c>
      <c r="Y436" s="2" t="n">
        <f aca="false">IF(Y$7=Y$5,Y$6,IF(NORMSDIST(Y$9*SQRT($C$11)*NORMSINV($B436)+SQRT(1-Y$9^2*$C$11)*NORMSINV(X436))&lt;Y$8,Y$5+SQRT(NORMSDIST(Y$9*SQRT($C$11)*NORMSINV($B436)+SQRT(1-Y$9^2*$C$11)*NORMSINV(X436))*(Y$7-Y$5)*(Y$6-Y$5)),Y$7-SQRT((1-NORMSDIST(Y$9*SQRT($C$11)*NORMSINV($B436)+SQRT(1-Y$9^2*$C$11)*NORMSINV(X436)))*(Y$7-Y$5)*(Y$7-Y$6))))</f>
        <v>0.439940376642108</v>
      </c>
      <c r="Z436" s="2" t="n">
        <v>0.2061913</v>
      </c>
      <c r="AA436" s="2" t="n">
        <f aca="false">IF(AA$7=AA$5,AA$6,IF(NORMSDIST(AA$9*SQRT($C$11)*NORMSINV($B436)+SQRT(1-AA$9^2*$C$11)*NORMSINV(Z436))&lt;AA$8,AA$5+SQRT(NORMSDIST(AA$9*SQRT($C$11)*NORMSINV($B436)+SQRT(1-AA$9^2*$C$11)*NORMSINV(Z436))*(AA$7-AA$5)*(AA$6-AA$5)),AA$7-SQRT((1-NORMSDIST(AA$9*SQRT($C$11)*NORMSINV($B436)+SQRT(1-AA$9^2*$C$11)*NORMSINV(Z436)))*(AA$7-AA$5)*(AA$7-AA$6))))</f>
        <v>0.712809305807345</v>
      </c>
      <c r="AB436" s="2" t="n">
        <v>0.497835311</v>
      </c>
      <c r="AC436" s="2" t="n">
        <f aca="false">IF(AC$7=AC$5,AC$6,IF(NORMSDIST(AC$9*SQRT($C$11)*NORMSINV($B436)+SQRT(1-AC$9^2*$C$11)*NORMSINV(AB436))&lt;AC$8,AC$5+SQRT(NORMSDIST(AC$9*SQRT($C$11)*NORMSINV($B436)+SQRT(1-AC$9^2*$C$11)*NORMSINV(AB436))*(AC$7-AC$5)*(AC$6-AC$5)),AC$7-SQRT((1-NORMSDIST(AC$9*SQRT($C$11)*NORMSINV($B436)+SQRT(1-AC$9^2*$C$11)*NORMSINV(AB436)))*(AC$7-AC$5)*(AC$7-AC$6))))</f>
        <v>9.09100612799328</v>
      </c>
      <c r="AD436" s="2" t="n">
        <f aca="false">Entrées!$C$8*(1+E436)</f>
        <v>7415.26235989306</v>
      </c>
      <c r="AE436" s="2" t="n">
        <f aca="false">I436*Hypothèses!$J$24/12/Hypothèses!$J$19</f>
        <v>97.5436689327376</v>
      </c>
      <c r="AF436" s="2" t="n">
        <f aca="false">Entrées!$C$36*S436*1000</f>
        <v>321.603147951634</v>
      </c>
      <c r="AG436" s="2" t="n">
        <f aca="false">-AF436/W436</f>
        <v>-32.0032071795926</v>
      </c>
      <c r="AH436" s="2" t="n">
        <f aca="false">AD436+AE436+AG436</f>
        <v>7480.80282164621</v>
      </c>
      <c r="AI436" s="2" t="n">
        <f aca="false">Entrées!$C$16-M436+Hypothèses!$J$22*1000-AF436+Hypothèses!$J$23</f>
        <v>22828.084636655</v>
      </c>
      <c r="AJ436" s="2" t="n">
        <f aca="false">AI436/AH436</f>
        <v>3.05155545212345</v>
      </c>
      <c r="AK436" s="2" t="n">
        <f aca="false">AI436/(AH436+I436*(12-Hypothèses!$J$24)/12/Hypothèses!$J$19)</f>
        <v>3.02339640621701</v>
      </c>
      <c r="AL436" s="2" t="n">
        <f aca="false">(AD436+AG436+I436/Hypothèses!$J$19)*(1+G436)</f>
        <v>7946.18601344861</v>
      </c>
      <c r="AM436" s="2" t="n">
        <f aca="false">Entrées!$C$54*K436/Hypothèses!$J$19</f>
        <v>25.2899610634069</v>
      </c>
      <c r="AN436" s="2" t="n">
        <f aca="false">Y436*1000/AC436</f>
        <v>48.3929248807161</v>
      </c>
      <c r="AO436" s="2" t="n">
        <f aca="false">(Entrées!$C$36*(1-S436)+MAX(0,Entrées!$C$30-Entrées!$C$35-Entrées!$C$36)*U436)*1000</f>
        <v>705.082422346503</v>
      </c>
      <c r="AP436" s="2" t="n">
        <f aca="false">-AO436/W436</f>
        <v>-70.1637996542176</v>
      </c>
      <c r="AQ436" s="2" t="n">
        <f aca="false">AL436+AM436+AN436+AP436</f>
        <v>7949.70509973851</v>
      </c>
      <c r="AR436" s="2" t="n">
        <f aca="false">O436*AQ436-Hypothèses!$J$25/Hypothèses!$J$19</f>
        <v>1235.57131577092</v>
      </c>
      <c r="AS436" s="2" t="n">
        <f aca="false">Entrées!$C$79*(1+Q436)+Hypothèses!$J$20</f>
        <v>1511.26185659674</v>
      </c>
      <c r="AT436" s="2" t="n">
        <f aca="false">AI436-AR436+AS436+Y436*1000-AO436+Hypothèses!$J$23</f>
        <v>22838.6331317764</v>
      </c>
      <c r="AU436" s="2" t="n">
        <f aca="false">AT436/AQ436</f>
        <v>2.87289060980735</v>
      </c>
      <c r="AV436" s="2" t="n">
        <f aca="false">Hypothèses!$J$26*AQ436-AT436</f>
        <v>1010.48216743914</v>
      </c>
      <c r="AW436" s="2" t="n">
        <f aca="false">IF(AC436&gt;Hypothèses!$J$26,MAX(0,AV436)/(1-Hypothèses!$J$26/AC436),0)</f>
        <v>1508.17441049656</v>
      </c>
      <c r="AX436" s="2" t="n">
        <f aca="false">AQ436-Entrées!$C$17*1000</f>
        <v>-50.2949002614896</v>
      </c>
      <c r="AY436" s="2" t="n">
        <f aca="false">AI436+(Entrées!$C$244-Entrées!$C$13)</f>
        <v>28575.084636655</v>
      </c>
      <c r="AZ436" s="2" t="n">
        <f aca="false">AA436*AH436</f>
        <v>5332.38586617926</v>
      </c>
      <c r="BA436" s="2" t="n">
        <f aca="false">AZ436/AY436</f>
        <v>0.186609626322474</v>
      </c>
      <c r="BB436" s="2" t="n">
        <f aca="false">AZ436/(Entrées!$C$151/100)-AY436</f>
        <v>1049.28128656316</v>
      </c>
      <c r="BC436" s="2" t="n">
        <f aca="false">AT436+(Entrées!$C$244-Entrées!$C$13)</f>
        <v>28585.6331317764</v>
      </c>
      <c r="BD436" s="2" t="n">
        <f aca="false">AA436*AQ436</f>
        <v>5666.62377351772</v>
      </c>
      <c r="BE436" s="2" t="n">
        <f aca="false">BD436/BC436</f>
        <v>0.198233278493264</v>
      </c>
      <c r="BF436" s="2" t="n">
        <f aca="false">BD436/(Entrées!$C$151/100)-BC436</f>
        <v>2895.61005443315</v>
      </c>
      <c r="BG436" s="2" t="n">
        <f aca="false">MIN(AV436,BF436)</f>
        <v>1010.48216743914</v>
      </c>
      <c r="BH436" s="2" t="n">
        <f aca="false">IF(AC436&gt;Hypothèses!$J$26,MAX(0,BG436)/(1-Hypothèses!$J$26/AC436),0)</f>
        <v>1508.17441049656</v>
      </c>
    </row>
    <row r="437" customFormat="false" ht="15" hidden="false" customHeight="false" outlineLevel="0" collapsed="false">
      <c r="A437" s="2" t="n">
        <v>422</v>
      </c>
      <c r="B437" s="2" t="n">
        <v>0.008392352</v>
      </c>
      <c r="C437" s="2"/>
      <c r="D437" s="2" t="n">
        <v>0.931799979</v>
      </c>
      <c r="E437" s="2" t="n">
        <f aca="false">IF(E$7=E$5,E$6,IF(NORMSDIST(E$9*SQRT($C$11)*NORMSINV($B437)+SQRT(1-E$9^2*$C$11)*NORMSINV(D437))&lt;E$8,E$5+SQRT(NORMSDIST(E$9*SQRT($C$11)*NORMSINV($B437)+SQRT(1-E$9^2*$C$11)*NORMSINV(D437))*(E$7-E$5)*(E$6-E$5)),E$7-SQRT((1-NORMSDIST(E$9*SQRT($C$11)*NORMSINV($B437)+SQRT(1-E$9^2*$C$11)*NORMSINV(D437)))*(E$7-E$5)*(E$7-E$6))))</f>
        <v>0.0542418519296951</v>
      </c>
      <c r="F437" s="2" t="n">
        <v>0.074292678</v>
      </c>
      <c r="G437" s="2" t="n">
        <f aca="false">IF(G$7=G$5,G$6,IF(NORMSDIST(G$9*SQRT($C$11)*NORMSINV($B437)+SQRT(1-G$9^2*$C$11)*NORMSINV(F437))&lt;G$8,G$5+SQRT(NORMSDIST(G$9*SQRT($C$11)*NORMSINV($B437)+SQRT(1-G$9^2*$C$11)*NORMSINV(F437))*(G$7-G$5)*(G$6-G$5)),G$7-SQRT((1-NORMSDIST(G$9*SQRT($C$11)*NORMSINV($B437)+SQRT(1-G$9^2*$C$11)*NORMSINV(F437)))*(G$7-G$5)*(G$7-G$6))))</f>
        <v>0.0413832302406299</v>
      </c>
      <c r="H437" s="2" t="n">
        <v>0.111676162</v>
      </c>
      <c r="I437" s="2" t="n">
        <f aca="false">IF(I$7=I$5,I$6,IF(NORMSDIST(I$9*SQRT($C$11)*NORMSINV($B437)+SQRT(1-I$9^2*$C$11)*NORMSINV(H437))&lt;I$8,I$5+SQRT(NORMSDIST(I$9*SQRT($C$11)*NORMSINV($B437)+SQRT(1-I$9^2*$C$11)*NORMSINV(H437))*(I$7-I$5)*(I$6-I$5)),I$7-SQRT((1-NORMSDIST(I$9*SQRT($C$11)*NORMSINV($B437)+SQRT(1-I$9^2*$C$11)*NORMSINV(H437)))*(I$7-I$5)*(I$7-I$6))))</f>
        <v>182.371766895532</v>
      </c>
      <c r="J437" s="2" t="n">
        <v>0.668043612</v>
      </c>
      <c r="K437" s="2" t="n">
        <f aca="false">IF(K$7=K$5,K$6,IF(NORMSDIST(K$9*SQRT($C$11)*NORMSINV($B437)+SQRT(1-K$9^2*$C$11)*NORMSINV(J437))&lt;K$8,K$5+SQRT(NORMSDIST(K$9*SQRT($C$11)*NORMSINV($B437)+SQRT(1-K$9^2*$C$11)*NORMSINV(J437))*(K$7-K$5)*(K$6-K$5)),K$7-SQRT((1-NORMSDIST(K$9*SQRT($C$11)*NORMSINV($B437)+SQRT(1-K$9^2*$C$11)*NORMSINV(J437)))*(K$7-K$5)*(K$7-K$6))))</f>
        <v>0.122384111856932</v>
      </c>
      <c r="L437" s="2" t="n">
        <v>0.734724204</v>
      </c>
      <c r="M437" s="2" t="n">
        <f aca="false">IF(M$7=M$5,M$6,IF(NORMSDIST(M$9*SQRT($C$11)*NORMSINV($B437)+SQRT(1-M$9^2*$C$11)*NORMSINV(L437))&lt;M$8,M$5+SQRT(NORMSDIST(M$9*SQRT($C$11)*NORMSINV($B437)+SQRT(1-M$9^2*$C$11)*NORMSINV(L437))*(M$7-M$5)*(M$6-M$5)),M$7-SQRT((1-NORMSDIST(M$9*SQRT($C$11)*NORMSINV($B437)+SQRT(1-M$9^2*$C$11)*NORMSINV(L437)))*(M$7-M$5)*(M$7-M$6))))</f>
        <v>1458.91721928363</v>
      </c>
      <c r="N437" s="2" t="n">
        <v>0.864431707</v>
      </c>
      <c r="O437" s="2" t="n">
        <f aca="false">IF(O$7=O$5,O$6,IF(NORMSDIST(O$9*SQRT($C$11)*NORMSINV($B437)+SQRT(1-O$9^2*$C$11)*NORMSINV(N437))&lt;O$8,O$5+SQRT(NORMSDIST(O$9*SQRT($C$11)*NORMSINV($B437)+SQRT(1-O$9^2*$C$11)*NORMSINV(N437))*(O$7-O$5)*(O$6-O$5)),O$7-SQRT((1-NORMSDIST(O$9*SQRT($C$11)*NORMSINV($B437)+SQRT(1-O$9^2*$C$11)*NORMSINV(N437)))*(O$7-O$5)*(O$7-O$6))))</f>
        <v>0.159113427802198</v>
      </c>
      <c r="P437" s="2" t="n">
        <v>0.589462221</v>
      </c>
      <c r="Q437" s="2" t="n">
        <f aca="false">IF(Q$7=Q$5,Q$6,IF(NORMSDIST(Q$9*SQRT($C$11)*NORMSINV($B437)+SQRT(1-Q$9^2*$C$11)*NORMSINV(P437))&lt;Q$8,Q$5+SQRT(NORMSDIST(Q$9*SQRT($C$11)*NORMSINV($B437)+SQRT(1-Q$9^2*$C$11)*NORMSINV(P437))*(Q$7-Q$5)*(Q$6-Q$5)),Q$7-SQRT((1-NORMSDIST(Q$9*SQRT($C$11)*NORMSINV($B437)+SQRT(1-Q$9^2*$C$11)*NORMSINV(P437)))*(Q$7-Q$5)*(Q$7-Q$6))))</f>
        <v>0.0837547121297126</v>
      </c>
      <c r="R437" s="2" t="n">
        <v>0.273742169</v>
      </c>
      <c r="S437" s="2" t="n">
        <f aca="false">IF(S$7=S$5,S$6,IF(NORMSDIST(S$9*SQRT($C$11)*NORMSINV($B437)+SQRT(1-S$9^2*$C$11)*NORMSINV(R437))&lt;S$8,S$5+SQRT(NORMSDIST(S$9*SQRT($C$11)*NORMSINV($B437)+SQRT(1-S$9^2*$C$11)*NORMSINV(R437))*(S$7-S$5)*(S$6-S$5)),S$7-SQRT((1-NORMSDIST(S$9*SQRT($C$11)*NORMSINV($B437)+SQRT(1-S$9^2*$C$11)*NORMSINV(R437)))*(S$7-S$5)*(S$7-S$6))))</f>
        <v>0.109412350957775</v>
      </c>
      <c r="T437" s="2" t="n">
        <v>0.801276413</v>
      </c>
      <c r="U437" s="2" t="n">
        <f aca="false">IF(U$7=U$5,U$6,IF(NORMSDIST(U$9*SQRT($C$11)*NORMSINV($B437)+SQRT(1-U$9^2*$C$11)*NORMSINV(T437))&lt;U$8,U$5+SQRT(NORMSDIST(U$9*SQRT($C$11)*NORMSINV($B437)+SQRT(1-U$9^2*$C$11)*NORMSINV(T437))*(U$7-U$5)*(U$6-U$5)),U$7-SQRT((1-NORMSDIST(U$9*SQRT($C$11)*NORMSINV($B437)+SQRT(1-U$9^2*$C$11)*NORMSINV(T437)))*(U$7-U$5)*(U$7-U$6))))</f>
        <v>0.312829421378549</v>
      </c>
      <c r="V437" s="2" t="n">
        <v>0.416533877</v>
      </c>
      <c r="W437" s="2" t="n">
        <f aca="false">IF(W$7=W$5,W$6,IF(NORMSDIST(W$9*SQRT($C$11)*NORMSINV($B437)+SQRT(1-W$9^2*$C$11)*NORMSINV(V437))&lt;W$8,W$5+SQRT(NORMSDIST(W$9*SQRT($C$11)*NORMSINV($B437)+SQRT(1-W$9^2*$C$11)*NORMSINV(V437))*(W$7-W$5)*(W$6-W$5)),W$7-SQRT((1-NORMSDIST(W$9*SQRT($C$11)*NORMSINV($B437)+SQRT(1-W$9^2*$C$11)*NORMSINV(V437)))*(W$7-W$5)*(W$7-W$6))))</f>
        <v>8.61252025315381</v>
      </c>
      <c r="X437" s="2" t="n">
        <v>0.790305209</v>
      </c>
      <c r="Y437" s="2" t="n">
        <f aca="false">IF(Y$7=Y$5,Y$6,IF(NORMSDIST(Y$9*SQRT($C$11)*NORMSINV($B437)+SQRT(1-Y$9^2*$C$11)*NORMSINV(X437))&lt;Y$8,Y$5+SQRT(NORMSDIST(Y$9*SQRT($C$11)*NORMSINV($B437)+SQRT(1-Y$9^2*$C$11)*NORMSINV(X437))*(Y$7-Y$5)*(Y$6-Y$5)),Y$7-SQRT((1-NORMSDIST(Y$9*SQRT($C$11)*NORMSINV($B437)+SQRT(1-Y$9^2*$C$11)*NORMSINV(X437)))*(Y$7-Y$5)*(Y$7-Y$6))))</f>
        <v>0.676198524555554</v>
      </c>
      <c r="Z437" s="2" t="n">
        <v>0.176923402</v>
      </c>
      <c r="AA437" s="2" t="n">
        <f aca="false">IF(AA$7=AA$5,AA$6,IF(NORMSDIST(AA$9*SQRT($C$11)*NORMSINV($B437)+SQRT(1-AA$9^2*$C$11)*NORMSINV(Z437))&lt;AA$8,AA$5+SQRT(NORMSDIST(AA$9*SQRT($C$11)*NORMSINV($B437)+SQRT(1-AA$9^2*$C$11)*NORMSINV(Z437))*(AA$7-AA$5)*(AA$6-AA$5)),AA$7-SQRT((1-NORMSDIST(AA$9*SQRT($C$11)*NORMSINV($B437)+SQRT(1-AA$9^2*$C$11)*NORMSINV(Z437)))*(AA$7-AA$5)*(AA$7-AA$6))))</f>
        <v>0.700567182037212</v>
      </c>
      <c r="AB437" s="2" t="n">
        <v>0.042757801</v>
      </c>
      <c r="AC437" s="2" t="n">
        <f aca="false">IF(AC$7=AC$5,AC$6,IF(NORMSDIST(AC$9*SQRT($C$11)*NORMSINV($B437)+SQRT(1-AC$9^2*$C$11)*NORMSINV(AB437))&lt;AC$8,AC$5+SQRT(NORMSDIST(AC$9*SQRT($C$11)*NORMSINV($B437)+SQRT(1-AC$9^2*$C$11)*NORMSINV(AB437))*(AC$7-AC$5)*(AC$6-AC$5)),AC$7-SQRT((1-NORMSDIST(AC$9*SQRT($C$11)*NORMSINV($B437)+SQRT(1-AC$9^2*$C$11)*NORMSINV(AB437)))*(AC$7-AC$5)*(AC$7-AC$6))))</f>
        <v>7.53864308608774</v>
      </c>
      <c r="AD437" s="2" t="n">
        <f aca="false">Entrées!$C$8*(1+E437)</f>
        <v>7432.40505610435</v>
      </c>
      <c r="AE437" s="2" t="n">
        <f aca="false">I437*Hypothèses!$J$24/12/Hypothèses!$J$19</f>
        <v>90.474049853326</v>
      </c>
      <c r="AF437" s="2" t="n">
        <f aca="false">Entrées!$C$36*S437*1000</f>
        <v>54.7061754788877</v>
      </c>
      <c r="AG437" s="2" t="n">
        <f aca="false">-AF437/W437</f>
        <v>-6.35193577151298</v>
      </c>
      <c r="AH437" s="2" t="n">
        <f aca="false">AD437+AE437+AG437</f>
        <v>7516.52717018616</v>
      </c>
      <c r="AI437" s="2" t="n">
        <f aca="false">Entrées!$C$16-M437+Hypothèses!$J$22*1000-AF437+Hypothèses!$J$23</f>
        <v>23034.3766052375</v>
      </c>
      <c r="AJ437" s="2" t="n">
        <f aca="false">AI437/AH437</f>
        <v>3.06449721842314</v>
      </c>
      <c r="AK437" s="2" t="n">
        <f aca="false">AI437/(AH437+I437*(12-Hypothèses!$J$24)/12/Hypothèses!$J$19)</f>
        <v>3.03837439880121</v>
      </c>
      <c r="AL437" s="2" t="n">
        <f aca="false">(AD437+AG437+I437/Hypothèses!$J$19)*(1+G437)</f>
        <v>7894.88402917222</v>
      </c>
      <c r="AM437" s="2" t="n">
        <f aca="false">Entrées!$C$54*K437/Hypothèses!$J$19</f>
        <v>12.4898124726793</v>
      </c>
      <c r="AN437" s="2" t="n">
        <f aca="false">Y437*1000/AC437</f>
        <v>89.6976441030151</v>
      </c>
      <c r="AO437" s="2" t="n">
        <f aca="false">(Entrées!$C$36*(1-S437)+MAX(0,Entrées!$C$30-Entrées!$C$35-Entrées!$C$36)*U437)*1000</f>
        <v>883.255014451081</v>
      </c>
      <c r="AP437" s="2" t="n">
        <f aca="false">-AO437/W437</f>
        <v>-102.554767767036</v>
      </c>
      <c r="AQ437" s="2" t="n">
        <f aca="false">AL437+AM437+AN437+AP437</f>
        <v>7894.51671798088</v>
      </c>
      <c r="AR437" s="2" t="n">
        <f aca="false">O437*AQ437-Hypothèses!$J$25/Hypothèses!$J$19</f>
        <v>1236.98845357807</v>
      </c>
      <c r="AS437" s="2" t="n">
        <f aca="false">Entrées!$C$79*(1+Q437)+Hypothèses!$J$20</f>
        <v>1486.04642863055</v>
      </c>
      <c r="AT437" s="2" t="n">
        <f aca="false">AI437-AR437+AS437+Y437*1000-AO437+Hypothèses!$J$23</f>
        <v>23076.3780903944</v>
      </c>
      <c r="AU437" s="2" t="n">
        <f aca="false">AT437/AQ437</f>
        <v>2.92308939416579</v>
      </c>
      <c r="AV437" s="2" t="n">
        <f aca="false">Hypothèses!$J$26*AQ437-AT437</f>
        <v>607.172063548191</v>
      </c>
      <c r="AW437" s="2" t="n">
        <f aca="false">IF(AC437&gt;Hypothèses!$J$26,MAX(0,AV437)/(1-Hypothèses!$J$26/AC437),0)</f>
        <v>1008.50703439621</v>
      </c>
      <c r="AX437" s="2" t="n">
        <f aca="false">AQ437-Entrées!$C$17*1000</f>
        <v>-105.483282019123</v>
      </c>
      <c r="AY437" s="2" t="n">
        <f aca="false">AI437+(Entrées!$C$244-Entrées!$C$13)</f>
        <v>28781.3766052375</v>
      </c>
      <c r="AZ437" s="2" t="n">
        <f aca="false">AA437*AH437</f>
        <v>5265.83225832346</v>
      </c>
      <c r="BA437" s="2" t="n">
        <f aca="false">AZ437/AY437</f>
        <v>0.182959707958</v>
      </c>
      <c r="BB437" s="2" t="n">
        <f aca="false">AZ437/(Entrées!$C$151/100)-AY437</f>
        <v>473.247052115064</v>
      </c>
      <c r="BC437" s="2" t="n">
        <f aca="false">AT437+(Entrées!$C$244-Entrées!$C$13)</f>
        <v>28823.3780903944</v>
      </c>
      <c r="BD437" s="2" t="n">
        <f aca="false">AA437*AQ437</f>
        <v>5530.63933066152</v>
      </c>
      <c r="BE437" s="2" t="n">
        <f aca="false">BD437/BC437</f>
        <v>0.191880331074193</v>
      </c>
      <c r="BF437" s="2" t="n">
        <f aca="false">BD437/(Entrées!$C$151/100)-BC437</f>
        <v>1902.39596883624</v>
      </c>
      <c r="BG437" s="2" t="n">
        <f aca="false">MIN(AV437,BF437)</f>
        <v>607.172063548191</v>
      </c>
      <c r="BH437" s="2" t="n">
        <f aca="false">IF(AC437&gt;Hypothèses!$J$26,MAX(0,BG437)/(1-Hypothèses!$J$26/AC437),0)</f>
        <v>1008.50703439621</v>
      </c>
    </row>
    <row r="438" customFormat="false" ht="15" hidden="false" customHeight="false" outlineLevel="0" collapsed="false">
      <c r="A438" s="2" t="n">
        <v>423</v>
      </c>
      <c r="B438" s="2" t="n">
        <v>0.944104732</v>
      </c>
      <c r="C438" s="2"/>
      <c r="D438" s="2" t="n">
        <v>0.544118519</v>
      </c>
      <c r="E438" s="2" t="n">
        <f aca="false">IF(E$7=E$5,E$6,IF(NORMSDIST(E$9*SQRT($C$11)*NORMSINV($B438)+SQRT(1-E$9^2*$C$11)*NORMSINV(D438))&lt;E$8,E$5+SQRT(NORMSDIST(E$9*SQRT($C$11)*NORMSINV($B438)+SQRT(1-E$9^2*$C$11)*NORMSINV(D438))*(E$7-E$5)*(E$6-E$5)),E$7-SQRT((1-NORMSDIST(E$9*SQRT($C$11)*NORMSINV($B438)+SQRT(1-E$9^2*$C$11)*NORMSINV(D438)))*(E$7-E$5)*(E$7-E$6))))</f>
        <v>0.0573778629491203</v>
      </c>
      <c r="F438" s="2" t="n">
        <v>0.354647008</v>
      </c>
      <c r="G438" s="2" t="n">
        <f aca="false">IF(G$7=G$5,G$6,IF(NORMSDIST(G$9*SQRT($C$11)*NORMSINV($B438)+SQRT(1-G$9^2*$C$11)*NORMSINV(F438))&lt;G$8,G$5+SQRT(NORMSDIST(G$9*SQRT($C$11)*NORMSINV($B438)+SQRT(1-G$9^2*$C$11)*NORMSINV(F438))*(G$7-G$5)*(G$6-G$5)),G$7-SQRT((1-NORMSDIST(G$9*SQRT($C$11)*NORMSINV($B438)+SQRT(1-G$9^2*$C$11)*NORMSINV(F438)))*(G$7-G$5)*(G$7-G$6))))</f>
        <v>0.059679372384058</v>
      </c>
      <c r="H438" s="2" t="n">
        <v>0.169551842</v>
      </c>
      <c r="I438" s="2" t="n">
        <f aca="false">IF(I$7=I$5,I$6,IF(NORMSDIST(I$9*SQRT($C$11)*NORMSINV($B438)+SQRT(1-I$9^2*$C$11)*NORMSINV(H438))&lt;I$8,I$5+SQRT(NORMSDIST(I$9*SQRT($C$11)*NORMSINV($B438)+SQRT(1-I$9^2*$C$11)*NORMSINV(H438))*(I$7-I$5)*(I$6-I$5)),I$7-SQRT((1-NORMSDIST(I$9*SQRT($C$11)*NORMSINV($B438)+SQRT(1-I$9^2*$C$11)*NORMSINV(H438)))*(I$7-I$5)*(I$7-I$6))))</f>
        <v>202.214529705863</v>
      </c>
      <c r="J438" s="2" t="n">
        <v>0.082763954</v>
      </c>
      <c r="K438" s="2" t="n">
        <f aca="false">IF(K$7=K$5,K$6,IF(NORMSDIST(K$9*SQRT($C$11)*NORMSINV($B438)+SQRT(1-K$9^2*$C$11)*NORMSINV(J438))&lt;K$8,K$5+SQRT(NORMSDIST(K$9*SQRT($C$11)*NORMSINV($B438)+SQRT(1-K$9^2*$C$11)*NORMSINV(J438))*(K$7-K$5)*(K$6-K$5)),K$7-SQRT((1-NORMSDIST(K$9*SQRT($C$11)*NORMSINV($B438)+SQRT(1-K$9^2*$C$11)*NORMSINV(J438)))*(K$7-K$5)*(K$7-K$6))))</f>
        <v>0.24308597776887</v>
      </c>
      <c r="L438" s="2" t="n">
        <v>0.67432689</v>
      </c>
      <c r="M438" s="2" t="n">
        <f aca="false">IF(M$7=M$5,M$6,IF(NORMSDIST(M$9*SQRT($C$11)*NORMSINV($B438)+SQRT(1-M$9^2*$C$11)*NORMSINV(L438))&lt;M$8,M$5+SQRT(NORMSDIST(M$9*SQRT($C$11)*NORMSINV($B438)+SQRT(1-M$9^2*$C$11)*NORMSINV(L438))*(M$7-M$5)*(M$6-M$5)),M$7-SQRT((1-NORMSDIST(M$9*SQRT($C$11)*NORMSINV($B438)+SQRT(1-M$9^2*$C$11)*NORMSINV(L438)))*(M$7-M$5)*(M$7-M$6))))</f>
        <v>1708.39697739073</v>
      </c>
      <c r="N438" s="2" t="n">
        <v>0.111729585</v>
      </c>
      <c r="O438" s="2" t="n">
        <f aca="false">IF(O$7=O$5,O$6,IF(NORMSDIST(O$9*SQRT($C$11)*NORMSINV($B438)+SQRT(1-O$9^2*$C$11)*NORMSINV(N438))&lt;O$8,O$5+SQRT(NORMSDIST(O$9*SQRT($C$11)*NORMSINV($B438)+SQRT(1-O$9^2*$C$11)*NORMSINV(N438))*(O$7-O$5)*(O$6-O$5)),O$7-SQRT((1-NORMSDIST(O$9*SQRT($C$11)*NORMSINV($B438)+SQRT(1-O$9^2*$C$11)*NORMSINV(N438)))*(O$7-O$5)*(O$7-O$6))))</f>
        <v>0.167446378588766</v>
      </c>
      <c r="P438" s="2" t="n">
        <v>0.076681839</v>
      </c>
      <c r="Q438" s="2" t="n">
        <f aca="false">IF(Q$7=Q$5,Q$6,IF(NORMSDIST(Q$9*SQRT($C$11)*NORMSINV($B438)+SQRT(1-Q$9^2*$C$11)*NORMSINV(P438))&lt;Q$8,Q$5+SQRT(NORMSDIST(Q$9*SQRT($C$11)*NORMSINV($B438)+SQRT(1-Q$9^2*$C$11)*NORMSINV(P438))*(Q$7-Q$5)*(Q$6-Q$5)),Q$7-SQRT((1-NORMSDIST(Q$9*SQRT($C$11)*NORMSINV($B438)+SQRT(1-Q$9^2*$C$11)*NORMSINV(P438)))*(Q$7-Q$5)*(Q$7-Q$6))))</f>
        <v>0.0556646699550294</v>
      </c>
      <c r="R438" s="2" t="n">
        <v>0.78745146</v>
      </c>
      <c r="S438" s="2" t="n">
        <f aca="false">IF(S$7=S$5,S$6,IF(NORMSDIST(S$9*SQRT($C$11)*NORMSINV($B438)+SQRT(1-S$9^2*$C$11)*NORMSINV(R438))&lt;S$8,S$5+SQRT(NORMSDIST(S$9*SQRT($C$11)*NORMSINV($B438)+SQRT(1-S$9^2*$C$11)*NORMSINV(R438))*(S$7-S$5)*(S$6-S$5)),S$7-SQRT((1-NORMSDIST(S$9*SQRT($C$11)*NORMSINV($B438)+SQRT(1-S$9^2*$C$11)*NORMSINV(R438)))*(S$7-S$5)*(S$7-S$6))))</f>
        <v>0.83839015084444</v>
      </c>
      <c r="T438" s="2" t="n">
        <v>0.323316613</v>
      </c>
      <c r="U438" s="2" t="n">
        <f aca="false">IF(U$7=U$5,U$6,IF(NORMSDIST(U$9*SQRT($C$11)*NORMSINV($B438)+SQRT(1-U$9^2*$C$11)*NORMSINV(T438))&lt;U$8,U$5+SQRT(NORMSDIST(U$9*SQRT($C$11)*NORMSINV($B438)+SQRT(1-U$9^2*$C$11)*NORMSINV(T438))*(U$7-U$5)*(U$6-U$5)),U$7-SQRT((1-NORMSDIST(U$9*SQRT($C$11)*NORMSINV($B438)+SQRT(1-U$9^2*$C$11)*NORMSINV(T438)))*(U$7-U$5)*(U$7-U$6))))</f>
        <v>0.641080639285171</v>
      </c>
      <c r="V438" s="2" t="n">
        <v>0.496494773</v>
      </c>
      <c r="W438" s="2" t="n">
        <f aca="false">IF(W$7=W$5,W$6,IF(NORMSDIST(W$9*SQRT($C$11)*NORMSINV($B438)+SQRT(1-W$9^2*$C$11)*NORMSINV(V438))&lt;W$8,W$5+SQRT(NORMSDIST(W$9*SQRT($C$11)*NORMSINV($B438)+SQRT(1-W$9^2*$C$11)*NORMSINV(V438))*(W$7-W$5)*(W$6-W$5)),W$7-SQRT((1-NORMSDIST(W$9*SQRT($C$11)*NORMSINV($B438)+SQRT(1-W$9^2*$C$11)*NORMSINV(V438)))*(W$7-W$5)*(W$7-W$6))))</f>
        <v>10.8724678493939</v>
      </c>
      <c r="X438" s="2" t="n">
        <v>0.969490227</v>
      </c>
      <c r="Y438" s="2" t="n">
        <f aca="false">IF(Y$7=Y$5,Y$6,IF(NORMSDIST(Y$9*SQRT($C$11)*NORMSINV($B438)+SQRT(1-Y$9^2*$C$11)*NORMSINV(X438))&lt;Y$8,Y$5+SQRT(NORMSDIST(Y$9*SQRT($C$11)*NORMSINV($B438)+SQRT(1-Y$9^2*$C$11)*NORMSINV(X438))*(Y$7-Y$5)*(Y$6-Y$5)),Y$7-SQRT((1-NORMSDIST(Y$9*SQRT($C$11)*NORMSINV($B438)+SQRT(1-Y$9^2*$C$11)*NORMSINV(X438)))*(Y$7-Y$5)*(Y$7-Y$6))))</f>
        <v>0.876489326372171</v>
      </c>
      <c r="Z438" s="2" t="n">
        <v>0.107187112</v>
      </c>
      <c r="AA438" s="2" t="n">
        <f aca="false">IF(AA$7=AA$5,AA$6,IF(NORMSDIST(AA$9*SQRT($C$11)*NORMSINV($B438)+SQRT(1-AA$9^2*$C$11)*NORMSINV(Z438))&lt;AA$8,AA$5+SQRT(NORMSDIST(AA$9*SQRT($C$11)*NORMSINV($B438)+SQRT(1-AA$9^2*$C$11)*NORMSINV(Z438))*(AA$7-AA$5)*(AA$6-AA$5)),AA$7-SQRT((1-NORMSDIST(AA$9*SQRT($C$11)*NORMSINV($B438)+SQRT(1-AA$9^2*$C$11)*NORMSINV(Z438)))*(AA$7-AA$5)*(AA$7-AA$6))))</f>
        <v>0.72862039848488</v>
      </c>
      <c r="AB438" s="2" t="n">
        <v>0.119044728</v>
      </c>
      <c r="AC438" s="2" t="n">
        <f aca="false">IF(AC$7=AC$5,AC$6,IF(NORMSDIST(AC$9*SQRT($C$11)*NORMSINV($B438)+SQRT(1-AC$9^2*$C$11)*NORMSINV(AB438))&lt;AC$8,AC$5+SQRT(NORMSDIST(AC$9*SQRT($C$11)*NORMSINV($B438)+SQRT(1-AC$9^2*$C$11)*NORMSINV(AB438))*(AC$7-AC$5)*(AC$6-AC$5)),AC$7-SQRT((1-NORMSDIST(AC$9*SQRT($C$11)*NORMSINV($B438)+SQRT(1-AC$9^2*$C$11)*NORMSINV(AB438)))*(AC$7-AC$5)*(AC$7-AC$6))))</f>
        <v>9.55319449564603</v>
      </c>
      <c r="AD438" s="2" t="n">
        <f aca="false">Entrées!$C$8*(1+E438)</f>
        <v>7454.5139337913</v>
      </c>
      <c r="AE438" s="2" t="n">
        <f aca="false">I438*Hypothèses!$J$24/12/Hypothèses!$J$19</f>
        <v>100.317980974298</v>
      </c>
      <c r="AF438" s="2" t="n">
        <f aca="false">Entrées!$C$36*S438*1000</f>
        <v>419.19507542222</v>
      </c>
      <c r="AG438" s="2" t="n">
        <f aca="false">-AF438/W438</f>
        <v>-38.5556509551407</v>
      </c>
      <c r="AH438" s="2" t="n">
        <f aca="false">AD438+AE438+AG438</f>
        <v>7516.27626381046</v>
      </c>
      <c r="AI438" s="2" t="n">
        <f aca="false">Entrées!$C$16-M438+Hypothèses!$J$22*1000-AF438+Hypothèses!$J$23</f>
        <v>22420.4079471871</v>
      </c>
      <c r="AJ438" s="2" t="n">
        <f aca="false">AI438/AH438</f>
        <v>2.98291429961634</v>
      </c>
      <c r="AK438" s="2" t="n">
        <f aca="false">AI438/(AH438+I438*(12-Hypothèses!$J$24)/12/Hypothèses!$J$19)</f>
        <v>2.95474551591417</v>
      </c>
      <c r="AL438" s="2" t="n">
        <f aca="false">(AD438+AG438+I438/Hypothèses!$J$19)*(1+G438)</f>
        <v>8040.77498184106</v>
      </c>
      <c r="AM438" s="2" t="n">
        <f aca="false">Entrées!$C$54*K438/Hypothèses!$J$19</f>
        <v>24.8079446833778</v>
      </c>
      <c r="AN438" s="2" t="n">
        <f aca="false">Y438*1000/AC438</f>
        <v>91.7482970509645</v>
      </c>
      <c r="AO438" s="2" t="n">
        <f aca="false">(Entrées!$C$36*(1-S438)+MAX(0,Entrées!$C$30-Entrées!$C$35-Entrées!$C$36)*U438)*1000</f>
        <v>978.317819577019</v>
      </c>
      <c r="AP438" s="2" t="n">
        <f aca="false">-AO438/W438</f>
        <v>-89.9812106256591</v>
      </c>
      <c r="AQ438" s="2" t="n">
        <f aca="false">AL438+AM438+AN438+AP438</f>
        <v>8067.35001294974</v>
      </c>
      <c r="AR438" s="2" t="n">
        <f aca="false">O438*AQ438-Hypothèses!$J$25/Hypothèses!$J$19</f>
        <v>1331.71338221484</v>
      </c>
      <c r="AS438" s="2" t="n">
        <f aca="false">Entrées!$C$79*(1+Q438)+Hypothèses!$J$20</f>
        <v>1455.17547228058</v>
      </c>
      <c r="AT438" s="2" t="n">
        <f aca="false">AI438-AR438+AS438+Y438*1000-AO438+Hypothèses!$J$23</f>
        <v>22442.0415440479</v>
      </c>
      <c r="AU438" s="2" t="n">
        <f aca="false">AT438/AQ438</f>
        <v>2.78183560996162</v>
      </c>
      <c r="AV438" s="2" t="n">
        <f aca="false">Hypothèses!$J$26*AQ438-AT438</f>
        <v>1760.00849480128</v>
      </c>
      <c r="AW438" s="2" t="n">
        <f aca="false">IF(AC438&gt;Hypothèses!$J$26,MAX(0,AV438)/(1-Hypothèses!$J$26/AC438),0)</f>
        <v>2565.72629974541</v>
      </c>
      <c r="AX438" s="2" t="n">
        <f aca="false">AQ438-Entrées!$C$17*1000</f>
        <v>67.3500129497415</v>
      </c>
      <c r="AY438" s="2" t="n">
        <f aca="false">AI438+(Entrées!$C$244-Entrées!$C$13)</f>
        <v>28167.4079471871</v>
      </c>
      <c r="AZ438" s="2" t="n">
        <f aca="false">AA438*AH438</f>
        <v>5476.51220646002</v>
      </c>
      <c r="BA438" s="2" t="n">
        <f aca="false">AZ438/AY438</f>
        <v>0.194427269159033</v>
      </c>
      <c r="BB438" s="2" t="n">
        <f aca="false">AZ438/(Entrées!$C$151/100)-AY438</f>
        <v>2257.65986647972</v>
      </c>
      <c r="BC438" s="2" t="n">
        <f aca="false">AT438+(Entrées!$C$244-Entrées!$C$13)</f>
        <v>28189.0415440479</v>
      </c>
      <c r="BD438" s="2" t="n">
        <f aca="false">AA438*AQ438</f>
        <v>5878.03578115244</v>
      </c>
      <c r="BE438" s="2" t="n">
        <f aca="false">BD438/BC438</f>
        <v>0.208522016329199</v>
      </c>
      <c r="BF438" s="2" t="n">
        <f aca="false">BD438/(Entrées!$C$151/100)-BC438</f>
        <v>4466.71279568784</v>
      </c>
      <c r="BG438" s="2" t="n">
        <f aca="false">MIN(AV438,BF438)</f>
        <v>1760.00849480128</v>
      </c>
      <c r="BH438" s="2" t="n">
        <f aca="false">IF(AC438&gt;Hypothèses!$J$26,MAX(0,BG438)/(1-Hypothèses!$J$26/AC438),0)</f>
        <v>2565.72629974541</v>
      </c>
    </row>
    <row r="439" customFormat="false" ht="15" hidden="false" customHeight="false" outlineLevel="0" collapsed="false">
      <c r="A439" s="2" t="n">
        <v>424</v>
      </c>
      <c r="B439" s="2" t="n">
        <v>0.052707643</v>
      </c>
      <c r="C439" s="2"/>
      <c r="D439" s="2" t="n">
        <v>0.196930548</v>
      </c>
      <c r="E439" s="2" t="n">
        <f aca="false">IF(E$7=E$5,E$6,IF(NORMSDIST(E$9*SQRT($C$11)*NORMSINV($B439)+SQRT(1-E$9^2*$C$11)*NORMSINV(D439))&lt;E$8,E$5+SQRT(NORMSDIST(E$9*SQRT($C$11)*NORMSINV($B439)+SQRT(1-E$9^2*$C$11)*NORMSINV(D439))*(E$7-E$5)*(E$6-E$5)),E$7-SQRT((1-NORMSDIST(E$9*SQRT($C$11)*NORMSINV($B439)+SQRT(1-E$9^2*$C$11)*NORMSINV(D439)))*(E$7-E$5)*(E$7-E$6))))</f>
        <v>0.051517294224189</v>
      </c>
      <c r="F439" s="2" t="n">
        <v>0.568074453</v>
      </c>
      <c r="G439" s="2" t="n">
        <f aca="false">IF(G$7=G$5,G$6,IF(NORMSDIST(G$9*SQRT($C$11)*NORMSINV($B439)+SQRT(1-G$9^2*$C$11)*NORMSINV(F439))&lt;G$8,G$5+SQRT(NORMSDIST(G$9*SQRT($C$11)*NORMSINV($B439)+SQRT(1-G$9^2*$C$11)*NORMSINV(F439))*(G$7-G$5)*(G$6-G$5)),G$7-SQRT((1-NORMSDIST(G$9*SQRT($C$11)*NORMSINV($B439)+SQRT(1-G$9^2*$C$11)*NORMSINV(F439)))*(G$7-G$5)*(G$7-G$6))))</f>
        <v>0.0491587636395451</v>
      </c>
      <c r="H439" s="2" t="n">
        <v>0.223467671</v>
      </c>
      <c r="I439" s="2" t="n">
        <f aca="false">IF(I$7=I$5,I$6,IF(NORMSDIST(I$9*SQRT($C$11)*NORMSINV($B439)+SQRT(1-I$9^2*$C$11)*NORMSINV(H439))&lt;I$8,I$5+SQRT(NORMSDIST(I$9*SQRT($C$11)*NORMSINV($B439)+SQRT(1-I$9^2*$C$11)*NORMSINV(H439))*(I$7-I$5)*(I$6-I$5)),I$7-SQRT((1-NORMSDIST(I$9*SQRT($C$11)*NORMSINV($B439)+SQRT(1-I$9^2*$C$11)*NORMSINV(H439)))*(I$7-I$5)*(I$7-I$6))))</f>
        <v>186.533379727056</v>
      </c>
      <c r="J439" s="2" t="n">
        <v>0.573592736</v>
      </c>
      <c r="K439" s="2" t="n">
        <f aca="false">IF(K$7=K$5,K$6,IF(NORMSDIST(K$9*SQRT($C$11)*NORMSINV($B439)+SQRT(1-K$9^2*$C$11)*NORMSINV(J439))&lt;K$8,K$5+SQRT(NORMSDIST(K$9*SQRT($C$11)*NORMSINV($B439)+SQRT(1-K$9^2*$C$11)*NORMSINV(J439))*(K$7-K$5)*(K$6-K$5)),K$7-SQRT((1-NORMSDIST(K$9*SQRT($C$11)*NORMSINV($B439)+SQRT(1-K$9^2*$C$11)*NORMSINV(J439)))*(K$7-K$5)*(K$7-K$6))))</f>
        <v>0.153842593709999</v>
      </c>
      <c r="L439" s="2" t="n">
        <v>0.100138304</v>
      </c>
      <c r="M439" s="2" t="n">
        <f aca="false">IF(M$7=M$5,M$6,IF(NORMSDIST(M$9*SQRT($C$11)*NORMSINV($B439)+SQRT(1-M$9^2*$C$11)*NORMSINV(L439))&lt;M$8,M$5+SQRT(NORMSDIST(M$9*SQRT($C$11)*NORMSINV($B439)+SQRT(1-M$9^2*$C$11)*NORMSINV(L439))*(M$7-M$5)*(M$6-M$5)),M$7-SQRT((1-NORMSDIST(M$9*SQRT($C$11)*NORMSINV($B439)+SQRT(1-M$9^2*$C$11)*NORMSINV(L439)))*(M$7-M$5)*(M$7-M$6))))</f>
        <v>1362.24172625537</v>
      </c>
      <c r="N439" s="2" t="n">
        <v>0.173732988</v>
      </c>
      <c r="O439" s="2" t="n">
        <f aca="false">IF(O$7=O$5,O$6,IF(NORMSDIST(O$9*SQRT($C$11)*NORMSINV($B439)+SQRT(1-O$9^2*$C$11)*NORMSINV(N439))&lt;O$8,O$5+SQRT(NORMSDIST(O$9*SQRT($C$11)*NORMSINV($B439)+SQRT(1-O$9^2*$C$11)*NORMSINV(N439))*(O$7-O$5)*(O$6-O$5)),O$7-SQRT((1-NORMSDIST(O$9*SQRT($C$11)*NORMSINV($B439)+SQRT(1-O$9^2*$C$11)*NORMSINV(N439)))*(O$7-O$5)*(O$7-O$6))))</f>
        <v>0.147566831745408</v>
      </c>
      <c r="P439" s="2" t="n">
        <v>0.846980653</v>
      </c>
      <c r="Q439" s="2" t="n">
        <f aca="false">IF(Q$7=Q$5,Q$6,IF(NORMSDIST(Q$9*SQRT($C$11)*NORMSINV($B439)+SQRT(1-Q$9^2*$C$11)*NORMSINV(P439))&lt;Q$8,Q$5+SQRT(NORMSDIST(Q$9*SQRT($C$11)*NORMSINV($B439)+SQRT(1-Q$9^2*$C$11)*NORMSINV(P439))*(Q$7-Q$5)*(Q$6-Q$5)),Q$7-SQRT((1-NORMSDIST(Q$9*SQRT($C$11)*NORMSINV($B439)+SQRT(1-Q$9^2*$C$11)*NORMSINV(P439)))*(Q$7-Q$5)*(Q$7-Q$6))))</f>
        <v>0.0978716943621976</v>
      </c>
      <c r="R439" s="2" t="n">
        <v>0.329419749</v>
      </c>
      <c r="S439" s="2" t="n">
        <f aca="false">IF(S$7=S$5,S$6,IF(NORMSDIST(S$9*SQRT($C$11)*NORMSINV($B439)+SQRT(1-S$9^2*$C$11)*NORMSINV(R439))&lt;S$8,S$5+SQRT(NORMSDIST(S$9*SQRT($C$11)*NORMSINV($B439)+SQRT(1-S$9^2*$C$11)*NORMSINV(R439))*(S$7-S$5)*(S$6-S$5)),S$7-SQRT((1-NORMSDIST(S$9*SQRT($C$11)*NORMSINV($B439)+SQRT(1-S$9^2*$C$11)*NORMSINV(R439)))*(S$7-S$5)*(S$7-S$6))))</f>
        <v>0.207320744557224</v>
      </c>
      <c r="T439" s="2" t="n">
        <v>0.775091245</v>
      </c>
      <c r="U439" s="2" t="n">
        <f aca="false">IF(U$7=U$5,U$6,IF(NORMSDIST(U$9*SQRT($C$11)*NORMSINV($B439)+SQRT(1-U$9^2*$C$11)*NORMSINV(T439))&lt;U$8,U$5+SQRT(NORMSDIST(U$9*SQRT($C$11)*NORMSINV($B439)+SQRT(1-U$9^2*$C$11)*NORMSINV(T439))*(U$7-U$5)*(U$6-U$5)),U$7-SQRT((1-NORMSDIST(U$9*SQRT($C$11)*NORMSINV($B439)+SQRT(1-U$9^2*$C$11)*NORMSINV(T439)))*(U$7-U$5)*(U$7-U$6))))</f>
        <v>0.406480801023186</v>
      </c>
      <c r="V439" s="2" t="n">
        <v>0.562050456</v>
      </c>
      <c r="W439" s="2" t="n">
        <f aca="false">IF(W$7=W$5,W$6,IF(NORMSDIST(W$9*SQRT($C$11)*NORMSINV($B439)+SQRT(1-W$9^2*$C$11)*NORMSINV(V439))&lt;W$8,W$5+SQRT(NORMSDIST(W$9*SQRT($C$11)*NORMSINV($B439)+SQRT(1-W$9^2*$C$11)*NORMSINV(V439))*(W$7-W$5)*(W$6-W$5)),W$7-SQRT((1-NORMSDIST(W$9*SQRT($C$11)*NORMSINV($B439)+SQRT(1-W$9^2*$C$11)*NORMSINV(V439)))*(W$7-W$5)*(W$7-W$6))))</f>
        <v>9.21076556310365</v>
      </c>
      <c r="X439" s="2" t="n">
        <v>0.506739322</v>
      </c>
      <c r="Y439" s="2" t="n">
        <f aca="false">IF(Y$7=Y$5,Y$6,IF(NORMSDIST(Y$9*SQRT($C$11)*NORMSINV($B439)+SQRT(1-Y$9^2*$C$11)*NORMSINV(X439))&lt;Y$8,Y$5+SQRT(NORMSDIST(Y$9*SQRT($C$11)*NORMSINV($B439)+SQRT(1-Y$9^2*$C$11)*NORMSINV(X439))*(Y$7-Y$5)*(Y$6-Y$5)),Y$7-SQRT((1-NORMSDIST(Y$9*SQRT($C$11)*NORMSINV($B439)+SQRT(1-Y$9^2*$C$11)*NORMSINV(X439)))*(Y$7-Y$5)*(Y$7-Y$6))))</f>
        <v>0.503381092788444</v>
      </c>
      <c r="Z439" s="2" t="n">
        <v>0.894147396</v>
      </c>
      <c r="AA439" s="2" t="n">
        <f aca="false">IF(AA$7=AA$5,AA$6,IF(NORMSDIST(AA$9*SQRT($C$11)*NORMSINV($B439)+SQRT(1-AA$9^2*$C$11)*NORMSINV(Z439))&lt;AA$8,AA$5+SQRT(NORMSDIST(AA$9*SQRT($C$11)*NORMSINV($B439)+SQRT(1-AA$9^2*$C$11)*NORMSINV(Z439))*(AA$7-AA$5)*(AA$6-AA$5)),AA$7-SQRT((1-NORMSDIST(AA$9*SQRT($C$11)*NORMSINV($B439)+SQRT(1-AA$9^2*$C$11)*NORMSINV(Z439)))*(AA$7-AA$5)*(AA$7-AA$6))))</f>
        <v>0.727303434590302</v>
      </c>
      <c r="AB439" s="2" t="n">
        <v>0.553006334</v>
      </c>
      <c r="AC439" s="2" t="n">
        <f aca="false">IF(AC$7=AC$5,AC$6,IF(NORMSDIST(AC$9*SQRT($C$11)*NORMSINV($B439)+SQRT(1-AC$9^2*$C$11)*NORMSINV(AB439))&lt;AC$8,AC$5+SQRT(NORMSDIST(AC$9*SQRT($C$11)*NORMSINV($B439)+SQRT(1-AC$9^2*$C$11)*NORMSINV(AB439))*(AC$7-AC$5)*(AC$6-AC$5)),AC$7-SQRT((1-NORMSDIST(AC$9*SQRT($C$11)*NORMSINV($B439)+SQRT(1-AC$9^2*$C$11)*NORMSINV(AB439)))*(AC$7-AC$5)*(AC$7-AC$6))))</f>
        <v>8.64212403199077</v>
      </c>
      <c r="AD439" s="2" t="n">
        <f aca="false">Entrées!$C$8*(1+E439)</f>
        <v>7413.19692428053</v>
      </c>
      <c r="AE439" s="2" t="n">
        <f aca="false">I439*Hypothèses!$J$24/12/Hypothèses!$J$19</f>
        <v>92.5386126592851</v>
      </c>
      <c r="AF439" s="2" t="n">
        <f aca="false">Entrées!$C$36*S439*1000</f>
        <v>103.660372278612</v>
      </c>
      <c r="AG439" s="2" t="n">
        <f aca="false">-AF439/W439</f>
        <v>-11.254262370313</v>
      </c>
      <c r="AH439" s="2" t="n">
        <f aca="false">AD439+AE439+AG439</f>
        <v>7494.4812745695</v>
      </c>
      <c r="AI439" s="2" t="n">
        <f aca="false">Entrées!$C$16-M439+Hypothèses!$J$22*1000-AF439+Hypothèses!$J$23</f>
        <v>23082.097901466</v>
      </c>
      <c r="AJ439" s="2" t="n">
        <f aca="false">AI439/AH439</f>
        <v>3.07987932130658</v>
      </c>
      <c r="AK439" s="2" t="n">
        <f aca="false">AI439/(AH439+I439*(12-Hypothèses!$J$24)/12/Hypothèses!$J$19)</f>
        <v>3.05295321729448</v>
      </c>
      <c r="AL439" s="2" t="n">
        <f aca="false">(AD439+AG439+I439/Hypothèses!$J$19)*(1+G439)</f>
        <v>7932.24906275173</v>
      </c>
      <c r="AM439" s="2" t="n">
        <f aca="false">Entrées!$C$54*K439/Hypothèses!$J$19</f>
        <v>15.7002826314146</v>
      </c>
      <c r="AN439" s="2" t="n">
        <f aca="false">Y439*1000/AC439</f>
        <v>58.2473811906732</v>
      </c>
      <c r="AO439" s="2" t="n">
        <f aca="false">(Entrées!$C$36*(1-S439)+MAX(0,Entrées!$C$30-Entrées!$C$35-Entrées!$C$36)*U439)*1000</f>
        <v>965.412749153849</v>
      </c>
      <c r="AP439" s="2" t="n">
        <f aca="false">-AO439/W439</f>
        <v>-104.813518761251</v>
      </c>
      <c r="AQ439" s="2" t="n">
        <f aca="false">AL439+AM439+AN439+AP439</f>
        <v>7901.38320781257</v>
      </c>
      <c r="AR439" s="2" t="n">
        <f aca="false">O439*AQ439-Hypothèses!$J$25/Hypothèses!$J$19</f>
        <v>1146.84692412164</v>
      </c>
      <c r="AS439" s="2" t="n">
        <f aca="false">Entrées!$C$79*(1+Q439)+Hypothèses!$J$20</f>
        <v>1501.56099210406</v>
      </c>
      <c r="AT439" s="2" t="n">
        <f aca="false">AI439-AR439+AS439+Y439*1000-AO439+Hypothèses!$J$23</f>
        <v>22974.780313083</v>
      </c>
      <c r="AU439" s="2" t="n">
        <f aca="false">AT439/AQ439</f>
        <v>2.90769093319844</v>
      </c>
      <c r="AV439" s="2" t="n">
        <f aca="false">Hypothèses!$J$26*AQ439-AT439</f>
        <v>729.369310354679</v>
      </c>
      <c r="AW439" s="2" t="n">
        <f aca="false">IF(AC439&gt;Hypothèses!$J$26,MAX(0,AV439)/(1-Hypothèses!$J$26/AC439),0)</f>
        <v>1117.18565729379</v>
      </c>
      <c r="AX439" s="2" t="n">
        <f aca="false">AQ439-Entrées!$C$17*1000</f>
        <v>-98.6167921874312</v>
      </c>
      <c r="AY439" s="2" t="n">
        <f aca="false">AI439+(Entrées!$C$244-Entrées!$C$13)</f>
        <v>28829.097901466</v>
      </c>
      <c r="AZ439" s="2" t="n">
        <f aca="false">AA439*AH439</f>
        <v>5450.76197146711</v>
      </c>
      <c r="BA439" s="2" t="n">
        <f aca="false">AZ439/AY439</f>
        <v>0.189071541194146</v>
      </c>
      <c r="BB439" s="2" t="n">
        <f aca="false">AZ439/(Entrées!$C$151/100)-AY439</f>
        <v>1452.91305112903</v>
      </c>
      <c r="BC439" s="2" t="n">
        <f aca="false">AT439+(Entrées!$C$244-Entrées!$C$13)</f>
        <v>28721.780313083</v>
      </c>
      <c r="BD439" s="2" t="n">
        <f aca="false">AA439*AQ439</f>
        <v>5746.70314505622</v>
      </c>
      <c r="BE439" s="2" t="n">
        <f aca="false">BD439/BC439</f>
        <v>0.200081717860593</v>
      </c>
      <c r="BF439" s="2" t="n">
        <f aca="false">BD439/(Entrées!$C$151/100)-BC439</f>
        <v>3204.34827056266</v>
      </c>
      <c r="BG439" s="2" t="n">
        <f aca="false">MIN(AV439,BF439)</f>
        <v>729.369310354679</v>
      </c>
      <c r="BH439" s="2" t="n">
        <f aca="false">IF(AC439&gt;Hypothèses!$J$26,MAX(0,BG439)/(1-Hypothèses!$J$26/AC439),0)</f>
        <v>1117.18565729379</v>
      </c>
    </row>
    <row r="440" customFormat="false" ht="15" hidden="false" customHeight="false" outlineLevel="0" collapsed="false">
      <c r="A440" s="2" t="n">
        <v>425</v>
      </c>
      <c r="B440" s="2" t="n">
        <v>0.49988073</v>
      </c>
      <c r="C440" s="2"/>
      <c r="D440" s="2" t="n">
        <v>0.410385294</v>
      </c>
      <c r="E440" s="2" t="n">
        <f aca="false">IF(E$7=E$5,E$6,IF(NORMSDIST(E$9*SQRT($C$11)*NORMSINV($B440)+SQRT(1-E$9^2*$C$11)*NORMSINV(D440))&lt;E$8,E$5+SQRT(NORMSDIST(E$9*SQRT($C$11)*NORMSINV($B440)+SQRT(1-E$9^2*$C$11)*NORMSINV(D440))*(E$7-E$5)*(E$6-E$5)),E$7-SQRT((1-NORMSDIST(E$9*SQRT($C$11)*NORMSINV($B440)+SQRT(1-E$9^2*$C$11)*NORMSINV(D440)))*(E$7-E$5)*(E$7-E$6))))</f>
        <v>0.0546382854578334</v>
      </c>
      <c r="F440" s="2" t="n">
        <v>0.236638248</v>
      </c>
      <c r="G440" s="2" t="n">
        <f aca="false">IF(G$7=G$5,G$6,IF(NORMSDIST(G$9*SQRT($C$11)*NORMSINV($B440)+SQRT(1-G$9^2*$C$11)*NORMSINV(F440))&lt;G$8,G$5+SQRT(NORMSDIST(G$9*SQRT($C$11)*NORMSINV($B440)+SQRT(1-G$9^2*$C$11)*NORMSINV(F440))*(G$7-G$5)*(G$6-G$5)),G$7-SQRT((1-NORMSDIST(G$9*SQRT($C$11)*NORMSINV($B440)+SQRT(1-G$9^2*$C$11)*NORMSINV(F440)))*(G$7-G$5)*(G$7-G$6))))</f>
        <v>0.0514080667217512</v>
      </c>
      <c r="H440" s="2" t="n">
        <v>0.874789513</v>
      </c>
      <c r="I440" s="2" t="n">
        <f aca="false">IF(I$7=I$5,I$6,IF(NORMSDIST(I$9*SQRT($C$11)*NORMSINV($B440)+SQRT(1-I$9^2*$C$11)*NORMSINV(H440))&lt;I$8,I$5+SQRT(NORMSDIST(I$9*SQRT($C$11)*NORMSINV($B440)+SQRT(1-I$9^2*$C$11)*NORMSINV(H440))*(I$7-I$5)*(I$6-I$5)),I$7-SQRT((1-NORMSDIST(I$9*SQRT($C$11)*NORMSINV($B440)+SQRT(1-I$9^2*$C$11)*NORMSINV(H440)))*(I$7-I$5)*(I$7-I$6))))</f>
        <v>207.778298014788</v>
      </c>
      <c r="J440" s="2" t="n">
        <v>0.204424289</v>
      </c>
      <c r="K440" s="2" t="n">
        <f aca="false">IF(K$7=K$5,K$6,IF(NORMSDIST(K$9*SQRT($C$11)*NORMSINV($B440)+SQRT(1-K$9^2*$C$11)*NORMSINV(J440))&lt;K$8,K$5+SQRT(NORMSDIST(K$9*SQRT($C$11)*NORMSINV($B440)+SQRT(1-K$9^2*$C$11)*NORMSINV(J440))*(K$7-K$5)*(K$6-K$5)),K$7-SQRT((1-NORMSDIST(K$9*SQRT($C$11)*NORMSINV($B440)+SQRT(1-K$9^2*$C$11)*NORMSINV(J440)))*(K$7-K$5)*(K$7-K$6))))</f>
        <v>0.180659942111121</v>
      </c>
      <c r="L440" s="2" t="n">
        <v>0.339591771</v>
      </c>
      <c r="M440" s="2" t="n">
        <f aca="false">IF(M$7=M$5,M$6,IF(NORMSDIST(M$9*SQRT($C$11)*NORMSINV($B440)+SQRT(1-M$9^2*$C$11)*NORMSINV(L440))&lt;M$8,M$5+SQRT(NORMSDIST(M$9*SQRT($C$11)*NORMSINV($B440)+SQRT(1-M$9^2*$C$11)*NORMSINV(L440))*(M$7-M$5)*(M$6-M$5)),M$7-SQRT((1-NORMSDIST(M$9*SQRT($C$11)*NORMSINV($B440)+SQRT(1-M$9^2*$C$11)*NORMSINV(L440)))*(M$7-M$5)*(M$7-M$6))))</f>
        <v>1547.31455107041</v>
      </c>
      <c r="N440" s="2" t="n">
        <v>0.675942588</v>
      </c>
      <c r="O440" s="2" t="n">
        <f aca="false">IF(O$7=O$5,O$6,IF(NORMSDIST(O$9*SQRT($C$11)*NORMSINV($B440)+SQRT(1-O$9^2*$C$11)*NORMSINV(N440))&lt;O$8,O$5+SQRT(NORMSDIST(O$9*SQRT($C$11)*NORMSINV($B440)+SQRT(1-O$9^2*$C$11)*NORMSINV(N440))*(O$7-O$5)*(O$6-O$5)),O$7-SQRT((1-NORMSDIST(O$9*SQRT($C$11)*NORMSINV($B440)+SQRT(1-O$9^2*$C$11)*NORMSINV(N440)))*(O$7-O$5)*(O$7-O$6))))</f>
        <v>0.17036549515214</v>
      </c>
      <c r="P440" s="2" t="n">
        <v>0.821427012</v>
      </c>
      <c r="Q440" s="2" t="n">
        <f aca="false">IF(Q$7=Q$5,Q$6,IF(NORMSDIST(Q$9*SQRT($C$11)*NORMSINV($B440)+SQRT(1-Q$9^2*$C$11)*NORMSINV(P440))&lt;Q$8,Q$5+SQRT(NORMSDIST(Q$9*SQRT($C$11)*NORMSINV($B440)+SQRT(1-Q$9^2*$C$11)*NORMSINV(P440))*(Q$7-Q$5)*(Q$6-Q$5)),Q$7-SQRT((1-NORMSDIST(Q$9*SQRT($C$11)*NORMSINV($B440)+SQRT(1-Q$9^2*$C$11)*NORMSINV(P440)))*(Q$7-Q$5)*(Q$7-Q$6))))</f>
        <v>0.096095323436616</v>
      </c>
      <c r="R440" s="2" t="n">
        <v>0.88415572</v>
      </c>
      <c r="S440" s="2" t="n">
        <f aca="false">IF(S$7=S$5,S$6,IF(NORMSDIST(S$9*SQRT($C$11)*NORMSINV($B440)+SQRT(1-S$9^2*$C$11)*NORMSINV(R440))&lt;S$8,S$5+SQRT(NORMSDIST(S$9*SQRT($C$11)*NORMSINV($B440)+SQRT(1-S$9^2*$C$11)*NORMSINV(R440))*(S$7-S$5)*(S$6-S$5)),S$7-SQRT((1-NORMSDIST(S$9*SQRT($C$11)*NORMSINV($B440)+SQRT(1-S$9^2*$C$11)*NORMSINV(R440)))*(S$7-S$5)*(S$7-S$6))))</f>
        <v>0.702376505852724</v>
      </c>
      <c r="T440" s="2" t="n">
        <v>0.880108446</v>
      </c>
      <c r="U440" s="2" t="n">
        <f aca="false">IF(U$7=U$5,U$6,IF(NORMSDIST(U$9*SQRT($C$11)*NORMSINV($B440)+SQRT(1-U$9^2*$C$11)*NORMSINV(T440))&lt;U$8,U$5+SQRT(NORMSDIST(U$9*SQRT($C$11)*NORMSINV($B440)+SQRT(1-U$9^2*$C$11)*NORMSINV(T440))*(U$7-U$5)*(U$6-U$5)),U$7-SQRT((1-NORMSDIST(U$9*SQRT($C$11)*NORMSINV($B440)+SQRT(1-U$9^2*$C$11)*NORMSINV(T440)))*(U$7-U$5)*(U$7-U$6))))</f>
        <v>0.698907635464294</v>
      </c>
      <c r="V440" s="2" t="n">
        <v>0.426826982</v>
      </c>
      <c r="W440" s="2" t="n">
        <f aca="false">IF(W$7=W$5,W$6,IF(NORMSDIST(W$9*SQRT($C$11)*NORMSINV($B440)+SQRT(1-W$9^2*$C$11)*NORMSINV(V440))&lt;W$8,W$5+SQRT(NORMSDIST(W$9*SQRT($C$11)*NORMSINV($B440)+SQRT(1-W$9^2*$C$11)*NORMSINV(V440))*(W$7-W$5)*(W$6-W$5)),W$7-SQRT((1-NORMSDIST(W$9*SQRT($C$11)*NORMSINV($B440)+SQRT(1-W$9^2*$C$11)*NORMSINV(V440)))*(W$7-W$5)*(W$7-W$6))))</f>
        <v>9.88280112935805</v>
      </c>
      <c r="X440" s="2" t="n">
        <v>0.970016401</v>
      </c>
      <c r="Y440" s="2" t="n">
        <f aca="false">IF(Y$7=Y$5,Y$6,IF(NORMSDIST(Y$9*SQRT($C$11)*NORMSINV($B440)+SQRT(1-Y$9^2*$C$11)*NORMSINV(X440))&lt;Y$8,Y$5+SQRT(NORMSDIST(Y$9*SQRT($C$11)*NORMSINV($B440)+SQRT(1-Y$9^2*$C$11)*NORMSINV(X440))*(Y$7-Y$5)*(Y$6-Y$5)),Y$7-SQRT((1-NORMSDIST(Y$9*SQRT($C$11)*NORMSINV($B440)+SQRT(1-Y$9^2*$C$11)*NORMSINV(X440)))*(Y$7-Y$5)*(Y$7-Y$6))))</f>
        <v>0.877558995838812</v>
      </c>
      <c r="Z440" s="2" t="n">
        <v>0.62749209</v>
      </c>
      <c r="AA440" s="2" t="n">
        <f aca="false">IF(AA$7=AA$5,AA$6,IF(NORMSDIST(AA$9*SQRT($C$11)*NORMSINV($B440)+SQRT(1-AA$9^2*$C$11)*NORMSINV(Z440))&lt;AA$8,AA$5+SQRT(NORMSDIST(AA$9*SQRT($C$11)*NORMSINV($B440)+SQRT(1-AA$9^2*$C$11)*NORMSINV(Z440))*(AA$7-AA$5)*(AA$6-AA$5)),AA$7-SQRT((1-NORMSDIST(AA$9*SQRT($C$11)*NORMSINV($B440)+SQRT(1-AA$9^2*$C$11)*NORMSINV(Z440)))*(AA$7-AA$5)*(AA$7-AA$6))))</f>
        <v>0.73115676318089</v>
      </c>
      <c r="AB440" s="2" t="n">
        <v>0.160033613</v>
      </c>
      <c r="AC440" s="2" t="n">
        <f aca="false">IF(AC$7=AC$5,AC$6,IF(NORMSDIST(AC$9*SQRT($C$11)*NORMSINV($B440)+SQRT(1-AC$9^2*$C$11)*NORMSINV(AB440))&lt;AC$8,AC$5+SQRT(NORMSDIST(AC$9*SQRT($C$11)*NORMSINV($B440)+SQRT(1-AC$9^2*$C$11)*NORMSINV(AB440))*(AC$7-AC$5)*(AC$6-AC$5)),AC$7-SQRT((1-NORMSDIST(AC$9*SQRT($C$11)*NORMSINV($B440)+SQRT(1-AC$9^2*$C$11)*NORMSINV(AB440)))*(AC$7-AC$5)*(AC$7-AC$6))))</f>
        <v>8.78037202424487</v>
      </c>
      <c r="AD440" s="2" t="n">
        <f aca="false">Entrées!$C$8*(1+E440)</f>
        <v>7435.19991247773</v>
      </c>
      <c r="AE440" s="2" t="n">
        <f aca="false">I440*Hypothèses!$J$24/12/Hypothèses!$J$19</f>
        <v>103.078148624823</v>
      </c>
      <c r="AF440" s="2" t="n">
        <f aca="false">Entrées!$C$36*S440*1000</f>
        <v>351.188252926362</v>
      </c>
      <c r="AG440" s="2" t="n">
        <f aca="false">-AF440/W440</f>
        <v>-35.5352949360799</v>
      </c>
      <c r="AH440" s="2" t="n">
        <f aca="false">AD440+AE440+AG440</f>
        <v>7502.74276616647</v>
      </c>
      <c r="AI440" s="2" t="n">
        <f aca="false">Entrées!$C$16-M440+Hypothèses!$J$22*1000-AF440+Hypothèses!$J$23</f>
        <v>22649.4971960032</v>
      </c>
      <c r="AJ440" s="2" t="n">
        <f aca="false">AI440/AH440</f>
        <v>3.01882896720662</v>
      </c>
      <c r="AK440" s="2" t="n">
        <f aca="false">AI440/(AH440+I440*(12-Hypothèses!$J$24)/12/Hypothèses!$J$19)</f>
        <v>2.98949195335104</v>
      </c>
      <c r="AL440" s="2" t="n">
        <f aca="false">(AD440+AG440+I440/Hypothèses!$J$19)*(1+G440)</f>
        <v>7965.85655043346</v>
      </c>
      <c r="AM440" s="2" t="n">
        <f aca="false">Entrées!$C$54*K440/Hypothèses!$J$19</f>
        <v>18.4371056345187</v>
      </c>
      <c r="AN440" s="2" t="n">
        <f aca="false">Y440*1000/AC440</f>
        <v>99.9455368651403</v>
      </c>
      <c r="AO440" s="2" t="n">
        <f aca="false">(Entrées!$C$36*(1-S440)+MAX(0,Entrées!$C$30-Entrées!$C$35-Entrées!$C$36)*U440)*1000</f>
        <v>1127.28243672365</v>
      </c>
      <c r="AP440" s="2" t="n">
        <f aca="false">-AO440/W440</f>
        <v>-114.065073451182</v>
      </c>
      <c r="AQ440" s="2" t="n">
        <f aca="false">AL440+AM440+AN440+AP440</f>
        <v>7970.17411948194</v>
      </c>
      <c r="AR440" s="2" t="n">
        <f aca="false">O440*AQ440-Hypothèses!$J$25/Hypothèses!$J$19</f>
        <v>1338.70749805269</v>
      </c>
      <c r="AS440" s="2" t="n">
        <f aca="false">Entrées!$C$79*(1+Q440)+Hypothèses!$J$20</f>
        <v>1499.60876045684</v>
      </c>
      <c r="AT440" s="2" t="n">
        <f aca="false">AI440-AR440+AS440+Y440*1000-AO440+Hypothèses!$J$23</f>
        <v>22560.6750175226</v>
      </c>
      <c r="AU440" s="2" t="n">
        <f aca="false">AT440/AQ440</f>
        <v>2.83063765976909</v>
      </c>
      <c r="AV440" s="2" t="n">
        <f aca="false">Hypothèses!$J$26*AQ440-AT440</f>
        <v>1349.84734092327</v>
      </c>
      <c r="AW440" s="2" t="n">
        <f aca="false">IF(AC440&gt;Hypothèses!$J$26,MAX(0,AV440)/(1-Hypothèses!$J$26/AC440),0)</f>
        <v>2050.41505625104</v>
      </c>
      <c r="AX440" s="2" t="n">
        <f aca="false">AQ440-Entrées!$C$17*1000</f>
        <v>-29.8258805180594</v>
      </c>
      <c r="AY440" s="2" t="n">
        <f aca="false">AI440+(Entrées!$C$244-Entrées!$C$13)</f>
        <v>28396.4971960032</v>
      </c>
      <c r="AZ440" s="2" t="n">
        <f aca="false">AA440*AH440</f>
        <v>5485.68111588912</v>
      </c>
      <c r="BA440" s="2" t="n">
        <f aca="false">AZ440/AY440</f>
        <v>0.193181612437087</v>
      </c>
      <c r="BB440" s="2" t="n">
        <f aca="false">AZ440/(Entrées!$C$151/100)-AY440</f>
        <v>2079.50900338074</v>
      </c>
      <c r="BC440" s="2" t="n">
        <f aca="false">AT440+(Entrées!$C$244-Entrées!$C$13)</f>
        <v>28307.6750175226</v>
      </c>
      <c r="BD440" s="2" t="n">
        <f aca="false">AA440*AQ440</f>
        <v>5827.44671118852</v>
      </c>
      <c r="BE440" s="2" t="n">
        <f aca="false">BD440/BC440</f>
        <v>0.205861014992623</v>
      </c>
      <c r="BF440" s="2" t="n">
        <f aca="false">BD440/(Entrées!$C$151/100)-BC440</f>
        <v>4067.02893352477</v>
      </c>
      <c r="BG440" s="2" t="n">
        <f aca="false">MIN(AV440,BF440)</f>
        <v>1349.84734092327</v>
      </c>
      <c r="BH440" s="2" t="n">
        <f aca="false">IF(AC440&gt;Hypothèses!$J$26,MAX(0,BG440)/(1-Hypothèses!$J$26/AC440),0)</f>
        <v>2050.41505625104</v>
      </c>
    </row>
    <row r="441" customFormat="false" ht="15" hidden="false" customHeight="false" outlineLevel="0" collapsed="false">
      <c r="A441" s="2" t="n">
        <v>426</v>
      </c>
      <c r="B441" s="2" t="n">
        <v>0.68394833</v>
      </c>
      <c r="C441" s="2"/>
      <c r="D441" s="2" t="n">
        <v>0.565343407</v>
      </c>
      <c r="E441" s="2" t="n">
        <f aca="false">IF(E$7=E$5,E$6,IF(NORMSDIST(E$9*SQRT($C$11)*NORMSINV($B441)+SQRT(1-E$9^2*$C$11)*NORMSINV(D441))&lt;E$8,E$5+SQRT(NORMSDIST(E$9*SQRT($C$11)*NORMSINV($B441)+SQRT(1-E$9^2*$C$11)*NORMSINV(D441))*(E$7-E$5)*(E$6-E$5)),E$7-SQRT((1-NORMSDIST(E$9*SQRT($C$11)*NORMSINV($B441)+SQRT(1-E$9^2*$C$11)*NORMSINV(D441)))*(E$7-E$5)*(E$7-E$6))))</f>
        <v>0.0559164430222085</v>
      </c>
      <c r="F441" s="2" t="n">
        <v>0.690150928</v>
      </c>
      <c r="G441" s="2" t="n">
        <f aca="false">IF(G$7=G$5,G$6,IF(NORMSDIST(G$9*SQRT($C$11)*NORMSINV($B441)+SQRT(1-G$9^2*$C$11)*NORMSINV(F441))&lt;G$8,G$5+SQRT(NORMSDIST(G$9*SQRT($C$11)*NORMSINV($B441)+SQRT(1-G$9^2*$C$11)*NORMSINV(F441))*(G$7-G$5)*(G$6-G$5)),G$7-SQRT((1-NORMSDIST(G$9*SQRT($C$11)*NORMSINV($B441)+SQRT(1-G$9^2*$C$11)*NORMSINV(F441)))*(G$7-G$5)*(G$7-G$6))))</f>
        <v>0.0594791587244529</v>
      </c>
      <c r="H441" s="2" t="n">
        <v>0.023352495</v>
      </c>
      <c r="I441" s="2" t="n">
        <f aca="false">IF(I$7=I$5,I$6,IF(NORMSDIST(I$9*SQRT($C$11)*NORMSINV($B441)+SQRT(1-I$9^2*$C$11)*NORMSINV(H441))&lt;I$8,I$5+SQRT(NORMSDIST(I$9*SQRT($C$11)*NORMSINV($B441)+SQRT(1-I$9^2*$C$11)*NORMSINV(H441))*(I$7-I$5)*(I$6-I$5)),I$7-SQRT((1-NORMSDIST(I$9*SQRT($C$11)*NORMSINV($B441)+SQRT(1-I$9^2*$C$11)*NORMSINV(H441)))*(I$7-I$5)*(I$7-I$6))))</f>
        <v>189.290274724604</v>
      </c>
      <c r="J441" s="2" t="n">
        <v>0.817551594</v>
      </c>
      <c r="K441" s="2" t="n">
        <f aca="false">IF(K$7=K$5,K$6,IF(NORMSDIST(K$9*SQRT($C$11)*NORMSINV($B441)+SQRT(1-K$9^2*$C$11)*NORMSINV(J441))&lt;K$8,K$5+SQRT(NORMSDIST(K$9*SQRT($C$11)*NORMSINV($B441)+SQRT(1-K$9^2*$C$11)*NORMSINV(J441))*(K$7-K$5)*(K$6-K$5)),K$7-SQRT((1-NORMSDIST(K$9*SQRT($C$11)*NORMSINV($B441)+SQRT(1-K$9^2*$C$11)*NORMSINV(J441)))*(K$7-K$5)*(K$7-K$6))))</f>
        <v>0.359672367870732</v>
      </c>
      <c r="L441" s="2" t="n">
        <v>0.820506197</v>
      </c>
      <c r="M441" s="2" t="n">
        <f aca="false">IF(M$7=M$5,M$6,IF(NORMSDIST(M$9*SQRT($C$11)*NORMSINV($B441)+SQRT(1-M$9^2*$C$11)*NORMSINV(L441))&lt;M$8,M$5+SQRT(NORMSDIST(M$9*SQRT($C$11)*NORMSINV($B441)+SQRT(1-M$9^2*$C$11)*NORMSINV(L441))*(M$7-M$5)*(M$6-M$5)),M$7-SQRT((1-NORMSDIST(M$9*SQRT($C$11)*NORMSINV($B441)+SQRT(1-M$9^2*$C$11)*NORMSINV(L441)))*(M$7-M$5)*(M$7-M$6))))</f>
        <v>1680.65577125333</v>
      </c>
      <c r="N441" s="2" t="n">
        <v>0.092896853</v>
      </c>
      <c r="O441" s="2" t="n">
        <f aca="false">IF(O$7=O$5,O$6,IF(NORMSDIST(O$9*SQRT($C$11)*NORMSINV($B441)+SQRT(1-O$9^2*$C$11)*NORMSINV(N441))&lt;O$8,O$5+SQRT(NORMSDIST(O$9*SQRT($C$11)*NORMSINV($B441)+SQRT(1-O$9^2*$C$11)*NORMSINV(N441))*(O$7-O$5)*(O$6-O$5)),O$7-SQRT((1-NORMSDIST(O$9*SQRT($C$11)*NORMSINV($B441)+SQRT(1-O$9^2*$C$11)*NORMSINV(N441)))*(O$7-O$5)*(O$7-O$6))))</f>
        <v>0.158367210621962</v>
      </c>
      <c r="P441" s="2" t="n">
        <v>0.255336073</v>
      </c>
      <c r="Q441" s="2" t="n">
        <f aca="false">IF(Q$7=Q$5,Q$6,IF(NORMSDIST(Q$9*SQRT($C$11)*NORMSINV($B441)+SQRT(1-Q$9^2*$C$11)*NORMSINV(P441))&lt;Q$8,Q$5+SQRT(NORMSDIST(Q$9*SQRT($C$11)*NORMSINV($B441)+SQRT(1-Q$9^2*$C$11)*NORMSINV(P441))*(Q$7-Q$5)*(Q$6-Q$5)),Q$7-SQRT((1-NORMSDIST(Q$9*SQRT($C$11)*NORMSINV($B441)+SQRT(1-Q$9^2*$C$11)*NORMSINV(P441)))*(Q$7-Q$5)*(Q$7-Q$6))))</f>
        <v>0.0685845313692564</v>
      </c>
      <c r="R441" s="2" t="n">
        <v>0.740286146</v>
      </c>
      <c r="S441" s="2" t="n">
        <f aca="false">IF(S$7=S$5,S$6,IF(NORMSDIST(S$9*SQRT($C$11)*NORMSINV($B441)+SQRT(1-S$9^2*$C$11)*NORMSINV(R441))&lt;S$8,S$5+SQRT(NORMSDIST(S$9*SQRT($C$11)*NORMSINV($B441)+SQRT(1-S$9^2*$C$11)*NORMSINV(R441))*(S$7-S$5)*(S$6-S$5)),S$7-SQRT((1-NORMSDIST(S$9*SQRT($C$11)*NORMSINV($B441)+SQRT(1-S$9^2*$C$11)*NORMSINV(R441)))*(S$7-S$5)*(S$7-S$6))))</f>
        <v>0.674938809901857</v>
      </c>
      <c r="T441" s="2" t="n">
        <v>0.46965928</v>
      </c>
      <c r="U441" s="2" t="n">
        <f aca="false">IF(U$7=U$5,U$6,IF(NORMSDIST(U$9*SQRT($C$11)*NORMSINV($B441)+SQRT(1-U$9^2*$C$11)*NORMSINV(T441))&lt;U$8,U$5+SQRT(NORMSDIST(U$9*SQRT($C$11)*NORMSINV($B441)+SQRT(1-U$9^2*$C$11)*NORMSINV(T441))*(U$7-U$5)*(U$6-U$5)),U$7-SQRT((1-NORMSDIST(U$9*SQRT($C$11)*NORMSINV($B441)+SQRT(1-U$9^2*$C$11)*NORMSINV(T441)))*(U$7-U$5)*(U$7-U$6))))</f>
        <v>0.550733788405264</v>
      </c>
      <c r="V441" s="2" t="n">
        <v>0.704516158</v>
      </c>
      <c r="W441" s="2" t="n">
        <f aca="false">IF(W$7=W$5,W$6,IF(NORMSDIST(W$9*SQRT($C$11)*NORMSINV($B441)+SQRT(1-W$9^2*$C$11)*NORMSINV(V441))&lt;W$8,W$5+SQRT(NORMSDIST(W$9*SQRT($C$11)*NORMSINV($B441)+SQRT(1-W$9^2*$C$11)*NORMSINV(V441))*(W$7-W$5)*(W$6-W$5)),W$7-SQRT((1-NORMSDIST(W$9*SQRT($C$11)*NORMSINV($B441)+SQRT(1-W$9^2*$C$11)*NORMSINV(V441)))*(W$7-W$5)*(W$7-W$6))))</f>
        <v>10.6258345703913</v>
      </c>
      <c r="X441" s="2" t="n">
        <v>0.010643131</v>
      </c>
      <c r="Y441" s="2" t="n">
        <f aca="false">IF(Y$7=Y$5,Y$6,IF(NORMSDIST(Y$9*SQRT($C$11)*NORMSINV($B441)+SQRT(1-Y$9^2*$C$11)*NORMSINV(X441))&lt;Y$8,Y$5+SQRT(NORMSDIST(Y$9*SQRT($C$11)*NORMSINV($B441)+SQRT(1-Y$9^2*$C$11)*NORMSINV(X441))*(Y$7-Y$5)*(Y$6-Y$5)),Y$7-SQRT((1-NORMSDIST(Y$9*SQRT($C$11)*NORMSINV($B441)+SQRT(1-Y$9^2*$C$11)*NORMSINV(X441)))*(Y$7-Y$5)*(Y$7-Y$6))))</f>
        <v>0.072949060994642</v>
      </c>
      <c r="Z441" s="2" t="n">
        <v>0.219154971</v>
      </c>
      <c r="AA441" s="2" t="n">
        <f aca="false">IF(AA$7=AA$5,AA$6,IF(NORMSDIST(AA$9*SQRT($C$11)*NORMSINV($B441)+SQRT(1-AA$9^2*$C$11)*NORMSINV(Z441))&lt;AA$8,AA$5+SQRT(NORMSDIST(AA$9*SQRT($C$11)*NORMSINV($B441)+SQRT(1-AA$9^2*$C$11)*NORMSINV(Z441))*(AA$7-AA$5)*(AA$6-AA$5)),AA$7-SQRT((1-NORMSDIST(AA$9*SQRT($C$11)*NORMSINV($B441)+SQRT(1-AA$9^2*$C$11)*NORMSINV(Z441)))*(AA$7-AA$5)*(AA$7-AA$6))))</f>
        <v>0.723967711928728</v>
      </c>
      <c r="AB441" s="2" t="n">
        <v>0.896963975</v>
      </c>
      <c r="AC441" s="2" t="n">
        <f aca="false">IF(AC$7=AC$5,AC$6,IF(NORMSDIST(AC$9*SQRT($C$11)*NORMSINV($B441)+SQRT(1-AC$9^2*$C$11)*NORMSINV(AB441))&lt;AC$8,AC$5+SQRT(NORMSDIST(AC$9*SQRT($C$11)*NORMSINV($B441)+SQRT(1-AC$9^2*$C$11)*NORMSINV(AB441))*(AC$7-AC$5)*(AC$6-AC$5)),AC$7-SQRT((1-NORMSDIST(AC$9*SQRT($C$11)*NORMSINV($B441)+SQRT(1-AC$9^2*$C$11)*NORMSINV(AB441)))*(AC$7-AC$5)*(AC$7-AC$6))))</f>
        <v>10.3431247329429</v>
      </c>
      <c r="AD441" s="2" t="n">
        <f aca="false">Entrées!$C$8*(1+E441)</f>
        <v>7444.21092330657</v>
      </c>
      <c r="AE441" s="2" t="n">
        <f aca="false">I441*Hypothèses!$J$24/12/Hypothèses!$J$19</f>
        <v>93.9062994437828</v>
      </c>
      <c r="AF441" s="2" t="n">
        <f aca="false">Entrées!$C$36*S441*1000</f>
        <v>337.469404950928</v>
      </c>
      <c r="AG441" s="2" t="n">
        <f aca="false">-AF441/W441</f>
        <v>-31.7593317226376</v>
      </c>
      <c r="AH441" s="2" t="n">
        <f aca="false">AD441+AE441+AG441</f>
        <v>7506.35789102772</v>
      </c>
      <c r="AI441" s="2" t="n">
        <f aca="false">Entrées!$C$16-M441+Hypothèses!$J$22*1000-AF441+Hypothèses!$J$23</f>
        <v>22529.8748237957</v>
      </c>
      <c r="AJ441" s="2" t="n">
        <f aca="false">AI441/AH441</f>
        <v>3.00143893361726</v>
      </c>
      <c r="AK441" s="2" t="n">
        <f aca="false">AI441/(AH441+I441*(12-Hypothèses!$J$24)/12/Hypothèses!$J$19)</f>
        <v>2.97485597176185</v>
      </c>
      <c r="AL441" s="2" t="n">
        <f aca="false">(AD441+AG441+I441/Hypothèses!$J$19)*(1+G441)</f>
        <v>8023.89529142329</v>
      </c>
      <c r="AM441" s="2" t="n">
        <f aca="false">Entrées!$C$54*K441/Hypothèses!$J$19</f>
        <v>36.7060753078916</v>
      </c>
      <c r="AN441" s="2" t="n">
        <f aca="false">Y441*1000/AC441</f>
        <v>7.05290353526329</v>
      </c>
      <c r="AO441" s="2" t="n">
        <f aca="false">(Entrées!$C$36*(1-S441)+MAX(0,Entrées!$C$30-Entrées!$C$35-Entrées!$C$36)*U441)*1000</f>
        <v>933.557898816441</v>
      </c>
      <c r="AP441" s="2" t="n">
        <f aca="false">-AO441/W441</f>
        <v>-87.857371826377</v>
      </c>
      <c r="AQ441" s="2" t="n">
        <f aca="false">AL441+AM441+AN441+AP441</f>
        <v>7979.79689844007</v>
      </c>
      <c r="AR441" s="2" t="n">
        <f aca="false">O441*AQ441-Hypothèses!$J$25/Hypothèses!$J$19</f>
        <v>1244.60301387411</v>
      </c>
      <c r="AS441" s="2" t="n">
        <f aca="false">Entrées!$C$79*(1+Q441)+Hypothèses!$J$20</f>
        <v>1469.37439997481</v>
      </c>
      <c r="AT441" s="2" t="n">
        <f aca="false">AI441-AR441+AS441+Y441*1000-AO441+Hypothèses!$J$23</f>
        <v>21894.0373720746</v>
      </c>
      <c r="AU441" s="2" t="n">
        <f aca="false">AT441/AQ441</f>
        <v>2.74368353615047</v>
      </c>
      <c r="AV441" s="2" t="n">
        <f aca="false">Hypothèses!$J$26*AQ441-AT441</f>
        <v>2045.35332324557</v>
      </c>
      <c r="AW441" s="2" t="n">
        <f aca="false">IF(AC441&gt;Hypothèses!$J$26,MAX(0,AV441)/(1-Hypothèses!$J$26/AC441),0)</f>
        <v>2880.97306183029</v>
      </c>
      <c r="AX441" s="2" t="n">
        <f aca="false">AQ441-Entrées!$C$17*1000</f>
        <v>-20.2031015599305</v>
      </c>
      <c r="AY441" s="2" t="n">
        <f aca="false">AI441+(Entrées!$C$244-Entrées!$C$13)</f>
        <v>28276.8748237957</v>
      </c>
      <c r="AZ441" s="2" t="n">
        <f aca="false">AA441*AH441</f>
        <v>5434.36074728549</v>
      </c>
      <c r="BA441" s="2" t="n">
        <f aca="false">AZ441/AY441</f>
        <v>0.192183923476308</v>
      </c>
      <c r="BB441" s="2" t="n">
        <f aca="false">AZ441/(Entrées!$C$151/100)-AY441</f>
        <v>1914.01821667919</v>
      </c>
      <c r="BC441" s="2" t="n">
        <f aca="false">AT441+(Entrées!$C$244-Entrées!$C$13)</f>
        <v>27641.0373720746</v>
      </c>
      <c r="BD441" s="2" t="n">
        <f aca="false">AA441*AQ441</f>
        <v>5777.11530221962</v>
      </c>
      <c r="BE441" s="2" t="n">
        <f aca="false">BD441/BC441</f>
        <v>0.209005010356672</v>
      </c>
      <c r="BF441" s="2" t="n">
        <f aca="false">BD441/(Entrées!$C$151/100)-BC441</f>
        <v>4454.04764025657</v>
      </c>
      <c r="BG441" s="2" t="n">
        <f aca="false">MIN(AV441,BF441)</f>
        <v>2045.35332324557</v>
      </c>
      <c r="BH441" s="2" t="n">
        <f aca="false">IF(AC441&gt;Hypothèses!$J$26,MAX(0,BG441)/(1-Hypothèses!$J$26/AC441),0)</f>
        <v>2880.97306183029</v>
      </c>
    </row>
    <row r="442" customFormat="false" ht="15" hidden="false" customHeight="false" outlineLevel="0" collapsed="false">
      <c r="A442" s="2" t="n">
        <v>427</v>
      </c>
      <c r="B442" s="2" t="n">
        <v>0.249046511</v>
      </c>
      <c r="C442" s="2"/>
      <c r="D442" s="2" t="n">
        <v>0.377081037</v>
      </c>
      <c r="E442" s="2" t="n">
        <f aca="false">IF(E$7=E$5,E$6,IF(NORMSDIST(E$9*SQRT($C$11)*NORMSINV($B442)+SQRT(1-E$9^2*$C$11)*NORMSINV(D442))&lt;E$8,E$5+SQRT(NORMSDIST(E$9*SQRT($C$11)*NORMSINV($B442)+SQRT(1-E$9^2*$C$11)*NORMSINV(D442))*(E$7-E$5)*(E$6-E$5)),E$7-SQRT((1-NORMSDIST(E$9*SQRT($C$11)*NORMSINV($B442)+SQRT(1-E$9^2*$C$11)*NORMSINV(D442)))*(E$7-E$5)*(E$7-E$6))))</f>
        <v>0.0535432544981789</v>
      </c>
      <c r="F442" s="2" t="n">
        <v>0.337108666</v>
      </c>
      <c r="G442" s="2" t="n">
        <f aca="false">IF(G$7=G$5,G$6,IF(NORMSDIST(G$9*SQRT($C$11)*NORMSINV($B442)+SQRT(1-G$9^2*$C$11)*NORMSINV(F442))&lt;G$8,G$5+SQRT(NORMSDIST(G$9*SQRT($C$11)*NORMSINV($B442)+SQRT(1-G$9^2*$C$11)*NORMSINV(F442))*(G$7-G$5)*(G$6-G$5)),G$7-SQRT((1-NORMSDIST(G$9*SQRT($C$11)*NORMSINV($B442)+SQRT(1-G$9^2*$C$11)*NORMSINV(F442)))*(G$7-G$5)*(G$7-G$6))))</f>
        <v>0.0500711299791869</v>
      </c>
      <c r="H442" s="2" t="n">
        <v>0.628029513</v>
      </c>
      <c r="I442" s="2" t="n">
        <f aca="false">IF(I$7=I$5,I$6,IF(NORMSDIST(I$9*SQRT($C$11)*NORMSINV($B442)+SQRT(1-I$9^2*$C$11)*NORMSINV(H442))&lt;I$8,I$5+SQRT(NORMSDIST(I$9*SQRT($C$11)*NORMSINV($B442)+SQRT(1-I$9^2*$C$11)*NORMSINV(H442))*(I$7-I$5)*(I$6-I$5)),I$7-SQRT((1-NORMSDIST(I$9*SQRT($C$11)*NORMSINV($B442)+SQRT(1-I$9^2*$C$11)*NORMSINV(H442)))*(I$7-I$5)*(I$7-I$6))))</f>
        <v>198.554887309393</v>
      </c>
      <c r="J442" s="2" t="n">
        <v>0.634792215</v>
      </c>
      <c r="K442" s="2" t="n">
        <f aca="false">IF(K$7=K$5,K$6,IF(NORMSDIST(K$9*SQRT($C$11)*NORMSINV($B442)+SQRT(1-K$9^2*$C$11)*NORMSINV(J442))&lt;K$8,K$5+SQRT(NORMSDIST(K$9*SQRT($C$11)*NORMSINV($B442)+SQRT(1-K$9^2*$C$11)*NORMSINV(J442))*(K$7-K$5)*(K$6-K$5)),K$7-SQRT((1-NORMSDIST(K$9*SQRT($C$11)*NORMSINV($B442)+SQRT(1-K$9^2*$C$11)*NORMSINV(J442)))*(K$7-K$5)*(K$7-K$6))))</f>
        <v>0.233403759443264</v>
      </c>
      <c r="L442" s="2" t="n">
        <v>0.18101646</v>
      </c>
      <c r="M442" s="2" t="n">
        <f aca="false">IF(M$7=M$5,M$6,IF(NORMSDIST(M$9*SQRT($C$11)*NORMSINV($B442)+SQRT(1-M$9^2*$C$11)*NORMSINV(L442))&lt;M$8,M$5+SQRT(NORMSDIST(M$9*SQRT($C$11)*NORMSINV($B442)+SQRT(1-M$9^2*$C$11)*NORMSINV(L442))*(M$7-M$5)*(M$6-M$5)),M$7-SQRT((1-NORMSDIST(M$9*SQRT($C$11)*NORMSINV($B442)+SQRT(1-M$9^2*$C$11)*NORMSINV(L442)))*(M$7-M$5)*(M$7-M$6))))</f>
        <v>1446.11813740144</v>
      </c>
      <c r="N442" s="2" t="n">
        <v>0.446231295</v>
      </c>
      <c r="O442" s="2" t="n">
        <f aca="false">IF(O$7=O$5,O$6,IF(NORMSDIST(O$9*SQRT($C$11)*NORMSINV($B442)+SQRT(1-O$9^2*$C$11)*NORMSINV(N442))&lt;O$8,O$5+SQRT(NORMSDIST(O$9*SQRT($C$11)*NORMSINV($B442)+SQRT(1-O$9^2*$C$11)*NORMSINV(N442))*(O$7-O$5)*(O$6-O$5)),O$7-SQRT((1-NORMSDIST(O$9*SQRT($C$11)*NORMSINV($B442)+SQRT(1-O$9^2*$C$11)*NORMSINV(N442)))*(O$7-O$5)*(O$7-O$6))))</f>
        <v>0.160641346743001</v>
      </c>
      <c r="P442" s="2" t="n">
        <v>0.180386649</v>
      </c>
      <c r="Q442" s="2" t="n">
        <f aca="false">IF(Q$7=Q$5,Q$6,IF(NORMSDIST(Q$9*SQRT($C$11)*NORMSINV($B442)+SQRT(1-Q$9^2*$C$11)*NORMSINV(P442))&lt;Q$8,Q$5+SQRT(NORMSDIST(Q$9*SQRT($C$11)*NORMSINV($B442)+SQRT(1-Q$9^2*$C$11)*NORMSINV(P442))*(Q$7-Q$5)*(Q$6-Q$5)),Q$7-SQRT((1-NORMSDIST(Q$9*SQRT($C$11)*NORMSINV($B442)+SQRT(1-Q$9^2*$C$11)*NORMSINV(P442)))*(Q$7-Q$5)*(Q$7-Q$6))))</f>
        <v>0.0640257627724907</v>
      </c>
      <c r="R442" s="2" t="n">
        <v>0.005662049</v>
      </c>
      <c r="S442" s="2" t="n">
        <f aca="false">IF(S$7=S$5,S$6,IF(NORMSDIST(S$9*SQRT($C$11)*NORMSINV($B442)+SQRT(1-S$9^2*$C$11)*NORMSINV(R442))&lt;S$8,S$5+SQRT(NORMSDIST(S$9*SQRT($C$11)*NORMSINV($B442)+SQRT(1-S$9^2*$C$11)*NORMSINV(R442))*(S$7-S$5)*(S$6-S$5)),S$7-SQRT((1-NORMSDIST(S$9*SQRT($C$11)*NORMSINV($B442)+SQRT(1-S$9^2*$C$11)*NORMSINV(R442)))*(S$7-S$5)*(S$7-S$6))))</f>
        <v>0.0648849362951982</v>
      </c>
      <c r="T442" s="2" t="n">
        <v>0.133512603</v>
      </c>
      <c r="U442" s="2" t="n">
        <f aca="false">IF(U$7=U$5,U$6,IF(NORMSDIST(U$9*SQRT($C$11)*NORMSINV($B442)+SQRT(1-U$9^2*$C$11)*NORMSINV(T442))&lt;U$8,U$5+SQRT(NORMSDIST(U$9*SQRT($C$11)*NORMSINV($B442)+SQRT(1-U$9^2*$C$11)*NORMSINV(T442))*(U$7-U$5)*(U$6-U$5)),U$7-SQRT((1-NORMSDIST(U$9*SQRT($C$11)*NORMSINV($B442)+SQRT(1-U$9^2*$C$11)*NORMSINV(T442)))*(U$7-U$5)*(U$7-U$6))))</f>
        <v>0.222296289456233</v>
      </c>
      <c r="V442" s="2" t="n">
        <v>0.801960857</v>
      </c>
      <c r="W442" s="2" t="n">
        <f aca="false">IF(W$7=W$5,W$6,IF(NORMSDIST(W$9*SQRT($C$11)*NORMSINV($B442)+SQRT(1-W$9^2*$C$11)*NORMSINV(V442))&lt;W$8,W$5+SQRT(NORMSDIST(W$9*SQRT($C$11)*NORMSINV($B442)+SQRT(1-W$9^2*$C$11)*NORMSINV(V442))*(W$7-W$5)*(W$6-W$5)),W$7-SQRT((1-NORMSDIST(W$9*SQRT($C$11)*NORMSINV($B442)+SQRT(1-W$9^2*$C$11)*NORMSINV(V442)))*(W$7-W$5)*(W$7-W$6))))</f>
        <v>10.1900642601909</v>
      </c>
      <c r="X442" s="2" t="n">
        <v>0.2151156</v>
      </c>
      <c r="Y442" s="2" t="n">
        <f aca="false">IF(Y$7=Y$5,Y$6,IF(NORMSDIST(Y$9*SQRT($C$11)*NORMSINV($B442)+SQRT(1-Y$9^2*$C$11)*NORMSINV(X442))&lt;Y$8,Y$5+SQRT(NORMSDIST(Y$9*SQRT($C$11)*NORMSINV($B442)+SQRT(1-Y$9^2*$C$11)*NORMSINV(X442))*(Y$7-Y$5)*(Y$6-Y$5)),Y$7-SQRT((1-NORMSDIST(Y$9*SQRT($C$11)*NORMSINV($B442)+SQRT(1-Y$9^2*$C$11)*NORMSINV(X442)))*(Y$7-Y$5)*(Y$7-Y$6))))</f>
        <v>0.32796005854372</v>
      </c>
      <c r="Z442" s="2" t="n">
        <v>0.52643202</v>
      </c>
      <c r="AA442" s="2" t="n">
        <f aca="false">IF(AA$7=AA$5,AA$6,IF(NORMSDIST(AA$9*SQRT($C$11)*NORMSINV($B442)+SQRT(1-AA$9^2*$C$11)*NORMSINV(Z442))&lt;AA$8,AA$5+SQRT(NORMSDIST(AA$9*SQRT($C$11)*NORMSINV($B442)+SQRT(1-AA$9^2*$C$11)*NORMSINV(Z442))*(AA$7-AA$5)*(AA$6-AA$5)),AA$7-SQRT((1-NORMSDIST(AA$9*SQRT($C$11)*NORMSINV($B442)+SQRT(1-AA$9^2*$C$11)*NORMSINV(Z442)))*(AA$7-AA$5)*(AA$7-AA$6))))</f>
        <v>0.722823575882839</v>
      </c>
      <c r="AB442" s="2" t="n">
        <v>0.826551253</v>
      </c>
      <c r="AC442" s="2" t="n">
        <f aca="false">IF(AC$7=AC$5,AC$6,IF(NORMSDIST(AC$9*SQRT($C$11)*NORMSINV($B442)+SQRT(1-AC$9^2*$C$11)*NORMSINV(AB442))&lt;AC$8,AC$5+SQRT(NORMSDIST(AC$9*SQRT($C$11)*NORMSINV($B442)+SQRT(1-AC$9^2*$C$11)*NORMSINV(AB442))*(AC$7-AC$5)*(AC$6-AC$5)),AC$7-SQRT((1-NORMSDIST(AC$9*SQRT($C$11)*NORMSINV($B442)+SQRT(1-AC$9^2*$C$11)*NORMSINV(AB442)))*(AC$7-AC$5)*(AC$7-AC$6))))</f>
        <v>9.71066007397543</v>
      </c>
      <c r="AD442" s="2" t="n">
        <f aca="false">Entrées!$C$8*(1+E442)</f>
        <v>7427.47994421216</v>
      </c>
      <c r="AE442" s="2" t="n">
        <f aca="false">I442*Hypothèses!$J$24/12/Hypothèses!$J$19</f>
        <v>98.5024440945507</v>
      </c>
      <c r="AF442" s="2" t="n">
        <f aca="false">Entrées!$C$36*S442*1000</f>
        <v>32.4424681475991</v>
      </c>
      <c r="AG442" s="2" t="n">
        <f aca="false">-AF442/W442</f>
        <v>-3.18373538372478</v>
      </c>
      <c r="AH442" s="2" t="n">
        <f aca="false">AD442+AE442+AG442</f>
        <v>7522.79865292299</v>
      </c>
      <c r="AI442" s="2" t="n">
        <f aca="false">Entrées!$C$16-M442+Hypothèses!$J$22*1000-AF442+Hypothèses!$J$23</f>
        <v>23069.439394451</v>
      </c>
      <c r="AJ442" s="2" t="n">
        <f aca="false">AI442/AH442</f>
        <v>3.06660332926594</v>
      </c>
      <c r="AK442" s="2" t="n">
        <f aca="false">AI442/(AH442+I442*(12-Hypothèses!$J$24)/12/Hypothèses!$J$19)</f>
        <v>3.03818790380391</v>
      </c>
      <c r="AL442" s="2" t="n">
        <f aca="false">(AD442+AG442+I442/Hypothèses!$J$19)*(1+G442)</f>
        <v>7973.35551977794</v>
      </c>
      <c r="AM442" s="2" t="n">
        <f aca="false">Entrées!$C$54*K442/Hypothèses!$J$19</f>
        <v>23.819833650242</v>
      </c>
      <c r="AN442" s="2" t="n">
        <f aca="false">Y442*1000/AC442</f>
        <v>33.773199354661</v>
      </c>
      <c r="AO442" s="2" t="n">
        <f aca="false">(Entrées!$C$36*(1-S442)+MAX(0,Entrées!$C$30-Entrées!$C$35-Entrées!$C$36)*U442)*1000</f>
        <v>778.772337091127</v>
      </c>
      <c r="AP442" s="2" t="n">
        <f aca="false">-AO442/W442</f>
        <v>-76.4246738004904</v>
      </c>
      <c r="AQ442" s="2" t="n">
        <f aca="false">AL442+AM442+AN442+AP442</f>
        <v>7954.52387898236</v>
      </c>
      <c r="AR442" s="2" t="n">
        <f aca="false">O442*AQ442-Hypothèses!$J$25/Hypothèses!$J$19</f>
        <v>1258.69026635746</v>
      </c>
      <c r="AS442" s="2" t="n">
        <f aca="false">Entrées!$C$79*(1+Q442)+Hypothèses!$J$20</f>
        <v>1464.36431328697</v>
      </c>
      <c r="AT442" s="2" t="n">
        <f aca="false">AI442-AR442+AS442+Y442*1000-AO442+Hypothèses!$J$23</f>
        <v>22824.3011628331</v>
      </c>
      <c r="AU442" s="2" t="n">
        <f aca="false">AT442/AQ442</f>
        <v>2.86934850030936</v>
      </c>
      <c r="AV442" s="2" t="n">
        <f aca="false">Hypothèses!$J$26*AQ442-AT442</f>
        <v>1039.27047411402</v>
      </c>
      <c r="AW442" s="2" t="n">
        <f aca="false">IF(AC442&gt;Hypothèses!$J$26,MAX(0,AV442)/(1-Hypothèses!$J$26/AC442),0)</f>
        <v>1503.87624880274</v>
      </c>
      <c r="AX442" s="2" t="n">
        <f aca="false">AQ442-Entrées!$C$17*1000</f>
        <v>-45.476121017643</v>
      </c>
      <c r="AY442" s="2" t="n">
        <f aca="false">AI442+(Entrées!$C$244-Entrées!$C$13)</f>
        <v>28816.439394451</v>
      </c>
      <c r="AZ442" s="2" t="n">
        <f aca="false">AA442*AH442</f>
        <v>5437.6562229524</v>
      </c>
      <c r="BA442" s="2" t="n">
        <f aca="false">AZ442/AY442</f>
        <v>0.188699795575698</v>
      </c>
      <c r="BB442" s="2" t="n">
        <f aca="false">AZ442/(Entrées!$C$151/100)-AY442</f>
        <v>1392.76184417349</v>
      </c>
      <c r="BC442" s="2" t="n">
        <f aca="false">AT442+(Entrées!$C$244-Entrées!$C$13)</f>
        <v>28571.3011628331</v>
      </c>
      <c r="BD442" s="2" t="n">
        <f aca="false">AA442*AQ442</f>
        <v>5749.71739465146</v>
      </c>
      <c r="BE442" s="2" t="n">
        <f aca="false">BD442/BC442</f>
        <v>0.20124100620699</v>
      </c>
      <c r="BF442" s="2" t="n">
        <f aca="false">BD442/(Entrées!$C$151/100)-BC442</f>
        <v>3371.57325189729</v>
      </c>
      <c r="BG442" s="2" t="n">
        <f aca="false">MIN(AV442,BF442)</f>
        <v>1039.27047411402</v>
      </c>
      <c r="BH442" s="2" t="n">
        <f aca="false">IF(AC442&gt;Hypothèses!$J$26,MAX(0,BG442)/(1-Hypothèses!$J$26/AC442),0)</f>
        <v>1503.87624880274</v>
      </c>
    </row>
    <row r="443" customFormat="false" ht="15" hidden="false" customHeight="false" outlineLevel="0" collapsed="false">
      <c r="A443" s="2" t="n">
        <v>428</v>
      </c>
      <c r="B443" s="2" t="n">
        <v>0.972272531</v>
      </c>
      <c r="C443" s="2"/>
      <c r="D443" s="2" t="n">
        <v>0.018116588</v>
      </c>
      <c r="E443" s="2" t="n">
        <f aca="false">IF(E$7=E$5,E$6,IF(NORMSDIST(E$9*SQRT($C$11)*NORMSINV($B443)+SQRT(1-E$9^2*$C$11)*NORMSINV(D443))&lt;E$8,E$5+SQRT(NORMSDIST(E$9*SQRT($C$11)*NORMSINV($B443)+SQRT(1-E$9^2*$C$11)*NORMSINV(D443))*(E$7-E$5)*(E$6-E$5)),E$7-SQRT((1-NORMSDIST(E$9*SQRT($C$11)*NORMSINV($B443)+SQRT(1-E$9^2*$C$11)*NORMSINV(D443)))*(E$7-E$5)*(E$7-E$6))))</f>
        <v>0.0541265783386344</v>
      </c>
      <c r="F443" s="2" t="n">
        <v>0.459491823</v>
      </c>
      <c r="G443" s="2" t="n">
        <f aca="false">IF(G$7=G$5,G$6,IF(NORMSDIST(G$9*SQRT($C$11)*NORMSINV($B443)+SQRT(1-G$9^2*$C$11)*NORMSINV(F443))&lt;G$8,G$5+SQRT(NORMSDIST(G$9*SQRT($C$11)*NORMSINV($B443)+SQRT(1-G$9^2*$C$11)*NORMSINV(F443))*(G$7-G$5)*(G$6-G$5)),G$7-SQRT((1-NORMSDIST(G$9*SQRT($C$11)*NORMSINV($B443)+SQRT(1-G$9^2*$C$11)*NORMSINV(F443)))*(G$7-G$5)*(G$7-G$6))))</f>
        <v>0.0623897692750851</v>
      </c>
      <c r="H443" s="2" t="n">
        <v>0.110505162</v>
      </c>
      <c r="I443" s="2" t="n">
        <f aca="false">IF(I$7=I$5,I$6,IF(NORMSDIST(I$9*SQRT($C$11)*NORMSINV($B443)+SQRT(1-I$9^2*$C$11)*NORMSINV(H443))&lt;I$8,I$5+SQRT(NORMSDIST(I$9*SQRT($C$11)*NORMSINV($B443)+SQRT(1-I$9^2*$C$11)*NORMSINV(H443))*(I$7-I$5)*(I$6-I$5)),I$7-SQRT((1-NORMSDIST(I$9*SQRT($C$11)*NORMSINV($B443)+SQRT(1-I$9^2*$C$11)*NORMSINV(H443)))*(I$7-I$5)*(I$7-I$6))))</f>
        <v>202.197982676518</v>
      </c>
      <c r="J443" s="2" t="n">
        <v>0.866833222</v>
      </c>
      <c r="K443" s="2" t="n">
        <f aca="false">IF(K$7=K$5,K$6,IF(NORMSDIST(K$9*SQRT($C$11)*NORMSINV($B443)+SQRT(1-K$9^2*$C$11)*NORMSINV(J443))&lt;K$8,K$5+SQRT(NORMSDIST(K$9*SQRT($C$11)*NORMSINV($B443)+SQRT(1-K$9^2*$C$11)*NORMSINV(J443))*(K$7-K$5)*(K$6-K$5)),K$7-SQRT((1-NORMSDIST(K$9*SQRT($C$11)*NORMSINV($B443)+SQRT(1-K$9^2*$C$11)*NORMSINV(J443)))*(K$7-K$5)*(K$7-K$6))))</f>
        <v>0.451116267981121</v>
      </c>
      <c r="L443" s="2" t="n">
        <v>0.98963182</v>
      </c>
      <c r="M443" s="2" t="n">
        <f aca="false">IF(M$7=M$5,M$6,IF(NORMSDIST(M$9*SQRT($C$11)*NORMSINV($B443)+SQRT(1-M$9^2*$C$11)*NORMSINV(L443))&lt;M$8,M$5+SQRT(NORMSDIST(M$9*SQRT($C$11)*NORMSINV($B443)+SQRT(1-M$9^2*$C$11)*NORMSINV(L443))*(M$7-M$5)*(M$6-M$5)),M$7-SQRT((1-NORMSDIST(M$9*SQRT($C$11)*NORMSINV($B443)+SQRT(1-M$9^2*$C$11)*NORMSINV(L443)))*(M$7-M$5)*(M$7-M$6))))</f>
        <v>1781.58084516543</v>
      </c>
      <c r="N443" s="2" t="n">
        <v>0.475113438</v>
      </c>
      <c r="O443" s="2" t="n">
        <f aca="false">IF(O$7=O$5,O$6,IF(NORMSDIST(O$9*SQRT($C$11)*NORMSINV($B443)+SQRT(1-O$9^2*$C$11)*NORMSINV(N443))&lt;O$8,O$5+SQRT(NORMSDIST(O$9*SQRT($C$11)*NORMSINV($B443)+SQRT(1-O$9^2*$C$11)*NORMSINV(N443))*(O$7-O$5)*(O$6-O$5)),O$7-SQRT((1-NORMSDIST(O$9*SQRT($C$11)*NORMSINV($B443)+SQRT(1-O$9^2*$C$11)*NORMSINV(N443)))*(O$7-O$5)*(O$7-O$6))))</f>
        <v>0.178580858661725</v>
      </c>
      <c r="P443" s="2" t="n">
        <v>0.853417138</v>
      </c>
      <c r="Q443" s="2" t="n">
        <f aca="false">IF(Q$7=Q$5,Q$6,IF(NORMSDIST(Q$9*SQRT($C$11)*NORMSINV($B443)+SQRT(1-Q$9^2*$C$11)*NORMSINV(P443))&lt;Q$8,Q$5+SQRT(NORMSDIST(Q$9*SQRT($C$11)*NORMSINV($B443)+SQRT(1-Q$9^2*$C$11)*NORMSINV(P443))*(Q$7-Q$5)*(Q$6-Q$5)),Q$7-SQRT((1-NORMSDIST(Q$9*SQRT($C$11)*NORMSINV($B443)+SQRT(1-Q$9^2*$C$11)*NORMSINV(P443)))*(Q$7-Q$5)*(Q$7-Q$6))))</f>
        <v>0.0983420878568593</v>
      </c>
      <c r="R443" s="2" t="n">
        <v>0.835554496</v>
      </c>
      <c r="S443" s="2" t="n">
        <f aca="false">IF(S$7=S$5,S$6,IF(NORMSDIST(S$9*SQRT($C$11)*NORMSINV($B443)+SQRT(1-S$9^2*$C$11)*NORMSINV(R443))&lt;S$8,S$5+SQRT(NORMSDIST(S$9*SQRT($C$11)*NORMSINV($B443)+SQRT(1-S$9^2*$C$11)*NORMSINV(R443))*(S$7-S$5)*(S$6-S$5)),S$7-SQRT((1-NORMSDIST(S$9*SQRT($C$11)*NORMSINV($B443)+SQRT(1-S$9^2*$C$11)*NORMSINV(R443)))*(S$7-S$5)*(S$7-S$6))))</f>
        <v>0.889193623566805</v>
      </c>
      <c r="T443" s="2" t="n">
        <v>0.322002677</v>
      </c>
      <c r="U443" s="2" t="n">
        <f aca="false">IF(U$7=U$5,U$6,IF(NORMSDIST(U$9*SQRT($C$11)*NORMSINV($B443)+SQRT(1-U$9^2*$C$11)*NORMSINV(T443))&lt;U$8,U$5+SQRT(NORMSDIST(U$9*SQRT($C$11)*NORMSINV($B443)+SQRT(1-U$9^2*$C$11)*NORMSINV(T443))*(U$7-U$5)*(U$6-U$5)),U$7-SQRT((1-NORMSDIST(U$9*SQRT($C$11)*NORMSINV($B443)+SQRT(1-U$9^2*$C$11)*NORMSINV(T443)))*(U$7-U$5)*(U$7-U$6))))</f>
        <v>0.686375457211563</v>
      </c>
      <c r="V443" s="2" t="n">
        <v>0.093258764</v>
      </c>
      <c r="W443" s="2" t="n">
        <f aca="false">IF(W$7=W$5,W$6,IF(NORMSDIST(W$9*SQRT($C$11)*NORMSINV($B443)+SQRT(1-W$9^2*$C$11)*NORMSINV(V443))&lt;W$8,W$5+SQRT(NORMSDIST(W$9*SQRT($C$11)*NORMSINV($B443)+SQRT(1-W$9^2*$C$11)*NORMSINV(V443))*(W$7-W$5)*(W$6-W$5)),W$7-SQRT((1-NORMSDIST(W$9*SQRT($C$11)*NORMSINV($B443)+SQRT(1-W$9^2*$C$11)*NORMSINV(V443)))*(W$7-W$5)*(W$7-W$6))))</f>
        <v>10.1552544077502</v>
      </c>
      <c r="X443" s="2" t="n">
        <v>0.665925256</v>
      </c>
      <c r="Y443" s="2" t="n">
        <f aca="false">IF(Y$7=Y$5,Y$6,IF(NORMSDIST(Y$9*SQRT($C$11)*NORMSINV($B443)+SQRT(1-Y$9^2*$C$11)*NORMSINV(X443))&lt;Y$8,Y$5+SQRT(NORMSDIST(Y$9*SQRT($C$11)*NORMSINV($B443)+SQRT(1-Y$9^2*$C$11)*NORMSINV(X443))*(Y$7-Y$5)*(Y$6-Y$5)),Y$7-SQRT((1-NORMSDIST(Y$9*SQRT($C$11)*NORMSINV($B443)+SQRT(1-Y$9^2*$C$11)*NORMSINV(X443)))*(Y$7-Y$5)*(Y$7-Y$6))))</f>
        <v>0.591297942261114</v>
      </c>
      <c r="Z443" s="2" t="n">
        <v>0.008802313</v>
      </c>
      <c r="AA443" s="2" t="n">
        <f aca="false">IF(AA$7=AA$5,AA$6,IF(NORMSDIST(AA$9*SQRT($C$11)*NORMSINV($B443)+SQRT(1-AA$9^2*$C$11)*NORMSINV(Z443))&lt;AA$8,AA$5+SQRT(NORMSDIST(AA$9*SQRT($C$11)*NORMSINV($B443)+SQRT(1-AA$9^2*$C$11)*NORMSINV(Z443))*(AA$7-AA$5)*(AA$6-AA$5)),AA$7-SQRT((1-NORMSDIST(AA$9*SQRT($C$11)*NORMSINV($B443)+SQRT(1-AA$9^2*$C$11)*NORMSINV(Z443)))*(AA$7-AA$5)*(AA$7-AA$6))))</f>
        <v>0.719157163710476</v>
      </c>
      <c r="AB443" s="2" t="n">
        <v>0.94842707</v>
      </c>
      <c r="AC443" s="2" t="n">
        <f aca="false">IF(AC$7=AC$5,AC$6,IF(NORMSDIST(AC$9*SQRT($C$11)*NORMSINV($B443)+SQRT(1-AC$9^2*$C$11)*NORMSINV(AB443))&lt;AC$8,AC$5+SQRT(NORMSDIST(AC$9*SQRT($C$11)*NORMSINV($B443)+SQRT(1-AC$9^2*$C$11)*NORMSINV(AB443))*(AC$7-AC$5)*(AC$6-AC$5)),AC$7-SQRT((1-NORMSDIST(AC$9*SQRT($C$11)*NORMSINV($B443)+SQRT(1-AC$9^2*$C$11)*NORMSINV(AB443)))*(AC$7-AC$5)*(AC$7-AC$6))))</f>
        <v>10.8300635879249</v>
      </c>
      <c r="AD443" s="2" t="n">
        <f aca="false">Entrées!$C$8*(1+E443)</f>
        <v>7431.59237728737</v>
      </c>
      <c r="AE443" s="2" t="n">
        <f aca="false">I443*Hypothèses!$J$24/12/Hypothèses!$J$19</f>
        <v>100.309772046001</v>
      </c>
      <c r="AF443" s="2" t="n">
        <f aca="false">Entrées!$C$36*S443*1000</f>
        <v>444.596811783403</v>
      </c>
      <c r="AG443" s="2" t="n">
        <f aca="false">-AF443/W443</f>
        <v>-43.7799777270079</v>
      </c>
      <c r="AH443" s="2" t="n">
        <f aca="false">AD443+AE443+AG443</f>
        <v>7488.12217160637</v>
      </c>
      <c r="AI443" s="2" t="n">
        <f aca="false">Entrées!$C$16-M443+Hypothèses!$J$22*1000-AF443+Hypothèses!$J$23</f>
        <v>22321.8223430512</v>
      </c>
      <c r="AJ443" s="2" t="n">
        <f aca="false">AI443/AH443</f>
        <v>2.98096396285995</v>
      </c>
      <c r="AK443" s="2" t="n">
        <f aca="false">AI443/(AH443+I443*(12-Hypothèses!$J$24)/12/Hypothèses!$J$19)</f>
        <v>2.95271104963486</v>
      </c>
      <c r="AL443" s="2" t="n">
        <f aca="false">(AD443+AG443+I443/Hypothèses!$J$19)*(1+G443)</f>
        <v>8031.42444018224</v>
      </c>
      <c r="AM443" s="2" t="n">
        <f aca="false">Entrées!$C$54*K443/Hypothèses!$J$19</f>
        <v>46.0383092622821</v>
      </c>
      <c r="AN443" s="2" t="n">
        <f aca="false">Y443*1000/AC443</f>
        <v>54.5978273775223</v>
      </c>
      <c r="AO443" s="2" t="n">
        <f aca="false">(Entrées!$C$36*(1-S443)+MAX(0,Entrées!$C$30-Entrées!$C$35-Entrées!$C$36)*U443)*1000</f>
        <v>1016.32882831278</v>
      </c>
      <c r="AP443" s="2" t="n">
        <f aca="false">-AO443/W443</f>
        <v>-100.07911052796</v>
      </c>
      <c r="AQ443" s="2" t="n">
        <f aca="false">AL443+AM443+AN443+AP443</f>
        <v>8031.98146629409</v>
      </c>
      <c r="AR443" s="2" t="n">
        <f aca="false">O443*AQ443-Hypothèses!$J$25/Hypothèses!$J$19</f>
        <v>1415.22298474423</v>
      </c>
      <c r="AS443" s="2" t="n">
        <f aca="false">Entrées!$C$79*(1+Q443)+Hypothèses!$J$20</f>
        <v>1502.07795455469</v>
      </c>
      <c r="AT443" s="2" t="n">
        <f aca="false">AI443-AR443+AS443+Y443*1000-AO443+Hypothèses!$J$23</f>
        <v>21983.64642681</v>
      </c>
      <c r="AU443" s="2" t="n">
        <f aca="false">AT443/AQ443</f>
        <v>2.73701408787651</v>
      </c>
      <c r="AV443" s="2" t="n">
        <f aca="false">Hypothèses!$J$26*AQ443-AT443</f>
        <v>2112.2979720723</v>
      </c>
      <c r="AW443" s="2" t="n">
        <f aca="false">IF(AC443&gt;Hypothèses!$J$26,MAX(0,AV443)/(1-Hypothèses!$J$26/AC443),0)</f>
        <v>2921.60096751532</v>
      </c>
      <c r="AX443" s="2" t="n">
        <f aca="false">AQ443-Entrées!$C$17*1000</f>
        <v>31.9814662940853</v>
      </c>
      <c r="AY443" s="2" t="n">
        <f aca="false">AI443+(Entrées!$C$244-Entrées!$C$13)</f>
        <v>28068.8223430512</v>
      </c>
      <c r="AZ443" s="2" t="n">
        <f aca="false">AA443*AH443</f>
        <v>5385.13670244996</v>
      </c>
      <c r="BA443" s="2" t="n">
        <f aca="false">AZ443/AY443</f>
        <v>0.191854743196347</v>
      </c>
      <c r="BB443" s="2" t="n">
        <f aca="false">AZ443/(Entrées!$C$151/100)-AY443</f>
        <v>1848.60378167085</v>
      </c>
      <c r="BC443" s="2" t="n">
        <f aca="false">AT443+(Entrées!$C$244-Entrées!$C$13)</f>
        <v>27730.64642681</v>
      </c>
      <c r="BD443" s="2" t="n">
        <f aca="false">AA443*AQ443</f>
        <v>5776.25701027516</v>
      </c>
      <c r="BE443" s="2" t="n">
        <f aca="false">BD443/BC443</f>
        <v>0.20829867870266</v>
      </c>
      <c r="BF443" s="2" t="n">
        <f aca="false">BD443/(Entrées!$C$151/100)-BC443</f>
        <v>4359.67029694095</v>
      </c>
      <c r="BG443" s="2" t="n">
        <f aca="false">MIN(AV443,BF443)</f>
        <v>2112.2979720723</v>
      </c>
      <c r="BH443" s="2" t="n">
        <f aca="false">IF(AC443&gt;Hypothèses!$J$26,MAX(0,BG443)/(1-Hypothèses!$J$26/AC443),0)</f>
        <v>2921.60096751532</v>
      </c>
    </row>
    <row r="444" customFormat="false" ht="15" hidden="false" customHeight="false" outlineLevel="0" collapsed="false">
      <c r="A444" s="2" t="n">
        <v>429</v>
      </c>
      <c r="B444" s="2" t="n">
        <v>0.36186837</v>
      </c>
      <c r="C444" s="2"/>
      <c r="D444" s="2" t="n">
        <v>0.755825616</v>
      </c>
      <c r="E444" s="2" t="n">
        <f aca="false">IF(E$7=E$5,E$6,IF(NORMSDIST(E$9*SQRT($C$11)*NORMSINV($B444)+SQRT(1-E$9^2*$C$11)*NORMSINV(D444))&lt;E$8,E$5+SQRT(NORMSDIST(E$9*SQRT($C$11)*NORMSINV($B444)+SQRT(1-E$9^2*$C$11)*NORMSINV(D444))*(E$7-E$5)*(E$6-E$5)),E$7-SQRT((1-NORMSDIST(E$9*SQRT($C$11)*NORMSINV($B444)+SQRT(1-E$9^2*$C$11)*NORMSINV(D444)))*(E$7-E$5)*(E$7-E$6))))</f>
        <v>0.0556579566663101</v>
      </c>
      <c r="F444" s="2" t="n">
        <v>0.887041658</v>
      </c>
      <c r="G444" s="2" t="n">
        <f aca="false">IF(G$7=G$5,G$6,IF(NORMSDIST(G$9*SQRT($C$11)*NORMSINV($B444)+SQRT(1-G$9^2*$C$11)*NORMSINV(F444))&lt;G$8,G$5+SQRT(NORMSDIST(G$9*SQRT($C$11)*NORMSINV($B444)+SQRT(1-G$9^2*$C$11)*NORMSINV(F444))*(G$7-G$5)*(G$6-G$5)),G$7-SQRT((1-NORMSDIST(G$9*SQRT($C$11)*NORMSINV($B444)+SQRT(1-G$9^2*$C$11)*NORMSINV(F444)))*(G$7-G$5)*(G$7-G$6))))</f>
        <v>0.0596624517688924</v>
      </c>
      <c r="H444" s="2" t="n">
        <v>0.056256757</v>
      </c>
      <c r="I444" s="2" t="n">
        <f aca="false">IF(I$7=I$5,I$6,IF(NORMSDIST(I$9*SQRT($C$11)*NORMSINV($B444)+SQRT(1-I$9^2*$C$11)*NORMSINV(H444))&lt;I$8,I$5+SQRT(NORMSDIST(I$9*SQRT($C$11)*NORMSINV($B444)+SQRT(1-I$9^2*$C$11)*NORMSINV(H444))*(I$7-I$5)*(I$6-I$5)),I$7-SQRT((1-NORMSDIST(I$9*SQRT($C$11)*NORMSINV($B444)+SQRT(1-I$9^2*$C$11)*NORMSINV(H444)))*(I$7-I$5)*(I$7-I$6))))</f>
        <v>187.64903761011</v>
      </c>
      <c r="J444" s="2" t="n">
        <v>0.45888972</v>
      </c>
      <c r="K444" s="2" t="n">
        <f aca="false">IF(K$7=K$5,K$6,IF(NORMSDIST(K$9*SQRT($C$11)*NORMSINV($B444)+SQRT(1-K$9^2*$C$11)*NORMSINV(J444))&lt;K$8,K$5+SQRT(NORMSDIST(K$9*SQRT($C$11)*NORMSINV($B444)+SQRT(1-K$9^2*$C$11)*NORMSINV(J444))*(K$7-K$5)*(K$6-K$5)),K$7-SQRT((1-NORMSDIST(K$9*SQRT($C$11)*NORMSINV($B444)+SQRT(1-K$9^2*$C$11)*NORMSINV(J444)))*(K$7-K$5)*(K$7-K$6))))</f>
        <v>0.218159427282591</v>
      </c>
      <c r="L444" s="2" t="n">
        <v>0.351622085</v>
      </c>
      <c r="M444" s="2" t="n">
        <f aca="false">IF(M$7=M$5,M$6,IF(NORMSDIST(M$9*SQRT($C$11)*NORMSINV($B444)+SQRT(1-M$9^2*$C$11)*NORMSINV(L444))&lt;M$8,M$5+SQRT(NORMSDIST(M$9*SQRT($C$11)*NORMSINV($B444)+SQRT(1-M$9^2*$C$11)*NORMSINV(L444))*(M$7-M$5)*(M$6-M$5)),M$7-SQRT((1-NORMSDIST(M$9*SQRT($C$11)*NORMSINV($B444)+SQRT(1-M$9^2*$C$11)*NORMSINV(L444)))*(M$7-M$5)*(M$7-M$6))))</f>
        <v>1522.48372329735</v>
      </c>
      <c r="N444" s="2" t="n">
        <v>0.220797114</v>
      </c>
      <c r="O444" s="2" t="n">
        <f aca="false">IF(O$7=O$5,O$6,IF(NORMSDIST(O$9*SQRT($C$11)*NORMSINV($B444)+SQRT(1-O$9^2*$C$11)*NORMSINV(N444))&lt;O$8,O$5+SQRT(NORMSDIST(O$9*SQRT($C$11)*NORMSINV($B444)+SQRT(1-O$9^2*$C$11)*NORMSINV(N444))*(O$7-O$5)*(O$6-O$5)),O$7-SQRT((1-NORMSDIST(O$9*SQRT($C$11)*NORMSINV($B444)+SQRT(1-O$9^2*$C$11)*NORMSINV(N444)))*(O$7-O$5)*(O$7-O$6))))</f>
        <v>0.157201385197562</v>
      </c>
      <c r="P444" s="2" t="n">
        <v>0.062415277</v>
      </c>
      <c r="Q444" s="2" t="n">
        <f aca="false">IF(Q$7=Q$5,Q$6,IF(NORMSDIST(Q$9*SQRT($C$11)*NORMSINV($B444)+SQRT(1-Q$9^2*$C$11)*NORMSINV(P444))&lt;Q$8,Q$5+SQRT(NORMSDIST(Q$9*SQRT($C$11)*NORMSINV($B444)+SQRT(1-Q$9^2*$C$11)*NORMSINV(P444))*(Q$7-Q$5)*(Q$6-Q$5)),Q$7-SQRT((1-NORMSDIST(Q$9*SQRT($C$11)*NORMSINV($B444)+SQRT(1-Q$9^2*$C$11)*NORMSINV(P444)))*(Q$7-Q$5)*(Q$7-Q$6))))</f>
        <v>0.0541325470598898</v>
      </c>
      <c r="R444" s="2" t="n">
        <v>0.207593018</v>
      </c>
      <c r="S444" s="2" t="n">
        <f aca="false">IF(S$7=S$5,S$6,IF(NORMSDIST(S$9*SQRT($C$11)*NORMSINV($B444)+SQRT(1-S$9^2*$C$11)*NORMSINV(R444))&lt;S$8,S$5+SQRT(NORMSDIST(S$9*SQRT($C$11)*NORMSINV($B444)+SQRT(1-S$9^2*$C$11)*NORMSINV(R444))*(S$7-S$5)*(S$6-S$5)),S$7-SQRT((1-NORMSDIST(S$9*SQRT($C$11)*NORMSINV($B444)+SQRT(1-S$9^2*$C$11)*NORMSINV(R444)))*(S$7-S$5)*(S$7-S$6))))</f>
        <v>0.313336681411185</v>
      </c>
      <c r="T444" s="2" t="n">
        <v>0.616319277</v>
      </c>
      <c r="U444" s="2" t="n">
        <f aca="false">IF(U$7=U$5,U$6,IF(NORMSDIST(U$9*SQRT($C$11)*NORMSINV($B444)+SQRT(1-U$9^2*$C$11)*NORMSINV(T444))&lt;U$8,U$5+SQRT(NORMSDIST(U$9*SQRT($C$11)*NORMSINV($B444)+SQRT(1-U$9^2*$C$11)*NORMSINV(T444))*(U$7-U$5)*(U$6-U$5)),U$7-SQRT((1-NORMSDIST(U$9*SQRT($C$11)*NORMSINV($B444)+SQRT(1-U$9^2*$C$11)*NORMSINV(T444)))*(U$7-U$5)*(U$7-U$6))))</f>
        <v>0.501117052812933</v>
      </c>
      <c r="V444" s="2" t="n">
        <v>0.33138234</v>
      </c>
      <c r="W444" s="2" t="n">
        <f aca="false">IF(W$7=W$5,W$6,IF(NORMSDIST(W$9*SQRT($C$11)*NORMSINV($B444)+SQRT(1-W$9^2*$C$11)*NORMSINV(V444))&lt;W$8,W$5+SQRT(NORMSDIST(W$9*SQRT($C$11)*NORMSINV($B444)+SQRT(1-W$9^2*$C$11)*NORMSINV(V444))*(W$7-W$5)*(W$6-W$5)),W$7-SQRT((1-NORMSDIST(W$9*SQRT($C$11)*NORMSINV($B444)+SQRT(1-W$9^2*$C$11)*NORMSINV(V444)))*(W$7-W$5)*(W$7-W$6))))</f>
        <v>9.5159892171521</v>
      </c>
      <c r="X444" s="2" t="n">
        <v>0.730062765</v>
      </c>
      <c r="Y444" s="2" t="n">
        <f aca="false">IF(Y$7=Y$5,Y$6,IF(NORMSDIST(Y$9*SQRT($C$11)*NORMSINV($B444)+SQRT(1-Y$9^2*$C$11)*NORMSINV(X444))&lt;Y$8,Y$5+SQRT(NORMSDIST(Y$9*SQRT($C$11)*NORMSINV($B444)+SQRT(1-Y$9^2*$C$11)*NORMSINV(X444))*(Y$7-Y$5)*(Y$6-Y$5)),Y$7-SQRT((1-NORMSDIST(Y$9*SQRT($C$11)*NORMSINV($B444)+SQRT(1-Y$9^2*$C$11)*NORMSINV(X444)))*(Y$7-Y$5)*(Y$7-Y$6))))</f>
        <v>0.632619247237964</v>
      </c>
      <c r="Z444" s="2" t="n">
        <v>0.561179341</v>
      </c>
      <c r="AA444" s="2" t="n">
        <f aca="false">IF(AA$7=AA$5,AA$6,IF(NORMSDIST(AA$9*SQRT($C$11)*NORMSINV($B444)+SQRT(1-AA$9^2*$C$11)*NORMSINV(Z444))&lt;AA$8,AA$5+SQRT(NORMSDIST(AA$9*SQRT($C$11)*NORMSINV($B444)+SQRT(1-AA$9^2*$C$11)*NORMSINV(Z444))*(AA$7-AA$5)*(AA$6-AA$5)),AA$7-SQRT((1-NORMSDIST(AA$9*SQRT($C$11)*NORMSINV($B444)+SQRT(1-AA$9^2*$C$11)*NORMSINV(Z444)))*(AA$7-AA$5)*(AA$7-AA$6))))</f>
        <v>0.726662440463578</v>
      </c>
      <c r="AB444" s="2" t="n">
        <v>0.471128493</v>
      </c>
      <c r="AC444" s="2" t="n">
        <f aca="false">IF(AC$7=AC$5,AC$6,IF(NORMSDIST(AC$9*SQRT($C$11)*NORMSINV($B444)+SQRT(1-AC$9^2*$C$11)*NORMSINV(AB444))&lt;AC$8,AC$5+SQRT(NORMSDIST(AC$9*SQRT($C$11)*NORMSINV($B444)+SQRT(1-AC$9^2*$C$11)*NORMSINV(AB444))*(AC$7-AC$5)*(AC$6-AC$5)),AC$7-SQRT((1-NORMSDIST(AC$9*SQRT($C$11)*NORMSINV($B444)+SQRT(1-AC$9^2*$C$11)*NORMSINV(AB444)))*(AC$7-AC$5)*(AC$7-AC$6))))</f>
        <v>9.23533894147576</v>
      </c>
      <c r="AD444" s="2" t="n">
        <f aca="false">Entrées!$C$8*(1+E444)</f>
        <v>7442.38859449749</v>
      </c>
      <c r="AE444" s="2" t="n">
        <f aca="false">I444*Hypothèses!$J$24/12/Hypothèses!$J$19</f>
        <v>93.092086964266</v>
      </c>
      <c r="AF444" s="2" t="n">
        <f aca="false">Entrées!$C$36*S444*1000</f>
        <v>156.668340705592</v>
      </c>
      <c r="AG444" s="2" t="n">
        <f aca="false">-AF444/W444</f>
        <v>-16.4636946438743</v>
      </c>
      <c r="AH444" s="2" t="n">
        <f aca="false">AD444+AE444+AG444</f>
        <v>7519.01698681788</v>
      </c>
      <c r="AI444" s="2" t="n">
        <f aca="false">Entrées!$C$16-M444+Hypothèses!$J$22*1000-AF444+Hypothèses!$J$23</f>
        <v>22868.8479359971</v>
      </c>
      <c r="AJ444" s="2" t="n">
        <f aca="false">AI444/AH444</f>
        <v>3.04146778443114</v>
      </c>
      <c r="AK444" s="2" t="n">
        <f aca="false">AI444/(AH444+I444*(12-Hypothèses!$J$24)/12/Hypothèses!$J$19)</f>
        <v>3.01480637587812</v>
      </c>
      <c r="AL444" s="2" t="n">
        <f aca="false">(AD444+AG444+I444/Hypothèses!$J$19)*(1+G444)</f>
        <v>8038.08153879541</v>
      </c>
      <c r="AM444" s="2" t="n">
        <f aca="false">Entrées!$C$54*K444/Hypothèses!$J$19</f>
        <v>22.2640855464308</v>
      </c>
      <c r="AN444" s="2" t="n">
        <f aca="false">Y444*1000/AC444</f>
        <v>68.4998408013897</v>
      </c>
      <c r="AO444" s="2" t="n">
        <f aca="false">(Entrées!$C$36*(1-S444)+MAX(0,Entrées!$C$30-Entrées!$C$35-Entrées!$C$36)*U444)*1000</f>
        <v>1044.89553323251</v>
      </c>
      <c r="AP444" s="2" t="n">
        <f aca="false">-AO444/W444</f>
        <v>-109.804194749311</v>
      </c>
      <c r="AQ444" s="2" t="n">
        <f aca="false">AL444+AM444+AN444+AP444</f>
        <v>8019.04127039392</v>
      </c>
      <c r="AR444" s="2" t="n">
        <f aca="false">O444*AQ444-Hypothèses!$J$25/Hypothèses!$J$19</f>
        <v>1241.46923340072</v>
      </c>
      <c r="AS444" s="2" t="n">
        <f aca="false">Entrées!$C$79*(1+Q444)+Hypothèses!$J$20</f>
        <v>1453.49166921882</v>
      </c>
      <c r="AT444" s="2" t="n">
        <f aca="false">AI444-AR444+AS444+Y444*1000-AO444+Hypothèses!$J$23</f>
        <v>22668.5940858206</v>
      </c>
      <c r="AU444" s="2" t="n">
        <f aca="false">AT444/AQ444</f>
        <v>2.82684591854047</v>
      </c>
      <c r="AV444" s="2" t="n">
        <f aca="false">Hypothèses!$J$26*AQ444-AT444</f>
        <v>1388.52972536114</v>
      </c>
      <c r="AW444" s="2" t="n">
        <f aca="false">IF(AC444&gt;Hypothèses!$J$26,MAX(0,AV444)/(1-Hypothèses!$J$26/AC444),0)</f>
        <v>2056.59111146721</v>
      </c>
      <c r="AX444" s="2" t="n">
        <f aca="false">AQ444-Entrées!$C$17*1000</f>
        <v>19.0412703939192</v>
      </c>
      <c r="AY444" s="2" t="n">
        <f aca="false">AI444+(Entrées!$C$244-Entrées!$C$13)</f>
        <v>28615.8479359971</v>
      </c>
      <c r="AZ444" s="2" t="n">
        <f aca="false">AA444*AH444</f>
        <v>5463.78723352818</v>
      </c>
      <c r="BA444" s="2" t="n">
        <f aca="false">AZ444/AY444</f>
        <v>0.190935709672089</v>
      </c>
      <c r="BB444" s="2" t="n">
        <f aca="false">AZ444/(Entrées!$C$151/100)-AY444</f>
        <v>1738.52558360395</v>
      </c>
      <c r="BC444" s="2" t="n">
        <f aca="false">AT444+(Entrées!$C$244-Entrées!$C$13)</f>
        <v>28415.5940858206</v>
      </c>
      <c r="BD444" s="2" t="n">
        <f aca="false">AA444*AQ444</f>
        <v>5827.1360997226</v>
      </c>
      <c r="BE444" s="2" t="n">
        <f aca="false">BD444/BC444</f>
        <v>0.205068248164142</v>
      </c>
      <c r="BF444" s="2" t="n">
        <f aca="false">BD444/(Entrées!$C$151/100)-BC444</f>
        <v>3957.3842459716</v>
      </c>
      <c r="BG444" s="2" t="n">
        <f aca="false">MIN(AV444,BF444)</f>
        <v>1388.52972536114</v>
      </c>
      <c r="BH444" s="2" t="n">
        <f aca="false">IF(AC444&gt;Hypothèses!$J$26,MAX(0,BG444)/(1-Hypothèses!$J$26/AC444),0)</f>
        <v>2056.59111146721</v>
      </c>
    </row>
    <row r="445" customFormat="false" ht="15" hidden="false" customHeight="false" outlineLevel="0" collapsed="false">
      <c r="A445" s="2" t="n">
        <v>430</v>
      </c>
      <c r="B445" s="2" t="n">
        <v>0.510356198</v>
      </c>
      <c r="C445" s="2"/>
      <c r="D445" s="2" t="n">
        <v>0.648094556</v>
      </c>
      <c r="E445" s="2" t="n">
        <f aca="false">IF(E$7=E$5,E$6,IF(NORMSDIST(E$9*SQRT($C$11)*NORMSINV($B445)+SQRT(1-E$9^2*$C$11)*NORMSINV(D445))&lt;E$8,E$5+SQRT(NORMSDIST(E$9*SQRT($C$11)*NORMSINV($B445)+SQRT(1-E$9^2*$C$11)*NORMSINV(D445))*(E$7-E$5)*(E$6-E$5)),E$7-SQRT((1-NORMSDIST(E$9*SQRT($C$11)*NORMSINV($B445)+SQRT(1-E$9^2*$C$11)*NORMSINV(D445)))*(E$7-E$5)*(E$7-E$6))))</f>
        <v>0.0556529568936321</v>
      </c>
      <c r="F445" s="2" t="n">
        <v>0.589090975</v>
      </c>
      <c r="G445" s="2" t="n">
        <f aca="false">IF(G$7=G$5,G$6,IF(NORMSDIST(G$9*SQRT($C$11)*NORMSINV($B445)+SQRT(1-G$9^2*$C$11)*NORMSINV(F445))&lt;G$8,G$5+SQRT(NORMSDIST(G$9*SQRT($C$11)*NORMSINV($B445)+SQRT(1-G$9^2*$C$11)*NORMSINV(F445))*(G$7-G$5)*(G$6-G$5)),G$7-SQRT((1-NORMSDIST(G$9*SQRT($C$11)*NORMSINV($B445)+SQRT(1-G$9^2*$C$11)*NORMSINV(F445)))*(G$7-G$5)*(G$7-G$6))))</f>
        <v>0.0561818191661858</v>
      </c>
      <c r="H445" s="2" t="n">
        <v>0.037817888</v>
      </c>
      <c r="I445" s="2" t="n">
        <f aca="false">IF(I$7=I$5,I$6,IF(NORMSDIST(I$9*SQRT($C$11)*NORMSINV($B445)+SQRT(1-I$9^2*$C$11)*NORMSINV(H445))&lt;I$8,I$5+SQRT(NORMSDIST(I$9*SQRT($C$11)*NORMSINV($B445)+SQRT(1-I$9^2*$C$11)*NORMSINV(H445))*(I$7-I$5)*(I$6-I$5)),I$7-SQRT((1-NORMSDIST(I$9*SQRT($C$11)*NORMSINV($B445)+SQRT(1-I$9^2*$C$11)*NORMSINV(H445)))*(I$7-I$5)*(I$7-I$6))))</f>
        <v>188.340703983376</v>
      </c>
      <c r="J445" s="2" t="n">
        <v>0.801852388</v>
      </c>
      <c r="K445" s="2" t="n">
        <f aca="false">IF(K$7=K$5,K$6,IF(NORMSDIST(K$9*SQRT($C$11)*NORMSINV($B445)+SQRT(1-K$9^2*$C$11)*NORMSINV(J445))&lt;K$8,K$5+SQRT(NORMSDIST(K$9*SQRT($C$11)*NORMSINV($B445)+SQRT(1-K$9^2*$C$11)*NORMSINV(J445))*(K$7-K$5)*(K$6-K$5)),K$7-SQRT((1-NORMSDIST(K$9*SQRT($C$11)*NORMSINV($B445)+SQRT(1-K$9^2*$C$11)*NORMSINV(J445)))*(K$7-K$5)*(K$7-K$6))))</f>
        <v>0.323109449862763</v>
      </c>
      <c r="L445" s="2" t="n">
        <v>0.267054945</v>
      </c>
      <c r="M445" s="2" t="n">
        <f aca="false">IF(M$7=M$5,M$6,IF(NORMSDIST(M$9*SQRT($C$11)*NORMSINV($B445)+SQRT(1-M$9^2*$C$11)*NORMSINV(L445))&lt;M$8,M$5+SQRT(NORMSDIST(M$9*SQRT($C$11)*NORMSINV($B445)+SQRT(1-M$9^2*$C$11)*NORMSINV(L445))*(M$7-M$5)*(M$6-M$5)),M$7-SQRT((1-NORMSDIST(M$9*SQRT($C$11)*NORMSINV($B445)+SQRT(1-M$9^2*$C$11)*NORMSINV(L445)))*(M$7-M$5)*(M$7-M$6))))</f>
        <v>1529.23833658326</v>
      </c>
      <c r="N445" s="2" t="n">
        <v>0.776621696</v>
      </c>
      <c r="O445" s="2" t="n">
        <f aca="false">IF(O$7=O$5,O$6,IF(NORMSDIST(O$9*SQRT($C$11)*NORMSINV($B445)+SQRT(1-O$9^2*$C$11)*NORMSINV(N445))&lt;O$8,O$5+SQRT(NORMSDIST(O$9*SQRT($C$11)*NORMSINV($B445)+SQRT(1-O$9^2*$C$11)*NORMSINV(N445))*(O$7-O$5)*(O$6-O$5)),O$7-SQRT((1-NORMSDIST(O$9*SQRT($C$11)*NORMSINV($B445)+SQRT(1-O$9^2*$C$11)*NORMSINV(N445)))*(O$7-O$5)*(O$7-O$6))))</f>
        <v>0.172968003771139</v>
      </c>
      <c r="P445" s="2" t="n">
        <v>0.251594578</v>
      </c>
      <c r="Q445" s="2" t="n">
        <f aca="false">IF(Q$7=Q$5,Q$6,IF(NORMSDIST(Q$9*SQRT($C$11)*NORMSINV($B445)+SQRT(1-Q$9^2*$C$11)*NORMSINV(P445))&lt;Q$8,Q$5+SQRT(NORMSDIST(Q$9*SQRT($C$11)*NORMSINV($B445)+SQRT(1-Q$9^2*$C$11)*NORMSINV(P445))*(Q$7-Q$5)*(Q$6-Q$5)),Q$7-SQRT((1-NORMSDIST(Q$9*SQRT($C$11)*NORMSINV($B445)+SQRT(1-Q$9^2*$C$11)*NORMSINV(P445)))*(Q$7-Q$5)*(Q$7-Q$6))))</f>
        <v>0.0683743308220652</v>
      </c>
      <c r="R445" s="2" t="n">
        <v>0.777728569</v>
      </c>
      <c r="S445" s="2" t="n">
        <f aca="false">IF(S$7=S$5,S$6,IF(NORMSDIST(S$9*SQRT($C$11)*NORMSINV($B445)+SQRT(1-S$9^2*$C$11)*NORMSINV(R445))&lt;S$8,S$5+SQRT(NORMSDIST(S$9*SQRT($C$11)*NORMSINV($B445)+SQRT(1-S$9^2*$C$11)*NORMSINV(R445))*(S$7-S$5)*(S$6-S$5)),S$7-SQRT((1-NORMSDIST(S$9*SQRT($C$11)*NORMSINV($B445)+SQRT(1-S$9^2*$C$11)*NORMSINV(R445)))*(S$7-S$5)*(S$7-S$6))))</f>
        <v>0.631636238173908</v>
      </c>
      <c r="T445" s="2" t="n">
        <v>0.636246172</v>
      </c>
      <c r="U445" s="2" t="n">
        <f aca="false">IF(U$7=U$5,U$6,IF(NORMSDIST(U$9*SQRT($C$11)*NORMSINV($B445)+SQRT(1-U$9^2*$C$11)*NORMSINV(T445))&lt;U$8,U$5+SQRT(NORMSDIST(U$9*SQRT($C$11)*NORMSINV($B445)+SQRT(1-U$9^2*$C$11)*NORMSINV(T445))*(U$7-U$5)*(U$6-U$5)),U$7-SQRT((1-NORMSDIST(U$9*SQRT($C$11)*NORMSINV($B445)+SQRT(1-U$9^2*$C$11)*NORMSINV(T445)))*(U$7-U$5)*(U$7-U$6))))</f>
        <v>0.559934340886427</v>
      </c>
      <c r="V445" s="2" t="n">
        <v>0.167537739</v>
      </c>
      <c r="W445" s="2" t="n">
        <f aca="false">IF(W$7=W$5,W$6,IF(NORMSDIST(W$9*SQRT($C$11)*NORMSINV($B445)+SQRT(1-W$9^2*$C$11)*NORMSINV(V445))&lt;W$8,W$5+SQRT(NORMSDIST(W$9*SQRT($C$11)*NORMSINV($B445)+SQRT(1-W$9^2*$C$11)*NORMSINV(V445))*(W$7-W$5)*(W$6-W$5)),W$7-SQRT((1-NORMSDIST(W$9*SQRT($C$11)*NORMSINV($B445)+SQRT(1-W$9^2*$C$11)*NORMSINV(V445)))*(W$7-W$5)*(W$7-W$6))))</f>
        <v>9.36417010772374</v>
      </c>
      <c r="X445" s="2" t="n">
        <v>0.870991023</v>
      </c>
      <c r="Y445" s="2" t="n">
        <f aca="false">IF(Y$7=Y$5,Y$6,IF(NORMSDIST(Y$9*SQRT($C$11)*NORMSINV($B445)+SQRT(1-Y$9^2*$C$11)*NORMSINV(X445))&lt;Y$8,Y$5+SQRT(NORMSDIST(Y$9*SQRT($C$11)*NORMSINV($B445)+SQRT(1-Y$9^2*$C$11)*NORMSINV(X445))*(Y$7-Y$5)*(Y$6-Y$5)),Y$7-SQRT((1-NORMSDIST(Y$9*SQRT($C$11)*NORMSINV($B445)+SQRT(1-Y$9^2*$C$11)*NORMSINV(X445)))*(Y$7-Y$5)*(Y$7-Y$6))))</f>
        <v>0.746022661443978</v>
      </c>
      <c r="Z445" s="2" t="n">
        <v>0.959675081</v>
      </c>
      <c r="AA445" s="2" t="n">
        <f aca="false">IF(AA$7=AA$5,AA$6,IF(NORMSDIST(AA$9*SQRT($C$11)*NORMSINV($B445)+SQRT(1-AA$9^2*$C$11)*NORMSINV(Z445))&lt;AA$8,AA$5+SQRT(NORMSDIST(AA$9*SQRT($C$11)*NORMSINV($B445)+SQRT(1-AA$9^2*$C$11)*NORMSINV(Z445))*(AA$7-AA$5)*(AA$6-AA$5)),AA$7-SQRT((1-NORMSDIST(AA$9*SQRT($C$11)*NORMSINV($B445)+SQRT(1-AA$9^2*$C$11)*NORMSINV(Z445)))*(AA$7-AA$5)*(AA$7-AA$6))))</f>
        <v>0.743393425095963</v>
      </c>
      <c r="AB445" s="2" t="n">
        <v>0.531208569</v>
      </c>
      <c r="AC445" s="2" t="n">
        <f aca="false">IF(AC$7=AC$5,AC$6,IF(NORMSDIST(AC$9*SQRT($C$11)*NORMSINV($B445)+SQRT(1-AC$9^2*$C$11)*NORMSINV(AB445))&lt;AC$8,AC$5+SQRT(NORMSDIST(AC$9*SQRT($C$11)*NORMSINV($B445)+SQRT(1-AC$9^2*$C$11)*NORMSINV(AB445))*(AC$7-AC$5)*(AC$6-AC$5)),AC$7-SQRT((1-NORMSDIST(AC$9*SQRT($C$11)*NORMSINV($B445)+SQRT(1-AC$9^2*$C$11)*NORMSINV(AB445)))*(AC$7-AC$5)*(AC$7-AC$6))))</f>
        <v>9.54135737717387</v>
      </c>
      <c r="AD445" s="2" t="n">
        <f aca="false">Entrées!$C$8*(1+E445)</f>
        <v>7442.35334610011</v>
      </c>
      <c r="AE445" s="2" t="n">
        <f aca="false">I445*Hypothèses!$J$24/12/Hypothèses!$J$19</f>
        <v>93.4352204382788</v>
      </c>
      <c r="AF445" s="2" t="n">
        <f aca="false">Entrées!$C$36*S445*1000</f>
        <v>315.818119086954</v>
      </c>
      <c r="AG445" s="2" t="n">
        <f aca="false">-AF445/W445</f>
        <v>-33.7262261848983</v>
      </c>
      <c r="AH445" s="2" t="n">
        <f aca="false">AD445+AE445+AG445</f>
        <v>7502.06234035349</v>
      </c>
      <c r="AI445" s="2" t="n">
        <f aca="false">Entrées!$C$16-M445+Hypothèses!$J$22*1000-AF445+Hypothèses!$J$23</f>
        <v>22702.9435443298</v>
      </c>
      <c r="AJ445" s="2" t="n">
        <f aca="false">AI445/AH445</f>
        <v>3.02622699123826</v>
      </c>
      <c r="AK445" s="2" t="n">
        <f aca="false">AI445/(AH445+I445*(12-Hypothèses!$J$24)/12/Hypothèses!$J$19)</f>
        <v>2.99954262162753</v>
      </c>
      <c r="AL445" s="2" t="n">
        <f aca="false">(AD445+AG445+I445/Hypothèses!$J$19)*(1+G445)</f>
        <v>7994.03083663032</v>
      </c>
      <c r="AM445" s="2" t="n">
        <f aca="false">Entrées!$C$54*K445/Hypothèses!$J$19</f>
        <v>32.9746760074062</v>
      </c>
      <c r="AN445" s="2" t="n">
        <f aca="false">Y445*1000/AC445</f>
        <v>78.1883155565177</v>
      </c>
      <c r="AO445" s="2" t="n">
        <f aca="false">(Entrées!$C$36*(1-S445)+MAX(0,Entrées!$C$30-Entrées!$C$35-Entrées!$C$36)*U445)*1000</f>
        <v>968.089958154043</v>
      </c>
      <c r="AP445" s="2" t="n">
        <f aca="false">-AO445/W445</f>
        <v>-103.382354978317</v>
      </c>
      <c r="AQ445" s="2" t="n">
        <f aca="false">AL445+AM445+AN445+AP445</f>
        <v>8001.81147321593</v>
      </c>
      <c r="AR445" s="2" t="n">
        <f aca="false">O445*AQ445-Hypothèses!$J$25/Hypothèses!$J$19</f>
        <v>1364.92219481353</v>
      </c>
      <c r="AS445" s="2" t="n">
        <f aca="false">Entrées!$C$79*(1+Q445)+Hypothèses!$J$20</f>
        <v>1469.14338957345</v>
      </c>
      <c r="AT445" s="2" t="n">
        <f aca="false">AI445-AR445+AS445+Y445*1000-AO445+Hypothèses!$J$23</f>
        <v>22585.0974423796</v>
      </c>
      <c r="AU445" s="2" t="n">
        <f aca="false">AT445/AQ445</f>
        <v>2.8224980703404</v>
      </c>
      <c r="AV445" s="2" t="n">
        <f aca="false">Hypothèses!$J$26*AQ445-AT445</f>
        <v>1420.33697726814</v>
      </c>
      <c r="AW445" s="2" t="n">
        <f aca="false">IF(AC445&gt;Hypothèses!$J$26,MAX(0,AV445)/(1-Hypothèses!$J$26/AC445),0)</f>
        <v>2071.73250362683</v>
      </c>
      <c r="AX445" s="2" t="n">
        <f aca="false">AQ445-Entrées!$C$17*1000</f>
        <v>1.81147321592562</v>
      </c>
      <c r="AY445" s="2" t="n">
        <f aca="false">AI445+(Entrées!$C$244-Entrées!$C$13)</f>
        <v>28449.9435443298</v>
      </c>
      <c r="AZ445" s="2" t="n">
        <f aca="false">AA445*AH445</f>
        <v>5576.98381847882</v>
      </c>
      <c r="BA445" s="2" t="n">
        <f aca="false">AZ445/AY445</f>
        <v>0.196027939731724</v>
      </c>
      <c r="BB445" s="2" t="n">
        <f aca="false">AZ445/(Entrées!$C$151/100)-AY445</f>
        <v>2533.29989166364</v>
      </c>
      <c r="BC445" s="2" t="n">
        <f aca="false">AT445+(Entrées!$C$244-Entrées!$C$13)</f>
        <v>28332.0974423796</v>
      </c>
      <c r="BD445" s="2" t="n">
        <f aca="false">AA445*AQ445</f>
        <v>5948.49403804616</v>
      </c>
      <c r="BE445" s="2" t="n">
        <f aca="false">BD445/BC445</f>
        <v>0.209956006615603</v>
      </c>
      <c r="BF445" s="2" t="n">
        <f aca="false">BD445/(Entrées!$C$151/100)-BC445</f>
        <v>4715.09165787682</v>
      </c>
      <c r="BG445" s="2" t="n">
        <f aca="false">MIN(AV445,BF445)</f>
        <v>1420.33697726814</v>
      </c>
      <c r="BH445" s="2" t="n">
        <f aca="false">IF(AC445&gt;Hypothèses!$J$26,MAX(0,BG445)/(1-Hypothèses!$J$26/AC445),0)</f>
        <v>2071.73250362683</v>
      </c>
    </row>
    <row r="446" customFormat="false" ht="15" hidden="false" customHeight="false" outlineLevel="0" collapsed="false">
      <c r="A446" s="2" t="n">
        <v>431</v>
      </c>
      <c r="B446" s="2" t="n">
        <v>0.144855311</v>
      </c>
      <c r="C446" s="2"/>
      <c r="D446" s="2" t="n">
        <v>0.501556107</v>
      </c>
      <c r="E446" s="2" t="n">
        <f aca="false">IF(E$7=E$5,E$6,IF(NORMSDIST(E$9*SQRT($C$11)*NORMSINV($B446)+SQRT(1-E$9^2*$C$11)*NORMSINV(D446))&lt;E$8,E$5+SQRT(NORMSDIST(E$9*SQRT($C$11)*NORMSINV($B446)+SQRT(1-E$9^2*$C$11)*NORMSINV(D446))*(E$7-E$5)*(E$6-E$5)),E$7-SQRT((1-NORMSDIST(E$9*SQRT($C$11)*NORMSINV($B446)+SQRT(1-E$9^2*$C$11)*NORMSINV(D446)))*(E$7-E$5)*(E$7-E$6))))</f>
        <v>0.0535532759225638</v>
      </c>
      <c r="F446" s="2" t="n">
        <v>0.758918426</v>
      </c>
      <c r="G446" s="2" t="n">
        <f aca="false">IF(G$7=G$5,G$6,IF(NORMSDIST(G$9*SQRT($C$11)*NORMSINV($B446)+SQRT(1-G$9^2*$C$11)*NORMSINV(F446))&lt;G$8,G$5+SQRT(NORMSDIST(G$9*SQRT($C$11)*NORMSINV($B446)+SQRT(1-G$9^2*$C$11)*NORMSINV(F446))*(G$7-G$5)*(G$6-G$5)),G$7-SQRT((1-NORMSDIST(G$9*SQRT($C$11)*NORMSINV($B446)+SQRT(1-G$9^2*$C$11)*NORMSINV(F446)))*(G$7-G$5)*(G$7-G$6))))</f>
        <v>0.0542330831452303</v>
      </c>
      <c r="H446" s="2" t="n">
        <v>0.910265949</v>
      </c>
      <c r="I446" s="2" t="n">
        <f aca="false">IF(I$7=I$5,I$6,IF(NORMSDIST(I$9*SQRT($C$11)*NORMSINV($B446)+SQRT(1-I$9^2*$C$11)*NORMSINV(H446))&lt;I$8,I$5+SQRT(NORMSDIST(I$9*SQRT($C$11)*NORMSINV($B446)+SQRT(1-I$9^2*$C$11)*NORMSINV(H446))*(I$7-I$5)*(I$6-I$5)),I$7-SQRT((1-NORMSDIST(I$9*SQRT($C$11)*NORMSINV($B446)+SQRT(1-I$9^2*$C$11)*NORMSINV(H446)))*(I$7-I$5)*(I$7-I$6))))</f>
        <v>203.133049101666</v>
      </c>
      <c r="J446" s="2" t="n">
        <v>0.680656935</v>
      </c>
      <c r="K446" s="2" t="n">
        <f aca="false">IF(K$7=K$5,K$6,IF(NORMSDIST(K$9*SQRT($C$11)*NORMSINV($B446)+SQRT(1-K$9^2*$C$11)*NORMSINV(J446))&lt;K$8,K$5+SQRT(NORMSDIST(K$9*SQRT($C$11)*NORMSINV($B446)+SQRT(1-K$9^2*$C$11)*NORMSINV(J446))*(K$7-K$5)*(K$6-K$5)),K$7-SQRT((1-NORMSDIST(K$9*SQRT($C$11)*NORMSINV($B446)+SQRT(1-K$9^2*$C$11)*NORMSINV(J446)))*(K$7-K$5)*(K$7-K$6))))</f>
        <v>0.217897532606116</v>
      </c>
      <c r="L446" s="2" t="n">
        <v>0.679735582</v>
      </c>
      <c r="M446" s="2" t="n">
        <f aca="false">IF(M$7=M$5,M$6,IF(NORMSDIST(M$9*SQRT($C$11)*NORMSINV($B446)+SQRT(1-M$9^2*$C$11)*NORMSINV(L446))&lt;M$8,M$5+SQRT(NORMSDIST(M$9*SQRT($C$11)*NORMSINV($B446)+SQRT(1-M$9^2*$C$11)*NORMSINV(L446))*(M$7-M$5)*(M$6-M$5)),M$7-SQRT((1-NORMSDIST(M$9*SQRT($C$11)*NORMSINV($B446)+SQRT(1-M$9^2*$C$11)*NORMSINV(L446)))*(M$7-M$5)*(M$7-M$6))))</f>
        <v>1548.87403135395</v>
      </c>
      <c r="N446" s="2" t="n">
        <v>0.292599271</v>
      </c>
      <c r="O446" s="2" t="n">
        <f aca="false">IF(O$7=O$5,O$6,IF(NORMSDIST(O$9*SQRT($C$11)*NORMSINV($B446)+SQRT(1-O$9^2*$C$11)*NORMSINV(N446))&lt;O$8,O$5+SQRT(NORMSDIST(O$9*SQRT($C$11)*NORMSINV($B446)+SQRT(1-O$9^2*$C$11)*NORMSINV(N446))*(O$7-O$5)*(O$6-O$5)),O$7-SQRT((1-NORMSDIST(O$9*SQRT($C$11)*NORMSINV($B446)+SQRT(1-O$9^2*$C$11)*NORMSINV(N446)))*(O$7-O$5)*(O$7-O$6))))</f>
        <v>0.154037188307252</v>
      </c>
      <c r="P446" s="2" t="n">
        <v>0.312196027</v>
      </c>
      <c r="Q446" s="2" t="n">
        <f aca="false">IF(Q$7=Q$5,Q$6,IF(NORMSDIST(Q$9*SQRT($C$11)*NORMSINV($B446)+SQRT(1-Q$9^2*$C$11)*NORMSINV(P446))&lt;Q$8,Q$5+SQRT(NORMSDIST(Q$9*SQRT($C$11)*NORMSINV($B446)+SQRT(1-Q$9^2*$C$11)*NORMSINV(P446))*(Q$7-Q$5)*(Q$6-Q$5)),Q$7-SQRT((1-NORMSDIST(Q$9*SQRT($C$11)*NORMSINV($B446)+SQRT(1-Q$9^2*$C$11)*NORMSINV(P446)))*(Q$7-Q$5)*(Q$7-Q$6))))</f>
        <v>0.0716073929073564</v>
      </c>
      <c r="R446" s="2" t="n">
        <v>0.304755883</v>
      </c>
      <c r="S446" s="2" t="n">
        <f aca="false">IF(S$7=S$5,S$6,IF(NORMSDIST(S$9*SQRT($C$11)*NORMSINV($B446)+SQRT(1-S$9^2*$C$11)*NORMSINV(R446))&lt;S$8,S$5+SQRT(NORMSDIST(S$9*SQRT($C$11)*NORMSINV($B446)+SQRT(1-S$9^2*$C$11)*NORMSINV(R446))*(S$7-S$5)*(S$6-S$5)),S$7-SQRT((1-NORMSDIST(S$9*SQRT($C$11)*NORMSINV($B446)+SQRT(1-S$9^2*$C$11)*NORMSINV(R446)))*(S$7-S$5)*(S$7-S$6))))</f>
        <v>0.26774958503565</v>
      </c>
      <c r="T446" s="2" t="n">
        <v>0.552850601</v>
      </c>
      <c r="U446" s="2" t="n">
        <f aca="false">IF(U$7=U$5,U$6,IF(NORMSDIST(U$9*SQRT($C$11)*NORMSINV($B446)+SQRT(1-U$9^2*$C$11)*NORMSINV(T446))&lt;U$8,U$5+SQRT(NORMSDIST(U$9*SQRT($C$11)*NORMSINV($B446)+SQRT(1-U$9^2*$C$11)*NORMSINV(T446))*(U$7-U$5)*(U$6-U$5)),U$7-SQRT((1-NORMSDIST(U$9*SQRT($C$11)*NORMSINV($B446)+SQRT(1-U$9^2*$C$11)*NORMSINV(T446)))*(U$7-U$5)*(U$7-U$6))))</f>
        <v>0.377795948376623</v>
      </c>
      <c r="V446" s="2" t="n">
        <v>0.904343836</v>
      </c>
      <c r="W446" s="2" t="n">
        <f aca="false">IF(W$7=W$5,W$6,IF(NORMSDIST(W$9*SQRT($C$11)*NORMSINV($B446)+SQRT(1-W$9^2*$C$11)*NORMSINV(V446))&lt;W$8,W$5+SQRT(NORMSDIST(W$9*SQRT($C$11)*NORMSINV($B446)+SQRT(1-W$9^2*$C$11)*NORMSINV(V446))*(W$7-W$5)*(W$6-W$5)),W$7-SQRT((1-NORMSDIST(W$9*SQRT($C$11)*NORMSINV($B446)+SQRT(1-W$9^2*$C$11)*NORMSINV(V446)))*(W$7-W$5)*(W$7-W$6))))</f>
        <v>10.2889373255086</v>
      </c>
      <c r="X446" s="2" t="n">
        <v>0.546754368</v>
      </c>
      <c r="Y446" s="2" t="n">
        <f aca="false">IF(Y$7=Y$5,Y$6,IF(NORMSDIST(Y$9*SQRT($C$11)*NORMSINV($B446)+SQRT(1-Y$9^2*$C$11)*NORMSINV(X446))&lt;Y$8,Y$5+SQRT(NORMSDIST(Y$9*SQRT($C$11)*NORMSINV($B446)+SQRT(1-Y$9^2*$C$11)*NORMSINV(X446))*(Y$7-Y$5)*(Y$6-Y$5)),Y$7-SQRT((1-NORMSDIST(Y$9*SQRT($C$11)*NORMSINV($B446)+SQRT(1-Y$9^2*$C$11)*NORMSINV(X446)))*(Y$7-Y$5)*(Y$7-Y$6))))</f>
        <v>0.523950826069407</v>
      </c>
      <c r="Z446" s="2" t="n">
        <v>0.630310156</v>
      </c>
      <c r="AA446" s="2" t="n">
        <f aca="false">IF(AA$7=AA$5,AA$6,IF(NORMSDIST(AA$9*SQRT($C$11)*NORMSINV($B446)+SQRT(1-AA$9^2*$C$11)*NORMSINV(Z446))&lt;AA$8,AA$5+SQRT(NORMSDIST(AA$9*SQRT($C$11)*NORMSINV($B446)+SQRT(1-AA$9^2*$C$11)*NORMSINV(Z446))*(AA$7-AA$5)*(AA$6-AA$5)),AA$7-SQRT((1-NORMSDIST(AA$9*SQRT($C$11)*NORMSINV($B446)+SQRT(1-AA$9^2*$C$11)*NORMSINV(Z446)))*(AA$7-AA$5)*(AA$7-AA$6))))</f>
        <v>0.722318624831857</v>
      </c>
      <c r="AB446" s="2" t="n">
        <v>0.808510386</v>
      </c>
      <c r="AC446" s="2" t="n">
        <f aca="false">IF(AC$7=AC$5,AC$6,IF(NORMSDIST(AC$9*SQRT($C$11)*NORMSINV($B446)+SQRT(1-AC$9^2*$C$11)*NORMSINV(AB446))&lt;AC$8,AC$5+SQRT(NORMSDIST(AC$9*SQRT($C$11)*NORMSINV($B446)+SQRT(1-AC$9^2*$C$11)*NORMSINV(AB446))*(AC$7-AC$5)*(AC$6-AC$5)),AC$7-SQRT((1-NORMSDIST(AC$9*SQRT($C$11)*NORMSINV($B446)+SQRT(1-AC$9^2*$C$11)*NORMSINV(AB446)))*(AC$7-AC$5)*(AC$7-AC$6))))</f>
        <v>9.48356016273174</v>
      </c>
      <c r="AD446" s="2" t="n">
        <f aca="false">Entrées!$C$8*(1+E446)</f>
        <v>7427.55059525408</v>
      </c>
      <c r="AE446" s="2" t="n">
        <f aca="false">I446*Hypothèses!$J$24/12/Hypothèses!$J$19</f>
        <v>100.77365550672</v>
      </c>
      <c r="AF446" s="2" t="n">
        <f aca="false">Entrées!$C$36*S446*1000</f>
        <v>133.874792517825</v>
      </c>
      <c r="AG446" s="2" t="n">
        <f aca="false">-AF446/W446</f>
        <v>-13.0115276517352</v>
      </c>
      <c r="AH446" s="2" t="n">
        <f aca="false">AD446+AE446+AG446</f>
        <v>7515.31272310906</v>
      </c>
      <c r="AI446" s="2" t="n">
        <f aca="false">Entrées!$C$16-M446+Hypothèses!$J$22*1000-AF446+Hypothèses!$J$23</f>
        <v>22865.2511761282</v>
      </c>
      <c r="AJ446" s="2" t="n">
        <f aca="false">AI446/AH446</f>
        <v>3.04248831932425</v>
      </c>
      <c r="AK446" s="2" t="n">
        <f aca="false">AI446/(AH446+I446*(12-Hypothèses!$J$24)/12/Hypothèses!$J$19)</f>
        <v>3.01362402202585</v>
      </c>
      <c r="AL446" s="2" t="n">
        <f aca="false">(AD446+AG446+I446/Hypothèses!$J$19)*(1+G446)</f>
        <v>7998.77624684432</v>
      </c>
      <c r="AM446" s="2" t="n">
        <f aca="false">Entrées!$C$54*K446/Hypothèses!$J$19</f>
        <v>22.2373580950718</v>
      </c>
      <c r="AN446" s="2" t="n">
        <f aca="false">Y446*1000/AC446</f>
        <v>55.2483262697501</v>
      </c>
      <c r="AO446" s="2" t="n">
        <f aca="false">(Entrées!$C$36*(1-S446)+MAX(0,Entrées!$C$30-Entrées!$C$35-Entrées!$C$36)*U446)*1000</f>
        <v>895.039535209447</v>
      </c>
      <c r="AP446" s="2" t="n">
        <f aca="false">-AO446/W446</f>
        <v>-86.9904740298539</v>
      </c>
      <c r="AQ446" s="2" t="n">
        <f aca="false">AL446+AM446+AN446+AP446</f>
        <v>7989.27145717928</v>
      </c>
      <c r="AR446" s="2" t="n">
        <f aca="false">O446*AQ446-Hypothèses!$J$25/Hypothèses!$J$19</f>
        <v>1211.50974962566</v>
      </c>
      <c r="AS446" s="2" t="n">
        <f aca="false">Entrées!$C$79*(1+Q446)+Hypothèses!$J$20</f>
        <v>1472.69652480518</v>
      </c>
      <c r="AT446" s="2" t="n">
        <f aca="false">AI446-AR446+AS446+Y446*1000-AO446+Hypothèses!$J$23</f>
        <v>22755.3492421677</v>
      </c>
      <c r="AU446" s="2" t="n">
        <f aca="false">AT446/AQ446</f>
        <v>2.84823833614008</v>
      </c>
      <c r="AV446" s="2" t="n">
        <f aca="false">Hypothèses!$J$26*AQ446-AT446</f>
        <v>1212.46512937013</v>
      </c>
      <c r="AW446" s="2" t="n">
        <f aca="false">IF(AC446&gt;Hypothèses!$J$26,MAX(0,AV446)/(1-Hypothèses!$J$26/AC446),0)</f>
        <v>1773.48335034979</v>
      </c>
      <c r="AX446" s="2" t="n">
        <f aca="false">AQ446-Entrées!$C$17*1000</f>
        <v>-10.7285428207178</v>
      </c>
      <c r="AY446" s="2" t="n">
        <f aca="false">AI446+(Entrées!$C$244-Entrées!$C$13)</f>
        <v>28612.2511761282</v>
      </c>
      <c r="AZ446" s="2" t="n">
        <f aca="false">AA446*AH446</f>
        <v>5428.4503513375</v>
      </c>
      <c r="BA446" s="2" t="n">
        <f aca="false">AZ446/AY446</f>
        <v>0.189724685342709</v>
      </c>
      <c r="BB446" s="2" t="n">
        <f aca="false">AZ446/(Entrées!$C$151/100)-AY446</f>
        <v>1545.8063313023</v>
      </c>
      <c r="BC446" s="2" t="n">
        <f aca="false">AT446+(Entrées!$C$244-Entrées!$C$13)</f>
        <v>28502.3492421677</v>
      </c>
      <c r="BD446" s="2" t="n">
        <f aca="false">AA446*AQ446</f>
        <v>5770.79957235815</v>
      </c>
      <c r="BE446" s="2" t="n">
        <f aca="false">BD446/BC446</f>
        <v>0.202467506215963</v>
      </c>
      <c r="BF446" s="2" t="n">
        <f aca="false">BD446/(Entrées!$C$151/100)-BC446</f>
        <v>3557.6483820442</v>
      </c>
      <c r="BG446" s="2" t="n">
        <f aca="false">MIN(AV446,BF446)</f>
        <v>1212.46512937013</v>
      </c>
      <c r="BH446" s="2" t="n">
        <f aca="false">IF(AC446&gt;Hypothèses!$J$26,MAX(0,BG446)/(1-Hypothèses!$J$26/AC446),0)</f>
        <v>1773.48335034979</v>
      </c>
    </row>
    <row r="447" customFormat="false" ht="15" hidden="false" customHeight="false" outlineLevel="0" collapsed="false">
      <c r="A447" s="2" t="n">
        <v>432</v>
      </c>
      <c r="B447" s="2" t="n">
        <v>0.288271858</v>
      </c>
      <c r="C447" s="2"/>
      <c r="D447" s="2" t="n">
        <v>0.089932653</v>
      </c>
      <c r="E447" s="2" t="n">
        <f aca="false">IF(E$7=E$5,E$6,IF(NORMSDIST(E$9*SQRT($C$11)*NORMSINV($B447)+SQRT(1-E$9^2*$C$11)*NORMSINV(D447))&lt;E$8,E$5+SQRT(NORMSDIST(E$9*SQRT($C$11)*NORMSINV($B447)+SQRT(1-E$9^2*$C$11)*NORMSINV(D447))*(E$7-E$5)*(E$6-E$5)),E$7-SQRT((1-NORMSDIST(E$9*SQRT($C$11)*NORMSINV($B447)+SQRT(1-E$9^2*$C$11)*NORMSINV(D447)))*(E$7-E$5)*(E$7-E$6))))</f>
        <v>0.0520242648127539</v>
      </c>
      <c r="F447" s="2" t="n">
        <v>0.375025674</v>
      </c>
      <c r="G447" s="2" t="n">
        <f aca="false">IF(G$7=G$5,G$6,IF(NORMSDIST(G$9*SQRT($C$11)*NORMSINV($B447)+SQRT(1-G$9^2*$C$11)*NORMSINV(F447))&lt;G$8,G$5+SQRT(NORMSDIST(G$9*SQRT($C$11)*NORMSINV($B447)+SQRT(1-G$9^2*$C$11)*NORMSINV(F447))*(G$7-G$5)*(G$6-G$5)),G$7-SQRT((1-NORMSDIST(G$9*SQRT($C$11)*NORMSINV($B447)+SQRT(1-G$9^2*$C$11)*NORMSINV(F447)))*(G$7-G$5)*(G$7-G$6))))</f>
        <v>0.0511094965815834</v>
      </c>
      <c r="H447" s="2" t="n">
        <v>0.538351629</v>
      </c>
      <c r="I447" s="2" t="n">
        <f aca="false">IF(I$7=I$5,I$6,IF(NORMSDIST(I$9*SQRT($C$11)*NORMSINV($B447)+SQRT(1-I$9^2*$C$11)*NORMSINV(H447))&lt;I$8,I$5+SQRT(NORMSDIST(I$9*SQRT($C$11)*NORMSINV($B447)+SQRT(1-I$9^2*$C$11)*NORMSINV(H447))*(I$7-I$5)*(I$6-I$5)),I$7-SQRT((1-NORMSDIST(I$9*SQRT($C$11)*NORMSINV($B447)+SQRT(1-I$9^2*$C$11)*NORMSINV(H447)))*(I$7-I$5)*(I$7-I$6))))</f>
        <v>197.669689503942</v>
      </c>
      <c r="J447" s="2" t="n">
        <v>0.853314882</v>
      </c>
      <c r="K447" s="2" t="n">
        <f aca="false">IF(K$7=K$5,K$6,IF(NORMSDIST(K$9*SQRT($C$11)*NORMSINV($B447)+SQRT(1-K$9^2*$C$11)*NORMSINV(J447))&lt;K$8,K$5+SQRT(NORMSDIST(K$9*SQRT($C$11)*NORMSINV($B447)+SQRT(1-K$9^2*$C$11)*NORMSINV(J447))*(K$7-K$5)*(K$6-K$5)),K$7-SQRT((1-NORMSDIST(K$9*SQRT($C$11)*NORMSINV($B447)+SQRT(1-K$9^2*$C$11)*NORMSINV(J447)))*(K$7-K$5)*(K$7-K$6))))</f>
        <v>0.299220808337048</v>
      </c>
      <c r="L447" s="2" t="n">
        <v>0.633925449</v>
      </c>
      <c r="M447" s="2" t="n">
        <f aca="false">IF(M$7=M$5,M$6,IF(NORMSDIST(M$9*SQRT($C$11)*NORMSINV($B447)+SQRT(1-M$9^2*$C$11)*NORMSINV(L447))&lt;M$8,M$5+SQRT(NORMSDIST(M$9*SQRT($C$11)*NORMSINV($B447)+SQRT(1-M$9^2*$C$11)*NORMSINV(L447))*(M$7-M$5)*(M$6-M$5)),M$7-SQRT((1-NORMSDIST(M$9*SQRT($C$11)*NORMSINV($B447)+SQRT(1-M$9^2*$C$11)*NORMSINV(L447)))*(M$7-M$5)*(M$7-M$6))))</f>
        <v>1575.27058796076</v>
      </c>
      <c r="N447" s="2" t="n">
        <v>0.752884109</v>
      </c>
      <c r="O447" s="2" t="n">
        <f aca="false">IF(O$7=O$5,O$6,IF(NORMSDIST(O$9*SQRT($C$11)*NORMSINV($B447)+SQRT(1-O$9^2*$C$11)*NORMSINV(N447))&lt;O$8,O$5+SQRT(NORMSDIST(O$9*SQRT($C$11)*NORMSINV($B447)+SQRT(1-O$9^2*$C$11)*NORMSINV(N447))*(O$7-O$5)*(O$6-O$5)),O$7-SQRT((1-NORMSDIST(O$9*SQRT($C$11)*NORMSINV($B447)+SQRT(1-O$9^2*$C$11)*NORMSINV(N447)))*(O$7-O$5)*(O$7-O$6))))</f>
        <v>0.168597486709362</v>
      </c>
      <c r="P447" s="2" t="n">
        <v>0.551218583</v>
      </c>
      <c r="Q447" s="2" t="n">
        <f aca="false">IF(Q$7=Q$5,Q$6,IF(NORMSDIST(Q$9*SQRT($C$11)*NORMSINV($B447)+SQRT(1-Q$9^2*$C$11)*NORMSINV(P447))&lt;Q$8,Q$5+SQRT(NORMSDIST(Q$9*SQRT($C$11)*NORMSINV($B447)+SQRT(1-Q$9^2*$C$11)*NORMSINV(P447))*(Q$7-Q$5)*(Q$6-Q$5)),Q$7-SQRT((1-NORMSDIST(Q$9*SQRT($C$11)*NORMSINV($B447)+SQRT(1-Q$9^2*$C$11)*NORMSINV(P447)))*(Q$7-Q$5)*(Q$7-Q$6))))</f>
        <v>0.0821040828795502</v>
      </c>
      <c r="R447" s="2" t="n">
        <v>0.613108692</v>
      </c>
      <c r="S447" s="2" t="n">
        <f aca="false">IF(S$7=S$5,S$6,IF(NORMSDIST(S$9*SQRT($C$11)*NORMSINV($B447)+SQRT(1-S$9^2*$C$11)*NORMSINV(R447))&lt;S$8,S$5+SQRT(NORMSDIST(S$9*SQRT($C$11)*NORMSINV($B447)+SQRT(1-S$9^2*$C$11)*NORMSINV(R447))*(S$7-S$5)*(S$6-S$5)),S$7-SQRT((1-NORMSDIST(S$9*SQRT($C$11)*NORMSINV($B447)+SQRT(1-S$9^2*$C$11)*NORMSINV(R447)))*(S$7-S$5)*(S$7-S$6))))</f>
        <v>0.473321916393517</v>
      </c>
      <c r="T447" s="2" t="n">
        <v>0.397681733</v>
      </c>
      <c r="U447" s="2" t="n">
        <f aca="false">IF(U$7=U$5,U$6,IF(NORMSDIST(U$9*SQRT($C$11)*NORMSINV($B447)+SQRT(1-U$9^2*$C$11)*NORMSINV(T447))&lt;U$8,U$5+SQRT(NORMSDIST(U$9*SQRT($C$11)*NORMSINV($B447)+SQRT(1-U$9^2*$C$11)*NORMSINV(T447))*(U$7-U$5)*(U$6-U$5)),U$7-SQRT((1-NORMSDIST(U$9*SQRT($C$11)*NORMSINV($B447)+SQRT(1-U$9^2*$C$11)*NORMSINV(T447)))*(U$7-U$5)*(U$7-U$6))))</f>
        <v>0.380631930813923</v>
      </c>
      <c r="V447" s="2" t="n">
        <v>0.642069347</v>
      </c>
      <c r="W447" s="2" t="n">
        <f aca="false">IF(W$7=W$5,W$6,IF(NORMSDIST(W$9*SQRT($C$11)*NORMSINV($B447)+SQRT(1-W$9^2*$C$11)*NORMSINV(V447))&lt;W$8,W$5+SQRT(NORMSDIST(W$9*SQRT($C$11)*NORMSINV($B447)+SQRT(1-W$9^2*$C$11)*NORMSINV(V447))*(W$7-W$5)*(W$6-W$5)),W$7-SQRT((1-NORMSDIST(W$9*SQRT($C$11)*NORMSINV($B447)+SQRT(1-W$9^2*$C$11)*NORMSINV(V447)))*(W$7-W$5)*(W$7-W$6))))</f>
        <v>9.94237751060833</v>
      </c>
      <c r="X447" s="2" t="n">
        <v>0.497144183</v>
      </c>
      <c r="Y447" s="2" t="n">
        <f aca="false">IF(Y$7=Y$5,Y$6,IF(NORMSDIST(Y$9*SQRT($C$11)*NORMSINV($B447)+SQRT(1-Y$9^2*$C$11)*NORMSINV(X447))&lt;Y$8,Y$5+SQRT(NORMSDIST(Y$9*SQRT($C$11)*NORMSINV($B447)+SQRT(1-Y$9^2*$C$11)*NORMSINV(X447))*(Y$7-Y$5)*(Y$6-Y$5)),Y$7-SQRT((1-NORMSDIST(Y$9*SQRT($C$11)*NORMSINV($B447)+SQRT(1-Y$9^2*$C$11)*NORMSINV(X447)))*(Y$7-Y$5)*(Y$7-Y$6))))</f>
        <v>0.498570046733656</v>
      </c>
      <c r="Z447" s="2" t="n">
        <v>0.598985489</v>
      </c>
      <c r="AA447" s="2" t="n">
        <f aca="false">IF(AA$7=AA$5,AA$6,IF(NORMSDIST(AA$9*SQRT($C$11)*NORMSINV($B447)+SQRT(1-AA$9^2*$C$11)*NORMSINV(Z447))&lt;AA$8,AA$5+SQRT(NORMSDIST(AA$9*SQRT($C$11)*NORMSINV($B447)+SQRT(1-AA$9^2*$C$11)*NORMSINV(Z447))*(AA$7-AA$5)*(AA$6-AA$5)),AA$7-SQRT((1-NORMSDIST(AA$9*SQRT($C$11)*NORMSINV($B447)+SQRT(1-AA$9^2*$C$11)*NORMSINV(Z447)))*(AA$7-AA$5)*(AA$7-AA$6))))</f>
        <v>0.725914319794326</v>
      </c>
      <c r="AB447" s="2" t="n">
        <v>0.905425008</v>
      </c>
      <c r="AC447" s="2" t="n">
        <f aca="false">IF(AC$7=AC$5,AC$6,IF(NORMSDIST(AC$9*SQRT($C$11)*NORMSINV($B447)+SQRT(1-AC$9^2*$C$11)*NORMSINV(AB447))&lt;AC$8,AC$5+SQRT(NORMSDIST(AC$9*SQRT($C$11)*NORMSINV($B447)+SQRT(1-AC$9^2*$C$11)*NORMSINV(AB447))*(AC$7-AC$5)*(AC$6-AC$5)),AC$7-SQRT((1-NORMSDIST(AC$9*SQRT($C$11)*NORMSINV($B447)+SQRT(1-AC$9^2*$C$11)*NORMSINV(AB447)))*(AC$7-AC$5)*(AC$7-AC$6))))</f>
        <v>9.95379525091868</v>
      </c>
      <c r="AD447" s="2" t="n">
        <f aca="false">Entrées!$C$8*(1+E447)</f>
        <v>7416.77106692992</v>
      </c>
      <c r="AE447" s="2" t="n">
        <f aca="false">I447*Hypothèses!$J$24/12/Hypothèses!$J$19</f>
        <v>98.0633002964519</v>
      </c>
      <c r="AF447" s="2" t="n">
        <f aca="false">Entrées!$C$36*S447*1000</f>
        <v>236.660958196759</v>
      </c>
      <c r="AG447" s="2" t="n">
        <f aca="false">-AF447/W447</f>
        <v>-23.8032561069267</v>
      </c>
      <c r="AH447" s="2" t="n">
        <f aca="false">AD447+AE447+AG447</f>
        <v>7491.03111111944</v>
      </c>
      <c r="AI447" s="2" t="n">
        <f aca="false">Entrées!$C$16-M447+Hypothèses!$J$22*1000-AF447+Hypothèses!$J$23</f>
        <v>22736.0684538425</v>
      </c>
      <c r="AJ447" s="2" t="n">
        <f aca="false">AI447/AH447</f>
        <v>3.03510533017195</v>
      </c>
      <c r="AK447" s="2" t="n">
        <f aca="false">AI447/(AH447+I447*(12-Hypothèses!$J$24)/12/Hypothèses!$J$19)</f>
        <v>3.00698835386871</v>
      </c>
      <c r="AL447" s="2" t="n">
        <f aca="false">(AD447+AG447+I447/Hypothèses!$J$19)*(1+G447)</f>
        <v>7947.51913023412</v>
      </c>
      <c r="AM447" s="2" t="n">
        <f aca="false">Entrées!$C$54*K447/Hypothèses!$J$19</f>
        <v>30.5367398377829</v>
      </c>
      <c r="AN447" s="2" t="n">
        <f aca="false">Y447*1000/AC447</f>
        <v>50.088437039896</v>
      </c>
      <c r="AO447" s="2" t="n">
        <f aca="false">(Entrées!$C$36*(1-S447)+MAX(0,Entrées!$C$30-Entrées!$C$35-Entrées!$C$36)*U447)*1000</f>
        <v>796.223744942734</v>
      </c>
      <c r="AP447" s="2" t="n">
        <f aca="false">-AO447/W447</f>
        <v>-80.0838375019635</v>
      </c>
      <c r="AQ447" s="2" t="n">
        <f aca="false">AL447+AM447+AN447+AP447</f>
        <v>7948.06046960983</v>
      </c>
      <c r="AR447" s="2" t="n">
        <f aca="false">O447*AQ447-Hypothèses!$J$25/Hypothèses!$J$19</f>
        <v>1320.88785712862</v>
      </c>
      <c r="AS447" s="2" t="n">
        <f aca="false">Entrées!$C$79*(1+Q447)+Hypothèses!$J$20</f>
        <v>1484.23238708463</v>
      </c>
      <c r="AT447" s="2" t="n">
        <f aca="false">AI447-AR447+AS447+Y447*1000-AO447+Hypothèses!$J$23</f>
        <v>22601.7592855894</v>
      </c>
      <c r="AU447" s="2" t="n">
        <f aca="false">AT447/AQ447</f>
        <v>2.84368235143774</v>
      </c>
      <c r="AV447" s="2" t="n">
        <f aca="false">Hypothèses!$J$26*AQ447-AT447</f>
        <v>1242.42212324008</v>
      </c>
      <c r="AW447" s="2" t="n">
        <f aca="false">IF(AC447&gt;Hypothèses!$J$26,MAX(0,AV447)/(1-Hypothèses!$J$26/AC447),0)</f>
        <v>1778.42674161417</v>
      </c>
      <c r="AX447" s="2" t="n">
        <f aca="false">AQ447-Entrées!$C$17*1000</f>
        <v>-51.9395303901692</v>
      </c>
      <c r="AY447" s="2" t="n">
        <f aca="false">AI447+(Entrées!$C$244-Entrées!$C$13)</f>
        <v>28483.0684538425</v>
      </c>
      <c r="AZ447" s="2" t="n">
        <f aca="false">AA447*AH447</f>
        <v>5437.84675358641</v>
      </c>
      <c r="BA447" s="2" t="n">
        <f aca="false">AZ447/AY447</f>
        <v>0.190915061079131</v>
      </c>
      <c r="BB447" s="2" t="n">
        <f aca="false">AZ447/(Entrées!$C$151/100)-AY447</f>
        <v>1727.19128830422</v>
      </c>
      <c r="BC447" s="2" t="n">
        <f aca="false">AT447+(Entrées!$C$244-Entrées!$C$13)</f>
        <v>28348.7592855894</v>
      </c>
      <c r="BD447" s="2" t="n">
        <f aca="false">AA447*AQ447</f>
        <v>5769.61090948099</v>
      </c>
      <c r="BE447" s="2" t="n">
        <f aca="false">BD447/BC447</f>
        <v>0.203522519322878</v>
      </c>
      <c r="BF447" s="2" t="n">
        <f aca="false">BD447/(Entrées!$C$151/100)-BC447</f>
        <v>3704.63465597167</v>
      </c>
      <c r="BG447" s="2" t="n">
        <f aca="false">MIN(AV447,BF447)</f>
        <v>1242.42212324008</v>
      </c>
      <c r="BH447" s="2" t="n">
        <f aca="false">IF(AC447&gt;Hypothèses!$J$26,MAX(0,BG447)/(1-Hypothèses!$J$26/AC447),0)</f>
        <v>1778.42674161417</v>
      </c>
    </row>
    <row r="448" customFormat="false" ht="15" hidden="false" customHeight="false" outlineLevel="0" collapsed="false">
      <c r="A448" s="2" t="n">
        <v>433</v>
      </c>
      <c r="B448" s="2" t="n">
        <v>0.656175852</v>
      </c>
      <c r="C448" s="2"/>
      <c r="D448" s="2" t="n">
        <v>0.399448129</v>
      </c>
      <c r="E448" s="2" t="n">
        <f aca="false">IF(E$7=E$5,E$6,IF(NORMSDIST(E$9*SQRT($C$11)*NORMSINV($B448)+SQRT(1-E$9^2*$C$11)*NORMSINV(D448))&lt;E$8,E$5+SQRT(NORMSDIST(E$9*SQRT($C$11)*NORMSINV($B448)+SQRT(1-E$9^2*$C$11)*NORMSINV(D448))*(E$7-E$5)*(E$6-E$5)),E$7-SQRT((1-NORMSDIST(E$9*SQRT($C$11)*NORMSINV($B448)+SQRT(1-E$9^2*$C$11)*NORMSINV(D448)))*(E$7-E$5)*(E$7-E$6))))</f>
        <v>0.055114814520392</v>
      </c>
      <c r="F448" s="2" t="n">
        <v>0.114260768</v>
      </c>
      <c r="G448" s="2" t="n">
        <f aca="false">IF(G$7=G$5,G$6,IF(NORMSDIST(G$9*SQRT($C$11)*NORMSINV($B448)+SQRT(1-G$9^2*$C$11)*NORMSINV(F448))&lt;G$8,G$5+SQRT(NORMSDIST(G$9*SQRT($C$11)*NORMSINV($B448)+SQRT(1-G$9^2*$C$11)*NORMSINV(F448))*(G$7-G$5)*(G$6-G$5)),G$7-SQRT((1-NORMSDIST(G$9*SQRT($C$11)*NORMSINV($B448)+SQRT(1-G$9^2*$C$11)*NORMSINV(F448)))*(G$7-G$5)*(G$7-G$6))))</f>
        <v>0.0505797529443001</v>
      </c>
      <c r="H448" s="2" t="n">
        <v>0.465521506</v>
      </c>
      <c r="I448" s="2" t="n">
        <f aca="false">IF(I$7=I$5,I$6,IF(NORMSDIST(I$9*SQRT($C$11)*NORMSINV($B448)+SQRT(1-I$9^2*$C$11)*NORMSINV(H448))&lt;I$8,I$5+SQRT(NORMSDIST(I$9*SQRT($C$11)*NORMSINV($B448)+SQRT(1-I$9^2*$C$11)*NORMSINV(H448))*(I$7-I$5)*(I$6-I$5)),I$7-SQRT((1-NORMSDIST(I$9*SQRT($C$11)*NORMSINV($B448)+SQRT(1-I$9^2*$C$11)*NORMSINV(H448)))*(I$7-I$5)*(I$7-I$6))))</f>
        <v>201.545031309704</v>
      </c>
      <c r="J448" s="2" t="n">
        <v>0.42260398</v>
      </c>
      <c r="K448" s="2" t="n">
        <f aca="false">IF(K$7=K$5,K$6,IF(NORMSDIST(K$9*SQRT($C$11)*NORMSINV($B448)+SQRT(1-K$9^2*$C$11)*NORMSINV(J448))&lt;K$8,K$5+SQRT(NORMSDIST(K$9*SQRT($C$11)*NORMSINV($B448)+SQRT(1-K$9^2*$C$11)*NORMSINV(J448))*(K$7-K$5)*(K$6-K$5)),K$7-SQRT((1-NORMSDIST(K$9*SQRT($C$11)*NORMSINV($B448)+SQRT(1-K$9^2*$C$11)*NORMSINV(J448)))*(K$7-K$5)*(K$7-K$6))))</f>
        <v>0.260479055418501</v>
      </c>
      <c r="L448" s="2" t="n">
        <v>0.414907396</v>
      </c>
      <c r="M448" s="2" t="n">
        <f aca="false">IF(M$7=M$5,M$6,IF(NORMSDIST(M$9*SQRT($C$11)*NORMSINV($B448)+SQRT(1-M$9^2*$C$11)*NORMSINV(L448))&lt;M$8,M$5+SQRT(NORMSDIST(M$9*SQRT($C$11)*NORMSINV($B448)+SQRT(1-M$9^2*$C$11)*NORMSINV(L448))*(M$7-M$5)*(M$6-M$5)),M$7-SQRT((1-NORMSDIST(M$9*SQRT($C$11)*NORMSINV($B448)+SQRT(1-M$9^2*$C$11)*NORMSINV(L448)))*(M$7-M$5)*(M$7-M$6))))</f>
        <v>1595.05304204673</v>
      </c>
      <c r="N448" s="2" t="n">
        <v>0.805807221</v>
      </c>
      <c r="O448" s="2" t="n">
        <f aca="false">IF(O$7=O$5,O$6,IF(NORMSDIST(O$9*SQRT($C$11)*NORMSINV($B448)+SQRT(1-O$9^2*$C$11)*NORMSINV(N448))&lt;O$8,O$5+SQRT(NORMSDIST(O$9*SQRT($C$11)*NORMSINV($B448)+SQRT(1-O$9^2*$C$11)*NORMSINV(N448))*(O$7-O$5)*(O$6-O$5)),O$7-SQRT((1-NORMSDIST(O$9*SQRT($C$11)*NORMSINV($B448)+SQRT(1-O$9^2*$C$11)*NORMSINV(N448)))*(O$7-O$5)*(O$7-O$6))))</f>
        <v>0.176224249700983</v>
      </c>
      <c r="P448" s="2" t="n">
        <v>0.85345823</v>
      </c>
      <c r="Q448" s="2" t="n">
        <f aca="false">IF(Q$7=Q$5,Q$6,IF(NORMSDIST(Q$9*SQRT($C$11)*NORMSINV($B448)+SQRT(1-Q$9^2*$C$11)*NORMSINV(P448))&lt;Q$8,Q$5+SQRT(NORMSDIST(Q$9*SQRT($C$11)*NORMSINV($B448)+SQRT(1-Q$9^2*$C$11)*NORMSINV(P448))*(Q$7-Q$5)*(Q$6-Q$5)),Q$7-SQRT((1-NORMSDIST(Q$9*SQRT($C$11)*NORMSINV($B448)+SQRT(1-Q$9^2*$C$11)*NORMSINV(P448)))*(Q$7-Q$5)*(Q$7-Q$6))))</f>
        <v>0.0983451237823903</v>
      </c>
      <c r="R448" s="2" t="n">
        <v>0.9358741</v>
      </c>
      <c r="S448" s="2" t="n">
        <f aca="false">IF(S$7=S$5,S$6,IF(NORMSDIST(S$9*SQRT($C$11)*NORMSINV($B448)+SQRT(1-S$9^2*$C$11)*NORMSINV(R448))&lt;S$8,S$5+SQRT(NORMSDIST(S$9*SQRT($C$11)*NORMSINV($B448)+SQRT(1-S$9^2*$C$11)*NORMSINV(R448))*(S$7-S$5)*(S$6-S$5)),S$7-SQRT((1-NORMSDIST(S$9*SQRT($C$11)*NORMSINV($B448)+SQRT(1-S$9^2*$C$11)*NORMSINV(R448)))*(S$7-S$5)*(S$7-S$6))))</f>
        <v>0.805057044042834</v>
      </c>
      <c r="T448" s="2" t="n">
        <v>0.586484783</v>
      </c>
      <c r="U448" s="2" t="n">
        <f aca="false">IF(U$7=U$5,U$6,IF(NORMSDIST(U$9*SQRT($C$11)*NORMSINV($B448)+SQRT(1-U$9^2*$C$11)*NORMSINV(T448))&lt;U$8,U$5+SQRT(NORMSDIST(U$9*SQRT($C$11)*NORMSINV($B448)+SQRT(1-U$9^2*$C$11)*NORMSINV(T448))*(U$7-U$5)*(U$6-U$5)),U$7-SQRT((1-NORMSDIST(U$9*SQRT($C$11)*NORMSINV($B448)+SQRT(1-U$9^2*$C$11)*NORMSINV(T448)))*(U$7-U$5)*(U$7-U$6))))</f>
        <v>0.590151235597277</v>
      </c>
      <c r="V448" s="2" t="n">
        <v>0.799523939</v>
      </c>
      <c r="W448" s="2" t="n">
        <f aca="false">IF(W$7=W$5,W$6,IF(NORMSDIST(W$9*SQRT($C$11)*NORMSINV($B448)+SQRT(1-W$9^2*$C$11)*NORMSINV(V448))&lt;W$8,W$5+SQRT(NORMSDIST(W$9*SQRT($C$11)*NORMSINV($B448)+SQRT(1-W$9^2*$C$11)*NORMSINV(V448))*(W$7-W$5)*(W$6-W$5)),W$7-SQRT((1-NORMSDIST(W$9*SQRT($C$11)*NORMSINV($B448)+SQRT(1-W$9^2*$C$11)*NORMSINV(V448)))*(W$7-W$5)*(W$7-W$6))))</f>
        <v>10.7908189572629</v>
      </c>
      <c r="X448" s="2" t="n">
        <v>0.171809077</v>
      </c>
      <c r="Y448" s="2" t="n">
        <f aca="false">IF(Y$7=Y$5,Y$6,IF(NORMSDIST(Y$9*SQRT($C$11)*NORMSINV($B448)+SQRT(1-Y$9^2*$C$11)*NORMSINV(X448))&lt;Y$8,Y$5+SQRT(NORMSDIST(Y$9*SQRT($C$11)*NORMSINV($B448)+SQRT(1-Y$9^2*$C$11)*NORMSINV(X448))*(Y$7-Y$5)*(Y$6-Y$5)),Y$7-SQRT((1-NORMSDIST(Y$9*SQRT($C$11)*NORMSINV($B448)+SQRT(1-Y$9^2*$C$11)*NORMSINV(X448)))*(Y$7-Y$5)*(Y$7-Y$6))))</f>
        <v>0.293094760273875</v>
      </c>
      <c r="Z448" s="2" t="n">
        <v>0.007350461</v>
      </c>
      <c r="AA448" s="2" t="n">
        <f aca="false">IF(AA$7=AA$5,AA$6,IF(NORMSDIST(AA$9*SQRT($C$11)*NORMSINV($B448)+SQRT(1-AA$9^2*$C$11)*NORMSINV(Z448))&lt;AA$8,AA$5+SQRT(NORMSDIST(AA$9*SQRT($C$11)*NORMSINV($B448)+SQRT(1-AA$9^2*$C$11)*NORMSINV(Z448))*(AA$7-AA$5)*(AA$6-AA$5)),AA$7-SQRT((1-NORMSDIST(AA$9*SQRT($C$11)*NORMSINV($B448)+SQRT(1-AA$9^2*$C$11)*NORMSINV(Z448)))*(AA$7-AA$5)*(AA$7-AA$6))))</f>
        <v>0.705770365921272</v>
      </c>
      <c r="AB448" s="2" t="n">
        <v>0.999539616</v>
      </c>
      <c r="AC448" s="2" t="n">
        <f aca="false">IF(AC$7=AC$5,AC$6,IF(NORMSDIST(AC$9*SQRT($C$11)*NORMSINV($B448)+SQRT(1-AC$9^2*$C$11)*NORMSINV(AB448))&lt;AC$8,AC$5+SQRT(NORMSDIST(AC$9*SQRT($C$11)*NORMSINV($B448)+SQRT(1-AC$9^2*$C$11)*NORMSINV(AB448))*(AC$7-AC$5)*(AC$6-AC$5)),AC$7-SQRT((1-NORMSDIST(AC$9*SQRT($C$11)*NORMSINV($B448)+SQRT(1-AC$9^2*$C$11)*NORMSINV(AB448)))*(AC$7-AC$5)*(AC$7-AC$6))))</f>
        <v>10.8983170123962</v>
      </c>
      <c r="AD448" s="2" t="n">
        <f aca="false">Entrées!$C$8*(1+E448)</f>
        <v>7438.55944236876</v>
      </c>
      <c r="AE448" s="2" t="n">
        <f aca="false">I448*Hypothèses!$J$24/12/Hypothèses!$J$19</f>
        <v>99.9858449627764</v>
      </c>
      <c r="AF448" s="2" t="n">
        <f aca="false">Entrées!$C$36*S448*1000</f>
        <v>402.528522021417</v>
      </c>
      <c r="AG448" s="2" t="n">
        <f aca="false">-AF448/W448</f>
        <v>-37.3028704879243</v>
      </c>
      <c r="AH448" s="2" t="n">
        <f aca="false">AD448+AE448+AG448</f>
        <v>7501.24241684362</v>
      </c>
      <c r="AI448" s="2" t="n">
        <f aca="false">Entrées!$C$16-M448+Hypothèses!$J$22*1000-AF448+Hypothèses!$J$23</f>
        <v>22550.4184359319</v>
      </c>
      <c r="AJ448" s="2" t="n">
        <f aca="false">AI448/AH448</f>
        <v>3.00622446027023</v>
      </c>
      <c r="AK448" s="2" t="n">
        <f aca="false">AI448/(AH448+I448*(12-Hypothèses!$J$24)/12/Hypothèses!$J$19)</f>
        <v>2.9778724811038</v>
      </c>
      <c r="AL448" s="2" t="n">
        <f aca="false">(AD448+AG448+I448/Hypothèses!$J$19)*(1+G448)</f>
        <v>7955.68419384781</v>
      </c>
      <c r="AM448" s="2" t="n">
        <f aca="false">Entrées!$C$54*K448/Hypothèses!$J$19</f>
        <v>26.5829812863364</v>
      </c>
      <c r="AN448" s="2" t="n">
        <f aca="false">Y448*1000/AC448</f>
        <v>26.8935799849184</v>
      </c>
      <c r="AO448" s="2" t="n">
        <f aca="false">(Entrées!$C$36*(1-S448)+MAX(0,Entrées!$C$30-Entrées!$C$35-Entrées!$C$36)*U448)*1000</f>
        <v>923.683207814771</v>
      </c>
      <c r="AP448" s="2" t="n">
        <f aca="false">-AO448/W448</f>
        <v>-85.5989903521708</v>
      </c>
      <c r="AQ448" s="2" t="n">
        <f aca="false">AL448+AM448+AN448+AP448</f>
        <v>7923.5617647669</v>
      </c>
      <c r="AR448" s="2" t="n">
        <f aca="false">O448*AQ448-Hypothèses!$J$25/Hypothèses!$J$19</f>
        <v>1377.18856469382</v>
      </c>
      <c r="AS448" s="2" t="n">
        <f aca="false">Entrées!$C$79*(1+Q448)+Hypothèses!$J$20</f>
        <v>1502.08129103685</v>
      </c>
      <c r="AT448" s="2" t="n">
        <f aca="false">AI448-AR448+AS448+Y448*1000-AO448+Hypothèses!$J$23</f>
        <v>22044.722714734</v>
      </c>
      <c r="AU448" s="2" t="n">
        <f aca="false">AT448/AQ448</f>
        <v>2.7821733923699</v>
      </c>
      <c r="AV448" s="2" t="n">
        <f aca="false">Hypothèses!$J$26*AQ448-AT448</f>
        <v>1725.96257956671</v>
      </c>
      <c r="AW448" s="2" t="n">
        <f aca="false">IF(AC448&gt;Hypothèses!$J$26,MAX(0,AV448)/(1-Hypothèses!$J$26/AC448),0)</f>
        <v>2381.53106720446</v>
      </c>
      <c r="AX448" s="2" t="n">
        <f aca="false">AQ448-Entrées!$C$17*1000</f>
        <v>-76.4382352331013</v>
      </c>
      <c r="AY448" s="2" t="n">
        <f aca="false">AI448+(Entrées!$C$244-Entrées!$C$13)</f>
        <v>28297.4184359319</v>
      </c>
      <c r="AZ448" s="2" t="n">
        <f aca="false">AA448*AH448</f>
        <v>5294.15460539989</v>
      </c>
      <c r="BA448" s="2" t="n">
        <f aca="false">AZ448/AY448</f>
        <v>0.187089667468655</v>
      </c>
      <c r="BB448" s="2" t="n">
        <f aca="false">AZ448/(Entrées!$C$151/100)-AY448</f>
        <v>1114.55159406752</v>
      </c>
      <c r="BC448" s="2" t="n">
        <f aca="false">AT448+(Entrées!$C$244-Entrées!$C$13)</f>
        <v>27791.722714734</v>
      </c>
      <c r="BD448" s="2" t="n">
        <f aca="false">AA448*AQ448</f>
        <v>5592.21508611934</v>
      </c>
      <c r="BE448" s="2" t="n">
        <f aca="false">BD448/BC448</f>
        <v>0.201218727731282</v>
      </c>
      <c r="BF448" s="2" t="n">
        <f aca="false">BD448/(Entrées!$C$151/100)-BC448</f>
        <v>3276.13887481788</v>
      </c>
      <c r="BG448" s="2" t="n">
        <f aca="false">MIN(AV448,BF448)</f>
        <v>1725.96257956671</v>
      </c>
      <c r="BH448" s="2" t="n">
        <f aca="false">IF(AC448&gt;Hypothèses!$J$26,MAX(0,BG448)/(1-Hypothèses!$J$26/AC448),0)</f>
        <v>2381.53106720446</v>
      </c>
    </row>
    <row r="449" customFormat="false" ht="15" hidden="false" customHeight="false" outlineLevel="0" collapsed="false">
      <c r="A449" s="2" t="n">
        <v>434</v>
      </c>
      <c r="B449" s="2" t="n">
        <v>0.117131784</v>
      </c>
      <c r="C449" s="2"/>
      <c r="D449" s="2" t="n">
        <v>0.139386358</v>
      </c>
      <c r="E449" s="2" t="n">
        <f aca="false">IF(E$7=E$5,E$6,IF(NORMSDIST(E$9*SQRT($C$11)*NORMSINV($B449)+SQRT(1-E$9^2*$C$11)*NORMSINV(D449))&lt;E$8,E$5+SQRT(NORMSDIST(E$9*SQRT($C$11)*NORMSINV($B449)+SQRT(1-E$9^2*$C$11)*NORMSINV(D449))*(E$7-E$5)*(E$6-E$5)),E$7-SQRT((1-NORMSDIST(E$9*SQRT($C$11)*NORMSINV($B449)+SQRT(1-E$9^2*$C$11)*NORMSINV(D449)))*(E$7-E$5)*(E$7-E$6))))</f>
        <v>0.0516700250311228</v>
      </c>
      <c r="F449" s="2" t="n">
        <v>0.549485999</v>
      </c>
      <c r="G449" s="2" t="n">
        <f aca="false">IF(G$7=G$5,G$6,IF(NORMSDIST(G$9*SQRT($C$11)*NORMSINV($B449)+SQRT(1-G$9^2*$C$11)*NORMSINV(F449))&lt;G$8,G$5+SQRT(NORMSDIST(G$9*SQRT($C$11)*NORMSINV($B449)+SQRT(1-G$9^2*$C$11)*NORMSINV(F449))*(G$7-G$5)*(G$6-G$5)),G$7-SQRT((1-NORMSDIST(G$9*SQRT($C$11)*NORMSINV($B449)+SQRT(1-G$9^2*$C$11)*NORMSINV(F449)))*(G$7-G$5)*(G$7-G$6))))</f>
        <v>0.0507316759336555</v>
      </c>
      <c r="H449" s="2" t="n">
        <v>0.53657789</v>
      </c>
      <c r="I449" s="2" t="n">
        <f aca="false">IF(I$7=I$5,I$6,IF(NORMSDIST(I$9*SQRT($C$11)*NORMSINV($B449)+SQRT(1-I$9^2*$C$11)*NORMSINV(H449))&lt;I$8,I$5+SQRT(NORMSDIST(I$9*SQRT($C$11)*NORMSINV($B449)+SQRT(1-I$9^2*$C$11)*NORMSINV(H449))*(I$7-I$5)*(I$6-I$5)),I$7-SQRT((1-NORMSDIST(I$9*SQRT($C$11)*NORMSINV($B449)+SQRT(1-I$9^2*$C$11)*NORMSINV(H449)))*(I$7-I$5)*(I$7-I$6))))</f>
        <v>194.082259660378</v>
      </c>
      <c r="J449" s="2" t="n">
        <v>0.360555992</v>
      </c>
      <c r="K449" s="2" t="n">
        <f aca="false">IF(K$7=K$5,K$6,IF(NORMSDIST(K$9*SQRT($C$11)*NORMSINV($B449)+SQRT(1-K$9^2*$C$11)*NORMSINV(J449))&lt;K$8,K$5+SQRT(NORMSDIST(K$9*SQRT($C$11)*NORMSINV($B449)+SQRT(1-K$9^2*$C$11)*NORMSINV(J449))*(K$7-K$5)*(K$6-K$5)),K$7-SQRT((1-NORMSDIST(K$9*SQRT($C$11)*NORMSINV($B449)+SQRT(1-K$9^2*$C$11)*NORMSINV(J449)))*(K$7-K$5)*(K$7-K$6))))</f>
        <v>0.137745626098384</v>
      </c>
      <c r="L449" s="2" t="n">
        <v>0.328167066</v>
      </c>
      <c r="M449" s="2" t="n">
        <f aca="false">IF(M$7=M$5,M$6,IF(NORMSDIST(M$9*SQRT($C$11)*NORMSINV($B449)+SQRT(1-M$9^2*$C$11)*NORMSINV(L449))&lt;M$8,M$5+SQRT(NORMSDIST(M$9*SQRT($C$11)*NORMSINV($B449)+SQRT(1-M$9^2*$C$11)*NORMSINV(L449))*(M$7-M$5)*(M$6-M$5)),M$7-SQRT((1-NORMSDIST(M$9*SQRT($C$11)*NORMSINV($B449)+SQRT(1-M$9^2*$C$11)*NORMSINV(L449)))*(M$7-M$5)*(M$7-M$6))))</f>
        <v>1450.53096260041</v>
      </c>
      <c r="N449" s="2" t="n">
        <v>0.021485096</v>
      </c>
      <c r="O449" s="2" t="n">
        <f aca="false">IF(O$7=O$5,O$6,IF(NORMSDIST(O$9*SQRT($C$11)*NORMSINV($B449)+SQRT(1-O$9^2*$C$11)*NORMSINV(N449))&lt;O$8,O$5+SQRT(NORMSDIST(O$9*SQRT($C$11)*NORMSINV($B449)+SQRT(1-O$9^2*$C$11)*NORMSINV(N449))*(O$7-O$5)*(O$6-O$5)),O$7-SQRT((1-NORMSDIST(O$9*SQRT($C$11)*NORMSINV($B449)+SQRT(1-O$9^2*$C$11)*NORMSINV(N449)))*(O$7-O$5)*(O$7-O$6))))</f>
        <v>0.143819758388309</v>
      </c>
      <c r="P449" s="2" t="n">
        <v>0.564369253</v>
      </c>
      <c r="Q449" s="2" t="n">
        <f aca="false">IF(Q$7=Q$5,Q$6,IF(NORMSDIST(Q$9*SQRT($C$11)*NORMSINV($B449)+SQRT(1-Q$9^2*$C$11)*NORMSINV(P449))&lt;Q$8,Q$5+SQRT(NORMSDIST(Q$9*SQRT($C$11)*NORMSINV($B449)+SQRT(1-Q$9^2*$C$11)*NORMSINV(P449))*(Q$7-Q$5)*(Q$6-Q$5)),Q$7-SQRT((1-NORMSDIST(Q$9*SQRT($C$11)*NORMSINV($B449)+SQRT(1-Q$9^2*$C$11)*NORMSINV(P449)))*(Q$7-Q$5)*(Q$7-Q$6))))</f>
        <v>0.0826634443152559</v>
      </c>
      <c r="R449" s="2" t="n">
        <v>0.959473601</v>
      </c>
      <c r="S449" s="2" t="n">
        <f aca="false">IF(S$7=S$5,S$6,IF(NORMSDIST(S$9*SQRT($C$11)*NORMSINV($B449)+SQRT(1-S$9^2*$C$11)*NORMSINV(R449))&lt;S$8,S$5+SQRT(NORMSDIST(S$9*SQRT($C$11)*NORMSINV($B449)+SQRT(1-S$9^2*$C$11)*NORMSINV(R449))*(S$7-S$5)*(S$6-S$5)),S$7-SQRT((1-NORMSDIST(S$9*SQRT($C$11)*NORMSINV($B449)+SQRT(1-S$9^2*$C$11)*NORMSINV(R449)))*(S$7-S$5)*(S$7-S$6))))</f>
        <v>0.629490660108556</v>
      </c>
      <c r="T449" s="2" t="n">
        <v>0.994615352</v>
      </c>
      <c r="U449" s="2" t="n">
        <f aca="false">IF(U$7=U$5,U$6,IF(NORMSDIST(U$9*SQRT($C$11)*NORMSINV($B449)+SQRT(1-U$9^2*$C$11)*NORMSINV(T449))&lt;U$8,U$5+SQRT(NORMSDIST(U$9*SQRT($C$11)*NORMSINV($B449)+SQRT(1-U$9^2*$C$11)*NORMSINV(T449))*(U$7-U$5)*(U$6-U$5)),U$7-SQRT((1-NORMSDIST(U$9*SQRT($C$11)*NORMSINV($B449)+SQRT(1-U$9^2*$C$11)*NORMSINV(T449)))*(U$7-U$5)*(U$7-U$6))))</f>
        <v>0.764776343541473</v>
      </c>
      <c r="V449" s="2" t="n">
        <v>0.061945248</v>
      </c>
      <c r="W449" s="2" t="n">
        <f aca="false">IF(W$7=W$5,W$6,IF(NORMSDIST(W$9*SQRT($C$11)*NORMSINV($B449)+SQRT(1-W$9^2*$C$11)*NORMSINV(V449))&lt;W$8,W$5+SQRT(NORMSDIST(W$9*SQRT($C$11)*NORMSINV($B449)+SQRT(1-W$9^2*$C$11)*NORMSINV(V449))*(W$7-W$5)*(W$6-W$5)),W$7-SQRT((1-NORMSDIST(W$9*SQRT($C$11)*NORMSINV($B449)+SQRT(1-W$9^2*$C$11)*NORMSINV(V449)))*(W$7-W$5)*(W$7-W$6))))</f>
        <v>8.45555663394513</v>
      </c>
      <c r="X449" s="2" t="n">
        <v>0.479561385</v>
      </c>
      <c r="Y449" s="2" t="n">
        <f aca="false">IF(Y$7=Y$5,Y$6,IF(NORMSDIST(Y$9*SQRT($C$11)*NORMSINV($B449)+SQRT(1-Y$9^2*$C$11)*NORMSINV(X449))&lt;Y$8,Y$5+SQRT(NORMSDIST(Y$9*SQRT($C$11)*NORMSINV($B449)+SQRT(1-Y$9^2*$C$11)*NORMSINV(X449))*(Y$7-Y$5)*(Y$6-Y$5)),Y$7-SQRT((1-NORMSDIST(Y$9*SQRT($C$11)*NORMSINV($B449)+SQRT(1-Y$9^2*$C$11)*NORMSINV(X449)))*(Y$7-Y$5)*(Y$7-Y$6))))</f>
        <v>0.489674067620494</v>
      </c>
      <c r="Z449" s="2" t="n">
        <v>0.379706154</v>
      </c>
      <c r="AA449" s="2" t="n">
        <f aca="false">IF(AA$7=AA$5,AA$6,IF(NORMSDIST(AA$9*SQRT($C$11)*NORMSINV($B449)+SQRT(1-AA$9^2*$C$11)*NORMSINV(Z449))&lt;AA$8,AA$5+SQRT(NORMSDIST(AA$9*SQRT($C$11)*NORMSINV($B449)+SQRT(1-AA$9^2*$C$11)*NORMSINV(Z449))*(AA$7-AA$5)*(AA$6-AA$5)),AA$7-SQRT((1-NORMSDIST(AA$9*SQRT($C$11)*NORMSINV($B449)+SQRT(1-AA$9^2*$C$11)*NORMSINV(Z449)))*(AA$7-AA$5)*(AA$7-AA$6))))</f>
        <v>0.713905205498588</v>
      </c>
      <c r="AB449" s="2" t="n">
        <v>0.588807535</v>
      </c>
      <c r="AC449" s="2" t="n">
        <f aca="false">IF(AC$7=AC$5,AC$6,IF(NORMSDIST(AC$9*SQRT($C$11)*NORMSINV($B449)+SQRT(1-AC$9^2*$C$11)*NORMSINV(AB449))&lt;AC$8,AC$5+SQRT(NORMSDIST(AC$9*SQRT($C$11)*NORMSINV($B449)+SQRT(1-AC$9^2*$C$11)*NORMSINV(AB449))*(AC$7-AC$5)*(AC$6-AC$5)),AC$7-SQRT((1-NORMSDIST(AC$9*SQRT($C$11)*NORMSINV($B449)+SQRT(1-AC$9^2*$C$11)*NORMSINV(AB449)))*(AC$7-AC$5)*(AC$7-AC$6))))</f>
        <v>8.9595373462335</v>
      </c>
      <c r="AD449" s="2" t="n">
        <f aca="false">Entrées!$C$8*(1+E449)</f>
        <v>7414.27367646942</v>
      </c>
      <c r="AE449" s="2" t="n">
        <f aca="false">I449*Hypothèses!$J$24/12/Hypothèses!$J$19</f>
        <v>96.2835878330757</v>
      </c>
      <c r="AF449" s="2" t="n">
        <f aca="false">Entrées!$C$36*S449*1000</f>
        <v>314.745330054278</v>
      </c>
      <c r="AG449" s="2" t="n">
        <f aca="false">-AF449/W449</f>
        <v>-37.2234902656463</v>
      </c>
      <c r="AH449" s="2" t="n">
        <f aca="false">AD449+AE449+AG449</f>
        <v>7473.33377403685</v>
      </c>
      <c r="AI449" s="2" t="n">
        <f aca="false">Entrées!$C$16-M449+Hypothèses!$J$22*1000-AF449+Hypothèses!$J$23</f>
        <v>22782.7237073453</v>
      </c>
      <c r="AJ449" s="2" t="n">
        <f aca="false">AI449/AH449</f>
        <v>3.04853555270004</v>
      </c>
      <c r="AK449" s="2" t="n">
        <f aca="false">AI449/(AH449+I449*(12-Hypothèses!$J$24)/12/Hypothèses!$J$19)</f>
        <v>3.02073696321675</v>
      </c>
      <c r="AL449" s="2" t="n">
        <f aca="false">(AD449+AG449+I449/Hypothèses!$J$19)*(1+G449)</f>
        <v>7924.73153235444</v>
      </c>
      <c r="AM449" s="2" t="n">
        <f aca="false">Entrées!$C$54*K449/Hypothèses!$J$19</f>
        <v>14.0575194998498</v>
      </c>
      <c r="AN449" s="2" t="n">
        <f aca="false">Y449*1000/AC449</f>
        <v>54.6539457002596</v>
      </c>
      <c r="AO449" s="2" t="n">
        <f aca="false">(Entrées!$C$36*(1-S449)+MAX(0,Entrées!$C$30-Entrées!$C$35-Entrées!$C$36)*U449)*1000</f>
        <v>1255.94155090378</v>
      </c>
      <c r="AP449" s="2" t="n">
        <f aca="false">-AO449/W449</f>
        <v>-148.534461452456</v>
      </c>
      <c r="AQ449" s="2" t="n">
        <f aca="false">AL449+AM449+AN449+AP449</f>
        <v>7844.90853610209</v>
      </c>
      <c r="AR449" s="2" t="n">
        <f aca="false">O449*AQ449-Hypothèses!$J$25/Hypothèses!$J$19</f>
        <v>1109.11768797896</v>
      </c>
      <c r="AS449" s="2" t="n">
        <f aca="false">Entrées!$C$79*(1+Q449)+Hypothèses!$J$20</f>
        <v>1484.84712530247</v>
      </c>
      <c r="AT449" s="2" t="n">
        <f aca="false">AI449-AR449+AS449+Y449*1000-AO449+Hypothèses!$J$23</f>
        <v>22392.1856613855</v>
      </c>
      <c r="AU449" s="2" t="n">
        <f aca="false">AT449/AQ449</f>
        <v>2.85435904808032</v>
      </c>
      <c r="AV449" s="2" t="n">
        <f aca="false">Hypothèses!$J$26*AQ449-AT449</f>
        <v>1142.53994692074</v>
      </c>
      <c r="AW449" s="2" t="n">
        <f aca="false">IF(AC449&gt;Hypothèses!$J$26,MAX(0,AV449)/(1-Hypothèses!$J$26/AC449),0)</f>
        <v>1717.68859380833</v>
      </c>
      <c r="AX449" s="2" t="n">
        <f aca="false">AQ449-Entrées!$C$17*1000</f>
        <v>-155.091463897911</v>
      </c>
      <c r="AY449" s="2" t="n">
        <f aca="false">AI449+(Entrées!$C$244-Entrées!$C$13)</f>
        <v>28529.7237073453</v>
      </c>
      <c r="AZ449" s="2" t="n">
        <f aca="false">AA449*AH449</f>
        <v>5335.25188371332</v>
      </c>
      <c r="BA449" s="2" t="n">
        <f aca="false">AZ449/AY449</f>
        <v>0.187006784168039</v>
      </c>
      <c r="BB449" s="2" t="n">
        <f aca="false">AZ449/(Entrées!$C$151/100)-AY449</f>
        <v>1110.56453550644</v>
      </c>
      <c r="BC449" s="2" t="n">
        <f aca="false">AT449+(Entrées!$C$244-Entrées!$C$13)</f>
        <v>28139.1856613855</v>
      </c>
      <c r="BD449" s="2" t="n">
        <f aca="false">AA449*AQ449</f>
        <v>5600.52104058359</v>
      </c>
      <c r="BE449" s="2" t="n">
        <f aca="false">BD449/BC449</f>
        <v>0.199029250809806</v>
      </c>
      <c r="BF449" s="2" t="n">
        <f aca="false">BD449/(Entrées!$C$151/100)-BC449</f>
        <v>2974.82011963443</v>
      </c>
      <c r="BG449" s="2" t="n">
        <f aca="false">MIN(AV449,BF449)</f>
        <v>1142.53994692074</v>
      </c>
      <c r="BH449" s="2" t="n">
        <f aca="false">IF(AC449&gt;Hypothèses!$J$26,MAX(0,BG449)/(1-Hypothèses!$J$26/AC449),0)</f>
        <v>1717.68859380833</v>
      </c>
    </row>
    <row r="450" customFormat="false" ht="15" hidden="false" customHeight="false" outlineLevel="0" collapsed="false">
      <c r="A450" s="2" t="n">
        <v>435</v>
      </c>
      <c r="B450" s="2" t="n">
        <v>0.69835237</v>
      </c>
      <c r="C450" s="2"/>
      <c r="D450" s="2" t="n">
        <v>0.903449446</v>
      </c>
      <c r="E450" s="2" t="n">
        <f aca="false">IF(E$7=E$5,E$6,IF(NORMSDIST(E$9*SQRT($C$11)*NORMSINV($B450)+SQRT(1-E$9^2*$C$11)*NORMSINV(D450))&lt;E$8,E$5+SQRT(NORMSDIST(E$9*SQRT($C$11)*NORMSINV($B450)+SQRT(1-E$9^2*$C$11)*NORMSINV(D450))*(E$7-E$5)*(E$6-E$5)),E$7-SQRT((1-NORMSDIST(E$9*SQRT($C$11)*NORMSINV($B450)+SQRT(1-E$9^2*$C$11)*NORMSINV(D450)))*(E$7-E$5)*(E$7-E$6))))</f>
        <v>0.0578710524263819</v>
      </c>
      <c r="F450" s="2" t="n">
        <v>0.676689411</v>
      </c>
      <c r="G450" s="2" t="n">
        <f aca="false">IF(G$7=G$5,G$6,IF(NORMSDIST(G$9*SQRT($C$11)*NORMSINV($B450)+SQRT(1-G$9^2*$C$11)*NORMSINV(F450))&lt;G$8,G$5+SQRT(NORMSDIST(G$9*SQRT($C$11)*NORMSINV($B450)+SQRT(1-G$9^2*$C$11)*NORMSINV(F450))*(G$7-G$5)*(G$6-G$5)),G$7-SQRT((1-NORMSDIST(G$9*SQRT($C$11)*NORMSINV($B450)+SQRT(1-G$9^2*$C$11)*NORMSINV(F450)))*(G$7-G$5)*(G$7-G$6))))</f>
        <v>0.0594560740349691</v>
      </c>
      <c r="H450" s="2" t="n">
        <v>0.939563509</v>
      </c>
      <c r="I450" s="2" t="n">
        <f aca="false">IF(I$7=I$5,I$6,IF(NORMSDIST(I$9*SQRT($C$11)*NORMSINV($B450)+SQRT(1-I$9^2*$C$11)*NORMSINV(H450))&lt;I$8,I$5+SQRT(NORMSDIST(I$9*SQRT($C$11)*NORMSINV($B450)+SQRT(1-I$9^2*$C$11)*NORMSINV(H450))*(I$7-I$5)*(I$6-I$5)),I$7-SQRT((1-NORMSDIST(I$9*SQRT($C$11)*NORMSINV($B450)+SQRT(1-I$9^2*$C$11)*NORMSINV(H450)))*(I$7-I$5)*(I$7-I$6))))</f>
        <v>212.901340742282</v>
      </c>
      <c r="J450" s="2" t="n">
        <v>0.163002515</v>
      </c>
      <c r="K450" s="2" t="n">
        <f aca="false">IF(K$7=K$5,K$6,IF(NORMSDIST(K$9*SQRT($C$11)*NORMSINV($B450)+SQRT(1-K$9^2*$C$11)*NORMSINV(J450))&lt;K$8,K$5+SQRT(NORMSDIST(K$9*SQRT($C$11)*NORMSINV($B450)+SQRT(1-K$9^2*$C$11)*NORMSINV(J450))*(K$7-K$5)*(K$6-K$5)),K$7-SQRT((1-NORMSDIST(K$9*SQRT($C$11)*NORMSINV($B450)+SQRT(1-K$9^2*$C$11)*NORMSINV(J450)))*(K$7-K$5)*(K$7-K$6))))</f>
        <v>0.203967262272614</v>
      </c>
      <c r="L450" s="2" t="n">
        <v>0.127285317</v>
      </c>
      <c r="M450" s="2" t="n">
        <f aca="false">IF(M$7=M$5,M$6,IF(NORMSDIST(M$9*SQRT($C$11)*NORMSINV($B450)+SQRT(1-M$9^2*$C$11)*NORMSINV(L450))&lt;M$8,M$5+SQRT(NORMSDIST(M$9*SQRT($C$11)*NORMSINV($B450)+SQRT(1-M$9^2*$C$11)*NORMSINV(L450))*(M$7-M$5)*(M$6-M$5)),M$7-SQRT((1-NORMSDIST(M$9*SQRT($C$11)*NORMSINV($B450)+SQRT(1-M$9^2*$C$11)*NORMSINV(L450)))*(M$7-M$5)*(M$7-M$6))))</f>
        <v>1518.0214732505</v>
      </c>
      <c r="N450" s="2" t="n">
        <v>0.063778445</v>
      </c>
      <c r="O450" s="2" t="n">
        <f aca="false">IF(O$7=O$5,O$6,IF(NORMSDIST(O$9*SQRT($C$11)*NORMSINV($B450)+SQRT(1-O$9^2*$C$11)*NORMSINV(N450))&lt;O$8,O$5+SQRT(NORMSDIST(O$9*SQRT($C$11)*NORMSINV($B450)+SQRT(1-O$9^2*$C$11)*NORMSINV(N450))*(O$7-O$5)*(O$6-O$5)),O$7-SQRT((1-NORMSDIST(O$9*SQRT($C$11)*NORMSINV($B450)+SQRT(1-O$9^2*$C$11)*NORMSINV(N450)))*(O$7-O$5)*(O$7-O$6))))</f>
        <v>0.156820953638434</v>
      </c>
      <c r="P450" s="2" t="n">
        <v>0.945149115</v>
      </c>
      <c r="Q450" s="2" t="n">
        <f aca="false">IF(Q$7=Q$5,Q$6,IF(NORMSDIST(Q$9*SQRT($C$11)*NORMSINV($B450)+SQRT(1-Q$9^2*$C$11)*NORMSINV(P450))&lt;Q$8,Q$5+SQRT(NORMSDIST(Q$9*SQRT($C$11)*NORMSINV($B450)+SQRT(1-Q$9^2*$C$11)*NORMSINV(P450))*(Q$7-Q$5)*(Q$6-Q$5)),Q$7-SQRT((1-NORMSDIST(Q$9*SQRT($C$11)*NORMSINV($B450)+SQRT(1-Q$9^2*$C$11)*NORMSINV(P450)))*(Q$7-Q$5)*(Q$7-Q$6))))</f>
        <v>0.106751496990226</v>
      </c>
      <c r="R450" s="2" t="n">
        <v>0.396765137</v>
      </c>
      <c r="S450" s="2" t="n">
        <f aca="false">IF(S$7=S$5,S$6,IF(NORMSDIST(S$9*SQRT($C$11)*NORMSINV($B450)+SQRT(1-S$9^2*$C$11)*NORMSINV(R450))&lt;S$8,S$5+SQRT(NORMSDIST(S$9*SQRT($C$11)*NORMSINV($B450)+SQRT(1-S$9^2*$C$11)*NORMSINV(R450))*(S$7-S$5)*(S$6-S$5)),S$7-SQRT((1-NORMSDIST(S$9*SQRT($C$11)*NORMSINV($B450)+SQRT(1-S$9^2*$C$11)*NORMSINV(R450)))*(S$7-S$5)*(S$7-S$6))))</f>
        <v>0.525714843091394</v>
      </c>
      <c r="T450" s="2" t="n">
        <v>0.354345389</v>
      </c>
      <c r="U450" s="2" t="n">
        <f aca="false">IF(U$7=U$5,U$6,IF(NORMSDIST(U$9*SQRT($C$11)*NORMSINV($B450)+SQRT(1-U$9^2*$C$11)*NORMSINV(T450))&lt;U$8,U$5+SQRT(NORMSDIST(U$9*SQRT($C$11)*NORMSINV($B450)+SQRT(1-U$9^2*$C$11)*NORMSINV(T450))*(U$7-U$5)*(U$6-U$5)),U$7-SQRT((1-NORMSDIST(U$9*SQRT($C$11)*NORMSINV($B450)+SQRT(1-U$9^2*$C$11)*NORMSINV(T450)))*(U$7-U$5)*(U$7-U$6))))</f>
        <v>0.507892662127105</v>
      </c>
      <c r="V450" s="2" t="n">
        <v>0.062275173</v>
      </c>
      <c r="W450" s="2" t="n">
        <f aca="false">IF(W$7=W$5,W$6,IF(NORMSDIST(W$9*SQRT($C$11)*NORMSINV($B450)+SQRT(1-W$9^2*$C$11)*NORMSINV(V450))&lt;W$8,W$5+SQRT(NORMSDIST(W$9*SQRT($C$11)*NORMSINV($B450)+SQRT(1-W$9^2*$C$11)*NORMSINV(V450))*(W$7-W$5)*(W$6-W$5)),W$7-SQRT((1-NORMSDIST(W$9*SQRT($C$11)*NORMSINV($B450)+SQRT(1-W$9^2*$C$11)*NORMSINV(V450)))*(W$7-W$5)*(W$7-W$6))))</f>
        <v>9.2477117737327</v>
      </c>
      <c r="X450" s="2" t="n">
        <v>0.594988774</v>
      </c>
      <c r="Y450" s="2" t="n">
        <f aca="false">IF(Y$7=Y$5,Y$6,IF(NORMSDIST(Y$9*SQRT($C$11)*NORMSINV($B450)+SQRT(1-Y$9^2*$C$11)*NORMSINV(X450))&lt;Y$8,Y$5+SQRT(NORMSDIST(Y$9*SQRT($C$11)*NORMSINV($B450)+SQRT(1-Y$9^2*$C$11)*NORMSINV(X450))*(Y$7-Y$5)*(Y$6-Y$5)),Y$7-SQRT((1-NORMSDIST(Y$9*SQRT($C$11)*NORMSINV($B450)+SQRT(1-Y$9^2*$C$11)*NORMSINV(X450)))*(Y$7-Y$5)*(Y$7-Y$6))))</f>
        <v>0.549993763376551</v>
      </c>
      <c r="Z450" s="2" t="n">
        <v>0.598970661</v>
      </c>
      <c r="AA450" s="2" t="n">
        <f aca="false">IF(AA$7=AA$5,AA$6,IF(NORMSDIST(AA$9*SQRT($C$11)*NORMSINV($B450)+SQRT(1-AA$9^2*$C$11)*NORMSINV(Z450))&lt;AA$8,AA$5+SQRT(NORMSDIST(AA$9*SQRT($C$11)*NORMSINV($B450)+SQRT(1-AA$9^2*$C$11)*NORMSINV(Z450))*(AA$7-AA$5)*(AA$6-AA$5)),AA$7-SQRT((1-NORMSDIST(AA$9*SQRT($C$11)*NORMSINV($B450)+SQRT(1-AA$9^2*$C$11)*NORMSINV(Z450)))*(AA$7-AA$5)*(AA$7-AA$6))))</f>
        <v>0.734215305419777</v>
      </c>
      <c r="AB450" s="2" t="n">
        <v>0.275489767</v>
      </c>
      <c r="AC450" s="2" t="n">
        <f aca="false">IF(AC$7=AC$5,AC$6,IF(NORMSDIST(AC$9*SQRT($C$11)*NORMSINV($B450)+SQRT(1-AC$9^2*$C$11)*NORMSINV(AB450))&lt;AC$8,AC$5+SQRT(NORMSDIST(AC$9*SQRT($C$11)*NORMSINV($B450)+SQRT(1-AC$9^2*$C$11)*NORMSINV(AB450))*(AC$7-AC$5)*(AC$6-AC$5)),AC$7-SQRT((1-NORMSDIST(AC$9*SQRT($C$11)*NORMSINV($B450)+SQRT(1-AC$9^2*$C$11)*NORMSINV(AB450)))*(AC$7-AC$5)*(AC$7-AC$6))))</f>
        <v>9.36523896603519</v>
      </c>
      <c r="AD450" s="2" t="n">
        <f aca="false">Entrées!$C$8*(1+E450)</f>
        <v>7457.99091960599</v>
      </c>
      <c r="AE450" s="2" t="n">
        <f aca="false">I450*Hypothèses!$J$24/12/Hypothèses!$J$19</f>
        <v>105.619673724996</v>
      </c>
      <c r="AF450" s="2" t="n">
        <f aca="false">Entrées!$C$36*S450*1000</f>
        <v>262.857421545697</v>
      </c>
      <c r="AG450" s="2" t="n">
        <f aca="false">-AF450/W450</f>
        <v>-28.4240499679413</v>
      </c>
      <c r="AH450" s="2" t="n">
        <f aca="false">AD450+AE450+AG450</f>
        <v>7535.18654336305</v>
      </c>
      <c r="AI450" s="2" t="n">
        <f aca="false">Entrées!$C$16-M450+Hypothèses!$J$22*1000-AF450+Hypothèses!$J$23</f>
        <v>22767.1211052038</v>
      </c>
      <c r="AJ450" s="2" t="n">
        <f aca="false">AI450/AH450</f>
        <v>3.02144093901125</v>
      </c>
      <c r="AK450" s="2" t="n">
        <f aca="false">AI450/(AH450+I450*(12-Hypothèses!$J$24)/12/Hypothèses!$J$19)</f>
        <v>2.99149000749765</v>
      </c>
      <c r="AL450" s="2" t="n">
        <f aca="false">(AD450+AG450+I450/Hypothèses!$J$19)*(1+G450)</f>
        <v>8063.12729868507</v>
      </c>
      <c r="AM450" s="2" t="n">
        <f aca="false">Entrées!$C$54*K450/Hypothèses!$J$19</f>
        <v>20.8157155181125</v>
      </c>
      <c r="AN450" s="2" t="n">
        <f aca="false">Y450*1000/AC450</f>
        <v>58.7271467787642</v>
      </c>
      <c r="AO450" s="2" t="n">
        <f aca="false">(Entrées!$C$36*(1-S450)+MAX(0,Entrées!$C$30-Entrées!$C$35-Entrées!$C$36)*U450)*1000</f>
        <v>948.192305432249</v>
      </c>
      <c r="AP450" s="2" t="n">
        <f aca="false">-AO450/W450</f>
        <v>-102.532640358181</v>
      </c>
      <c r="AQ450" s="2" t="n">
        <f aca="false">AL450+AM450+AN450+AP450</f>
        <v>8040.13752062377</v>
      </c>
      <c r="AR450" s="2" t="n">
        <f aca="false">O450*AQ450-Hypothèses!$J$25/Hypothèses!$J$19</f>
        <v>1241.72687110675</v>
      </c>
      <c r="AS450" s="2" t="n">
        <f aca="false">Entrées!$C$79*(1+Q450)+Hypothèses!$J$20</f>
        <v>1511.31989519226</v>
      </c>
      <c r="AT450" s="2" t="n">
        <f aca="false">AI450-AR450+AS450+Y450*1000-AO450+Hypothèses!$J$23</f>
        <v>22638.5155872336</v>
      </c>
      <c r="AU450" s="2" t="n">
        <f aca="false">AT450/AQ450</f>
        <v>2.81568760847231</v>
      </c>
      <c r="AV450" s="2" t="n">
        <f aca="false">Hypothèses!$J$26*AQ450-AT450</f>
        <v>1481.89697463769</v>
      </c>
      <c r="AW450" s="2" t="n">
        <f aca="false">IF(AC450&gt;Hypothèses!$J$26,MAX(0,AV450)/(1-Hypothèses!$J$26/AC450),0)</f>
        <v>2180.32965684101</v>
      </c>
      <c r="AX450" s="2" t="n">
        <f aca="false">AQ450-Entrées!$C$17*1000</f>
        <v>40.1375206237663</v>
      </c>
      <c r="AY450" s="2" t="n">
        <f aca="false">AI450+(Entrées!$C$244-Entrées!$C$13)</f>
        <v>28514.1211052038</v>
      </c>
      <c r="AZ450" s="2" t="n">
        <f aca="false">AA450*AH450</f>
        <v>5532.44928933029</v>
      </c>
      <c r="BA450" s="2" t="n">
        <f aca="false">AZ450/AY450</f>
        <v>0.194024892751144</v>
      </c>
      <c r="BB450" s="2" t="n">
        <f aca="false">AZ450/(Entrées!$C$151/100)-AY450</f>
        <v>2221.70827996449</v>
      </c>
      <c r="BC450" s="2" t="n">
        <f aca="false">AT450+(Entrées!$C$244-Entrées!$C$13)</f>
        <v>28385.5155872336</v>
      </c>
      <c r="BD450" s="2" t="n">
        <f aca="false">AA450*AQ450</f>
        <v>5903.19202532178</v>
      </c>
      <c r="BE450" s="2" t="n">
        <f aca="false">BD450/BC450</f>
        <v>0.207964939272646</v>
      </c>
      <c r="BF450" s="2" t="n">
        <f aca="false">BD450/(Entrées!$C$151/100)-BC450</f>
        <v>4409.99566455408</v>
      </c>
      <c r="BG450" s="2" t="n">
        <f aca="false">MIN(AV450,BF450)</f>
        <v>1481.89697463769</v>
      </c>
      <c r="BH450" s="2" t="n">
        <f aca="false">IF(AC450&gt;Hypothèses!$J$26,MAX(0,BG450)/(1-Hypothèses!$J$26/AC450),0)</f>
        <v>2180.32965684101</v>
      </c>
    </row>
    <row r="451" customFormat="false" ht="15" hidden="false" customHeight="false" outlineLevel="0" collapsed="false">
      <c r="A451" s="2" t="n">
        <v>436</v>
      </c>
      <c r="B451" s="2" t="n">
        <v>0.971330313</v>
      </c>
      <c r="C451" s="2"/>
      <c r="D451" s="2" t="n">
        <v>0.850484991</v>
      </c>
      <c r="E451" s="2" t="n">
        <f aca="false">IF(E$7=E$5,E$6,IF(NORMSDIST(E$9*SQRT($C$11)*NORMSINV($B451)+SQRT(1-E$9^2*$C$11)*NORMSINV(D451))&lt;E$8,E$5+SQRT(NORMSDIST(E$9*SQRT($C$11)*NORMSINV($B451)+SQRT(1-E$9^2*$C$11)*NORMSINV(D451))*(E$7-E$5)*(E$6-E$5)),E$7-SQRT((1-NORMSDIST(E$9*SQRT($C$11)*NORMSINV($B451)+SQRT(1-E$9^2*$C$11)*NORMSINV(D451)))*(E$7-E$5)*(E$7-E$6))))</f>
        <v>0.0589417258568815</v>
      </c>
      <c r="F451" s="2" t="n">
        <v>0.068306432</v>
      </c>
      <c r="G451" s="2" t="n">
        <f aca="false">IF(G$7=G$5,G$6,IF(NORMSDIST(G$9*SQRT($C$11)*NORMSINV($B451)+SQRT(1-G$9^2*$C$11)*NORMSINV(F451))&lt;G$8,G$5+SQRT(NORMSDIST(G$9*SQRT($C$11)*NORMSINV($B451)+SQRT(1-G$9^2*$C$11)*NORMSINV(F451))*(G$7-G$5)*(G$6-G$5)),G$7-SQRT((1-NORMSDIST(G$9*SQRT($C$11)*NORMSINV($B451)+SQRT(1-G$9^2*$C$11)*NORMSINV(F451)))*(G$7-G$5)*(G$7-G$6))))</f>
        <v>0.0552967104262754</v>
      </c>
      <c r="H451" s="2" t="n">
        <v>0.439951986</v>
      </c>
      <c r="I451" s="2" t="n">
        <f aca="false">IF(I$7=I$5,I$6,IF(NORMSDIST(I$9*SQRT($C$11)*NORMSINV($B451)+SQRT(1-I$9^2*$C$11)*NORMSINV(H451))&lt;I$8,I$5+SQRT(NORMSDIST(I$9*SQRT($C$11)*NORMSINV($B451)+SQRT(1-I$9^2*$C$11)*NORMSINV(H451))*(I$7-I$5)*(I$6-I$5)),I$7-SQRT((1-NORMSDIST(I$9*SQRT($C$11)*NORMSINV($B451)+SQRT(1-I$9^2*$C$11)*NORMSINV(H451)))*(I$7-I$5)*(I$7-I$6))))</f>
        <v>209.457042807945</v>
      </c>
      <c r="J451" s="2" t="n">
        <v>0.160011357</v>
      </c>
      <c r="K451" s="2" t="n">
        <f aca="false">IF(K$7=K$5,K$6,IF(NORMSDIST(K$9*SQRT($C$11)*NORMSINV($B451)+SQRT(1-K$9^2*$C$11)*NORMSINV(J451))&lt;K$8,K$5+SQRT(NORMSDIST(K$9*SQRT($C$11)*NORMSINV($B451)+SQRT(1-K$9^2*$C$11)*NORMSINV(J451))*(K$7-K$5)*(K$6-K$5)),K$7-SQRT((1-NORMSDIST(K$9*SQRT($C$11)*NORMSINV($B451)+SQRT(1-K$9^2*$C$11)*NORMSINV(J451)))*(K$7-K$5)*(K$7-K$6))))</f>
        <v>0.296000852736708</v>
      </c>
      <c r="L451" s="2" t="n">
        <v>0.117441998</v>
      </c>
      <c r="M451" s="2" t="n">
        <f aca="false">IF(M$7=M$5,M$6,IF(NORMSDIST(M$9*SQRT($C$11)*NORMSINV($B451)+SQRT(1-M$9^2*$C$11)*NORMSINV(L451))&lt;M$8,M$5+SQRT(NORMSDIST(M$9*SQRT($C$11)*NORMSINV($B451)+SQRT(1-M$9^2*$C$11)*NORMSINV(L451))*(M$7-M$5)*(M$6-M$5)),M$7-SQRT((1-NORMSDIST(M$9*SQRT($C$11)*NORMSINV($B451)+SQRT(1-M$9^2*$C$11)*NORMSINV(L451)))*(M$7-M$5)*(M$7-M$6))))</f>
        <v>1615.10823245429</v>
      </c>
      <c r="N451" s="2" t="n">
        <v>0.488177272</v>
      </c>
      <c r="O451" s="2" t="n">
        <f aca="false">IF(O$7=O$5,O$6,IF(NORMSDIST(O$9*SQRT($C$11)*NORMSINV($B451)+SQRT(1-O$9^2*$C$11)*NORMSINV(N451))&lt;O$8,O$5+SQRT(NORMSDIST(O$9*SQRT($C$11)*NORMSINV($B451)+SQRT(1-O$9^2*$C$11)*NORMSINV(N451))*(O$7-O$5)*(O$6-O$5)),O$7-SQRT((1-NORMSDIST(O$9*SQRT($C$11)*NORMSINV($B451)+SQRT(1-O$9^2*$C$11)*NORMSINV(N451)))*(O$7-O$5)*(O$7-O$6))))</f>
        <v>0.178733456935458</v>
      </c>
      <c r="P451" s="2" t="n">
        <v>0.027675096</v>
      </c>
      <c r="Q451" s="2" t="n">
        <f aca="false">IF(Q$7=Q$5,Q$6,IF(NORMSDIST(Q$9*SQRT($C$11)*NORMSINV($B451)+SQRT(1-Q$9^2*$C$11)*NORMSINV(P451))&lt;Q$8,Q$5+SQRT(NORMSDIST(Q$9*SQRT($C$11)*NORMSINV($B451)+SQRT(1-Q$9^2*$C$11)*NORMSINV(P451))*(Q$7-Q$5)*(Q$6-Q$5)),Q$7-SQRT((1-NORMSDIST(Q$9*SQRT($C$11)*NORMSINV($B451)+SQRT(1-Q$9^2*$C$11)*NORMSINV(P451)))*(Q$7-Q$5)*(Q$7-Q$6))))</f>
        <v>0.0494106486067646</v>
      </c>
      <c r="R451" s="2" t="n">
        <v>0.236930987</v>
      </c>
      <c r="S451" s="2" t="n">
        <f aca="false">IF(S$7=S$5,S$6,IF(NORMSDIST(S$9*SQRT($C$11)*NORMSINV($B451)+SQRT(1-S$9^2*$C$11)*NORMSINV(R451))&lt;S$8,S$5+SQRT(NORMSDIST(S$9*SQRT($C$11)*NORMSINV($B451)+SQRT(1-S$9^2*$C$11)*NORMSINV(R451))*(S$7-S$5)*(S$6-S$5)),S$7-SQRT((1-NORMSDIST(S$9*SQRT($C$11)*NORMSINV($B451)+SQRT(1-S$9^2*$C$11)*NORMSINV(R451)))*(S$7-S$5)*(S$7-S$6))))</f>
        <v>0.640344167340886</v>
      </c>
      <c r="T451" s="2" t="n">
        <v>0.603710719</v>
      </c>
      <c r="U451" s="2" t="n">
        <f aca="false">IF(U$7=U$5,U$6,IF(NORMSDIST(U$9*SQRT($C$11)*NORMSINV($B451)+SQRT(1-U$9^2*$C$11)*NORMSINV(T451))&lt;U$8,U$5+SQRT(NORMSDIST(U$9*SQRT($C$11)*NORMSINV($B451)+SQRT(1-U$9^2*$C$11)*NORMSINV(T451))*(U$7-U$5)*(U$6-U$5)),U$7-SQRT((1-NORMSDIST(U$9*SQRT($C$11)*NORMSINV($B451)+SQRT(1-U$9^2*$C$11)*NORMSINV(T451)))*(U$7-U$5)*(U$7-U$6))))</f>
        <v>0.800136907922036</v>
      </c>
      <c r="V451" s="2" t="n">
        <v>0.671847272</v>
      </c>
      <c r="W451" s="2" t="n">
        <f aca="false">IF(W$7=W$5,W$6,IF(NORMSDIST(W$9*SQRT($C$11)*NORMSINV($B451)+SQRT(1-W$9^2*$C$11)*NORMSINV(V451))&lt;W$8,W$5+SQRT(NORMSDIST(W$9*SQRT($C$11)*NORMSINV($B451)+SQRT(1-W$9^2*$C$11)*NORMSINV(V451))*(W$7-W$5)*(W$6-W$5)),W$7-SQRT((1-NORMSDIST(W$9*SQRT($C$11)*NORMSINV($B451)+SQRT(1-W$9^2*$C$11)*NORMSINV(V451)))*(W$7-W$5)*(W$7-W$6))))</f>
        <v>11.3017031686092</v>
      </c>
      <c r="X451" s="2" t="n">
        <v>0.426563907</v>
      </c>
      <c r="Y451" s="2" t="n">
        <f aca="false">IF(Y$7=Y$5,Y$6,IF(NORMSDIST(Y$9*SQRT($C$11)*NORMSINV($B451)+SQRT(1-Y$9^2*$C$11)*NORMSINV(X451))&lt;Y$8,Y$5+SQRT(NORMSDIST(Y$9*SQRT($C$11)*NORMSINV($B451)+SQRT(1-Y$9^2*$C$11)*NORMSINV(X451))*(Y$7-Y$5)*(Y$6-Y$5)),Y$7-SQRT((1-NORMSDIST(Y$9*SQRT($C$11)*NORMSINV($B451)+SQRT(1-Y$9^2*$C$11)*NORMSINV(X451)))*(Y$7-Y$5)*(Y$7-Y$6))))</f>
        <v>0.461824591701222</v>
      </c>
      <c r="Z451" s="2" t="n">
        <v>0.974281489</v>
      </c>
      <c r="AA451" s="2" t="n">
        <f aca="false">IF(AA$7=AA$5,AA$6,IF(NORMSDIST(AA$9*SQRT($C$11)*NORMSINV($B451)+SQRT(1-AA$9^2*$C$11)*NORMSINV(Z451))&lt;AA$8,AA$5+SQRT(NORMSDIST(AA$9*SQRT($C$11)*NORMSINV($B451)+SQRT(1-AA$9^2*$C$11)*NORMSINV(Z451))*(AA$7-AA$5)*(AA$6-AA$5)),AA$7-SQRT((1-NORMSDIST(AA$9*SQRT($C$11)*NORMSINV($B451)+SQRT(1-AA$9^2*$C$11)*NORMSINV(Z451)))*(AA$7-AA$5)*(AA$7-AA$6))))</f>
        <v>0.751795408058521</v>
      </c>
      <c r="AB451" s="2" t="n">
        <v>0.474817435</v>
      </c>
      <c r="AC451" s="2" t="n">
        <f aca="false">IF(AC$7=AC$5,AC$6,IF(NORMSDIST(AC$9*SQRT($C$11)*NORMSINV($B451)+SQRT(1-AC$9^2*$C$11)*NORMSINV(AB451))&lt;AC$8,AC$5+SQRT(NORMSDIST(AC$9*SQRT($C$11)*NORMSINV($B451)+SQRT(1-AC$9^2*$C$11)*NORMSINV(AB451))*(AC$7-AC$5)*(AC$6-AC$5)),AC$7-SQRT((1-NORMSDIST(AC$9*SQRT($C$11)*NORMSINV($B451)+SQRT(1-AC$9^2*$C$11)*NORMSINV(AB451)))*(AC$7-AC$5)*(AC$7-AC$6))))</f>
        <v>10.2668710755622</v>
      </c>
      <c r="AD451" s="2" t="n">
        <f aca="false">Entrées!$C$8*(1+E451)</f>
        <v>7465.53916729102</v>
      </c>
      <c r="AE451" s="2" t="n">
        <f aca="false">I451*Hypothèses!$J$24/12/Hypothèses!$J$19</f>
        <v>103.910968543676</v>
      </c>
      <c r="AF451" s="2" t="n">
        <f aca="false">Entrées!$C$36*S451*1000</f>
        <v>320.172083670443</v>
      </c>
      <c r="AG451" s="2" t="n">
        <f aca="false">-AF451/W451</f>
        <v>-28.3295428037547</v>
      </c>
      <c r="AH451" s="2" t="n">
        <f aca="false">AD451+AE451+AG451</f>
        <v>7541.12059303094</v>
      </c>
      <c r="AI451" s="2" t="n">
        <f aca="false">Entrées!$C$16-M451+Hypothèses!$J$22*1000-AF451+Hypothèses!$J$23</f>
        <v>22612.7196838753</v>
      </c>
      <c r="AJ451" s="2" t="n">
        <f aca="false">AI451/AH451</f>
        <v>2.99858879126965</v>
      </c>
      <c r="AK451" s="2" t="n">
        <f aca="false">AI451/(AH451+I451*(12-Hypothèses!$J$24)/12/Hypothèses!$J$19)</f>
        <v>2.9693633674593</v>
      </c>
      <c r="AL451" s="2" t="n">
        <f aca="false">(AD451+AG451+I451/Hypothèses!$J$19)*(1+G451)</f>
        <v>8036.44611424007</v>
      </c>
      <c r="AM451" s="2" t="n">
        <f aca="false">Entrées!$C$54*K451/Hypothèses!$J$19</f>
        <v>30.2081298490483</v>
      </c>
      <c r="AN451" s="2" t="n">
        <f aca="false">Y451*1000/AC451</f>
        <v>44.9820191860091</v>
      </c>
      <c r="AO451" s="2" t="n">
        <f aca="false">(Entrées!$C$36*(1-S451)+MAX(0,Entrées!$C$30-Entrées!$C$35-Entrées!$C$36)*U451)*1000</f>
        <v>1300.01958742041</v>
      </c>
      <c r="AP451" s="2" t="n">
        <f aca="false">-AO451/W451</f>
        <v>-115.028643738517</v>
      </c>
      <c r="AQ451" s="2" t="n">
        <f aca="false">AL451+AM451+AN451+AP451</f>
        <v>7996.60761953661</v>
      </c>
      <c r="AR451" s="2" t="n">
        <f aca="false">O451*AQ451-Hypothèses!$J$25/Hypothèses!$J$19</f>
        <v>1410.12616133458</v>
      </c>
      <c r="AS451" s="2" t="n">
        <f aca="false">Entrées!$C$79*(1+Q451)+Hypothèses!$J$20</f>
        <v>1448.30230281883</v>
      </c>
      <c r="AT451" s="2" t="n">
        <f aca="false">AI451-AR451+AS451+Y451*1000-AO451+Hypothèses!$J$23</f>
        <v>21812.7008296403</v>
      </c>
      <c r="AU451" s="2" t="n">
        <f aca="false">AT451/AQ451</f>
        <v>2.72774429701283</v>
      </c>
      <c r="AV451" s="2" t="n">
        <f aca="false">Hypothèses!$J$26*AQ451-AT451</f>
        <v>2177.12202896949</v>
      </c>
      <c r="AW451" s="2" t="n">
        <f aca="false">IF(AC451&gt;Hypothèses!$J$26,MAX(0,AV451)/(1-Hypothèses!$J$26/AC451),0)</f>
        <v>3075.90859322722</v>
      </c>
      <c r="AX451" s="2" t="n">
        <f aca="false">AQ451-Entrées!$C$17*1000</f>
        <v>-3.39238046339051</v>
      </c>
      <c r="AY451" s="2" t="n">
        <f aca="false">AI451+(Entrées!$C$244-Entrées!$C$13)</f>
        <v>28359.7196838753</v>
      </c>
      <c r="AZ451" s="2" t="n">
        <f aca="false">AA451*AH451</f>
        <v>5669.37983345621</v>
      </c>
      <c r="BA451" s="2" t="n">
        <f aca="false">AZ451/AY451</f>
        <v>0.199909586436417</v>
      </c>
      <c r="BB451" s="2" t="n">
        <f aca="false">AZ451/(Entrées!$C$151/100)-AY451</f>
        <v>3136.83494643703</v>
      </c>
      <c r="BC451" s="2" t="n">
        <f aca="false">AT451+(Entrées!$C$244-Entrées!$C$13)</f>
        <v>27559.7008296403</v>
      </c>
      <c r="BD451" s="2" t="n">
        <f aca="false">AA451*AQ451</f>
        <v>6011.81288841341</v>
      </c>
      <c r="BE451" s="2" t="n">
        <f aca="false">BD451/BC451</f>
        <v>0.218137813816459</v>
      </c>
      <c r="BF451" s="2" t="n">
        <f aca="false">BD451/(Entrées!$C$151/100)-BC451</f>
        <v>5839.25966154526</v>
      </c>
      <c r="BG451" s="2" t="n">
        <f aca="false">MIN(AV451,BF451)</f>
        <v>2177.12202896949</v>
      </c>
      <c r="BH451" s="2" t="n">
        <f aca="false">IF(AC451&gt;Hypothèses!$J$26,MAX(0,BG451)/(1-Hypothèses!$J$26/AC451),0)</f>
        <v>3075.90859322722</v>
      </c>
    </row>
    <row r="452" customFormat="false" ht="15" hidden="false" customHeight="false" outlineLevel="0" collapsed="false">
      <c r="A452" s="2" t="n">
        <v>437</v>
      </c>
      <c r="B452" s="2" t="n">
        <v>0.009529114</v>
      </c>
      <c r="C452" s="2"/>
      <c r="D452" s="2" t="n">
        <v>0.428723107</v>
      </c>
      <c r="E452" s="2" t="n">
        <f aca="false">IF(E$7=E$5,E$6,IF(NORMSDIST(E$9*SQRT($C$11)*NORMSINV($B452)+SQRT(1-E$9^2*$C$11)*NORMSINV(D452))&lt;E$8,E$5+SQRT(NORMSDIST(E$9*SQRT($C$11)*NORMSINV($B452)+SQRT(1-E$9^2*$C$11)*NORMSINV(D452))*(E$7-E$5)*(E$6-E$5)),E$7-SQRT((1-NORMSDIST(E$9*SQRT($C$11)*NORMSINV($B452)+SQRT(1-E$9^2*$C$11)*NORMSINV(D452)))*(E$7-E$5)*(E$7-E$6))))</f>
        <v>0.0516188985202805</v>
      </c>
      <c r="F452" s="2" t="n">
        <v>0.390467231</v>
      </c>
      <c r="G452" s="2" t="n">
        <f aca="false">IF(G$7=G$5,G$6,IF(NORMSDIST(G$9*SQRT($C$11)*NORMSINV($B452)+SQRT(1-G$9^2*$C$11)*NORMSINV(F452))&lt;G$8,G$5+SQRT(NORMSDIST(G$9*SQRT($C$11)*NORMSINV($B452)+SQRT(1-G$9^2*$C$11)*NORMSINV(F452))*(G$7-G$5)*(G$6-G$5)),G$7-SQRT((1-NORMSDIST(G$9*SQRT($C$11)*NORMSINV($B452)+SQRT(1-G$9^2*$C$11)*NORMSINV(F452)))*(G$7-G$5)*(G$7-G$6))))</f>
        <v>0.0444870198012233</v>
      </c>
      <c r="H452" s="2" t="n">
        <v>0.322286308</v>
      </c>
      <c r="I452" s="2" t="n">
        <f aca="false">IF(I$7=I$5,I$6,IF(NORMSDIST(I$9*SQRT($C$11)*NORMSINV($B452)+SQRT(1-I$9^2*$C$11)*NORMSINV(H452))&lt;I$8,I$5+SQRT(NORMSDIST(I$9*SQRT($C$11)*NORMSINV($B452)+SQRT(1-I$9^2*$C$11)*NORMSINV(H452))*(I$7-I$5)*(I$6-I$5)),I$7-SQRT((1-NORMSDIST(I$9*SQRT($C$11)*NORMSINV($B452)+SQRT(1-I$9^2*$C$11)*NORMSINV(H452)))*(I$7-I$5)*(I$7-I$6))))</f>
        <v>185.128745811258</v>
      </c>
      <c r="J452" s="2" t="n">
        <v>0.99159117</v>
      </c>
      <c r="K452" s="2" t="n">
        <f aca="false">IF(K$7=K$5,K$6,IF(NORMSDIST(K$9*SQRT($C$11)*NORMSINV($B452)+SQRT(1-K$9^2*$C$11)*NORMSINV(J452))&lt;K$8,K$5+SQRT(NORMSDIST(K$9*SQRT($C$11)*NORMSINV($B452)+SQRT(1-K$9^2*$C$11)*NORMSINV(J452))*(K$7-K$5)*(K$6-K$5)),K$7-SQRT((1-NORMSDIST(K$9*SQRT($C$11)*NORMSINV($B452)+SQRT(1-K$9^2*$C$11)*NORMSINV(J452)))*(K$7-K$5)*(K$7-K$6))))</f>
        <v>0.289039965867157</v>
      </c>
      <c r="L452" s="2" t="n">
        <v>0.903348781</v>
      </c>
      <c r="M452" s="2" t="n">
        <f aca="false">IF(M$7=M$5,M$6,IF(NORMSDIST(M$9*SQRT($C$11)*NORMSINV($B452)+SQRT(1-M$9^2*$C$11)*NORMSINV(L452))&lt;M$8,M$5+SQRT(NORMSDIST(M$9*SQRT($C$11)*NORMSINV($B452)+SQRT(1-M$9^2*$C$11)*NORMSINV(L452))*(M$7-M$5)*(M$6-M$5)),M$7-SQRT((1-NORMSDIST(M$9*SQRT($C$11)*NORMSINV($B452)+SQRT(1-M$9^2*$C$11)*NORMSINV(L452)))*(M$7-M$5)*(M$7-M$6))))</f>
        <v>1527.99064129011</v>
      </c>
      <c r="N452" s="2" t="n">
        <v>0.488463746</v>
      </c>
      <c r="O452" s="2" t="n">
        <f aca="false">IF(O$7=O$5,O$6,IF(NORMSDIST(O$9*SQRT($C$11)*NORMSINV($B452)+SQRT(1-O$9^2*$C$11)*NORMSINV(N452))&lt;O$8,O$5+SQRT(NORMSDIST(O$9*SQRT($C$11)*NORMSINV($B452)+SQRT(1-O$9^2*$C$11)*NORMSINV(N452))*(O$7-O$5)*(O$6-O$5)),O$7-SQRT((1-NORMSDIST(O$9*SQRT($C$11)*NORMSINV($B452)+SQRT(1-O$9^2*$C$11)*NORMSINV(N452)))*(O$7-O$5)*(O$7-O$6))))</f>
        <v>0.149742048264162</v>
      </c>
      <c r="P452" s="2" t="n">
        <v>0.126125029</v>
      </c>
      <c r="Q452" s="2" t="n">
        <f aca="false">IF(Q$7=Q$5,Q$6,IF(NORMSDIST(Q$9*SQRT($C$11)*NORMSINV($B452)+SQRT(1-Q$9^2*$C$11)*NORMSINV(P452))&lt;Q$8,Q$5+SQRT(NORMSDIST(Q$9*SQRT($C$11)*NORMSINV($B452)+SQRT(1-Q$9^2*$C$11)*NORMSINV(P452))*(Q$7-Q$5)*(Q$6-Q$5)),Q$7-SQRT((1-NORMSDIST(Q$9*SQRT($C$11)*NORMSINV($B452)+SQRT(1-Q$9^2*$C$11)*NORMSINV(P452)))*(Q$7-Q$5)*(Q$7-Q$6))))</f>
        <v>0.0600898007157861</v>
      </c>
      <c r="R452" s="2" t="n">
        <v>0.352594966</v>
      </c>
      <c r="S452" s="2" t="n">
        <f aca="false">IF(S$7=S$5,S$6,IF(NORMSDIST(S$9*SQRT($C$11)*NORMSINV($B452)+SQRT(1-S$9^2*$C$11)*NORMSINV(R452))&lt;S$8,S$5+SQRT(NORMSDIST(S$9*SQRT($C$11)*NORMSINV($B452)+SQRT(1-S$9^2*$C$11)*NORMSINV(R452))*(S$7-S$5)*(S$6-S$5)),S$7-SQRT((1-NORMSDIST(S$9*SQRT($C$11)*NORMSINV($B452)+SQRT(1-S$9^2*$C$11)*NORMSINV(R452)))*(S$7-S$5)*(S$7-S$6))))</f>
        <v>0.137632368659668</v>
      </c>
      <c r="T452" s="2" t="n">
        <v>0.590671021</v>
      </c>
      <c r="U452" s="2" t="n">
        <f aca="false">IF(U$7=U$5,U$6,IF(NORMSDIST(U$9*SQRT($C$11)*NORMSINV($B452)+SQRT(1-U$9^2*$C$11)*NORMSINV(T452))&lt;U$8,U$5+SQRT(NORMSDIST(U$9*SQRT($C$11)*NORMSINV($B452)+SQRT(1-U$9^2*$C$11)*NORMSINV(T452))*(U$7-U$5)*(U$6-U$5)),U$7-SQRT((1-NORMSDIST(U$9*SQRT($C$11)*NORMSINV($B452)+SQRT(1-U$9^2*$C$11)*NORMSINV(T452)))*(U$7-U$5)*(U$7-U$6))))</f>
        <v>0.219002698477123</v>
      </c>
      <c r="V452" s="2" t="n">
        <v>0.518678269</v>
      </c>
      <c r="W452" s="2" t="n">
        <f aca="false">IF(W$7=W$5,W$6,IF(NORMSDIST(W$9*SQRT($C$11)*NORMSINV($B452)+SQRT(1-W$9^2*$C$11)*NORMSINV(V452))&lt;W$8,W$5+SQRT(NORMSDIST(W$9*SQRT($C$11)*NORMSINV($B452)+SQRT(1-W$9^2*$C$11)*NORMSINV(V452))*(W$7-W$5)*(W$6-W$5)),W$7-SQRT((1-NORMSDIST(W$9*SQRT($C$11)*NORMSINV($B452)+SQRT(1-W$9^2*$C$11)*NORMSINV(V452)))*(W$7-W$5)*(W$7-W$6))))</f>
        <v>8.76955309072651</v>
      </c>
      <c r="X452" s="2" t="n">
        <v>0.391989716</v>
      </c>
      <c r="Y452" s="2" t="n">
        <f aca="false">IF(Y$7=Y$5,Y$6,IF(NORMSDIST(Y$9*SQRT($C$11)*NORMSINV($B452)+SQRT(1-Y$9^2*$C$11)*NORMSINV(X452))&lt;Y$8,Y$5+SQRT(NORMSDIST(Y$9*SQRT($C$11)*NORMSINV($B452)+SQRT(1-Y$9^2*$C$11)*NORMSINV(X452))*(Y$7-Y$5)*(Y$6-Y$5)),Y$7-SQRT((1-NORMSDIST(Y$9*SQRT($C$11)*NORMSINV($B452)+SQRT(1-Y$9^2*$C$11)*NORMSINV(X452)))*(Y$7-Y$5)*(Y$7-Y$6))))</f>
        <v>0.442713065088439</v>
      </c>
      <c r="Z452" s="2" t="n">
        <v>0.442339297</v>
      </c>
      <c r="AA452" s="2" t="n">
        <f aca="false">IF(AA$7=AA$5,AA$6,IF(NORMSDIST(AA$9*SQRT($C$11)*NORMSINV($B452)+SQRT(1-AA$9^2*$C$11)*NORMSINV(Z452))&lt;AA$8,AA$5+SQRT(NORMSDIST(AA$9*SQRT($C$11)*NORMSINV($B452)+SQRT(1-AA$9^2*$C$11)*NORMSINV(Z452))*(AA$7-AA$5)*(AA$6-AA$5)),AA$7-SQRT((1-NORMSDIST(AA$9*SQRT($C$11)*NORMSINV($B452)+SQRT(1-AA$9^2*$C$11)*NORMSINV(Z452)))*(AA$7-AA$5)*(AA$7-AA$6))))</f>
        <v>0.706209513172923</v>
      </c>
      <c r="AB452" s="2" t="n">
        <v>0.778209734</v>
      </c>
      <c r="AC452" s="2" t="n">
        <f aca="false">IF(AC$7=AC$5,AC$6,IF(NORMSDIST(AC$9*SQRT($C$11)*NORMSINV($B452)+SQRT(1-AC$9^2*$C$11)*NORMSINV(AB452))&lt;AC$8,AC$5+SQRT(NORMSDIST(AC$9*SQRT($C$11)*NORMSINV($B452)+SQRT(1-AC$9^2*$C$11)*NORMSINV(AB452))*(AC$7-AC$5)*(AC$6-AC$5)),AC$7-SQRT((1-NORMSDIST(AC$9*SQRT($C$11)*NORMSINV($B452)+SQRT(1-AC$9^2*$C$11)*NORMSINV(AB452)))*(AC$7-AC$5)*(AC$7-AC$6))))</f>
        <v>8.67086478765476</v>
      </c>
      <c r="AD452" s="2" t="n">
        <f aca="false">Entrées!$C$8*(1+E452)</f>
        <v>7413.91323456798</v>
      </c>
      <c r="AE452" s="2" t="n">
        <f aca="false">I452*Hypothèses!$J$24/12/Hypothèses!$J$19</f>
        <v>91.8417782693633</v>
      </c>
      <c r="AF452" s="2" t="n">
        <f aca="false">Entrées!$C$36*S452*1000</f>
        <v>68.816184329834</v>
      </c>
      <c r="AG452" s="2" t="n">
        <f aca="false">-AF452/W452</f>
        <v>-7.84717118624947</v>
      </c>
      <c r="AH452" s="2" t="n">
        <f aca="false">AD452+AE452+AG452</f>
        <v>7497.90784165109</v>
      </c>
      <c r="AI452" s="2" t="n">
        <f aca="false">Entrées!$C$16-M452+Hypothèses!$J$22*1000-AF452+Hypothèses!$J$23</f>
        <v>22951.1931743801</v>
      </c>
      <c r="AJ452" s="2" t="n">
        <f aca="false">AI452/AH452</f>
        <v>3.06101297309705</v>
      </c>
      <c r="AK452" s="2" t="n">
        <f aca="false">AI452/(AH452+I452*(12-Hypothèses!$J$24)/12/Hypothèses!$J$19)</f>
        <v>3.03446361139982</v>
      </c>
      <c r="AL452" s="2" t="n">
        <f aca="false">(AD452+AG452+I452/Hypothèses!$J$19)*(1+G452)</f>
        <v>7899.98709146881</v>
      </c>
      <c r="AM452" s="2" t="n">
        <f aca="false">Entrées!$C$54*K452/Hypothèses!$J$19</f>
        <v>29.4977421171354</v>
      </c>
      <c r="AN452" s="2" t="n">
        <f aca="false">Y452*1000/AC452</f>
        <v>51.0575445391279</v>
      </c>
      <c r="AO452" s="2" t="n">
        <f aca="false">(Entrées!$C$36*(1-S452)+MAX(0,Entrées!$C$30-Entrées!$C$35-Entrées!$C$36)*U452)*1000</f>
        <v>737.787593538138</v>
      </c>
      <c r="AP452" s="2" t="n">
        <f aca="false">-AO452/W452</f>
        <v>-84.1305806470711</v>
      </c>
      <c r="AQ452" s="2" t="n">
        <f aca="false">AL452+AM452+AN452+AP452</f>
        <v>7896.411797478</v>
      </c>
      <c r="AR452" s="2" t="n">
        <f aca="false">O452*AQ452-Hypothèses!$J$25/Hypothèses!$J$19</f>
        <v>1163.28971423003</v>
      </c>
      <c r="AS452" s="2" t="n">
        <f aca="false">Entrées!$C$79*(1+Q452)+Hypothèses!$J$20</f>
        <v>1460.03869098665</v>
      </c>
      <c r="AT452" s="2" t="n">
        <f aca="false">AI452-AR452+AS452+Y452*1000-AO452+Hypothèses!$J$23</f>
        <v>22952.867622687</v>
      </c>
      <c r="AU452" s="2" t="n">
        <f aca="false">AT452/AQ452</f>
        <v>2.90674653391529</v>
      </c>
      <c r="AV452" s="2" t="n">
        <f aca="false">Hypothèses!$J$26*AQ452-AT452</f>
        <v>736.367769747023</v>
      </c>
      <c r="AW452" s="2" t="n">
        <f aca="false">IF(AC452&gt;Hypothèses!$J$26,MAX(0,AV452)/(1-Hypothèses!$J$26/AC452),0)</f>
        <v>1125.92093173568</v>
      </c>
      <c r="AX452" s="2" t="n">
        <f aca="false">AQ452-Entrées!$C$17*1000</f>
        <v>-103.588202521999</v>
      </c>
      <c r="AY452" s="2" t="n">
        <f aca="false">AI452+(Entrées!$C$244-Entrées!$C$13)</f>
        <v>28698.1931743801</v>
      </c>
      <c r="AZ452" s="2" t="n">
        <f aca="false">AA452*AH452</f>
        <v>5295.09384666786</v>
      </c>
      <c r="BA452" s="2" t="n">
        <f aca="false">AZ452/AY452</f>
        <v>0.184509659353572</v>
      </c>
      <c r="BB452" s="2" t="n">
        <f aca="false">AZ452/(Entrées!$C$151/100)-AY452</f>
        <v>718.9948626636</v>
      </c>
      <c r="BC452" s="2" t="n">
        <f aca="false">AT452+(Entrées!$C$244-Entrées!$C$13)</f>
        <v>28699.867622687</v>
      </c>
      <c r="BD452" s="2" t="n">
        <f aca="false">AA452*AQ452</f>
        <v>5576.52113130986</v>
      </c>
      <c r="BE452" s="2" t="n">
        <f aca="false">BD452/BC452</f>
        <v>0.194304768392091</v>
      </c>
      <c r="BF452" s="2" t="n">
        <f aca="false">BD452/(Entrées!$C$151/100)-BC452</f>
        <v>2280.80532903449</v>
      </c>
      <c r="BG452" s="2" t="n">
        <f aca="false">MIN(AV452,BF452)</f>
        <v>736.367769747023</v>
      </c>
      <c r="BH452" s="2" t="n">
        <f aca="false">IF(AC452&gt;Hypothèses!$J$26,MAX(0,BG452)/(1-Hypothèses!$J$26/AC452),0)</f>
        <v>1125.92093173568</v>
      </c>
    </row>
    <row r="453" customFormat="false" ht="15" hidden="false" customHeight="false" outlineLevel="0" collapsed="false">
      <c r="A453" s="2" t="n">
        <v>438</v>
      </c>
      <c r="B453" s="2" t="n">
        <v>0.054205901</v>
      </c>
      <c r="C453" s="2"/>
      <c r="D453" s="2" t="n">
        <v>0.541115402</v>
      </c>
      <c r="E453" s="2" t="n">
        <f aca="false">IF(E$7=E$5,E$6,IF(NORMSDIST(E$9*SQRT($C$11)*NORMSINV($B453)+SQRT(1-E$9^2*$C$11)*NORMSINV(D453))&lt;E$8,E$5+SQRT(NORMSDIST(E$9*SQRT($C$11)*NORMSINV($B453)+SQRT(1-E$9^2*$C$11)*NORMSINV(D453))*(E$7-E$5)*(E$6-E$5)),E$7-SQRT((1-NORMSDIST(E$9*SQRT($C$11)*NORMSINV($B453)+SQRT(1-E$9^2*$C$11)*NORMSINV(D453)))*(E$7-E$5)*(E$7-E$6))))</f>
        <v>0.0529563734029149</v>
      </c>
      <c r="F453" s="2" t="n">
        <v>0.682338493</v>
      </c>
      <c r="G453" s="2" t="n">
        <f aca="false">IF(G$7=G$5,G$6,IF(NORMSDIST(G$9*SQRT($C$11)*NORMSINV($B453)+SQRT(1-G$9^2*$C$11)*NORMSINV(F453))&lt;G$8,G$5+SQRT(NORMSDIST(G$9*SQRT($C$11)*NORMSINV($B453)+SQRT(1-G$9^2*$C$11)*NORMSINV(F453))*(G$7-G$5)*(G$6-G$5)),G$7-SQRT((1-NORMSDIST(G$9*SQRT($C$11)*NORMSINV($B453)+SQRT(1-G$9^2*$C$11)*NORMSINV(F453)))*(G$7-G$5)*(G$7-G$6))))</f>
        <v>0.0507854125241743</v>
      </c>
      <c r="H453" s="2" t="n">
        <v>0.360109273</v>
      </c>
      <c r="I453" s="2" t="n">
        <f aca="false">IF(I$7=I$5,I$6,IF(NORMSDIST(I$9*SQRT($C$11)*NORMSINV($B453)+SQRT(1-I$9^2*$C$11)*NORMSINV(H453))&lt;I$8,I$5+SQRT(NORMSDIST(I$9*SQRT($C$11)*NORMSINV($B453)+SQRT(1-I$9^2*$C$11)*NORMSINV(H453))*(I$7-I$5)*(I$6-I$5)),I$7-SQRT((1-NORMSDIST(I$9*SQRT($C$11)*NORMSINV($B453)+SQRT(1-I$9^2*$C$11)*NORMSINV(H453)))*(I$7-I$5)*(I$7-I$6))))</f>
        <v>188.85648957905</v>
      </c>
      <c r="J453" s="2" t="n">
        <v>0.578278871</v>
      </c>
      <c r="K453" s="2" t="n">
        <f aca="false">IF(K$7=K$5,K$6,IF(NORMSDIST(K$9*SQRT($C$11)*NORMSINV($B453)+SQRT(1-K$9^2*$C$11)*NORMSINV(J453))&lt;K$8,K$5+SQRT(NORMSDIST(K$9*SQRT($C$11)*NORMSINV($B453)+SQRT(1-K$9^2*$C$11)*NORMSINV(J453))*(K$7-K$5)*(K$6-K$5)),K$7-SQRT((1-NORMSDIST(K$9*SQRT($C$11)*NORMSINV($B453)+SQRT(1-K$9^2*$C$11)*NORMSINV(J453)))*(K$7-K$5)*(K$7-K$6))))</f>
        <v>0.155823413666568</v>
      </c>
      <c r="L453" s="2" t="n">
        <v>0.557488548</v>
      </c>
      <c r="M453" s="2" t="n">
        <f aca="false">IF(M$7=M$5,M$6,IF(NORMSDIST(M$9*SQRT($C$11)*NORMSINV($B453)+SQRT(1-M$9^2*$C$11)*NORMSINV(L453))&lt;M$8,M$5+SQRT(NORMSDIST(M$9*SQRT($C$11)*NORMSINV($B453)+SQRT(1-M$9^2*$C$11)*NORMSINV(L453))*(M$7-M$5)*(M$6-M$5)),M$7-SQRT((1-NORMSDIST(M$9*SQRT($C$11)*NORMSINV($B453)+SQRT(1-M$9^2*$C$11)*NORMSINV(L453)))*(M$7-M$5)*(M$7-M$6))))</f>
        <v>1473.97902433748</v>
      </c>
      <c r="N453" s="2" t="n">
        <v>0.400975988</v>
      </c>
      <c r="O453" s="2" t="n">
        <f aca="false">IF(O$7=O$5,O$6,IF(NORMSDIST(O$9*SQRT($C$11)*NORMSINV($B453)+SQRT(1-O$9^2*$C$11)*NORMSINV(N453))&lt;O$8,O$5+SQRT(NORMSDIST(O$9*SQRT($C$11)*NORMSINV($B453)+SQRT(1-O$9^2*$C$11)*NORMSINV(N453))*(O$7-O$5)*(O$6-O$5)),O$7-SQRT((1-NORMSDIST(O$9*SQRT($C$11)*NORMSINV($B453)+SQRT(1-O$9^2*$C$11)*NORMSINV(N453)))*(O$7-O$5)*(O$7-O$6))))</f>
        <v>0.152745243655581</v>
      </c>
      <c r="P453" s="2" t="n">
        <v>0.64287256</v>
      </c>
      <c r="Q453" s="2" t="n">
        <f aca="false">IF(Q$7=Q$5,Q$6,IF(NORMSDIST(Q$9*SQRT($C$11)*NORMSINV($B453)+SQRT(1-Q$9^2*$C$11)*NORMSINV(P453))&lt;Q$8,Q$5+SQRT(NORMSDIST(Q$9*SQRT($C$11)*NORMSINV($B453)+SQRT(1-Q$9^2*$C$11)*NORMSINV(P453))*(Q$7-Q$5)*(Q$6-Q$5)),Q$7-SQRT((1-NORMSDIST(Q$9*SQRT($C$11)*NORMSINV($B453)+SQRT(1-Q$9^2*$C$11)*NORMSINV(P453)))*(Q$7-Q$5)*(Q$7-Q$6))))</f>
        <v>0.0861945594911115</v>
      </c>
      <c r="R453" s="2" t="n">
        <v>0.039212769</v>
      </c>
      <c r="S453" s="2" t="n">
        <f aca="false">IF(S$7=S$5,S$6,IF(NORMSDIST(S$9*SQRT($C$11)*NORMSINV($B453)+SQRT(1-S$9^2*$C$11)*NORMSINV(R453))&lt;S$8,S$5+SQRT(NORMSDIST(S$9*SQRT($C$11)*NORMSINV($B453)+SQRT(1-S$9^2*$C$11)*NORMSINV(R453))*(S$7-S$5)*(S$6-S$5)),S$7-SQRT((1-NORMSDIST(S$9*SQRT($C$11)*NORMSINV($B453)+SQRT(1-S$9^2*$C$11)*NORMSINV(R453)))*(S$7-S$5)*(S$7-S$6))))</f>
        <v>0.0659195331645995</v>
      </c>
      <c r="T453" s="2" t="n">
        <v>0.465471039</v>
      </c>
      <c r="U453" s="2" t="n">
        <f aca="false">IF(U$7=U$5,U$6,IF(NORMSDIST(U$9*SQRT($C$11)*NORMSINV($B453)+SQRT(1-U$9^2*$C$11)*NORMSINV(T453))&lt;U$8,U$5+SQRT(NORMSDIST(U$9*SQRT($C$11)*NORMSINV($B453)+SQRT(1-U$9^2*$C$11)*NORMSINV(T453))*(U$7-U$5)*(U$6-U$5)),U$7-SQRT((1-NORMSDIST(U$9*SQRT($C$11)*NORMSINV($B453)+SQRT(1-U$9^2*$C$11)*NORMSINV(T453)))*(U$7-U$5)*(U$7-U$6))))</f>
        <v>0.264126503053886</v>
      </c>
      <c r="V453" s="2" t="n">
        <v>0.032786264</v>
      </c>
      <c r="W453" s="2" t="n">
        <f aca="false">IF(W$7=W$5,W$6,IF(NORMSDIST(W$9*SQRT($C$11)*NORMSINV($B453)+SQRT(1-W$9^2*$C$11)*NORMSINV(V453))&lt;W$8,W$5+SQRT(NORMSDIST(W$9*SQRT($C$11)*NORMSINV($B453)+SQRT(1-W$9^2*$C$11)*NORMSINV(V453))*(W$7-W$5)*(W$6-W$5)),W$7-SQRT((1-NORMSDIST(W$9*SQRT($C$11)*NORMSINV($B453)+SQRT(1-W$9^2*$C$11)*NORMSINV(V453)))*(W$7-W$5)*(W$7-W$6))))</f>
        <v>8.24183949786533</v>
      </c>
      <c r="X453" s="2" t="n">
        <v>0.091354968</v>
      </c>
      <c r="Y453" s="2" t="n">
        <f aca="false">IF(Y$7=Y$5,Y$6,IF(NORMSDIST(Y$9*SQRT($C$11)*NORMSINV($B453)+SQRT(1-Y$9^2*$C$11)*NORMSINV(X453))&lt;Y$8,Y$5+SQRT(NORMSDIST(Y$9*SQRT($C$11)*NORMSINV($B453)+SQRT(1-Y$9^2*$C$11)*NORMSINV(X453))*(Y$7-Y$5)*(Y$6-Y$5)),Y$7-SQRT((1-NORMSDIST(Y$9*SQRT($C$11)*NORMSINV($B453)+SQRT(1-Y$9^2*$C$11)*NORMSINV(X453)))*(Y$7-Y$5)*(Y$7-Y$6))))</f>
        <v>0.213722914073339</v>
      </c>
      <c r="Z453" s="2" t="n">
        <v>0.672862291</v>
      </c>
      <c r="AA453" s="2" t="n">
        <f aca="false">IF(AA$7=AA$5,AA$6,IF(NORMSDIST(AA$9*SQRT($C$11)*NORMSINV($B453)+SQRT(1-AA$9^2*$C$11)*NORMSINV(Z453))&lt;AA$8,AA$5+SQRT(NORMSDIST(AA$9*SQRT($C$11)*NORMSINV($B453)+SQRT(1-AA$9^2*$C$11)*NORMSINV(Z453))*(AA$7-AA$5)*(AA$6-AA$5)),AA$7-SQRT((1-NORMSDIST(AA$9*SQRT($C$11)*NORMSINV($B453)+SQRT(1-AA$9^2*$C$11)*NORMSINV(Z453)))*(AA$7-AA$5)*(AA$7-AA$6))))</f>
        <v>0.718553350711269</v>
      </c>
      <c r="AB453" s="2" t="n">
        <v>0.081264606</v>
      </c>
      <c r="AC453" s="2" t="n">
        <f aca="false">IF(AC$7=AC$5,AC$6,IF(NORMSDIST(AC$9*SQRT($C$11)*NORMSINV($B453)+SQRT(1-AC$9^2*$C$11)*NORMSINV(AB453))&lt;AC$8,AC$5+SQRT(NORMSDIST(AC$9*SQRT($C$11)*NORMSINV($B453)+SQRT(1-AC$9^2*$C$11)*NORMSINV(AB453))*(AC$7-AC$5)*(AC$6-AC$5)),AC$7-SQRT((1-NORMSDIST(AC$9*SQRT($C$11)*NORMSINV($B453)+SQRT(1-AC$9^2*$C$11)*NORMSINV(AB453)))*(AC$7-AC$5)*(AC$7-AC$6))))</f>
        <v>7.794256869433</v>
      </c>
      <c r="AD453" s="2" t="n">
        <f aca="false">Entrées!$C$8*(1+E453)</f>
        <v>7423.34243249055</v>
      </c>
      <c r="AE453" s="2" t="n">
        <f aca="false">I453*Hypothèses!$J$24/12/Hypothèses!$J$19</f>
        <v>93.6911000214569</v>
      </c>
      <c r="AF453" s="2" t="n">
        <f aca="false">Entrées!$C$36*S453*1000</f>
        <v>32.9597665822998</v>
      </c>
      <c r="AG453" s="2" t="n">
        <f aca="false">-AF453/W453</f>
        <v>-3.99907891810275</v>
      </c>
      <c r="AH453" s="2" t="n">
        <f aca="false">AD453+AE453+AG453</f>
        <v>7513.0344535939</v>
      </c>
      <c r="AI453" s="2" t="n">
        <f aca="false">Entrées!$C$16-M453+Hypothèses!$J$22*1000-AF453+Hypothèses!$J$23</f>
        <v>23041.0612090802</v>
      </c>
      <c r="AJ453" s="2" t="n">
        <f aca="false">AI453/AH453</f>
        <v>3.06681159941419</v>
      </c>
      <c r="AK453" s="2" t="n">
        <f aca="false">AI453/(AH453+I453*(12-Hypothèses!$J$24)/12/Hypothèses!$J$19)</f>
        <v>3.03973521467096</v>
      </c>
      <c r="AL453" s="2" t="n">
        <f aca="false">(AD453+AG453+I453/Hypothèses!$J$19)*(1+G453)</f>
        <v>7964.90789418935</v>
      </c>
      <c r="AM453" s="2" t="n">
        <f aca="false">Entrées!$C$54*K453/Hypothèses!$J$19</f>
        <v>15.9024336249079</v>
      </c>
      <c r="AN453" s="2" t="n">
        <f aca="false">Y453*1000/AC453</f>
        <v>27.4205633267622</v>
      </c>
      <c r="AO453" s="2" t="n">
        <f aca="false">(Entrées!$C$36*(1-S453)+MAX(0,Entrées!$C$30-Entrées!$C$35-Entrées!$C$36)*U453)*1000</f>
        <v>836.817337693141</v>
      </c>
      <c r="AP453" s="2" t="n">
        <f aca="false">-AO453/W453</f>
        <v>-101.532835953658</v>
      </c>
      <c r="AQ453" s="2" t="n">
        <f aca="false">AL453+AM453+AN453+AP453</f>
        <v>7906.69805518737</v>
      </c>
      <c r="AR453" s="2" t="n">
        <f aca="false">O453*AQ453-Hypothèses!$J$25/Hypothèses!$J$19</f>
        <v>1188.57535868908</v>
      </c>
      <c r="AS453" s="2" t="n">
        <f aca="false">Entrées!$C$79*(1+Q453)+Hypothèses!$J$20</f>
        <v>1488.72782088073</v>
      </c>
      <c r="AT453" s="2" t="n">
        <f aca="false">AI453-AR453+AS453+Y453*1000-AO453+Hypothèses!$J$23</f>
        <v>22718.1192476521</v>
      </c>
      <c r="AU453" s="2" t="n">
        <f aca="false">AT453/AQ453</f>
        <v>2.87327517619664</v>
      </c>
      <c r="AV453" s="2" t="n">
        <f aca="false">Hypothèses!$J$26*AQ453-AT453</f>
        <v>1001.97491791002</v>
      </c>
      <c r="AW453" s="2" t="n">
        <f aca="false">IF(AC453&gt;Hypothèses!$J$26,MAX(0,AV453)/(1-Hypothèses!$J$26/AC453),0)</f>
        <v>1628.95941949046</v>
      </c>
      <c r="AX453" s="2" t="n">
        <f aca="false">AQ453-Entrées!$C$17*1000</f>
        <v>-93.3019448126343</v>
      </c>
      <c r="AY453" s="2" t="n">
        <f aca="false">AI453+(Entrées!$C$244-Entrées!$C$13)</f>
        <v>28788.0612090802</v>
      </c>
      <c r="AZ453" s="2" t="n">
        <f aca="false">AA453*AH453</f>
        <v>5398.51608063911</v>
      </c>
      <c r="BA453" s="2" t="n">
        <f aca="false">AZ453/AY453</f>
        <v>0.187526212391695</v>
      </c>
      <c r="BB453" s="2" t="n">
        <f aca="false">AZ453/(Entrées!$C$151/100)-AY453</f>
        <v>1203.69479447036</v>
      </c>
      <c r="BC453" s="2" t="n">
        <f aca="false">AT453+(Entrées!$C$244-Entrées!$C$13)</f>
        <v>28465.1192476521</v>
      </c>
      <c r="BD453" s="2" t="n">
        <f aca="false">AA453*AQ453</f>
        <v>5681.38438061715</v>
      </c>
      <c r="BE453" s="2" t="n">
        <f aca="false">BD453/BC453</f>
        <v>0.199591097131475</v>
      </c>
      <c r="BF453" s="2" t="n">
        <f aca="false">BD453/(Entrées!$C$151/100)-BC453</f>
        <v>3098.12731133211</v>
      </c>
      <c r="BG453" s="2" t="n">
        <f aca="false">MIN(AV453,BF453)</f>
        <v>1001.97491791002</v>
      </c>
      <c r="BH453" s="2" t="n">
        <f aca="false">IF(AC453&gt;Hypothèses!$J$26,MAX(0,BG453)/(1-Hypothèses!$J$26/AC453),0)</f>
        <v>1628.95941949046</v>
      </c>
    </row>
    <row r="454" customFormat="false" ht="15" hidden="false" customHeight="false" outlineLevel="0" collapsed="false">
      <c r="A454" s="2" t="n">
        <v>439</v>
      </c>
      <c r="B454" s="2" t="n">
        <v>0.353926798</v>
      </c>
      <c r="C454" s="2"/>
      <c r="D454" s="2" t="n">
        <v>0.632499492</v>
      </c>
      <c r="E454" s="2" t="n">
        <f aca="false">IF(E$7=E$5,E$6,IF(NORMSDIST(E$9*SQRT($C$11)*NORMSINV($B454)+SQRT(1-E$9^2*$C$11)*NORMSINV(D454))&lt;E$8,E$5+SQRT(NORMSDIST(E$9*SQRT($C$11)*NORMSINV($B454)+SQRT(1-E$9^2*$C$11)*NORMSINV(D454))*(E$7-E$5)*(E$6-E$5)),E$7-SQRT((1-NORMSDIST(E$9*SQRT($C$11)*NORMSINV($B454)+SQRT(1-E$9^2*$C$11)*NORMSINV(D454)))*(E$7-E$5)*(E$7-E$6))))</f>
        <v>0.0550504750633012</v>
      </c>
      <c r="F454" s="2" t="n">
        <v>0.657784839</v>
      </c>
      <c r="G454" s="2" t="n">
        <f aca="false">IF(G$7=G$5,G$6,IF(NORMSDIST(G$9*SQRT($C$11)*NORMSINV($B454)+SQRT(1-G$9^2*$C$11)*NORMSINV(F454))&lt;G$8,G$5+SQRT(NORMSDIST(G$9*SQRT($C$11)*NORMSINV($B454)+SQRT(1-G$9^2*$C$11)*NORMSINV(F454))*(G$7-G$5)*(G$6-G$5)),G$7-SQRT((1-NORMSDIST(G$9*SQRT($C$11)*NORMSINV($B454)+SQRT(1-G$9^2*$C$11)*NORMSINV(F454)))*(G$7-G$5)*(G$7-G$6))))</f>
        <v>0.0554725942886776</v>
      </c>
      <c r="H454" s="2" t="n">
        <v>0.139384202</v>
      </c>
      <c r="I454" s="2" t="n">
        <f aca="false">IF(I$7=I$5,I$6,IF(NORMSDIST(I$9*SQRT($C$11)*NORMSINV($B454)+SQRT(1-I$9^2*$C$11)*NORMSINV(H454))&lt;I$8,I$5+SQRT(NORMSDIST(I$9*SQRT($C$11)*NORMSINV($B454)+SQRT(1-I$9^2*$C$11)*NORMSINV(H454))*(I$7-I$5)*(I$6-I$5)),I$7-SQRT((1-NORMSDIST(I$9*SQRT($C$11)*NORMSINV($B454)+SQRT(1-I$9^2*$C$11)*NORMSINV(H454)))*(I$7-I$5)*(I$7-I$6))))</f>
        <v>190.619662442813</v>
      </c>
      <c r="J454" s="2" t="n">
        <v>0.955631735</v>
      </c>
      <c r="K454" s="2" t="n">
        <f aca="false">IF(K$7=K$5,K$6,IF(NORMSDIST(K$9*SQRT($C$11)*NORMSINV($B454)+SQRT(1-K$9^2*$C$11)*NORMSINV(J454))&lt;K$8,K$5+SQRT(NORMSDIST(K$9*SQRT($C$11)*NORMSINV($B454)+SQRT(1-K$9^2*$C$11)*NORMSINV(J454))*(K$7-K$5)*(K$6-K$5)),K$7-SQRT((1-NORMSDIST(K$9*SQRT($C$11)*NORMSINV($B454)+SQRT(1-K$9^2*$C$11)*NORMSINV(J454)))*(K$7-K$5)*(K$7-K$6))))</f>
        <v>0.367829713181274</v>
      </c>
      <c r="L454" s="2" t="n">
        <v>0.961517823</v>
      </c>
      <c r="M454" s="2" t="n">
        <f aca="false">IF(M$7=M$5,M$6,IF(NORMSDIST(M$9*SQRT($C$11)*NORMSINV($B454)+SQRT(1-M$9^2*$C$11)*NORMSINV(L454))&lt;M$8,M$5+SQRT(NORMSDIST(M$9*SQRT($C$11)*NORMSINV($B454)+SQRT(1-M$9^2*$C$11)*NORMSINV(L454))*(M$7-M$5)*(M$6-M$5)),M$7-SQRT((1-NORMSDIST(M$9*SQRT($C$11)*NORMSINV($B454)+SQRT(1-M$9^2*$C$11)*NORMSINV(L454)))*(M$7-M$5)*(M$7-M$6))))</f>
        <v>1690.70948859664</v>
      </c>
      <c r="N454" s="2" t="n">
        <v>0.224714231</v>
      </c>
      <c r="O454" s="2" t="n">
        <f aca="false">IF(O$7=O$5,O$6,IF(NORMSDIST(O$9*SQRT($C$11)*NORMSINV($B454)+SQRT(1-O$9^2*$C$11)*NORMSINV(N454))&lt;O$8,O$5+SQRT(NORMSDIST(O$9*SQRT($C$11)*NORMSINV($B454)+SQRT(1-O$9^2*$C$11)*NORMSINV(N454))*(O$7-O$5)*(O$6-O$5)),O$7-SQRT((1-NORMSDIST(O$9*SQRT($C$11)*NORMSINV($B454)+SQRT(1-O$9^2*$C$11)*NORMSINV(N454)))*(O$7-O$5)*(O$7-O$6))))</f>
        <v>0.15716241014438</v>
      </c>
      <c r="P454" s="2" t="n">
        <v>0.074421755</v>
      </c>
      <c r="Q454" s="2" t="n">
        <f aca="false">IF(Q$7=Q$5,Q$6,IF(NORMSDIST(Q$9*SQRT($C$11)*NORMSINV($B454)+SQRT(1-Q$9^2*$C$11)*NORMSINV(P454))&lt;Q$8,Q$5+SQRT(NORMSDIST(Q$9*SQRT($C$11)*NORMSINV($B454)+SQRT(1-Q$9^2*$C$11)*NORMSINV(P454))*(Q$7-Q$5)*(Q$6-Q$5)),Q$7-SQRT((1-NORMSDIST(Q$9*SQRT($C$11)*NORMSINV($B454)+SQRT(1-Q$9^2*$C$11)*NORMSINV(P454)))*(Q$7-Q$5)*(Q$7-Q$6))))</f>
        <v>0.055432096941116</v>
      </c>
      <c r="R454" s="2" t="n">
        <v>0.850084418</v>
      </c>
      <c r="S454" s="2" t="n">
        <f aca="false">IF(S$7=S$5,S$6,IF(NORMSDIST(S$9*SQRT($C$11)*NORMSINV($B454)+SQRT(1-S$9^2*$C$11)*NORMSINV(R454))&lt;S$8,S$5+SQRT(NORMSDIST(S$9*SQRT($C$11)*NORMSINV($B454)+SQRT(1-S$9^2*$C$11)*NORMSINV(R454))*(S$7-S$5)*(S$6-S$5)),S$7-SQRT((1-NORMSDIST(S$9*SQRT($C$11)*NORMSINV($B454)+SQRT(1-S$9^2*$C$11)*NORMSINV(R454)))*(S$7-S$5)*(S$7-S$6))))</f>
        <v>0.622067663777051</v>
      </c>
      <c r="T454" s="2" t="n">
        <v>0.292953768</v>
      </c>
      <c r="U454" s="2" t="n">
        <f aca="false">IF(U$7=U$5,U$6,IF(NORMSDIST(U$9*SQRT($C$11)*NORMSINV($B454)+SQRT(1-U$9^2*$C$11)*NORMSINV(T454))&lt;U$8,U$5+SQRT(NORMSDIST(U$9*SQRT($C$11)*NORMSINV($B454)+SQRT(1-U$9^2*$C$11)*NORMSINV(T454))*(U$7-U$5)*(U$6-U$5)),U$7-SQRT((1-NORMSDIST(U$9*SQRT($C$11)*NORMSINV($B454)+SQRT(1-U$9^2*$C$11)*NORMSINV(T454)))*(U$7-U$5)*(U$7-U$6))))</f>
        <v>0.357037555692977</v>
      </c>
      <c r="V454" s="2" t="n">
        <v>0.495986764</v>
      </c>
      <c r="W454" s="2" t="n">
        <f aca="false">IF(W$7=W$5,W$6,IF(NORMSDIST(W$9*SQRT($C$11)*NORMSINV($B454)+SQRT(1-W$9^2*$C$11)*NORMSINV(V454))&lt;W$8,W$5+SQRT(NORMSDIST(W$9*SQRT($C$11)*NORMSINV($B454)+SQRT(1-W$9^2*$C$11)*NORMSINV(V454))*(W$7-W$5)*(W$6-W$5)),W$7-SQRT((1-NORMSDIST(W$9*SQRT($C$11)*NORMSINV($B454)+SQRT(1-W$9^2*$C$11)*NORMSINV(V454)))*(W$7-W$5)*(W$7-W$6))))</f>
        <v>9.79623174844143</v>
      </c>
      <c r="X454" s="2" t="n">
        <v>0.043575126</v>
      </c>
      <c r="Y454" s="2" t="n">
        <f aca="false">IF(Y$7=Y$5,Y$6,IF(NORMSDIST(Y$9*SQRT($C$11)*NORMSINV($B454)+SQRT(1-Y$9^2*$C$11)*NORMSINV(X454))&lt;Y$8,Y$5+SQRT(NORMSDIST(Y$9*SQRT($C$11)*NORMSINV($B454)+SQRT(1-Y$9^2*$C$11)*NORMSINV(X454))*(Y$7-Y$5)*(Y$6-Y$5)),Y$7-SQRT((1-NORMSDIST(Y$9*SQRT($C$11)*NORMSINV($B454)+SQRT(1-Y$9^2*$C$11)*NORMSINV(X454)))*(Y$7-Y$5)*(Y$7-Y$6))))</f>
        <v>0.147606107597213</v>
      </c>
      <c r="Z454" s="2" t="n">
        <v>0.956518114</v>
      </c>
      <c r="AA454" s="2" t="n">
        <f aca="false">IF(AA$7=AA$5,AA$6,IF(NORMSDIST(AA$9*SQRT($C$11)*NORMSINV($B454)+SQRT(1-AA$9^2*$C$11)*NORMSINV(Z454))&lt;AA$8,AA$5+SQRT(NORMSDIST(AA$9*SQRT($C$11)*NORMSINV($B454)+SQRT(1-AA$9^2*$C$11)*NORMSINV(Z454))*(AA$7-AA$5)*(AA$6-AA$5)),AA$7-SQRT((1-NORMSDIST(AA$9*SQRT($C$11)*NORMSINV($B454)+SQRT(1-AA$9^2*$C$11)*NORMSINV(Z454)))*(AA$7-AA$5)*(AA$7-AA$6))))</f>
        <v>0.740546675953236</v>
      </c>
      <c r="AB454" s="2" t="n">
        <v>0.126024732</v>
      </c>
      <c r="AC454" s="2" t="n">
        <f aca="false">IF(AC$7=AC$5,AC$6,IF(NORMSDIST(AC$9*SQRT($C$11)*NORMSINV($B454)+SQRT(1-AC$9^2*$C$11)*NORMSINV(AB454))&lt;AC$8,AC$5+SQRT(NORMSDIST(AC$9*SQRT($C$11)*NORMSINV($B454)+SQRT(1-AC$9^2*$C$11)*NORMSINV(AB454))*(AC$7-AC$5)*(AC$6-AC$5)),AC$7-SQRT((1-NORMSDIST(AC$9*SQRT($C$11)*NORMSINV($B454)+SQRT(1-AC$9^2*$C$11)*NORMSINV(AB454)))*(AC$7-AC$5)*(AC$7-AC$6))))</f>
        <v>8.46168543241869</v>
      </c>
      <c r="AD454" s="2" t="n">
        <f aca="false">Entrées!$C$8*(1+E454)</f>
        <v>7438.10584919627</v>
      </c>
      <c r="AE454" s="2" t="n">
        <f aca="false">I454*Hypothèses!$J$24/12/Hypothèses!$J$19</f>
        <v>94.5658044359153</v>
      </c>
      <c r="AF454" s="2" t="n">
        <f aca="false">Entrées!$C$36*S454*1000</f>
        <v>311.033831888526</v>
      </c>
      <c r="AG454" s="2" t="n">
        <f aca="false">-AF454/W454</f>
        <v>-31.7503546134472</v>
      </c>
      <c r="AH454" s="2" t="n">
        <f aca="false">AD454+AE454+AG454</f>
        <v>7500.92129901874</v>
      </c>
      <c r="AI454" s="2" t="n">
        <f aca="false">Entrées!$C$16-M454+Hypothèses!$J$22*1000-AF454+Hypothèses!$J$23</f>
        <v>22546.2566795148</v>
      </c>
      <c r="AJ454" s="2" t="n">
        <f aca="false">AI454/AH454</f>
        <v>3.00579832539562</v>
      </c>
      <c r="AK454" s="2" t="n">
        <f aca="false">AI454/(AH454+I454*(12-Hypothèses!$J$24)/12/Hypothèses!$J$19)</f>
        <v>2.97897220141611</v>
      </c>
      <c r="AL454" s="2" t="n">
        <f aca="false">(AD454+AG454+I454/Hypothèses!$J$19)*(1+G454)</f>
        <v>7988.3108737012</v>
      </c>
      <c r="AM454" s="2" t="n">
        <f aca="false">Entrées!$C$54*K454/Hypothèses!$J$19</f>
        <v>37.5385666473121</v>
      </c>
      <c r="AN454" s="2" t="n">
        <f aca="false">Y454*1000/AC454</f>
        <v>17.444055179799</v>
      </c>
      <c r="AO454" s="2" t="n">
        <f aca="false">(Entrées!$C$36*(1-S454)+MAX(0,Entrées!$C$30-Entrées!$C$35-Entrées!$C$36)*U454)*1000</f>
        <v>688.818746081643</v>
      </c>
      <c r="AP454" s="2" t="n">
        <f aca="false">-AO454/W454</f>
        <v>-70.3146642270109</v>
      </c>
      <c r="AQ454" s="2" t="n">
        <f aca="false">AL454+AM454+AN454+AP454</f>
        <v>7972.9788313013</v>
      </c>
      <c r="AR454" s="2" t="n">
        <f aca="false">O454*AQ454-Hypothèses!$J$25/Hypothèses!$J$19</f>
        <v>1233.91740689581</v>
      </c>
      <c r="AS454" s="2" t="n">
        <f aca="false">Entrées!$C$79*(1+Q454)+Hypothèses!$J$20</f>
        <v>1454.91987453829</v>
      </c>
      <c r="AT454" s="2" t="n">
        <f aca="false">AI454-AR454+AS454+Y454*1000-AO454+Hypothèses!$J$23</f>
        <v>22226.0465086729</v>
      </c>
      <c r="AU454" s="2" t="n">
        <f aca="false">AT454/AQ454</f>
        <v>2.78767158159446</v>
      </c>
      <c r="AV454" s="2" t="n">
        <f aca="false">Hypothèses!$J$26*AQ454-AT454</f>
        <v>1692.88998523102</v>
      </c>
      <c r="AW454" s="2" t="n">
        <f aca="false">IF(AC454&gt;Hypothèses!$J$26,MAX(0,AV454)/(1-Hypothèses!$J$26/AC454),0)</f>
        <v>2622.76227804888</v>
      </c>
      <c r="AX454" s="2" t="n">
        <f aca="false">AQ454-Entrées!$C$17*1000</f>
        <v>-27.0211686986986</v>
      </c>
      <c r="AY454" s="2" t="n">
        <f aca="false">AI454+(Entrées!$C$244-Entrées!$C$13)</f>
        <v>28293.2566795148</v>
      </c>
      <c r="AZ454" s="2" t="n">
        <f aca="false">AA454*AH454</f>
        <v>5554.78233457516</v>
      </c>
      <c r="BA454" s="2" t="n">
        <f aca="false">AZ454/AY454</f>
        <v>0.196328842504616</v>
      </c>
      <c r="BB454" s="2" t="n">
        <f aca="false">AZ454/(Entrées!$C$151/100)-AY454</f>
        <v>2566.64517923603</v>
      </c>
      <c r="BC454" s="2" t="n">
        <f aca="false">AT454+(Entrées!$C$244-Entrées!$C$13)</f>
        <v>27973.0465086729</v>
      </c>
      <c r="BD454" s="2" t="n">
        <f aca="false">AA454*AQ454</f>
        <v>5904.36297096569</v>
      </c>
      <c r="BE454" s="2" t="n">
        <f aca="false">BD454/BC454</f>
        <v>0.211073290466774</v>
      </c>
      <c r="BF454" s="2" t="n">
        <f aca="false">BD454/(Entrées!$C$151/100)-BC454</f>
        <v>4828.96999669208</v>
      </c>
      <c r="BG454" s="2" t="n">
        <f aca="false">MIN(AV454,BF454)</f>
        <v>1692.88998523102</v>
      </c>
      <c r="BH454" s="2" t="n">
        <f aca="false">IF(AC454&gt;Hypothèses!$J$26,MAX(0,BG454)/(1-Hypothèses!$J$26/AC454),0)</f>
        <v>2622.76227804888</v>
      </c>
    </row>
    <row r="455" customFormat="false" ht="15" hidden="false" customHeight="false" outlineLevel="0" collapsed="false">
      <c r="A455" s="2" t="n">
        <v>440</v>
      </c>
      <c r="B455" s="2" t="n">
        <v>0.428420043</v>
      </c>
      <c r="C455" s="2"/>
      <c r="D455" s="2" t="n">
        <v>0.161866894</v>
      </c>
      <c r="E455" s="2" t="n">
        <f aca="false">IF(E$7=E$5,E$6,IF(NORMSDIST(E$9*SQRT($C$11)*NORMSINV($B455)+SQRT(1-E$9^2*$C$11)*NORMSINV(D455))&lt;E$8,E$5+SQRT(NORMSDIST(E$9*SQRT($C$11)*NORMSINV($B455)+SQRT(1-E$9^2*$C$11)*NORMSINV(D455))*(E$7-E$5)*(E$6-E$5)),E$7-SQRT((1-NORMSDIST(E$9*SQRT($C$11)*NORMSINV($B455)+SQRT(1-E$9^2*$C$11)*NORMSINV(D455)))*(E$7-E$5)*(E$7-E$6))))</f>
        <v>0.0530809296684744</v>
      </c>
      <c r="F455" s="2" t="n">
        <v>0.42557195</v>
      </c>
      <c r="G455" s="2" t="n">
        <f aca="false">IF(G$7=G$5,G$6,IF(NORMSDIST(G$9*SQRT($C$11)*NORMSINV($B455)+SQRT(1-G$9^2*$C$11)*NORMSINV(F455))&lt;G$8,G$5+SQRT(NORMSDIST(G$9*SQRT($C$11)*NORMSINV($B455)+SQRT(1-G$9^2*$C$11)*NORMSINV(F455))*(G$7-G$5)*(G$6-G$5)),G$7-SQRT((1-NORMSDIST(G$9*SQRT($C$11)*NORMSINV($B455)+SQRT(1-G$9^2*$C$11)*NORMSINV(F455)))*(G$7-G$5)*(G$7-G$6))))</f>
        <v>0.053376813667501</v>
      </c>
      <c r="H455" s="2" t="n">
        <v>0.084034855</v>
      </c>
      <c r="I455" s="2" t="n">
        <f aca="false">IF(I$7=I$5,I$6,IF(NORMSDIST(I$9*SQRT($C$11)*NORMSINV($B455)+SQRT(1-I$9^2*$C$11)*NORMSINV(H455))&lt;I$8,I$5+SQRT(NORMSDIST(I$9*SQRT($C$11)*NORMSINV($B455)+SQRT(1-I$9^2*$C$11)*NORMSINV(H455))*(I$7-I$5)*(I$6-I$5)),I$7-SQRT((1-NORMSDIST(I$9*SQRT($C$11)*NORMSINV($B455)+SQRT(1-I$9^2*$C$11)*NORMSINV(H455)))*(I$7-I$5)*(I$7-I$6))))</f>
        <v>189.742194169735</v>
      </c>
      <c r="J455" s="2" t="n">
        <v>0.308857475</v>
      </c>
      <c r="K455" s="2" t="n">
        <f aca="false">IF(K$7=K$5,K$6,IF(NORMSDIST(K$9*SQRT($C$11)*NORMSINV($B455)+SQRT(1-K$9^2*$C$11)*NORMSINV(J455))&lt;K$8,K$5+SQRT(NORMSDIST(K$9*SQRT($C$11)*NORMSINV($B455)+SQRT(1-K$9^2*$C$11)*NORMSINV(J455))*(K$7-K$5)*(K$6-K$5)),K$7-SQRT((1-NORMSDIST(K$9*SQRT($C$11)*NORMSINV($B455)+SQRT(1-K$9^2*$C$11)*NORMSINV(J455)))*(K$7-K$5)*(K$7-K$6))))</f>
        <v>0.196308189833461</v>
      </c>
      <c r="L455" s="2" t="n">
        <v>0.879215181</v>
      </c>
      <c r="M455" s="2" t="n">
        <f aca="false">IF(M$7=M$5,M$6,IF(NORMSDIST(M$9*SQRT($C$11)*NORMSINV($B455)+SQRT(1-M$9^2*$C$11)*NORMSINV(L455))&lt;M$8,M$5+SQRT(NORMSDIST(M$9*SQRT($C$11)*NORMSINV($B455)+SQRT(1-M$9^2*$C$11)*NORMSINV(L455))*(M$7-M$5)*(M$6-M$5)),M$7-SQRT((1-NORMSDIST(M$9*SQRT($C$11)*NORMSINV($B455)+SQRT(1-M$9^2*$C$11)*NORMSINV(L455)))*(M$7-M$5)*(M$7-M$6))))</f>
        <v>1661.4117587726</v>
      </c>
      <c r="N455" s="2" t="n">
        <v>0.428535127</v>
      </c>
      <c r="O455" s="2" t="n">
        <f aca="false">IF(O$7=O$5,O$6,IF(NORMSDIST(O$9*SQRT($C$11)*NORMSINV($B455)+SQRT(1-O$9^2*$C$11)*NORMSINV(N455))&lt;O$8,O$5+SQRT(NORMSDIST(O$9*SQRT($C$11)*NORMSINV($B455)+SQRT(1-O$9^2*$C$11)*NORMSINV(N455))*(O$7-O$5)*(O$6-O$5)),O$7-SQRT((1-NORMSDIST(O$9*SQRT($C$11)*NORMSINV($B455)+SQRT(1-O$9^2*$C$11)*NORMSINV(N455)))*(O$7-O$5)*(O$7-O$6))))</f>
        <v>0.163953826331004</v>
      </c>
      <c r="P455" s="2" t="n">
        <v>0.904204895</v>
      </c>
      <c r="Q455" s="2" t="n">
        <f aca="false">IF(Q$7=Q$5,Q$6,IF(NORMSDIST(Q$9*SQRT($C$11)*NORMSINV($B455)+SQRT(1-Q$9^2*$C$11)*NORMSINV(P455))&lt;Q$8,Q$5+SQRT(NORMSDIST(Q$9*SQRT($C$11)*NORMSINV($B455)+SQRT(1-Q$9^2*$C$11)*NORMSINV(P455))*(Q$7-Q$5)*(Q$6-Q$5)),Q$7-SQRT((1-NORMSDIST(Q$9*SQRT($C$11)*NORMSINV($B455)+SQRT(1-Q$9^2*$C$11)*NORMSINV(P455)))*(Q$7-Q$5)*(Q$7-Q$6))))</f>
        <v>0.10249159241964</v>
      </c>
      <c r="R455" s="2" t="n">
        <v>0.076031934</v>
      </c>
      <c r="S455" s="2" t="n">
        <f aca="false">IF(S$7=S$5,S$6,IF(NORMSDIST(S$9*SQRT($C$11)*NORMSINV($B455)+SQRT(1-S$9^2*$C$11)*NORMSINV(R455))&lt;S$8,S$5+SQRT(NORMSDIST(S$9*SQRT($C$11)*NORMSINV($B455)+SQRT(1-S$9^2*$C$11)*NORMSINV(R455))*(S$7-S$5)*(S$6-S$5)),S$7-SQRT((1-NORMSDIST(S$9*SQRT($C$11)*NORMSINV($B455)+SQRT(1-S$9^2*$C$11)*NORMSINV(R455)))*(S$7-S$5)*(S$7-S$6))))</f>
        <v>0.235121559995474</v>
      </c>
      <c r="T455" s="2" t="n">
        <v>0.854058561</v>
      </c>
      <c r="U455" s="2" t="n">
        <f aca="false">IF(U$7=U$5,U$6,IF(NORMSDIST(U$9*SQRT($C$11)*NORMSINV($B455)+SQRT(1-U$9^2*$C$11)*NORMSINV(T455))&lt;U$8,U$5+SQRT(NORMSDIST(U$9*SQRT($C$11)*NORMSINV($B455)+SQRT(1-U$9^2*$C$11)*NORMSINV(T455))*(U$7-U$5)*(U$6-U$5)),U$7-SQRT((1-NORMSDIST(U$9*SQRT($C$11)*NORMSINV($B455)+SQRT(1-U$9^2*$C$11)*NORMSINV(T455)))*(U$7-U$5)*(U$7-U$6))))</f>
        <v>0.652698750008135</v>
      </c>
      <c r="V455" s="2" t="n">
        <v>0.394455297</v>
      </c>
      <c r="W455" s="2" t="n">
        <f aca="false">IF(W$7=W$5,W$6,IF(NORMSDIST(W$9*SQRT($C$11)*NORMSINV($B455)+SQRT(1-W$9^2*$C$11)*NORMSINV(V455))&lt;W$8,W$5+SQRT(NORMSDIST(W$9*SQRT($C$11)*NORMSINV($B455)+SQRT(1-W$9^2*$C$11)*NORMSINV(V455))*(W$7-W$5)*(W$6-W$5)),W$7-SQRT((1-NORMSDIST(W$9*SQRT($C$11)*NORMSINV($B455)+SQRT(1-W$9^2*$C$11)*NORMSINV(V455)))*(W$7-W$5)*(W$7-W$6))))</f>
        <v>9.72956865348951</v>
      </c>
      <c r="X455" s="2" t="n">
        <v>0.734136253</v>
      </c>
      <c r="Y455" s="2" t="n">
        <f aca="false">IF(Y$7=Y$5,Y$6,IF(NORMSDIST(Y$9*SQRT($C$11)*NORMSINV($B455)+SQRT(1-Y$9^2*$C$11)*NORMSINV(X455))&lt;Y$8,Y$5+SQRT(NORMSDIST(Y$9*SQRT($C$11)*NORMSINV($B455)+SQRT(1-Y$9^2*$C$11)*NORMSINV(X455))*(Y$7-Y$5)*(Y$6-Y$5)),Y$7-SQRT((1-NORMSDIST(Y$9*SQRT($C$11)*NORMSINV($B455)+SQRT(1-Y$9^2*$C$11)*NORMSINV(X455)))*(Y$7-Y$5)*(Y$7-Y$6))))</f>
        <v>0.635401764266474</v>
      </c>
      <c r="Z455" s="2" t="n">
        <v>0.752176383</v>
      </c>
      <c r="AA455" s="2" t="n">
        <f aca="false">IF(AA$7=AA$5,AA$6,IF(NORMSDIST(AA$9*SQRT($C$11)*NORMSINV($B455)+SQRT(1-AA$9^2*$C$11)*NORMSINV(Z455))&lt;AA$8,AA$5+SQRT(NORMSDIST(AA$9*SQRT($C$11)*NORMSINV($B455)+SQRT(1-AA$9^2*$C$11)*NORMSINV(Z455))*(AA$7-AA$5)*(AA$6-AA$5)),AA$7-SQRT((1-NORMSDIST(AA$9*SQRT($C$11)*NORMSINV($B455)+SQRT(1-AA$9^2*$C$11)*NORMSINV(Z455)))*(AA$7-AA$5)*(AA$7-AA$6))))</f>
        <v>0.732978392193485</v>
      </c>
      <c r="AB455" s="2" t="n">
        <v>0.076549028</v>
      </c>
      <c r="AC455" s="2" t="n">
        <f aca="false">IF(AC$7=AC$5,AC$6,IF(NORMSDIST(AC$9*SQRT($C$11)*NORMSINV($B455)+SQRT(1-AC$9^2*$C$11)*NORMSINV(AB455))&lt;AC$8,AC$5+SQRT(NORMSDIST(AC$9*SQRT($C$11)*NORMSINV($B455)+SQRT(1-AC$9^2*$C$11)*NORMSINV(AB455))*(AC$7-AC$5)*(AC$6-AC$5)),AC$7-SQRT((1-NORMSDIST(AC$9*SQRT($C$11)*NORMSINV($B455)+SQRT(1-AC$9^2*$C$11)*NORMSINV(AB455)))*(AC$7-AC$5)*(AC$7-AC$6))))</f>
        <v>8.37971302543765</v>
      </c>
      <c r="AD455" s="2" t="n">
        <f aca="false">Entrées!$C$8*(1+E455)</f>
        <v>7424.22055416274</v>
      </c>
      <c r="AE455" s="2" t="n">
        <f aca="false">I455*Hypothèses!$J$24/12/Hypothèses!$J$19</f>
        <v>94.130495234088</v>
      </c>
      <c r="AF455" s="2" t="n">
        <f aca="false">Entrées!$C$36*S455*1000</f>
        <v>117.560779997737</v>
      </c>
      <c r="AG455" s="2" t="n">
        <f aca="false">-AF455/W455</f>
        <v>-12.0828357540366</v>
      </c>
      <c r="AH455" s="2" t="n">
        <f aca="false">AD455+AE455+AG455</f>
        <v>7506.2682136428</v>
      </c>
      <c r="AI455" s="2" t="n">
        <f aca="false">Entrées!$C$16-M455+Hypothèses!$J$22*1000-AF455+Hypothèses!$J$23</f>
        <v>22769.0274612297</v>
      </c>
      <c r="AJ455" s="2" t="n">
        <f aca="false">AI455/AH455</f>
        <v>3.03333518243413</v>
      </c>
      <c r="AK455" s="2" t="n">
        <f aca="false">AI455/(AH455+I455*(12-Hypothèses!$J$24)/12/Hypothèses!$J$19)</f>
        <v>3.00640583466041</v>
      </c>
      <c r="AL455" s="2" t="n">
        <f aca="false">(AD455+AG455+I455/Hypothèses!$J$19)*(1+G455)</f>
        <v>7977.75380851971</v>
      </c>
      <c r="AM455" s="2" t="n">
        <f aca="false">Entrées!$C$54*K455/Hypothèses!$J$19</f>
        <v>20.0340750173299</v>
      </c>
      <c r="AN455" s="2" t="n">
        <f aca="false">Y455*1000/AC455</f>
        <v>75.8261962357939</v>
      </c>
      <c r="AO455" s="2" t="n">
        <f aca="false">(Entrées!$C$36*(1-S455)+MAX(0,Entrées!$C$30-Entrées!$C$35-Entrées!$C$36)*U455)*1000</f>
        <v>1296.21747001365</v>
      </c>
      <c r="AP455" s="2" t="n">
        <f aca="false">-AO455/W455</f>
        <v>-133.224556625001</v>
      </c>
      <c r="AQ455" s="2" t="n">
        <f aca="false">AL455+AM455+AN455+AP455</f>
        <v>7940.38952314784</v>
      </c>
      <c r="AR455" s="2" t="n">
        <f aca="false">O455*AQ455-Hypothèses!$J$25/Hypothèses!$J$19</f>
        <v>1282.72208261708</v>
      </c>
      <c r="AS455" s="2" t="n">
        <f aca="false">Entrées!$C$79*(1+Q455)+Hypothèses!$J$20</f>
        <v>1506.63826006918</v>
      </c>
      <c r="AT455" s="2" t="n">
        <f aca="false">AI455-AR455+AS455+Y455*1000-AO455+Hypothèses!$J$23</f>
        <v>22332.1279329346</v>
      </c>
      <c r="AU455" s="2" t="n">
        <f aca="false">AT455/AQ455</f>
        <v>2.81247259568714</v>
      </c>
      <c r="AV455" s="2" t="n">
        <f aca="false">Hypothèses!$J$26*AQ455-AT455</f>
        <v>1489.04063650891</v>
      </c>
      <c r="AW455" s="2" t="n">
        <f aca="false">IF(AC455&gt;Hypothèses!$J$26,MAX(0,AV455)/(1-Hypothèses!$J$26/AC455),0)</f>
        <v>2319.40498650384</v>
      </c>
      <c r="AX455" s="2" t="n">
        <f aca="false">AQ455-Entrées!$C$17*1000</f>
        <v>-59.6104768521645</v>
      </c>
      <c r="AY455" s="2" t="n">
        <f aca="false">AI455+(Entrées!$C$244-Entrées!$C$13)</f>
        <v>28516.0274612297</v>
      </c>
      <c r="AZ455" s="2" t="n">
        <f aca="false">AA455*AH455</f>
        <v>5501.93240660896</v>
      </c>
      <c r="BA455" s="2" t="n">
        <f aca="false">AZ455/AY455</f>
        <v>0.192941755792926</v>
      </c>
      <c r="BB455" s="2" t="n">
        <f aca="false">AZ455/(Entrées!$C$151/100)-AY455</f>
        <v>2050.26368659787</v>
      </c>
      <c r="BC455" s="2" t="n">
        <f aca="false">AT455+(Entrées!$C$244-Entrées!$C$13)</f>
        <v>28079.1279329346</v>
      </c>
      <c r="BD455" s="2" t="n">
        <f aca="false">AA455*AQ455</f>
        <v>5820.13394606689</v>
      </c>
      <c r="BE455" s="2" t="n">
        <f aca="false">BD455/BC455</f>
        <v>0.20727616470027</v>
      </c>
      <c r="BF455" s="2" t="n">
        <f aca="false">BD455/(Entrées!$C$151/100)-BC455</f>
        <v>4254.94954521481</v>
      </c>
      <c r="BG455" s="2" t="n">
        <f aca="false">MIN(AV455,BF455)</f>
        <v>1489.04063650891</v>
      </c>
      <c r="BH455" s="2" t="n">
        <f aca="false">IF(AC455&gt;Hypothèses!$J$26,MAX(0,BG455)/(1-Hypothèses!$J$26/AC455),0)</f>
        <v>2319.40498650384</v>
      </c>
    </row>
    <row r="456" customFormat="false" ht="15" hidden="false" customHeight="false" outlineLevel="0" collapsed="false">
      <c r="A456" s="2" t="n">
        <v>441</v>
      </c>
      <c r="B456" s="2" t="n">
        <v>0.750134976</v>
      </c>
      <c r="C456" s="2"/>
      <c r="D456" s="2" t="n">
        <v>0.295119662</v>
      </c>
      <c r="E456" s="2" t="n">
        <f aca="false">IF(E$7=E$5,E$6,IF(NORMSDIST(E$9*SQRT($C$11)*NORMSINV($B456)+SQRT(1-E$9^2*$C$11)*NORMSINV(D456))&lt;E$8,E$5+SQRT(NORMSDIST(E$9*SQRT($C$11)*NORMSINV($B456)+SQRT(1-E$9^2*$C$11)*NORMSINV(D456))*(E$7-E$5)*(E$6-E$5)),E$7-SQRT((1-NORMSDIST(E$9*SQRT($C$11)*NORMSINV($B456)+SQRT(1-E$9^2*$C$11)*NORMSINV(D456)))*(E$7-E$5)*(E$7-E$6))))</f>
        <v>0.0550194690148402</v>
      </c>
      <c r="F456" s="2" t="n">
        <v>0.273896023</v>
      </c>
      <c r="G456" s="2" t="n">
        <f aca="false">IF(G$7=G$5,G$6,IF(NORMSDIST(G$9*SQRT($C$11)*NORMSINV($B456)+SQRT(1-G$9^2*$C$11)*NORMSINV(F456))&lt;G$8,G$5+SQRT(NORMSDIST(G$9*SQRT($C$11)*NORMSINV($B456)+SQRT(1-G$9^2*$C$11)*NORMSINV(F456))*(G$7-G$5)*(G$6-G$5)),G$7-SQRT((1-NORMSDIST(G$9*SQRT($C$11)*NORMSINV($B456)+SQRT(1-G$9^2*$C$11)*NORMSINV(F456)))*(G$7-G$5)*(G$7-G$6))))</f>
        <v>0.0547664448190301</v>
      </c>
      <c r="H456" s="2" t="n">
        <v>0.403307834</v>
      </c>
      <c r="I456" s="2" t="n">
        <f aca="false">IF(I$7=I$5,I$6,IF(NORMSDIST(I$9*SQRT($C$11)*NORMSINV($B456)+SQRT(1-I$9^2*$C$11)*NORMSINV(H456))&lt;I$8,I$5+SQRT(NORMSDIST(I$9*SQRT($C$11)*NORMSINV($B456)+SQRT(1-I$9^2*$C$11)*NORMSINV(H456))*(I$7-I$5)*(I$6-I$5)),I$7-SQRT((1-NORMSDIST(I$9*SQRT($C$11)*NORMSINV($B456)+SQRT(1-I$9^2*$C$11)*NORMSINV(H456)))*(I$7-I$5)*(I$7-I$6))))</f>
        <v>201.972540108741</v>
      </c>
      <c r="J456" s="2" t="n">
        <v>0.934790572</v>
      </c>
      <c r="K456" s="2" t="n">
        <f aca="false">IF(K$7=K$5,K$6,IF(NORMSDIST(K$9*SQRT($C$11)*NORMSINV($B456)+SQRT(1-K$9^2*$C$11)*NORMSINV(J456))&lt;K$8,K$5+SQRT(NORMSDIST(K$9*SQRT($C$11)*NORMSINV($B456)+SQRT(1-K$9^2*$C$11)*NORMSINV(J456))*(K$7-K$5)*(K$6-K$5)),K$7-SQRT((1-NORMSDIST(K$9*SQRT($C$11)*NORMSINV($B456)+SQRT(1-K$9^2*$C$11)*NORMSINV(J456)))*(K$7-K$5)*(K$7-K$6))))</f>
        <v>0.417101214111038</v>
      </c>
      <c r="L456" s="2" t="n">
        <v>0.215907828</v>
      </c>
      <c r="M456" s="2" t="n">
        <f aca="false">IF(M$7=M$5,M$6,IF(NORMSDIST(M$9*SQRT($C$11)*NORMSINV($B456)+SQRT(1-M$9^2*$C$11)*NORMSINV(L456))&lt;M$8,M$5+SQRT(NORMSDIST(M$9*SQRT($C$11)*NORMSINV($B456)+SQRT(1-M$9^2*$C$11)*NORMSINV(L456))*(M$7-M$5)*(M$6-M$5)),M$7-SQRT((1-NORMSDIST(M$9*SQRT($C$11)*NORMSINV($B456)+SQRT(1-M$9^2*$C$11)*NORMSINV(L456)))*(M$7-M$5)*(M$7-M$6))))</f>
        <v>1564.17754519889</v>
      </c>
      <c r="N456" s="2" t="n">
        <v>0.860997306</v>
      </c>
      <c r="O456" s="2" t="n">
        <f aca="false">IF(O$7=O$5,O$6,IF(NORMSDIST(O$9*SQRT($C$11)*NORMSINV($B456)+SQRT(1-O$9^2*$C$11)*NORMSINV(N456))&lt;O$8,O$5+SQRT(NORMSDIST(O$9*SQRT($C$11)*NORMSINV($B456)+SQRT(1-O$9^2*$C$11)*NORMSINV(N456))*(O$7-O$5)*(O$6-O$5)),O$7-SQRT((1-NORMSDIST(O$9*SQRT($C$11)*NORMSINV($B456)+SQRT(1-O$9^2*$C$11)*NORMSINV(N456)))*(O$7-O$5)*(O$7-O$6))))</f>
        <v>0.179548380991124</v>
      </c>
      <c r="P456" s="2" t="n">
        <v>0.319545335</v>
      </c>
      <c r="Q456" s="2" t="n">
        <f aca="false">IF(Q$7=Q$5,Q$6,IF(NORMSDIST(Q$9*SQRT($C$11)*NORMSINV($B456)+SQRT(1-Q$9^2*$C$11)*NORMSINV(P456))&lt;Q$8,Q$5+SQRT(NORMSDIST(Q$9*SQRT($C$11)*NORMSINV($B456)+SQRT(1-Q$9^2*$C$11)*NORMSINV(P456))*(Q$7-Q$5)*(Q$6-Q$5)),Q$7-SQRT((1-NORMSDIST(Q$9*SQRT($C$11)*NORMSINV($B456)+SQRT(1-Q$9^2*$C$11)*NORMSINV(P456)))*(Q$7-Q$5)*(Q$7-Q$6))))</f>
        <v>0.0719772586692481</v>
      </c>
      <c r="R456" s="2" t="n">
        <v>0.05921359</v>
      </c>
      <c r="S456" s="2" t="n">
        <f aca="false">IF(S$7=S$5,S$6,IF(NORMSDIST(S$9*SQRT($C$11)*NORMSINV($B456)+SQRT(1-S$9^2*$C$11)*NORMSINV(R456))&lt;S$8,S$5+SQRT(NORMSDIST(S$9*SQRT($C$11)*NORMSINV($B456)+SQRT(1-S$9^2*$C$11)*NORMSINV(R456))*(S$7-S$5)*(S$6-S$5)),S$7-SQRT((1-NORMSDIST(S$9*SQRT($C$11)*NORMSINV($B456)+SQRT(1-S$9^2*$C$11)*NORMSINV(R456)))*(S$7-S$5)*(S$7-S$6))))</f>
        <v>0.329338997879034</v>
      </c>
      <c r="T456" s="2" t="n">
        <v>0.775345429</v>
      </c>
      <c r="U456" s="2" t="n">
        <f aca="false">IF(U$7=U$5,U$6,IF(NORMSDIST(U$9*SQRT($C$11)*NORMSINV($B456)+SQRT(1-U$9^2*$C$11)*NORMSINV(T456))&lt;U$8,U$5+SQRT(NORMSDIST(U$9*SQRT($C$11)*NORMSINV($B456)+SQRT(1-U$9^2*$C$11)*NORMSINV(T456))*(U$7-U$5)*(U$6-U$5)),U$7-SQRT((1-NORMSDIST(U$9*SQRT($C$11)*NORMSINV($B456)+SQRT(1-U$9^2*$C$11)*NORMSINV(T456)))*(U$7-U$5)*(U$7-U$6))))</f>
        <v>0.721112171929083</v>
      </c>
      <c r="V456" s="2" t="n">
        <v>0.946281885</v>
      </c>
      <c r="W456" s="2" t="n">
        <f aca="false">IF(W$7=W$5,W$6,IF(NORMSDIST(W$9*SQRT($C$11)*NORMSINV($B456)+SQRT(1-W$9^2*$C$11)*NORMSINV(V456))&lt;W$8,W$5+SQRT(NORMSDIST(W$9*SQRT($C$11)*NORMSINV($B456)+SQRT(1-W$9^2*$C$11)*NORMSINV(V456))*(W$7-W$5)*(W$6-W$5)),W$7-SQRT((1-NORMSDIST(W$9*SQRT($C$11)*NORMSINV($B456)+SQRT(1-W$9^2*$C$11)*NORMSINV(V456)))*(W$7-W$5)*(W$7-W$6))))</f>
        <v>11.3862691677897</v>
      </c>
      <c r="X456" s="2" t="n">
        <v>0.742835139</v>
      </c>
      <c r="Y456" s="2" t="n">
        <f aca="false">IF(Y$7=Y$5,Y$6,IF(NORMSDIST(Y$9*SQRT($C$11)*NORMSINV($B456)+SQRT(1-Y$9^2*$C$11)*NORMSINV(X456))&lt;Y$8,Y$5+SQRT(NORMSDIST(Y$9*SQRT($C$11)*NORMSINV($B456)+SQRT(1-Y$9^2*$C$11)*NORMSINV(X456))*(Y$7-Y$5)*(Y$6-Y$5)),Y$7-SQRT((1-NORMSDIST(Y$9*SQRT($C$11)*NORMSINV($B456)+SQRT(1-Y$9^2*$C$11)*NORMSINV(X456)))*(Y$7-Y$5)*(Y$7-Y$6))))</f>
        <v>0.641416076071445</v>
      </c>
      <c r="Z456" s="2" t="n">
        <v>0.451202373</v>
      </c>
      <c r="AA456" s="2" t="n">
        <f aca="false">IF(AA$7=AA$5,AA$6,IF(NORMSDIST(AA$9*SQRT($C$11)*NORMSINV($B456)+SQRT(1-AA$9^2*$C$11)*NORMSINV(Z456))&lt;AA$8,AA$5+SQRT(NORMSDIST(AA$9*SQRT($C$11)*NORMSINV($B456)+SQRT(1-AA$9^2*$C$11)*NORMSINV(Z456))*(AA$7-AA$5)*(AA$6-AA$5)),AA$7-SQRT((1-NORMSDIST(AA$9*SQRT($C$11)*NORMSINV($B456)+SQRT(1-AA$9^2*$C$11)*NORMSINV(Z456)))*(AA$7-AA$5)*(AA$7-AA$6))))</f>
        <v>0.732061944313507</v>
      </c>
      <c r="AB456" s="2" t="n">
        <v>0.985507901</v>
      </c>
      <c r="AC456" s="2" t="n">
        <f aca="false">IF(AC$7=AC$5,AC$6,IF(NORMSDIST(AC$9*SQRT($C$11)*NORMSINV($B456)+SQRT(1-AC$9^2*$C$11)*NORMSINV(AB456))&lt;AC$8,AC$5+SQRT(NORMSDIST(AC$9*SQRT($C$11)*NORMSINV($B456)+SQRT(1-AC$9^2*$C$11)*NORMSINV(AB456))*(AC$7-AC$5)*(AC$6-AC$5)),AC$7-SQRT((1-NORMSDIST(AC$9*SQRT($C$11)*NORMSINV($B456)+SQRT(1-AC$9^2*$C$11)*NORMSINV(AB456)))*(AC$7-AC$5)*(AC$7-AC$6))))</f>
        <v>10.7284199191916</v>
      </c>
      <c r="AD456" s="2" t="n">
        <f aca="false">Entrées!$C$8*(1+E456)</f>
        <v>7437.88725655462</v>
      </c>
      <c r="AE456" s="2" t="n">
        <f aca="false">I456*Hypothèses!$J$24/12/Hypothèses!$J$19</f>
        <v>100.197930709684</v>
      </c>
      <c r="AF456" s="2" t="n">
        <f aca="false">Entrées!$C$36*S456*1000</f>
        <v>164.669498939517</v>
      </c>
      <c r="AG456" s="2" t="n">
        <f aca="false">-AF456/W456</f>
        <v>-14.4621119097857</v>
      </c>
      <c r="AH456" s="2" t="n">
        <f aca="false">AD456+AE456+AG456</f>
        <v>7523.62307535452</v>
      </c>
      <c r="AI456" s="2" t="n">
        <f aca="false">Entrées!$C$16-M456+Hypothèses!$J$22*1000-AF456+Hypothèses!$J$23</f>
        <v>22819.1529558616</v>
      </c>
      <c r="AJ456" s="2" t="n">
        <f aca="false">AI456/AH456</f>
        <v>3.03300055402979</v>
      </c>
      <c r="AK456" s="2" t="n">
        <f aca="false">AI456/(AH456+I456*(12-Hypothèses!$J$24)/12/Hypothèses!$J$19)</f>
        <v>3.004420411458</v>
      </c>
      <c r="AL456" s="2" t="n">
        <f aca="false">(AD456+AG456+I456/Hypothèses!$J$19)*(1+G456)</f>
        <v>8011.15474560216</v>
      </c>
      <c r="AM456" s="2" t="n">
        <f aca="false">Entrées!$C$54*K456/Hypothèses!$J$19</f>
        <v>42.5669301948581</v>
      </c>
      <c r="AN456" s="2" t="n">
        <f aca="false">Y456*1000/AC456</f>
        <v>59.7866303614796</v>
      </c>
      <c r="AO456" s="2" t="n">
        <f aca="false">(Entrées!$C$36*(1-S456)+MAX(0,Entrées!$C$30-Entrées!$C$35-Entrées!$C$36)*U456)*1000</f>
        <v>1344.8875417612</v>
      </c>
      <c r="AP456" s="2" t="n">
        <f aca="false">-AO456/W456</f>
        <v>-118.114855879722</v>
      </c>
      <c r="AQ456" s="2" t="n">
        <f aca="false">AL456+AM456+AN456+AP456</f>
        <v>7995.39345027878</v>
      </c>
      <c r="AR456" s="2" t="n">
        <f aca="false">O456*AQ456-Hypothèses!$J$25/Hypothèses!$J$19</f>
        <v>1416.42478712297</v>
      </c>
      <c r="AS456" s="2" t="n">
        <f aca="false">Entrées!$C$79*(1+Q456)+Hypothèses!$J$20</f>
        <v>1473.1030072775</v>
      </c>
      <c r="AT456" s="2" t="n">
        <f aca="false">AI456-AR456+AS456+Y456*1000-AO456+Hypothèses!$J$23</f>
        <v>22172.3597103264</v>
      </c>
      <c r="AU456" s="2" t="n">
        <f aca="false">AT456/AQ456</f>
        <v>2.77314179073367</v>
      </c>
      <c r="AV456" s="2" t="n">
        <f aca="false">Hypothèses!$J$26*AQ456-AT456</f>
        <v>1813.82064050996</v>
      </c>
      <c r="AW456" s="2" t="n">
        <f aca="false">IF(AC456&gt;Hypothèses!$J$26,MAX(0,AV456)/(1-Hypothèses!$J$26/AC456),0)</f>
        <v>2517.90530185417</v>
      </c>
      <c r="AX456" s="2" t="n">
        <f aca="false">AQ456-Entrées!$C$17*1000</f>
        <v>-4.60654972122211</v>
      </c>
      <c r="AY456" s="2" t="n">
        <f aca="false">AI456+(Entrées!$C$244-Entrées!$C$13)</f>
        <v>28566.1529558616</v>
      </c>
      <c r="AZ456" s="2" t="n">
        <f aca="false">AA456*AH456</f>
        <v>5507.75813682599</v>
      </c>
      <c r="BA456" s="2" t="n">
        <f aca="false">AZ456/AY456</f>
        <v>0.192807135960386</v>
      </c>
      <c r="BB456" s="2" t="n">
        <f aca="false">AZ456/(Entrées!$C$151/100)-AY456</f>
        <v>2032.50335983838</v>
      </c>
      <c r="BC456" s="2" t="n">
        <f aca="false">AT456+(Entrées!$C$244-Entrées!$C$13)</f>
        <v>27919.3597103264</v>
      </c>
      <c r="BD456" s="2" t="n">
        <f aca="false">AA456*AQ456</f>
        <v>5853.12327476256</v>
      </c>
      <c r="BE456" s="2" t="n">
        <f aca="false">BD456/BC456</f>
        <v>0.209643893538063</v>
      </c>
      <c r="BF456" s="2" t="n">
        <f aca="false">BD456/(Entrées!$C$151/100)-BC456</f>
        <v>4597.99181613228</v>
      </c>
      <c r="BG456" s="2" t="n">
        <f aca="false">MIN(AV456,BF456)</f>
        <v>1813.82064050996</v>
      </c>
      <c r="BH456" s="2" t="n">
        <f aca="false">IF(AC456&gt;Hypothèses!$J$26,MAX(0,BG456)/(1-Hypothèses!$J$26/AC456),0)</f>
        <v>2517.90530185417</v>
      </c>
    </row>
    <row r="457" customFormat="false" ht="15" hidden="false" customHeight="false" outlineLevel="0" collapsed="false">
      <c r="A457" s="2" t="n">
        <v>442</v>
      </c>
      <c r="B457" s="2" t="n">
        <v>0.731453852</v>
      </c>
      <c r="C457" s="2"/>
      <c r="D457" s="2" t="n">
        <v>0.277852402</v>
      </c>
      <c r="E457" s="2" t="n">
        <f aca="false">IF(E$7=E$5,E$6,IF(NORMSDIST(E$9*SQRT($C$11)*NORMSINV($B457)+SQRT(1-E$9^2*$C$11)*NORMSINV(D457))&lt;E$8,E$5+SQRT(NORMSDIST(E$9*SQRT($C$11)*NORMSINV($B457)+SQRT(1-E$9^2*$C$11)*NORMSINV(D457))*(E$7-E$5)*(E$6-E$5)),E$7-SQRT((1-NORMSDIST(E$9*SQRT($C$11)*NORMSINV($B457)+SQRT(1-E$9^2*$C$11)*NORMSINV(D457)))*(E$7-E$5)*(E$7-E$6))))</f>
        <v>0.0548665512854342</v>
      </c>
      <c r="F457" s="2" t="n">
        <v>0.244947384</v>
      </c>
      <c r="G457" s="2" t="n">
        <f aca="false">IF(G$7=G$5,G$6,IF(NORMSDIST(G$9*SQRT($C$11)*NORMSINV($B457)+SQRT(1-G$9^2*$C$11)*NORMSINV(F457))&lt;G$8,G$5+SQRT(NORMSDIST(G$9*SQRT($C$11)*NORMSINV($B457)+SQRT(1-G$9^2*$C$11)*NORMSINV(F457))*(G$7-G$5)*(G$6-G$5)),G$7-SQRT((1-NORMSDIST(G$9*SQRT($C$11)*NORMSINV($B457)+SQRT(1-G$9^2*$C$11)*NORMSINV(F457)))*(G$7-G$5)*(G$7-G$6))))</f>
        <v>0.0541121407503431</v>
      </c>
      <c r="H457" s="2" t="n">
        <v>0.604934625</v>
      </c>
      <c r="I457" s="2" t="n">
        <f aca="false">IF(I$7=I$5,I$6,IF(NORMSDIST(I$9*SQRT($C$11)*NORMSINV($B457)+SQRT(1-I$9^2*$C$11)*NORMSINV(H457))&lt;I$8,I$5+SQRT(NORMSDIST(I$9*SQRT($C$11)*NORMSINV($B457)+SQRT(1-I$9^2*$C$11)*NORMSINV(H457))*(I$7-I$5)*(I$6-I$5)),I$7-SQRT((1-NORMSDIST(I$9*SQRT($C$11)*NORMSINV($B457)+SQRT(1-I$9^2*$C$11)*NORMSINV(H457)))*(I$7-I$5)*(I$7-I$6))))</f>
        <v>205.15638486788</v>
      </c>
      <c r="J457" s="2" t="n">
        <v>0.638908864</v>
      </c>
      <c r="K457" s="2" t="n">
        <f aca="false">IF(K$7=K$5,K$6,IF(NORMSDIST(K$9*SQRT($C$11)*NORMSINV($B457)+SQRT(1-K$9^2*$C$11)*NORMSINV(J457))&lt;K$8,K$5+SQRT(NORMSDIST(K$9*SQRT($C$11)*NORMSINV($B457)+SQRT(1-K$9^2*$C$11)*NORMSINV(J457))*(K$7-K$5)*(K$6-K$5)),K$7-SQRT((1-NORMSDIST(K$9*SQRT($C$11)*NORMSINV($B457)+SQRT(1-K$9^2*$C$11)*NORMSINV(J457)))*(K$7-K$5)*(K$7-K$6))))</f>
        <v>0.322242872359503</v>
      </c>
      <c r="L457" s="2" t="n">
        <v>0.38113884</v>
      </c>
      <c r="M457" s="2" t="n">
        <f aca="false">IF(M$7=M$5,M$6,IF(NORMSDIST(M$9*SQRT($C$11)*NORMSINV($B457)+SQRT(1-M$9^2*$C$11)*NORMSINV(L457))&lt;M$8,M$5+SQRT(NORMSDIST(M$9*SQRT($C$11)*NORMSINV($B457)+SQRT(1-M$9^2*$C$11)*NORMSINV(L457))*(M$7-M$5)*(M$6-M$5)),M$7-SQRT((1-NORMSDIST(M$9*SQRT($C$11)*NORMSINV($B457)+SQRT(1-M$9^2*$C$11)*NORMSINV(L457)))*(M$7-M$5)*(M$7-M$6))))</f>
        <v>1602.33453813614</v>
      </c>
      <c r="N457" s="2" t="n">
        <v>0.578812297</v>
      </c>
      <c r="O457" s="2" t="n">
        <f aca="false">IF(O$7=O$5,O$6,IF(NORMSDIST(O$9*SQRT($C$11)*NORMSINV($B457)+SQRT(1-O$9^2*$C$11)*NORMSINV(N457))&lt;O$8,O$5+SQRT(NORMSDIST(O$9*SQRT($C$11)*NORMSINV($B457)+SQRT(1-O$9^2*$C$11)*NORMSINV(N457))*(O$7-O$5)*(O$6-O$5)),O$7-SQRT((1-NORMSDIST(O$9*SQRT($C$11)*NORMSINV($B457)+SQRT(1-O$9^2*$C$11)*NORMSINV(N457)))*(O$7-O$5)*(O$7-O$6))))</f>
        <v>0.172331137578449</v>
      </c>
      <c r="P457" s="2" t="n">
        <v>0.215448672</v>
      </c>
      <c r="Q457" s="2" t="n">
        <f aca="false">IF(Q$7=Q$5,Q$6,IF(NORMSDIST(Q$9*SQRT($C$11)*NORMSINV($B457)+SQRT(1-Q$9^2*$C$11)*NORMSINV(P457))&lt;Q$8,Q$5+SQRT(NORMSDIST(Q$9*SQRT($C$11)*NORMSINV($B457)+SQRT(1-Q$9^2*$C$11)*NORMSINV(P457))*(Q$7-Q$5)*(Q$6-Q$5)),Q$7-SQRT((1-NORMSDIST(Q$9*SQRT($C$11)*NORMSINV($B457)+SQRT(1-Q$9^2*$C$11)*NORMSINV(P457)))*(Q$7-Q$5)*(Q$7-Q$6))))</f>
        <v>0.066257108568919</v>
      </c>
      <c r="R457" s="2" t="n">
        <v>0.068275635</v>
      </c>
      <c r="S457" s="2" t="n">
        <f aca="false">IF(S$7=S$5,S$6,IF(NORMSDIST(S$9*SQRT($C$11)*NORMSINV($B457)+SQRT(1-S$9^2*$C$11)*NORMSINV(R457))&lt;S$8,S$5+SQRT(NORMSDIST(S$9*SQRT($C$11)*NORMSINV($B457)+SQRT(1-S$9^2*$C$11)*NORMSINV(R457))*(S$7-S$5)*(S$6-S$5)),S$7-SQRT((1-NORMSDIST(S$9*SQRT($C$11)*NORMSINV($B457)+SQRT(1-S$9^2*$C$11)*NORMSINV(R457)))*(S$7-S$5)*(S$7-S$6))))</f>
        <v>0.333754345071957</v>
      </c>
      <c r="T457" s="2" t="n">
        <v>0.744207621</v>
      </c>
      <c r="U457" s="2" t="n">
        <f aca="false">IF(U$7=U$5,U$6,IF(NORMSDIST(U$9*SQRT($C$11)*NORMSINV($B457)+SQRT(1-U$9^2*$C$11)*NORMSINV(T457))&lt;U$8,U$5+SQRT(NORMSDIST(U$9*SQRT($C$11)*NORMSINV($B457)+SQRT(1-U$9^2*$C$11)*NORMSINV(T457))*(U$7-U$5)*(U$6-U$5)),U$7-SQRT((1-NORMSDIST(U$9*SQRT($C$11)*NORMSINV($B457)+SQRT(1-U$9^2*$C$11)*NORMSINV(T457)))*(U$7-U$5)*(U$7-U$6))))</f>
        <v>0.69636903453284</v>
      </c>
      <c r="V457" s="2" t="n">
        <v>0.377281275</v>
      </c>
      <c r="W457" s="2" t="n">
        <f aca="false">IF(W$7=W$5,W$6,IF(NORMSDIST(W$9*SQRT($C$11)*NORMSINV($B457)+SQRT(1-W$9^2*$C$11)*NORMSINV(V457))&lt;W$8,W$5+SQRT(NORMSDIST(W$9*SQRT($C$11)*NORMSINV($B457)+SQRT(1-W$9^2*$C$11)*NORMSINV(V457))*(W$7-W$5)*(W$6-W$5)),W$7-SQRT((1-NORMSDIST(W$9*SQRT($C$11)*NORMSINV($B457)+SQRT(1-W$9^2*$C$11)*NORMSINV(V457)))*(W$7-W$5)*(W$7-W$6))))</f>
        <v>10.1215062198149</v>
      </c>
      <c r="X457" s="2" t="n">
        <v>0.587316467</v>
      </c>
      <c r="Y457" s="2" t="n">
        <f aca="false">IF(Y$7=Y$5,Y$6,IF(NORMSDIST(Y$9*SQRT($C$11)*NORMSINV($B457)+SQRT(1-Y$9^2*$C$11)*NORMSINV(X457))&lt;Y$8,Y$5+SQRT(NORMSDIST(Y$9*SQRT($C$11)*NORMSINV($B457)+SQRT(1-Y$9^2*$C$11)*NORMSINV(X457))*(Y$7-Y$5)*(Y$6-Y$5)),Y$7-SQRT((1-NORMSDIST(Y$9*SQRT($C$11)*NORMSINV($B457)+SQRT(1-Y$9^2*$C$11)*NORMSINV(X457)))*(Y$7-Y$5)*(Y$7-Y$6))))</f>
        <v>0.545751426529483</v>
      </c>
      <c r="Z457" s="2" t="n">
        <v>0.128940126</v>
      </c>
      <c r="AA457" s="2" t="n">
        <f aca="false">IF(AA$7=AA$5,AA$6,IF(NORMSDIST(AA$9*SQRT($C$11)*NORMSINV($B457)+SQRT(1-AA$9^2*$C$11)*NORMSINV(Z457))&lt;AA$8,AA$5+SQRT(NORMSDIST(AA$9*SQRT($C$11)*NORMSINV($B457)+SQRT(1-AA$9^2*$C$11)*NORMSINV(Z457))*(AA$7-AA$5)*(AA$6-AA$5)),AA$7-SQRT((1-NORMSDIST(AA$9*SQRT($C$11)*NORMSINV($B457)+SQRT(1-AA$9^2*$C$11)*NORMSINV(Z457)))*(AA$7-AA$5)*(AA$7-AA$6))))</f>
        <v>0.721236514344244</v>
      </c>
      <c r="AB457" s="2" t="n">
        <v>0.253986997</v>
      </c>
      <c r="AC457" s="2" t="n">
        <f aca="false">IF(AC$7=AC$5,AC$6,IF(NORMSDIST(AC$9*SQRT($C$11)*NORMSINV($B457)+SQRT(1-AC$9^2*$C$11)*NORMSINV(AB457))&lt;AC$8,AC$5+SQRT(NORMSDIST(AC$9*SQRT($C$11)*NORMSINV($B457)+SQRT(1-AC$9^2*$C$11)*NORMSINV(AB457))*(AC$7-AC$5)*(AC$6-AC$5)),AC$7-SQRT((1-NORMSDIST(AC$9*SQRT($C$11)*NORMSINV($B457)+SQRT(1-AC$9^2*$C$11)*NORMSINV(AB457)))*(AC$7-AC$5)*(AC$7-AC$6))))</f>
        <v>9.37461228705957</v>
      </c>
      <c r="AD457" s="2" t="n">
        <f aca="false">Entrées!$C$8*(1+E457)</f>
        <v>7436.80918656231</v>
      </c>
      <c r="AE457" s="2" t="n">
        <f aca="false">I457*Hypothèses!$J$24/12/Hypothèses!$J$19</f>
        <v>101.777425904401</v>
      </c>
      <c r="AF457" s="2" t="n">
        <f aca="false">Entrées!$C$36*S457*1000</f>
        <v>166.877172535978</v>
      </c>
      <c r="AG457" s="2" t="n">
        <f aca="false">-AF457/W457</f>
        <v>-16.4873852677462</v>
      </c>
      <c r="AH457" s="2" t="n">
        <f aca="false">AD457+AE457+AG457</f>
        <v>7522.09922719897</v>
      </c>
      <c r="AI457" s="2" t="n">
        <f aca="false">Entrées!$C$16-M457+Hypothèses!$J$22*1000-AF457+Hypothèses!$J$23</f>
        <v>22778.7882893279</v>
      </c>
      <c r="AJ457" s="2" t="n">
        <f aca="false">AI457/AH457</f>
        <v>3.02824884401453</v>
      </c>
      <c r="AK457" s="2" t="n">
        <f aca="false">AI457/(AH457+I457*(12-Hypothèses!$J$24)/12/Hypothèses!$J$19)</f>
        <v>2.99926214274546</v>
      </c>
      <c r="AL457" s="2" t="n">
        <f aca="false">(AD457+AG457+I457/Hypothèses!$J$19)*(1+G457)</f>
        <v>8005.76813381931</v>
      </c>
      <c r="AM457" s="2" t="n">
        <f aca="false">Entrées!$C$54*K457/Hypothèses!$J$19</f>
        <v>32.8862381346747</v>
      </c>
      <c r="AN457" s="2" t="n">
        <f aca="false">Y457*1000/AC457</f>
        <v>58.2158930756871</v>
      </c>
      <c r="AO457" s="2" t="n">
        <f aca="false">(Entrées!$C$36*(1-S457)+MAX(0,Entrées!$C$30-Entrées!$C$35-Entrées!$C$36)*U457)*1000</f>
        <v>1308.03947581</v>
      </c>
      <c r="AP457" s="2" t="n">
        <f aca="false">-AO457/W457</f>
        <v>-129.233678012196</v>
      </c>
      <c r="AQ457" s="2" t="n">
        <f aca="false">AL457+AM457+AN457+AP457</f>
        <v>7967.63658701748</v>
      </c>
      <c r="AR457" s="2" t="n">
        <f aca="false">O457*AQ457-Hypothèses!$J$25/Hypothèses!$J$19</f>
        <v>1353.93671459076</v>
      </c>
      <c r="AS457" s="2" t="n">
        <f aca="false">Entrées!$C$79*(1+Q457)+Hypothèses!$J$20</f>
        <v>1466.81656231724</v>
      </c>
      <c r="AT457" s="2" t="n">
        <f aca="false">AI457-AR457+AS457+Y457*1000-AO457+Hypothèses!$J$23</f>
        <v>22129.3800877738</v>
      </c>
      <c r="AU457" s="2" t="n">
        <f aca="false">AT457/AQ457</f>
        <v>2.77740831250155</v>
      </c>
      <c r="AV457" s="2" t="n">
        <f aca="false">Hypothèses!$J$26*AQ457-AT457</f>
        <v>1773.52967327858</v>
      </c>
      <c r="AW457" s="2" t="n">
        <f aca="false">IF(AC457&gt;Hypothèses!$J$26,MAX(0,AV457)/(1-Hypothèses!$J$26/AC457),0)</f>
        <v>2608.18263415535</v>
      </c>
      <c r="AX457" s="2" t="n">
        <f aca="false">AQ457-Entrées!$C$17*1000</f>
        <v>-32.363412982525</v>
      </c>
      <c r="AY457" s="2" t="n">
        <f aca="false">AI457+(Entrées!$C$244-Entrées!$C$13)</f>
        <v>28525.7882893279</v>
      </c>
      <c r="AZ457" s="2" t="n">
        <f aca="false">AA457*AH457</f>
        <v>5425.21262717652</v>
      </c>
      <c r="BA457" s="2" t="n">
        <f aca="false">AZ457/AY457</f>
        <v>0.190186247340488</v>
      </c>
      <c r="BB457" s="2" t="n">
        <f aca="false">AZ457/(Entrées!$C$151/100)-AY457</f>
        <v>1614.28186165275</v>
      </c>
      <c r="BC457" s="2" t="n">
        <f aca="false">AT457+(Entrées!$C$244-Entrées!$C$13)</f>
        <v>27876.3800877738</v>
      </c>
      <c r="BD457" s="2" t="n">
        <f aca="false">AA457*AQ457</f>
        <v>5746.55043958215</v>
      </c>
      <c r="BE457" s="2" t="n">
        <f aca="false">BD457/BC457</f>
        <v>0.206144069692266</v>
      </c>
      <c r="BF457" s="2" t="n">
        <f aca="false">BD457/(Entrées!$C$151/100)-BC457</f>
        <v>4048.900132127</v>
      </c>
      <c r="BG457" s="2" t="n">
        <f aca="false">MIN(AV457,BF457)</f>
        <v>1773.52967327858</v>
      </c>
      <c r="BH457" s="2" t="n">
        <f aca="false">IF(AC457&gt;Hypothèses!$J$26,MAX(0,BG457)/(1-Hypothèses!$J$26/AC457),0)</f>
        <v>2608.18263415535</v>
      </c>
    </row>
    <row r="458" customFormat="false" ht="15" hidden="false" customHeight="false" outlineLevel="0" collapsed="false">
      <c r="A458" s="2" t="n">
        <v>443</v>
      </c>
      <c r="B458" s="2" t="n">
        <v>0.716885413</v>
      </c>
      <c r="C458" s="2"/>
      <c r="D458" s="2" t="n">
        <v>0.063442405</v>
      </c>
      <c r="E458" s="2" t="n">
        <f aca="false">IF(E$7=E$5,E$6,IF(NORMSDIST(E$9*SQRT($C$11)*NORMSINV($B458)+SQRT(1-E$9^2*$C$11)*NORMSINV(D458))&lt;E$8,E$5+SQRT(NORMSDIST(E$9*SQRT($C$11)*NORMSINV($B458)+SQRT(1-E$9^2*$C$11)*NORMSINV(D458))*(E$7-E$5)*(E$6-E$5)),E$7-SQRT((1-NORMSDIST(E$9*SQRT($C$11)*NORMSINV($B458)+SQRT(1-E$9^2*$C$11)*NORMSINV(D458)))*(E$7-E$5)*(E$7-E$6))))</f>
        <v>0.0532110055816463</v>
      </c>
      <c r="F458" s="2" t="n">
        <v>0.784150436</v>
      </c>
      <c r="G458" s="2" t="n">
        <f aca="false">IF(G$7=G$5,G$6,IF(NORMSDIST(G$9*SQRT($C$11)*NORMSINV($B458)+SQRT(1-G$9^2*$C$11)*NORMSINV(F458))&lt;G$8,G$5+SQRT(NORMSDIST(G$9*SQRT($C$11)*NORMSINV($B458)+SQRT(1-G$9^2*$C$11)*NORMSINV(F458))*(G$7-G$5)*(G$6-G$5)),G$7-SQRT((1-NORMSDIST(G$9*SQRT($C$11)*NORMSINV($B458)+SQRT(1-G$9^2*$C$11)*NORMSINV(F458)))*(G$7-G$5)*(G$7-G$6))))</f>
        <v>0.0613684189179988</v>
      </c>
      <c r="H458" s="2" t="n">
        <v>0.872645552</v>
      </c>
      <c r="I458" s="2" t="n">
        <f aca="false">IF(I$7=I$5,I$6,IF(NORMSDIST(I$9*SQRT($C$11)*NORMSINV($B458)+SQRT(1-I$9^2*$C$11)*NORMSINV(H458))&lt;I$8,I$5+SQRT(NORMSDIST(I$9*SQRT($C$11)*NORMSINV($B458)+SQRT(1-I$9^2*$C$11)*NORMSINV(H458))*(I$7-I$5)*(I$6-I$5)),I$7-SQRT((1-NORMSDIST(I$9*SQRT($C$11)*NORMSINV($B458)+SQRT(1-I$9^2*$C$11)*NORMSINV(H458)))*(I$7-I$5)*(I$7-I$6))))</f>
        <v>210.767080897201</v>
      </c>
      <c r="J458" s="2" t="n">
        <v>0.236429267</v>
      </c>
      <c r="K458" s="2" t="n">
        <f aca="false">IF(K$7=K$5,K$6,IF(NORMSDIST(K$9*SQRT($C$11)*NORMSINV($B458)+SQRT(1-K$9^2*$C$11)*NORMSINV(J458))&lt;K$8,K$5+SQRT(NORMSDIST(K$9*SQRT($C$11)*NORMSINV($B458)+SQRT(1-K$9^2*$C$11)*NORMSINV(J458))*(K$7-K$5)*(K$6-K$5)),K$7-SQRT((1-NORMSDIST(K$9*SQRT($C$11)*NORMSINV($B458)+SQRT(1-K$9^2*$C$11)*NORMSINV(J458)))*(K$7-K$5)*(K$7-K$6))))</f>
        <v>0.230049552408388</v>
      </c>
      <c r="L458" s="2" t="n">
        <v>0.92657251</v>
      </c>
      <c r="M458" s="2" t="n">
        <f aca="false">IF(M$7=M$5,M$6,IF(NORMSDIST(M$9*SQRT($C$11)*NORMSINV($B458)+SQRT(1-M$9^2*$C$11)*NORMSINV(L458))&lt;M$8,M$5+SQRT(NORMSDIST(M$9*SQRT($C$11)*NORMSINV($B458)+SQRT(1-M$9^2*$C$11)*NORMSINV(L458))*(M$7-M$5)*(M$6-M$5)),M$7-SQRT((1-NORMSDIST(M$9*SQRT($C$11)*NORMSINV($B458)+SQRT(1-M$9^2*$C$11)*NORMSINV(L458)))*(M$7-M$5)*(M$7-M$6))))</f>
        <v>1718.0155548194</v>
      </c>
      <c r="N458" s="2" t="n">
        <v>0.724781188</v>
      </c>
      <c r="O458" s="2" t="n">
        <f aca="false">IF(O$7=O$5,O$6,IF(NORMSDIST(O$9*SQRT($C$11)*NORMSINV($B458)+SQRT(1-O$9^2*$C$11)*NORMSINV(N458))&lt;O$8,O$5+SQRT(NORMSDIST(O$9*SQRT($C$11)*NORMSINV($B458)+SQRT(1-O$9^2*$C$11)*NORMSINV(N458))*(O$7-O$5)*(O$6-O$5)),O$7-SQRT((1-NORMSDIST(O$9*SQRT($C$11)*NORMSINV($B458)+SQRT(1-O$9^2*$C$11)*NORMSINV(N458)))*(O$7-O$5)*(O$7-O$6))))</f>
        <v>0.175237318343207</v>
      </c>
      <c r="P458" s="2" t="n">
        <v>0.929565054</v>
      </c>
      <c r="Q458" s="2" t="n">
        <f aca="false">IF(Q$7=Q$5,Q$6,IF(NORMSDIST(Q$9*SQRT($C$11)*NORMSINV($B458)+SQRT(1-Q$9^2*$C$11)*NORMSINV(P458))&lt;Q$8,Q$5+SQRT(NORMSDIST(Q$9*SQRT($C$11)*NORMSINV($B458)+SQRT(1-Q$9^2*$C$11)*NORMSINV(P458))*(Q$7-Q$5)*(Q$6-Q$5)),Q$7-SQRT((1-NORMSDIST(Q$9*SQRT($C$11)*NORMSINV($B458)+SQRT(1-Q$9^2*$C$11)*NORMSINV(P458)))*(Q$7-Q$5)*(Q$7-Q$6))))</f>
        <v>0.10498694477463</v>
      </c>
      <c r="R458" s="2" t="n">
        <v>0.610199325</v>
      </c>
      <c r="S458" s="2" t="n">
        <f aca="false">IF(S$7=S$5,S$6,IF(NORMSDIST(S$9*SQRT($C$11)*NORMSINV($B458)+SQRT(1-S$9^2*$C$11)*NORMSINV(R458))&lt;S$8,S$5+SQRT(NORMSDIST(S$9*SQRT($C$11)*NORMSINV($B458)+SQRT(1-S$9^2*$C$11)*NORMSINV(R458))*(S$7-S$5)*(S$6-S$5)),S$7-SQRT((1-NORMSDIST(S$9*SQRT($C$11)*NORMSINV($B458)+SQRT(1-S$9^2*$C$11)*NORMSINV(R458)))*(S$7-S$5)*(S$7-S$6))))</f>
        <v>0.625093353876905</v>
      </c>
      <c r="T458" s="2" t="n">
        <v>0.341741226</v>
      </c>
      <c r="U458" s="2" t="n">
        <f aca="false">IF(U$7=U$5,U$6,IF(NORMSDIST(U$9*SQRT($C$11)*NORMSINV($B458)+SQRT(1-U$9^2*$C$11)*NORMSINV(T458))&lt;U$8,U$5+SQRT(NORMSDIST(U$9*SQRT($C$11)*NORMSINV($B458)+SQRT(1-U$9^2*$C$11)*NORMSINV(T458))*(U$7-U$5)*(U$6-U$5)),U$7-SQRT((1-NORMSDIST(U$9*SQRT($C$11)*NORMSINV($B458)+SQRT(1-U$9^2*$C$11)*NORMSINV(T458)))*(U$7-U$5)*(U$7-U$6))))</f>
        <v>0.509455122873193</v>
      </c>
      <c r="V458" s="2" t="n">
        <v>0.842845102</v>
      </c>
      <c r="W458" s="2" t="n">
        <f aca="false">IF(W$7=W$5,W$6,IF(NORMSDIST(W$9*SQRT($C$11)*NORMSINV($B458)+SQRT(1-W$9^2*$C$11)*NORMSINV(V458))&lt;W$8,W$5+SQRT(NORMSDIST(W$9*SQRT($C$11)*NORMSINV($B458)+SQRT(1-W$9^2*$C$11)*NORMSINV(V458))*(W$7-W$5)*(W$6-W$5)),W$7-SQRT((1-NORMSDIST(W$9*SQRT($C$11)*NORMSINV($B458)+SQRT(1-W$9^2*$C$11)*NORMSINV(V458)))*(W$7-W$5)*(W$7-W$6))))</f>
        <v>10.9932806254884</v>
      </c>
      <c r="X458" s="2" t="n">
        <v>0.308566949</v>
      </c>
      <c r="Y458" s="2" t="n">
        <f aca="false">IF(Y$7=Y$5,Y$6,IF(NORMSDIST(Y$9*SQRT($C$11)*NORMSINV($B458)+SQRT(1-Y$9^2*$C$11)*NORMSINV(X458))&lt;Y$8,Y$5+SQRT(NORMSDIST(Y$9*SQRT($C$11)*NORMSINV($B458)+SQRT(1-Y$9^2*$C$11)*NORMSINV(X458))*(Y$7-Y$5)*(Y$6-Y$5)),Y$7-SQRT((1-NORMSDIST(Y$9*SQRT($C$11)*NORMSINV($B458)+SQRT(1-Y$9^2*$C$11)*NORMSINV(X458)))*(Y$7-Y$5)*(Y$7-Y$6))))</f>
        <v>0.392789351306779</v>
      </c>
      <c r="Z458" s="2" t="n">
        <v>0.829198306</v>
      </c>
      <c r="AA458" s="2" t="n">
        <f aca="false">IF(AA$7=AA$5,AA$6,IF(NORMSDIST(AA$9*SQRT($C$11)*NORMSINV($B458)+SQRT(1-AA$9^2*$C$11)*NORMSINV(Z458))&lt;AA$8,AA$5+SQRT(NORMSDIST(AA$9*SQRT($C$11)*NORMSINV($B458)+SQRT(1-AA$9^2*$C$11)*NORMSINV(Z458))*(AA$7-AA$5)*(AA$6-AA$5)),AA$7-SQRT((1-NORMSDIST(AA$9*SQRT($C$11)*NORMSINV($B458)+SQRT(1-AA$9^2*$C$11)*NORMSINV(Z458)))*(AA$7-AA$5)*(AA$7-AA$6))))</f>
        <v>0.740659348110071</v>
      </c>
      <c r="AB458" s="2" t="n">
        <v>0.353667129</v>
      </c>
      <c r="AC458" s="2" t="n">
        <f aca="false">IF(AC$7=AC$5,AC$6,IF(NORMSDIST(AC$9*SQRT($C$11)*NORMSINV($B458)+SQRT(1-AC$9^2*$C$11)*NORMSINV(AB458))&lt;AC$8,AC$5+SQRT(NORMSDIST(AC$9*SQRT($C$11)*NORMSINV($B458)+SQRT(1-AC$9^2*$C$11)*NORMSINV(AB458))*(AC$7-AC$5)*(AC$6-AC$5)),AC$7-SQRT((1-NORMSDIST(AC$9*SQRT($C$11)*NORMSINV($B458)+SQRT(1-AC$9^2*$C$11)*NORMSINV(AB458)))*(AC$7-AC$5)*(AC$7-AC$6))))</f>
        <v>9.53725581227415</v>
      </c>
      <c r="AD458" s="2" t="n">
        <f aca="false">Entrées!$C$8*(1+E458)</f>
        <v>7425.13758935061</v>
      </c>
      <c r="AE458" s="2" t="n">
        <f aca="false">I458*Hypothèses!$J$24/12/Hypothèses!$J$19</f>
        <v>104.560874246816</v>
      </c>
      <c r="AF458" s="2" t="n">
        <f aca="false">Entrées!$C$36*S458*1000</f>
        <v>312.546676938452</v>
      </c>
      <c r="AG458" s="2" t="n">
        <f aca="false">-AF458/W458</f>
        <v>-28.4307012243279</v>
      </c>
      <c r="AH458" s="2" t="n">
        <f aca="false">AD458+AE458+AG458</f>
        <v>7501.26776237309</v>
      </c>
      <c r="AI458" s="2" t="n">
        <f aca="false">Entrées!$C$16-M458+Hypothèses!$J$22*1000-AF458+Hypothèses!$J$23</f>
        <v>22517.4377682421</v>
      </c>
      <c r="AJ458" s="2" t="n">
        <f aca="false">AI458/AH458</f>
        <v>3.00181762357441</v>
      </c>
      <c r="AK458" s="2" t="n">
        <f aca="false">AI458/(AH458+I458*(12-Hypothèses!$J$24)/12/Hypothèses!$J$19)</f>
        <v>2.97222468189331</v>
      </c>
      <c r="AL458" s="2" t="n">
        <f aca="false">(AD458+AG458+I458/Hypothèses!$J$19)*(1+G458)</f>
        <v>8040.87842610193</v>
      </c>
      <c r="AM458" s="2" t="n">
        <f aca="false">Entrées!$C$54*K458/Hypothèses!$J$19</f>
        <v>23.4775227389276</v>
      </c>
      <c r="AN458" s="2" t="n">
        <f aca="false">Y458*1000/AC458</f>
        <v>41.1847347956496</v>
      </c>
      <c r="AO458" s="2" t="n">
        <f aca="false">(Entrées!$C$36*(1-S458)+MAX(0,Entrées!$C$30-Entrées!$C$35-Entrées!$C$36)*U458)*1000</f>
        <v>900.690495084018</v>
      </c>
      <c r="AP458" s="2" t="n">
        <f aca="false">-AO458/W458</f>
        <v>-81.9310018335864</v>
      </c>
      <c r="AQ458" s="2" t="n">
        <f aca="false">AL458+AM458+AN458+AP458</f>
        <v>8023.60968180293</v>
      </c>
      <c r="AR458" s="2" t="n">
        <f aca="false">O458*AQ458-Hypothèses!$J$25/Hypothèses!$J$19</f>
        <v>1386.90068181011</v>
      </c>
      <c r="AS458" s="2" t="n">
        <f aca="false">Entrées!$C$79*(1+Q458)+Hypothèses!$J$20</f>
        <v>1509.38065230732</v>
      </c>
      <c r="AT458" s="2" t="n">
        <f aca="false">AI458-AR458+AS458+Y458*1000-AO458+Hypothèses!$J$23</f>
        <v>22132.0165949621</v>
      </c>
      <c r="AU458" s="2" t="n">
        <f aca="false">AT458/AQ458</f>
        <v>2.7583615695011</v>
      </c>
      <c r="AV458" s="2" t="n">
        <f aca="false">Hypothèses!$J$26*AQ458-AT458</f>
        <v>1938.81245044666</v>
      </c>
      <c r="AW458" s="2" t="n">
        <f aca="false">IF(AC458&gt;Hypothèses!$J$26,MAX(0,AV458)/(1-Hypothèses!$J$26/AC458),0)</f>
        <v>2828.54929391226</v>
      </c>
      <c r="AX458" s="2" t="n">
        <f aca="false">AQ458-Entrées!$C$17*1000</f>
        <v>23.6096818029246</v>
      </c>
      <c r="AY458" s="2" t="n">
        <f aca="false">AI458+(Entrées!$C$244-Entrées!$C$13)</f>
        <v>28264.4377682421</v>
      </c>
      <c r="AZ458" s="2" t="n">
        <f aca="false">AA458*AH458</f>
        <v>5555.88409087835</v>
      </c>
      <c r="BA458" s="2" t="n">
        <f aca="false">AZ458/AY458</f>
        <v>0.196568003101089</v>
      </c>
      <c r="BB458" s="2" t="n">
        <f aca="false">AZ458/(Entrées!$C$151/100)-AY458</f>
        <v>2601.58495885979</v>
      </c>
      <c r="BC458" s="2" t="n">
        <f aca="false">AT458+(Entrées!$C$244-Entrées!$C$13)</f>
        <v>27879.0165949621</v>
      </c>
      <c r="BD458" s="2" t="n">
        <f aca="false">AA458*AQ458</f>
        <v>5942.76151641381</v>
      </c>
      <c r="BE458" s="2" t="n">
        <f aca="false">BD458/BC458</f>
        <v>0.213162523009786</v>
      </c>
      <c r="BF458" s="2" t="n">
        <f aca="false">BD458/(Entrées!$C$151/100)-BC458</f>
        <v>5136.32516289239</v>
      </c>
      <c r="BG458" s="2" t="n">
        <f aca="false">MIN(AV458,BF458)</f>
        <v>1938.81245044666</v>
      </c>
      <c r="BH458" s="2" t="n">
        <f aca="false">IF(AC458&gt;Hypothèses!$J$26,MAX(0,BG458)/(1-Hypothèses!$J$26/AC458),0)</f>
        <v>2828.54929391226</v>
      </c>
    </row>
    <row r="459" customFormat="false" ht="15" hidden="false" customHeight="false" outlineLevel="0" collapsed="false">
      <c r="A459" s="2" t="n">
        <v>444</v>
      </c>
      <c r="B459" s="2" t="n">
        <v>0.940922816</v>
      </c>
      <c r="C459" s="2"/>
      <c r="D459" s="2" t="n">
        <v>0.229253022</v>
      </c>
      <c r="E459" s="2" t="n">
        <f aca="false">IF(E$7=E$5,E$6,IF(NORMSDIST(E$9*SQRT($C$11)*NORMSINV($B459)+SQRT(1-E$9^2*$C$11)*NORMSINV(D459))&lt;E$8,E$5+SQRT(NORMSDIST(E$9*SQRT($C$11)*NORMSINV($B459)+SQRT(1-E$9^2*$C$11)*NORMSINV(D459))*(E$7-E$5)*(E$6-E$5)),E$7-SQRT((1-NORMSDIST(E$9*SQRT($C$11)*NORMSINV($B459)+SQRT(1-E$9^2*$C$11)*NORMSINV(D459)))*(E$7-E$5)*(E$7-E$6))))</f>
        <v>0.0558803955277898</v>
      </c>
      <c r="F459" s="2" t="n">
        <v>0.082827243</v>
      </c>
      <c r="G459" s="2" t="n">
        <f aca="false">IF(G$7=G$5,G$6,IF(NORMSDIST(G$9*SQRT($C$11)*NORMSINV($B459)+SQRT(1-G$9^2*$C$11)*NORMSINV(F459))&lt;G$8,G$5+SQRT(NORMSDIST(G$9*SQRT($C$11)*NORMSINV($B459)+SQRT(1-G$9^2*$C$11)*NORMSINV(F459))*(G$7-G$5)*(G$6-G$5)),G$7-SQRT((1-NORMSDIST(G$9*SQRT($C$11)*NORMSINV($B459)+SQRT(1-G$9^2*$C$11)*NORMSINV(F459)))*(G$7-G$5)*(G$7-G$6))))</f>
        <v>0.054479525881391</v>
      </c>
      <c r="H459" s="2" t="n">
        <v>0.676818373</v>
      </c>
      <c r="I459" s="2" t="n">
        <f aca="false">IF(I$7=I$5,I$6,IF(NORMSDIST(I$9*SQRT($C$11)*NORMSINV($B459)+SQRT(1-I$9^2*$C$11)*NORMSINV(H459))&lt;I$8,I$5+SQRT(NORMSDIST(I$9*SQRT($C$11)*NORMSINV($B459)+SQRT(1-I$9^2*$C$11)*NORMSINV(H459))*(I$7-I$5)*(I$6-I$5)),I$7-SQRT((1-NORMSDIST(I$9*SQRT($C$11)*NORMSINV($B459)+SQRT(1-I$9^2*$C$11)*NORMSINV(H459)))*(I$7-I$5)*(I$7-I$6))))</f>
        <v>211.536904733593</v>
      </c>
      <c r="J459" s="2" t="n">
        <v>0.785092215</v>
      </c>
      <c r="K459" s="2" t="n">
        <f aca="false">IF(K$7=K$5,K$6,IF(NORMSDIST(K$9*SQRT($C$11)*NORMSINV($B459)+SQRT(1-K$9^2*$C$11)*NORMSINV(J459))&lt;K$8,K$5+SQRT(NORMSDIST(K$9*SQRT($C$11)*NORMSINV($B459)+SQRT(1-K$9^2*$C$11)*NORMSINV(J459))*(K$7-K$5)*(K$6-K$5)),K$7-SQRT((1-NORMSDIST(K$9*SQRT($C$11)*NORMSINV($B459)+SQRT(1-K$9^2*$C$11)*NORMSINV(J459)))*(K$7-K$5)*(K$7-K$6))))</f>
        <v>0.41721940219709</v>
      </c>
      <c r="L459" s="2" t="n">
        <v>0.96001993</v>
      </c>
      <c r="M459" s="2" t="n">
        <f aca="false">IF(M$7=M$5,M$6,IF(NORMSDIST(M$9*SQRT($C$11)*NORMSINV($B459)+SQRT(1-M$9^2*$C$11)*NORMSINV(L459))&lt;M$8,M$5+SQRT(NORMSDIST(M$9*SQRT($C$11)*NORMSINV($B459)+SQRT(1-M$9^2*$C$11)*NORMSINV(L459))*(M$7-M$5)*(M$6-M$5)),M$7-SQRT((1-NORMSDIST(M$9*SQRT($C$11)*NORMSINV($B459)+SQRT(1-M$9^2*$C$11)*NORMSINV(L459)))*(M$7-M$5)*(M$7-M$6))))</f>
        <v>1764.36160700466</v>
      </c>
      <c r="N459" s="2" t="n">
        <v>0.894346416</v>
      </c>
      <c r="O459" s="2" t="n">
        <f aca="false">IF(O$7=O$5,O$6,IF(NORMSDIST(O$9*SQRT($C$11)*NORMSINV($B459)+SQRT(1-O$9^2*$C$11)*NORMSINV(N459))&lt;O$8,O$5+SQRT(NORMSDIST(O$9*SQRT($C$11)*NORMSINV($B459)+SQRT(1-O$9^2*$C$11)*NORMSINV(N459))*(O$7-O$5)*(O$6-O$5)),O$7-SQRT((1-NORMSDIST(O$9*SQRT($C$11)*NORMSINV($B459)+SQRT(1-O$9^2*$C$11)*NORMSINV(N459)))*(O$7-O$5)*(O$7-O$6))))</f>
        <v>0.184818598377111</v>
      </c>
      <c r="P459" s="2" t="n">
        <v>0.364043175</v>
      </c>
      <c r="Q459" s="2" t="n">
        <f aca="false">IF(Q$7=Q$5,Q$6,IF(NORMSDIST(Q$9*SQRT($C$11)*NORMSINV($B459)+SQRT(1-Q$9^2*$C$11)*NORMSINV(P459))&lt;Q$8,Q$5+SQRT(NORMSDIST(Q$9*SQRT($C$11)*NORMSINV($B459)+SQRT(1-Q$9^2*$C$11)*NORMSINV(P459))*(Q$7-Q$5)*(Q$6-Q$5)),Q$7-SQRT((1-NORMSDIST(Q$9*SQRT($C$11)*NORMSINV($B459)+SQRT(1-Q$9^2*$C$11)*NORMSINV(P459)))*(Q$7-Q$5)*(Q$7-Q$6))))</f>
        <v>0.0741311904275254</v>
      </c>
      <c r="R459" s="2" t="n">
        <v>0.754413148</v>
      </c>
      <c r="S459" s="2" t="n">
        <f aca="false">IF(S$7=S$5,S$6,IF(NORMSDIST(S$9*SQRT($C$11)*NORMSINV($B459)+SQRT(1-S$9^2*$C$11)*NORMSINV(R459))&lt;S$8,S$5+SQRT(NORMSDIST(S$9*SQRT($C$11)*NORMSINV($B459)+SQRT(1-S$9^2*$C$11)*NORMSINV(R459))*(S$7-S$5)*(S$6-S$5)),S$7-SQRT((1-NORMSDIST(S$9*SQRT($C$11)*NORMSINV($B459)+SQRT(1-S$9^2*$C$11)*NORMSINV(R459)))*(S$7-S$5)*(S$7-S$6))))</f>
        <v>0.821024213550432</v>
      </c>
      <c r="T459" s="2" t="n">
        <v>0.872792593</v>
      </c>
      <c r="U459" s="2" t="n">
        <f aca="false">IF(U$7=U$5,U$6,IF(NORMSDIST(U$9*SQRT($C$11)*NORMSINV($B459)+SQRT(1-U$9^2*$C$11)*NORMSINV(T459))&lt;U$8,U$5+SQRT(NORMSDIST(U$9*SQRT($C$11)*NORMSINV($B459)+SQRT(1-U$9^2*$C$11)*NORMSINV(T459))*(U$7-U$5)*(U$6-U$5)),U$7-SQRT((1-NORMSDIST(U$9*SQRT($C$11)*NORMSINV($B459)+SQRT(1-U$9^2*$C$11)*NORMSINV(T459)))*(U$7-U$5)*(U$7-U$6))))</f>
        <v>0.876168102072485</v>
      </c>
      <c r="V459" s="2" t="n">
        <v>0.234587064</v>
      </c>
      <c r="W459" s="2" t="n">
        <f aca="false">IF(W$7=W$5,W$6,IF(NORMSDIST(W$9*SQRT($C$11)*NORMSINV($B459)+SQRT(1-W$9^2*$C$11)*NORMSINV(V459))&lt;W$8,W$5+SQRT(NORMSDIST(W$9*SQRT($C$11)*NORMSINV($B459)+SQRT(1-W$9^2*$C$11)*NORMSINV(V459))*(W$7-W$5)*(W$6-W$5)),W$7-SQRT((1-NORMSDIST(W$9*SQRT($C$11)*NORMSINV($B459)+SQRT(1-W$9^2*$C$11)*NORMSINV(V459)))*(W$7-W$5)*(W$7-W$6))))</f>
        <v>10.3642070995557</v>
      </c>
      <c r="X459" s="2" t="n">
        <v>0.034348398</v>
      </c>
      <c r="Y459" s="2" t="n">
        <f aca="false">IF(Y$7=Y$5,Y$6,IF(NORMSDIST(Y$9*SQRT($C$11)*NORMSINV($B459)+SQRT(1-Y$9^2*$C$11)*NORMSINV(X459))&lt;Y$8,Y$5+SQRT(NORMSDIST(Y$9*SQRT($C$11)*NORMSINV($B459)+SQRT(1-Y$9^2*$C$11)*NORMSINV(X459))*(Y$7-Y$5)*(Y$6-Y$5)),Y$7-SQRT((1-NORMSDIST(Y$9*SQRT($C$11)*NORMSINV($B459)+SQRT(1-Y$9^2*$C$11)*NORMSINV(X459)))*(Y$7-Y$5)*(Y$7-Y$6))))</f>
        <v>0.131050368179567</v>
      </c>
      <c r="Z459" s="2" t="n">
        <v>0.210790056</v>
      </c>
      <c r="AA459" s="2" t="n">
        <f aca="false">IF(AA$7=AA$5,AA$6,IF(NORMSDIST(AA$9*SQRT($C$11)*NORMSINV($B459)+SQRT(1-AA$9^2*$C$11)*NORMSINV(Z459))&lt;AA$8,AA$5+SQRT(NORMSDIST(AA$9*SQRT($C$11)*NORMSINV($B459)+SQRT(1-AA$9^2*$C$11)*NORMSINV(Z459))*(AA$7-AA$5)*(AA$6-AA$5)),AA$7-SQRT((1-NORMSDIST(AA$9*SQRT($C$11)*NORMSINV($B459)+SQRT(1-AA$9^2*$C$11)*NORMSINV(Z459)))*(AA$7-AA$5)*(AA$7-AA$6))))</f>
        <v>0.732439790585812</v>
      </c>
      <c r="AB459" s="2" t="n">
        <v>0.805773706</v>
      </c>
      <c r="AC459" s="2" t="n">
        <f aca="false">IF(AC$7=AC$5,AC$6,IF(NORMSDIST(AC$9*SQRT($C$11)*NORMSINV($B459)+SQRT(1-AC$9^2*$C$11)*NORMSINV(AB459))&lt;AC$8,AC$5+SQRT(NORMSDIST(AC$9*SQRT($C$11)*NORMSINV($B459)+SQRT(1-AC$9^2*$C$11)*NORMSINV(AB459))*(AC$7-AC$5)*(AC$6-AC$5)),AC$7-SQRT((1-NORMSDIST(AC$9*SQRT($C$11)*NORMSINV($B459)+SQRT(1-AC$9^2*$C$11)*NORMSINV(AB459)))*(AC$7-AC$5)*(AC$7-AC$6))))</f>
        <v>10.5407033712406</v>
      </c>
      <c r="AD459" s="2" t="n">
        <f aca="false">Entrées!$C$8*(1+E459)</f>
        <v>7443.95678847092</v>
      </c>
      <c r="AE459" s="2" t="n">
        <f aca="false">I459*Hypothèses!$J$24/12/Hypothèses!$J$19</f>
        <v>104.942781388133</v>
      </c>
      <c r="AF459" s="2" t="n">
        <f aca="false">Entrées!$C$36*S459*1000</f>
        <v>410.512106775216</v>
      </c>
      <c r="AG459" s="2" t="n">
        <f aca="false">-AF459/W459</f>
        <v>-39.608636032834</v>
      </c>
      <c r="AH459" s="2" t="n">
        <f aca="false">AD459+AE459+AG459</f>
        <v>7509.29093382622</v>
      </c>
      <c r="AI459" s="2" t="n">
        <f aca="false">Entrées!$C$16-M459+Hypothèses!$J$22*1000-AF459+Hypothèses!$J$23</f>
        <v>22373.1262862201</v>
      </c>
      <c r="AJ459" s="2" t="n">
        <f aca="false">AI459/AH459</f>
        <v>2.97939265949046</v>
      </c>
      <c r="AK459" s="2" t="n">
        <f aca="false">AI459/(AH459+I459*(12-Hypothèses!$J$24)/12/Hypothèses!$J$19)</f>
        <v>2.9499457559054</v>
      </c>
      <c r="AL459" s="2" t="n">
        <f aca="false">(AD459+AG459+I459/Hypothèses!$J$19)*(1+G459)</f>
        <v>7997.43641100852</v>
      </c>
      <c r="AM459" s="2" t="n">
        <f aca="false">Entrées!$C$54*K459/Hypothèses!$J$19</f>
        <v>42.5789917852794</v>
      </c>
      <c r="AN459" s="2" t="n">
        <f aca="false">Y459*1000/AC459</f>
        <v>12.4327915855336</v>
      </c>
      <c r="AO459" s="2" t="n">
        <f aca="false">(Entrées!$C$36*(1-S459)+MAX(0,Entrées!$C$30-Entrées!$C$35-Entrées!$C$36)*U459)*1000</f>
        <v>1316.12323612626</v>
      </c>
      <c r="AP459" s="2" t="n">
        <f aca="false">-AO459/W459</f>
        <v>-126.987354023704</v>
      </c>
      <c r="AQ459" s="2" t="n">
        <f aca="false">AL459+AM459+AN459+AP459</f>
        <v>7925.46084035563</v>
      </c>
      <c r="AR459" s="2" t="n">
        <f aca="false">O459*AQ459-Hypothèses!$J$25/Hypothèses!$J$19</f>
        <v>1445.63740174558</v>
      </c>
      <c r="AS459" s="2" t="n">
        <f aca="false">Entrées!$C$79*(1+Q459)+Hypothèses!$J$20</f>
        <v>1475.47017827985</v>
      </c>
      <c r="AT459" s="2" t="n">
        <f aca="false">AI459-AR459+AS459+Y459*1000-AO459+Hypothèses!$J$23</f>
        <v>21217.8861948077</v>
      </c>
      <c r="AU459" s="2" t="n">
        <f aca="false">AT459/AQ459</f>
        <v>2.67718011888576</v>
      </c>
      <c r="AV459" s="2" t="n">
        <f aca="false">Hypothèses!$J$26*AQ459-AT459</f>
        <v>2558.4963262592</v>
      </c>
      <c r="AW459" s="2" t="n">
        <f aca="false">IF(AC459&gt;Hypothèses!$J$26,MAX(0,AV459)/(1-Hypothèses!$J$26/AC459),0)</f>
        <v>3576.37073410966</v>
      </c>
      <c r="AX459" s="2" t="n">
        <f aca="false">AQ459-Entrées!$C$17*1000</f>
        <v>-74.5391596443687</v>
      </c>
      <c r="AY459" s="2" t="n">
        <f aca="false">AI459+(Entrées!$C$244-Entrées!$C$13)</f>
        <v>28120.1262862201</v>
      </c>
      <c r="AZ459" s="2" t="n">
        <f aca="false">AA459*AH459</f>
        <v>5500.10347901961</v>
      </c>
      <c r="BA459" s="2" t="n">
        <f aca="false">AZ459/AY459</f>
        <v>0.195593128673638</v>
      </c>
      <c r="BB459" s="2" t="n">
        <f aca="false">AZ459/(Entrées!$C$151/100)-AY459</f>
        <v>2436.00415277771</v>
      </c>
      <c r="BC459" s="2" t="n">
        <f aca="false">AT459+(Entrées!$C$244-Entrées!$C$13)</f>
        <v>26964.8861948077</v>
      </c>
      <c r="BD459" s="2" t="n">
        <f aca="false">AA459*AQ459</f>
        <v>5804.92287820613</v>
      </c>
      <c r="BE459" s="2" t="n">
        <f aca="false">BD459/BC459</f>
        <v>0.215277113957333</v>
      </c>
      <c r="BF459" s="2" t="n">
        <f aca="false">BD459/(Entrées!$C$151/100)-BC459</f>
        <v>5284.68535078192</v>
      </c>
      <c r="BG459" s="2" t="n">
        <f aca="false">MIN(AV459,BF459)</f>
        <v>2558.4963262592</v>
      </c>
      <c r="BH459" s="2" t="n">
        <f aca="false">IF(AC459&gt;Hypothèses!$J$26,MAX(0,BG459)/(1-Hypothèses!$J$26/AC459),0)</f>
        <v>3576.37073410966</v>
      </c>
    </row>
    <row r="460" customFormat="false" ht="15" hidden="false" customHeight="false" outlineLevel="0" collapsed="false">
      <c r="A460" s="2" t="n">
        <v>445</v>
      </c>
      <c r="B460" s="2" t="n">
        <v>0.516241127</v>
      </c>
      <c r="C460" s="2"/>
      <c r="D460" s="2" t="n">
        <v>0.846683884</v>
      </c>
      <c r="E460" s="2" t="n">
        <f aca="false">IF(E$7=E$5,E$6,IF(NORMSDIST(E$9*SQRT($C$11)*NORMSINV($B460)+SQRT(1-E$9^2*$C$11)*NORMSINV(D460))&lt;E$8,E$5+SQRT(NORMSDIST(E$9*SQRT($C$11)*NORMSINV($B460)+SQRT(1-E$9^2*$C$11)*NORMSINV(D460))*(E$7-E$5)*(E$6-E$5)),E$7-SQRT((1-NORMSDIST(E$9*SQRT($C$11)*NORMSINV($B460)+SQRT(1-E$9^2*$C$11)*NORMSINV(D460)))*(E$7-E$5)*(E$7-E$6))))</f>
        <v>0.0567845483748435</v>
      </c>
      <c r="F460" s="2" t="n">
        <v>0.435772289</v>
      </c>
      <c r="G460" s="2" t="n">
        <f aca="false">IF(G$7=G$5,G$6,IF(NORMSDIST(G$9*SQRT($C$11)*NORMSINV($B460)+SQRT(1-G$9^2*$C$11)*NORMSINV(F460))&lt;G$8,G$5+SQRT(NORMSDIST(G$9*SQRT($C$11)*NORMSINV($B460)+SQRT(1-G$9^2*$C$11)*NORMSINV(F460))*(G$7-G$5)*(G$6-G$5)),G$7-SQRT((1-NORMSDIST(G$9*SQRT($C$11)*NORMSINV($B460)+SQRT(1-G$9^2*$C$11)*NORMSINV(F460)))*(G$7-G$5)*(G$7-G$6))))</f>
        <v>0.0543933197116418</v>
      </c>
      <c r="H460" s="2" t="n">
        <v>0.495534642</v>
      </c>
      <c r="I460" s="2" t="n">
        <f aca="false">IF(I$7=I$5,I$6,IF(NORMSDIST(I$9*SQRT($C$11)*NORMSINV($B460)+SQRT(1-I$9^2*$C$11)*NORMSINV(H460))&lt;I$8,I$5+SQRT(NORMSDIST(I$9*SQRT($C$11)*NORMSINV($B460)+SQRT(1-I$9^2*$C$11)*NORMSINV(H460))*(I$7-I$5)*(I$6-I$5)),I$7-SQRT((1-NORMSDIST(I$9*SQRT($C$11)*NORMSINV($B460)+SQRT(1-I$9^2*$C$11)*NORMSINV(H460)))*(I$7-I$5)*(I$7-I$6))))</f>
        <v>200.136775173651</v>
      </c>
      <c r="J460" s="2" t="n">
        <v>0.944212433</v>
      </c>
      <c r="K460" s="2" t="n">
        <f aca="false">IF(K$7=K$5,K$6,IF(NORMSDIST(K$9*SQRT($C$11)*NORMSINV($B460)+SQRT(1-K$9^2*$C$11)*NORMSINV(J460))&lt;K$8,K$5+SQRT(NORMSDIST(K$9*SQRT($C$11)*NORMSINV($B460)+SQRT(1-K$9^2*$C$11)*NORMSINV(J460))*(K$7-K$5)*(K$6-K$5)),K$7-SQRT((1-NORMSDIST(K$9*SQRT($C$11)*NORMSINV($B460)+SQRT(1-K$9^2*$C$11)*NORMSINV(J460)))*(K$7-K$5)*(K$7-K$6))))</f>
        <v>0.385900538392962</v>
      </c>
      <c r="L460" s="2" t="n">
        <v>0.309583478</v>
      </c>
      <c r="M460" s="2" t="n">
        <f aca="false">IF(M$7=M$5,M$6,IF(NORMSDIST(M$9*SQRT($C$11)*NORMSINV($B460)+SQRT(1-M$9^2*$C$11)*NORMSINV(L460))&lt;M$8,M$5+SQRT(NORMSDIST(M$9*SQRT($C$11)*NORMSINV($B460)+SQRT(1-M$9^2*$C$11)*NORMSINV(L460))*(M$7-M$5)*(M$6-M$5)),M$7-SQRT((1-NORMSDIST(M$9*SQRT($C$11)*NORMSINV($B460)+SQRT(1-M$9^2*$C$11)*NORMSINV(L460)))*(M$7-M$5)*(M$7-M$6))))</f>
        <v>1542.51542365286</v>
      </c>
      <c r="N460" s="2" t="n">
        <v>0.496353689</v>
      </c>
      <c r="O460" s="2" t="n">
        <f aca="false">IF(O$7=O$5,O$6,IF(NORMSDIST(O$9*SQRT($C$11)*NORMSINV($B460)+SQRT(1-O$9^2*$C$11)*NORMSINV(N460))&lt;O$8,O$5+SQRT(NORMSDIST(O$9*SQRT($C$11)*NORMSINV($B460)+SQRT(1-O$9^2*$C$11)*NORMSINV(N460))*(O$7-O$5)*(O$6-O$5)),O$7-SQRT((1-NORMSDIST(O$9*SQRT($C$11)*NORMSINV($B460)+SQRT(1-O$9^2*$C$11)*NORMSINV(N460)))*(O$7-O$5)*(O$7-O$6))))</f>
        <v>0.166983293532245</v>
      </c>
      <c r="P460" s="2" t="n">
        <v>0.172031408</v>
      </c>
      <c r="Q460" s="2" t="n">
        <f aca="false">IF(Q$7=Q$5,Q$6,IF(NORMSDIST(Q$9*SQRT($C$11)*NORMSINV($B460)+SQRT(1-Q$9^2*$C$11)*NORMSINV(P460))&lt;Q$8,Q$5+SQRT(NORMSDIST(Q$9*SQRT($C$11)*NORMSINV($B460)+SQRT(1-Q$9^2*$C$11)*NORMSINV(P460))*(Q$7-Q$5)*(Q$6-Q$5)),Q$7-SQRT((1-NORMSDIST(Q$9*SQRT($C$11)*NORMSINV($B460)+SQRT(1-Q$9^2*$C$11)*NORMSINV(P460)))*(Q$7-Q$5)*(Q$7-Q$6))))</f>
        <v>0.0634627471878295</v>
      </c>
      <c r="R460" s="2" t="n">
        <v>0.389864211</v>
      </c>
      <c r="S460" s="2" t="n">
        <f aca="false">IF(S$7=S$5,S$6,IF(NORMSDIST(S$9*SQRT($C$11)*NORMSINV($B460)+SQRT(1-S$9^2*$C$11)*NORMSINV(R460))&lt;S$8,S$5+SQRT(NORMSDIST(S$9*SQRT($C$11)*NORMSINV($B460)+SQRT(1-S$9^2*$C$11)*NORMSINV(R460))*(S$7-S$5)*(S$6-S$5)),S$7-SQRT((1-NORMSDIST(S$9*SQRT($C$11)*NORMSINV($B460)+SQRT(1-S$9^2*$C$11)*NORMSINV(R460)))*(S$7-S$5)*(S$7-S$6))))</f>
        <v>0.460602957674848</v>
      </c>
      <c r="T460" s="2" t="n">
        <v>0.725413173</v>
      </c>
      <c r="U460" s="2" t="n">
        <f aca="false">IF(U$7=U$5,U$6,IF(NORMSDIST(U$9*SQRT($C$11)*NORMSINV($B460)+SQRT(1-U$9^2*$C$11)*NORMSINV(T460))&lt;U$8,U$5+SQRT(NORMSDIST(U$9*SQRT($C$11)*NORMSINV($B460)+SQRT(1-U$9^2*$C$11)*NORMSINV(T460))*(U$7-U$5)*(U$6-U$5)),U$7-SQRT((1-NORMSDIST(U$9*SQRT($C$11)*NORMSINV($B460)+SQRT(1-U$9^2*$C$11)*NORMSINV(T460)))*(U$7-U$5)*(U$7-U$6))))</f>
        <v>0.604930422903641</v>
      </c>
      <c r="V460" s="2" t="n">
        <v>0.991411748</v>
      </c>
      <c r="W460" s="2" t="n">
        <f aca="false">IF(W$7=W$5,W$6,IF(NORMSDIST(W$9*SQRT($C$11)*NORMSINV($B460)+SQRT(1-W$9^2*$C$11)*NORMSINV(V460))&lt;W$8,W$5+SQRT(NORMSDIST(W$9*SQRT($C$11)*NORMSINV($B460)+SQRT(1-W$9^2*$C$11)*NORMSINV(V460))*(W$7-W$5)*(W$6-W$5)),W$7-SQRT((1-NORMSDIST(W$9*SQRT($C$11)*NORMSINV($B460)+SQRT(1-W$9^2*$C$11)*NORMSINV(V460)))*(W$7-W$5)*(W$7-W$6))))</f>
        <v>11.5049472598026</v>
      </c>
      <c r="X460" s="2" t="n">
        <v>0.44266571</v>
      </c>
      <c r="Y460" s="2" t="n">
        <f aca="false">IF(Y$7=Y$5,Y$6,IF(NORMSDIST(Y$9*SQRT($C$11)*NORMSINV($B460)+SQRT(1-Y$9^2*$C$11)*NORMSINV(X460))&lt;Y$8,Y$5+SQRT(NORMSDIST(Y$9*SQRT($C$11)*NORMSINV($B460)+SQRT(1-Y$9^2*$C$11)*NORMSINV(X460))*(Y$7-Y$5)*(Y$6-Y$5)),Y$7-SQRT((1-NORMSDIST(Y$9*SQRT($C$11)*NORMSINV($B460)+SQRT(1-Y$9^2*$C$11)*NORMSINV(X460)))*(Y$7-Y$5)*(Y$7-Y$6))))</f>
        <v>0.47046025868292</v>
      </c>
      <c r="Z460" s="2" t="n">
        <v>0.513870297</v>
      </c>
      <c r="AA460" s="2" t="n">
        <f aca="false">IF(AA$7=AA$5,AA$6,IF(NORMSDIST(AA$9*SQRT($C$11)*NORMSINV($B460)+SQRT(1-AA$9^2*$C$11)*NORMSINV(Z460))&lt;AA$8,AA$5+SQRT(NORMSDIST(AA$9*SQRT($C$11)*NORMSINV($B460)+SQRT(1-AA$9^2*$C$11)*NORMSINV(Z460))*(AA$7-AA$5)*(AA$6-AA$5)),AA$7-SQRT((1-NORMSDIST(AA$9*SQRT($C$11)*NORMSINV($B460)+SQRT(1-AA$9^2*$C$11)*NORMSINV(Z460)))*(AA$7-AA$5)*(AA$7-AA$6))))</f>
        <v>0.728732036489401</v>
      </c>
      <c r="AB460" s="2" t="n">
        <v>0.778425849</v>
      </c>
      <c r="AC460" s="2" t="n">
        <f aca="false">IF(AC$7=AC$5,AC$6,IF(NORMSDIST(AC$9*SQRT($C$11)*NORMSINV($B460)+SQRT(1-AC$9^2*$C$11)*NORMSINV(AB460))&lt;AC$8,AC$5+SQRT(NORMSDIST(AC$9*SQRT($C$11)*NORMSINV($B460)+SQRT(1-AC$9^2*$C$11)*NORMSINV(AB460))*(AC$7-AC$5)*(AC$6-AC$5)),AC$7-SQRT((1-NORMSDIST(AC$9*SQRT($C$11)*NORMSINV($B460)+SQRT(1-AC$9^2*$C$11)*NORMSINV(AB460)))*(AC$7-AC$5)*(AC$7-AC$6))))</f>
        <v>9.92460938199341</v>
      </c>
      <c r="AD460" s="2" t="n">
        <f aca="false">Entrées!$C$8*(1+E460)</f>
        <v>7450.33106604265</v>
      </c>
      <c r="AE460" s="2" t="n">
        <f aca="false">I460*Hypothèses!$J$24/12/Hypothèses!$J$19</f>
        <v>99.28721360098</v>
      </c>
      <c r="AF460" s="2" t="n">
        <f aca="false">Entrées!$C$36*S460*1000</f>
        <v>230.301478837424</v>
      </c>
      <c r="AG460" s="2" t="n">
        <f aca="false">-AF460/W460</f>
        <v>-20.017604047789</v>
      </c>
      <c r="AH460" s="2" t="n">
        <f aca="false">AD460+AE460+AG460</f>
        <v>7529.60067559584</v>
      </c>
      <c r="AI460" s="2" t="n">
        <f aca="false">Entrées!$C$16-M460+Hypothèses!$J$22*1000-AF460+Hypothèses!$J$23</f>
        <v>22775.1830975097</v>
      </c>
      <c r="AJ460" s="2" t="n">
        <f aca="false">AI460/AH460</f>
        <v>3.02475311490638</v>
      </c>
      <c r="AK460" s="2" t="n">
        <f aca="false">AI460/(AH460+I460*(12-Hypothèses!$J$24)/12/Hypothèses!$J$19)</f>
        <v>2.99652954748599</v>
      </c>
      <c r="AL460" s="2" t="n">
        <f aca="false">(AD460+AG460+I460/Hypothèses!$J$19)*(1+G460)</f>
        <v>8013.93763441141</v>
      </c>
      <c r="AM460" s="2" t="n">
        <f aca="false">Entrées!$C$54*K460/Hypothèses!$J$19</f>
        <v>39.3827702346567</v>
      </c>
      <c r="AN460" s="2" t="n">
        <f aca="false">Y460*1000/AC460</f>
        <v>47.4034030534737</v>
      </c>
      <c r="AO460" s="2" t="n">
        <f aca="false">(Entrées!$C$36*(1-S460)+MAX(0,Entrées!$C$30-Entrées!$C$35-Entrées!$C$36)*U460)*1000</f>
        <v>1116.60111322767</v>
      </c>
      <c r="AP460" s="2" t="n">
        <f aca="false">-AO460/W460</f>
        <v>-97.05399668619</v>
      </c>
      <c r="AQ460" s="2" t="n">
        <f aca="false">AL460+AM460+AN460+AP460</f>
        <v>8003.66981101336</v>
      </c>
      <c r="AR460" s="2" t="n">
        <f aca="false">O460*AQ460-Hypothèses!$J$25/Hypothèses!$J$19</f>
        <v>1317.34398312598</v>
      </c>
      <c r="AS460" s="2" t="n">
        <f aca="false">Entrées!$C$79*(1+Q460)+Hypothèses!$J$20</f>
        <v>1463.74555915942</v>
      </c>
      <c r="AT460" s="2" t="n">
        <f aca="false">AI460-AR460+AS460+Y460*1000-AO460+Hypothèses!$J$23</f>
        <v>22275.4438189984</v>
      </c>
      <c r="AU460" s="2" t="n">
        <f aca="false">AT460/AQ460</f>
        <v>2.78315377132957</v>
      </c>
      <c r="AV460" s="2" t="n">
        <f aca="false">Hypothèses!$J$26*AQ460-AT460</f>
        <v>1735.56561404165</v>
      </c>
      <c r="AW460" s="2" t="n">
        <f aca="false">IF(AC460&gt;Hypothèses!$J$26,MAX(0,AV460)/(1-Hypothèses!$J$26/AC460),0)</f>
        <v>2487.47760718084</v>
      </c>
      <c r="AX460" s="2" t="n">
        <f aca="false">AQ460-Entrées!$C$17*1000</f>
        <v>3.66981101335477</v>
      </c>
      <c r="AY460" s="2" t="n">
        <f aca="false">AI460+(Entrées!$C$244-Entrées!$C$13)</f>
        <v>28522.1830975097</v>
      </c>
      <c r="AZ460" s="2" t="n">
        <f aca="false">AA460*AH460</f>
        <v>5487.06123427893</v>
      </c>
      <c r="BA460" s="2" t="n">
        <f aca="false">AZ460/AY460</f>
        <v>0.192378725552674</v>
      </c>
      <c r="BB460" s="2" t="n">
        <f aca="false">AZ460/(Entrées!$C$151/100)-AY460</f>
        <v>1961.49042626209</v>
      </c>
      <c r="BC460" s="2" t="n">
        <f aca="false">AT460+(Entrées!$C$244-Entrées!$C$13)</f>
        <v>28022.4438189984</v>
      </c>
      <c r="BD460" s="2" t="n">
        <f aca="false">AA460*AQ460</f>
        <v>5832.5306007685</v>
      </c>
      <c r="BE460" s="2" t="n">
        <f aca="false">BD460/BC460</f>
        <v>0.208137828322247</v>
      </c>
      <c r="BF460" s="2" t="n">
        <f aca="false">BD460/(Entrées!$C$151/100)-BC460</f>
        <v>4380.50396304883</v>
      </c>
      <c r="BG460" s="2" t="n">
        <f aca="false">MIN(AV460,BF460)</f>
        <v>1735.56561404165</v>
      </c>
      <c r="BH460" s="2" t="n">
        <f aca="false">IF(AC460&gt;Hypothèses!$J$26,MAX(0,BG460)/(1-Hypothèses!$J$26/AC460),0)</f>
        <v>2487.47760718084</v>
      </c>
    </row>
    <row r="461" customFormat="false" ht="15" hidden="false" customHeight="false" outlineLevel="0" collapsed="false">
      <c r="A461" s="2" t="n">
        <v>446</v>
      </c>
      <c r="B461" s="2" t="n">
        <v>0.835464752</v>
      </c>
      <c r="C461" s="2"/>
      <c r="D461" s="2" t="n">
        <v>0.181567417</v>
      </c>
      <c r="E461" s="2" t="n">
        <f aca="false">IF(E$7=E$5,E$6,IF(NORMSDIST(E$9*SQRT($C$11)*NORMSINV($B461)+SQRT(1-E$9^2*$C$11)*NORMSINV(D461))&lt;E$8,E$5+SQRT(NORMSDIST(E$9*SQRT($C$11)*NORMSINV($B461)+SQRT(1-E$9^2*$C$11)*NORMSINV(D461))*(E$7-E$5)*(E$6-E$5)),E$7-SQRT((1-NORMSDIST(E$9*SQRT($C$11)*NORMSINV($B461)+SQRT(1-E$9^2*$C$11)*NORMSINV(D461)))*(E$7-E$5)*(E$7-E$6))))</f>
        <v>0.0548232456512698</v>
      </c>
      <c r="F461" s="2" t="n">
        <v>0.740640799</v>
      </c>
      <c r="G461" s="2" t="n">
        <f aca="false">IF(G$7=G$5,G$6,IF(NORMSDIST(G$9*SQRT($C$11)*NORMSINV($B461)+SQRT(1-G$9^2*$C$11)*NORMSINV(F461))&lt;G$8,G$5+SQRT(NORMSDIST(G$9*SQRT($C$11)*NORMSINV($B461)+SQRT(1-G$9^2*$C$11)*NORMSINV(F461))*(G$7-G$5)*(G$6-G$5)),G$7-SQRT((1-NORMSDIST(G$9*SQRT($C$11)*NORMSINV($B461)+SQRT(1-G$9^2*$C$11)*NORMSINV(F461)))*(G$7-G$5)*(G$7-G$6))))</f>
        <v>0.0622937754578781</v>
      </c>
      <c r="H461" s="2" t="n">
        <v>0.97918431</v>
      </c>
      <c r="I461" s="2" t="n">
        <f aca="false">IF(I$7=I$5,I$6,IF(NORMSDIST(I$9*SQRT($C$11)*NORMSINV($B461)+SQRT(1-I$9^2*$C$11)*NORMSINV(H461))&lt;I$8,I$5+SQRT(NORMSDIST(I$9*SQRT($C$11)*NORMSINV($B461)+SQRT(1-I$9^2*$C$11)*NORMSINV(H461))*(I$7-I$5)*(I$6-I$5)),I$7-SQRT((1-NORMSDIST(I$9*SQRT($C$11)*NORMSINV($B461)+SQRT(1-I$9^2*$C$11)*NORMSINV(H461)))*(I$7-I$5)*(I$7-I$6))))</f>
        <v>216.644736690387</v>
      </c>
      <c r="J461" s="2" t="n">
        <v>0.652352762</v>
      </c>
      <c r="K461" s="2" t="n">
        <f aca="false">IF(K$7=K$5,K$6,IF(NORMSDIST(K$9*SQRT($C$11)*NORMSINV($B461)+SQRT(1-K$9^2*$C$11)*NORMSINV(J461))&lt;K$8,K$5+SQRT(NORMSDIST(K$9*SQRT($C$11)*NORMSINV($B461)+SQRT(1-K$9^2*$C$11)*NORMSINV(J461))*(K$7-K$5)*(K$6-K$5)),K$7-SQRT((1-NORMSDIST(K$9*SQRT($C$11)*NORMSINV($B461)+SQRT(1-K$9^2*$C$11)*NORMSINV(J461)))*(K$7-K$5)*(K$7-K$6))))</f>
        <v>0.350578964687038</v>
      </c>
      <c r="L461" s="2" t="n">
        <v>0.862547793</v>
      </c>
      <c r="M461" s="2" t="n">
        <f aca="false">IF(M$7=M$5,M$6,IF(NORMSDIST(M$9*SQRT($C$11)*NORMSINV($B461)+SQRT(1-M$9^2*$C$11)*NORMSINV(L461))&lt;M$8,M$5+SQRT(NORMSDIST(M$9*SQRT($C$11)*NORMSINV($B461)+SQRT(1-M$9^2*$C$11)*NORMSINV(L461))*(M$7-M$5)*(M$6-M$5)),M$7-SQRT((1-NORMSDIST(M$9*SQRT($C$11)*NORMSINV($B461)+SQRT(1-M$9^2*$C$11)*NORMSINV(L461)))*(M$7-M$5)*(M$7-M$6))))</f>
        <v>1716.33126792763</v>
      </c>
      <c r="N461" s="2" t="n">
        <v>0.805230042</v>
      </c>
      <c r="O461" s="2" t="n">
        <f aca="false">IF(O$7=O$5,O$6,IF(NORMSDIST(O$9*SQRT($C$11)*NORMSINV($B461)+SQRT(1-O$9^2*$C$11)*NORMSINV(N461))&lt;O$8,O$5+SQRT(NORMSDIST(O$9*SQRT($C$11)*NORMSINV($B461)+SQRT(1-O$9^2*$C$11)*NORMSINV(N461))*(O$7-O$5)*(O$6-O$5)),O$7-SQRT((1-NORMSDIST(O$9*SQRT($C$11)*NORMSINV($B461)+SQRT(1-O$9^2*$C$11)*NORMSINV(N461)))*(O$7-O$5)*(O$7-O$6))))</f>
        <v>0.179699337289411</v>
      </c>
      <c r="P461" s="2" t="n">
        <v>0.078302824</v>
      </c>
      <c r="Q461" s="2" t="n">
        <f aca="false">IF(Q$7=Q$5,Q$6,IF(NORMSDIST(Q$9*SQRT($C$11)*NORMSINV($B461)+SQRT(1-Q$9^2*$C$11)*NORMSINV(P461))&lt;Q$8,Q$5+SQRT(NORMSDIST(Q$9*SQRT($C$11)*NORMSINV($B461)+SQRT(1-Q$9^2*$C$11)*NORMSINV(P461))*(Q$7-Q$5)*(Q$6-Q$5)),Q$7-SQRT((1-NORMSDIST(Q$9*SQRT($C$11)*NORMSINV($B461)+SQRT(1-Q$9^2*$C$11)*NORMSINV(P461)))*(Q$7-Q$5)*(Q$7-Q$6))))</f>
        <v>0.0558293725965371</v>
      </c>
      <c r="R461" s="2" t="n">
        <v>0.777117479</v>
      </c>
      <c r="S461" s="2" t="n">
        <f aca="false">IF(S$7=S$5,S$6,IF(NORMSDIST(S$9*SQRT($C$11)*NORMSINV($B461)+SQRT(1-S$9^2*$C$11)*NORMSINV(R461))&lt;S$8,S$5+SQRT(NORMSDIST(S$9*SQRT($C$11)*NORMSINV($B461)+SQRT(1-S$9^2*$C$11)*NORMSINV(R461))*(S$7-S$5)*(S$6-S$5)),S$7-SQRT((1-NORMSDIST(S$9*SQRT($C$11)*NORMSINV($B461)+SQRT(1-S$9^2*$C$11)*NORMSINV(R461)))*(S$7-S$5)*(S$7-S$6))))</f>
        <v>0.761731314935754</v>
      </c>
      <c r="T461" s="2" t="n">
        <v>0.714505384</v>
      </c>
      <c r="U461" s="2" t="n">
        <f aca="false">IF(U$7=U$5,U$6,IF(NORMSDIST(U$9*SQRT($C$11)*NORMSINV($B461)+SQRT(1-U$9^2*$C$11)*NORMSINV(T461))&lt;U$8,U$5+SQRT(NORMSDIST(U$9*SQRT($C$11)*NORMSINV($B461)+SQRT(1-U$9^2*$C$11)*NORMSINV(T461))*(U$7-U$5)*(U$6-U$5)),U$7-SQRT((1-NORMSDIST(U$9*SQRT($C$11)*NORMSINV($B461)+SQRT(1-U$9^2*$C$11)*NORMSINV(T461)))*(U$7-U$5)*(U$7-U$6))))</f>
        <v>0.730324764311609</v>
      </c>
      <c r="V461" s="2" t="n">
        <v>0.360458023</v>
      </c>
      <c r="W461" s="2" t="n">
        <f aca="false">IF(W$7=W$5,W$6,IF(NORMSDIST(W$9*SQRT($C$11)*NORMSINV($B461)+SQRT(1-W$9^2*$C$11)*NORMSINV(V461))&lt;W$8,W$5+SQRT(NORMSDIST(W$9*SQRT($C$11)*NORMSINV($B461)+SQRT(1-W$9^2*$C$11)*NORMSINV(V461))*(W$7-W$5)*(W$6-W$5)),W$7-SQRT((1-NORMSDIST(W$9*SQRT($C$11)*NORMSINV($B461)+SQRT(1-W$9^2*$C$11)*NORMSINV(V461)))*(W$7-W$5)*(W$7-W$6))))</f>
        <v>10.287180291076</v>
      </c>
      <c r="X461" s="2" t="n">
        <v>0.194897353</v>
      </c>
      <c r="Y461" s="2" t="n">
        <f aca="false">IF(Y$7=Y$5,Y$6,IF(NORMSDIST(Y$9*SQRT($C$11)*NORMSINV($B461)+SQRT(1-Y$9^2*$C$11)*NORMSINV(X461))&lt;Y$8,Y$5+SQRT(NORMSDIST(Y$9*SQRT($C$11)*NORMSINV($B461)+SQRT(1-Y$9^2*$C$11)*NORMSINV(X461))*(Y$7-Y$5)*(Y$6-Y$5)),Y$7-SQRT((1-NORMSDIST(Y$9*SQRT($C$11)*NORMSINV($B461)+SQRT(1-Y$9^2*$C$11)*NORMSINV(X461)))*(Y$7-Y$5)*(Y$7-Y$6))))</f>
        <v>0.312167705728828</v>
      </c>
      <c r="Z461" s="2" t="n">
        <v>0.526150093</v>
      </c>
      <c r="AA461" s="2" t="n">
        <f aca="false">IF(AA$7=AA$5,AA$6,IF(NORMSDIST(AA$9*SQRT($C$11)*NORMSINV($B461)+SQRT(1-AA$9^2*$C$11)*NORMSINV(Z461))&lt;AA$8,AA$5+SQRT(NORMSDIST(AA$9*SQRT($C$11)*NORMSINV($B461)+SQRT(1-AA$9^2*$C$11)*NORMSINV(Z461))*(AA$7-AA$5)*(AA$6-AA$5)),AA$7-SQRT((1-NORMSDIST(AA$9*SQRT($C$11)*NORMSINV($B461)+SQRT(1-AA$9^2*$C$11)*NORMSINV(Z461)))*(AA$7-AA$5)*(AA$7-AA$6))))</f>
        <v>0.735871105443587</v>
      </c>
      <c r="AB461" s="2" t="n">
        <v>0.681802258</v>
      </c>
      <c r="AC461" s="2" t="n">
        <f aca="false">IF(AC$7=AC$5,AC$6,IF(NORMSDIST(AC$9*SQRT($C$11)*NORMSINV($B461)+SQRT(1-AC$9^2*$C$11)*NORMSINV(AB461))&lt;AC$8,AC$5+SQRT(NORMSDIST(AC$9*SQRT($C$11)*NORMSINV($B461)+SQRT(1-AC$9^2*$C$11)*NORMSINV(AB461))*(AC$7-AC$5)*(AC$6-AC$5)),AC$7-SQRT((1-NORMSDIST(AC$9*SQRT($C$11)*NORMSINV($B461)+SQRT(1-AC$9^2*$C$11)*NORMSINV(AB461)))*(AC$7-AC$5)*(AC$7-AC$6))))</f>
        <v>10.1616514719487</v>
      </c>
      <c r="AD461" s="2" t="n">
        <f aca="false">Entrées!$C$8*(1+E461)</f>
        <v>7436.50388184145</v>
      </c>
      <c r="AE461" s="2" t="n">
        <f aca="false">I461*Hypothèses!$J$24/12/Hypothèses!$J$19</f>
        <v>107.476760473647</v>
      </c>
      <c r="AF461" s="2" t="n">
        <f aca="false">Entrées!$C$36*S461*1000</f>
        <v>380.865657467877</v>
      </c>
      <c r="AG461" s="2" t="n">
        <f aca="false">-AF461/W461</f>
        <v>-37.0233287150874</v>
      </c>
      <c r="AH461" s="2" t="n">
        <f aca="false">AD461+AE461+AG461</f>
        <v>7506.95731360001</v>
      </c>
      <c r="AI461" s="2" t="n">
        <f aca="false">Entrées!$C$16-M461+Hypothèses!$J$22*1000-AF461+Hypothèses!$J$23</f>
        <v>22450.8030746045</v>
      </c>
      <c r="AJ461" s="2" t="n">
        <f aca="false">AI461/AH461</f>
        <v>2.99066614298331</v>
      </c>
      <c r="AK461" s="2" t="n">
        <f aca="false">AI461/(AH461+I461*(12-Hypothèses!$J$24)/12/Hypothèses!$J$19)</f>
        <v>2.96039200346815</v>
      </c>
      <c r="AL461" s="2" t="n">
        <f aca="false">(AD461+AG461+I461/Hypothèses!$J$19)*(1+G461)</f>
        <v>8056.14537947781</v>
      </c>
      <c r="AM461" s="2" t="n">
        <f aca="false">Entrées!$C$54*K461/Hypothèses!$J$19</f>
        <v>35.778055332263</v>
      </c>
      <c r="AN461" s="2" t="n">
        <f aca="false">Y461*1000/AC461</f>
        <v>30.720174431348</v>
      </c>
      <c r="AO461" s="2" t="n">
        <f aca="false">(Entrées!$C$36*(1-S461)+MAX(0,Entrées!$C$30-Entrées!$C$35-Entrées!$C$36)*U461)*1000</f>
        <v>1141.58901256838</v>
      </c>
      <c r="AP461" s="2" t="n">
        <f aca="false">-AO461/W461</f>
        <v>-110.972004015394</v>
      </c>
      <c r="AQ461" s="2" t="n">
        <f aca="false">AL461+AM461+AN461+AP461</f>
        <v>8011.67160522603</v>
      </c>
      <c r="AR461" s="2" t="n">
        <f aca="false">O461*AQ461-Hypothèses!$J$25/Hypothèses!$J$19</f>
        <v>1420.55691577788</v>
      </c>
      <c r="AS461" s="2" t="n">
        <f aca="false">Entrées!$C$79*(1+Q461)+Hypothèses!$J$20</f>
        <v>1455.35648048359</v>
      </c>
      <c r="AT461" s="2" t="n">
        <f aca="false">AI461-AR461+AS461+Y461*1000-AO461+Hypothèses!$J$23</f>
        <v>21656.1813324707</v>
      </c>
      <c r="AU461" s="2" t="n">
        <f aca="false">AT461/AQ461</f>
        <v>2.70307900767479</v>
      </c>
      <c r="AV461" s="2" t="n">
        <f aca="false">Hypothèses!$J$26*AQ461-AT461</f>
        <v>2378.83348320742</v>
      </c>
      <c r="AW461" s="2" t="n">
        <f aca="false">IF(AC461&gt;Hypothèses!$J$26,MAX(0,AV461)/(1-Hypothèses!$J$26/AC461),0)</f>
        <v>3375.32158062113</v>
      </c>
      <c r="AX461" s="2" t="n">
        <f aca="false">AQ461-Entrées!$C$17*1000</f>
        <v>11.6716052260253</v>
      </c>
      <c r="AY461" s="2" t="n">
        <f aca="false">AI461+(Entrées!$C$244-Entrées!$C$13)</f>
        <v>28197.8030746045</v>
      </c>
      <c r="AZ461" s="2" t="n">
        <f aca="false">AA461*AH461</f>
        <v>5524.15297687666</v>
      </c>
      <c r="BA461" s="2" t="n">
        <f aca="false">AZ461/AY461</f>
        <v>0.195907211716498</v>
      </c>
      <c r="BB461" s="2" t="n">
        <f aca="false">AZ461/(Entrées!$C$151/100)-AY461</f>
        <v>2491.93568582141</v>
      </c>
      <c r="BC461" s="2" t="n">
        <f aca="false">AT461+(Entrées!$C$244-Entrées!$C$13)</f>
        <v>27403.1813324707</v>
      </c>
      <c r="BD461" s="2" t="n">
        <f aca="false">AA461*AQ461</f>
        <v>5895.55764058867</v>
      </c>
      <c r="BE461" s="2" t="n">
        <f aca="false">BD461/BC461</f>
        <v>0.215141357824863</v>
      </c>
      <c r="BF461" s="2" t="n">
        <f aca="false">BD461/(Entrées!$C$151/100)-BC461</f>
        <v>5349.91667079975</v>
      </c>
      <c r="BG461" s="2" t="n">
        <f aca="false">MIN(AV461,BF461)</f>
        <v>2378.83348320742</v>
      </c>
      <c r="BH461" s="2" t="n">
        <f aca="false">IF(AC461&gt;Hypothèses!$J$26,MAX(0,BG461)/(1-Hypothèses!$J$26/AC461),0)</f>
        <v>3375.32158062113</v>
      </c>
    </row>
    <row r="462" customFormat="false" ht="15" hidden="false" customHeight="false" outlineLevel="0" collapsed="false">
      <c r="A462" s="2" t="n">
        <v>447</v>
      </c>
      <c r="B462" s="2" t="n">
        <v>0.929909514</v>
      </c>
      <c r="C462" s="2"/>
      <c r="D462" s="2" t="n">
        <v>0.884126158</v>
      </c>
      <c r="E462" s="2" t="n">
        <f aca="false">IF(E$7=E$5,E$6,IF(NORMSDIST(E$9*SQRT($C$11)*NORMSINV($B462)+SQRT(1-E$9^2*$C$11)*NORMSINV(D462))&lt;E$8,E$5+SQRT(NORMSDIST(E$9*SQRT($C$11)*NORMSINV($B462)+SQRT(1-E$9^2*$C$11)*NORMSINV(D462))*(E$7-E$5)*(E$6-E$5)),E$7-SQRT((1-NORMSDIST(E$9*SQRT($C$11)*NORMSINV($B462)+SQRT(1-E$9^2*$C$11)*NORMSINV(D462)))*(E$7-E$5)*(E$7-E$6))))</f>
        <v>0.0587451099295519</v>
      </c>
      <c r="F462" s="2" t="n">
        <v>0.988081669</v>
      </c>
      <c r="G462" s="2" t="n">
        <f aca="false">IF(G$7=G$5,G$6,IF(NORMSDIST(G$9*SQRT($C$11)*NORMSINV($B462)+SQRT(1-G$9^2*$C$11)*NORMSINV(F462))&lt;G$8,G$5+SQRT(NORMSDIST(G$9*SQRT($C$11)*NORMSINV($B462)+SQRT(1-G$9^2*$C$11)*NORMSINV(F462))*(G$7-G$5)*(G$6-G$5)),G$7-SQRT((1-NORMSDIST(G$9*SQRT($C$11)*NORMSINV($B462)+SQRT(1-G$9^2*$C$11)*NORMSINV(F462)))*(G$7-G$5)*(G$7-G$6))))</f>
        <v>0.0687193625177194</v>
      </c>
      <c r="H462" s="2" t="n">
        <v>0.804371273</v>
      </c>
      <c r="I462" s="2" t="n">
        <f aca="false">IF(I$7=I$5,I$6,IF(NORMSDIST(I$9*SQRT($C$11)*NORMSINV($B462)+SQRT(1-I$9^2*$C$11)*NORMSINV(H462))&lt;I$8,I$5+SQRT(NORMSDIST(I$9*SQRT($C$11)*NORMSINV($B462)+SQRT(1-I$9^2*$C$11)*NORMSINV(H462))*(I$7-I$5)*(I$6-I$5)),I$7-SQRT((1-NORMSDIST(I$9*SQRT($C$11)*NORMSINV($B462)+SQRT(1-I$9^2*$C$11)*NORMSINV(H462)))*(I$7-I$5)*(I$7-I$6))))</f>
        <v>213.359000773887</v>
      </c>
      <c r="J462" s="2" t="n">
        <v>0.720752621</v>
      </c>
      <c r="K462" s="2" t="n">
        <f aca="false">IF(K$7=K$5,K$6,IF(NORMSDIST(K$9*SQRT($C$11)*NORMSINV($B462)+SQRT(1-K$9^2*$C$11)*NORMSINV(J462))&lt;K$8,K$5+SQRT(NORMSDIST(K$9*SQRT($C$11)*NORMSINV($B462)+SQRT(1-K$9^2*$C$11)*NORMSINV(J462))*(K$7-K$5)*(K$6-K$5)),K$7-SQRT((1-NORMSDIST(K$9*SQRT($C$11)*NORMSINV($B462)+SQRT(1-K$9^2*$C$11)*NORMSINV(J462)))*(K$7-K$5)*(K$7-K$6))))</f>
        <v>0.39823364656497</v>
      </c>
      <c r="L462" s="2" t="n">
        <v>0.066048855</v>
      </c>
      <c r="M462" s="2" t="n">
        <f aca="false">IF(M$7=M$5,M$6,IF(NORMSDIST(M$9*SQRT($C$11)*NORMSINV($B462)+SQRT(1-M$9^2*$C$11)*NORMSINV(L462))&lt;M$8,M$5+SQRT(NORMSDIST(M$9*SQRT($C$11)*NORMSINV($B462)+SQRT(1-M$9^2*$C$11)*NORMSINV(L462))*(M$7-M$5)*(M$6-M$5)),M$7-SQRT((1-NORMSDIST(M$9*SQRT($C$11)*NORMSINV($B462)+SQRT(1-M$9^2*$C$11)*NORMSINV(L462)))*(M$7-M$5)*(M$7-M$6))))</f>
        <v>1557.97630689056</v>
      </c>
      <c r="N462" s="2" t="n">
        <v>0.497491735</v>
      </c>
      <c r="O462" s="2" t="n">
        <f aca="false">IF(O$7=O$5,O$6,IF(NORMSDIST(O$9*SQRT($C$11)*NORMSINV($B462)+SQRT(1-O$9^2*$C$11)*NORMSINV(N462))&lt;O$8,O$5+SQRT(NORMSDIST(O$9*SQRT($C$11)*NORMSINV($B462)+SQRT(1-O$9^2*$C$11)*NORMSINV(N462))*(O$7-O$5)*(O$6-O$5)),O$7-SQRT((1-NORMSDIST(O$9*SQRT($C$11)*NORMSINV($B462)+SQRT(1-O$9^2*$C$11)*NORMSINV(N462)))*(O$7-O$5)*(O$7-O$6))))</f>
        <v>0.176281376007586</v>
      </c>
      <c r="P462" s="2" t="n">
        <v>0.227028032</v>
      </c>
      <c r="Q462" s="2" t="n">
        <f aca="false">IF(Q$7=Q$5,Q$6,IF(NORMSDIST(Q$9*SQRT($C$11)*NORMSINV($B462)+SQRT(1-Q$9^2*$C$11)*NORMSINV(P462))&lt;Q$8,Q$5+SQRT(NORMSDIST(Q$9*SQRT($C$11)*NORMSINV($B462)+SQRT(1-Q$9^2*$C$11)*NORMSINV(P462))*(Q$7-Q$5)*(Q$6-Q$5)),Q$7-SQRT((1-NORMSDIST(Q$9*SQRT($C$11)*NORMSINV($B462)+SQRT(1-Q$9^2*$C$11)*NORMSINV(P462)))*(Q$7-Q$5)*(Q$7-Q$6))))</f>
        <v>0.0669534729190878</v>
      </c>
      <c r="R462" s="2" t="n">
        <v>0.034664156</v>
      </c>
      <c r="S462" s="2" t="n">
        <f aca="false">IF(S$7=S$5,S$6,IF(NORMSDIST(S$9*SQRT($C$11)*NORMSINV($B462)+SQRT(1-S$9^2*$C$11)*NORMSINV(R462))&lt;S$8,S$5+SQRT(NORMSDIST(S$9*SQRT($C$11)*NORMSINV($B462)+SQRT(1-S$9^2*$C$11)*NORMSINV(R462))*(S$7-S$5)*(S$6-S$5)),S$7-SQRT((1-NORMSDIST(S$9*SQRT($C$11)*NORMSINV($B462)+SQRT(1-S$9^2*$C$11)*NORMSINV(R462)))*(S$7-S$5)*(S$7-S$6))))</f>
        <v>0.398606043755595</v>
      </c>
      <c r="T462" s="2" t="n">
        <v>0.519403249</v>
      </c>
      <c r="U462" s="2" t="n">
        <f aca="false">IF(U$7=U$5,U$6,IF(NORMSDIST(U$9*SQRT($C$11)*NORMSINV($B462)+SQRT(1-U$9^2*$C$11)*NORMSINV(T462))&lt;U$8,U$5+SQRT(NORMSDIST(U$9*SQRT($C$11)*NORMSINV($B462)+SQRT(1-U$9^2*$C$11)*NORMSINV(T462))*(U$7-U$5)*(U$6-U$5)),U$7-SQRT((1-NORMSDIST(U$9*SQRT($C$11)*NORMSINV($B462)+SQRT(1-U$9^2*$C$11)*NORMSINV(T462)))*(U$7-U$5)*(U$7-U$6))))</f>
        <v>0.712019914384782</v>
      </c>
      <c r="V462" s="2" t="n">
        <v>0.549680446</v>
      </c>
      <c r="W462" s="2" t="n">
        <f aca="false">IF(W$7=W$5,W$6,IF(NORMSDIST(W$9*SQRT($C$11)*NORMSINV($B462)+SQRT(1-W$9^2*$C$11)*NORMSINV(V462))&lt;W$8,W$5+SQRT(NORMSDIST(W$9*SQRT($C$11)*NORMSINV($B462)+SQRT(1-W$9^2*$C$11)*NORMSINV(V462))*(W$7-W$5)*(W$6-W$5)),W$7-SQRT((1-NORMSDIST(W$9*SQRT($C$11)*NORMSINV($B462)+SQRT(1-W$9^2*$C$11)*NORMSINV(V462)))*(W$7-W$5)*(W$7-W$6))))</f>
        <v>10.8987811916932</v>
      </c>
      <c r="X462" s="2" t="n">
        <v>0.962663546</v>
      </c>
      <c r="Y462" s="2" t="n">
        <f aca="false">IF(Y$7=Y$5,Y$6,IF(NORMSDIST(Y$9*SQRT($C$11)*NORMSINV($B462)+SQRT(1-Y$9^2*$C$11)*NORMSINV(X462))&lt;Y$8,Y$5+SQRT(NORMSDIST(Y$9*SQRT($C$11)*NORMSINV($B462)+SQRT(1-Y$9^2*$C$11)*NORMSINV(X462))*(Y$7-Y$5)*(Y$6-Y$5)),Y$7-SQRT((1-NORMSDIST(Y$9*SQRT($C$11)*NORMSINV($B462)+SQRT(1-Y$9^2*$C$11)*NORMSINV(X462)))*(Y$7-Y$5)*(Y$7-Y$6))))</f>
        <v>0.863368279671227</v>
      </c>
      <c r="Z462" s="2" t="n">
        <v>0.878729051</v>
      </c>
      <c r="AA462" s="2" t="n">
        <f aca="false">IF(AA$7=AA$5,AA$6,IF(NORMSDIST(AA$9*SQRT($C$11)*NORMSINV($B462)+SQRT(1-AA$9^2*$C$11)*NORMSINV(Z462))&lt;AA$8,AA$5+SQRT(NORMSDIST(AA$9*SQRT($C$11)*NORMSINV($B462)+SQRT(1-AA$9^2*$C$11)*NORMSINV(Z462))*(AA$7-AA$5)*(AA$6-AA$5)),AA$7-SQRT((1-NORMSDIST(AA$9*SQRT($C$11)*NORMSINV($B462)+SQRT(1-AA$9^2*$C$11)*NORMSINV(Z462)))*(AA$7-AA$5)*(AA$7-AA$6))))</f>
        <v>0.747356966986264</v>
      </c>
      <c r="AB462" s="2" t="n">
        <v>0.779402627</v>
      </c>
      <c r="AC462" s="2" t="n">
        <f aca="false">IF(AC$7=AC$5,AC$6,IF(NORMSDIST(AC$9*SQRT($C$11)*NORMSINV($B462)+SQRT(1-AC$9^2*$C$11)*NORMSINV(AB462))&lt;AC$8,AC$5+SQRT(NORMSDIST(AC$9*SQRT($C$11)*NORMSINV($B462)+SQRT(1-AC$9^2*$C$11)*NORMSINV(AB462))*(AC$7-AC$5)*(AC$6-AC$5)),AC$7-SQRT((1-NORMSDIST(AC$9*SQRT($C$11)*NORMSINV($B462)+SQRT(1-AC$9^2*$C$11)*NORMSINV(AB462)))*(AC$7-AC$5)*(AC$7-AC$6))))</f>
        <v>10.4780313287824</v>
      </c>
      <c r="AD462" s="2" t="n">
        <f aca="false">Entrées!$C$8*(1+E462)</f>
        <v>7464.15302500334</v>
      </c>
      <c r="AE462" s="2" t="n">
        <f aca="false">I462*Hypothèses!$J$24/12/Hypothèses!$J$19</f>
        <v>105.846717401878</v>
      </c>
      <c r="AF462" s="2" t="n">
        <f aca="false">Entrées!$C$36*S462*1000</f>
        <v>199.303021877798</v>
      </c>
      <c r="AG462" s="2" t="n">
        <f aca="false">-AF462/W462</f>
        <v>-18.2867256780696</v>
      </c>
      <c r="AH462" s="2" t="n">
        <f aca="false">AD462+AE462+AG462</f>
        <v>7551.71301672715</v>
      </c>
      <c r="AI462" s="2" t="n">
        <f aca="false">Entrées!$C$16-M462+Hypothèses!$J$22*1000-AF462+Hypothèses!$J$23</f>
        <v>22790.7206712316</v>
      </c>
      <c r="AJ462" s="2" t="n">
        <f aca="false">AI462/AH462</f>
        <v>3.01795375708132</v>
      </c>
      <c r="AK462" s="2" t="n">
        <f aca="false">AI462/(AH462+I462*(12-Hypothèses!$J$24)/12/Hypothèses!$J$19)</f>
        <v>2.98803868206403</v>
      </c>
      <c r="AL462" s="2" t="n">
        <f aca="false">(AD462+AG462+I462/Hypothèses!$J$19)*(1+G462)</f>
        <v>8151.46223282935</v>
      </c>
      <c r="AM462" s="2" t="n">
        <f aca="false">Entrées!$C$54*K462/Hypothèses!$J$19</f>
        <v>40.6414157069851</v>
      </c>
      <c r="AN462" s="2" t="n">
        <f aca="false">Y462*1000/AC462</f>
        <v>82.3979479140914</v>
      </c>
      <c r="AO462" s="2" t="n">
        <f aca="false">(Entrées!$C$36*(1-S462)+MAX(0,Entrées!$C$30-Entrées!$C$35-Entrées!$C$36)*U462)*1000</f>
        <v>1297.5248582609</v>
      </c>
      <c r="AP462" s="2" t="n">
        <f aca="false">-AO462/W462</f>
        <v>-119.052289924844</v>
      </c>
      <c r="AQ462" s="2" t="n">
        <f aca="false">AL462+AM462+AN462+AP462</f>
        <v>8155.44930652558</v>
      </c>
      <c r="AR462" s="2" t="n">
        <f aca="false">O462*AQ462-Hypothèses!$J$25/Hypothèses!$J$19</f>
        <v>1418.51866345282</v>
      </c>
      <c r="AS462" s="2" t="n">
        <f aca="false">Entrées!$C$79*(1+Q462)+Hypothèses!$J$20</f>
        <v>1467.58186673808</v>
      </c>
      <c r="AT462" s="2" t="n">
        <f aca="false">AI462-AR462+AS462+Y462*1000-AO462+Hypothèses!$J$23</f>
        <v>22405.6272959272</v>
      </c>
      <c r="AU462" s="2" t="n">
        <f aca="false">AT462/AQ462</f>
        <v>2.74731979242387</v>
      </c>
      <c r="AV462" s="2" t="n">
        <f aca="false">Hypothèses!$J$26*AQ462-AT462</f>
        <v>2060.72062364951</v>
      </c>
      <c r="AW462" s="2" t="n">
        <f aca="false">IF(AC462&gt;Hypothèses!$J$26,MAX(0,AV462)/(1-Hypothèses!$J$26/AC462),0)</f>
        <v>2887.43043524844</v>
      </c>
      <c r="AX462" s="2" t="n">
        <f aca="false">AQ462-Entrées!$C$17*1000</f>
        <v>155.449306525581</v>
      </c>
      <c r="AY462" s="2" t="n">
        <f aca="false">AI462+(Entrées!$C$244-Entrées!$C$13)</f>
        <v>28537.7206712316</v>
      </c>
      <c r="AZ462" s="2" t="n">
        <f aca="false">AA462*AH462</f>
        <v>5643.82533573189</v>
      </c>
      <c r="BA462" s="2" t="n">
        <f aca="false">AZ462/AY462</f>
        <v>0.197767207856279</v>
      </c>
      <c r="BB462" s="2" t="n">
        <f aca="false">AZ462/(Entrées!$C$151/100)-AY462</f>
        <v>2816.86452727885</v>
      </c>
      <c r="BC462" s="2" t="n">
        <f aca="false">AT462+(Entrées!$C$244-Entrées!$C$13)</f>
        <v>28152.6272959272</v>
      </c>
      <c r="BD462" s="2" t="n">
        <f aca="false">AA462*AQ462</f>
        <v>6095.03185813519</v>
      </c>
      <c r="BE462" s="2" t="n">
        <f aca="false">BD462/BC462</f>
        <v>0.216499575477168</v>
      </c>
      <c r="BF462" s="2" t="n">
        <f aca="false">BD462/(Entrées!$C$151/100)-BC462</f>
        <v>5708.6608048238</v>
      </c>
      <c r="BG462" s="2" t="n">
        <f aca="false">MIN(AV462,BF462)</f>
        <v>2060.72062364951</v>
      </c>
      <c r="BH462" s="2" t="n">
        <f aca="false">IF(AC462&gt;Hypothèses!$J$26,MAX(0,BG462)/(1-Hypothèses!$J$26/AC462),0)</f>
        <v>2887.43043524844</v>
      </c>
    </row>
    <row r="463" customFormat="false" ht="15" hidden="false" customHeight="false" outlineLevel="0" collapsed="false">
      <c r="A463" s="2" t="n">
        <v>448</v>
      </c>
      <c r="B463" s="2" t="n">
        <v>0.02276784</v>
      </c>
      <c r="C463" s="2"/>
      <c r="D463" s="2" t="n">
        <v>0.287474532</v>
      </c>
      <c r="E463" s="2" t="n">
        <f aca="false">IF(E$7=E$5,E$6,IF(NORMSDIST(E$9*SQRT($C$11)*NORMSINV($B463)+SQRT(1-E$9^2*$C$11)*NORMSINV(D463))&lt;E$8,E$5+SQRT(NORMSDIST(E$9*SQRT($C$11)*NORMSINV($B463)+SQRT(1-E$9^2*$C$11)*NORMSINV(D463))*(E$7-E$5)*(E$6-E$5)),E$7-SQRT((1-NORMSDIST(E$9*SQRT($C$11)*NORMSINV($B463)+SQRT(1-E$9^2*$C$11)*NORMSINV(D463)))*(E$7-E$5)*(E$7-E$6))))</f>
        <v>0.0514941892524098</v>
      </c>
      <c r="F463" s="2" t="n">
        <v>0.342941769</v>
      </c>
      <c r="G463" s="2" t="n">
        <f aca="false">IF(G$7=G$5,G$6,IF(NORMSDIST(G$9*SQRT($C$11)*NORMSINV($B463)+SQRT(1-G$9^2*$C$11)*NORMSINV(F463))&lt;G$8,G$5+SQRT(NORMSDIST(G$9*SQRT($C$11)*NORMSINV($B463)+SQRT(1-G$9^2*$C$11)*NORMSINV(F463))*(G$7-G$5)*(G$6-G$5)),G$7-SQRT((1-NORMSDIST(G$9*SQRT($C$11)*NORMSINV($B463)+SQRT(1-G$9^2*$C$11)*NORMSINV(F463)))*(G$7-G$5)*(G$7-G$6))))</f>
        <v>0.0450771947717333</v>
      </c>
      <c r="H463" s="2" t="n">
        <v>0.765930687</v>
      </c>
      <c r="I463" s="2" t="n">
        <f aca="false">IF(I$7=I$5,I$6,IF(NORMSDIST(I$9*SQRT($C$11)*NORMSINV($B463)+SQRT(1-I$9^2*$C$11)*NORMSINV(H463))&lt;I$8,I$5+SQRT(NORMSDIST(I$9*SQRT($C$11)*NORMSINV($B463)+SQRT(1-I$9^2*$C$11)*NORMSINV(H463))*(I$7-I$5)*(I$6-I$5)),I$7-SQRT((1-NORMSDIST(I$9*SQRT($C$11)*NORMSINV($B463)+SQRT(1-I$9^2*$C$11)*NORMSINV(H463)))*(I$7-I$5)*(I$7-I$6))))</f>
        <v>193.888512377049</v>
      </c>
      <c r="J463" s="2" t="n">
        <v>0.872247615</v>
      </c>
      <c r="K463" s="2" t="n">
        <f aca="false">IF(K$7=K$5,K$6,IF(NORMSDIST(K$9*SQRT($C$11)*NORMSINV($B463)+SQRT(1-K$9^2*$C$11)*NORMSINV(J463))&lt;K$8,K$5+SQRT(NORMSDIST(K$9*SQRT($C$11)*NORMSINV($B463)+SQRT(1-K$9^2*$C$11)*NORMSINV(J463))*(K$7-K$5)*(K$6-K$5)),K$7-SQRT((1-NORMSDIST(K$9*SQRT($C$11)*NORMSINV($B463)+SQRT(1-K$9^2*$C$11)*NORMSINV(J463)))*(K$7-K$5)*(K$7-K$6))))</f>
        <v>0.209319418373823</v>
      </c>
      <c r="L463" s="2" t="n">
        <v>0.747712639</v>
      </c>
      <c r="M463" s="2" t="n">
        <f aca="false">IF(M$7=M$5,M$6,IF(NORMSDIST(M$9*SQRT($C$11)*NORMSINV($B463)+SQRT(1-M$9^2*$C$11)*NORMSINV(L463))&lt;M$8,M$5+SQRT(NORMSDIST(M$9*SQRT($C$11)*NORMSINV($B463)+SQRT(1-M$9^2*$C$11)*NORMSINV(L463))*(M$7-M$5)*(M$6-M$5)),M$7-SQRT((1-NORMSDIST(M$9*SQRT($C$11)*NORMSINV($B463)+SQRT(1-M$9^2*$C$11)*NORMSINV(L463)))*(M$7-M$5)*(M$7-M$6))))</f>
        <v>1493.43256553315</v>
      </c>
      <c r="N463" s="2" t="n">
        <v>0.134585951</v>
      </c>
      <c r="O463" s="2" t="n">
        <f aca="false">IF(O$7=O$5,O$6,IF(NORMSDIST(O$9*SQRT($C$11)*NORMSINV($B463)+SQRT(1-O$9^2*$C$11)*NORMSINV(N463))&lt;O$8,O$5+SQRT(NORMSDIST(O$9*SQRT($C$11)*NORMSINV($B463)+SQRT(1-O$9^2*$C$11)*NORMSINV(N463))*(O$7-O$5)*(O$6-O$5)),O$7-SQRT((1-NORMSDIST(O$9*SQRT($C$11)*NORMSINV($B463)+SQRT(1-O$9^2*$C$11)*NORMSINV(N463)))*(O$7-O$5)*(O$7-O$6))))</f>
        <v>0.144935514594954</v>
      </c>
      <c r="P463" s="2" t="n">
        <v>0.833982238</v>
      </c>
      <c r="Q463" s="2" t="n">
        <f aca="false">IF(Q$7=Q$5,Q$6,IF(NORMSDIST(Q$9*SQRT($C$11)*NORMSINV($B463)+SQRT(1-Q$9^2*$C$11)*NORMSINV(P463))&lt;Q$8,Q$5+SQRT(NORMSDIST(Q$9*SQRT($C$11)*NORMSINV($B463)+SQRT(1-Q$9^2*$C$11)*NORMSINV(P463))*(Q$7-Q$5)*(Q$6-Q$5)),Q$7-SQRT((1-NORMSDIST(Q$9*SQRT($C$11)*NORMSINV($B463)+SQRT(1-Q$9^2*$C$11)*NORMSINV(P463)))*(Q$7-Q$5)*(Q$7-Q$6))))</f>
        <v>0.0969509905115209</v>
      </c>
      <c r="R463" s="2" t="n">
        <v>0.542630796</v>
      </c>
      <c r="S463" s="2" t="n">
        <f aca="false">IF(S$7=S$5,S$6,IF(NORMSDIST(S$9*SQRT($C$11)*NORMSINV($B463)+SQRT(1-S$9^2*$C$11)*NORMSINV(R463))&lt;S$8,S$5+SQRT(NORMSDIST(S$9*SQRT($C$11)*NORMSINV($B463)+SQRT(1-S$9^2*$C$11)*NORMSINV(R463))*(S$7-S$5)*(S$6-S$5)),S$7-SQRT((1-NORMSDIST(S$9*SQRT($C$11)*NORMSINV($B463)+SQRT(1-S$9^2*$C$11)*NORMSINV(R463)))*(S$7-S$5)*(S$7-S$6))))</f>
        <v>0.243565181951344</v>
      </c>
      <c r="T463" s="2" t="n">
        <v>0.627116247</v>
      </c>
      <c r="U463" s="2" t="n">
        <f aca="false">IF(U$7=U$5,U$6,IF(NORMSDIST(U$9*SQRT($C$11)*NORMSINV($B463)+SQRT(1-U$9^2*$C$11)*NORMSINV(T463))&lt;U$8,U$5+SQRT(NORMSDIST(U$9*SQRT($C$11)*NORMSINV($B463)+SQRT(1-U$9^2*$C$11)*NORMSINV(T463))*(U$7-U$5)*(U$6-U$5)),U$7-SQRT((1-NORMSDIST(U$9*SQRT($C$11)*NORMSINV($B463)+SQRT(1-U$9^2*$C$11)*NORMSINV(T463)))*(U$7-U$5)*(U$7-U$6))))</f>
        <v>0.278743968976114</v>
      </c>
      <c r="V463" s="2" t="n">
        <v>0.965684746</v>
      </c>
      <c r="W463" s="2" t="n">
        <f aca="false">IF(W$7=W$5,W$6,IF(NORMSDIST(W$9*SQRT($C$11)*NORMSINV($B463)+SQRT(1-W$9^2*$C$11)*NORMSINV(V463))&lt;W$8,W$5+SQRT(NORMSDIST(W$9*SQRT($C$11)*NORMSINV($B463)+SQRT(1-W$9^2*$C$11)*NORMSINV(V463))*(W$7-W$5)*(W$6-W$5)),W$7-SQRT((1-NORMSDIST(W$9*SQRT($C$11)*NORMSINV($B463)+SQRT(1-W$9^2*$C$11)*NORMSINV(V463)))*(W$7-W$5)*(W$7-W$6))))</f>
        <v>10.1194199552827</v>
      </c>
      <c r="X463" s="2" t="n">
        <v>0.619679815</v>
      </c>
      <c r="Y463" s="2" t="n">
        <f aca="false">IF(Y$7=Y$5,Y$6,IF(NORMSDIST(Y$9*SQRT($C$11)*NORMSINV($B463)+SQRT(1-Y$9^2*$C$11)*NORMSINV(X463))&lt;Y$8,Y$5+SQRT(NORMSDIST(Y$9*SQRT($C$11)*NORMSINV($B463)+SQRT(1-Y$9^2*$C$11)*NORMSINV(X463))*(Y$7-Y$5)*(Y$6-Y$5)),Y$7-SQRT((1-NORMSDIST(Y$9*SQRT($C$11)*NORMSINV($B463)+SQRT(1-Y$9^2*$C$11)*NORMSINV(X463)))*(Y$7-Y$5)*(Y$7-Y$6))))</f>
        <v>0.563926505620899</v>
      </c>
      <c r="Z463" s="2" t="n">
        <v>0.095201225</v>
      </c>
      <c r="AA463" s="2" t="n">
        <f aca="false">IF(AA$7=AA$5,AA$6,IF(NORMSDIST(AA$9*SQRT($C$11)*NORMSINV($B463)+SQRT(1-AA$9^2*$C$11)*NORMSINV(Z463))&lt;AA$8,AA$5+SQRT(NORMSDIST(AA$9*SQRT($C$11)*NORMSINV($B463)+SQRT(1-AA$9^2*$C$11)*NORMSINV(Z463))*(AA$7-AA$5)*(AA$6-AA$5)),AA$7-SQRT((1-NORMSDIST(AA$9*SQRT($C$11)*NORMSINV($B463)+SQRT(1-AA$9^2*$C$11)*NORMSINV(Z463)))*(AA$7-AA$5)*(AA$7-AA$6))))</f>
        <v>0.700247485022811</v>
      </c>
      <c r="AB463" s="2" t="n">
        <v>0.086022091</v>
      </c>
      <c r="AC463" s="2" t="n">
        <f aca="false">IF(AC$7=AC$5,AC$6,IF(NORMSDIST(AC$9*SQRT($C$11)*NORMSINV($B463)+SQRT(1-AC$9^2*$C$11)*NORMSINV(AB463))&lt;AC$8,AC$5+SQRT(NORMSDIST(AC$9*SQRT($C$11)*NORMSINV($B463)+SQRT(1-AC$9^2*$C$11)*NORMSINV(AB463))*(AC$7-AC$5)*(AC$6-AC$5)),AC$7-SQRT((1-NORMSDIST(AC$9*SQRT($C$11)*NORMSINV($B463)+SQRT(1-AC$9^2*$C$11)*NORMSINV(AB463)))*(AC$7-AC$5)*(AC$7-AC$6))))</f>
        <v>7.69543192041146</v>
      </c>
      <c r="AD463" s="2" t="n">
        <f aca="false">Entrées!$C$8*(1+E463)</f>
        <v>7413.03403422949</v>
      </c>
      <c r="AE463" s="2" t="n">
        <f aca="false">I463*Hypothèses!$J$24/12/Hypothèses!$J$19</f>
        <v>96.1874704259285</v>
      </c>
      <c r="AF463" s="2" t="n">
        <f aca="false">Entrées!$C$36*S463*1000</f>
        <v>121.782590975672</v>
      </c>
      <c r="AG463" s="2" t="n">
        <f aca="false">-AF463/W463</f>
        <v>-12.034542643138</v>
      </c>
      <c r="AH463" s="2" t="n">
        <f aca="false">AD463+AE463+AG463</f>
        <v>7497.18696201228</v>
      </c>
      <c r="AI463" s="2" t="n">
        <f aca="false">Entrées!$C$16-M463+Hypothèses!$J$22*1000-AF463+Hypothèses!$J$23</f>
        <v>22932.7848434912</v>
      </c>
      <c r="AJ463" s="2" t="n">
        <f aca="false">AI463/AH463</f>
        <v>3.05885193469097</v>
      </c>
      <c r="AK463" s="2" t="n">
        <f aca="false">AI463/(AH463+I463*(12-Hypothèses!$J$24)/12/Hypothèses!$J$19)</f>
        <v>3.03107471533265</v>
      </c>
      <c r="AL463" s="2" t="n">
        <f aca="false">(AD463+AG463+I463/Hypothèses!$J$19)*(1+G463)</f>
        <v>7906.94149877109</v>
      </c>
      <c r="AM463" s="2" t="n">
        <f aca="false">Entrées!$C$54*K463/Hypothèses!$J$19</f>
        <v>21.3619255204921</v>
      </c>
      <c r="AN463" s="2" t="n">
        <f aca="false">Y463*1000/AC463</f>
        <v>73.2806828067874</v>
      </c>
      <c r="AO463" s="2" t="n">
        <f aca="false">(Entrées!$C$36*(1-S463)+MAX(0,Entrées!$C$30-Entrées!$C$35-Entrées!$C$36)*U463)*1000</f>
        <v>768.458965590888</v>
      </c>
      <c r="AP463" s="2" t="n">
        <f aca="false">-AO463/W463</f>
        <v>-75.9390329669757</v>
      </c>
      <c r="AQ463" s="2" t="n">
        <f aca="false">AL463+AM463+AN463+AP463</f>
        <v>7925.6450741314</v>
      </c>
      <c r="AR463" s="2" t="n">
        <f aca="false">O463*AQ463-Hypothèses!$J$25/Hypothèses!$J$19</f>
        <v>1129.57228505457</v>
      </c>
      <c r="AS463" s="2" t="n">
        <f aca="false">Entrées!$C$79*(1+Q463)+Hypothèses!$J$20</f>
        <v>1500.54913857216</v>
      </c>
      <c r="AT463" s="2" t="n">
        <f aca="false">AI463-AR463+AS463+Y463*1000-AO463+Hypothèses!$J$23</f>
        <v>23099.2292370388</v>
      </c>
      <c r="AU463" s="2" t="n">
        <f aca="false">AT463/AQ463</f>
        <v>2.91449200929179</v>
      </c>
      <c r="AV463" s="2" t="n">
        <f aca="false">Hypothèses!$J$26*AQ463-AT463</f>
        <v>677.705985355402</v>
      </c>
      <c r="AW463" s="2" t="n">
        <f aca="false">IF(AC463&gt;Hypothèses!$J$26,MAX(0,AV463)/(1-Hypothèses!$J$26/AC463),0)</f>
        <v>1110.70511951984</v>
      </c>
      <c r="AX463" s="2" t="n">
        <f aca="false">AQ463-Entrées!$C$17*1000</f>
        <v>-74.3549258686053</v>
      </c>
      <c r="AY463" s="2" t="n">
        <f aca="false">AI463+(Entrées!$C$244-Entrées!$C$13)</f>
        <v>28679.7848434912</v>
      </c>
      <c r="AZ463" s="2" t="n">
        <f aca="false">AA463*AH463</f>
        <v>5249.88631489491</v>
      </c>
      <c r="BA463" s="2" t="n">
        <f aca="false">AZ463/AY463</f>
        <v>0.183051802638832</v>
      </c>
      <c r="BB463" s="2" t="n">
        <f aca="false">AZ463/(Entrées!$C$151/100)-AY463</f>
        <v>486.250239258308</v>
      </c>
      <c r="BC463" s="2" t="n">
        <f aca="false">AT463+(Entrées!$C$244-Entrées!$C$13)</f>
        <v>28846.2292370388</v>
      </c>
      <c r="BD463" s="2" t="n">
        <f aca="false">AA463*AQ463</f>
        <v>5549.91303034394</v>
      </c>
      <c r="BE463" s="2" t="n">
        <f aca="false">BD463/BC463</f>
        <v>0.192396482213967</v>
      </c>
      <c r="BF463" s="2" t="n">
        <f aca="false">BD463/(Entrées!$C$151/100)-BC463</f>
        <v>1986.62093153867</v>
      </c>
      <c r="BG463" s="2" t="n">
        <f aca="false">MIN(AV463,BF463)</f>
        <v>677.705985355402</v>
      </c>
      <c r="BH463" s="2" t="n">
        <f aca="false">IF(AC463&gt;Hypothèses!$J$26,MAX(0,BG463)/(1-Hypothèses!$J$26/AC463),0)</f>
        <v>1110.70511951984</v>
      </c>
    </row>
    <row r="464" customFormat="false" ht="15" hidden="false" customHeight="false" outlineLevel="0" collapsed="false">
      <c r="A464" s="2" t="n">
        <v>449</v>
      </c>
      <c r="B464" s="2" t="n">
        <v>0.479347057</v>
      </c>
      <c r="C464" s="2"/>
      <c r="D464" s="2" t="n">
        <v>0.625889984</v>
      </c>
      <c r="E464" s="2" t="n">
        <f aca="false">IF(E$7=E$5,E$6,IF(NORMSDIST(E$9*SQRT($C$11)*NORMSINV($B464)+SQRT(1-E$9^2*$C$11)*NORMSINV(D464))&lt;E$8,E$5+SQRT(NORMSDIST(E$9*SQRT($C$11)*NORMSINV($B464)+SQRT(1-E$9^2*$C$11)*NORMSINV(D464))*(E$7-E$5)*(E$6-E$5)),E$7-SQRT((1-NORMSDIST(E$9*SQRT($C$11)*NORMSINV($B464)+SQRT(1-E$9^2*$C$11)*NORMSINV(D464)))*(E$7-E$5)*(E$7-E$6))))</f>
        <v>0.0554473034314034</v>
      </c>
      <c r="F464" s="2" t="n">
        <v>0.356847491</v>
      </c>
      <c r="G464" s="2" t="n">
        <f aca="false">IF(G$7=G$5,G$6,IF(NORMSDIST(G$9*SQRT($C$11)*NORMSINV($B464)+SQRT(1-G$9^2*$C$11)*NORMSINV(F464))&lt;G$8,G$5+SQRT(NORMSDIST(G$9*SQRT($C$11)*NORMSINV($B464)+SQRT(1-G$9^2*$C$11)*NORMSINV(F464))*(G$7-G$5)*(G$6-G$5)),G$7-SQRT((1-NORMSDIST(G$9*SQRT($C$11)*NORMSINV($B464)+SQRT(1-G$9^2*$C$11)*NORMSINV(F464)))*(G$7-G$5)*(G$7-G$6))))</f>
        <v>0.0530014453662175</v>
      </c>
      <c r="H464" s="2" t="n">
        <v>0.166979662</v>
      </c>
      <c r="I464" s="2" t="n">
        <f aca="false">IF(I$7=I$5,I$6,IF(NORMSDIST(I$9*SQRT($C$11)*NORMSINV($B464)+SQRT(1-I$9^2*$C$11)*NORMSINV(H464))&lt;I$8,I$5+SQRT(NORMSDIST(I$9*SQRT($C$11)*NORMSINV($B464)+SQRT(1-I$9^2*$C$11)*NORMSINV(H464))*(I$7-I$5)*(I$6-I$5)),I$7-SQRT((1-NORMSDIST(I$9*SQRT($C$11)*NORMSINV($B464)+SQRT(1-I$9^2*$C$11)*NORMSINV(H464)))*(I$7-I$5)*(I$7-I$6))))</f>
        <v>193.186589730515</v>
      </c>
      <c r="J464" s="2" t="n">
        <v>0.853711877</v>
      </c>
      <c r="K464" s="2" t="n">
        <f aca="false">IF(K$7=K$5,K$6,IF(NORMSDIST(K$9*SQRT($C$11)*NORMSINV($B464)+SQRT(1-K$9^2*$C$11)*NORMSINV(J464))&lt;K$8,K$5+SQRT(NORMSDIST(K$9*SQRT($C$11)*NORMSINV($B464)+SQRT(1-K$9^2*$C$11)*NORMSINV(J464))*(K$7-K$5)*(K$6-K$5)),K$7-SQRT((1-NORMSDIST(K$9*SQRT($C$11)*NORMSINV($B464)+SQRT(1-K$9^2*$C$11)*NORMSINV(J464)))*(K$7-K$5)*(K$7-K$6))))</f>
        <v>0.335317940135911</v>
      </c>
      <c r="L464" s="2" t="n">
        <v>0.04731246</v>
      </c>
      <c r="M464" s="2" t="n">
        <f aca="false">IF(M$7=M$5,M$6,IF(NORMSDIST(M$9*SQRT($C$11)*NORMSINV($B464)+SQRT(1-M$9^2*$C$11)*NORMSINV(L464))&lt;M$8,M$5+SQRT(NORMSDIST(M$9*SQRT($C$11)*NORMSINV($B464)+SQRT(1-M$9^2*$C$11)*NORMSINV(L464))*(M$7-M$5)*(M$6-M$5)),M$7-SQRT((1-NORMSDIST(M$9*SQRT($C$11)*NORMSINV($B464)+SQRT(1-M$9^2*$C$11)*NORMSINV(L464)))*(M$7-M$5)*(M$7-M$6))))</f>
        <v>1424.34360434571</v>
      </c>
      <c r="N464" s="2" t="n">
        <v>0.085443347</v>
      </c>
      <c r="O464" s="2" t="n">
        <f aca="false">IF(O$7=O$5,O$6,IF(NORMSDIST(O$9*SQRT($C$11)*NORMSINV($B464)+SQRT(1-O$9^2*$C$11)*NORMSINV(N464))&lt;O$8,O$5+SQRT(NORMSDIST(O$9*SQRT($C$11)*NORMSINV($B464)+SQRT(1-O$9^2*$C$11)*NORMSINV(N464))*(O$7-O$5)*(O$6-O$5)),O$7-SQRT((1-NORMSDIST(O$9*SQRT($C$11)*NORMSINV($B464)+SQRT(1-O$9^2*$C$11)*NORMSINV(N464)))*(O$7-O$5)*(O$7-O$6))))</f>
        <v>0.154025273542787</v>
      </c>
      <c r="P464" s="2" t="n">
        <v>0.832654039</v>
      </c>
      <c r="Q464" s="2" t="n">
        <f aca="false">IF(Q$7=Q$5,Q$6,IF(NORMSDIST(Q$9*SQRT($C$11)*NORMSINV($B464)+SQRT(1-Q$9^2*$C$11)*NORMSINV(P464))&lt;Q$8,Q$5+SQRT(NORMSDIST(Q$9*SQRT($C$11)*NORMSINV($B464)+SQRT(1-Q$9^2*$C$11)*NORMSINV(P464))*(Q$7-Q$5)*(Q$6-Q$5)),Q$7-SQRT((1-NORMSDIST(Q$9*SQRT($C$11)*NORMSINV($B464)+SQRT(1-Q$9^2*$C$11)*NORMSINV(P464)))*(Q$7-Q$5)*(Q$7-Q$6))))</f>
        <v>0.0968589741973265</v>
      </c>
      <c r="R464" s="2" t="n">
        <v>0.4507906</v>
      </c>
      <c r="S464" s="2" t="n">
        <f aca="false">IF(S$7=S$5,S$6,IF(NORMSDIST(S$9*SQRT($C$11)*NORMSINV($B464)+SQRT(1-S$9^2*$C$11)*NORMSINV(R464))&lt;S$8,S$5+SQRT(NORMSDIST(S$9*SQRT($C$11)*NORMSINV($B464)+SQRT(1-S$9^2*$C$11)*NORMSINV(R464))*(S$7-S$5)*(S$6-S$5)),S$7-SQRT((1-NORMSDIST(S$9*SQRT($C$11)*NORMSINV($B464)+SQRT(1-S$9^2*$C$11)*NORMSINV(R464)))*(S$7-S$5)*(S$7-S$6))))</f>
        <v>0.473739569763647</v>
      </c>
      <c r="T464" s="2" t="n">
        <v>0.79432506</v>
      </c>
      <c r="U464" s="2" t="n">
        <f aca="false">IF(U$7=U$5,U$6,IF(NORMSDIST(U$9*SQRT($C$11)*NORMSINV($B464)+SQRT(1-U$9^2*$C$11)*NORMSINV(T464))&lt;U$8,U$5+SQRT(NORMSDIST(U$9*SQRT($C$11)*NORMSINV($B464)+SQRT(1-U$9^2*$C$11)*NORMSINV(T464))*(U$7-U$5)*(U$6-U$5)),U$7-SQRT((1-NORMSDIST(U$9*SQRT($C$11)*NORMSINV($B464)+SQRT(1-U$9^2*$C$11)*NORMSINV(T464)))*(U$7-U$5)*(U$7-U$6))))</f>
        <v>0.630501741396845</v>
      </c>
      <c r="V464" s="2" t="n">
        <v>0.510340303</v>
      </c>
      <c r="W464" s="2" t="n">
        <f aca="false">IF(W$7=W$5,W$6,IF(NORMSDIST(W$9*SQRT($C$11)*NORMSINV($B464)+SQRT(1-W$9^2*$C$11)*NORMSINV(V464))&lt;W$8,W$5+SQRT(NORMSDIST(W$9*SQRT($C$11)*NORMSINV($B464)+SQRT(1-W$9^2*$C$11)*NORMSINV(V464))*(W$7-W$5)*(W$6-W$5)),W$7-SQRT((1-NORMSDIST(W$9*SQRT($C$11)*NORMSINV($B464)+SQRT(1-W$9^2*$C$11)*NORMSINV(V464)))*(W$7-W$5)*(W$7-W$6))))</f>
        <v>9.98985967084759</v>
      </c>
      <c r="X464" s="2" t="n">
        <v>0.022791432</v>
      </c>
      <c r="Y464" s="2" t="n">
        <f aca="false">IF(Y$7=Y$5,Y$6,IF(NORMSDIST(Y$9*SQRT($C$11)*NORMSINV($B464)+SQRT(1-Y$9^2*$C$11)*NORMSINV(X464))&lt;Y$8,Y$5+SQRT(NORMSDIST(Y$9*SQRT($C$11)*NORMSINV($B464)+SQRT(1-Y$9^2*$C$11)*NORMSINV(X464))*(Y$7-Y$5)*(Y$6-Y$5)),Y$7-SQRT((1-NORMSDIST(Y$9*SQRT($C$11)*NORMSINV($B464)+SQRT(1-Y$9^2*$C$11)*NORMSINV(X464)))*(Y$7-Y$5)*(Y$7-Y$6))))</f>
        <v>0.106750718967134</v>
      </c>
      <c r="Z464" s="2" t="n">
        <v>0.515964479</v>
      </c>
      <c r="AA464" s="2" t="n">
        <f aca="false">IF(AA$7=AA$5,AA$6,IF(NORMSDIST(AA$9*SQRT($C$11)*NORMSINV($B464)+SQRT(1-AA$9^2*$C$11)*NORMSINV(Z464))&lt;AA$8,AA$5+SQRT(NORMSDIST(AA$9*SQRT($C$11)*NORMSINV($B464)+SQRT(1-AA$9^2*$C$11)*NORMSINV(Z464))*(AA$7-AA$5)*(AA$6-AA$5)),AA$7-SQRT((1-NORMSDIST(AA$9*SQRT($C$11)*NORMSINV($B464)+SQRT(1-AA$9^2*$C$11)*NORMSINV(Z464)))*(AA$7-AA$5)*(AA$7-AA$6))))</f>
        <v>0.728028504204531</v>
      </c>
      <c r="AB464" s="2" t="n">
        <v>0.253482091</v>
      </c>
      <c r="AC464" s="2" t="n">
        <f aca="false">IF(AC$7=AC$5,AC$6,IF(NORMSDIST(AC$9*SQRT($C$11)*NORMSINV($B464)+SQRT(1-AC$9^2*$C$11)*NORMSINV(AB464))&lt;AC$8,AC$5+SQRT(NORMSDIST(AC$9*SQRT($C$11)*NORMSINV($B464)+SQRT(1-AC$9^2*$C$11)*NORMSINV(AB464))*(AC$7-AC$5)*(AC$6-AC$5)),AC$7-SQRT((1-NORMSDIST(AC$9*SQRT($C$11)*NORMSINV($B464)+SQRT(1-AC$9^2*$C$11)*NORMSINV(AB464)))*(AC$7-AC$5)*(AC$7-AC$6))))</f>
        <v>8.98909938835525</v>
      </c>
      <c r="AD464" s="2" t="n">
        <f aca="false">Entrées!$C$8*(1+E464)</f>
        <v>7440.90348919139</v>
      </c>
      <c r="AE464" s="2" t="n">
        <f aca="false">I464*Hypothèses!$J$24/12/Hypothèses!$J$19</f>
        <v>95.8392488475738</v>
      </c>
      <c r="AF464" s="2" t="n">
        <f aca="false">Entrées!$C$36*S464*1000</f>
        <v>236.869784881823</v>
      </c>
      <c r="AG464" s="2" t="n">
        <f aca="false">-AF464/W464</f>
        <v>-23.711022245193</v>
      </c>
      <c r="AH464" s="2" t="n">
        <f aca="false">AD464+AE464+AG464</f>
        <v>7513.03171579377</v>
      </c>
      <c r="AI464" s="2" t="n">
        <f aca="false">Entrées!$C$16-M464+Hypothèses!$J$22*1000-AF464+Hypothèses!$J$23</f>
        <v>22886.7866107725</v>
      </c>
      <c r="AJ464" s="2" t="n">
        <f aca="false">AI464/AH464</f>
        <v>3.04627845010427</v>
      </c>
      <c r="AK464" s="2" t="n">
        <f aca="false">AI464/(AH464+I464*(12-Hypothèses!$J$24)/12/Hypothèses!$J$19)</f>
        <v>3.01877225663158</v>
      </c>
      <c r="AL464" s="2" t="n">
        <f aca="false">(AD464+AG464+I464/Hypothèses!$J$19)*(1+G464)</f>
        <v>7983.31816121258</v>
      </c>
      <c r="AM464" s="2" t="n">
        <f aca="false">Entrées!$C$54*K464/Hypothèses!$J$19</f>
        <v>34.2206036999191</v>
      </c>
      <c r="AN464" s="2" t="n">
        <f aca="false">Y464*1000/AC464</f>
        <v>11.875574443578</v>
      </c>
      <c r="AO464" s="2" t="n">
        <f aca="false">(Entrées!$C$36*(1-S464)+MAX(0,Entrées!$C$30-Entrées!$C$35-Entrées!$C$36)*U464)*1000</f>
        <v>1145.83265307376</v>
      </c>
      <c r="AP464" s="2" t="n">
        <f aca="false">-AO464/W464</f>
        <v>-114.699574451234</v>
      </c>
      <c r="AQ464" s="2" t="n">
        <f aca="false">AL464+AM464+AN464+AP464</f>
        <v>7914.71476490485</v>
      </c>
      <c r="AR464" s="2" t="n">
        <f aca="false">O464*AQ464-Hypothèses!$J$25/Hypothèses!$J$19</f>
        <v>1199.93094441598</v>
      </c>
      <c r="AS464" s="2" t="n">
        <f aca="false">Entrées!$C$79*(1+Q464)+Hypothèses!$J$20</f>
        <v>1500.44801264286</v>
      </c>
      <c r="AT464" s="2" t="n">
        <f aca="false">AI464-AR464+AS464+Y464*1000-AO464+Hypothèses!$J$23</f>
        <v>22148.2217448927</v>
      </c>
      <c r="AU464" s="2" t="n">
        <f aca="false">AT464/AQ464</f>
        <v>2.79836006764282</v>
      </c>
      <c r="AV464" s="2" t="n">
        <f aca="false">Hypothèses!$J$26*AQ464-AT464</f>
        <v>1595.92254982181</v>
      </c>
      <c r="AW464" s="2" t="n">
        <f aca="false">IF(AC464&gt;Hypothèses!$J$26,MAX(0,AV464)/(1-Hypothèses!$J$26/AC464),0)</f>
        <v>2395.33617431006</v>
      </c>
      <c r="AX464" s="2" t="n">
        <f aca="false">AQ464-Entrées!$C$17*1000</f>
        <v>-85.2852350951534</v>
      </c>
      <c r="AY464" s="2" t="n">
        <f aca="false">AI464+(Entrées!$C$244-Entrées!$C$13)</f>
        <v>28633.7866107725</v>
      </c>
      <c r="AZ464" s="2" t="n">
        <f aca="false">AA464*AH464</f>
        <v>5469.70124209055</v>
      </c>
      <c r="BA464" s="2" t="n">
        <f aca="false">AZ464/AY464</f>
        <v>0.191022630588186</v>
      </c>
      <c r="BB464" s="2" t="n">
        <f aca="false">AZ464/(Entrées!$C$151/100)-AY464</f>
        <v>1753.44251195278</v>
      </c>
      <c r="BC464" s="2" t="n">
        <f aca="false">AT464+(Entrées!$C$244-Entrées!$C$13)</f>
        <v>27895.2217448927</v>
      </c>
      <c r="BD464" s="2" t="n">
        <f aca="false">AA464*AQ464</f>
        <v>5762.13795149919</v>
      </c>
      <c r="BE464" s="2" t="n">
        <f aca="false">BD464/BC464</f>
        <v>0.206563618823147</v>
      </c>
      <c r="BF464" s="2" t="n">
        <f aca="false">BD464/(Entrées!$C$151/100)-BC464</f>
        <v>4116.65576343612</v>
      </c>
      <c r="BG464" s="2" t="n">
        <f aca="false">MIN(AV464,BF464)</f>
        <v>1595.92254982181</v>
      </c>
      <c r="BH464" s="2" t="n">
        <f aca="false">IF(AC464&gt;Hypothèses!$J$26,MAX(0,BG464)/(1-Hypothèses!$J$26/AC464),0)</f>
        <v>2395.33617431006</v>
      </c>
    </row>
    <row r="465" customFormat="false" ht="15" hidden="false" customHeight="false" outlineLevel="0" collapsed="false">
      <c r="A465" s="2" t="n">
        <v>450</v>
      </c>
      <c r="B465" s="2" t="n">
        <v>0.595202976</v>
      </c>
      <c r="C465" s="2"/>
      <c r="D465" s="2" t="n">
        <v>0.015961692</v>
      </c>
      <c r="E465" s="2" t="n">
        <f aca="false">IF(E$7=E$5,E$6,IF(NORMSDIST(E$9*SQRT($C$11)*NORMSINV($B465)+SQRT(1-E$9^2*$C$11)*NORMSINV(D465))&lt;E$8,E$5+SQRT(NORMSDIST(E$9*SQRT($C$11)*NORMSINV($B465)+SQRT(1-E$9^2*$C$11)*NORMSINV(D465))*(E$7-E$5)*(E$6-E$5)),E$7-SQRT((1-NORMSDIST(E$9*SQRT($C$11)*NORMSINV($B465)+SQRT(1-E$9^2*$C$11)*NORMSINV(D465)))*(E$7-E$5)*(E$7-E$6))))</f>
        <v>0.0518110440077797</v>
      </c>
      <c r="F465" s="2" t="n">
        <v>0.732853176</v>
      </c>
      <c r="G465" s="2" t="n">
        <f aca="false">IF(G$7=G$5,G$6,IF(NORMSDIST(G$9*SQRT($C$11)*NORMSINV($B465)+SQRT(1-G$9^2*$C$11)*NORMSINV(F465))&lt;G$8,G$5+SQRT(NORMSDIST(G$9*SQRT($C$11)*NORMSINV($B465)+SQRT(1-G$9^2*$C$11)*NORMSINV(F465))*(G$7-G$5)*(G$6-G$5)),G$7-SQRT((1-NORMSDIST(G$9*SQRT($C$11)*NORMSINV($B465)+SQRT(1-G$9^2*$C$11)*NORMSINV(F465)))*(G$7-G$5)*(G$7-G$6))))</f>
        <v>0.0591187660045075</v>
      </c>
      <c r="H465" s="2" t="n">
        <v>0.96198047</v>
      </c>
      <c r="I465" s="2" t="n">
        <f aca="false">IF(I$7=I$5,I$6,IF(NORMSDIST(I$9*SQRT($C$11)*NORMSINV($B465)+SQRT(1-I$9^2*$C$11)*NORMSINV(H465))&lt;I$8,I$5+SQRT(NORMSDIST(I$9*SQRT($C$11)*NORMSINV($B465)+SQRT(1-I$9^2*$C$11)*NORMSINV(H465))*(I$7-I$5)*(I$6-I$5)),I$7-SQRT((1-NORMSDIST(I$9*SQRT($C$11)*NORMSINV($B465)+SQRT(1-I$9^2*$C$11)*NORMSINV(H465)))*(I$7-I$5)*(I$7-I$6))))</f>
        <v>212.876764264193</v>
      </c>
      <c r="J465" s="2" t="n">
        <v>0.971741336</v>
      </c>
      <c r="K465" s="2" t="n">
        <f aca="false">IF(K$7=K$5,K$6,IF(NORMSDIST(K$9*SQRT($C$11)*NORMSINV($B465)+SQRT(1-K$9^2*$C$11)*NORMSINV(J465))&lt;K$8,K$5+SQRT(NORMSDIST(K$9*SQRT($C$11)*NORMSINV($B465)+SQRT(1-K$9^2*$C$11)*NORMSINV(J465))*(K$7-K$5)*(K$6-K$5)),K$7-SQRT((1-NORMSDIST(K$9*SQRT($C$11)*NORMSINV($B465)+SQRT(1-K$9^2*$C$11)*NORMSINV(J465)))*(K$7-K$5)*(K$7-K$6))))</f>
        <v>0.419690679849343</v>
      </c>
      <c r="L465" s="2" t="n">
        <v>0.30707483</v>
      </c>
      <c r="M465" s="2" t="n">
        <f aca="false">IF(M$7=M$5,M$6,IF(NORMSDIST(M$9*SQRT($C$11)*NORMSINV($B465)+SQRT(1-M$9^2*$C$11)*NORMSINV(L465))&lt;M$8,M$5+SQRT(NORMSDIST(M$9*SQRT($C$11)*NORMSINV($B465)+SQRT(1-M$9^2*$C$11)*NORMSINV(L465))*(M$7-M$5)*(M$6-M$5)),M$7-SQRT((1-NORMSDIST(M$9*SQRT($C$11)*NORMSINV($B465)+SQRT(1-M$9^2*$C$11)*NORMSINV(L465)))*(M$7-M$5)*(M$7-M$6))))</f>
        <v>1557.41489119225</v>
      </c>
      <c r="N465" s="2" t="n">
        <v>0.185689958</v>
      </c>
      <c r="O465" s="2" t="n">
        <f aca="false">IF(O$7=O$5,O$6,IF(NORMSDIST(O$9*SQRT($C$11)*NORMSINV($B465)+SQRT(1-O$9^2*$C$11)*NORMSINV(N465))&lt;O$8,O$5+SQRT(NORMSDIST(O$9*SQRT($C$11)*NORMSINV($B465)+SQRT(1-O$9^2*$C$11)*NORMSINV(N465))*(O$7-O$5)*(O$6-O$5)),O$7-SQRT((1-NORMSDIST(O$9*SQRT($C$11)*NORMSINV($B465)+SQRT(1-O$9^2*$C$11)*NORMSINV(N465)))*(O$7-O$5)*(O$7-O$6))))</f>
        <v>0.160559370046036</v>
      </c>
      <c r="P465" s="2" t="n">
        <v>0.42216207</v>
      </c>
      <c r="Q465" s="2" t="n">
        <f aca="false">IF(Q$7=Q$5,Q$6,IF(NORMSDIST(Q$9*SQRT($C$11)*NORMSINV($B465)+SQRT(1-Q$9^2*$C$11)*NORMSINV(P465))&lt;Q$8,Q$5+SQRT(NORMSDIST(Q$9*SQRT($C$11)*NORMSINV($B465)+SQRT(1-Q$9^2*$C$11)*NORMSINV(P465))*(Q$7-Q$5)*(Q$6-Q$5)),Q$7-SQRT((1-NORMSDIST(Q$9*SQRT($C$11)*NORMSINV($B465)+SQRT(1-Q$9^2*$C$11)*NORMSINV(P465)))*(Q$7-Q$5)*(Q$7-Q$6))))</f>
        <v>0.0767548449051278</v>
      </c>
      <c r="R465" s="2" t="n">
        <v>0.318500322</v>
      </c>
      <c r="S465" s="2" t="n">
        <f aca="false">IF(S$7=S$5,S$6,IF(NORMSDIST(S$9*SQRT($C$11)*NORMSINV($B465)+SQRT(1-S$9^2*$C$11)*NORMSINV(R465))&lt;S$8,S$5+SQRT(NORMSDIST(S$9*SQRT($C$11)*NORMSINV($B465)+SQRT(1-S$9^2*$C$11)*NORMSINV(R465))*(S$7-S$5)*(S$6-S$5)),S$7-SQRT((1-NORMSDIST(S$9*SQRT($C$11)*NORMSINV($B465)+SQRT(1-S$9^2*$C$11)*NORMSINV(R465)))*(S$7-S$5)*(S$7-S$6))))</f>
        <v>0.455855838402585</v>
      </c>
      <c r="T465" s="2" t="n">
        <v>0.833510216</v>
      </c>
      <c r="U465" s="2" t="n">
        <f aca="false">IF(U$7=U$5,U$6,IF(NORMSDIST(U$9*SQRT($C$11)*NORMSINV($B465)+SQRT(1-U$9^2*$C$11)*NORMSINV(T465))&lt;U$8,U$5+SQRT(NORMSDIST(U$9*SQRT($C$11)*NORMSINV($B465)+SQRT(1-U$9^2*$C$11)*NORMSINV(T465))*(U$7-U$5)*(U$6-U$5)),U$7-SQRT((1-NORMSDIST(U$9*SQRT($C$11)*NORMSINV($B465)+SQRT(1-U$9^2*$C$11)*NORMSINV(T465)))*(U$7-U$5)*(U$7-U$6))))</f>
        <v>0.697139689448311</v>
      </c>
      <c r="V465" s="2" t="n">
        <v>0.728931911</v>
      </c>
      <c r="W465" s="2" t="n">
        <f aca="false">IF(W$7=W$5,W$6,IF(NORMSDIST(W$9*SQRT($C$11)*NORMSINV($B465)+SQRT(1-W$9^2*$C$11)*NORMSINV(V465))&lt;W$8,W$5+SQRT(NORMSDIST(W$9*SQRT($C$11)*NORMSINV($B465)+SQRT(1-W$9^2*$C$11)*NORMSINV(V465))*(W$7-W$5)*(W$6-W$5)),W$7-SQRT((1-NORMSDIST(W$9*SQRT($C$11)*NORMSINV($B465)+SQRT(1-W$9^2*$C$11)*NORMSINV(V465)))*(W$7-W$5)*(W$7-W$6))))</f>
        <v>10.5408890140439</v>
      </c>
      <c r="X465" s="2" t="n">
        <v>0.880540953</v>
      </c>
      <c r="Y465" s="2" t="n">
        <f aca="false">IF(Y$7=Y$5,Y$6,IF(NORMSDIST(Y$9*SQRT($C$11)*NORMSINV($B465)+SQRT(1-Y$9^2*$C$11)*NORMSINV(X465))&lt;Y$8,Y$5+SQRT(NORMSDIST(Y$9*SQRT($C$11)*NORMSINV($B465)+SQRT(1-Y$9^2*$C$11)*NORMSINV(X465))*(Y$7-Y$5)*(Y$6-Y$5)),Y$7-SQRT((1-NORMSDIST(Y$9*SQRT($C$11)*NORMSINV($B465)+SQRT(1-Y$9^2*$C$11)*NORMSINV(X465)))*(Y$7-Y$5)*(Y$7-Y$6))))</f>
        <v>0.755603757189273</v>
      </c>
      <c r="Z465" s="2" t="n">
        <v>0.334773599</v>
      </c>
      <c r="AA465" s="2" t="n">
        <f aca="false">IF(AA$7=AA$5,AA$6,IF(NORMSDIST(AA$9*SQRT($C$11)*NORMSINV($B465)+SQRT(1-AA$9^2*$C$11)*NORMSINV(Z465))&lt;AA$8,AA$5+SQRT(NORMSDIST(AA$9*SQRT($C$11)*NORMSINV($B465)+SQRT(1-AA$9^2*$C$11)*NORMSINV(Z465))*(AA$7-AA$5)*(AA$6-AA$5)),AA$7-SQRT((1-NORMSDIST(AA$9*SQRT($C$11)*NORMSINV($B465)+SQRT(1-AA$9^2*$C$11)*NORMSINV(Z465)))*(AA$7-AA$5)*(AA$7-AA$6))))</f>
        <v>0.72564866855591</v>
      </c>
      <c r="AB465" s="2" t="n">
        <v>0.219732604</v>
      </c>
      <c r="AC465" s="2" t="n">
        <f aca="false">IF(AC$7=AC$5,AC$6,IF(NORMSDIST(AC$9*SQRT($C$11)*NORMSINV($B465)+SQRT(1-AC$9^2*$C$11)*NORMSINV(AB465))&lt;AC$8,AC$5+SQRT(NORMSDIST(AC$9*SQRT($C$11)*NORMSINV($B465)+SQRT(1-AC$9^2*$C$11)*NORMSINV(AB465))*(AC$7-AC$5)*(AC$6-AC$5)),AC$7-SQRT((1-NORMSDIST(AC$9*SQRT($C$11)*NORMSINV($B465)+SQRT(1-AC$9^2*$C$11)*NORMSINV(AB465)))*(AC$7-AC$5)*(AC$7-AC$6))))</f>
        <v>9.08249282437494</v>
      </c>
      <c r="AD465" s="2" t="n">
        <f aca="false">Entrées!$C$8*(1+E465)</f>
        <v>7415.26786025485</v>
      </c>
      <c r="AE465" s="2" t="n">
        <f aca="false">I465*Hypothèses!$J$24/12/Hypothèses!$J$19</f>
        <v>105.607481412876</v>
      </c>
      <c r="AF465" s="2" t="n">
        <f aca="false">Entrées!$C$36*S465*1000</f>
        <v>227.927919201293</v>
      </c>
      <c r="AG465" s="2" t="n">
        <f aca="false">-AF465/W465</f>
        <v>-21.623215925869</v>
      </c>
      <c r="AH465" s="2" t="n">
        <f aca="false">AD465+AE465+AG465</f>
        <v>7499.25212574185</v>
      </c>
      <c r="AI465" s="2" t="n">
        <f aca="false">Entrées!$C$16-M465+Hypothèses!$J$22*1000-AF465+Hypothèses!$J$23</f>
        <v>22762.6571896065</v>
      </c>
      <c r="AJ465" s="2" t="n">
        <f aca="false">AI465/AH465</f>
        <v>3.03532363066866</v>
      </c>
      <c r="AK465" s="2" t="n">
        <f aca="false">AI465/(AH465+I465*(12-Hypothèses!$J$24)/12/Hypothèses!$J$19)</f>
        <v>3.00509579754026</v>
      </c>
      <c r="AL465" s="2" t="n">
        <f aca="false">(AD465+AG465+I465/Hypothèses!$J$19)*(1+G465)</f>
        <v>8022.49213265443</v>
      </c>
      <c r="AM465" s="2" t="n">
        <f aca="false">Entrées!$C$54*K465/Hypothèses!$J$19</f>
        <v>42.8311960459163</v>
      </c>
      <c r="AN465" s="2" t="n">
        <f aca="false">Y465*1000/AC465</f>
        <v>83.1934328823732</v>
      </c>
      <c r="AO465" s="2" t="n">
        <f aca="false">(Entrées!$C$36*(1-S465)+MAX(0,Entrées!$C$30-Entrées!$C$35-Entrées!$C$36)*U465)*1000</f>
        <v>1248.06764602634</v>
      </c>
      <c r="AP465" s="2" t="n">
        <f aca="false">-AO465/W465</f>
        <v>-118.402503276859</v>
      </c>
      <c r="AQ465" s="2" t="n">
        <f aca="false">AL465+AM465+AN465+AP465</f>
        <v>8030.11425830586</v>
      </c>
      <c r="AR465" s="2" t="n">
        <f aca="false">O465*AQ465-Hypothèses!$J$25/Hypothèses!$J$19</f>
        <v>1270.17492444966</v>
      </c>
      <c r="AS465" s="2" t="n">
        <f aca="false">Entrées!$C$79*(1+Q465)+Hypothèses!$J$20</f>
        <v>1478.35357455074</v>
      </c>
      <c r="AT465" s="2" t="n">
        <f aca="false">AI465-AR465+AS465+Y465*1000-AO465+Hypothèses!$J$23</f>
        <v>22478.3719508705</v>
      </c>
      <c r="AU465" s="2" t="n">
        <f aca="false">AT465/AQ465</f>
        <v>2.79925929168694</v>
      </c>
      <c r="AV465" s="2" t="n">
        <f aca="false">Hypothèses!$J$26*AQ465-AT465</f>
        <v>1611.9708240471</v>
      </c>
      <c r="AW465" s="2" t="n">
        <f aca="false">IF(AC465&gt;Hypothèses!$J$26,MAX(0,AV465)/(1-Hypothèses!$J$26/AC465),0)</f>
        <v>2407.02518938263</v>
      </c>
      <c r="AX465" s="2" t="n">
        <f aca="false">AQ465-Entrées!$C$17*1000</f>
        <v>30.1142583058581</v>
      </c>
      <c r="AY465" s="2" t="n">
        <f aca="false">AI465+(Entrées!$C$244-Entrées!$C$13)</f>
        <v>28509.6571896065</v>
      </c>
      <c r="AZ465" s="2" t="n">
        <f aca="false">AA465*AH465</f>
        <v>5441.82232020965</v>
      </c>
      <c r="BA465" s="2" t="n">
        <f aca="false">AZ465/AY465</f>
        <v>0.190876455792444</v>
      </c>
      <c r="BB465" s="2" t="n">
        <f aca="false">AZ465/(Entrées!$C$151/100)-AY465</f>
        <v>1722.68903378049</v>
      </c>
      <c r="BC465" s="2" t="n">
        <f aca="false">AT465+(Entrées!$C$244-Entrées!$C$13)</f>
        <v>28225.3719508705</v>
      </c>
      <c r="BD465" s="2" t="n">
        <f aca="false">AA465*AQ465</f>
        <v>5827.04171989147</v>
      </c>
      <c r="BE465" s="2" t="n">
        <f aca="false">BD465/BC465</f>
        <v>0.206446941781108</v>
      </c>
      <c r="BF465" s="2" t="n">
        <f aca="false">BD465/(Entrées!$C$151/100)-BC465</f>
        <v>4147.08204852659</v>
      </c>
      <c r="BG465" s="2" t="n">
        <f aca="false">MIN(AV465,BF465)</f>
        <v>1611.9708240471</v>
      </c>
      <c r="BH465" s="2" t="n">
        <f aca="false">IF(AC465&gt;Hypothèses!$J$26,MAX(0,BG465)/(1-Hypothèses!$J$26/AC465),0)</f>
        <v>2407.02518938263</v>
      </c>
    </row>
    <row r="466" customFormat="false" ht="15" hidden="false" customHeight="false" outlineLevel="0" collapsed="false">
      <c r="A466" s="2" t="n">
        <v>451</v>
      </c>
      <c r="B466" s="2" t="n">
        <v>0.969356696</v>
      </c>
      <c r="C466" s="2"/>
      <c r="D466" s="2" t="n">
        <v>0.054000667</v>
      </c>
      <c r="E466" s="2" t="n">
        <f aca="false">IF(E$7=E$5,E$6,IF(NORMSDIST(E$9*SQRT($C$11)*NORMSINV($B466)+SQRT(1-E$9^2*$C$11)*NORMSINV(D466))&lt;E$8,E$5+SQRT(NORMSDIST(E$9*SQRT($C$11)*NORMSINV($B466)+SQRT(1-E$9^2*$C$11)*NORMSINV(D466))*(E$7-E$5)*(E$6-E$5)),E$7-SQRT((1-NORMSDIST(E$9*SQRT($C$11)*NORMSINV($B466)+SQRT(1-E$9^2*$C$11)*NORMSINV(D466)))*(E$7-E$5)*(E$7-E$6))))</f>
        <v>0.0548761209094363</v>
      </c>
      <c r="F466" s="2" t="n">
        <v>0.88493419</v>
      </c>
      <c r="G466" s="2" t="n">
        <f aca="false">IF(G$7=G$5,G$6,IF(NORMSDIST(G$9*SQRT($C$11)*NORMSINV($B466)+SQRT(1-G$9^2*$C$11)*NORMSINV(F466))&lt;G$8,G$5+SQRT(NORMSDIST(G$9*SQRT($C$11)*NORMSINV($B466)+SQRT(1-G$9^2*$C$11)*NORMSINV(F466))*(G$7-G$5)*(G$6-G$5)),G$7-SQRT((1-NORMSDIST(G$9*SQRT($C$11)*NORMSINV($B466)+SQRT(1-G$9^2*$C$11)*NORMSINV(F466)))*(G$7-G$5)*(G$7-G$6))))</f>
        <v>0.0672102308795006</v>
      </c>
      <c r="H466" s="2" t="n">
        <v>0.177163647</v>
      </c>
      <c r="I466" s="2" t="n">
        <f aca="false">IF(I$7=I$5,I$6,IF(NORMSDIST(I$9*SQRT($C$11)*NORMSINV($B466)+SQRT(1-I$9^2*$C$11)*NORMSINV(H466))&lt;I$8,I$5+SQRT(NORMSDIST(I$9*SQRT($C$11)*NORMSINV($B466)+SQRT(1-I$9^2*$C$11)*NORMSINV(H466))*(I$7-I$5)*(I$6-I$5)),I$7-SQRT((1-NORMSDIST(I$9*SQRT($C$11)*NORMSINV($B466)+SQRT(1-I$9^2*$C$11)*NORMSINV(H466)))*(I$7-I$5)*(I$7-I$6))))</f>
        <v>203.986045033579</v>
      </c>
      <c r="J466" s="2" t="n">
        <v>0.051086197</v>
      </c>
      <c r="K466" s="2" t="n">
        <f aca="false">IF(K$7=K$5,K$6,IF(NORMSDIST(K$9*SQRT($C$11)*NORMSINV($B466)+SQRT(1-K$9^2*$C$11)*NORMSINV(J466))&lt;K$8,K$5+SQRT(NORMSDIST(K$9*SQRT($C$11)*NORMSINV($B466)+SQRT(1-K$9^2*$C$11)*NORMSINV(J466))*(K$7-K$5)*(K$6-K$5)),K$7-SQRT((1-NORMSDIST(K$9*SQRT($C$11)*NORMSINV($B466)+SQRT(1-K$9^2*$C$11)*NORMSINV(J466)))*(K$7-K$5)*(K$7-K$6))))</f>
        <v>0.24164975885921</v>
      </c>
      <c r="L466" s="2" t="n">
        <v>0.341194514</v>
      </c>
      <c r="M466" s="2" t="n">
        <f aca="false">IF(M$7=M$5,M$6,IF(NORMSDIST(M$9*SQRT($C$11)*NORMSINV($B466)+SQRT(1-M$9^2*$C$11)*NORMSINV(L466))&lt;M$8,M$5+SQRT(NORMSDIST(M$9*SQRT($C$11)*NORMSINV($B466)+SQRT(1-M$9^2*$C$11)*NORMSINV(L466))*(M$7-M$5)*(M$6-M$5)),M$7-SQRT((1-NORMSDIST(M$9*SQRT($C$11)*NORMSINV($B466)+SQRT(1-M$9^2*$C$11)*NORMSINV(L466)))*(M$7-M$5)*(M$7-M$6))))</f>
        <v>1667.92212044359</v>
      </c>
      <c r="N466" s="2" t="n">
        <v>0.493275239</v>
      </c>
      <c r="O466" s="2" t="n">
        <f aca="false">IF(O$7=O$5,O$6,IF(NORMSDIST(O$9*SQRT($C$11)*NORMSINV($B466)+SQRT(1-O$9^2*$C$11)*NORMSINV(N466))&lt;O$8,O$5+SQRT(NORMSDIST(O$9*SQRT($C$11)*NORMSINV($B466)+SQRT(1-O$9^2*$C$11)*NORMSINV(N466))*(O$7-O$5)*(O$6-O$5)),O$7-SQRT((1-NORMSDIST(O$9*SQRT($C$11)*NORMSINV($B466)+SQRT(1-O$9^2*$C$11)*NORMSINV(N466)))*(O$7-O$5)*(O$7-O$6))))</f>
        <v>0.17865217310732</v>
      </c>
      <c r="P466" s="2" t="n">
        <v>0.298029297</v>
      </c>
      <c r="Q466" s="2" t="n">
        <f aca="false">IF(Q$7=Q$5,Q$6,IF(NORMSDIST(Q$9*SQRT($C$11)*NORMSINV($B466)+SQRT(1-Q$9^2*$C$11)*NORMSINV(P466))&lt;Q$8,Q$5+SQRT(NORMSDIST(Q$9*SQRT($C$11)*NORMSINV($B466)+SQRT(1-Q$9^2*$C$11)*NORMSINV(P466))*(Q$7-Q$5)*(Q$6-Q$5)),Q$7-SQRT((1-NORMSDIST(Q$9*SQRT($C$11)*NORMSINV($B466)+SQRT(1-Q$9^2*$C$11)*NORMSINV(P466)))*(Q$7-Q$5)*(Q$7-Q$6))))</f>
        <v>0.0708819324265824</v>
      </c>
      <c r="R466" s="2" t="n">
        <v>0.237924533</v>
      </c>
      <c r="S466" s="2" t="n">
        <f aca="false">IF(S$7=S$5,S$6,IF(NORMSDIST(S$9*SQRT($C$11)*NORMSINV($B466)+SQRT(1-S$9^2*$C$11)*NORMSINV(R466))&lt;S$8,S$5+SQRT(NORMSDIST(S$9*SQRT($C$11)*NORMSINV($B466)+SQRT(1-S$9^2*$C$11)*NORMSINV(R466))*(S$7-S$5)*(S$6-S$5)),S$7-SQRT((1-NORMSDIST(S$9*SQRT($C$11)*NORMSINV($B466)+SQRT(1-S$9^2*$C$11)*NORMSINV(R466)))*(S$7-S$5)*(S$7-S$6))))</f>
        <v>0.636737284448298</v>
      </c>
      <c r="T466" s="2" t="n">
        <v>0.903109056</v>
      </c>
      <c r="U466" s="2" t="n">
        <f aca="false">IF(U$7=U$5,U$6,IF(NORMSDIST(U$9*SQRT($C$11)*NORMSINV($B466)+SQRT(1-U$9^2*$C$11)*NORMSINV(T466))&lt;U$8,U$5+SQRT(NORMSDIST(U$9*SQRT($C$11)*NORMSINV($B466)+SQRT(1-U$9^2*$C$11)*NORMSINV(T466))*(U$7-U$5)*(U$6-U$5)),U$7-SQRT((1-NORMSDIST(U$9*SQRT($C$11)*NORMSINV($B466)+SQRT(1-U$9^2*$C$11)*NORMSINV(T466)))*(U$7-U$5)*(U$7-U$6))))</f>
        <v>0.915571376716086</v>
      </c>
      <c r="V466" s="2" t="n">
        <v>0.6597169</v>
      </c>
      <c r="W466" s="2" t="n">
        <f aca="false">IF(W$7=W$5,W$6,IF(NORMSDIST(W$9*SQRT($C$11)*NORMSINV($B466)+SQRT(1-W$9^2*$C$11)*NORMSINV(V466))&lt;W$8,W$5+SQRT(NORMSDIST(W$9*SQRT($C$11)*NORMSINV($B466)+SQRT(1-W$9^2*$C$11)*NORMSINV(V466))*(W$7-W$5)*(W$6-W$5)),W$7-SQRT((1-NORMSDIST(W$9*SQRT($C$11)*NORMSINV($B466)+SQRT(1-W$9^2*$C$11)*NORMSINV(V466)))*(W$7-W$5)*(W$7-W$6))))</f>
        <v>11.2706940392501</v>
      </c>
      <c r="X466" s="2" t="n">
        <v>0.611493211</v>
      </c>
      <c r="Y466" s="2" t="n">
        <f aca="false">IF(Y$7=Y$5,Y$6,IF(NORMSDIST(Y$9*SQRT($C$11)*NORMSINV($B466)+SQRT(1-Y$9^2*$C$11)*NORMSINV(X466))&lt;Y$8,Y$5+SQRT(NORMSDIST(Y$9*SQRT($C$11)*NORMSINV($B466)+SQRT(1-Y$9^2*$C$11)*NORMSINV(X466))*(Y$7-Y$5)*(Y$6-Y$5)),Y$7-SQRT((1-NORMSDIST(Y$9*SQRT($C$11)*NORMSINV($B466)+SQRT(1-Y$9^2*$C$11)*NORMSINV(X466)))*(Y$7-Y$5)*(Y$7-Y$6))))</f>
        <v>0.559258131668887</v>
      </c>
      <c r="Z466" s="2" t="n">
        <v>0.352547472</v>
      </c>
      <c r="AA466" s="2" t="n">
        <f aca="false">IF(AA$7=AA$5,AA$6,IF(NORMSDIST(AA$9*SQRT($C$11)*NORMSINV($B466)+SQRT(1-AA$9^2*$C$11)*NORMSINV(Z466))&lt;AA$8,AA$5+SQRT(NORMSDIST(AA$9*SQRT($C$11)*NORMSINV($B466)+SQRT(1-AA$9^2*$C$11)*NORMSINV(Z466))*(AA$7-AA$5)*(AA$6-AA$5)),AA$7-SQRT((1-NORMSDIST(AA$9*SQRT($C$11)*NORMSINV($B466)+SQRT(1-AA$9^2*$C$11)*NORMSINV(Z466)))*(AA$7-AA$5)*(AA$7-AA$6))))</f>
        <v>0.738382813756157</v>
      </c>
      <c r="AB466" s="2" t="n">
        <v>0.823035106</v>
      </c>
      <c r="AC466" s="2" t="n">
        <f aca="false">IF(AC$7=AC$5,AC$6,IF(NORMSDIST(AC$9*SQRT($C$11)*NORMSINV($B466)+SQRT(1-AC$9^2*$C$11)*NORMSINV(AB466))&lt;AC$8,AC$5+SQRT(NORMSDIST(AC$9*SQRT($C$11)*NORMSINV($B466)+SQRT(1-AC$9^2*$C$11)*NORMSINV(AB466))*(AC$7-AC$5)*(AC$6-AC$5)),AC$7-SQRT((1-NORMSDIST(AC$9*SQRT($C$11)*NORMSINV($B466)+SQRT(1-AC$9^2*$C$11)*NORMSINV(AB466)))*(AC$7-AC$5)*(AC$7-AC$6))))</f>
        <v>10.6484433169872</v>
      </c>
      <c r="AD466" s="2" t="n">
        <f aca="false">Entrées!$C$8*(1+E466)</f>
        <v>7436.87665241153</v>
      </c>
      <c r="AE466" s="2" t="n">
        <f aca="false">I466*Hypothèses!$J$24/12/Hypothèses!$J$19</f>
        <v>101.196824058423</v>
      </c>
      <c r="AF466" s="2" t="n">
        <f aca="false">Entrées!$C$36*S466*1000</f>
        <v>318.368642224149</v>
      </c>
      <c r="AG466" s="2" t="n">
        <f aca="false">-AF466/W466</f>
        <v>-28.2474744780962</v>
      </c>
      <c r="AH466" s="2" t="n">
        <f aca="false">AD466+AE466+AG466</f>
        <v>7509.82600199185</v>
      </c>
      <c r="AI466" s="2" t="n">
        <f aca="false">Entrées!$C$16-M466+Hypothèses!$J$22*1000-AF466+Hypothèses!$J$23</f>
        <v>22561.7092373323</v>
      </c>
      <c r="AJ466" s="2" t="n">
        <f aca="false">AI466/AH466</f>
        <v>3.00429187458513</v>
      </c>
      <c r="AK466" s="2" t="n">
        <f aca="false">AI466/(AH466+I466*(12-Hypothèses!$J$24)/12/Hypothèses!$J$19)</f>
        <v>2.97565069362509</v>
      </c>
      <c r="AL466" s="2" t="n">
        <f aca="false">(AD466+AG466+I466/Hypothèses!$J$19)*(1+G466)</f>
        <v>8091.70477428464</v>
      </c>
      <c r="AM466" s="2" t="n">
        <f aca="false">Entrées!$C$54*K466/Hypothèses!$J$19</f>
        <v>24.6613725133535</v>
      </c>
      <c r="AN466" s="2" t="n">
        <f aca="false">Y466*1000/AC466</f>
        <v>52.5201773649595</v>
      </c>
      <c r="AO466" s="2" t="n">
        <f aca="false">(Entrées!$C$36*(1-S466)+MAX(0,Entrées!$C$30-Entrées!$C$35-Entrées!$C$36)*U466)*1000</f>
        <v>1463.43128517837</v>
      </c>
      <c r="AP466" s="2" t="n">
        <f aca="false">-AO466/W466</f>
        <v>-129.843936858013</v>
      </c>
      <c r="AQ466" s="2" t="n">
        <f aca="false">AL466+AM466+AN466+AP466</f>
        <v>8039.04238730495</v>
      </c>
      <c r="AR466" s="2" t="n">
        <f aca="false">O466*AQ466-Hypothèses!$J$25/Hypothèses!$J$19</f>
        <v>1417.05722993226</v>
      </c>
      <c r="AS466" s="2" t="n">
        <f aca="false">Entrées!$C$79*(1+Q466)+Hypothèses!$J$20</f>
        <v>1471.89924373681</v>
      </c>
      <c r="AT466" s="2" t="n">
        <f aca="false">AI466-AR466+AS466+Y466*1000-AO466+Hypothèses!$J$23</f>
        <v>21712.3780976273</v>
      </c>
      <c r="AU466" s="2" t="n">
        <f aca="false">AT466/AQ466</f>
        <v>2.70086622903183</v>
      </c>
      <c r="AV466" s="2" t="n">
        <f aca="false">Hypothèses!$J$26*AQ466-AT466</f>
        <v>2404.74906428751</v>
      </c>
      <c r="AW466" s="2" t="n">
        <f aca="false">IF(AC466&gt;Hypothèses!$J$26,MAX(0,AV466)/(1-Hypothèses!$J$26/AC466),0)</f>
        <v>3347.97984915057</v>
      </c>
      <c r="AX466" s="2" t="n">
        <f aca="false">AQ466-Entrées!$C$17*1000</f>
        <v>39.0423873049458</v>
      </c>
      <c r="AY466" s="2" t="n">
        <f aca="false">AI466+(Entrées!$C$244-Entrées!$C$13)</f>
        <v>28308.7092373323</v>
      </c>
      <c r="AZ466" s="2" t="n">
        <f aca="false">AA466*AH466</f>
        <v>5545.12645416989</v>
      </c>
      <c r="BA466" s="2" t="n">
        <f aca="false">AZ466/AY466</f>
        <v>0.195880582462489</v>
      </c>
      <c r="BB466" s="2" t="n">
        <f aca="false">AZ466/(Entrées!$C$151/100)-AY466</f>
        <v>2497.54884138937</v>
      </c>
      <c r="BC466" s="2" t="n">
        <f aca="false">AT466+(Entrées!$C$244-Entrées!$C$13)</f>
        <v>27459.3780976273</v>
      </c>
      <c r="BD466" s="2" t="n">
        <f aca="false">AA466*AQ466</f>
        <v>5935.89073784324</v>
      </c>
      <c r="BE466" s="2" t="n">
        <f aca="false">BD466/BC466</f>
        <v>0.216169889818304</v>
      </c>
      <c r="BF466" s="2" t="n">
        <f aca="false">BD466/(Entrées!$C$151/100)-BC466</f>
        <v>5517.79266816844</v>
      </c>
      <c r="BG466" s="2" t="n">
        <f aca="false">MIN(AV466,BF466)</f>
        <v>2404.74906428751</v>
      </c>
      <c r="BH466" s="2" t="n">
        <f aca="false">IF(AC466&gt;Hypothèses!$J$26,MAX(0,BG466)/(1-Hypothèses!$J$26/AC466),0)</f>
        <v>3347.97984915057</v>
      </c>
    </row>
    <row r="467" customFormat="false" ht="15" hidden="false" customHeight="false" outlineLevel="0" collapsed="false">
      <c r="A467" s="2" t="n">
        <v>452</v>
      </c>
      <c r="B467" s="2" t="n">
        <v>0.166522607</v>
      </c>
      <c r="C467" s="2"/>
      <c r="D467" s="2" t="n">
        <v>0.246299049</v>
      </c>
      <c r="E467" s="2" t="n">
        <f aca="false">IF(E$7=E$5,E$6,IF(NORMSDIST(E$9*SQRT($C$11)*NORMSINV($B467)+SQRT(1-E$9^2*$C$11)*NORMSINV(D467))&lt;E$8,E$5+SQRT(NORMSDIST(E$9*SQRT($C$11)*NORMSINV($B467)+SQRT(1-E$9^2*$C$11)*NORMSINV(D467))*(E$7-E$5)*(E$6-E$5)),E$7-SQRT((1-NORMSDIST(E$9*SQRT($C$11)*NORMSINV($B467)+SQRT(1-E$9^2*$C$11)*NORMSINV(D467)))*(E$7-E$5)*(E$7-E$6))))</f>
        <v>0.0525136399268711</v>
      </c>
      <c r="F467" s="2" t="n">
        <v>0.190278041</v>
      </c>
      <c r="G467" s="2" t="n">
        <f aca="false">IF(G$7=G$5,G$6,IF(NORMSDIST(G$9*SQRT($C$11)*NORMSINV($B467)+SQRT(1-G$9^2*$C$11)*NORMSINV(F467))&lt;G$8,G$5+SQRT(NORMSDIST(G$9*SQRT($C$11)*NORMSINV($B467)+SQRT(1-G$9^2*$C$11)*NORMSINV(F467))*(G$7-G$5)*(G$6-G$5)),G$7-SQRT((1-NORMSDIST(G$9*SQRT($C$11)*NORMSINV($B467)+SQRT(1-G$9^2*$C$11)*NORMSINV(F467)))*(G$7-G$5)*(G$7-G$6))))</f>
        <v>0.0466501243293469</v>
      </c>
      <c r="H467" s="2" t="n">
        <v>0.109921245</v>
      </c>
      <c r="I467" s="2" t="n">
        <f aca="false">IF(I$7=I$5,I$6,IF(NORMSDIST(I$9*SQRT($C$11)*NORMSINV($B467)+SQRT(1-I$9^2*$C$11)*NORMSINV(H467))&lt;I$8,I$5+SQRT(NORMSDIST(I$9*SQRT($C$11)*NORMSINV($B467)+SQRT(1-I$9^2*$C$11)*NORMSINV(H467))*(I$7-I$5)*(I$6-I$5)),I$7-SQRT((1-NORMSDIST(I$9*SQRT($C$11)*NORMSINV($B467)+SQRT(1-I$9^2*$C$11)*NORMSINV(H467)))*(I$7-I$5)*(I$7-I$6))))</f>
        <v>186.874460962421</v>
      </c>
      <c r="J467" s="2" t="n">
        <v>0.210972447</v>
      </c>
      <c r="K467" s="2" t="n">
        <f aca="false">IF(K$7=K$5,K$6,IF(NORMSDIST(K$9*SQRT($C$11)*NORMSINV($B467)+SQRT(1-K$9^2*$C$11)*NORMSINV(J467))&lt;K$8,K$5+SQRT(NORMSDIST(K$9*SQRT($C$11)*NORMSINV($B467)+SQRT(1-K$9^2*$C$11)*NORMSINV(J467))*(K$7-K$5)*(K$6-K$5)),K$7-SQRT((1-NORMSDIST(K$9*SQRT($C$11)*NORMSINV($B467)+SQRT(1-K$9^2*$C$11)*NORMSINV(J467)))*(K$7-K$5)*(K$7-K$6))))</f>
        <v>0.11648689637413</v>
      </c>
      <c r="L467" s="2" t="n">
        <v>0.918310188</v>
      </c>
      <c r="M467" s="2" t="n">
        <f aca="false">IF(M$7=M$5,M$6,IF(NORMSDIST(M$9*SQRT($C$11)*NORMSINV($B467)+SQRT(1-M$9^2*$C$11)*NORMSINV(L467))&lt;M$8,M$5+SQRT(NORMSDIST(M$9*SQRT($C$11)*NORMSINV($B467)+SQRT(1-M$9^2*$C$11)*NORMSINV(L467))*(M$7-M$5)*(M$6-M$5)),M$7-SQRT((1-NORMSDIST(M$9*SQRT($C$11)*NORMSINV($B467)+SQRT(1-M$9^2*$C$11)*NORMSINV(L467)))*(M$7-M$5)*(M$7-M$6))))</f>
        <v>1632.26574284254</v>
      </c>
      <c r="N467" s="2" t="n">
        <v>0.374354847</v>
      </c>
      <c r="O467" s="2" t="n">
        <f aca="false">IF(O$7=O$5,O$6,IF(NORMSDIST(O$9*SQRT($C$11)*NORMSINV($B467)+SQRT(1-O$9^2*$C$11)*NORMSINV(N467))&lt;O$8,O$5+SQRT(NORMSDIST(O$9*SQRT($C$11)*NORMSINV($B467)+SQRT(1-O$9^2*$C$11)*NORMSINV(N467))*(O$7-O$5)*(O$6-O$5)),O$7-SQRT((1-NORMSDIST(O$9*SQRT($C$11)*NORMSINV($B467)+SQRT(1-O$9^2*$C$11)*NORMSINV(N467)))*(O$7-O$5)*(O$7-O$6))))</f>
        <v>0.156718234952966</v>
      </c>
      <c r="P467" s="2" t="n">
        <v>0.887402968</v>
      </c>
      <c r="Q467" s="2" t="n">
        <f aca="false">IF(Q$7=Q$5,Q$6,IF(NORMSDIST(Q$9*SQRT($C$11)*NORMSINV($B467)+SQRT(1-Q$9^2*$C$11)*NORMSINV(P467))&lt;Q$8,Q$5+SQRT(NORMSDIST(Q$9*SQRT($C$11)*NORMSINV($B467)+SQRT(1-Q$9^2*$C$11)*NORMSINV(P467))*(Q$7-Q$5)*(Q$6-Q$5)),Q$7-SQRT((1-NORMSDIST(Q$9*SQRT($C$11)*NORMSINV($B467)+SQRT(1-Q$9^2*$C$11)*NORMSINV(P467)))*(Q$7-Q$5)*(Q$7-Q$6))))</f>
        <v>0.101018153345894</v>
      </c>
      <c r="R467" s="2" t="n">
        <v>0.050754889</v>
      </c>
      <c r="S467" s="2" t="n">
        <f aca="false">IF(S$7=S$5,S$6,IF(NORMSDIST(S$9*SQRT($C$11)*NORMSINV($B467)+SQRT(1-S$9^2*$C$11)*NORMSINV(R467))&lt;S$8,S$5+SQRT(NORMSDIST(S$9*SQRT($C$11)*NORMSINV($B467)+SQRT(1-S$9^2*$C$11)*NORMSINV(R467))*(S$7-S$5)*(S$6-S$5)),S$7-SQRT((1-NORMSDIST(S$9*SQRT($C$11)*NORMSINV($B467)+SQRT(1-S$9^2*$C$11)*NORMSINV(R467)))*(S$7-S$5)*(S$7-S$6))))</f>
        <v>0.122490507618278</v>
      </c>
      <c r="T467" s="2" t="n">
        <v>0.089041453</v>
      </c>
      <c r="U467" s="2" t="n">
        <f aca="false">IF(U$7=U$5,U$6,IF(NORMSDIST(U$9*SQRT($C$11)*NORMSINV($B467)+SQRT(1-U$9^2*$C$11)*NORMSINV(T467))&lt;U$8,U$5+SQRT(NORMSDIST(U$9*SQRT($C$11)*NORMSINV($B467)+SQRT(1-U$9^2*$C$11)*NORMSINV(T467))*(U$7-U$5)*(U$6-U$5)),U$7-SQRT((1-NORMSDIST(U$9*SQRT($C$11)*NORMSINV($B467)+SQRT(1-U$9^2*$C$11)*NORMSINV(T467)))*(U$7-U$5)*(U$7-U$6))))</f>
        <v>0.156407622220275</v>
      </c>
      <c r="V467" s="2" t="n">
        <v>0.89684177</v>
      </c>
      <c r="W467" s="2" t="n">
        <f aca="false">IF(W$7=W$5,W$6,IF(NORMSDIST(W$9*SQRT($C$11)*NORMSINV($B467)+SQRT(1-W$9^2*$C$11)*NORMSINV(V467))&lt;W$8,W$5+SQRT(NORMSDIST(W$9*SQRT($C$11)*NORMSINV($B467)+SQRT(1-W$9^2*$C$11)*NORMSINV(V467))*(W$7-W$5)*(W$6-W$5)),W$7-SQRT((1-NORMSDIST(W$9*SQRT($C$11)*NORMSINV($B467)+SQRT(1-W$9^2*$C$11)*NORMSINV(V467)))*(W$7-W$5)*(W$7-W$6))))</f>
        <v>10.3102048566865</v>
      </c>
      <c r="X467" s="2" t="n">
        <v>0.175565271</v>
      </c>
      <c r="Y467" s="2" t="n">
        <f aca="false">IF(Y$7=Y$5,Y$6,IF(NORMSDIST(Y$9*SQRT($C$11)*NORMSINV($B467)+SQRT(1-Y$9^2*$C$11)*NORMSINV(X467))&lt;Y$8,Y$5+SQRT(NORMSDIST(Y$9*SQRT($C$11)*NORMSINV($B467)+SQRT(1-Y$9^2*$C$11)*NORMSINV(X467))*(Y$7-Y$5)*(Y$6-Y$5)),Y$7-SQRT((1-NORMSDIST(Y$9*SQRT($C$11)*NORMSINV($B467)+SQRT(1-Y$9^2*$C$11)*NORMSINV(X467)))*(Y$7-Y$5)*(Y$7-Y$6))))</f>
        <v>0.296281345177181</v>
      </c>
      <c r="Z467" s="2" t="n">
        <v>0.594239484</v>
      </c>
      <c r="AA467" s="2" t="n">
        <f aca="false">IF(AA$7=AA$5,AA$6,IF(NORMSDIST(AA$9*SQRT($C$11)*NORMSINV($B467)+SQRT(1-AA$9^2*$C$11)*NORMSINV(Z467))&lt;AA$8,AA$5+SQRT(NORMSDIST(AA$9*SQRT($C$11)*NORMSINV($B467)+SQRT(1-AA$9^2*$C$11)*NORMSINV(Z467))*(AA$7-AA$5)*(AA$6-AA$5)),AA$7-SQRT((1-NORMSDIST(AA$9*SQRT($C$11)*NORMSINV($B467)+SQRT(1-AA$9^2*$C$11)*NORMSINV(Z467)))*(AA$7-AA$5)*(AA$7-AA$6))))</f>
        <v>0.722091902166194</v>
      </c>
      <c r="AB467" s="2" t="n">
        <v>0.870206917</v>
      </c>
      <c r="AC467" s="2" t="n">
        <f aca="false">IF(AC$7=AC$5,AC$6,IF(NORMSDIST(AC$9*SQRT($C$11)*NORMSINV($B467)+SQRT(1-AC$9^2*$C$11)*NORMSINV(AB467))&lt;AC$8,AC$5+SQRT(NORMSDIST(AC$9*SQRT($C$11)*NORMSINV($B467)+SQRT(1-AC$9^2*$C$11)*NORMSINV(AB467))*(AC$7-AC$5)*(AC$6-AC$5)),AC$7-SQRT((1-NORMSDIST(AC$9*SQRT($C$11)*NORMSINV($B467)+SQRT(1-AC$9^2*$C$11)*NORMSINV(AB467)))*(AC$7-AC$5)*(AC$7-AC$6))))</f>
        <v>9.68246729525051</v>
      </c>
      <c r="AD467" s="2" t="n">
        <f aca="false">Entrées!$C$8*(1+E467)</f>
        <v>7420.22116148444</v>
      </c>
      <c r="AE467" s="2" t="n">
        <f aca="false">I467*Hypothèses!$J$24/12/Hypothèses!$J$19</f>
        <v>92.7078219684764</v>
      </c>
      <c r="AF467" s="2" t="n">
        <f aca="false">Entrées!$C$36*S467*1000</f>
        <v>61.2452538091391</v>
      </c>
      <c r="AG467" s="2" t="n">
        <f aca="false">-AF467/W467</f>
        <v>-5.94025576217526</v>
      </c>
      <c r="AH467" s="2" t="n">
        <f aca="false">AD467+AE467+AG467</f>
        <v>7506.98872769074</v>
      </c>
      <c r="AI467" s="2" t="n">
        <f aca="false">Entrées!$C$16-M467+Hypothèses!$J$22*1000-AF467+Hypothèses!$J$23</f>
        <v>22854.4890033483</v>
      </c>
      <c r="AJ467" s="2" t="n">
        <f aca="false">AI467/AH467</f>
        <v>3.04442830972236</v>
      </c>
      <c r="AK467" s="2" t="n">
        <f aca="false">AI467/(AH467+I467*(12-Hypothèses!$J$24)/12/Hypothèses!$J$19)</f>
        <v>3.01780793437578</v>
      </c>
      <c r="AL467" s="2" t="n">
        <f aca="false">(AD467+AG467+I467/Hypothèses!$J$19)*(1+G467)</f>
        <v>7926.49972331196</v>
      </c>
      <c r="AM467" s="2" t="n">
        <f aca="false">Entrées!$C$54*K467/Hypothèses!$J$19</f>
        <v>11.8879768718517</v>
      </c>
      <c r="AN467" s="2" t="n">
        <f aca="false">Y467*1000/AC467</f>
        <v>30.5997775301048</v>
      </c>
      <c r="AO467" s="2" t="n">
        <f aca="false">(Entrées!$C$36*(1-S467)+MAX(0,Entrées!$C$30-Entrées!$C$35-Entrées!$C$36)*U467)*1000</f>
        <v>657.725417299246</v>
      </c>
      <c r="AP467" s="2" t="n">
        <f aca="false">-AO467/W467</f>
        <v>-63.7936322742116</v>
      </c>
      <c r="AQ467" s="2" t="n">
        <f aca="false">AL467+AM467+AN467+AP467</f>
        <v>7905.1938454397</v>
      </c>
      <c r="AR467" s="2" t="n">
        <f aca="false">O467*AQ467-Hypothèses!$J$25/Hypothèses!$J$19</f>
        <v>1219.75286415674</v>
      </c>
      <c r="AS467" s="2" t="n">
        <f aca="false">Entrées!$C$79*(1+Q467)+Hypothèses!$J$20</f>
        <v>1505.01895052714</v>
      </c>
      <c r="AT467" s="2" t="n">
        <f aca="false">AI467-AR467+AS467+Y467*1000-AO467+Hypothèses!$J$23</f>
        <v>22778.3110175967</v>
      </c>
      <c r="AU467" s="2" t="n">
        <f aca="false">AT467/AQ467</f>
        <v>2.8814361118718</v>
      </c>
      <c r="AV467" s="2" t="n">
        <f aca="false">Hypothèses!$J$26*AQ467-AT467</f>
        <v>937.270518722449</v>
      </c>
      <c r="AW467" s="2" t="n">
        <f aca="false">IF(AC467&gt;Hypothèses!$J$26,MAX(0,AV467)/(1-Hypothèses!$J$26/AC467),0)</f>
        <v>1358.04497700761</v>
      </c>
      <c r="AX467" s="2" t="n">
        <f aca="false">AQ467-Entrées!$C$17*1000</f>
        <v>-94.8061545602996</v>
      </c>
      <c r="AY467" s="2" t="n">
        <f aca="false">AI467+(Entrées!$C$244-Entrées!$C$13)</f>
        <v>28601.4890033483</v>
      </c>
      <c r="AZ467" s="2" t="n">
        <f aca="false">AA467*AH467</f>
        <v>5420.73576991839</v>
      </c>
      <c r="BA467" s="2" t="n">
        <f aca="false">AZ467/AY467</f>
        <v>0.189526348410874</v>
      </c>
      <c r="BB467" s="2" t="n">
        <f aca="false">AZ467/(Entrées!$C$151/100)-AY467</f>
        <v>1513.70971842049</v>
      </c>
      <c r="BC467" s="2" t="n">
        <f aca="false">AT467+(Entrées!$C$244-Entrées!$C$13)</f>
        <v>28525.3110175967</v>
      </c>
      <c r="BD467" s="2" t="n">
        <f aca="false">AA467*AQ467</f>
        <v>5708.27646084604</v>
      </c>
      <c r="BE467" s="2" t="n">
        <f aca="false">BD467/BC467</f>
        <v>0.200112680886274</v>
      </c>
      <c r="BF467" s="2" t="n">
        <f aca="false">BD467/(Entrées!$C$151/100)-BC467</f>
        <v>3187.33598710359</v>
      </c>
      <c r="BG467" s="2" t="n">
        <f aca="false">MIN(AV467,BF467)</f>
        <v>937.270518722449</v>
      </c>
      <c r="BH467" s="2" t="n">
        <f aca="false">IF(AC467&gt;Hypothèses!$J$26,MAX(0,BG467)/(1-Hypothèses!$J$26/AC467),0)</f>
        <v>1358.04497700761</v>
      </c>
    </row>
    <row r="468" customFormat="false" ht="15" hidden="false" customHeight="false" outlineLevel="0" collapsed="false">
      <c r="A468" s="2" t="n">
        <v>453</v>
      </c>
      <c r="B468" s="2" t="n">
        <v>0.113527388</v>
      </c>
      <c r="C468" s="2"/>
      <c r="D468" s="2" t="n">
        <v>0.532276414</v>
      </c>
      <c r="E468" s="2" t="n">
        <f aca="false">IF(E$7=E$5,E$6,IF(NORMSDIST(E$9*SQRT($C$11)*NORMSINV($B468)+SQRT(1-E$9^2*$C$11)*NORMSINV(D468))&lt;E$8,E$5+SQRT(NORMSDIST(E$9*SQRT($C$11)*NORMSINV($B468)+SQRT(1-E$9^2*$C$11)*NORMSINV(D468))*(E$7-E$5)*(E$6-E$5)),E$7-SQRT((1-NORMSDIST(E$9*SQRT($C$11)*NORMSINV($B468)+SQRT(1-E$9^2*$C$11)*NORMSINV(D468)))*(E$7-E$5)*(E$7-E$6))))</f>
        <v>0.0534754238656134</v>
      </c>
      <c r="F468" s="2" t="n">
        <v>0.718903285</v>
      </c>
      <c r="G468" s="2" t="n">
        <f aca="false">IF(G$7=G$5,G$6,IF(NORMSDIST(G$9*SQRT($C$11)*NORMSINV($B468)+SQRT(1-G$9^2*$C$11)*NORMSINV(F468))&lt;G$8,G$5+SQRT(NORMSDIST(G$9*SQRT($C$11)*NORMSINV($B468)+SQRT(1-G$9^2*$C$11)*NORMSINV(F468))*(G$7-G$5)*(G$6-G$5)),G$7-SQRT((1-NORMSDIST(G$9*SQRT($C$11)*NORMSINV($B468)+SQRT(1-G$9^2*$C$11)*NORMSINV(F468)))*(G$7-G$5)*(G$7-G$6))))</f>
        <v>0.0530139601575645</v>
      </c>
      <c r="H468" s="2" t="n">
        <v>0.762689184</v>
      </c>
      <c r="I468" s="2" t="n">
        <f aca="false">IF(I$7=I$5,I$6,IF(NORMSDIST(I$9*SQRT($C$11)*NORMSINV($B468)+SQRT(1-I$9^2*$C$11)*NORMSINV(H468))&lt;I$8,I$5+SQRT(NORMSDIST(I$9*SQRT($C$11)*NORMSINV($B468)+SQRT(1-I$9^2*$C$11)*NORMSINV(H468))*(I$7-I$5)*(I$6-I$5)),I$7-SQRT((1-NORMSDIST(I$9*SQRT($C$11)*NORMSINV($B468)+SQRT(1-I$9^2*$C$11)*NORMSINV(H468)))*(I$7-I$5)*(I$7-I$6))))</f>
        <v>198.259601101615</v>
      </c>
      <c r="J468" s="2" t="n">
        <v>0.839912522</v>
      </c>
      <c r="K468" s="2" t="n">
        <f aca="false">IF(K$7=K$5,K$6,IF(NORMSDIST(K$9*SQRT($C$11)*NORMSINV($B468)+SQRT(1-K$9^2*$C$11)*NORMSINV(J468))&lt;K$8,K$5+SQRT(NORMSDIST(K$9*SQRT($C$11)*NORMSINV($B468)+SQRT(1-K$9^2*$C$11)*NORMSINV(J468))*(K$7-K$5)*(K$6-K$5)),K$7-SQRT((1-NORMSDIST(K$9*SQRT($C$11)*NORMSINV($B468)+SQRT(1-K$9^2*$C$11)*NORMSINV(J468)))*(K$7-K$5)*(K$7-K$6))))</f>
        <v>0.250602266326624</v>
      </c>
      <c r="L468" s="2" t="n">
        <v>0.198643122</v>
      </c>
      <c r="M468" s="2" t="n">
        <f aca="false">IF(M$7=M$5,M$6,IF(NORMSDIST(M$9*SQRT($C$11)*NORMSINV($B468)+SQRT(1-M$9^2*$C$11)*NORMSINV(L468))&lt;M$8,M$5+SQRT(NORMSDIST(M$9*SQRT($C$11)*NORMSINV($B468)+SQRT(1-M$9^2*$C$11)*NORMSINV(L468))*(M$7-M$5)*(M$6-M$5)),M$7-SQRT((1-NORMSDIST(M$9*SQRT($C$11)*NORMSINV($B468)+SQRT(1-M$9^2*$C$11)*NORMSINV(L468)))*(M$7-M$5)*(M$7-M$6))))</f>
        <v>1414.53459562518</v>
      </c>
      <c r="N468" s="2" t="n">
        <v>0.973282816</v>
      </c>
      <c r="O468" s="2" t="n">
        <f aca="false">IF(O$7=O$5,O$6,IF(NORMSDIST(O$9*SQRT($C$11)*NORMSINV($B468)+SQRT(1-O$9^2*$C$11)*NORMSINV(N468))&lt;O$8,O$5+SQRT(NORMSDIST(O$9*SQRT($C$11)*NORMSINV($B468)+SQRT(1-O$9^2*$C$11)*NORMSINV(N468))*(O$7-O$5)*(O$6-O$5)),O$7-SQRT((1-NORMSDIST(O$9*SQRT($C$11)*NORMSINV($B468)+SQRT(1-O$9^2*$C$11)*NORMSINV(N468)))*(O$7-O$5)*(O$7-O$6))))</f>
        <v>0.174277617080202</v>
      </c>
      <c r="P468" s="2" t="n">
        <v>0.913939611</v>
      </c>
      <c r="Q468" s="2" t="n">
        <f aca="false">IF(Q$7=Q$5,Q$6,IF(NORMSDIST(Q$9*SQRT($C$11)*NORMSINV($B468)+SQRT(1-Q$9^2*$C$11)*NORMSINV(P468))&lt;Q$8,Q$5+SQRT(NORMSDIST(Q$9*SQRT($C$11)*NORMSINV($B468)+SQRT(1-Q$9^2*$C$11)*NORMSINV(P468))*(Q$7-Q$5)*(Q$6-Q$5)),Q$7-SQRT((1-NORMSDIST(Q$9*SQRT($C$11)*NORMSINV($B468)+SQRT(1-Q$9^2*$C$11)*NORMSINV(P468)))*(Q$7-Q$5)*(Q$7-Q$6))))</f>
        <v>0.103405023507097</v>
      </c>
      <c r="R468" s="2" t="n">
        <v>0.060422991</v>
      </c>
      <c r="S468" s="2" t="n">
        <f aca="false">IF(S$7=S$5,S$6,IF(NORMSDIST(S$9*SQRT($C$11)*NORMSINV($B468)+SQRT(1-S$9^2*$C$11)*NORMSINV(R468))&lt;S$8,S$5+SQRT(NORMSDIST(S$9*SQRT($C$11)*NORMSINV($B468)+SQRT(1-S$9^2*$C$11)*NORMSINV(R468))*(S$7-S$5)*(S$6-S$5)),S$7-SQRT((1-NORMSDIST(S$9*SQRT($C$11)*NORMSINV($B468)+SQRT(1-S$9^2*$C$11)*NORMSINV(R468)))*(S$7-S$5)*(S$7-S$6))))</f>
        <v>0.111071941657772</v>
      </c>
      <c r="T468" s="2" t="n">
        <v>0.111057179</v>
      </c>
      <c r="U468" s="2" t="n">
        <f aca="false">IF(U$7=U$5,U$6,IF(NORMSDIST(U$9*SQRT($C$11)*NORMSINV($B468)+SQRT(1-U$9^2*$C$11)*NORMSINV(T468))&lt;U$8,U$5+SQRT(NORMSDIST(U$9*SQRT($C$11)*NORMSINV($B468)+SQRT(1-U$9^2*$C$11)*NORMSINV(T468))*(U$7-U$5)*(U$6-U$5)),U$7-SQRT((1-NORMSDIST(U$9*SQRT($C$11)*NORMSINV($B468)+SQRT(1-U$9^2*$C$11)*NORMSINV(T468)))*(U$7-U$5)*(U$7-U$6))))</f>
        <v>0.147748047375928</v>
      </c>
      <c r="V468" s="2" t="n">
        <v>0.175438476</v>
      </c>
      <c r="W468" s="2" t="n">
        <f aca="false">IF(W$7=W$5,W$6,IF(NORMSDIST(W$9*SQRT($C$11)*NORMSINV($B468)+SQRT(1-W$9^2*$C$11)*NORMSINV(V468))&lt;W$8,W$5+SQRT(NORMSDIST(W$9*SQRT($C$11)*NORMSINV($B468)+SQRT(1-W$9^2*$C$11)*NORMSINV(V468))*(W$7-W$5)*(W$6-W$5)),W$7-SQRT((1-NORMSDIST(W$9*SQRT($C$11)*NORMSINV($B468)+SQRT(1-W$9^2*$C$11)*NORMSINV(V468)))*(W$7-W$5)*(W$7-W$6))))</f>
        <v>8.74059058023235</v>
      </c>
      <c r="X468" s="2" t="n">
        <v>0.536341374</v>
      </c>
      <c r="Y468" s="2" t="n">
        <f aca="false">IF(Y$7=Y$5,Y$6,IF(NORMSDIST(Y$9*SQRT($C$11)*NORMSINV($B468)+SQRT(1-Y$9^2*$C$11)*NORMSINV(X468))&lt;Y$8,Y$5+SQRT(NORMSDIST(Y$9*SQRT($C$11)*NORMSINV($B468)+SQRT(1-Y$9^2*$C$11)*NORMSINV(X468))*(Y$7-Y$5)*(Y$6-Y$5)),Y$7-SQRT((1-NORMSDIST(Y$9*SQRT($C$11)*NORMSINV($B468)+SQRT(1-Y$9^2*$C$11)*NORMSINV(X468)))*(Y$7-Y$5)*(Y$7-Y$6))))</f>
        <v>0.518513434247642</v>
      </c>
      <c r="Z468" s="2" t="n">
        <v>0.075050332</v>
      </c>
      <c r="AA468" s="2" t="n">
        <f aca="false">IF(AA$7=AA$5,AA$6,IF(NORMSDIST(AA$9*SQRT($C$11)*NORMSINV($B468)+SQRT(1-AA$9^2*$C$11)*NORMSINV(Z468))&lt;AA$8,AA$5+SQRT(NORMSDIST(AA$9*SQRT($C$11)*NORMSINV($B468)+SQRT(1-AA$9^2*$C$11)*NORMSINV(Z468))*(AA$7-AA$5)*(AA$6-AA$5)),AA$7-SQRT((1-NORMSDIST(AA$9*SQRT($C$11)*NORMSINV($B468)+SQRT(1-AA$9^2*$C$11)*NORMSINV(Z468)))*(AA$7-AA$5)*(AA$7-AA$6))))</f>
        <v>0.703355243880566</v>
      </c>
      <c r="AB468" s="2" t="n">
        <v>0.940283572</v>
      </c>
      <c r="AC468" s="2" t="n">
        <f aca="false">IF(AC$7=AC$5,AC$6,IF(NORMSDIST(AC$9*SQRT($C$11)*NORMSINV($B468)+SQRT(1-AC$9^2*$C$11)*NORMSINV(AB468))&lt;AC$8,AC$5+SQRT(NORMSDIST(AC$9*SQRT($C$11)*NORMSINV($B468)+SQRT(1-AC$9^2*$C$11)*NORMSINV(AB468))*(AC$7-AC$5)*(AC$6-AC$5)),AC$7-SQRT((1-NORMSDIST(AC$9*SQRT($C$11)*NORMSINV($B468)+SQRT(1-AC$9^2*$C$11)*NORMSINV(AB468)))*(AC$7-AC$5)*(AC$7-AC$6))))</f>
        <v>9.80749767015238</v>
      </c>
      <c r="AD468" s="2" t="n">
        <f aca="false">Entrées!$C$8*(1+E468)</f>
        <v>7427.00173825258</v>
      </c>
      <c r="AE468" s="2" t="n">
        <f aca="false">I468*Hypothèses!$J$24/12/Hypothèses!$J$19</f>
        <v>98.3559535519722</v>
      </c>
      <c r="AF468" s="2" t="n">
        <f aca="false">Entrées!$C$36*S468*1000</f>
        <v>55.5359708288861</v>
      </c>
      <c r="AG468" s="2" t="n">
        <f aca="false">-AF468/W468</f>
        <v>-6.35380073223951</v>
      </c>
      <c r="AH468" s="2" t="n">
        <f aca="false">AD468+AE468+AG468</f>
        <v>7519.00389107231</v>
      </c>
      <c r="AI468" s="2" t="n">
        <f aca="false">Entrées!$C$16-M468+Hypothèses!$J$22*1000-AF468+Hypothèses!$J$23</f>
        <v>23077.9294335459</v>
      </c>
      <c r="AJ468" s="2" t="n">
        <f aca="false">AI468/AH468</f>
        <v>3.0692801557062</v>
      </c>
      <c r="AK468" s="2" t="n">
        <f aca="false">AI468/(AH468+I468*(12-Hypothèses!$J$24)/12/Hypothèses!$J$19)</f>
        <v>3.04086763117668</v>
      </c>
      <c r="AL468" s="2" t="n">
        <f aca="false">(AD468+AG468+I468/Hypothèses!$J$19)*(1+G468)</f>
        <v>7991.59477246021</v>
      </c>
      <c r="AM468" s="2" t="n">
        <f aca="false">Entrées!$C$54*K468/Hypothèses!$J$19</f>
        <v>25.5750134895528</v>
      </c>
      <c r="AN468" s="2" t="n">
        <f aca="false">Y468*1000/AC468</f>
        <v>52.8690856410457</v>
      </c>
      <c r="AO468" s="2" t="n">
        <f aca="false">(Entrées!$C$36*(1-S468)+MAX(0,Entrées!$C$30-Entrées!$C$35-Entrées!$C$36)*U468)*1000</f>
        <v>651.311295497413</v>
      </c>
      <c r="AP468" s="2" t="n">
        <f aca="false">-AO468/W468</f>
        <v>-74.5157080083825</v>
      </c>
      <c r="AQ468" s="2" t="n">
        <f aca="false">AL468+AM468+AN468+AP468</f>
        <v>7995.52316358243</v>
      </c>
      <c r="AR468" s="2" t="n">
        <f aca="false">O468*AQ468-Hypothèses!$J$25/Hypothèses!$J$19</f>
        <v>1374.30556199708</v>
      </c>
      <c r="AS468" s="2" t="n">
        <f aca="false">Entrées!$C$79*(1+Q468)+Hypothèses!$J$20</f>
        <v>1507.6421208343</v>
      </c>
      <c r="AT468" s="2" t="n">
        <f aca="false">AI468-AR468+AS468+Y468*1000-AO468+Hypothèses!$J$23</f>
        <v>23078.4681311334</v>
      </c>
      <c r="AU468" s="2" t="n">
        <f aca="false">AT468/AQ468</f>
        <v>2.88642377227421</v>
      </c>
      <c r="AV468" s="2" t="n">
        <f aca="false">Hypothèses!$J$26*AQ468-AT468</f>
        <v>908.101359613898</v>
      </c>
      <c r="AW468" s="2" t="n">
        <f aca="false">IF(AC468&gt;Hypothèses!$J$26,MAX(0,AV468)/(1-Hypothèses!$J$26/AC468),0)</f>
        <v>1308.29306159368</v>
      </c>
      <c r="AX468" s="2" t="n">
        <f aca="false">AQ468-Entrées!$C$17*1000</f>
        <v>-4.47683641757158</v>
      </c>
      <c r="AY468" s="2" t="n">
        <f aca="false">AI468+(Entrées!$C$244-Entrées!$C$13)</f>
        <v>28824.9294335459</v>
      </c>
      <c r="AZ468" s="2" t="n">
        <f aca="false">AA468*AH468</f>
        <v>5288.53081554409</v>
      </c>
      <c r="BA468" s="2" t="n">
        <f aca="false">AZ468/AY468</f>
        <v>0.183470728965233</v>
      </c>
      <c r="BB468" s="2" t="n">
        <f aca="false">AZ468/(Entrées!$C$151/100)-AY468</f>
        <v>555.797319476758</v>
      </c>
      <c r="BC468" s="2" t="n">
        <f aca="false">AT468+(Entrées!$C$244-Entrées!$C$13)</f>
        <v>28825.4681311334</v>
      </c>
      <c r="BD468" s="2" t="n">
        <f aca="false">AA468*AQ468</f>
        <v>5623.69314467423</v>
      </c>
      <c r="BE468" s="2" t="n">
        <f aca="false">BD468/BC468</f>
        <v>0.19509459895294</v>
      </c>
      <c r="BF468" s="2" t="n">
        <f aca="false">BD468/(Entrées!$C$151/100)-BC468</f>
        <v>2417.27156150123</v>
      </c>
      <c r="BG468" s="2" t="n">
        <f aca="false">MIN(AV468,BF468)</f>
        <v>908.101359613898</v>
      </c>
      <c r="BH468" s="2" t="n">
        <f aca="false">IF(AC468&gt;Hypothèses!$J$26,MAX(0,BG468)/(1-Hypothèses!$J$26/AC468),0)</f>
        <v>1308.29306159368</v>
      </c>
    </row>
    <row r="469" customFormat="false" ht="15" hidden="false" customHeight="false" outlineLevel="0" collapsed="false">
      <c r="A469" s="2" t="n">
        <v>454</v>
      </c>
      <c r="B469" s="2" t="n">
        <v>0.213779988</v>
      </c>
      <c r="C469" s="2"/>
      <c r="D469" s="2" t="n">
        <v>0.499975721</v>
      </c>
      <c r="E469" s="2" t="n">
        <f aca="false">IF(E$7=E$5,E$6,IF(NORMSDIST(E$9*SQRT($C$11)*NORMSINV($B469)+SQRT(1-E$9^2*$C$11)*NORMSINV(D469))&lt;E$8,E$5+SQRT(NORMSDIST(E$9*SQRT($C$11)*NORMSINV($B469)+SQRT(1-E$9^2*$C$11)*NORMSINV(D469))*(E$7-E$5)*(E$6-E$5)),E$7-SQRT((1-NORMSDIST(E$9*SQRT($C$11)*NORMSINV($B469)+SQRT(1-E$9^2*$C$11)*NORMSINV(D469)))*(E$7-E$5)*(E$7-E$6))))</f>
        <v>0.0539236256048049</v>
      </c>
      <c r="F469" s="2" t="n">
        <v>0.291707956</v>
      </c>
      <c r="G469" s="2" t="n">
        <f aca="false">IF(G$7=G$5,G$6,IF(NORMSDIST(G$9*SQRT($C$11)*NORMSINV($B469)+SQRT(1-G$9^2*$C$11)*NORMSINV(F469))&lt;G$8,G$5+SQRT(NORMSDIST(G$9*SQRT($C$11)*NORMSINV($B469)+SQRT(1-G$9^2*$C$11)*NORMSINV(F469))*(G$7-G$5)*(G$6-G$5)),G$7-SQRT((1-NORMSDIST(G$9*SQRT($C$11)*NORMSINV($B469)+SQRT(1-G$9^2*$C$11)*NORMSINV(F469)))*(G$7-G$5)*(G$7-G$6))))</f>
        <v>0.0489266120289619</v>
      </c>
      <c r="H469" s="2" t="n">
        <v>0.415194855</v>
      </c>
      <c r="I469" s="2" t="n">
        <f aca="false">IF(I$7=I$5,I$6,IF(NORMSDIST(I$9*SQRT($C$11)*NORMSINV($B469)+SQRT(1-I$9^2*$C$11)*NORMSINV(H469))&lt;I$8,I$5+SQRT(NORMSDIST(I$9*SQRT($C$11)*NORMSINV($B469)+SQRT(1-I$9^2*$C$11)*NORMSINV(H469))*(I$7-I$5)*(I$6-I$5)),I$7-SQRT((1-NORMSDIST(I$9*SQRT($C$11)*NORMSINV($B469)+SQRT(1-I$9^2*$C$11)*NORMSINV(H469)))*(I$7-I$5)*(I$7-I$6))))</f>
        <v>194.20322653319</v>
      </c>
      <c r="J469" s="2" t="n">
        <v>0.303154335</v>
      </c>
      <c r="K469" s="2" t="n">
        <f aca="false">IF(K$7=K$5,K$6,IF(NORMSDIST(K$9*SQRT($C$11)*NORMSINV($B469)+SQRT(1-K$9^2*$C$11)*NORMSINV(J469))&lt;K$8,K$5+SQRT(NORMSDIST(K$9*SQRT($C$11)*NORMSINV($B469)+SQRT(1-K$9^2*$C$11)*NORMSINV(J469))*(K$7-K$5)*(K$6-K$5)),K$7-SQRT((1-NORMSDIST(K$9*SQRT($C$11)*NORMSINV($B469)+SQRT(1-K$9^2*$C$11)*NORMSINV(J469)))*(K$7-K$5)*(K$7-K$6))))</f>
        <v>0.151576830312279</v>
      </c>
      <c r="L469" s="2" t="n">
        <v>0.417822566</v>
      </c>
      <c r="M469" s="2" t="n">
        <f aca="false">IF(M$7=M$5,M$6,IF(NORMSDIST(M$9*SQRT($C$11)*NORMSINV($B469)+SQRT(1-M$9^2*$C$11)*NORMSINV(L469))&lt;M$8,M$5+SQRT(NORMSDIST(M$9*SQRT($C$11)*NORMSINV($B469)+SQRT(1-M$9^2*$C$11)*NORMSINV(L469))*(M$7-M$5)*(M$6-M$5)),M$7-SQRT((1-NORMSDIST(M$9*SQRT($C$11)*NORMSINV($B469)+SQRT(1-M$9^2*$C$11)*NORMSINV(L469)))*(M$7-M$5)*(M$7-M$6))))</f>
        <v>1504.23448380788</v>
      </c>
      <c r="N469" s="2" t="n">
        <v>0.2685292</v>
      </c>
      <c r="O469" s="2" t="n">
        <f aca="false">IF(O$7=O$5,O$6,IF(NORMSDIST(O$9*SQRT($C$11)*NORMSINV($B469)+SQRT(1-O$9^2*$C$11)*NORMSINV(N469))&lt;O$8,O$5+SQRT(NORMSDIST(O$9*SQRT($C$11)*NORMSINV($B469)+SQRT(1-O$9^2*$C$11)*NORMSINV(N469))*(O$7-O$5)*(O$6-O$5)),O$7-SQRT((1-NORMSDIST(O$9*SQRT($C$11)*NORMSINV($B469)+SQRT(1-O$9^2*$C$11)*NORMSINV(N469)))*(O$7-O$5)*(O$7-O$6))))</f>
        <v>0.155319513795577</v>
      </c>
      <c r="P469" s="2" t="n">
        <v>0.136316981</v>
      </c>
      <c r="Q469" s="2" t="n">
        <f aca="false">IF(Q$7=Q$5,Q$6,IF(NORMSDIST(Q$9*SQRT($C$11)*NORMSINV($B469)+SQRT(1-Q$9^2*$C$11)*NORMSINV(P469))&lt;Q$8,Q$5+SQRT(NORMSDIST(Q$9*SQRT($C$11)*NORMSINV($B469)+SQRT(1-Q$9^2*$C$11)*NORMSINV(P469))*(Q$7-Q$5)*(Q$6-Q$5)),Q$7-SQRT((1-NORMSDIST(Q$9*SQRT($C$11)*NORMSINV($B469)+SQRT(1-Q$9^2*$C$11)*NORMSINV(P469)))*(Q$7-Q$5)*(Q$7-Q$6))))</f>
        <v>0.0608857448801808</v>
      </c>
      <c r="R469" s="2" t="n">
        <v>0.899070712</v>
      </c>
      <c r="S469" s="2" t="n">
        <f aca="false">IF(S$7=S$5,S$6,IF(NORMSDIST(S$9*SQRT($C$11)*NORMSINV($B469)+SQRT(1-S$9^2*$C$11)*NORMSINV(R469))&lt;S$8,S$5+SQRT(NORMSDIST(S$9*SQRT($C$11)*NORMSINV($B469)+SQRT(1-S$9^2*$C$11)*NORMSINV(R469))*(S$7-S$5)*(S$6-S$5)),S$7-SQRT((1-NORMSDIST(S$9*SQRT($C$11)*NORMSINV($B469)+SQRT(1-S$9^2*$C$11)*NORMSINV(R469)))*(S$7-S$5)*(S$7-S$6))))</f>
        <v>0.6042781855243</v>
      </c>
      <c r="T469" s="2" t="n">
        <v>0.782153234</v>
      </c>
      <c r="U469" s="2" t="n">
        <f aca="false">IF(U$7=U$5,U$6,IF(NORMSDIST(U$9*SQRT($C$11)*NORMSINV($B469)+SQRT(1-U$9^2*$C$11)*NORMSINV(T469))&lt;U$8,U$5+SQRT(NORMSDIST(U$9*SQRT($C$11)*NORMSINV($B469)+SQRT(1-U$9^2*$C$11)*NORMSINV(T469))*(U$7-U$5)*(U$6-U$5)),U$7-SQRT((1-NORMSDIST(U$9*SQRT($C$11)*NORMSINV($B469)+SQRT(1-U$9^2*$C$11)*NORMSINV(T469)))*(U$7-U$5)*(U$7-U$6))))</f>
        <v>0.520743803812793</v>
      </c>
      <c r="V469" s="2" t="n">
        <v>0.057897534</v>
      </c>
      <c r="W469" s="2" t="n">
        <f aca="false">IF(W$7=W$5,W$6,IF(NORMSDIST(W$9*SQRT($C$11)*NORMSINV($B469)+SQRT(1-W$9^2*$C$11)*NORMSINV(V469))&lt;W$8,W$5+SQRT(NORMSDIST(W$9*SQRT($C$11)*NORMSINV($B469)+SQRT(1-W$9^2*$C$11)*NORMSINV(V469))*(W$7-W$5)*(W$6-W$5)),W$7-SQRT((1-NORMSDIST(W$9*SQRT($C$11)*NORMSINV($B469)+SQRT(1-W$9^2*$C$11)*NORMSINV(V469)))*(W$7-W$5)*(W$7-W$6))))</f>
        <v>8.5846018796303</v>
      </c>
      <c r="X469" s="2" t="n">
        <v>0.526485901</v>
      </c>
      <c r="Y469" s="2" t="n">
        <f aca="false">IF(Y$7=Y$5,Y$6,IF(NORMSDIST(Y$9*SQRT($C$11)*NORMSINV($B469)+SQRT(1-Y$9^2*$C$11)*NORMSINV(X469))&lt;Y$8,Y$5+SQRT(NORMSDIST(Y$9*SQRT($C$11)*NORMSINV($B469)+SQRT(1-Y$9^2*$C$11)*NORMSINV(X469))*(Y$7-Y$5)*(Y$6-Y$5)),Y$7-SQRT((1-NORMSDIST(Y$9*SQRT($C$11)*NORMSINV($B469)+SQRT(1-Y$9^2*$C$11)*NORMSINV(X469)))*(Y$7-Y$5)*(Y$7-Y$6))))</f>
        <v>0.513423130944349</v>
      </c>
      <c r="Z469" s="2" t="n">
        <v>0.882734219</v>
      </c>
      <c r="AA469" s="2" t="n">
        <f aca="false">IF(AA$7=AA$5,AA$6,IF(NORMSDIST(AA$9*SQRT($C$11)*NORMSINV($B469)+SQRT(1-AA$9^2*$C$11)*NORMSINV(Z469))&lt;AA$8,AA$5+SQRT(NORMSDIST(AA$9*SQRT($C$11)*NORMSINV($B469)+SQRT(1-AA$9^2*$C$11)*NORMSINV(Z469))*(AA$7-AA$5)*(AA$6-AA$5)),AA$7-SQRT((1-NORMSDIST(AA$9*SQRT($C$11)*NORMSINV($B469)+SQRT(1-AA$9^2*$C$11)*NORMSINV(Z469)))*(AA$7-AA$5)*(AA$7-AA$6))))</f>
        <v>0.733038802977394</v>
      </c>
      <c r="AB469" s="2" t="n">
        <v>0.368137081</v>
      </c>
      <c r="AC469" s="2" t="n">
        <f aca="false">IF(AC$7=AC$5,AC$6,IF(NORMSDIST(AC$9*SQRT($C$11)*NORMSINV($B469)+SQRT(1-AC$9^2*$C$11)*NORMSINV(AB469))&lt;AC$8,AC$5+SQRT(NORMSDIST(AC$9*SQRT($C$11)*NORMSINV($B469)+SQRT(1-AC$9^2*$C$11)*NORMSINV(AB469))*(AC$7-AC$5)*(AC$6-AC$5)),AC$7-SQRT((1-NORMSDIST(AC$9*SQRT($C$11)*NORMSINV($B469)+SQRT(1-AC$9^2*$C$11)*NORMSINV(AB469)))*(AC$7-AC$5)*(AC$7-AC$6))))</f>
        <v>8.78755198665401</v>
      </c>
      <c r="AD469" s="2" t="n">
        <f aca="false">Entrées!$C$8*(1+E469)</f>
        <v>7430.16156051387</v>
      </c>
      <c r="AE469" s="2" t="n">
        <f aca="false">I469*Hypothèses!$J$24/12/Hypothèses!$J$19</f>
        <v>96.3435991115084</v>
      </c>
      <c r="AF469" s="2" t="n">
        <f aca="false">Entrées!$C$36*S469*1000</f>
        <v>302.13909276215</v>
      </c>
      <c r="AG469" s="2" t="n">
        <f aca="false">-AF469/W469</f>
        <v>-35.1954693995852</v>
      </c>
      <c r="AH469" s="2" t="n">
        <f aca="false">AD469+AE469+AG469</f>
        <v>7491.3096902258</v>
      </c>
      <c r="AI469" s="2" t="n">
        <f aca="false">Entrées!$C$16-M469+Hypothèses!$J$22*1000-AF469+Hypothèses!$J$23</f>
        <v>22741.62642343</v>
      </c>
      <c r="AJ469" s="2" t="n">
        <f aca="false">AI469/AH469</f>
        <v>3.03573438608497</v>
      </c>
      <c r="AK469" s="2" t="n">
        <f aca="false">AI469/(AH469+I469*(12-Hypothèses!$J$24)/12/Hypothèses!$J$19)</f>
        <v>3.00810129074551</v>
      </c>
      <c r="AL469" s="2" t="n">
        <f aca="false">(AD469+AG469+I469/Hypothèses!$J$19)*(1+G469)</f>
        <v>7930.01792517593</v>
      </c>
      <c r="AM469" s="2" t="n">
        <f aca="false">Entrées!$C$54*K469/Hypothèses!$J$19</f>
        <v>15.4690519633515</v>
      </c>
      <c r="AN469" s="2" t="n">
        <f aca="false">Y469*1000/AC469</f>
        <v>58.4261841891922</v>
      </c>
      <c r="AO469" s="2" t="n">
        <f aca="false">(Entrées!$C$36*(1-S469)+MAX(0,Entrées!$C$30-Entrées!$C$35-Entrées!$C$36)*U469)*1000</f>
        <v>926.902232575759</v>
      </c>
      <c r="AP469" s="2" t="n">
        <f aca="false">-AO469/W469</f>
        <v>-107.972652147694</v>
      </c>
      <c r="AQ469" s="2" t="n">
        <f aca="false">AL469+AM469+AN469+AP469</f>
        <v>7895.94050918078</v>
      </c>
      <c r="AR469" s="2" t="n">
        <f aca="false">O469*AQ469-Hypothèses!$J$25/Hypothèses!$J$19</f>
        <v>1207.25847858313</v>
      </c>
      <c r="AS469" s="2" t="n">
        <f aca="false">Entrées!$C$79*(1+Q469)+Hypothèses!$J$20</f>
        <v>1460.91343362332</v>
      </c>
      <c r="AT469" s="2" t="n">
        <f aca="false">AI469-AR469+AS469+Y469*1000-AO469+Hypothèses!$J$23</f>
        <v>22581.8022768388</v>
      </c>
      <c r="AU469" s="2" t="n">
        <f aca="false">AT469/AQ469</f>
        <v>2.85992558461939</v>
      </c>
      <c r="AV469" s="2" t="n">
        <f aca="false">Hypothèses!$J$26*AQ469-AT469</f>
        <v>1106.01925070359</v>
      </c>
      <c r="AW469" s="2" t="n">
        <f aca="false">IF(AC469&gt;Hypothèses!$J$26,MAX(0,AV469)/(1-Hypothèses!$J$26/AC469),0)</f>
        <v>1679.32861531269</v>
      </c>
      <c r="AX469" s="2" t="n">
        <f aca="false">AQ469-Entrées!$C$17*1000</f>
        <v>-104.059490819221</v>
      </c>
      <c r="AY469" s="2" t="n">
        <f aca="false">AI469+(Entrées!$C$244-Entrées!$C$13)</f>
        <v>28488.62642343</v>
      </c>
      <c r="AZ469" s="2" t="n">
        <f aca="false">AA469*AH469</f>
        <v>5491.42068805607</v>
      </c>
      <c r="BA469" s="2" t="n">
        <f aca="false">AZ469/AY469</f>
        <v>0.192758352278429</v>
      </c>
      <c r="BB469" s="2" t="n">
        <f aca="false">AZ469/(Entrées!$C$151/100)-AY469</f>
        <v>2019.26628799264</v>
      </c>
      <c r="BC469" s="2" t="n">
        <f aca="false">AT469+(Entrées!$C$244-Entrées!$C$13)</f>
        <v>28328.8022768388</v>
      </c>
      <c r="BD469" s="2" t="n">
        <f aca="false">AA469*AQ469</f>
        <v>5788.03077923059</v>
      </c>
      <c r="BE469" s="2" t="n">
        <f aca="false">BD469/BC469</f>
        <v>0.204316113426469</v>
      </c>
      <c r="BF469" s="2" t="n">
        <f aca="false">BD469/(Entrées!$C$151/100)-BC469</f>
        <v>3826.92427444232</v>
      </c>
      <c r="BG469" s="2" t="n">
        <f aca="false">MIN(AV469,BF469)</f>
        <v>1106.01925070359</v>
      </c>
      <c r="BH469" s="2" t="n">
        <f aca="false">IF(AC469&gt;Hypothèses!$J$26,MAX(0,BG469)/(1-Hypothèses!$J$26/AC469),0)</f>
        <v>1679.32861531269</v>
      </c>
    </row>
    <row r="470" customFormat="false" ht="15" hidden="false" customHeight="false" outlineLevel="0" collapsed="false">
      <c r="A470" s="2" t="n">
        <v>455</v>
      </c>
      <c r="B470" s="2" t="n">
        <v>0.515234521</v>
      </c>
      <c r="C470" s="2"/>
      <c r="D470" s="2" t="n">
        <v>0.505500417</v>
      </c>
      <c r="E470" s="2" t="n">
        <f aca="false">IF(E$7=E$5,E$6,IF(NORMSDIST(E$9*SQRT($C$11)*NORMSINV($B470)+SQRT(1-E$9^2*$C$11)*NORMSINV(D470))&lt;E$8,E$5+SQRT(NORMSDIST(E$9*SQRT($C$11)*NORMSINV($B470)+SQRT(1-E$9^2*$C$11)*NORMSINV(D470))*(E$7-E$5)*(E$6-E$5)),E$7-SQRT((1-NORMSDIST(E$9*SQRT($C$11)*NORMSINV($B470)+SQRT(1-E$9^2*$C$11)*NORMSINV(D470)))*(E$7-E$5)*(E$7-E$6))))</f>
        <v>0.0550699666783292</v>
      </c>
      <c r="F470" s="2" t="n">
        <v>0.018197009</v>
      </c>
      <c r="G470" s="2" t="n">
        <f aca="false">IF(G$7=G$5,G$6,IF(NORMSDIST(G$9*SQRT($C$11)*NORMSINV($B470)+SQRT(1-G$9^2*$C$11)*NORMSINV(F470))&lt;G$8,G$5+SQRT(NORMSDIST(G$9*SQRT($C$11)*NORMSINV($B470)+SQRT(1-G$9^2*$C$11)*NORMSINV(F470))*(G$7-G$5)*(G$6-G$5)),G$7-SQRT((1-NORMSDIST(G$9*SQRT($C$11)*NORMSINV($B470)+SQRT(1-G$9^2*$C$11)*NORMSINV(F470)))*(G$7-G$5)*(G$7-G$6))))</f>
        <v>0.0449825326134572</v>
      </c>
      <c r="H470" s="2" t="n">
        <v>0.95490158</v>
      </c>
      <c r="I470" s="2" t="n">
        <f aca="false">IF(I$7=I$5,I$6,IF(NORMSDIST(I$9*SQRT($C$11)*NORMSINV($B470)+SQRT(1-I$9^2*$C$11)*NORMSINV(H470))&lt;I$8,I$5+SQRT(NORMSDIST(I$9*SQRT($C$11)*NORMSINV($B470)+SQRT(1-I$9^2*$C$11)*NORMSINV(H470))*(I$7-I$5)*(I$6-I$5)),I$7-SQRT((1-NORMSDIST(I$9*SQRT($C$11)*NORMSINV($B470)+SQRT(1-I$9^2*$C$11)*NORMSINV(H470)))*(I$7-I$5)*(I$7-I$6))))</f>
        <v>211.482908806375</v>
      </c>
      <c r="J470" s="2" t="n">
        <v>0.799963401</v>
      </c>
      <c r="K470" s="2" t="n">
        <f aca="false">IF(K$7=K$5,K$6,IF(NORMSDIST(K$9*SQRT($C$11)*NORMSINV($B470)+SQRT(1-K$9^2*$C$11)*NORMSINV(J470))&lt;K$8,K$5+SQRT(NORMSDIST(K$9*SQRT($C$11)*NORMSINV($B470)+SQRT(1-K$9^2*$C$11)*NORMSINV(J470))*(K$7-K$5)*(K$6-K$5)),K$7-SQRT((1-NORMSDIST(K$9*SQRT($C$11)*NORMSINV($B470)+SQRT(1-K$9^2*$C$11)*NORMSINV(J470)))*(K$7-K$5)*(K$7-K$6))))</f>
        <v>0.323389986911026</v>
      </c>
      <c r="L470" s="2" t="n">
        <v>0.090735356</v>
      </c>
      <c r="M470" s="2" t="n">
        <f aca="false">IF(M$7=M$5,M$6,IF(NORMSDIST(M$9*SQRT($C$11)*NORMSINV($B470)+SQRT(1-M$9^2*$C$11)*NORMSINV(L470))&lt;M$8,M$5+SQRT(NORMSDIST(M$9*SQRT($C$11)*NORMSINV($B470)+SQRT(1-M$9^2*$C$11)*NORMSINV(L470))*(M$7-M$5)*(M$6-M$5)),M$7-SQRT((1-NORMSDIST(M$9*SQRT($C$11)*NORMSINV($B470)+SQRT(1-M$9^2*$C$11)*NORMSINV(L470)))*(M$7-M$5)*(M$7-M$6))))</f>
        <v>1460.81849376054</v>
      </c>
      <c r="N470" s="2" t="n">
        <v>0.007847828</v>
      </c>
      <c r="O470" s="2" t="n">
        <f aca="false">IF(O$7=O$5,O$6,IF(NORMSDIST(O$9*SQRT($C$11)*NORMSINV($B470)+SQRT(1-O$9^2*$C$11)*NORMSINV(N470))&lt;O$8,O$5+SQRT(NORMSDIST(O$9*SQRT($C$11)*NORMSINV($B470)+SQRT(1-O$9^2*$C$11)*NORMSINV(N470))*(O$7-O$5)*(O$6-O$5)),O$7-SQRT((1-NORMSDIST(O$9*SQRT($C$11)*NORMSINV($B470)+SQRT(1-O$9^2*$C$11)*NORMSINV(N470)))*(O$7-O$5)*(O$7-O$6))))</f>
        <v>0.146813886713375</v>
      </c>
      <c r="P470" s="2" t="n">
        <v>0.507791856</v>
      </c>
      <c r="Q470" s="2" t="n">
        <f aca="false">IF(Q$7=Q$5,Q$6,IF(NORMSDIST(Q$9*SQRT($C$11)*NORMSINV($B470)+SQRT(1-Q$9^2*$C$11)*NORMSINV(P470))&lt;Q$8,Q$5+SQRT(NORMSDIST(Q$9*SQRT($C$11)*NORMSINV($B470)+SQRT(1-Q$9^2*$C$11)*NORMSINV(P470))*(Q$7-Q$5)*(Q$6-Q$5)),Q$7-SQRT((1-NORMSDIST(Q$9*SQRT($C$11)*NORMSINV($B470)+SQRT(1-Q$9^2*$C$11)*NORMSINV(P470)))*(Q$7-Q$5)*(Q$7-Q$6))))</f>
        <v>0.0803128980549096</v>
      </c>
      <c r="R470" s="2" t="n">
        <v>0.531354089</v>
      </c>
      <c r="S470" s="2" t="n">
        <f aca="false">IF(S$7=S$5,S$6,IF(NORMSDIST(S$9*SQRT($C$11)*NORMSINV($B470)+SQRT(1-S$9^2*$C$11)*NORMSINV(R470))&lt;S$8,S$5+SQRT(NORMSDIST(S$9*SQRT($C$11)*NORMSINV($B470)+SQRT(1-S$9^2*$C$11)*NORMSINV(R470))*(S$7-S$5)*(S$6-S$5)),S$7-SQRT((1-NORMSDIST(S$9*SQRT($C$11)*NORMSINV($B470)+SQRT(1-S$9^2*$C$11)*NORMSINV(R470)))*(S$7-S$5)*(S$7-S$6))))</f>
        <v>0.517251824972698</v>
      </c>
      <c r="T470" s="2" t="n">
        <v>0.224879877</v>
      </c>
      <c r="U470" s="2" t="n">
        <f aca="false">IF(U$7=U$5,U$6,IF(NORMSDIST(U$9*SQRT($C$11)*NORMSINV($B470)+SQRT(1-U$9^2*$C$11)*NORMSINV(T470))&lt;U$8,U$5+SQRT(NORMSDIST(U$9*SQRT($C$11)*NORMSINV($B470)+SQRT(1-U$9^2*$C$11)*NORMSINV(T470))*(U$7-U$5)*(U$6-U$5)),U$7-SQRT((1-NORMSDIST(U$9*SQRT($C$11)*NORMSINV($B470)+SQRT(1-U$9^2*$C$11)*NORMSINV(T470)))*(U$7-U$5)*(U$7-U$6))))</f>
        <v>0.379010786091423</v>
      </c>
      <c r="V470" s="2" t="n">
        <v>0.471791845</v>
      </c>
      <c r="W470" s="2" t="n">
        <f aca="false">IF(W$7=W$5,W$6,IF(NORMSDIST(W$9*SQRT($C$11)*NORMSINV($B470)+SQRT(1-W$9^2*$C$11)*NORMSINV(V470))&lt;W$8,W$5+SQRT(NORMSDIST(W$9*SQRT($C$11)*NORMSINV($B470)+SQRT(1-W$9^2*$C$11)*NORMSINV(V470))*(W$7-W$5)*(W$6-W$5)),W$7-SQRT((1-NORMSDIST(W$9*SQRT($C$11)*NORMSINV($B470)+SQRT(1-W$9^2*$C$11)*NORMSINV(V470)))*(W$7-W$5)*(W$7-W$6))))</f>
        <v>9.97539106873812</v>
      </c>
      <c r="X470" s="2" t="n">
        <v>0.985576167</v>
      </c>
      <c r="Y470" s="2" t="n">
        <f aca="false">IF(Y$7=Y$5,Y$6,IF(NORMSDIST(Y$9*SQRT($C$11)*NORMSINV($B470)+SQRT(1-Y$9^2*$C$11)*NORMSINV(X470))&lt;Y$8,Y$5+SQRT(NORMSDIST(Y$9*SQRT($C$11)*NORMSINV($B470)+SQRT(1-Y$9^2*$C$11)*NORMSINV(X470))*(Y$7-Y$5)*(Y$6-Y$5)),Y$7-SQRT((1-NORMSDIST(Y$9*SQRT($C$11)*NORMSINV($B470)+SQRT(1-Y$9^2*$C$11)*NORMSINV(X470)))*(Y$7-Y$5)*(Y$7-Y$6))))</f>
        <v>0.915076996638131</v>
      </c>
      <c r="Z470" s="2" t="n">
        <v>0.419465826</v>
      </c>
      <c r="AA470" s="2" t="n">
        <f aca="false">IF(AA$7=AA$5,AA$6,IF(NORMSDIST(AA$9*SQRT($C$11)*NORMSINV($B470)+SQRT(1-AA$9^2*$C$11)*NORMSINV(Z470))&lt;AA$8,AA$5+SQRT(NORMSDIST(AA$9*SQRT($C$11)*NORMSINV($B470)+SQRT(1-AA$9^2*$C$11)*NORMSINV(Z470))*(AA$7-AA$5)*(AA$6-AA$5)),AA$7-SQRT((1-NORMSDIST(AA$9*SQRT($C$11)*NORMSINV($B470)+SQRT(1-AA$9^2*$C$11)*NORMSINV(Z470)))*(AA$7-AA$5)*(AA$7-AA$6))))</f>
        <v>0.726267404335738</v>
      </c>
      <c r="AB470" s="2" t="n">
        <v>0.058892344</v>
      </c>
      <c r="AC470" s="2" t="n">
        <f aca="false">IF(AC$7=AC$5,AC$6,IF(NORMSDIST(AC$9*SQRT($C$11)*NORMSINV($B470)+SQRT(1-AC$9^2*$C$11)*NORMSINV(AB470))&lt;AC$8,AC$5+SQRT(NORMSDIST(AC$9*SQRT($C$11)*NORMSINV($B470)+SQRT(1-AC$9^2*$C$11)*NORMSINV(AB470))*(AC$7-AC$5)*(AC$6-AC$5)),AC$7-SQRT((1-NORMSDIST(AC$9*SQRT($C$11)*NORMSINV($B470)+SQRT(1-AC$9^2*$C$11)*NORMSINV(AB470)))*(AC$7-AC$5)*(AC$7-AC$6))))</f>
        <v>8.40770421119707</v>
      </c>
      <c r="AD470" s="2" t="n">
        <f aca="false">Entrées!$C$8*(1+E470)</f>
        <v>7438.24326508222</v>
      </c>
      <c r="AE470" s="2" t="n">
        <f aca="false">I470*Hypothèses!$J$24/12/Hypothèses!$J$19</f>
        <v>104.915994181461</v>
      </c>
      <c r="AF470" s="2" t="n">
        <f aca="false">Entrées!$C$36*S470*1000</f>
        <v>258.625912486349</v>
      </c>
      <c r="AG470" s="2" t="n">
        <f aca="false">-AF470/W470</f>
        <v>-25.9263933317719</v>
      </c>
      <c r="AH470" s="2" t="n">
        <f aca="false">AD470+AE470+AG470</f>
        <v>7517.23286593191</v>
      </c>
      <c r="AI470" s="2" t="n">
        <f aca="false">Entrées!$C$16-M470+Hypothèses!$J$22*1000-AF470+Hypothèses!$J$23</f>
        <v>22828.5555937531</v>
      </c>
      <c r="AJ470" s="2" t="n">
        <f aca="false">AI470/AH470</f>
        <v>3.03682964208972</v>
      </c>
      <c r="AK470" s="2" t="n">
        <f aca="false">AI470/(AH470+I470*(12-Hypothèses!$J$24)/12/Hypothèses!$J$19)</f>
        <v>3.00685403367034</v>
      </c>
      <c r="AL470" s="2" t="n">
        <f aca="false">(AD470+AG470+I470/Hypothèses!$J$19)*(1+G470)</f>
        <v>7933.68802513765</v>
      </c>
      <c r="AM470" s="2" t="n">
        <f aca="false">Entrées!$C$54*K470/Hypothèses!$J$19</f>
        <v>33.0033059910805</v>
      </c>
      <c r="AN470" s="2" t="n">
        <f aca="false">Y470*1000/AC470</f>
        <v>108.83791504219</v>
      </c>
      <c r="AO470" s="2" t="n">
        <f aca="false">(Entrées!$C$36*(1-S470)+MAX(0,Entrées!$C$30-Entrées!$C$35-Entrées!$C$36)*U470)*1000</f>
        <v>771.989188041643</v>
      </c>
      <c r="AP470" s="2" t="n">
        <f aca="false">-AO470/W470</f>
        <v>-77.3893657624091</v>
      </c>
      <c r="AQ470" s="2" t="n">
        <f aca="false">AL470+AM470+AN470+AP470</f>
        <v>7998.13988040851</v>
      </c>
      <c r="AR470" s="2" t="n">
        <f aca="false">O470*AQ470-Hypothèses!$J$25/Hypothèses!$J$19</f>
        <v>1155.1028400584</v>
      </c>
      <c r="AS470" s="2" t="n">
        <f aca="false">Entrées!$C$79*(1+Q470)+Hypothèses!$J$20</f>
        <v>1482.26387496235</v>
      </c>
      <c r="AT470" s="2" t="n">
        <f aca="false">AI470-AR470+AS470+Y470*1000-AO470+Hypothèses!$J$23</f>
        <v>23298.8044372535</v>
      </c>
      <c r="AU470" s="2" t="n">
        <f aca="false">AT470/AQ470</f>
        <v>2.91302787718481</v>
      </c>
      <c r="AV470" s="2" t="n">
        <f aca="false">Hypothèses!$J$26*AQ470-AT470</f>
        <v>695.615203971975</v>
      </c>
      <c r="AW470" s="2" t="n">
        <f aca="false">IF(AC470&gt;Hypothèses!$J$26,MAX(0,AV470)/(1-Hypothèses!$J$26/AC470),0)</f>
        <v>1081.51752599524</v>
      </c>
      <c r="AX470" s="2" t="n">
        <f aca="false">AQ470-Entrées!$C$17*1000</f>
        <v>-1.86011959149255</v>
      </c>
      <c r="AY470" s="2" t="n">
        <f aca="false">AI470+(Entrées!$C$244-Entrées!$C$13)</f>
        <v>28575.5555937531</v>
      </c>
      <c r="AZ470" s="2" t="n">
        <f aca="false">AA470*AH470</f>
        <v>5459.52120132767</v>
      </c>
      <c r="BA470" s="2" t="n">
        <f aca="false">AZ470/AY470</f>
        <v>0.191055644864563</v>
      </c>
      <c r="BB470" s="2" t="n">
        <f aca="false">AZ470/(Entrées!$C$151/100)-AY470</f>
        <v>1755.11774695618</v>
      </c>
      <c r="BC470" s="2" t="n">
        <f aca="false">AT470+(Entrées!$C$244-Entrées!$C$13)</f>
        <v>29045.8044372535</v>
      </c>
      <c r="BD470" s="2" t="n">
        <f aca="false">AA470*AQ470</f>
        <v>5808.78829045844</v>
      </c>
      <c r="BE470" s="2" t="n">
        <f aca="false">BD470/BC470</f>
        <v>0.199987172089068</v>
      </c>
      <c r="BF470" s="2" t="n">
        <f aca="false">BD470/(Entrées!$C$151/100)-BC470</f>
        <v>3225.2416208489</v>
      </c>
      <c r="BG470" s="2" t="n">
        <f aca="false">MIN(AV470,BF470)</f>
        <v>695.615203971975</v>
      </c>
      <c r="BH470" s="2" t="n">
        <f aca="false">IF(AC470&gt;Hypothèses!$J$26,MAX(0,BG470)/(1-Hypothèses!$J$26/AC470),0)</f>
        <v>1081.51752599524</v>
      </c>
    </row>
    <row r="471" customFormat="false" ht="15" hidden="false" customHeight="false" outlineLevel="0" collapsed="false">
      <c r="A471" s="2" t="n">
        <v>456</v>
      </c>
      <c r="B471" s="2" t="n">
        <v>0.333417345</v>
      </c>
      <c r="C471" s="2"/>
      <c r="D471" s="2" t="n">
        <v>0.994469967</v>
      </c>
      <c r="E471" s="2" t="n">
        <f aca="false">IF(E$7=E$5,E$6,IF(NORMSDIST(E$9*SQRT($C$11)*NORMSINV($B471)+SQRT(1-E$9^2*$C$11)*NORMSINV(D471))&lt;E$8,E$5+SQRT(NORMSDIST(E$9*SQRT($C$11)*NORMSINV($B471)+SQRT(1-E$9^2*$C$11)*NORMSINV(D471))*(E$7-E$5)*(E$6-E$5)),E$7-SQRT((1-NORMSDIST(E$9*SQRT($C$11)*NORMSINV($B471)+SQRT(1-E$9^2*$C$11)*NORMSINV(D471)))*(E$7-E$5)*(E$7-E$6))))</f>
        <v>0.0585006699056746</v>
      </c>
      <c r="F471" s="2" t="n">
        <v>0.086228945</v>
      </c>
      <c r="G471" s="2" t="n">
        <f aca="false">IF(G$7=G$5,G$6,IF(NORMSDIST(G$9*SQRT($C$11)*NORMSINV($B471)+SQRT(1-G$9^2*$C$11)*NORMSINV(F471))&lt;G$8,G$5+SQRT(NORMSDIST(G$9*SQRT($C$11)*NORMSINV($B471)+SQRT(1-G$9^2*$C$11)*NORMSINV(F471))*(G$7-G$5)*(G$6-G$5)),G$7-SQRT((1-NORMSDIST(G$9*SQRT($C$11)*NORMSINV($B471)+SQRT(1-G$9^2*$C$11)*NORMSINV(F471)))*(G$7-G$5)*(G$7-G$6))))</f>
        <v>0.0464311074817419</v>
      </c>
      <c r="H471" s="2" t="n">
        <v>0.959238502</v>
      </c>
      <c r="I471" s="2" t="n">
        <f aca="false">IF(I$7=I$5,I$6,IF(NORMSDIST(I$9*SQRT($C$11)*NORMSINV($B471)+SQRT(1-I$9^2*$C$11)*NORMSINV(H471))&lt;I$8,I$5+SQRT(NORMSDIST(I$9*SQRT($C$11)*NORMSINV($B471)+SQRT(1-I$9^2*$C$11)*NORMSINV(H471))*(I$7-I$5)*(I$6-I$5)),I$7-SQRT((1-NORMSDIST(I$9*SQRT($C$11)*NORMSINV($B471)+SQRT(1-I$9^2*$C$11)*NORMSINV(H471)))*(I$7-I$5)*(I$7-I$6))))</f>
        <v>209.389168791116</v>
      </c>
      <c r="J471" s="2" t="n">
        <v>0.732354971</v>
      </c>
      <c r="K471" s="2" t="n">
        <f aca="false">IF(K$7=K$5,K$6,IF(NORMSDIST(K$9*SQRT($C$11)*NORMSINV($B471)+SQRT(1-K$9^2*$C$11)*NORMSINV(J471))&lt;K$8,K$5+SQRT(NORMSDIST(K$9*SQRT($C$11)*NORMSINV($B471)+SQRT(1-K$9^2*$C$11)*NORMSINV(J471))*(K$7-K$5)*(K$6-K$5)),K$7-SQRT((1-NORMSDIST(K$9*SQRT($C$11)*NORMSINV($B471)+SQRT(1-K$9^2*$C$11)*NORMSINV(J471)))*(K$7-K$5)*(K$7-K$6))))</f>
        <v>0.271516675143478</v>
      </c>
      <c r="L471" s="2" t="n">
        <v>0.101869694</v>
      </c>
      <c r="M471" s="2" t="n">
        <f aca="false">IF(M$7=M$5,M$6,IF(NORMSDIST(M$9*SQRT($C$11)*NORMSINV($B471)+SQRT(1-M$9^2*$C$11)*NORMSINV(L471))&lt;M$8,M$5+SQRT(NORMSDIST(M$9*SQRT($C$11)*NORMSINV($B471)+SQRT(1-M$9^2*$C$11)*NORMSINV(L471))*(M$7-M$5)*(M$6-M$5)),M$7-SQRT((1-NORMSDIST(M$9*SQRT($C$11)*NORMSINV($B471)+SQRT(1-M$9^2*$C$11)*NORMSINV(L471)))*(M$7-M$5)*(M$7-M$6))))</f>
        <v>1432.14057767368</v>
      </c>
      <c r="N471" s="2" t="n">
        <v>0.0462301</v>
      </c>
      <c r="O471" s="2" t="n">
        <f aca="false">IF(O$7=O$5,O$6,IF(NORMSDIST(O$9*SQRT($C$11)*NORMSINV($B471)+SQRT(1-O$9^2*$C$11)*NORMSINV(N471))&lt;O$8,O$5+SQRT(NORMSDIST(O$9*SQRT($C$11)*NORMSINV($B471)+SQRT(1-O$9^2*$C$11)*NORMSINV(N471))*(O$7-O$5)*(O$6-O$5)),O$7-SQRT((1-NORMSDIST(O$9*SQRT($C$11)*NORMSINV($B471)+SQRT(1-O$9^2*$C$11)*NORMSINV(N471)))*(O$7-O$5)*(O$7-O$6))))</f>
        <v>0.149087946135843</v>
      </c>
      <c r="P471" s="2" t="n">
        <v>0.884429262</v>
      </c>
      <c r="Q471" s="2" t="n">
        <f aca="false">IF(Q$7=Q$5,Q$6,IF(NORMSDIST(Q$9*SQRT($C$11)*NORMSINV($B471)+SQRT(1-Q$9^2*$C$11)*NORMSINV(P471))&lt;Q$8,Q$5+SQRT(NORMSDIST(Q$9*SQRT($C$11)*NORMSINV($B471)+SQRT(1-Q$9^2*$C$11)*NORMSINV(P471))*(Q$7-Q$5)*(Q$6-Q$5)),Q$7-SQRT((1-NORMSDIST(Q$9*SQRT($C$11)*NORMSINV($B471)+SQRT(1-Q$9^2*$C$11)*NORMSINV(P471)))*(Q$7-Q$5)*(Q$7-Q$6))))</f>
        <v>0.10076912998328</v>
      </c>
      <c r="R471" s="2" t="n">
        <v>0.733928751</v>
      </c>
      <c r="S471" s="2" t="n">
        <f aca="false">IF(S$7=S$5,S$6,IF(NORMSDIST(S$9*SQRT($C$11)*NORMSINV($B471)+SQRT(1-S$9^2*$C$11)*NORMSINV(R471))&lt;S$8,S$5+SQRT(NORMSDIST(S$9*SQRT($C$11)*NORMSINV($B471)+SQRT(1-S$9^2*$C$11)*NORMSINV(R471))*(S$7-S$5)*(S$6-S$5)),S$7-SQRT((1-NORMSDIST(S$9*SQRT($C$11)*NORMSINV($B471)+SQRT(1-S$9^2*$C$11)*NORMSINV(R471)))*(S$7-S$5)*(S$7-S$6))))</f>
        <v>0.543825848439412</v>
      </c>
      <c r="T471" s="2" t="n">
        <v>0.359599219</v>
      </c>
      <c r="U471" s="2" t="n">
        <f aca="false">IF(U$7=U$5,U$6,IF(NORMSDIST(U$9*SQRT($C$11)*NORMSINV($B471)+SQRT(1-U$9^2*$C$11)*NORMSINV(T471))&lt;U$8,U$5+SQRT(NORMSDIST(U$9*SQRT($C$11)*NORMSINV($B471)+SQRT(1-U$9^2*$C$11)*NORMSINV(T471))*(U$7-U$5)*(U$6-U$5)),U$7-SQRT((1-NORMSDIST(U$9*SQRT($C$11)*NORMSINV($B471)+SQRT(1-U$9^2*$C$11)*NORMSINV(T471)))*(U$7-U$5)*(U$7-U$6))))</f>
        <v>0.381378334712025</v>
      </c>
      <c r="V471" s="2" t="n">
        <v>0.964992206</v>
      </c>
      <c r="W471" s="2" t="n">
        <f aca="false">IF(W$7=W$5,W$6,IF(NORMSDIST(W$9*SQRT($C$11)*NORMSINV($B471)+SQRT(1-W$9^2*$C$11)*NORMSINV(V471))&lt;W$8,W$5+SQRT(NORMSDIST(W$9*SQRT($C$11)*NORMSINV($B471)+SQRT(1-W$9^2*$C$11)*NORMSINV(V471))*(W$7-W$5)*(W$6-W$5)),W$7-SQRT((1-NORMSDIST(W$9*SQRT($C$11)*NORMSINV($B471)+SQRT(1-W$9^2*$C$11)*NORMSINV(V471)))*(W$7-W$5)*(W$7-W$6))))</f>
        <v>10.98414356395</v>
      </c>
      <c r="X471" s="2" t="n">
        <v>0.08737977</v>
      </c>
      <c r="Y471" s="2" t="n">
        <f aca="false">IF(Y$7=Y$5,Y$6,IF(NORMSDIST(Y$9*SQRT($C$11)*NORMSINV($B471)+SQRT(1-Y$9^2*$C$11)*NORMSINV(X471))&lt;Y$8,Y$5+SQRT(NORMSDIST(Y$9*SQRT($C$11)*NORMSINV($B471)+SQRT(1-Y$9^2*$C$11)*NORMSINV(X471))*(Y$7-Y$5)*(Y$6-Y$5)),Y$7-SQRT((1-NORMSDIST(Y$9*SQRT($C$11)*NORMSINV($B471)+SQRT(1-Y$9^2*$C$11)*NORMSINV(X471)))*(Y$7-Y$5)*(Y$7-Y$6))))</f>
        <v>0.20902125490007</v>
      </c>
      <c r="Z471" s="2" t="n">
        <v>0.745029647</v>
      </c>
      <c r="AA471" s="2" t="n">
        <f aca="false">IF(AA$7=AA$5,AA$6,IF(NORMSDIST(AA$9*SQRT($C$11)*NORMSINV($B471)+SQRT(1-AA$9^2*$C$11)*NORMSINV(Z471))&lt;AA$8,AA$5+SQRT(NORMSDIST(AA$9*SQRT($C$11)*NORMSINV($B471)+SQRT(1-AA$9^2*$C$11)*NORMSINV(Z471))*(AA$7-AA$5)*(AA$6-AA$5)),AA$7-SQRT((1-NORMSDIST(AA$9*SQRT($C$11)*NORMSINV($B471)+SQRT(1-AA$9^2*$C$11)*NORMSINV(Z471)))*(AA$7-AA$5)*(AA$7-AA$6))))</f>
        <v>0.730999137665977</v>
      </c>
      <c r="AB471" s="2" t="n">
        <v>0.917442453</v>
      </c>
      <c r="AC471" s="2" t="n">
        <f aca="false">IF(AC$7=AC$5,AC$6,IF(NORMSDIST(AC$9*SQRT($C$11)*NORMSINV($B471)+SQRT(1-AC$9^2*$C$11)*NORMSINV(AB471))&lt;AC$8,AC$5+SQRT(NORMSDIST(AC$9*SQRT($C$11)*NORMSINV($B471)+SQRT(1-AC$9^2*$C$11)*NORMSINV(AB471))*(AC$7-AC$5)*(AC$6-AC$5)),AC$7-SQRT((1-NORMSDIST(AC$9*SQRT($C$11)*NORMSINV($B471)+SQRT(1-AC$9^2*$C$11)*NORMSINV(AB471)))*(AC$7-AC$5)*(AC$7-AC$6))))</f>
        <v>10.0452448136992</v>
      </c>
      <c r="AD471" s="2" t="n">
        <f aca="false">Entrées!$C$8*(1+E471)</f>
        <v>7462.42972283501</v>
      </c>
      <c r="AE471" s="2" t="n">
        <f aca="false">I471*Hypothèses!$J$24/12/Hypothèses!$J$19</f>
        <v>103.877296461167</v>
      </c>
      <c r="AF471" s="2" t="n">
        <f aca="false">Entrées!$C$36*S471*1000</f>
        <v>271.912924219706</v>
      </c>
      <c r="AG471" s="2" t="n">
        <f aca="false">-AF471/W471</f>
        <v>-24.7550409949235</v>
      </c>
      <c r="AH471" s="2" t="n">
        <f aca="false">AD471+AE471+AG471</f>
        <v>7541.55197830125</v>
      </c>
      <c r="AI471" s="2" t="n">
        <f aca="false">Entrées!$C$16-M471+Hypothèses!$J$22*1000-AF471+Hypothèses!$J$23</f>
        <v>22843.9464981066</v>
      </c>
      <c r="AJ471" s="2" t="n">
        <f aca="false">AI471/AH471</f>
        <v>3.02907764394303</v>
      </c>
      <c r="AK471" s="2" t="n">
        <f aca="false">AI471/(AH471+I471*(12-Hypothèses!$J$24)/12/Hypothèses!$J$19)</f>
        <v>2.99956620904321</v>
      </c>
      <c r="AL471" s="2" t="n">
        <f aca="false">(AD471+AG471+I471/Hypothèses!$J$19)*(1+G471)</f>
        <v>7969.3577561978</v>
      </c>
      <c r="AM471" s="2" t="n">
        <f aca="false">Entrées!$C$54*K471/Hypothèses!$J$19</f>
        <v>27.7094167232407</v>
      </c>
      <c r="AN471" s="2" t="n">
        <f aca="false">Y471*1000/AC471</f>
        <v>20.8079801713759</v>
      </c>
      <c r="AO471" s="2" t="n">
        <f aca="false">(Entrées!$C$36*(1-S471)+MAX(0,Entrées!$C$30-Entrées!$C$35-Entrées!$C$36)*U471)*1000</f>
        <v>762.016744377129</v>
      </c>
      <c r="AP471" s="2" t="n">
        <f aca="false">-AO471/W471</f>
        <v>-69.3742520698722</v>
      </c>
      <c r="AQ471" s="2" t="n">
        <f aca="false">AL471+AM471+AN471+AP471</f>
        <v>7948.50090102255</v>
      </c>
      <c r="AR471" s="2" t="n">
        <f aca="false">O471*AQ471-Hypothèses!$J$25/Hypothèses!$J$19</f>
        <v>1165.89051193072</v>
      </c>
      <c r="AS471" s="2" t="n">
        <f aca="false">Entrées!$C$79*(1+Q471)+Hypothèses!$J$20</f>
        <v>1504.74527385162</v>
      </c>
      <c r="AT471" s="2" t="n">
        <f aca="false">AI471-AR471+AS471+Y471*1000-AO471+Hypothèses!$J$23</f>
        <v>22629.8057705505</v>
      </c>
      <c r="AU471" s="2" t="n">
        <f aca="false">AT471/AQ471</f>
        <v>2.84705330632085</v>
      </c>
      <c r="AV471" s="2" t="n">
        <f aca="false">Hypothèses!$J$26*AQ471-AT471</f>
        <v>1215.69693251718</v>
      </c>
      <c r="AW471" s="2" t="n">
        <f aca="false">IF(AC471&gt;Hypothèses!$J$26,MAX(0,AV471)/(1-Hypothèses!$J$26/AC471),0)</f>
        <v>1733.36393969625</v>
      </c>
      <c r="AX471" s="2" t="n">
        <f aca="false">AQ471-Entrées!$C$17*1000</f>
        <v>-51.4990989774515</v>
      </c>
      <c r="AY471" s="2" t="n">
        <f aca="false">AI471+(Entrées!$C$244-Entrées!$C$13)</f>
        <v>28590.9464981066</v>
      </c>
      <c r="AZ471" s="2" t="n">
        <f aca="false">AA471*AH471</f>
        <v>5512.86799280136</v>
      </c>
      <c r="BA471" s="2" t="n">
        <f aca="false">AZ471/AY471</f>
        <v>0.192818660031645</v>
      </c>
      <c r="BB471" s="2" t="n">
        <f aca="false">AZ471/(Entrées!$C$151/100)-AY471</f>
        <v>2036.09790634538</v>
      </c>
      <c r="BC471" s="2" t="n">
        <f aca="false">AT471+(Entrées!$C$244-Entrées!$C$13)</f>
        <v>28376.8057705505</v>
      </c>
      <c r="BD471" s="2" t="n">
        <f aca="false">AA471*AQ471</f>
        <v>5810.34730438473</v>
      </c>
      <c r="BE471" s="2" t="n">
        <f aca="false">BD471/BC471</f>
        <v>0.204756918427187</v>
      </c>
      <c r="BF471" s="2" t="n">
        <f aca="false">BD471/(Entrées!$C$151/100)-BC471</f>
        <v>3902.90147603135</v>
      </c>
      <c r="BG471" s="2" t="n">
        <f aca="false">MIN(AV471,BF471)</f>
        <v>1215.69693251718</v>
      </c>
      <c r="BH471" s="2" t="n">
        <f aca="false">IF(AC471&gt;Hypothèses!$J$26,MAX(0,BG471)/(1-Hypothèses!$J$26/AC471),0)</f>
        <v>1733.36393969625</v>
      </c>
    </row>
    <row r="472" customFormat="false" ht="15" hidden="false" customHeight="false" outlineLevel="0" collapsed="false">
      <c r="A472" s="2" t="n">
        <v>457</v>
      </c>
      <c r="B472" s="2" t="n">
        <v>0.83073913</v>
      </c>
      <c r="C472" s="2"/>
      <c r="D472" s="2" t="n">
        <v>0.03310467</v>
      </c>
      <c r="E472" s="2" t="n">
        <f aca="false">IF(E$7=E$5,E$6,IF(NORMSDIST(E$9*SQRT($C$11)*NORMSINV($B472)+SQRT(1-E$9^2*$C$11)*NORMSINV(D472))&lt;E$8,E$5+SQRT(NORMSDIST(E$9*SQRT($C$11)*NORMSINV($B472)+SQRT(1-E$9^2*$C$11)*NORMSINV(D472))*(E$7-E$5)*(E$6-E$5)),E$7-SQRT((1-NORMSDIST(E$9*SQRT($C$11)*NORMSINV($B472)+SQRT(1-E$9^2*$C$11)*NORMSINV(D472)))*(E$7-E$5)*(E$7-E$6))))</f>
        <v>0.0532154867208986</v>
      </c>
      <c r="F472" s="2" t="n">
        <v>0.219748676</v>
      </c>
      <c r="G472" s="2" t="n">
        <f aca="false">IF(G$7=G$5,G$6,IF(NORMSDIST(G$9*SQRT($C$11)*NORMSINV($B472)+SQRT(1-G$9^2*$C$11)*NORMSINV(F472))&lt;G$8,G$5+SQRT(NORMSDIST(G$9*SQRT($C$11)*NORMSINV($B472)+SQRT(1-G$9^2*$C$11)*NORMSINV(F472))*(G$7-G$5)*(G$6-G$5)),G$7-SQRT((1-NORMSDIST(G$9*SQRT($C$11)*NORMSINV($B472)+SQRT(1-G$9^2*$C$11)*NORMSINV(F472)))*(G$7-G$5)*(G$7-G$6))))</f>
        <v>0.0550390731182805</v>
      </c>
      <c r="H472" s="2" t="n">
        <v>0.462431534</v>
      </c>
      <c r="I472" s="2" t="n">
        <f aca="false">IF(I$7=I$5,I$6,IF(NORMSDIST(I$9*SQRT($C$11)*NORMSINV($B472)+SQRT(1-I$9^2*$C$11)*NORMSINV(H472))&lt;I$8,I$5+SQRT(NORMSDIST(I$9*SQRT($C$11)*NORMSINV($B472)+SQRT(1-I$9^2*$C$11)*NORMSINV(H472))*(I$7-I$5)*(I$6-I$5)),I$7-SQRT((1-NORMSDIST(I$9*SQRT($C$11)*NORMSINV($B472)+SQRT(1-I$9^2*$C$11)*NORMSINV(H472)))*(I$7-I$5)*(I$7-I$6))))</f>
        <v>204.578683298435</v>
      </c>
      <c r="J472" s="2" t="n">
        <v>0.828702552</v>
      </c>
      <c r="K472" s="2" t="n">
        <f aca="false">IF(K$7=K$5,K$6,IF(NORMSDIST(K$9*SQRT($C$11)*NORMSINV($B472)+SQRT(1-K$9^2*$C$11)*NORMSINV(J472))&lt;K$8,K$5+SQRT(NORMSDIST(K$9*SQRT($C$11)*NORMSINV($B472)+SQRT(1-K$9^2*$C$11)*NORMSINV(J472))*(K$7-K$5)*(K$6-K$5)),K$7-SQRT((1-NORMSDIST(K$9*SQRT($C$11)*NORMSINV($B472)+SQRT(1-K$9^2*$C$11)*NORMSINV(J472)))*(K$7-K$5)*(K$7-K$6))))</f>
        <v>0.393904637677489</v>
      </c>
      <c r="L472" s="2" t="n">
        <v>0.109540599</v>
      </c>
      <c r="M472" s="2" t="n">
        <f aca="false">IF(M$7=M$5,M$6,IF(NORMSDIST(M$9*SQRT($C$11)*NORMSINV($B472)+SQRT(1-M$9^2*$C$11)*NORMSINV(L472))&lt;M$8,M$5+SQRT(NORMSDIST(M$9*SQRT($C$11)*NORMSINV($B472)+SQRT(1-M$9^2*$C$11)*NORMSINV(L472))*(M$7-M$5)*(M$6-M$5)),M$7-SQRT((1-NORMSDIST(M$9*SQRT($C$11)*NORMSINV($B472)+SQRT(1-M$9^2*$C$11)*NORMSINV(L472)))*(M$7-M$5)*(M$7-M$6))))</f>
        <v>1544.08161209567</v>
      </c>
      <c r="N472" s="2" t="n">
        <v>0.200491797</v>
      </c>
      <c r="O472" s="2" t="n">
        <f aca="false">IF(O$7=O$5,O$6,IF(NORMSDIST(O$9*SQRT($C$11)*NORMSINV($B472)+SQRT(1-O$9^2*$C$11)*NORMSINV(N472))&lt;O$8,O$5+SQRT(NORMSDIST(O$9*SQRT($C$11)*NORMSINV($B472)+SQRT(1-O$9^2*$C$11)*NORMSINV(N472))*(O$7-O$5)*(O$6-O$5)),O$7-SQRT((1-NORMSDIST(O$9*SQRT($C$11)*NORMSINV($B472)+SQRT(1-O$9^2*$C$11)*NORMSINV(N472)))*(O$7-O$5)*(O$7-O$6))))</f>
        <v>0.166296804770423</v>
      </c>
      <c r="P472" s="2" t="n">
        <v>0.379635986</v>
      </c>
      <c r="Q472" s="2" t="n">
        <f aca="false">IF(Q$7=Q$5,Q$6,IF(NORMSDIST(Q$9*SQRT($C$11)*NORMSINV($B472)+SQRT(1-Q$9^2*$C$11)*NORMSINV(P472))&lt;Q$8,Q$5+SQRT(NORMSDIST(Q$9*SQRT($C$11)*NORMSINV($B472)+SQRT(1-Q$9^2*$C$11)*NORMSINV(P472))*(Q$7-Q$5)*(Q$6-Q$5)),Q$7-SQRT((1-NORMSDIST(Q$9*SQRT($C$11)*NORMSINV($B472)+SQRT(1-Q$9^2*$C$11)*NORMSINV(P472)))*(Q$7-Q$5)*(Q$7-Q$6))))</f>
        <v>0.0748544854387495</v>
      </c>
      <c r="R472" s="2" t="n">
        <v>0.2353481</v>
      </c>
      <c r="S472" s="2" t="n">
        <f aca="false">IF(S$7=S$5,S$6,IF(NORMSDIST(S$9*SQRT($C$11)*NORMSINV($B472)+SQRT(1-S$9^2*$C$11)*NORMSINV(R472))&lt;S$8,S$5+SQRT(NORMSDIST(S$9*SQRT($C$11)*NORMSINV($B472)+SQRT(1-S$9^2*$C$11)*NORMSINV(R472))*(S$7-S$5)*(S$6-S$5)),S$7-SQRT((1-NORMSDIST(S$9*SQRT($C$11)*NORMSINV($B472)+SQRT(1-S$9^2*$C$11)*NORMSINV(R472)))*(S$7-S$5)*(S$7-S$6))))</f>
        <v>0.509372703913717</v>
      </c>
      <c r="T472" s="2" t="n">
        <v>0.615705385</v>
      </c>
      <c r="U472" s="2" t="n">
        <f aca="false">IF(U$7=U$5,U$6,IF(NORMSDIST(U$9*SQRT($C$11)*NORMSINV($B472)+SQRT(1-U$9^2*$C$11)*NORMSINV(T472))&lt;U$8,U$5+SQRT(NORMSDIST(U$9*SQRT($C$11)*NORMSINV($B472)+SQRT(1-U$9^2*$C$11)*NORMSINV(T472))*(U$7-U$5)*(U$6-U$5)),U$7-SQRT((1-NORMSDIST(U$9*SQRT($C$11)*NORMSINV($B472)+SQRT(1-U$9^2*$C$11)*NORMSINV(T472)))*(U$7-U$5)*(U$7-U$6))))</f>
        <v>0.681911564797798</v>
      </c>
      <c r="V472" s="2" t="n">
        <v>0.467003493</v>
      </c>
      <c r="W472" s="2" t="n">
        <f aca="false">IF(W$7=W$5,W$6,IF(NORMSDIST(W$9*SQRT($C$11)*NORMSINV($B472)+SQRT(1-W$9^2*$C$11)*NORMSINV(V472))&lt;W$8,W$5+SQRT(NORMSDIST(W$9*SQRT($C$11)*NORMSINV($B472)+SQRT(1-W$9^2*$C$11)*NORMSINV(V472))*(W$7-W$5)*(W$6-W$5)),W$7-SQRT((1-NORMSDIST(W$9*SQRT($C$11)*NORMSINV($B472)+SQRT(1-W$9^2*$C$11)*NORMSINV(V472)))*(W$7-W$5)*(W$7-W$6))))</f>
        <v>10.465873970046</v>
      </c>
      <c r="X472" s="2" t="n">
        <v>0.608239583</v>
      </c>
      <c r="Y472" s="2" t="n">
        <f aca="false">IF(Y$7=Y$5,Y$6,IF(NORMSDIST(Y$9*SQRT($C$11)*NORMSINV($B472)+SQRT(1-Y$9^2*$C$11)*NORMSINV(X472))&lt;Y$8,Y$5+SQRT(NORMSDIST(Y$9*SQRT($C$11)*NORMSINV($B472)+SQRT(1-Y$9^2*$C$11)*NORMSINV(X472))*(Y$7-Y$5)*(Y$6-Y$5)),Y$7-SQRT((1-NORMSDIST(Y$9*SQRT($C$11)*NORMSINV($B472)+SQRT(1-Y$9^2*$C$11)*NORMSINV(X472)))*(Y$7-Y$5)*(Y$7-Y$6))))</f>
        <v>0.557416438963217</v>
      </c>
      <c r="Z472" s="2" t="n">
        <v>0.501616957</v>
      </c>
      <c r="AA472" s="2" t="n">
        <f aca="false">IF(AA$7=AA$5,AA$6,IF(NORMSDIST(AA$9*SQRT($C$11)*NORMSINV($B472)+SQRT(1-AA$9^2*$C$11)*NORMSINV(Z472))&lt;AA$8,AA$5+SQRT(NORMSDIST(AA$9*SQRT($C$11)*NORMSINV($B472)+SQRT(1-AA$9^2*$C$11)*NORMSINV(Z472))*(AA$7-AA$5)*(AA$6-AA$5)),AA$7-SQRT((1-NORMSDIST(AA$9*SQRT($C$11)*NORMSINV($B472)+SQRT(1-AA$9^2*$C$11)*NORMSINV(Z472)))*(AA$7-AA$5)*(AA$7-AA$6))))</f>
        <v>0.735191129469382</v>
      </c>
      <c r="AB472" s="2" t="n">
        <v>0.507868476</v>
      </c>
      <c r="AC472" s="2" t="n">
        <f aca="false">IF(AC$7=AC$5,AC$6,IF(NORMSDIST(AC$9*SQRT($C$11)*NORMSINV($B472)+SQRT(1-AC$9^2*$C$11)*NORMSINV(AB472))&lt;AC$8,AC$5+SQRT(NORMSDIST(AC$9*SQRT($C$11)*NORMSINV($B472)+SQRT(1-AC$9^2*$C$11)*NORMSINV(AB472))*(AC$7-AC$5)*(AC$6-AC$5)),AC$7-SQRT((1-NORMSDIST(AC$9*SQRT($C$11)*NORMSINV($B472)+SQRT(1-AC$9^2*$C$11)*NORMSINV(AB472)))*(AC$7-AC$5)*(AC$7-AC$6))))</f>
        <v>9.92514653104501</v>
      </c>
      <c r="AD472" s="2" t="n">
        <f aca="false">Entrées!$C$8*(1+E472)</f>
        <v>7425.16918138234</v>
      </c>
      <c r="AE472" s="2" t="n">
        <f aca="false">I472*Hypothèses!$J$24/12/Hypothèses!$J$19</f>
        <v>101.490830004805</v>
      </c>
      <c r="AF472" s="2" t="n">
        <f aca="false">Entrées!$C$36*S472*1000</f>
        <v>254.686351956859</v>
      </c>
      <c r="AG472" s="2" t="n">
        <f aca="false">-AF472/W472</f>
        <v>-24.3349339659341</v>
      </c>
      <c r="AH472" s="2" t="n">
        <f aca="false">AD472+AE472+AG472</f>
        <v>7502.32507742121</v>
      </c>
      <c r="AI472" s="2" t="n">
        <f aca="false">Entrées!$C$16-M472+Hypothèses!$J$22*1000-AF472+Hypothèses!$J$23</f>
        <v>22749.2320359475</v>
      </c>
      <c r="AJ472" s="2" t="n">
        <f aca="false">AI472/AH472</f>
        <v>3.03229089664655</v>
      </c>
      <c r="AK472" s="2" t="n">
        <f aca="false">AI472/(AH472+I472*(12-Hypothèses!$J$24)/12/Hypothèses!$J$19)</f>
        <v>3.00327089732696</v>
      </c>
      <c r="AL472" s="2" t="n">
        <f aca="false">(AD472+AG472+I472/Hypothèses!$J$19)*(1+G472)</f>
        <v>7991.72951821327</v>
      </c>
      <c r="AM472" s="2" t="n">
        <f aca="false">Entrées!$C$54*K472/Hypothèses!$J$19</f>
        <v>40.1996221736839</v>
      </c>
      <c r="AN472" s="2" t="n">
        <f aca="false">Y472*1000/AC472</f>
        <v>56.1620362197844</v>
      </c>
      <c r="AO472" s="2" t="n">
        <f aca="false">(Entrées!$C$36*(1-S472)+MAX(0,Entrées!$C$30-Entrées!$C$35-Entrées!$C$36)*U472)*1000</f>
        <v>1199.98983876006</v>
      </c>
      <c r="AP472" s="2" t="n">
        <f aca="false">-AO472/W472</f>
        <v>-114.657394326982</v>
      </c>
      <c r="AQ472" s="2" t="n">
        <f aca="false">AL472+AM472+AN472+AP472</f>
        <v>7973.43378227976</v>
      </c>
      <c r="AR472" s="2" t="n">
        <f aca="false">O472*AQ472-Hypothèses!$J$25/Hypothèses!$J$19</f>
        <v>1306.82139878005</v>
      </c>
      <c r="AS472" s="2" t="n">
        <f aca="false">Entrées!$C$79*(1+Q472)+Hypothèses!$J$20</f>
        <v>1476.26507949719</v>
      </c>
      <c r="AT472" s="2" t="n">
        <f aca="false">AI472-AR472+AS472+Y472*1000-AO472+Hypothèses!$J$23</f>
        <v>22276.1023168678</v>
      </c>
      <c r="AU472" s="2" t="n">
        <f aca="false">AT472/AQ472</f>
        <v>2.79379034492949</v>
      </c>
      <c r="AV472" s="2" t="n">
        <f aca="false">Hypothèses!$J$26*AQ472-AT472</f>
        <v>1644.1990299715</v>
      </c>
      <c r="AW472" s="2" t="n">
        <f aca="false">IF(AC472&gt;Hypothèses!$J$26,MAX(0,AV472)/(1-Hypothèses!$J$26/AC472),0)</f>
        <v>2356.47234690451</v>
      </c>
      <c r="AX472" s="2" t="n">
        <f aca="false">AQ472-Entrées!$C$17*1000</f>
        <v>-26.5662177202448</v>
      </c>
      <c r="AY472" s="2" t="n">
        <f aca="false">AI472+(Entrées!$C$244-Entrées!$C$13)</f>
        <v>28496.2320359475</v>
      </c>
      <c r="AZ472" s="2" t="n">
        <f aca="false">AA472*AH472</f>
        <v>5515.64284731577</v>
      </c>
      <c r="BA472" s="2" t="n">
        <f aca="false">AZ472/AY472</f>
        <v>0.193556917993856</v>
      </c>
      <c r="BB472" s="2" t="n">
        <f aca="false">AZ472/(Entrées!$C$151/100)-AY472</f>
        <v>2146.22822691791</v>
      </c>
      <c r="BC472" s="2" t="n">
        <f aca="false">AT472+(Entrées!$C$244-Entrées!$C$13)</f>
        <v>28023.1023168678</v>
      </c>
      <c r="BD472" s="2" t="n">
        <f aca="false">AA472*AQ472</f>
        <v>5861.99778814358</v>
      </c>
      <c r="BE472" s="2" t="n">
        <f aca="false">BD472/BC472</f>
        <v>0.209184469366017</v>
      </c>
      <c r="BF472" s="2" t="n">
        <f aca="false">BD472/(Entrées!$C$151/100)-BC472</f>
        <v>4543.55206170769</v>
      </c>
      <c r="BG472" s="2" t="n">
        <f aca="false">MIN(AV472,BF472)</f>
        <v>1644.1990299715</v>
      </c>
      <c r="BH472" s="2" t="n">
        <f aca="false">IF(AC472&gt;Hypothèses!$J$26,MAX(0,BG472)/(1-Hypothèses!$J$26/AC472),0)</f>
        <v>2356.47234690451</v>
      </c>
    </row>
    <row r="473" customFormat="false" ht="15" hidden="false" customHeight="false" outlineLevel="0" collapsed="false">
      <c r="A473" s="2" t="n">
        <v>458</v>
      </c>
      <c r="B473" s="2" t="n">
        <v>0.538474474</v>
      </c>
      <c r="C473" s="2"/>
      <c r="D473" s="2" t="n">
        <v>0.408505921</v>
      </c>
      <c r="E473" s="2" t="n">
        <f aca="false">IF(E$7=E$5,E$6,IF(NORMSDIST(E$9*SQRT($C$11)*NORMSINV($B473)+SQRT(1-E$9^2*$C$11)*NORMSINV(D473))&lt;E$8,E$5+SQRT(NORMSDIST(E$9*SQRT($C$11)*NORMSINV($B473)+SQRT(1-E$9^2*$C$11)*NORMSINV(D473))*(E$7-E$5)*(E$6-E$5)),E$7-SQRT((1-NORMSDIST(E$9*SQRT($C$11)*NORMSINV($B473)+SQRT(1-E$9^2*$C$11)*NORMSINV(D473)))*(E$7-E$5)*(E$7-E$6))))</f>
        <v>0.0547590790543114</v>
      </c>
      <c r="F473" s="2" t="n">
        <v>0.302335008</v>
      </c>
      <c r="G473" s="2" t="n">
        <f aca="false">IF(G$7=G$5,G$6,IF(NORMSDIST(G$9*SQRT($C$11)*NORMSINV($B473)+SQRT(1-G$9^2*$C$11)*NORMSINV(F473))&lt;G$8,G$5+SQRT(NORMSDIST(G$9*SQRT($C$11)*NORMSINV($B473)+SQRT(1-G$9^2*$C$11)*NORMSINV(F473))*(G$7-G$5)*(G$6-G$5)),G$7-SQRT((1-NORMSDIST(G$9*SQRT($C$11)*NORMSINV($B473)+SQRT(1-G$9^2*$C$11)*NORMSINV(F473)))*(G$7-G$5)*(G$7-G$6))))</f>
        <v>0.0528503652847175</v>
      </c>
      <c r="H473" s="2" t="n">
        <v>0.519043924</v>
      </c>
      <c r="I473" s="2" t="n">
        <f aca="false">IF(I$7=I$5,I$6,IF(NORMSDIST(I$9*SQRT($C$11)*NORMSINV($B473)+SQRT(1-I$9^2*$C$11)*NORMSINV(H473))&lt;I$8,I$5+SQRT(NORMSDIST(I$9*SQRT($C$11)*NORMSINV($B473)+SQRT(1-I$9^2*$C$11)*NORMSINV(H473))*(I$7-I$5)*(I$6-I$5)),I$7-SQRT((1-NORMSDIST(I$9*SQRT($C$11)*NORMSINV($B473)+SQRT(1-I$9^2*$C$11)*NORMSINV(H473)))*(I$7-I$5)*(I$7-I$6))))</f>
        <v>200.797199406178</v>
      </c>
      <c r="J473" s="2" t="n">
        <v>0.25546756</v>
      </c>
      <c r="K473" s="2" t="n">
        <f aca="false">IF(K$7=K$5,K$6,IF(NORMSDIST(K$9*SQRT($C$11)*NORMSINV($B473)+SQRT(1-K$9^2*$C$11)*NORMSINV(J473))&lt;K$8,K$5+SQRT(NORMSDIST(K$9*SQRT($C$11)*NORMSINV($B473)+SQRT(1-K$9^2*$C$11)*NORMSINV(J473))*(K$7-K$5)*(K$6-K$5)),K$7-SQRT((1-NORMSDIST(K$9*SQRT($C$11)*NORMSINV($B473)+SQRT(1-K$9^2*$C$11)*NORMSINV(J473)))*(K$7-K$5)*(K$7-K$6))))</f>
        <v>0.202186347724313</v>
      </c>
      <c r="L473" s="2" t="n">
        <v>0.072155665</v>
      </c>
      <c r="M473" s="2" t="n">
        <f aca="false">IF(M$7=M$5,M$6,IF(NORMSDIST(M$9*SQRT($C$11)*NORMSINV($B473)+SQRT(1-M$9^2*$C$11)*NORMSINV(L473))&lt;M$8,M$5+SQRT(NORMSDIST(M$9*SQRT($C$11)*NORMSINV($B473)+SQRT(1-M$9^2*$C$11)*NORMSINV(L473))*(M$7-M$5)*(M$6-M$5)),M$7-SQRT((1-NORMSDIST(M$9*SQRT($C$11)*NORMSINV($B473)+SQRT(1-M$9^2*$C$11)*NORMSINV(L473)))*(M$7-M$5)*(M$7-M$6))))</f>
        <v>1453.75519887395</v>
      </c>
      <c r="N473" s="2" t="n">
        <v>0.421223735</v>
      </c>
      <c r="O473" s="2" t="n">
        <f aca="false">IF(O$7=O$5,O$6,IF(NORMSDIST(O$9*SQRT($C$11)*NORMSINV($B473)+SQRT(1-O$9^2*$C$11)*NORMSINV(N473))&lt;O$8,O$5+SQRT(NORMSDIST(O$9*SQRT($C$11)*NORMSINV($B473)+SQRT(1-O$9^2*$C$11)*NORMSINV(N473))*(O$7-O$5)*(O$6-O$5)),O$7-SQRT((1-NORMSDIST(O$9*SQRT($C$11)*NORMSINV($B473)+SQRT(1-O$9^2*$C$11)*NORMSINV(N473)))*(O$7-O$5)*(O$7-O$6))))</f>
        <v>0.165774493144456</v>
      </c>
      <c r="P473" s="2" t="n">
        <v>0.505750615</v>
      </c>
      <c r="Q473" s="2" t="n">
        <f aca="false">IF(Q$7=Q$5,Q$6,IF(NORMSDIST(Q$9*SQRT($C$11)*NORMSINV($B473)+SQRT(1-Q$9^2*$C$11)*NORMSINV(P473))&lt;Q$8,Q$5+SQRT(NORMSDIST(Q$9*SQRT($C$11)*NORMSINV($B473)+SQRT(1-Q$9^2*$C$11)*NORMSINV(P473))*(Q$7-Q$5)*(Q$6-Q$5)),Q$7-SQRT((1-NORMSDIST(Q$9*SQRT($C$11)*NORMSINV($B473)+SQRT(1-Q$9^2*$C$11)*NORMSINV(P473)))*(Q$7-Q$5)*(Q$7-Q$6))))</f>
        <v>0.0802306898224272</v>
      </c>
      <c r="R473" s="2" t="n">
        <v>0.220336215</v>
      </c>
      <c r="S473" s="2" t="n">
        <f aca="false">IF(S$7=S$5,S$6,IF(NORMSDIST(S$9*SQRT($C$11)*NORMSINV($B473)+SQRT(1-S$9^2*$C$11)*NORMSINV(R473))&lt;S$8,S$5+SQRT(NORMSDIST(S$9*SQRT($C$11)*NORMSINV($B473)+SQRT(1-S$9^2*$C$11)*NORMSINV(R473))*(S$7-S$5)*(S$6-S$5)),S$7-SQRT((1-NORMSDIST(S$9*SQRT($C$11)*NORMSINV($B473)+SQRT(1-S$9^2*$C$11)*NORMSINV(R473)))*(S$7-S$5)*(S$7-S$6))))</f>
        <v>0.384656151502228</v>
      </c>
      <c r="T473" s="2" t="n">
        <v>0.272812906</v>
      </c>
      <c r="U473" s="2" t="n">
        <f aca="false">IF(U$7=U$5,U$6,IF(NORMSDIST(U$9*SQRT($C$11)*NORMSINV($B473)+SQRT(1-U$9^2*$C$11)*NORMSINV(T473))&lt;U$8,U$5+SQRT(NORMSDIST(U$9*SQRT($C$11)*NORMSINV($B473)+SQRT(1-U$9^2*$C$11)*NORMSINV(T473))*(U$7-U$5)*(U$6-U$5)),U$7-SQRT((1-NORMSDIST(U$9*SQRT($C$11)*NORMSINV($B473)+SQRT(1-U$9^2*$C$11)*NORMSINV(T473)))*(U$7-U$5)*(U$7-U$6))))</f>
        <v>0.413519310700204</v>
      </c>
      <c r="V473" s="2" t="n">
        <v>0.445972234</v>
      </c>
      <c r="W473" s="2" t="n">
        <f aca="false">IF(W$7=W$5,W$6,IF(NORMSDIST(W$9*SQRT($C$11)*NORMSINV($B473)+SQRT(1-W$9^2*$C$11)*NORMSINV(V473))&lt;W$8,W$5+SQRT(NORMSDIST(W$9*SQRT($C$11)*NORMSINV($B473)+SQRT(1-W$9^2*$C$11)*NORMSINV(V473))*(W$7-W$5)*(W$6-W$5)),W$7-SQRT((1-NORMSDIST(W$9*SQRT($C$11)*NORMSINV($B473)+SQRT(1-W$9^2*$C$11)*NORMSINV(V473)))*(W$7-W$5)*(W$7-W$6))))</f>
        <v>9.96448155364503</v>
      </c>
      <c r="X473" s="2" t="n">
        <v>0.616221456</v>
      </c>
      <c r="Y473" s="2" t="n">
        <f aca="false">IF(Y$7=Y$5,Y$6,IF(NORMSDIST(Y$9*SQRT($C$11)*NORMSINV($B473)+SQRT(1-Y$9^2*$C$11)*NORMSINV(X473))&lt;Y$8,Y$5+SQRT(NORMSDIST(Y$9*SQRT($C$11)*NORMSINV($B473)+SQRT(1-Y$9^2*$C$11)*NORMSINV(X473))*(Y$7-Y$5)*(Y$6-Y$5)),Y$7-SQRT((1-NORMSDIST(Y$9*SQRT($C$11)*NORMSINV($B473)+SQRT(1-Y$9^2*$C$11)*NORMSINV(X473)))*(Y$7-Y$5)*(Y$7-Y$6))))</f>
        <v>0.561948322683271</v>
      </c>
      <c r="Z473" s="2" t="n">
        <v>0.422560182</v>
      </c>
      <c r="AA473" s="2" t="n">
        <f aca="false">IF(AA$7=AA$5,AA$6,IF(NORMSDIST(AA$9*SQRT($C$11)*NORMSINV($B473)+SQRT(1-AA$9^2*$C$11)*NORMSINV(Z473))&lt;AA$8,AA$5+SQRT(NORMSDIST(AA$9*SQRT($C$11)*NORMSINV($B473)+SQRT(1-AA$9^2*$C$11)*NORMSINV(Z473))*(AA$7-AA$5)*(AA$6-AA$5)),AA$7-SQRT((1-NORMSDIST(AA$9*SQRT($C$11)*NORMSINV($B473)+SQRT(1-AA$9^2*$C$11)*NORMSINV(Z473)))*(AA$7-AA$5)*(AA$7-AA$6))))</f>
        <v>0.726852830081043</v>
      </c>
      <c r="AB473" s="2" t="n">
        <v>0.881135556</v>
      </c>
      <c r="AC473" s="2" t="n">
        <f aca="false">IF(AC$7=AC$5,AC$6,IF(NORMSDIST(AC$9*SQRT($C$11)*NORMSINV($B473)+SQRT(1-AC$9^2*$C$11)*NORMSINV(AB473))&lt;AC$8,AC$5+SQRT(NORMSDIST(AC$9*SQRT($C$11)*NORMSINV($B473)+SQRT(1-AC$9^2*$C$11)*NORMSINV(AB473))*(AC$7-AC$5)*(AC$6-AC$5)),AC$7-SQRT((1-NORMSDIST(AC$9*SQRT($C$11)*NORMSINV($B473)+SQRT(1-AC$9^2*$C$11)*NORMSINV(AB473)))*(AC$7-AC$5)*(AC$7-AC$6))))</f>
        <v>10.1566956981387</v>
      </c>
      <c r="AD473" s="2" t="n">
        <f aca="false">Entrées!$C$8*(1+E473)</f>
        <v>7436.0515073329</v>
      </c>
      <c r="AE473" s="2" t="n">
        <f aca="false">I473*Hypothèses!$J$24/12/Hypothèses!$J$19</f>
        <v>99.6148479489667</v>
      </c>
      <c r="AF473" s="2" t="n">
        <f aca="false">Entrées!$C$36*S473*1000</f>
        <v>192.328075751114</v>
      </c>
      <c r="AG473" s="2" t="n">
        <f aca="false">-AF473/W473</f>
        <v>-19.301363017804</v>
      </c>
      <c r="AH473" s="2" t="n">
        <f aca="false">AD473+AE473+AG473</f>
        <v>7516.36499226406</v>
      </c>
      <c r="AI473" s="2" t="n">
        <f aca="false">Entrées!$C$16-M473+Hypothèses!$J$22*1000-AF473+Hypothèses!$J$23</f>
        <v>22901.9167253749</v>
      </c>
      <c r="AJ473" s="2" t="n">
        <f aca="false">AI473/AH473</f>
        <v>3.04694047574138</v>
      </c>
      <c r="AK473" s="2" t="n">
        <f aca="false">AI473/(AH473+I473*(12-Hypothèses!$J$24)/12/Hypothèses!$J$19)</f>
        <v>3.0183671856544</v>
      </c>
      <c r="AL473" s="2" t="n">
        <f aca="false">(AD473+AG473+I473/Hypothèses!$J$19)*(1+G473)</f>
        <v>7988.52157704051</v>
      </c>
      <c r="AM473" s="2" t="n">
        <f aca="false">Entrées!$C$54*K473/Hypothèses!$J$19</f>
        <v>20.6339657108814</v>
      </c>
      <c r="AN473" s="2" t="n">
        <f aca="false">Y473*1000/AC473</f>
        <v>55.327868372216</v>
      </c>
      <c r="AO473" s="2" t="n">
        <f aca="false">(Entrées!$C$36*(1-S473)+MAX(0,Entrées!$C$30-Entrées!$C$35-Entrées!$C$36)*U473)*1000</f>
        <v>886.598959229171</v>
      </c>
      <c r="AP473" s="2" t="n">
        <f aca="false">-AO473/W473</f>
        <v>-88.9759245833369</v>
      </c>
      <c r="AQ473" s="2" t="n">
        <f aca="false">AL473+AM473+AN473+AP473</f>
        <v>7975.50748654027</v>
      </c>
      <c r="AR473" s="2" t="n">
        <f aca="false">O473*AQ473-Hypothèses!$J$25/Hypothèses!$J$19</f>
        <v>1303.0005488894</v>
      </c>
      <c r="AS473" s="2" t="n">
        <f aca="false">Entrées!$C$79*(1+Q473)+Hypothèses!$J$20</f>
        <v>1482.17352811485</v>
      </c>
      <c r="AT473" s="2" t="n">
        <f aca="false">AI473-AR473+AS473+Y473*1000-AO473+Hypothèses!$J$23</f>
        <v>22756.4390680545</v>
      </c>
      <c r="AU473" s="2" t="n">
        <f aca="false">AT473/AQ473</f>
        <v>2.85329041524429</v>
      </c>
      <c r="AV473" s="2" t="n">
        <f aca="false">Hypothèses!$J$26*AQ473-AT473</f>
        <v>1170.08339156635</v>
      </c>
      <c r="AW473" s="2" t="n">
        <f aca="false">IF(AC473&gt;Hypothèses!$J$26,MAX(0,AV473)/(1-Hypothèses!$J$26/AC473),0)</f>
        <v>1660.56815195821</v>
      </c>
      <c r="AX473" s="2" t="n">
        <f aca="false">AQ473-Entrées!$C$17*1000</f>
        <v>-24.4925134597261</v>
      </c>
      <c r="AY473" s="2" t="n">
        <f aca="false">AI473+(Entrées!$C$244-Entrées!$C$13)</f>
        <v>28648.9167253749</v>
      </c>
      <c r="AZ473" s="2" t="n">
        <f aca="false">AA473*AH473</f>
        <v>5463.2911665492</v>
      </c>
      <c r="BA473" s="2" t="n">
        <f aca="false">AZ473/AY473</f>
        <v>0.190698001565632</v>
      </c>
      <c r="BB473" s="2" t="n">
        <f aca="false">AZ473/(Entrées!$C$151/100)-AY473</f>
        <v>1702.70086656509</v>
      </c>
      <c r="BC473" s="2" t="n">
        <f aca="false">AT473+(Entrées!$C$244-Entrées!$C$13)</f>
        <v>28503.4390680545</v>
      </c>
      <c r="BD473" s="2" t="n">
        <f aca="false">AA473*AQ473</f>
        <v>5797.02018792434</v>
      </c>
      <c r="BE473" s="2" t="n">
        <f aca="false">BD473/BC473</f>
        <v>0.203379675486998</v>
      </c>
      <c r="BF473" s="2" t="n">
        <f aca="false">BD473/(Entrées!$C$151/100)-BC473</f>
        <v>3702.22864263631</v>
      </c>
      <c r="BG473" s="2" t="n">
        <f aca="false">MIN(AV473,BF473)</f>
        <v>1170.08339156635</v>
      </c>
      <c r="BH473" s="2" t="n">
        <f aca="false">IF(AC473&gt;Hypothèses!$J$26,MAX(0,BG473)/(1-Hypothèses!$J$26/AC473),0)</f>
        <v>1660.56815195821</v>
      </c>
    </row>
    <row r="474" customFormat="false" ht="15" hidden="false" customHeight="false" outlineLevel="0" collapsed="false">
      <c r="A474" s="2" t="n">
        <v>459</v>
      </c>
      <c r="B474" s="2" t="n">
        <v>0.703352706</v>
      </c>
      <c r="C474" s="2"/>
      <c r="D474" s="2" t="n">
        <v>0.317643946</v>
      </c>
      <c r="E474" s="2" t="n">
        <f aca="false">IF(E$7=E$5,E$6,IF(NORMSDIST(E$9*SQRT($C$11)*NORMSINV($B474)+SQRT(1-E$9^2*$C$11)*NORMSINV(D474))&lt;E$8,E$5+SQRT(NORMSDIST(E$9*SQRT($C$11)*NORMSINV($B474)+SQRT(1-E$9^2*$C$11)*NORMSINV(D474))*(E$7-E$5)*(E$6-E$5)),E$7-SQRT((1-NORMSDIST(E$9*SQRT($C$11)*NORMSINV($B474)+SQRT(1-E$9^2*$C$11)*NORMSINV(D474)))*(E$7-E$5)*(E$7-E$6))))</f>
        <v>0.0549405822777464</v>
      </c>
      <c r="F474" s="2" t="n">
        <v>0.466391497</v>
      </c>
      <c r="G474" s="2" t="n">
        <f aca="false">IF(G$7=G$5,G$6,IF(NORMSDIST(G$9*SQRT($C$11)*NORMSINV($B474)+SQRT(1-G$9^2*$C$11)*NORMSINV(F474))&lt;G$8,G$5+SQRT(NORMSDIST(G$9*SQRT($C$11)*NORMSINV($B474)+SQRT(1-G$9^2*$C$11)*NORMSINV(F474))*(G$7-G$5)*(G$6-G$5)),G$7-SQRT((1-NORMSDIST(G$9*SQRT($C$11)*NORMSINV($B474)+SQRT(1-G$9^2*$C$11)*NORMSINV(F474)))*(G$7-G$5)*(G$7-G$6))))</f>
        <v>0.0567075754125367</v>
      </c>
      <c r="H474" s="2" t="n">
        <v>0.36543603</v>
      </c>
      <c r="I474" s="2" t="n">
        <f aca="false">IF(I$7=I$5,I$6,IF(NORMSDIST(I$9*SQRT($C$11)*NORMSINV($B474)+SQRT(1-I$9^2*$C$11)*NORMSINV(H474))&lt;I$8,I$5+SQRT(NORMSDIST(I$9*SQRT($C$11)*NORMSINV($B474)+SQRT(1-I$9^2*$C$11)*NORMSINV(H474))*(I$7-I$5)*(I$6-I$5)),I$7-SQRT((1-NORMSDIST(I$9*SQRT($C$11)*NORMSINV($B474)+SQRT(1-I$9^2*$C$11)*NORMSINV(H474)))*(I$7-I$5)*(I$7-I$6))))</f>
        <v>200.577048743601</v>
      </c>
      <c r="J474" s="2" t="n">
        <v>0.499504404</v>
      </c>
      <c r="K474" s="2" t="n">
        <f aca="false">IF(K$7=K$5,K$6,IF(NORMSDIST(K$9*SQRT($C$11)*NORMSINV($B474)+SQRT(1-K$9^2*$C$11)*NORMSINV(J474))&lt;K$8,K$5+SQRT(NORMSDIST(K$9*SQRT($C$11)*NORMSINV($B474)+SQRT(1-K$9^2*$C$11)*NORMSINV(J474))*(K$7-K$5)*(K$6-K$5)),K$7-SQRT((1-NORMSDIST(K$9*SQRT($C$11)*NORMSINV($B474)+SQRT(1-K$9^2*$C$11)*NORMSINV(J474)))*(K$7-K$5)*(K$7-K$6))))</f>
        <v>0.285486204405901</v>
      </c>
      <c r="L474" s="2" t="n">
        <v>0.785002953</v>
      </c>
      <c r="M474" s="2" t="n">
        <f aca="false">IF(M$7=M$5,M$6,IF(NORMSDIST(M$9*SQRT($C$11)*NORMSINV($B474)+SQRT(1-M$9^2*$C$11)*NORMSINV(L474))&lt;M$8,M$5+SQRT(NORMSDIST(M$9*SQRT($C$11)*NORMSINV($B474)+SQRT(1-M$9^2*$C$11)*NORMSINV(L474))*(M$7-M$5)*(M$6-M$5)),M$7-SQRT((1-NORMSDIST(M$9*SQRT($C$11)*NORMSINV($B474)+SQRT(1-M$9^2*$C$11)*NORMSINV(L474)))*(M$7-M$5)*(M$7-M$6))))</f>
        <v>1675.12621951509</v>
      </c>
      <c r="N474" s="2" t="n">
        <v>0.79111231</v>
      </c>
      <c r="O474" s="2" t="n">
        <f aca="false">IF(O$7=O$5,O$6,IF(NORMSDIST(O$9*SQRT($C$11)*NORMSINV($B474)+SQRT(1-O$9^2*$C$11)*NORMSINV(N474))&lt;O$8,O$5+SQRT(NORMSDIST(O$9*SQRT($C$11)*NORMSINV($B474)+SQRT(1-O$9^2*$C$11)*NORMSINV(N474))*(O$7-O$5)*(O$6-O$5)),O$7-SQRT((1-NORMSDIST(O$9*SQRT($C$11)*NORMSINV($B474)+SQRT(1-O$9^2*$C$11)*NORMSINV(N474)))*(O$7-O$5)*(O$7-O$6))))</f>
        <v>0.176655952309664</v>
      </c>
      <c r="P474" s="2" t="n">
        <v>0.005202612</v>
      </c>
      <c r="Q474" s="2" t="n">
        <f aca="false">IF(Q$7=Q$5,Q$6,IF(NORMSDIST(Q$9*SQRT($C$11)*NORMSINV($B474)+SQRT(1-Q$9^2*$C$11)*NORMSINV(P474))&lt;Q$8,Q$5+SQRT(NORMSDIST(Q$9*SQRT($C$11)*NORMSINV($B474)+SQRT(1-Q$9^2*$C$11)*NORMSINV(P474))*(Q$7-Q$5)*(Q$6-Q$5)),Q$7-SQRT((1-NORMSDIST(Q$9*SQRT($C$11)*NORMSINV($B474)+SQRT(1-Q$9^2*$C$11)*NORMSINV(P474)))*(Q$7-Q$5)*(Q$7-Q$6))))</f>
        <v>0.0440802399929416</v>
      </c>
      <c r="R474" s="2" t="n">
        <v>0.783478176</v>
      </c>
      <c r="S474" s="2" t="n">
        <f aca="false">IF(S$7=S$5,S$6,IF(NORMSDIST(S$9*SQRT($C$11)*NORMSINV($B474)+SQRT(1-S$9^2*$C$11)*NORMSINV(R474))&lt;S$8,S$5+SQRT(NORMSDIST(S$9*SQRT($C$11)*NORMSINV($B474)+SQRT(1-S$9^2*$C$11)*NORMSINV(R474))*(S$7-S$5)*(S$6-S$5)),S$7-SQRT((1-NORMSDIST(S$9*SQRT($C$11)*NORMSINV($B474)+SQRT(1-S$9^2*$C$11)*NORMSINV(R474)))*(S$7-S$5)*(S$7-S$6))))</f>
        <v>0.706473309882459</v>
      </c>
      <c r="T474" s="2" t="n">
        <v>0.190206796</v>
      </c>
      <c r="U474" s="2" t="n">
        <f aca="false">IF(U$7=U$5,U$6,IF(NORMSDIST(U$9*SQRT($C$11)*NORMSINV($B474)+SQRT(1-U$9^2*$C$11)*NORMSINV(T474))&lt;U$8,U$5+SQRT(NORMSDIST(U$9*SQRT($C$11)*NORMSINV($B474)+SQRT(1-U$9^2*$C$11)*NORMSINV(T474))*(U$7-U$5)*(U$6-U$5)),U$7-SQRT((1-NORMSDIST(U$9*SQRT($C$11)*NORMSINV($B474)+SQRT(1-U$9^2*$C$11)*NORMSINV(T474)))*(U$7-U$5)*(U$7-U$6))))</f>
        <v>0.427964173845058</v>
      </c>
      <c r="V474" s="2" t="n">
        <v>0.94647662</v>
      </c>
      <c r="W474" s="2" t="n">
        <f aca="false">IF(W$7=W$5,W$6,IF(NORMSDIST(W$9*SQRT($C$11)*NORMSINV($B474)+SQRT(1-W$9^2*$C$11)*NORMSINV(V474))&lt;W$8,W$5+SQRT(NORMSDIST(W$9*SQRT($C$11)*NORMSINV($B474)+SQRT(1-W$9^2*$C$11)*NORMSINV(V474))*(W$7-W$5)*(W$6-W$5)),W$7-SQRT((1-NORMSDIST(W$9*SQRT($C$11)*NORMSINV($B474)+SQRT(1-W$9^2*$C$11)*NORMSINV(V474)))*(W$7-W$5)*(W$7-W$6))))</f>
        <v>11.3285490370006</v>
      </c>
      <c r="X474" s="2" t="n">
        <v>0.352625022</v>
      </c>
      <c r="Y474" s="2" t="n">
        <f aca="false">IF(Y$7=Y$5,Y$6,IF(NORMSDIST(Y$9*SQRT($C$11)*NORMSINV($B474)+SQRT(1-Y$9^2*$C$11)*NORMSINV(X474))&lt;Y$8,Y$5+SQRT(NORMSDIST(Y$9*SQRT($C$11)*NORMSINV($B474)+SQRT(1-Y$9^2*$C$11)*NORMSINV(X474))*(Y$7-Y$5)*(Y$6-Y$5)),Y$7-SQRT((1-NORMSDIST(Y$9*SQRT($C$11)*NORMSINV($B474)+SQRT(1-Y$9^2*$C$11)*NORMSINV(X474)))*(Y$7-Y$5)*(Y$7-Y$6))))</f>
        <v>0.419895833511122</v>
      </c>
      <c r="Z474" s="2" t="n">
        <v>0.919744478</v>
      </c>
      <c r="AA474" s="2" t="n">
        <f aca="false">IF(AA$7=AA$5,AA$6,IF(NORMSDIST(AA$9*SQRT($C$11)*NORMSINV($B474)+SQRT(1-AA$9^2*$C$11)*NORMSINV(Z474))&lt;AA$8,AA$5+SQRT(NORMSDIST(AA$9*SQRT($C$11)*NORMSINV($B474)+SQRT(1-AA$9^2*$C$11)*NORMSINV(Z474))*(AA$7-AA$5)*(AA$6-AA$5)),AA$7-SQRT((1-NORMSDIST(AA$9*SQRT($C$11)*NORMSINV($B474)+SQRT(1-AA$9^2*$C$11)*NORMSINV(Z474)))*(AA$7-AA$5)*(AA$7-AA$6))))</f>
        <v>0.743915736779309</v>
      </c>
      <c r="AB474" s="2" t="n">
        <v>0.376552717</v>
      </c>
      <c r="AC474" s="2" t="n">
        <f aca="false">IF(AC$7=AC$5,AC$6,IF(NORMSDIST(AC$9*SQRT($C$11)*NORMSINV($B474)+SQRT(1-AC$9^2*$C$11)*NORMSINV(AB474))&lt;AC$8,AC$5+SQRT(NORMSDIST(AC$9*SQRT($C$11)*NORMSINV($B474)+SQRT(1-AC$9^2*$C$11)*NORMSINV(AB474))*(AC$7-AC$5)*(AC$6-AC$5)),AC$7-SQRT((1-NORMSDIST(AC$9*SQRT($C$11)*NORMSINV($B474)+SQRT(1-AC$9^2*$C$11)*NORMSINV(AB474)))*(AC$7-AC$5)*(AC$7-AC$6))))</f>
        <v>9.55498584069997</v>
      </c>
      <c r="AD474" s="2" t="n">
        <f aca="false">Entrées!$C$8*(1+E474)</f>
        <v>7437.33110505811</v>
      </c>
      <c r="AE474" s="2" t="n">
        <f aca="false">I474*Hypothèses!$J$24/12/Hypothèses!$J$19</f>
        <v>99.5056319098818</v>
      </c>
      <c r="AF474" s="2" t="n">
        <f aca="false">Entrées!$C$36*S474*1000</f>
        <v>353.23665494123</v>
      </c>
      <c r="AG474" s="2" t="n">
        <f aca="false">-AF474/W474</f>
        <v>-31.1811030510183</v>
      </c>
      <c r="AH474" s="2" t="n">
        <f aca="false">AD474+AE474+AG474</f>
        <v>7505.65563391698</v>
      </c>
      <c r="AI474" s="2" t="n">
        <f aca="false">Entrées!$C$16-M474+Hypothèses!$J$22*1000-AF474+Hypothèses!$J$23</f>
        <v>22519.6371255437</v>
      </c>
      <c r="AJ474" s="2" t="n">
        <f aca="false">AI474/AH474</f>
        <v>3.00035576156474</v>
      </c>
      <c r="AK474" s="2" t="n">
        <f aca="false">AI474/(AH474+I474*(12-Hypothèses!$J$24)/12/Hypothèses!$J$19)</f>
        <v>2.97221016188513</v>
      </c>
      <c r="AL474" s="2" t="n">
        <f aca="false">(AD474+AG474+I474/Hypothèses!$J$19)*(1+G474)</f>
        <v>8006.38913468027</v>
      </c>
      <c r="AM474" s="2" t="n">
        <f aca="false">Entrées!$C$54*K474/Hypothèses!$J$19</f>
        <v>29.135065838734</v>
      </c>
      <c r="AN474" s="2" t="n">
        <f aca="false">Y474*1000/AC474</f>
        <v>43.9452072992671</v>
      </c>
      <c r="AO474" s="2" t="n">
        <f aca="false">(Entrées!$C$36*(1-S474)+MAX(0,Entrées!$C$30-Entrées!$C$35-Entrées!$C$36)*U474)*1000</f>
        <v>745.913188441851</v>
      </c>
      <c r="AP474" s="2" t="n">
        <f aca="false">-AO474/W474</f>
        <v>-65.8436650629835</v>
      </c>
      <c r="AQ474" s="2" t="n">
        <f aca="false">AL474+AM474+AN474+AP474</f>
        <v>8013.62574275529</v>
      </c>
      <c r="AR474" s="2" t="n">
        <f aca="false">O474*AQ474-Hypothèses!$J$25/Hypothèses!$J$19</f>
        <v>1396.51952477805</v>
      </c>
      <c r="AS474" s="2" t="n">
        <f aca="false">Entrées!$C$79*(1+Q474)+Hypothèses!$J$20</f>
        <v>1442.44418375224</v>
      </c>
      <c r="AT474" s="2" t="n">
        <f aca="false">AI474-AR474+AS474+Y474*1000-AO474+Hypothèses!$J$23</f>
        <v>22239.5444295871</v>
      </c>
      <c r="AU474" s="2" t="n">
        <f aca="false">AT474/AQ474</f>
        <v>2.77521625584933</v>
      </c>
      <c r="AV474" s="2" t="n">
        <f aca="false">Hypothèses!$J$26*AQ474-AT474</f>
        <v>1801.33279867873</v>
      </c>
      <c r="AW474" s="2" t="n">
        <f aca="false">IF(AC474&gt;Hypothèses!$J$26,MAX(0,AV474)/(1-Hypothèses!$J$26/AC474),0)</f>
        <v>2625.74318298234</v>
      </c>
      <c r="AX474" s="2" t="n">
        <f aca="false">AQ474-Entrées!$C$17*1000</f>
        <v>13.6257427552891</v>
      </c>
      <c r="AY474" s="2" t="n">
        <f aca="false">AI474+(Entrées!$C$244-Entrées!$C$13)</f>
        <v>28266.6371255437</v>
      </c>
      <c r="AZ474" s="2" t="n">
        <f aca="false">AA474*AH474</f>
        <v>5583.57534091712</v>
      </c>
      <c r="BA474" s="2" t="n">
        <f aca="false">AZ474/AY474</f>
        <v>0.197532352933184</v>
      </c>
      <c r="BB474" s="2" t="n">
        <f aca="false">AZ474/(Entrées!$C$151/100)-AY474</f>
        <v>2753.22587955145</v>
      </c>
      <c r="BC474" s="2" t="n">
        <f aca="false">AT474+(Entrées!$C$244-Entrées!$C$13)</f>
        <v>27986.5444295871</v>
      </c>
      <c r="BD474" s="2" t="n">
        <f aca="false">AA474*AQ474</f>
        <v>5961.46229869544</v>
      </c>
      <c r="BE474" s="2" t="n">
        <f aca="false">BD474/BC474</f>
        <v>0.21301173189474</v>
      </c>
      <c r="BF474" s="2" t="n">
        <f aca="false">BD474/(Entrées!$C$151/100)-BC474</f>
        <v>5132.69056316531</v>
      </c>
      <c r="BG474" s="2" t="n">
        <f aca="false">MIN(AV474,BF474)</f>
        <v>1801.33279867873</v>
      </c>
      <c r="BH474" s="2" t="n">
        <f aca="false">IF(AC474&gt;Hypothèses!$J$26,MAX(0,BG474)/(1-Hypothèses!$J$26/AC474),0)</f>
        <v>2625.74318298234</v>
      </c>
    </row>
    <row r="475" customFormat="false" ht="15" hidden="false" customHeight="false" outlineLevel="0" collapsed="false">
      <c r="A475" s="2" t="n">
        <v>460</v>
      </c>
      <c r="B475" s="2" t="n">
        <v>0.012347188</v>
      </c>
      <c r="C475" s="2"/>
      <c r="D475" s="2" t="n">
        <v>0.791064246</v>
      </c>
      <c r="E475" s="2" t="n">
        <f aca="false">IF(E$7=E$5,E$6,IF(NORMSDIST(E$9*SQRT($C$11)*NORMSINV($B475)+SQRT(1-E$9^2*$C$11)*NORMSINV(D475))&lt;E$8,E$5+SQRT(NORMSDIST(E$9*SQRT($C$11)*NORMSINV($B475)+SQRT(1-E$9^2*$C$11)*NORMSINV(D475))*(E$7-E$5)*(E$6-E$5)),E$7-SQRT((1-NORMSDIST(E$9*SQRT($C$11)*NORMSINV($B475)+SQRT(1-E$9^2*$C$11)*NORMSINV(D475)))*(E$7-E$5)*(E$7-E$6))))</f>
        <v>0.053270070644072</v>
      </c>
      <c r="F475" s="2" t="n">
        <v>0.636615125</v>
      </c>
      <c r="G475" s="2" t="n">
        <f aca="false">IF(G$7=G$5,G$6,IF(NORMSDIST(G$9*SQRT($C$11)*NORMSINV($B475)+SQRT(1-G$9^2*$C$11)*NORMSINV(F475))&lt;G$8,G$5+SQRT(NORMSDIST(G$9*SQRT($C$11)*NORMSINV($B475)+SQRT(1-G$9^2*$C$11)*NORMSINV(F475))*(G$7-G$5)*(G$6-G$5)),G$7-SQRT((1-NORMSDIST(G$9*SQRT($C$11)*NORMSINV($B475)+SQRT(1-G$9^2*$C$11)*NORMSINV(F475)))*(G$7-G$5)*(G$7-G$6))))</f>
        <v>0.0475026131360022</v>
      </c>
      <c r="H475" s="2" t="n">
        <v>0.665414226</v>
      </c>
      <c r="I475" s="2" t="n">
        <f aca="false">IF(I$7=I$5,I$6,IF(NORMSDIST(I$9*SQRT($C$11)*NORMSINV($B475)+SQRT(1-I$9^2*$C$11)*NORMSINV(H475))&lt;I$8,I$5+SQRT(NORMSDIST(I$9*SQRT($C$11)*NORMSINV($B475)+SQRT(1-I$9^2*$C$11)*NORMSINV(H475))*(I$7-I$5)*(I$6-I$5)),I$7-SQRT((1-NORMSDIST(I$9*SQRT($C$11)*NORMSINV($B475)+SQRT(1-I$9^2*$C$11)*NORMSINV(H475)))*(I$7-I$5)*(I$7-I$6))))</f>
        <v>190.504896338862</v>
      </c>
      <c r="J475" s="2" t="n">
        <v>0.736800171</v>
      </c>
      <c r="K475" s="2" t="n">
        <f aca="false">IF(K$7=K$5,K$6,IF(NORMSDIST(K$9*SQRT($C$11)*NORMSINV($B475)+SQRT(1-K$9^2*$C$11)*NORMSINV(J475))&lt;K$8,K$5+SQRT(NORMSDIST(K$9*SQRT($C$11)*NORMSINV($B475)+SQRT(1-K$9^2*$C$11)*NORMSINV(J475))*(K$7-K$5)*(K$6-K$5)),K$7-SQRT((1-NORMSDIST(K$9*SQRT($C$11)*NORMSINV($B475)+SQRT(1-K$9^2*$C$11)*NORMSINV(J475)))*(K$7-K$5)*(K$7-K$6))))</f>
        <v>0.148415833728864</v>
      </c>
      <c r="L475" s="2" t="n">
        <v>0.690551167</v>
      </c>
      <c r="M475" s="2" t="n">
        <f aca="false">IF(M$7=M$5,M$6,IF(NORMSDIST(M$9*SQRT($C$11)*NORMSINV($B475)+SQRT(1-M$9^2*$C$11)*NORMSINV(L475))&lt;M$8,M$5+SQRT(NORMSDIST(M$9*SQRT($C$11)*NORMSINV($B475)+SQRT(1-M$9^2*$C$11)*NORMSINV(L475))*(M$7-M$5)*(M$6-M$5)),M$7-SQRT((1-NORMSDIST(M$9*SQRT($C$11)*NORMSINV($B475)+SQRT(1-M$9^2*$C$11)*NORMSINV(L475)))*(M$7-M$5)*(M$7-M$6))))</f>
        <v>1457.8771870459</v>
      </c>
      <c r="N475" s="2" t="n">
        <v>0.668880228</v>
      </c>
      <c r="O475" s="2" t="n">
        <f aca="false">IF(O$7=O$5,O$6,IF(NORMSDIST(O$9*SQRT($C$11)*NORMSINV($B475)+SQRT(1-O$9^2*$C$11)*NORMSINV(N475))&lt;O$8,O$5+SQRT(NORMSDIST(O$9*SQRT($C$11)*NORMSINV($B475)+SQRT(1-O$9^2*$C$11)*NORMSINV(N475))*(O$7-O$5)*(O$6-O$5)),O$7-SQRT((1-NORMSDIST(O$9*SQRT($C$11)*NORMSINV($B475)+SQRT(1-O$9^2*$C$11)*NORMSINV(N475)))*(O$7-O$5)*(O$7-O$6))))</f>
        <v>0.154151519416649</v>
      </c>
      <c r="P475" s="2" t="n">
        <v>0.855297081</v>
      </c>
      <c r="Q475" s="2" t="n">
        <f aca="false">IF(Q$7=Q$5,Q$6,IF(NORMSDIST(Q$9*SQRT($C$11)*NORMSINV($B475)+SQRT(1-Q$9^2*$C$11)*NORMSINV(P475))&lt;Q$8,Q$5+SQRT(NORMSDIST(Q$9*SQRT($C$11)*NORMSINV($B475)+SQRT(1-Q$9^2*$C$11)*NORMSINV(P475))*(Q$7-Q$5)*(Q$6-Q$5)),Q$7-SQRT((1-NORMSDIST(Q$9*SQRT($C$11)*NORMSINV($B475)+SQRT(1-Q$9^2*$C$11)*NORMSINV(P475)))*(Q$7-Q$5)*(Q$7-Q$6))))</f>
        <v>0.0984814187084743</v>
      </c>
      <c r="R475" s="2" t="n">
        <v>0.214989509</v>
      </c>
      <c r="S475" s="2" t="n">
        <f aca="false">IF(S$7=S$5,S$6,IF(NORMSDIST(S$9*SQRT($C$11)*NORMSINV($B475)+SQRT(1-S$9^2*$C$11)*NORMSINV(R475))&lt;S$8,S$5+SQRT(NORMSDIST(S$9*SQRT($C$11)*NORMSINV($B475)+SQRT(1-S$9^2*$C$11)*NORMSINV(R475))*(S$7-S$5)*(S$6-S$5)),S$7-SQRT((1-NORMSDIST(S$9*SQRT($C$11)*NORMSINV($B475)+SQRT(1-S$9^2*$C$11)*NORMSINV(R475)))*(S$7-S$5)*(S$7-S$6))))</f>
        <v>0.102666234662507</v>
      </c>
      <c r="T475" s="2" t="n">
        <v>0.551713988</v>
      </c>
      <c r="U475" s="2" t="n">
        <f aca="false">IF(U$7=U$5,U$6,IF(NORMSDIST(U$9*SQRT($C$11)*NORMSINV($B475)+SQRT(1-U$9^2*$C$11)*NORMSINV(T475))&lt;U$8,U$5+SQRT(NORMSDIST(U$9*SQRT($C$11)*NORMSINV($B475)+SQRT(1-U$9^2*$C$11)*NORMSINV(T475))*(U$7-U$5)*(U$6-U$5)),U$7-SQRT((1-NORMSDIST(U$9*SQRT($C$11)*NORMSINV($B475)+SQRT(1-U$9^2*$C$11)*NORMSINV(T475)))*(U$7-U$5)*(U$7-U$6))))</f>
        <v>0.21614174874899</v>
      </c>
      <c r="V475" s="2" t="n">
        <v>0.84597276</v>
      </c>
      <c r="W475" s="2" t="n">
        <f aca="false">IF(W$7=W$5,W$6,IF(NORMSDIST(W$9*SQRT($C$11)*NORMSINV($B475)+SQRT(1-W$9^2*$C$11)*NORMSINV(V475))&lt;W$8,W$5+SQRT(NORMSDIST(W$9*SQRT($C$11)*NORMSINV($B475)+SQRT(1-W$9^2*$C$11)*NORMSINV(V475))*(W$7-W$5)*(W$6-W$5)),W$7-SQRT((1-NORMSDIST(W$9*SQRT($C$11)*NORMSINV($B475)+SQRT(1-W$9^2*$C$11)*NORMSINV(V475)))*(W$7-W$5)*(W$7-W$6))))</f>
        <v>9.45329740704947</v>
      </c>
      <c r="X475" s="2" t="n">
        <v>0.709006669</v>
      </c>
      <c r="Y475" s="2" t="n">
        <f aca="false">IF(Y$7=Y$5,Y$6,IF(NORMSDIST(Y$9*SQRT($C$11)*NORMSINV($B475)+SQRT(1-Y$9^2*$C$11)*NORMSINV(X475))&lt;Y$8,Y$5+SQRT(NORMSDIST(Y$9*SQRT($C$11)*NORMSINV($B475)+SQRT(1-Y$9^2*$C$11)*NORMSINV(X475))*(Y$7-Y$5)*(Y$6-Y$5)),Y$7-SQRT((1-NORMSDIST(Y$9*SQRT($C$11)*NORMSINV($B475)+SQRT(1-Y$9^2*$C$11)*NORMSINV(X475)))*(Y$7-Y$5)*(Y$7-Y$6))))</f>
        <v>0.618559748453313</v>
      </c>
      <c r="Z475" s="2" t="n">
        <v>0.989336217</v>
      </c>
      <c r="AA475" s="2" t="n">
        <f aca="false">IF(AA$7=AA$5,AA$6,IF(NORMSDIST(AA$9*SQRT($C$11)*NORMSINV($B475)+SQRT(1-AA$9^2*$C$11)*NORMSINV(Z475))&lt;AA$8,AA$5+SQRT(NORMSDIST(AA$9*SQRT($C$11)*NORMSINV($B475)+SQRT(1-AA$9^2*$C$11)*NORMSINV(Z475))*(AA$7-AA$5)*(AA$6-AA$5)),AA$7-SQRT((1-NORMSDIST(AA$9*SQRT($C$11)*NORMSINV($B475)+SQRT(1-AA$9^2*$C$11)*NORMSINV(Z475)))*(AA$7-AA$5)*(AA$7-AA$6))))</f>
        <v>0.732405233210968</v>
      </c>
      <c r="AB475" s="2" t="n">
        <v>0.450207826</v>
      </c>
      <c r="AC475" s="2" t="n">
        <f aca="false">IF(AC$7=AC$5,AC$6,IF(NORMSDIST(AC$9*SQRT($C$11)*NORMSINV($B475)+SQRT(1-AC$9^2*$C$11)*NORMSINV(AB475))&lt;AC$8,AC$5+SQRT(NORMSDIST(AC$9*SQRT($C$11)*NORMSINV($B475)+SQRT(1-AC$9^2*$C$11)*NORMSINV(AB475))*(AC$7-AC$5)*(AC$6-AC$5)),AC$7-SQRT((1-NORMSDIST(AC$9*SQRT($C$11)*NORMSINV($B475)+SQRT(1-AC$9^2*$C$11)*NORMSINV(AB475)))*(AC$7-AC$5)*(AC$7-AC$6))))</f>
        <v>8.14690340548009</v>
      </c>
      <c r="AD475" s="2" t="n">
        <f aca="false">Entrées!$C$8*(1+E475)</f>
        <v>7425.55399804071</v>
      </c>
      <c r="AE475" s="2" t="n">
        <f aca="false">I475*Hypothèses!$J$24/12/Hypothèses!$J$19</f>
        <v>94.5088693390687</v>
      </c>
      <c r="AF475" s="2" t="n">
        <f aca="false">Entrées!$C$36*S475*1000</f>
        <v>51.3331173312534</v>
      </c>
      <c r="AG475" s="2" t="n">
        <f aca="false">-AF475/W475</f>
        <v>-5.43018114430352</v>
      </c>
      <c r="AH475" s="2" t="n">
        <f aca="false">AD475+AE475+AG475</f>
        <v>7514.63268623547</v>
      </c>
      <c r="AI475" s="2" t="n">
        <f aca="false">Entrées!$C$16-M475+Hypothèses!$J$22*1000-AF475+Hypothèses!$J$23</f>
        <v>23038.7896956228</v>
      </c>
      <c r="AJ475" s="2" t="n">
        <f aca="false">AI475/AH475</f>
        <v>3.06585706282396</v>
      </c>
      <c r="AK475" s="2" t="n">
        <f aca="false">AI475/(AH475+I475*(12-Hypothèses!$J$24)/12/Hypothèses!$J$19)</f>
        <v>3.03856070567444</v>
      </c>
      <c r="AL475" s="2" t="n">
        <f aca="false">(AD475+AG475+I475/Hypothèses!$J$19)*(1+G475)</f>
        <v>7942.31043815831</v>
      </c>
      <c r="AM475" s="2" t="n">
        <f aca="false">Entrées!$C$54*K475/Hypothèses!$J$19</f>
        <v>15.1464589898469</v>
      </c>
      <c r="AN475" s="2" t="n">
        <f aca="false">Y475*1000/AC475</f>
        <v>75.9257496581134</v>
      </c>
      <c r="AO475" s="2" t="n">
        <f aca="false">(Entrées!$C$36*(1-S475)+MAX(0,Entrées!$C$30-Entrées!$C$35-Entrées!$C$36)*U475)*1000</f>
        <v>751.265330917332</v>
      </c>
      <c r="AP475" s="2" t="n">
        <f aca="false">-AO475/W475</f>
        <v>-79.4712467585228</v>
      </c>
      <c r="AQ475" s="2" t="n">
        <f aca="false">AL475+AM475+AN475+AP475</f>
        <v>7953.91140004774</v>
      </c>
      <c r="AR475" s="2" t="n">
        <f aca="false">O475*AQ475-Hypothèses!$J$25/Hypothèses!$J$19</f>
        <v>1206.97236536114</v>
      </c>
      <c r="AS475" s="2" t="n">
        <f aca="false">Entrées!$C$79*(1+Q475)+Hypothèses!$J$20</f>
        <v>1502.23107916061</v>
      </c>
      <c r="AT475" s="2" t="n">
        <f aca="false">AI475-AR475+AS475+Y475*1000-AO475+Hypothèses!$J$23</f>
        <v>23201.3428269583</v>
      </c>
      <c r="AU475" s="2" t="n">
        <f aca="false">AT475/AQ475</f>
        <v>2.91697275215048</v>
      </c>
      <c r="AV475" s="2" t="n">
        <f aca="false">Hypothèses!$J$26*AQ475-AT475</f>
        <v>660.391373184924</v>
      </c>
      <c r="AW475" s="2" t="n">
        <f aca="false">IF(AC475&gt;Hypothèses!$J$26,MAX(0,AV475)/(1-Hypothèses!$J$26/AC475),0)</f>
        <v>1045.31682514607</v>
      </c>
      <c r="AX475" s="2" t="n">
        <f aca="false">AQ475-Entrées!$C$17*1000</f>
        <v>-46.0885999522579</v>
      </c>
      <c r="AY475" s="2" t="n">
        <f aca="false">AI475+(Entrées!$C$244-Entrées!$C$13)</f>
        <v>28785.7896956228</v>
      </c>
      <c r="AZ475" s="2" t="n">
        <f aca="false">AA475*AH475</f>
        <v>5503.75630505706</v>
      </c>
      <c r="BA475" s="2" t="n">
        <f aca="false">AZ475/AY475</f>
        <v>0.191196988627133</v>
      </c>
      <c r="BB475" s="2" t="n">
        <f aca="false">AZ475/(Entrées!$C$151/100)-AY475</f>
        <v>1790.6342213608</v>
      </c>
      <c r="BC475" s="2" t="n">
        <f aca="false">AT475+(Entrées!$C$244-Entrées!$C$13)</f>
        <v>28948.3428269583</v>
      </c>
      <c r="BD475" s="2" t="n">
        <f aca="false">AA475*AQ475</f>
        <v>5825.48633389134</v>
      </c>
      <c r="BE475" s="2" t="n">
        <f aca="false">BD475/BC475</f>
        <v>0.201237299444524</v>
      </c>
      <c r="BF475" s="2" t="n">
        <f aca="false">BD475/(Entrées!$C$151/100)-BC475</f>
        <v>3415.47013910472</v>
      </c>
      <c r="BG475" s="2" t="n">
        <f aca="false">MIN(AV475,BF475)</f>
        <v>660.391373184924</v>
      </c>
      <c r="BH475" s="2" t="n">
        <f aca="false">IF(AC475&gt;Hypothèses!$J$26,MAX(0,BG475)/(1-Hypothèses!$J$26/AC475),0)</f>
        <v>1045.31682514607</v>
      </c>
    </row>
    <row r="476" customFormat="false" ht="15" hidden="false" customHeight="false" outlineLevel="0" collapsed="false">
      <c r="A476" s="2" t="n">
        <v>461</v>
      </c>
      <c r="B476" s="2" t="n">
        <v>0.31448935</v>
      </c>
      <c r="C476" s="2"/>
      <c r="D476" s="2" t="n">
        <v>0.758506954</v>
      </c>
      <c r="E476" s="2" t="n">
        <f aca="false">IF(E$7=E$5,E$6,IF(NORMSDIST(E$9*SQRT($C$11)*NORMSINV($B476)+SQRT(1-E$9^2*$C$11)*NORMSINV(D476))&lt;E$8,E$5+SQRT(NORMSDIST(E$9*SQRT($C$11)*NORMSINV($B476)+SQRT(1-E$9^2*$C$11)*NORMSINV(D476))*(E$7-E$5)*(E$6-E$5)),E$7-SQRT((1-NORMSDIST(E$9*SQRT($C$11)*NORMSINV($B476)+SQRT(1-E$9^2*$C$11)*NORMSINV(D476)))*(E$7-E$5)*(E$7-E$6))))</f>
        <v>0.0554943590635997</v>
      </c>
      <c r="F476" s="2" t="n">
        <v>0.764814521</v>
      </c>
      <c r="G476" s="2" t="n">
        <f aca="false">IF(G$7=G$5,G$6,IF(NORMSDIST(G$9*SQRT($C$11)*NORMSINV($B476)+SQRT(1-G$9^2*$C$11)*NORMSINV(F476))&lt;G$8,G$5+SQRT(NORMSDIST(G$9*SQRT($C$11)*NORMSINV($B476)+SQRT(1-G$9^2*$C$11)*NORMSINV(F476))*(G$7-G$5)*(G$6-G$5)),G$7-SQRT((1-NORMSDIST(G$9*SQRT($C$11)*NORMSINV($B476)+SQRT(1-G$9^2*$C$11)*NORMSINV(F476)))*(G$7-G$5)*(G$7-G$6))))</f>
        <v>0.0565851152034462</v>
      </c>
      <c r="H476" s="2" t="n">
        <v>0.176525808</v>
      </c>
      <c r="I476" s="2" t="n">
        <f aca="false">IF(I$7=I$5,I$6,IF(NORMSDIST(I$9*SQRT($C$11)*NORMSINV($B476)+SQRT(1-I$9^2*$C$11)*NORMSINV(H476))&lt;I$8,I$5+SQRT(NORMSDIST(I$9*SQRT($C$11)*NORMSINV($B476)+SQRT(1-I$9^2*$C$11)*NORMSINV(H476))*(I$7-I$5)*(I$6-I$5)),I$7-SQRT((1-NORMSDIST(I$9*SQRT($C$11)*NORMSINV($B476)+SQRT(1-I$9^2*$C$11)*NORMSINV(H476)))*(I$7-I$5)*(I$7-I$6))))</f>
        <v>191.052467415174</v>
      </c>
      <c r="J476" s="2" t="n">
        <v>0.096991994</v>
      </c>
      <c r="K476" s="2" t="n">
        <f aca="false">IF(K$7=K$5,K$6,IF(NORMSDIST(K$9*SQRT($C$11)*NORMSINV($B476)+SQRT(1-K$9^2*$C$11)*NORMSINV(J476))&lt;K$8,K$5+SQRT(NORMSDIST(K$9*SQRT($C$11)*NORMSINV($B476)+SQRT(1-K$9^2*$C$11)*NORMSINV(J476))*(K$7-K$5)*(K$6-K$5)),K$7-SQRT((1-NORMSDIST(K$9*SQRT($C$11)*NORMSINV($B476)+SQRT(1-K$9^2*$C$11)*NORMSINV(J476)))*(K$7-K$5)*(K$7-K$6))))</f>
        <v>0.108864719848306</v>
      </c>
      <c r="L476" s="2" t="n">
        <v>0.112075272</v>
      </c>
      <c r="M476" s="2" t="n">
        <f aca="false">IF(M$7=M$5,M$6,IF(NORMSDIST(M$9*SQRT($C$11)*NORMSINV($B476)+SQRT(1-M$9^2*$C$11)*NORMSINV(L476))&lt;M$8,M$5+SQRT(NORMSDIST(M$9*SQRT($C$11)*NORMSINV($B476)+SQRT(1-M$9^2*$C$11)*NORMSINV(L476))*(M$7-M$5)*(M$6-M$5)),M$7-SQRT((1-NORMSDIST(M$9*SQRT($C$11)*NORMSINV($B476)+SQRT(1-M$9^2*$C$11)*NORMSINV(L476)))*(M$7-M$5)*(M$7-M$6))))</f>
        <v>1433.21665863449</v>
      </c>
      <c r="N476" s="2" t="n">
        <v>0.74199691</v>
      </c>
      <c r="O476" s="2" t="n">
        <f aca="false">IF(O$7=O$5,O$6,IF(NORMSDIST(O$9*SQRT($C$11)*NORMSINV($B476)+SQRT(1-O$9^2*$C$11)*NORMSINV(N476))&lt;O$8,O$5+SQRT(NORMSDIST(O$9*SQRT($C$11)*NORMSINV($B476)+SQRT(1-O$9^2*$C$11)*NORMSINV(N476))*(O$7-O$5)*(O$6-O$5)),O$7-SQRT((1-NORMSDIST(O$9*SQRT($C$11)*NORMSINV($B476)+SQRT(1-O$9^2*$C$11)*NORMSINV(N476)))*(O$7-O$5)*(O$7-O$6))))</f>
        <v>0.168805814360451</v>
      </c>
      <c r="P476" s="2" t="n">
        <v>0.506527543</v>
      </c>
      <c r="Q476" s="2" t="n">
        <f aca="false">IF(Q$7=Q$5,Q$6,IF(NORMSDIST(Q$9*SQRT($C$11)*NORMSINV($B476)+SQRT(1-Q$9^2*$C$11)*NORMSINV(P476))&lt;Q$8,Q$5+SQRT(NORMSDIST(Q$9*SQRT($C$11)*NORMSINV($B476)+SQRT(1-Q$9^2*$C$11)*NORMSINV(P476))*(Q$7-Q$5)*(Q$6-Q$5)),Q$7-SQRT((1-NORMSDIST(Q$9*SQRT($C$11)*NORMSINV($B476)+SQRT(1-Q$9^2*$C$11)*NORMSINV(P476)))*(Q$7-Q$5)*(Q$7-Q$6))))</f>
        <v>0.0802619595047768</v>
      </c>
      <c r="R476" s="2" t="n">
        <v>0.46133199</v>
      </c>
      <c r="S476" s="2" t="n">
        <f aca="false">IF(S$7=S$5,S$6,IF(NORMSDIST(S$9*SQRT($C$11)*NORMSINV($B476)+SQRT(1-S$9^2*$C$11)*NORMSINV(R476))&lt;S$8,S$5+SQRT(NORMSDIST(S$9*SQRT($C$11)*NORMSINV($B476)+SQRT(1-S$9^2*$C$11)*NORMSINV(R476))*(S$7-S$5)*(S$6-S$5)),S$7-SQRT((1-NORMSDIST(S$9*SQRT($C$11)*NORMSINV($B476)+SQRT(1-S$9^2*$C$11)*NORMSINV(R476)))*(S$7-S$5)*(S$7-S$6))))</f>
        <v>0.419335398290894</v>
      </c>
      <c r="T476" s="2" t="n">
        <v>0.026414642</v>
      </c>
      <c r="U476" s="2" t="n">
        <f aca="false">IF(U$7=U$5,U$6,IF(NORMSDIST(U$9*SQRT($C$11)*NORMSINV($B476)+SQRT(1-U$9^2*$C$11)*NORMSINV(T476))&lt;U$8,U$5+SQRT(NORMSDIST(U$9*SQRT($C$11)*NORMSINV($B476)+SQRT(1-U$9^2*$C$11)*NORMSINV(T476))*(U$7-U$5)*(U$6-U$5)),U$7-SQRT((1-NORMSDIST(U$9*SQRT($C$11)*NORMSINV($B476)+SQRT(1-U$9^2*$C$11)*NORMSINV(T476)))*(U$7-U$5)*(U$7-U$6))))</f>
        <v>0.133234258800366</v>
      </c>
      <c r="V476" s="2" t="n">
        <v>0.203898757</v>
      </c>
      <c r="W476" s="2" t="n">
        <f aca="false">IF(W$7=W$5,W$6,IF(NORMSDIST(W$9*SQRT($C$11)*NORMSINV($B476)+SQRT(1-W$9^2*$C$11)*NORMSINV(V476))&lt;W$8,W$5+SQRT(NORMSDIST(W$9*SQRT($C$11)*NORMSINV($B476)+SQRT(1-W$9^2*$C$11)*NORMSINV(V476))*(W$7-W$5)*(W$6-W$5)),W$7-SQRT((1-NORMSDIST(W$9*SQRT($C$11)*NORMSINV($B476)+SQRT(1-W$9^2*$C$11)*NORMSINV(V476)))*(W$7-W$5)*(W$7-W$6))))</f>
        <v>9.17261189224726</v>
      </c>
      <c r="X476" s="2" t="n">
        <v>0.735836476</v>
      </c>
      <c r="Y476" s="2" t="n">
        <f aca="false">IF(Y$7=Y$5,Y$6,IF(NORMSDIST(Y$9*SQRT($C$11)*NORMSINV($B476)+SQRT(1-Y$9^2*$C$11)*NORMSINV(X476))&lt;Y$8,Y$5+SQRT(NORMSDIST(Y$9*SQRT($C$11)*NORMSINV($B476)+SQRT(1-Y$9^2*$C$11)*NORMSINV(X476))*(Y$7-Y$5)*(Y$6-Y$5)),Y$7-SQRT((1-NORMSDIST(Y$9*SQRT($C$11)*NORMSINV($B476)+SQRT(1-Y$9^2*$C$11)*NORMSINV(X476)))*(Y$7-Y$5)*(Y$7-Y$6))))</f>
        <v>0.636569453677873</v>
      </c>
      <c r="Z476" s="2" t="n">
        <v>0.678934714</v>
      </c>
      <c r="AA476" s="2" t="n">
        <f aca="false">IF(AA$7=AA$5,AA$6,IF(NORMSDIST(AA$9*SQRT($C$11)*NORMSINV($B476)+SQRT(1-AA$9^2*$C$11)*NORMSINV(Z476))&lt;AA$8,AA$5+SQRT(NORMSDIST(AA$9*SQRT($C$11)*NORMSINV($B476)+SQRT(1-AA$9^2*$C$11)*NORMSINV(Z476))*(AA$7-AA$5)*(AA$6-AA$5)),AA$7-SQRT((1-NORMSDIST(AA$9*SQRT($C$11)*NORMSINV($B476)+SQRT(1-AA$9^2*$C$11)*NORMSINV(Z476)))*(AA$7-AA$5)*(AA$7-AA$6))))</f>
        <v>0.728753755132882</v>
      </c>
      <c r="AB476" s="2" t="n">
        <v>0.439846435</v>
      </c>
      <c r="AC476" s="2" t="n">
        <f aca="false">IF(AC$7=AC$5,AC$6,IF(NORMSDIST(AC$9*SQRT($C$11)*NORMSINV($B476)+SQRT(1-AC$9^2*$C$11)*NORMSINV(AB476))&lt;AC$8,AC$5+SQRT(NORMSDIST(AC$9*SQRT($C$11)*NORMSINV($B476)+SQRT(1-AC$9^2*$C$11)*NORMSINV(AB476))*(AC$7-AC$5)*(AC$6-AC$5)),AC$7-SQRT((1-NORMSDIST(AC$9*SQRT($C$11)*NORMSINV($B476)+SQRT(1-AC$9^2*$C$11)*NORMSINV(AB476)))*(AC$7-AC$5)*(AC$7-AC$6))))</f>
        <v>9.10436974064909</v>
      </c>
      <c r="AD476" s="2" t="n">
        <f aca="false">Entrées!$C$8*(1+E476)</f>
        <v>7441.23523139838</v>
      </c>
      <c r="AE476" s="2" t="n">
        <f aca="false">I476*Hypothèses!$J$24/12/Hypothèses!$J$19</f>
        <v>94.7805175974578</v>
      </c>
      <c r="AF476" s="2" t="n">
        <f aca="false">Entrées!$C$36*S476*1000</f>
        <v>209.667699145447</v>
      </c>
      <c r="AG476" s="2" t="n">
        <f aca="false">-AF476/W476</f>
        <v>-22.8580148826159</v>
      </c>
      <c r="AH476" s="2" t="n">
        <f aca="false">AD476+AE476+AG476</f>
        <v>7513.15773411322</v>
      </c>
      <c r="AI476" s="2" t="n">
        <f aca="false">Entrées!$C$16-M476+Hypothèses!$J$22*1000-AF476+Hypothèses!$J$23</f>
        <v>22905.1156422201</v>
      </c>
      <c r="AJ476" s="2" t="n">
        <f aca="false">AI476/AH476</f>
        <v>3.04866694575308</v>
      </c>
      <c r="AK476" s="2" t="n">
        <f aca="false">AI476/(AH476+I476*(12-Hypothèses!$J$24)/12/Hypothèses!$J$19)</f>
        <v>3.02144102006882</v>
      </c>
      <c r="AL476" s="2" t="n">
        <f aca="false">(AD476+AG476+I476/Hypothèses!$J$19)*(1+G476)</f>
        <v>8009.82183297165</v>
      </c>
      <c r="AM476" s="2" t="n">
        <f aca="false">Entrées!$C$54*K476/Hypothèses!$J$19</f>
        <v>11.1101017539403</v>
      </c>
      <c r="AN476" s="2" t="n">
        <f aca="false">Y476*1000/AC476</f>
        <v>69.9191126691312</v>
      </c>
      <c r="AO476" s="2" t="n">
        <f aca="false">(Entrées!$C$36*(1-S476)+MAX(0,Entrées!$C$30-Entrées!$C$35-Entrées!$C$36)*U476)*1000</f>
        <v>476.860263175065</v>
      </c>
      <c r="AP476" s="2" t="n">
        <f aca="false">-AO476/W476</f>
        <v>-51.9874021463952</v>
      </c>
      <c r="AQ476" s="2" t="n">
        <f aca="false">AL476+AM476+AN476+AP476</f>
        <v>8038.86364524832</v>
      </c>
      <c r="AR476" s="2" t="n">
        <f aca="false">O476*AQ476-Hypothèses!$J$25/Hypothèses!$J$19</f>
        <v>1337.87176190714</v>
      </c>
      <c r="AS476" s="2" t="n">
        <f aca="false">Entrées!$C$79*(1+Q476)+Hypothèses!$J$20</f>
        <v>1482.20789349575</v>
      </c>
      <c r="AT476" s="2" t="n">
        <f aca="false">AI476-AR476+AS476+Y476*1000-AO476+Hypothèses!$J$23</f>
        <v>23209.1609643115</v>
      </c>
      <c r="AU476" s="2" t="n">
        <f aca="false">AT476/AQ476</f>
        <v>2.88711962144428</v>
      </c>
      <c r="AV476" s="2" t="n">
        <f aca="false">Hypothèses!$J$26*AQ476-AT476</f>
        <v>907.429971433488</v>
      </c>
      <c r="AW476" s="2" t="n">
        <f aca="false">IF(AC476&gt;Hypothèses!$J$26,MAX(0,AV476)/(1-Hypothèses!$J$26/AC476),0)</f>
        <v>1353.38754444429</v>
      </c>
      <c r="AX476" s="2" t="n">
        <f aca="false">AQ476-Entrées!$C$17*1000</f>
        <v>38.8636452483206</v>
      </c>
      <c r="AY476" s="2" t="n">
        <f aca="false">AI476+(Entrées!$C$244-Entrées!$C$13)</f>
        <v>28652.1156422201</v>
      </c>
      <c r="AZ476" s="2" t="n">
        <f aca="false">AA476*AH476</f>
        <v>5475.24191164066</v>
      </c>
      <c r="BA476" s="2" t="n">
        <f aca="false">AZ476/AY476</f>
        <v>0.191093808918343</v>
      </c>
      <c r="BB476" s="2" t="n">
        <f aca="false">AZ476/(Entrées!$C$151/100)-AY476</f>
        <v>1765.89497800585</v>
      </c>
      <c r="BC476" s="2" t="n">
        <f aca="false">AT476+(Entrées!$C$244-Entrées!$C$13)</f>
        <v>28956.1609643115</v>
      </c>
      <c r="BD476" s="2" t="n">
        <f aca="false">AA476*AQ476</f>
        <v>5858.35206847592</v>
      </c>
      <c r="BE476" s="2" t="n">
        <f aca="false">BD476/BC476</f>
        <v>0.202317982542518</v>
      </c>
      <c r="BF476" s="2" t="n">
        <f aca="false">BD476/(Entrées!$C$151/100)-BC476</f>
        <v>3590.23941611032</v>
      </c>
      <c r="BG476" s="2" t="n">
        <f aca="false">MIN(AV476,BF476)</f>
        <v>907.429971433488</v>
      </c>
      <c r="BH476" s="2" t="n">
        <f aca="false">IF(AC476&gt;Hypothèses!$J$26,MAX(0,BG476)/(1-Hypothèses!$J$26/AC476),0)</f>
        <v>1353.38754444429</v>
      </c>
    </row>
    <row r="477" customFormat="false" ht="15" hidden="false" customHeight="false" outlineLevel="0" collapsed="false">
      <c r="A477" s="2" t="n">
        <v>462</v>
      </c>
      <c r="B477" s="2" t="n">
        <v>0.629117971</v>
      </c>
      <c r="C477" s="2"/>
      <c r="D477" s="2" t="n">
        <v>0.635616377</v>
      </c>
      <c r="E477" s="2" t="n">
        <f aca="false">IF(E$7=E$5,E$6,IF(NORMSDIST(E$9*SQRT($C$11)*NORMSINV($B477)+SQRT(1-E$9^2*$C$11)*NORMSINV(D477))&lt;E$8,E$5+SQRT(NORMSDIST(E$9*SQRT($C$11)*NORMSINV($B477)+SQRT(1-E$9^2*$C$11)*NORMSINV(D477))*(E$7-E$5)*(E$6-E$5)),E$7-SQRT((1-NORMSDIST(E$9*SQRT($C$11)*NORMSINV($B477)+SQRT(1-E$9^2*$C$11)*NORMSINV(D477)))*(E$7-E$5)*(E$7-E$6))))</f>
        <v>0.0560208181370711</v>
      </c>
      <c r="F477" s="2" t="n">
        <v>0.577470503</v>
      </c>
      <c r="G477" s="2" t="n">
        <f aca="false">IF(G$7=G$5,G$6,IF(NORMSDIST(G$9*SQRT($C$11)*NORMSINV($B477)+SQRT(1-G$9^2*$C$11)*NORMSINV(F477))&lt;G$8,G$5+SQRT(NORMSDIST(G$9*SQRT($C$11)*NORMSINV($B477)+SQRT(1-G$9^2*$C$11)*NORMSINV(F477))*(G$7-G$5)*(G$6-G$5)),G$7-SQRT((1-NORMSDIST(G$9*SQRT($C$11)*NORMSINV($B477)+SQRT(1-G$9^2*$C$11)*NORMSINV(F477)))*(G$7-G$5)*(G$7-G$6))))</f>
        <v>0.0572808324954791</v>
      </c>
      <c r="H477" s="2" t="n">
        <v>0.038620722</v>
      </c>
      <c r="I477" s="2" t="n">
        <f aca="false">IF(I$7=I$5,I$6,IF(NORMSDIST(I$9*SQRT($C$11)*NORMSINV($B477)+SQRT(1-I$9^2*$C$11)*NORMSINV(H477))&lt;I$8,I$5+SQRT(NORMSDIST(I$9*SQRT($C$11)*NORMSINV($B477)+SQRT(1-I$9^2*$C$11)*NORMSINV(H477))*(I$7-I$5)*(I$6-I$5)),I$7-SQRT((1-NORMSDIST(I$9*SQRT($C$11)*NORMSINV($B477)+SQRT(1-I$9^2*$C$11)*NORMSINV(H477)))*(I$7-I$5)*(I$7-I$6))))</f>
        <v>189.918645593772</v>
      </c>
      <c r="J477" s="2" t="n">
        <v>0.881600003</v>
      </c>
      <c r="K477" s="2" t="n">
        <f aca="false">IF(K$7=K$5,K$6,IF(NORMSDIST(K$9*SQRT($C$11)*NORMSINV($B477)+SQRT(1-K$9^2*$C$11)*NORMSINV(J477))&lt;K$8,K$5+SQRT(NORMSDIST(K$9*SQRT($C$11)*NORMSINV($B477)+SQRT(1-K$9^2*$C$11)*NORMSINV(J477))*(K$7-K$5)*(K$6-K$5)),K$7-SQRT((1-NORMSDIST(K$9*SQRT($C$11)*NORMSINV($B477)+SQRT(1-K$9^2*$C$11)*NORMSINV(J477)))*(K$7-K$5)*(K$7-K$6))))</f>
        <v>0.372356467862674</v>
      </c>
      <c r="L477" s="2" t="n">
        <v>0.069415422</v>
      </c>
      <c r="M477" s="2" t="n">
        <f aca="false">IF(M$7=M$5,M$6,IF(NORMSDIST(M$9*SQRT($C$11)*NORMSINV($B477)+SQRT(1-M$9^2*$C$11)*NORMSINV(L477))&lt;M$8,M$5+SQRT(NORMSDIST(M$9*SQRT($C$11)*NORMSINV($B477)+SQRT(1-M$9^2*$C$11)*NORMSINV(L477))*(M$7-M$5)*(M$6-M$5)),M$7-SQRT((1-NORMSDIST(M$9*SQRT($C$11)*NORMSINV($B477)+SQRT(1-M$9^2*$C$11)*NORMSINV(L477)))*(M$7-M$5)*(M$7-M$6))))</f>
        <v>1469.68884962157</v>
      </c>
      <c r="N477" s="2" t="n">
        <v>0.255851365</v>
      </c>
      <c r="O477" s="2" t="n">
        <f aca="false">IF(O$7=O$5,O$6,IF(NORMSDIST(O$9*SQRT($C$11)*NORMSINV($B477)+SQRT(1-O$9^2*$C$11)*NORMSINV(N477))&lt;O$8,O$5+SQRT(NORMSDIST(O$9*SQRT($C$11)*NORMSINV($B477)+SQRT(1-O$9^2*$C$11)*NORMSINV(N477))*(O$7-O$5)*(O$6-O$5)),O$7-SQRT((1-NORMSDIST(O$9*SQRT($C$11)*NORMSINV($B477)+SQRT(1-O$9^2*$C$11)*NORMSINV(N477)))*(O$7-O$5)*(O$7-O$6))))</f>
        <v>0.16341571107471</v>
      </c>
      <c r="P477" s="2" t="n">
        <v>0.333026552</v>
      </c>
      <c r="Q477" s="2" t="n">
        <f aca="false">IF(Q$7=Q$5,Q$6,IF(NORMSDIST(Q$9*SQRT($C$11)*NORMSINV($B477)+SQRT(1-Q$9^2*$C$11)*NORMSINV(P477))&lt;Q$8,Q$5+SQRT(NORMSDIST(Q$9*SQRT($C$11)*NORMSINV($B477)+SQRT(1-Q$9^2*$C$11)*NORMSINV(P477))*(Q$7-Q$5)*(Q$6-Q$5)),Q$7-SQRT((1-NORMSDIST(Q$9*SQRT($C$11)*NORMSINV($B477)+SQRT(1-Q$9^2*$C$11)*NORMSINV(P477)))*(Q$7-Q$5)*(Q$7-Q$6))))</f>
        <v>0.0726448306229332</v>
      </c>
      <c r="R477" s="2" t="n">
        <v>0.299428957</v>
      </c>
      <c r="S477" s="2" t="n">
        <f aca="false">IF(S$7=S$5,S$6,IF(NORMSDIST(S$9*SQRT($C$11)*NORMSINV($B477)+SQRT(1-S$9^2*$C$11)*NORMSINV(R477))&lt;S$8,S$5+SQRT(NORMSDIST(S$9*SQRT($C$11)*NORMSINV($B477)+SQRT(1-S$9^2*$C$11)*NORMSINV(R477))*(S$7-S$5)*(S$6-S$5)),S$7-SQRT((1-NORMSDIST(S$9*SQRT($C$11)*NORMSINV($B477)+SQRT(1-S$9^2*$C$11)*NORMSINV(R477)))*(S$7-S$5)*(S$7-S$6))))</f>
        <v>0.458860298931944</v>
      </c>
      <c r="T477" s="2" t="n">
        <v>0.341541631</v>
      </c>
      <c r="U477" s="2" t="n">
        <f aca="false">IF(U$7=U$5,U$6,IF(NORMSDIST(U$9*SQRT($C$11)*NORMSINV($B477)+SQRT(1-U$9^2*$C$11)*NORMSINV(T477))&lt;U$8,U$5+SQRT(NORMSDIST(U$9*SQRT($C$11)*NORMSINV($B477)+SQRT(1-U$9^2*$C$11)*NORMSINV(T477))*(U$7-U$5)*(U$6-U$5)),U$7-SQRT((1-NORMSDIST(U$9*SQRT($C$11)*NORMSINV($B477)+SQRT(1-U$9^2*$C$11)*NORMSINV(T477)))*(U$7-U$5)*(U$7-U$6))))</f>
        <v>0.478050714811861</v>
      </c>
      <c r="V477" s="2" t="n">
        <v>0.233958152</v>
      </c>
      <c r="W477" s="2" t="n">
        <f aca="false">IF(W$7=W$5,W$6,IF(NORMSDIST(W$9*SQRT($C$11)*NORMSINV($B477)+SQRT(1-W$9^2*$C$11)*NORMSINV(V477))&lt;W$8,W$5+SQRT(NORMSDIST(W$9*SQRT($C$11)*NORMSINV($B477)+SQRT(1-W$9^2*$C$11)*NORMSINV(V477))*(W$7-W$5)*(W$6-W$5)),W$7-SQRT((1-NORMSDIST(W$9*SQRT($C$11)*NORMSINV($B477)+SQRT(1-W$9^2*$C$11)*NORMSINV(V477)))*(W$7-W$5)*(W$7-W$6))))</f>
        <v>9.70111561269711</v>
      </c>
      <c r="X477" s="2" t="n">
        <v>0.632016313</v>
      </c>
      <c r="Y477" s="2" t="n">
        <f aca="false">IF(Y$7=Y$5,Y$6,IF(NORMSDIST(Y$9*SQRT($C$11)*NORMSINV($B477)+SQRT(1-Y$9^2*$C$11)*NORMSINV(X477))&lt;Y$8,Y$5+SQRT(NORMSDIST(Y$9*SQRT($C$11)*NORMSINV($B477)+SQRT(1-Y$9^2*$C$11)*NORMSINV(X477))*(Y$7-Y$5)*(Y$6-Y$5)),Y$7-SQRT((1-NORMSDIST(Y$9*SQRT($C$11)*NORMSINV($B477)+SQRT(1-Y$9^2*$C$11)*NORMSINV(X477)))*(Y$7-Y$5)*(Y$7-Y$6))))</f>
        <v>0.571057295784157</v>
      </c>
      <c r="Z477" s="2" t="n">
        <v>0.093002447</v>
      </c>
      <c r="AA477" s="2" t="n">
        <f aca="false">IF(AA$7=AA$5,AA$6,IF(NORMSDIST(AA$9*SQRT($C$11)*NORMSINV($B477)+SQRT(1-AA$9^2*$C$11)*NORMSINV(Z477))&lt;AA$8,AA$5+SQRT(NORMSDIST(AA$9*SQRT($C$11)*NORMSINV($B477)+SQRT(1-AA$9^2*$C$11)*NORMSINV(Z477))*(AA$7-AA$5)*(AA$6-AA$5)),AA$7-SQRT((1-NORMSDIST(AA$9*SQRT($C$11)*NORMSINV($B477)+SQRT(1-AA$9^2*$C$11)*NORMSINV(Z477)))*(AA$7-AA$5)*(AA$7-AA$6))))</f>
        <v>0.716392839121332</v>
      </c>
      <c r="AB477" s="2" t="n">
        <v>0.758264498</v>
      </c>
      <c r="AC477" s="2" t="n">
        <f aca="false">IF(AC$7=AC$5,AC$6,IF(NORMSDIST(AC$9*SQRT($C$11)*NORMSINV($B477)+SQRT(1-AC$9^2*$C$11)*NORMSINV(AB477))&lt;AC$8,AC$5+SQRT(NORMSDIST(AC$9*SQRT($C$11)*NORMSINV($B477)+SQRT(1-AC$9^2*$C$11)*NORMSINV(AB477))*(AC$7-AC$5)*(AC$6-AC$5)),AC$7-SQRT((1-NORMSDIST(AC$9*SQRT($C$11)*NORMSINV($B477)+SQRT(1-AC$9^2*$C$11)*NORMSINV(AB477)))*(AC$7-AC$5)*(AC$7-AC$6))))</f>
        <v>10.0113223050846</v>
      </c>
      <c r="AD477" s="2" t="n">
        <f aca="false">Entrées!$C$8*(1+E477)</f>
        <v>7444.94676786635</v>
      </c>
      <c r="AE477" s="2" t="n">
        <f aca="false">I477*Hypothèses!$J$24/12/Hypothèses!$J$19</f>
        <v>94.2180322207979</v>
      </c>
      <c r="AF477" s="2" t="n">
        <f aca="false">Entrées!$C$36*S477*1000</f>
        <v>229.430149465972</v>
      </c>
      <c r="AG477" s="2" t="n">
        <f aca="false">-AF477/W477</f>
        <v>-23.6498727183178</v>
      </c>
      <c r="AH477" s="2" t="n">
        <f aca="false">AD477+AE477+AG477</f>
        <v>7515.51492736883</v>
      </c>
      <c r="AI477" s="2" t="n">
        <f aca="false">Entrées!$C$16-M477+Hypothèses!$J$22*1000-AF477+Hypothèses!$J$23</f>
        <v>22848.8810009125</v>
      </c>
      <c r="AJ477" s="2" t="n">
        <f aca="false">AI477/AH477</f>
        <v>3.040228277334</v>
      </c>
      <c r="AK477" s="2" t="n">
        <f aca="false">AI477/(AH477+I477*(12-Hypothèses!$J$24)/12/Hypothèses!$J$19)</f>
        <v>3.01324580054445</v>
      </c>
      <c r="AL477" s="2" t="n">
        <f aca="false">(AD477+AG477+I477/Hypothèses!$J$19)*(1+G477)</f>
        <v>8017.16339299964</v>
      </c>
      <c r="AM477" s="2" t="n">
        <f aca="false">Entrées!$C$54*K477/Hypothèses!$J$19</f>
        <v>38.0005409691636</v>
      </c>
      <c r="AN477" s="2" t="n">
        <f aca="false">Y477*1000/AC477</f>
        <v>57.0411458528436</v>
      </c>
      <c r="AO477" s="2" t="n">
        <f aca="false">(Entrées!$C$36*(1-S477)+MAX(0,Entrées!$C$30-Entrées!$C$35-Entrées!$C$36)*U477)*1000</f>
        <v>939.840851270633</v>
      </c>
      <c r="AP477" s="2" t="n">
        <f aca="false">-AO477/W477</f>
        <v>-96.8796671220515</v>
      </c>
      <c r="AQ477" s="2" t="n">
        <f aca="false">AL477+AM477+AN477+AP477</f>
        <v>8015.32541269959</v>
      </c>
      <c r="AR477" s="2" t="n">
        <f aca="false">O477*AQ477-Hypothèses!$J$25/Hypothèses!$J$19</f>
        <v>1290.69493954987</v>
      </c>
      <c r="AS477" s="2" t="n">
        <f aca="false">Entrées!$C$79*(1+Q477)+Hypothèses!$J$20</f>
        <v>1473.8366688546</v>
      </c>
      <c r="AT477" s="2" t="n">
        <f aca="false">AI477-AR477+AS477+Y477*1000-AO477+Hypothèses!$J$23</f>
        <v>22663.2391747307</v>
      </c>
      <c r="AU477" s="2" t="n">
        <f aca="false">AT477/AQ477</f>
        <v>2.82748834362018</v>
      </c>
      <c r="AV477" s="2" t="n">
        <f aca="false">Hypothèses!$J$26*AQ477-AT477</f>
        <v>1382.73706336806</v>
      </c>
      <c r="AW477" s="2" t="n">
        <f aca="false">IF(AC477&gt;Hypothèses!$J$26,MAX(0,AV477)/(1-Hypothèses!$J$26/AC477),0)</f>
        <v>1974.38169323993</v>
      </c>
      <c r="AX477" s="2" t="n">
        <f aca="false">AQ477-Entrées!$C$17*1000</f>
        <v>15.3254126995944</v>
      </c>
      <c r="AY477" s="2" t="n">
        <f aca="false">AI477+(Entrées!$C$244-Entrées!$C$13)</f>
        <v>28595.8810009125</v>
      </c>
      <c r="AZ477" s="2" t="n">
        <f aca="false">AA477*AH477</f>
        <v>5384.06107627651</v>
      </c>
      <c r="BA477" s="2" t="n">
        <f aca="false">AZ477/AY477</f>
        <v>0.188281000193864</v>
      </c>
      <c r="BB477" s="2" t="n">
        <f aca="false">AZ477/(Entrées!$C$151/100)-AY477</f>
        <v>1315.56942284591</v>
      </c>
      <c r="BC477" s="2" t="n">
        <f aca="false">AT477+(Entrées!$C$244-Entrées!$C$13)</f>
        <v>28410.2391747307</v>
      </c>
      <c r="BD477" s="2" t="n">
        <f aca="false">AA477*AQ477</f>
        <v>5742.12172888522</v>
      </c>
      <c r="BE477" s="2" t="n">
        <f aca="false">BD477/BC477</f>
        <v>0.202114515600154</v>
      </c>
      <c r="BF477" s="2" t="n">
        <f aca="false">BD477/(Entrées!$C$151/100)-BC477</f>
        <v>3490.43709685385</v>
      </c>
      <c r="BG477" s="2" t="n">
        <f aca="false">MIN(AV477,BF477)</f>
        <v>1382.73706336806</v>
      </c>
      <c r="BH477" s="2" t="n">
        <f aca="false">IF(AC477&gt;Hypothèses!$J$26,MAX(0,BG477)/(1-Hypothèses!$J$26/AC477),0)</f>
        <v>1974.38169323993</v>
      </c>
    </row>
    <row r="478" customFormat="false" ht="15" hidden="false" customHeight="false" outlineLevel="0" collapsed="false">
      <c r="A478" s="2" t="n">
        <v>463</v>
      </c>
      <c r="B478" s="2" t="n">
        <v>0.99337398</v>
      </c>
      <c r="C478" s="2"/>
      <c r="D478" s="2" t="n">
        <v>0.386202778</v>
      </c>
      <c r="E478" s="2" t="n">
        <f aca="false">IF(E$7=E$5,E$6,IF(NORMSDIST(E$9*SQRT($C$11)*NORMSINV($B478)+SQRT(1-E$9^2*$C$11)*NORMSINV(D478))&lt;E$8,E$5+SQRT(NORMSDIST(E$9*SQRT($C$11)*NORMSINV($B478)+SQRT(1-E$9^2*$C$11)*NORMSINV(D478))*(E$7-E$5)*(E$6-E$5)),E$7-SQRT((1-NORMSDIST(E$9*SQRT($C$11)*NORMSINV($B478)+SQRT(1-E$9^2*$C$11)*NORMSINV(D478)))*(E$7-E$5)*(E$7-E$6))))</f>
        <v>0.0578820320163374</v>
      </c>
      <c r="F478" s="2" t="n">
        <v>0.366318481</v>
      </c>
      <c r="G478" s="2" t="n">
        <f aca="false">IF(G$7=G$5,G$6,IF(NORMSDIST(G$9*SQRT($C$11)*NORMSINV($B478)+SQRT(1-G$9^2*$C$11)*NORMSINV(F478))&lt;G$8,G$5+SQRT(NORMSDIST(G$9*SQRT($C$11)*NORMSINV($B478)+SQRT(1-G$9^2*$C$11)*NORMSINV(F478))*(G$7-G$5)*(G$6-G$5)),G$7-SQRT((1-NORMSDIST(G$9*SQRT($C$11)*NORMSINV($B478)+SQRT(1-G$9^2*$C$11)*NORMSINV(F478)))*(G$7-G$5)*(G$7-G$6))))</f>
        <v>0.06341123185484</v>
      </c>
      <c r="H478" s="2" t="n">
        <v>0.225646088</v>
      </c>
      <c r="I478" s="2" t="n">
        <f aca="false">IF(I$7=I$5,I$6,IF(NORMSDIST(I$9*SQRT($C$11)*NORMSINV($B478)+SQRT(1-I$9^2*$C$11)*NORMSINV(H478))&lt;I$8,I$5+SQRT(NORMSDIST(I$9*SQRT($C$11)*NORMSINV($B478)+SQRT(1-I$9^2*$C$11)*NORMSINV(H478))*(I$7-I$5)*(I$6-I$5)),I$7-SQRT((1-NORMSDIST(I$9*SQRT($C$11)*NORMSINV($B478)+SQRT(1-I$9^2*$C$11)*NORMSINV(H478)))*(I$7-I$5)*(I$7-I$6))))</f>
        <v>208.588192093612</v>
      </c>
      <c r="J478" s="2" t="n">
        <v>0.242411974</v>
      </c>
      <c r="K478" s="2" t="n">
        <f aca="false">IF(K$7=K$5,K$6,IF(NORMSDIST(K$9*SQRT($C$11)*NORMSINV($B478)+SQRT(1-K$9^2*$C$11)*NORMSINV(J478))&lt;K$8,K$5+SQRT(NORMSDIST(K$9*SQRT($C$11)*NORMSINV($B478)+SQRT(1-K$9^2*$C$11)*NORMSINV(J478))*(K$7-K$5)*(K$6-K$5)),K$7-SQRT((1-NORMSDIST(K$9*SQRT($C$11)*NORMSINV($B478)+SQRT(1-K$9^2*$C$11)*NORMSINV(J478)))*(K$7-K$5)*(K$7-K$6))))</f>
        <v>0.361897524183119</v>
      </c>
      <c r="L478" s="2" t="n">
        <v>0.23450196</v>
      </c>
      <c r="M478" s="2" t="n">
        <f aca="false">IF(M$7=M$5,M$6,IF(NORMSDIST(M$9*SQRT($C$11)*NORMSINV($B478)+SQRT(1-M$9^2*$C$11)*NORMSINV(L478))&lt;M$8,M$5+SQRT(NORMSDIST(M$9*SQRT($C$11)*NORMSINV($B478)+SQRT(1-M$9^2*$C$11)*NORMSINV(L478))*(M$7-M$5)*(M$6-M$5)),M$7-SQRT((1-NORMSDIST(M$9*SQRT($C$11)*NORMSINV($B478)+SQRT(1-M$9^2*$C$11)*NORMSINV(L478)))*(M$7-M$5)*(M$7-M$6))))</f>
        <v>1679.99940242142</v>
      </c>
      <c r="N478" s="2" t="n">
        <v>0.222030498</v>
      </c>
      <c r="O478" s="2" t="n">
        <f aca="false">IF(O$7=O$5,O$6,IF(NORMSDIST(O$9*SQRT($C$11)*NORMSINV($B478)+SQRT(1-O$9^2*$C$11)*NORMSINV(N478))&lt;O$8,O$5+SQRT(NORMSDIST(O$9*SQRT($C$11)*NORMSINV($B478)+SQRT(1-O$9^2*$C$11)*NORMSINV(N478))*(O$7-O$5)*(O$6-O$5)),O$7-SQRT((1-NORMSDIST(O$9*SQRT($C$11)*NORMSINV($B478)+SQRT(1-O$9^2*$C$11)*NORMSINV(N478)))*(O$7-O$5)*(O$7-O$6))))</f>
        <v>0.176738644775188</v>
      </c>
      <c r="P478" s="2" t="n">
        <v>0.391516252</v>
      </c>
      <c r="Q478" s="2" t="n">
        <f aca="false">IF(Q$7=Q$5,Q$6,IF(NORMSDIST(Q$9*SQRT($C$11)*NORMSINV($B478)+SQRT(1-Q$9^2*$C$11)*NORMSINV(P478))&lt;Q$8,Q$5+SQRT(NORMSDIST(Q$9*SQRT($C$11)*NORMSINV($B478)+SQRT(1-Q$9^2*$C$11)*NORMSINV(P478))*(Q$7-Q$5)*(Q$6-Q$5)),Q$7-SQRT((1-NORMSDIST(Q$9*SQRT($C$11)*NORMSINV($B478)+SQRT(1-Q$9^2*$C$11)*NORMSINV(P478)))*(Q$7-Q$5)*(Q$7-Q$6))))</f>
        <v>0.0753956495405862</v>
      </c>
      <c r="R478" s="2" t="n">
        <v>0.387516266</v>
      </c>
      <c r="S478" s="2" t="n">
        <f aca="false">IF(S$7=S$5,S$6,IF(NORMSDIST(S$9*SQRT($C$11)*NORMSINV($B478)+SQRT(1-S$9^2*$C$11)*NORMSINV(R478))&lt;S$8,S$5+SQRT(NORMSDIST(S$9*SQRT($C$11)*NORMSINV($B478)+SQRT(1-S$9^2*$C$11)*NORMSINV(R478))*(S$7-S$5)*(S$6-S$5)),S$7-SQRT((1-NORMSDIST(S$9*SQRT($C$11)*NORMSINV($B478)+SQRT(1-S$9^2*$C$11)*NORMSINV(R478)))*(S$7-S$5)*(S$7-S$6))))</f>
        <v>0.788711184131085</v>
      </c>
      <c r="T478" s="2" t="n">
        <v>0.42001307</v>
      </c>
      <c r="U478" s="2" t="n">
        <f aca="false">IF(U$7=U$5,U$6,IF(NORMSDIST(U$9*SQRT($C$11)*NORMSINV($B478)+SQRT(1-U$9^2*$C$11)*NORMSINV(T478))&lt;U$8,U$5+SQRT(NORMSDIST(U$9*SQRT($C$11)*NORMSINV($B478)+SQRT(1-U$9^2*$C$11)*NORMSINV(T478))*(U$7-U$5)*(U$6-U$5)),U$7-SQRT((1-NORMSDIST(U$9*SQRT($C$11)*NORMSINV($B478)+SQRT(1-U$9^2*$C$11)*NORMSINV(T478)))*(U$7-U$5)*(U$7-U$6))))</f>
        <v>0.800948843693526</v>
      </c>
      <c r="V478" s="2" t="n">
        <v>0.5422151</v>
      </c>
      <c r="W478" s="2" t="n">
        <f aca="false">IF(W$7=W$5,W$6,IF(NORMSDIST(W$9*SQRT($C$11)*NORMSINV($B478)+SQRT(1-W$9^2*$C$11)*NORMSINV(V478))&lt;W$8,W$5+SQRT(NORMSDIST(W$9*SQRT($C$11)*NORMSINV($B478)+SQRT(1-W$9^2*$C$11)*NORMSINV(V478))*(W$7-W$5)*(W$6-W$5)),W$7-SQRT((1-NORMSDIST(W$9*SQRT($C$11)*NORMSINV($B478)+SQRT(1-W$9^2*$C$11)*NORMSINV(V478)))*(W$7-W$5)*(W$7-W$6))))</f>
        <v>11.3700265669655</v>
      </c>
      <c r="X478" s="2" t="n">
        <v>0.200931885</v>
      </c>
      <c r="Y478" s="2" t="n">
        <f aca="false">IF(Y$7=Y$5,Y$6,IF(NORMSDIST(Y$9*SQRT($C$11)*NORMSINV($B478)+SQRT(1-Y$9^2*$C$11)*NORMSINV(X478))&lt;Y$8,Y$5+SQRT(NORMSDIST(Y$9*SQRT($C$11)*NORMSINV($B478)+SQRT(1-Y$9^2*$C$11)*NORMSINV(X478))*(Y$7-Y$5)*(Y$6-Y$5)),Y$7-SQRT((1-NORMSDIST(Y$9*SQRT($C$11)*NORMSINV($B478)+SQRT(1-Y$9^2*$C$11)*NORMSINV(X478)))*(Y$7-Y$5)*(Y$7-Y$6))))</f>
        <v>0.316963629617027</v>
      </c>
      <c r="Z478" s="2" t="n">
        <v>0.957220986</v>
      </c>
      <c r="AA478" s="2" t="n">
        <f aca="false">IF(AA$7=AA$5,AA$6,IF(NORMSDIST(AA$9*SQRT($C$11)*NORMSINV($B478)+SQRT(1-AA$9^2*$C$11)*NORMSINV(Z478))&lt;AA$8,AA$5+SQRT(NORMSDIST(AA$9*SQRT($C$11)*NORMSINV($B478)+SQRT(1-AA$9^2*$C$11)*NORMSINV(Z478))*(AA$7-AA$5)*(AA$6-AA$5)),AA$7-SQRT((1-NORMSDIST(AA$9*SQRT($C$11)*NORMSINV($B478)+SQRT(1-AA$9^2*$C$11)*NORMSINV(Z478)))*(AA$7-AA$5)*(AA$7-AA$6))))</f>
        <v>0.752319355758855</v>
      </c>
      <c r="AB478" s="2" t="n">
        <v>0.695110023</v>
      </c>
      <c r="AC478" s="2" t="n">
        <f aca="false">IF(AC$7=AC$5,AC$6,IF(NORMSDIST(AC$9*SQRT($C$11)*NORMSINV($B478)+SQRT(1-AC$9^2*$C$11)*NORMSINV(AB478))&lt;AC$8,AC$5+SQRT(NORMSDIST(AC$9*SQRT($C$11)*NORMSINV($B478)+SQRT(1-AC$9^2*$C$11)*NORMSINV(AB478))*(AC$7-AC$5)*(AC$6-AC$5)),AC$7-SQRT((1-NORMSDIST(AC$9*SQRT($C$11)*NORMSINV($B478)+SQRT(1-AC$9^2*$C$11)*NORMSINV(AB478)))*(AC$7-AC$5)*(AC$7-AC$6))))</f>
        <v>10.6721051199431</v>
      </c>
      <c r="AD478" s="2" t="n">
        <f aca="false">Entrées!$C$8*(1+E478)</f>
        <v>7458.06832571518</v>
      </c>
      <c r="AE478" s="2" t="n">
        <f aca="false">I478*Hypothèses!$J$24/12/Hypothèses!$J$19</f>
        <v>103.47993448516</v>
      </c>
      <c r="AF478" s="2" t="n">
        <f aca="false">Entrées!$C$36*S478*1000</f>
        <v>394.355592065543</v>
      </c>
      <c r="AG478" s="2" t="n">
        <f aca="false">-AF478/W478</f>
        <v>-34.6837880934511</v>
      </c>
      <c r="AH478" s="2" t="n">
        <f aca="false">AD478+AE478+AG478</f>
        <v>7526.86447210689</v>
      </c>
      <c r="AI478" s="2" t="n">
        <f aca="false">Entrées!$C$16-M478+Hypothèses!$J$22*1000-AF478+Hypothèses!$J$23</f>
        <v>22473.645005513</v>
      </c>
      <c r="AJ478" s="2" t="n">
        <f aca="false">AI478/AH478</f>
        <v>2.98579110714641</v>
      </c>
      <c r="AK478" s="2" t="n">
        <f aca="false">AI478/(AH478+I478*(12-Hypothèses!$J$24)/12/Hypothèses!$J$19)</f>
        <v>2.956755598333</v>
      </c>
      <c r="AL478" s="2" t="n">
        <f aca="false">(AD478+AG478+I478/Hypothèses!$J$19)*(1+G478)</f>
        <v>8082.75345214699</v>
      </c>
      <c r="AM478" s="2" t="n">
        <f aca="false">Entrées!$C$54*K478/Hypothèses!$J$19</f>
        <v>36.9331618523984</v>
      </c>
      <c r="AN478" s="2" t="n">
        <f aca="false">Y478*1000/AC478</f>
        <v>29.7001974825672</v>
      </c>
      <c r="AO478" s="2" t="n">
        <f aca="false">(Entrées!$C$36*(1-S478)+MAX(0,Entrées!$C$30-Entrées!$C$35-Entrées!$C$36)*U478)*1000</f>
        <v>1226.97278910539</v>
      </c>
      <c r="AP478" s="2" t="n">
        <f aca="false">-AO478/W478</f>
        <v>-107.91292191614</v>
      </c>
      <c r="AQ478" s="2" t="n">
        <f aca="false">AL478+AM478+AN478+AP478</f>
        <v>8041.47388956581</v>
      </c>
      <c r="AR478" s="2" t="n">
        <f aca="false">O478*AQ478-Hypothèses!$J$25/Hypothèses!$J$19</f>
        <v>1402.10403497529</v>
      </c>
      <c r="AS478" s="2" t="n">
        <f aca="false">Entrées!$C$79*(1+Q478)+Hypothèses!$J$20</f>
        <v>1476.8598188451</v>
      </c>
      <c r="AT478" s="2" t="n">
        <f aca="false">AI478-AR478+AS478+Y478*1000-AO478+Hypothèses!$J$23</f>
        <v>21638.3916298945</v>
      </c>
      <c r="AU478" s="2" t="n">
        <f aca="false">AT478/AQ478</f>
        <v>2.69084895717579</v>
      </c>
      <c r="AV478" s="2" t="n">
        <f aca="false">Hypothèses!$J$26*AQ478-AT478</f>
        <v>2486.03003880296</v>
      </c>
      <c r="AW478" s="2" t="n">
        <f aca="false">IF(AC478&gt;Hypothèses!$J$26,MAX(0,AV478)/(1-Hypothèses!$J$26/AC478),0)</f>
        <v>3458.13482618681</v>
      </c>
      <c r="AX478" s="2" t="n">
        <f aca="false">AQ478-Entrées!$C$17*1000</f>
        <v>41.4738895658138</v>
      </c>
      <c r="AY478" s="2" t="n">
        <f aca="false">AI478+(Entrées!$C$244-Entrées!$C$13)</f>
        <v>28220.645005513</v>
      </c>
      <c r="AZ478" s="2" t="n">
        <f aca="false">AA478*AH478</f>
        <v>5662.60583053967</v>
      </c>
      <c r="BA478" s="2" t="n">
        <f aca="false">AZ478/AY478</f>
        <v>0.200654727396679</v>
      </c>
      <c r="BB478" s="2" t="n">
        <f aca="false">AZ478/(Entrées!$C$151/100)-AY478</f>
        <v>3238.27627526288</v>
      </c>
      <c r="BC478" s="2" t="n">
        <f aca="false">AT478+(Entrées!$C$244-Entrées!$C$13)</f>
        <v>27385.3916298945</v>
      </c>
      <c r="BD478" s="2" t="n">
        <f aca="false">AA478*AQ478</f>
        <v>6049.7564559498</v>
      </c>
      <c r="BE478" s="2" t="n">
        <f aca="false">BD478/BC478</f>
        <v>0.220911810855601</v>
      </c>
      <c r="BF478" s="2" t="n">
        <f aca="false">BD478/(Entrées!$C$151/100)-BC478</f>
        <v>6224.36645871554</v>
      </c>
      <c r="BG478" s="2" t="n">
        <f aca="false">MIN(AV478,BF478)</f>
        <v>2486.03003880296</v>
      </c>
      <c r="BH478" s="2" t="n">
        <f aca="false">IF(AC478&gt;Hypothèses!$J$26,MAX(0,BG478)/(1-Hypothèses!$J$26/AC478),0)</f>
        <v>3458.13482618681</v>
      </c>
    </row>
    <row r="479" customFormat="false" ht="15" hidden="false" customHeight="false" outlineLevel="0" collapsed="false">
      <c r="A479" s="2" t="n">
        <v>464</v>
      </c>
      <c r="B479" s="2" t="n">
        <v>0.812625257</v>
      </c>
      <c r="C479" s="2"/>
      <c r="D479" s="2" t="n">
        <v>0.469725148</v>
      </c>
      <c r="E479" s="2" t="n">
        <f aca="false">IF(E$7=E$5,E$6,IF(NORMSDIST(E$9*SQRT($C$11)*NORMSINV($B479)+SQRT(1-E$9^2*$C$11)*NORMSINV(D479))&lt;E$8,E$5+SQRT(NORMSDIST(E$9*SQRT($C$11)*NORMSINV($B479)+SQRT(1-E$9^2*$C$11)*NORMSINV(D479))*(E$7-E$5)*(E$6-E$5)),E$7-SQRT((1-NORMSDIST(E$9*SQRT($C$11)*NORMSINV($B479)+SQRT(1-E$9^2*$C$11)*NORMSINV(D479)))*(E$7-E$5)*(E$7-E$6))))</f>
        <v>0.0560779774886183</v>
      </c>
      <c r="F479" s="2" t="n">
        <v>0.990237866</v>
      </c>
      <c r="G479" s="2" t="n">
        <f aca="false">IF(G$7=G$5,G$6,IF(NORMSDIST(G$9*SQRT($C$11)*NORMSINV($B479)+SQRT(1-G$9^2*$C$11)*NORMSINV(F479))&lt;G$8,G$5+SQRT(NORMSDIST(G$9*SQRT($C$11)*NORMSINV($B479)+SQRT(1-G$9^2*$C$11)*NORMSINV(F479))*(G$7-G$5)*(G$6-G$5)),G$7-SQRT((1-NORMSDIST(G$9*SQRT($C$11)*NORMSINV($B479)+SQRT(1-G$9^2*$C$11)*NORMSINV(F479)))*(G$7-G$5)*(G$7-G$6))))</f>
        <v>0.0680003466565369</v>
      </c>
      <c r="H479" s="2" t="n">
        <v>0.916737749</v>
      </c>
      <c r="I479" s="2" t="n">
        <f aca="false">IF(I$7=I$5,I$6,IF(NORMSDIST(I$9*SQRT($C$11)*NORMSINV($B479)+SQRT(1-I$9^2*$C$11)*NORMSINV(H479))&lt;I$8,I$5+SQRT(NORMSDIST(I$9*SQRT($C$11)*NORMSINV($B479)+SQRT(1-I$9^2*$C$11)*NORMSINV(H479))*(I$7-I$5)*(I$6-I$5)),I$7-SQRT((1-NORMSDIST(I$9*SQRT($C$11)*NORMSINV($B479)+SQRT(1-I$9^2*$C$11)*NORMSINV(H479)))*(I$7-I$5)*(I$7-I$6))))</f>
        <v>213.597824687726</v>
      </c>
      <c r="J479" s="2" t="n">
        <v>0.63420123</v>
      </c>
      <c r="K479" s="2" t="n">
        <f aca="false">IF(K$7=K$5,K$6,IF(NORMSDIST(K$9*SQRT($C$11)*NORMSINV($B479)+SQRT(1-K$9^2*$C$11)*NORMSINV(J479))&lt;K$8,K$5+SQRT(NORMSDIST(K$9*SQRT($C$11)*NORMSINV($B479)+SQRT(1-K$9^2*$C$11)*NORMSINV(J479))*(K$7-K$5)*(K$6-K$5)),K$7-SQRT((1-NORMSDIST(K$9*SQRT($C$11)*NORMSINV($B479)+SQRT(1-K$9^2*$C$11)*NORMSINV(J479)))*(K$7-K$5)*(K$7-K$6))))</f>
        <v>0.340273377429093</v>
      </c>
      <c r="L479" s="2" t="n">
        <v>0.249923437</v>
      </c>
      <c r="M479" s="2" t="n">
        <f aca="false">IF(M$7=M$5,M$6,IF(NORMSDIST(M$9*SQRT($C$11)*NORMSINV($B479)+SQRT(1-M$9^2*$C$11)*NORMSINV(L479))&lt;M$8,M$5+SQRT(NORMSDIST(M$9*SQRT($C$11)*NORMSINV($B479)+SQRT(1-M$9^2*$C$11)*NORMSINV(L479))*(M$7-M$5)*(M$6-M$5)),M$7-SQRT((1-NORMSDIST(M$9*SQRT($C$11)*NORMSINV($B479)+SQRT(1-M$9^2*$C$11)*NORMSINV(L479)))*(M$7-M$5)*(M$7-M$6))))</f>
        <v>1589.67646853379</v>
      </c>
      <c r="N479" s="2" t="n">
        <v>0.564881683</v>
      </c>
      <c r="O479" s="2" t="n">
        <f aca="false">IF(O$7=O$5,O$6,IF(NORMSDIST(O$9*SQRT($C$11)*NORMSINV($B479)+SQRT(1-O$9^2*$C$11)*NORMSINV(N479))&lt;O$8,O$5+SQRT(NORMSDIST(O$9*SQRT($C$11)*NORMSINV($B479)+SQRT(1-O$9^2*$C$11)*NORMSINV(N479))*(O$7-O$5)*(O$6-O$5)),O$7-SQRT((1-NORMSDIST(O$9*SQRT($C$11)*NORMSINV($B479)+SQRT(1-O$9^2*$C$11)*NORMSINV(N479)))*(O$7-O$5)*(O$7-O$6))))</f>
        <v>0.173820602232345</v>
      </c>
      <c r="P479" s="2" t="n">
        <v>0.275572317</v>
      </c>
      <c r="Q479" s="2" t="n">
        <f aca="false">IF(Q$7=Q$5,Q$6,IF(NORMSDIST(Q$9*SQRT($C$11)*NORMSINV($B479)+SQRT(1-Q$9^2*$C$11)*NORMSINV(P479))&lt;Q$8,Q$5+SQRT(NORMSDIST(Q$9*SQRT($C$11)*NORMSINV($B479)+SQRT(1-Q$9^2*$C$11)*NORMSINV(P479))*(Q$7-Q$5)*(Q$6-Q$5)),Q$7-SQRT((1-NORMSDIST(Q$9*SQRT($C$11)*NORMSINV($B479)+SQRT(1-Q$9^2*$C$11)*NORMSINV(P479)))*(Q$7-Q$5)*(Q$7-Q$6))))</f>
        <v>0.0696956463879808</v>
      </c>
      <c r="R479" s="2" t="n">
        <v>0.807288165</v>
      </c>
      <c r="S479" s="2" t="n">
        <f aca="false">IF(S$7=S$5,S$6,IF(NORMSDIST(S$9*SQRT($C$11)*NORMSINV($B479)+SQRT(1-S$9^2*$C$11)*NORMSINV(R479))&lt;S$8,S$5+SQRT(NORMSDIST(S$9*SQRT($C$11)*NORMSINV($B479)+SQRT(1-S$9^2*$C$11)*NORMSINV(R479))*(S$7-S$5)*(S$6-S$5)),S$7-SQRT((1-NORMSDIST(S$9*SQRT($C$11)*NORMSINV($B479)+SQRT(1-S$9^2*$C$11)*NORMSINV(R479)))*(S$7-S$5)*(S$7-S$6))))</f>
        <v>0.766911576299175</v>
      </c>
      <c r="T479" s="2" t="n">
        <v>0.780064063</v>
      </c>
      <c r="U479" s="2" t="n">
        <f aca="false">IF(U$7=U$5,U$6,IF(NORMSDIST(U$9*SQRT($C$11)*NORMSINV($B479)+SQRT(1-U$9^2*$C$11)*NORMSINV(T479))&lt;U$8,U$5+SQRT(NORMSDIST(U$9*SQRT($C$11)*NORMSINV($B479)+SQRT(1-U$9^2*$C$11)*NORMSINV(T479))*(U$7-U$5)*(U$6-U$5)),U$7-SQRT((1-NORMSDIST(U$9*SQRT($C$11)*NORMSINV($B479)+SQRT(1-U$9^2*$C$11)*NORMSINV(T479)))*(U$7-U$5)*(U$7-U$6))))</f>
        <v>0.751918009285886</v>
      </c>
      <c r="V479" s="2" t="n">
        <v>0.524798163</v>
      </c>
      <c r="W479" s="2" t="n">
        <f aca="false">IF(W$7=W$5,W$6,IF(NORMSDIST(W$9*SQRT($C$11)*NORMSINV($B479)+SQRT(1-W$9^2*$C$11)*NORMSINV(V479))&lt;W$8,W$5+SQRT(NORMSDIST(W$9*SQRT($C$11)*NORMSINV($B479)+SQRT(1-W$9^2*$C$11)*NORMSINV(V479))*(W$7-W$5)*(W$6-W$5)),W$7-SQRT((1-NORMSDIST(W$9*SQRT($C$11)*NORMSINV($B479)+SQRT(1-W$9^2*$C$11)*NORMSINV(V479)))*(W$7-W$5)*(W$7-W$6))))</f>
        <v>10.527374221622</v>
      </c>
      <c r="X479" s="2" t="n">
        <v>0.726001259</v>
      </c>
      <c r="Y479" s="2" t="n">
        <f aca="false">IF(Y$7=Y$5,Y$6,IF(NORMSDIST(Y$9*SQRT($C$11)*NORMSINV($B479)+SQRT(1-Y$9^2*$C$11)*NORMSINV(X479))&lt;Y$8,Y$5+SQRT(NORMSDIST(Y$9*SQRT($C$11)*NORMSINV($B479)+SQRT(1-Y$9^2*$C$11)*NORMSINV(X479))*(Y$7-Y$5)*(Y$6-Y$5)),Y$7-SQRT((1-NORMSDIST(Y$9*SQRT($C$11)*NORMSINV($B479)+SQRT(1-Y$9^2*$C$11)*NORMSINV(X479)))*(Y$7-Y$5)*(Y$7-Y$6))))</f>
        <v>0.629865739899695</v>
      </c>
      <c r="Z479" s="2" t="n">
        <v>0.482868589</v>
      </c>
      <c r="AA479" s="2" t="n">
        <f aca="false">IF(AA$7=AA$5,AA$6,IF(NORMSDIST(AA$9*SQRT($C$11)*NORMSINV($B479)+SQRT(1-AA$9^2*$C$11)*NORMSINV(Z479))&lt;AA$8,AA$5+SQRT(NORMSDIST(AA$9*SQRT($C$11)*NORMSINV($B479)+SQRT(1-AA$9^2*$C$11)*NORMSINV(Z479))*(AA$7-AA$5)*(AA$6-AA$5)),AA$7-SQRT((1-NORMSDIST(AA$9*SQRT($C$11)*NORMSINV($B479)+SQRT(1-AA$9^2*$C$11)*NORMSINV(Z479)))*(AA$7-AA$5)*(AA$7-AA$6))))</f>
        <v>0.73427513417049</v>
      </c>
      <c r="AB479" s="2" t="n">
        <v>0.858069231</v>
      </c>
      <c r="AC479" s="2" t="n">
        <f aca="false">IF(AC$7=AC$5,AC$6,IF(NORMSDIST(AC$9*SQRT($C$11)*NORMSINV($B479)+SQRT(1-AC$9^2*$C$11)*NORMSINV(AB479))&lt;AC$8,AC$5+SQRT(NORMSDIST(AC$9*SQRT($C$11)*NORMSINV($B479)+SQRT(1-AC$9^2*$C$11)*NORMSINV(AB479))*(AC$7-AC$5)*(AC$6-AC$5)),AC$7-SQRT((1-NORMSDIST(AC$9*SQRT($C$11)*NORMSINV($B479)+SQRT(1-AC$9^2*$C$11)*NORMSINV(AB479)))*(AC$7-AC$5)*(AC$7-AC$6))))</f>
        <v>10.4046846688806</v>
      </c>
      <c r="AD479" s="2" t="n">
        <f aca="false">Entrées!$C$8*(1+E479)</f>
        <v>7445.34974129476</v>
      </c>
      <c r="AE479" s="2" t="n">
        <f aca="false">I479*Hypothèses!$J$24/12/Hypothèses!$J$19</f>
        <v>105.965197181148</v>
      </c>
      <c r="AF479" s="2" t="n">
        <f aca="false">Entrées!$C$36*S479*1000</f>
        <v>383.455788149588</v>
      </c>
      <c r="AG479" s="2" t="n">
        <f aca="false">-AF479/W479</f>
        <v>-36.4246373385316</v>
      </c>
      <c r="AH479" s="2" t="n">
        <f aca="false">AD479+AE479+AG479</f>
        <v>7514.89030113737</v>
      </c>
      <c r="AI479" s="2" t="n">
        <f aca="false">Entrées!$C$16-M479+Hypothèses!$J$22*1000-AF479+Hypothèses!$J$23</f>
        <v>22574.8677433166</v>
      </c>
      <c r="AJ479" s="2" t="n">
        <f aca="false">AI479/AH479</f>
        <v>3.00401826755873</v>
      </c>
      <c r="AK479" s="2" t="n">
        <f aca="false">AI479/(AH479+I479*(12-Hypothèses!$J$24)/12/Hypothèses!$J$19)</f>
        <v>2.97406371491613</v>
      </c>
      <c r="AL479" s="2" t="n">
        <f aca="false">(AD479+AG479+I479/Hypothèses!$J$19)*(1+G479)</f>
        <v>8106.7417805027</v>
      </c>
      <c r="AM479" s="2" t="n">
        <f aca="false">Entrées!$C$54*K479/Hypothèses!$J$19</f>
        <v>34.726326882225</v>
      </c>
      <c r="AN479" s="2" t="n">
        <f aca="false">Y479*1000/AC479</f>
        <v>60.5367447399502</v>
      </c>
      <c r="AO479" s="2" t="n">
        <f aca="false">(Entrées!$C$36*(1-S479)+MAX(0,Entrées!$C$30-Entrées!$C$35-Entrées!$C$36)*U479)*1000</f>
        <v>1169.22942485065</v>
      </c>
      <c r="AP479" s="2" t="n">
        <f aca="false">-AO479/W479</f>
        <v>-111.065627594884</v>
      </c>
      <c r="AQ479" s="2" t="n">
        <f aca="false">AL479+AM479+AN479+AP479</f>
        <v>8090.93922452999</v>
      </c>
      <c r="AR479" s="2" t="n">
        <f aca="false">O479*AQ479-Hypothèses!$J$25/Hypothèses!$J$19</f>
        <v>1387.23676637148</v>
      </c>
      <c r="AS479" s="2" t="n">
        <f aca="false">Entrées!$C$79*(1+Q479)+Hypothèses!$J$20</f>
        <v>1470.59551538039</v>
      </c>
      <c r="AT479" s="2" t="n">
        <f aca="false">AI479-AR479+AS479+Y479*1000-AO479+Hypothèses!$J$23</f>
        <v>22118.8628073746</v>
      </c>
      <c r="AU479" s="2" t="n">
        <f aca="false">AT479/AQ479</f>
        <v>2.73378185072938</v>
      </c>
      <c r="AV479" s="2" t="n">
        <f aca="false">Hypothèses!$J$26*AQ479-AT479</f>
        <v>2153.9548662154</v>
      </c>
      <c r="AW479" s="2" t="n">
        <f aca="false">IF(AC479&gt;Hypothèses!$J$26,MAX(0,AV479)/(1-Hypothèses!$J$26/AC479),0)</f>
        <v>3026.62735499852</v>
      </c>
      <c r="AX479" s="2" t="n">
        <f aca="false">AQ479-Entrées!$C$17*1000</f>
        <v>90.9392245299932</v>
      </c>
      <c r="AY479" s="2" t="n">
        <f aca="false">AI479+(Entrées!$C$244-Entrées!$C$13)</f>
        <v>28321.8677433166</v>
      </c>
      <c r="AZ479" s="2" t="n">
        <f aca="false">AA479*AH479</f>
        <v>5517.99708414416</v>
      </c>
      <c r="BA479" s="2" t="n">
        <f aca="false">AZ479/AY479</f>
        <v>0.194831680387544</v>
      </c>
      <c r="BB479" s="2" t="n">
        <f aca="false">AZ479/(Entrées!$C$151/100)-AY479</f>
        <v>2333.67161303981</v>
      </c>
      <c r="BC479" s="2" t="n">
        <f aca="false">AT479+(Entrées!$C$244-Entrées!$C$13)</f>
        <v>27865.8628073746</v>
      </c>
      <c r="BD479" s="2" t="n">
        <f aca="false">AA479*AQ479</f>
        <v>5940.97548465704</v>
      </c>
      <c r="BE479" s="2" t="n">
        <f aca="false">BD479/BC479</f>
        <v>0.213199050240238</v>
      </c>
      <c r="BF479" s="2" t="n">
        <f aca="false">BD479/(Entrées!$C$151/100)-BC479</f>
        <v>5139.55655183119</v>
      </c>
      <c r="BG479" s="2" t="n">
        <f aca="false">MIN(AV479,BF479)</f>
        <v>2153.9548662154</v>
      </c>
      <c r="BH479" s="2" t="n">
        <f aca="false">IF(AC479&gt;Hypothèses!$J$26,MAX(0,BG479)/(1-Hypothèses!$J$26/AC479),0)</f>
        <v>3026.62735499852</v>
      </c>
    </row>
    <row r="480" customFormat="false" ht="15" hidden="false" customHeight="false" outlineLevel="0" collapsed="false">
      <c r="A480" s="2" t="n">
        <v>465</v>
      </c>
      <c r="B480" s="2" t="n">
        <v>0.103072211</v>
      </c>
      <c r="C480" s="2"/>
      <c r="D480" s="2" t="n">
        <v>0.41011892</v>
      </c>
      <c r="E480" s="2" t="n">
        <f aca="false">IF(E$7=E$5,E$6,IF(NORMSDIST(E$9*SQRT($C$11)*NORMSINV($B480)+SQRT(1-E$9^2*$C$11)*NORMSINV(D480))&lt;E$8,E$5+SQRT(NORMSDIST(E$9*SQRT($C$11)*NORMSINV($B480)+SQRT(1-E$9^2*$C$11)*NORMSINV(D480))*(E$7-E$5)*(E$6-E$5)),E$7-SQRT((1-NORMSDIST(E$9*SQRT($C$11)*NORMSINV($B480)+SQRT(1-E$9^2*$C$11)*NORMSINV(D480)))*(E$7-E$5)*(E$7-E$6))))</f>
        <v>0.0528690854351383</v>
      </c>
      <c r="F480" s="2" t="n">
        <v>0.970532195</v>
      </c>
      <c r="G480" s="2" t="n">
        <f aca="false">IF(G$7=G$5,G$6,IF(NORMSDIST(G$9*SQRT($C$11)*NORMSINV($B480)+SQRT(1-G$9^2*$C$11)*NORMSINV(F480))&lt;G$8,G$5+SQRT(NORMSDIST(G$9*SQRT($C$11)*NORMSINV($B480)+SQRT(1-G$9^2*$C$11)*NORMSINV(F480))*(G$7-G$5)*(G$6-G$5)),G$7-SQRT((1-NORMSDIST(G$9*SQRT($C$11)*NORMSINV($B480)+SQRT(1-G$9^2*$C$11)*NORMSINV(F480)))*(G$7-G$5)*(G$7-G$6))))</f>
        <v>0.0593185282304245</v>
      </c>
      <c r="H480" s="2" t="n">
        <v>0.573918582</v>
      </c>
      <c r="I480" s="2" t="n">
        <f aca="false">IF(I$7=I$5,I$6,IF(NORMSDIST(I$9*SQRT($C$11)*NORMSINV($B480)+SQRT(1-I$9^2*$C$11)*NORMSINV(H480))&lt;I$8,I$5+SQRT(NORMSDIST(I$9*SQRT($C$11)*NORMSINV($B480)+SQRT(1-I$9^2*$C$11)*NORMSINV(H480))*(I$7-I$5)*(I$6-I$5)),I$7-SQRT((1-NORMSDIST(I$9*SQRT($C$11)*NORMSINV($B480)+SQRT(1-I$9^2*$C$11)*NORMSINV(H480)))*(I$7-I$5)*(I$7-I$6))))</f>
        <v>194.315381232219</v>
      </c>
      <c r="J480" s="2" t="n">
        <v>0.095733281</v>
      </c>
      <c r="K480" s="2" t="n">
        <f aca="false">IF(K$7=K$5,K$6,IF(NORMSDIST(K$9*SQRT($C$11)*NORMSINV($B480)+SQRT(1-K$9^2*$C$11)*NORMSINV(J480))&lt;K$8,K$5+SQRT(NORMSDIST(K$9*SQRT($C$11)*NORMSINV($B480)+SQRT(1-K$9^2*$C$11)*NORMSINV(J480))*(K$7-K$5)*(K$6-K$5)),K$7-SQRT((1-NORMSDIST(K$9*SQRT($C$11)*NORMSINV($B480)+SQRT(1-K$9^2*$C$11)*NORMSINV(J480)))*(K$7-K$5)*(K$7-K$6))))</f>
        <v>0.0661815269688608</v>
      </c>
      <c r="L480" s="2" t="n">
        <v>0.112827513</v>
      </c>
      <c r="M480" s="2" t="n">
        <f aca="false">IF(M$7=M$5,M$6,IF(NORMSDIST(M$9*SQRT($C$11)*NORMSINV($B480)+SQRT(1-M$9^2*$C$11)*NORMSINV(L480))&lt;M$8,M$5+SQRT(NORMSDIST(M$9*SQRT($C$11)*NORMSINV($B480)+SQRT(1-M$9^2*$C$11)*NORMSINV(L480))*(M$7-M$5)*(M$6-M$5)),M$7-SQRT((1-NORMSDIST(M$9*SQRT($C$11)*NORMSINV($B480)+SQRT(1-M$9^2*$C$11)*NORMSINV(L480)))*(M$7-M$5)*(M$7-M$6))))</f>
        <v>1384.09113493178</v>
      </c>
      <c r="N480" s="2" t="n">
        <v>0.464874588</v>
      </c>
      <c r="O480" s="2" t="n">
        <f aca="false">IF(O$7=O$5,O$6,IF(NORMSDIST(O$9*SQRT($C$11)*NORMSINV($B480)+SQRT(1-O$9^2*$C$11)*NORMSINV(N480))&lt;O$8,O$5+SQRT(NORMSDIST(O$9*SQRT($C$11)*NORMSINV($B480)+SQRT(1-O$9^2*$C$11)*NORMSINV(N480))*(O$7-O$5)*(O$6-O$5)),O$7-SQRT((1-NORMSDIST(O$9*SQRT($C$11)*NORMSINV($B480)+SQRT(1-O$9^2*$C$11)*NORMSINV(N480)))*(O$7-O$5)*(O$7-O$6))))</f>
        <v>0.156629463230416</v>
      </c>
      <c r="P480" s="2" t="n">
        <v>0.216992193</v>
      </c>
      <c r="Q480" s="2" t="n">
        <f aca="false">IF(Q$7=Q$5,Q$6,IF(NORMSDIST(Q$9*SQRT($C$11)*NORMSINV($B480)+SQRT(1-Q$9^2*$C$11)*NORMSINV(P480))&lt;Q$8,Q$5+SQRT(NORMSDIST(Q$9*SQRT($C$11)*NORMSINV($B480)+SQRT(1-Q$9^2*$C$11)*NORMSINV(P480))*(Q$7-Q$5)*(Q$6-Q$5)),Q$7-SQRT((1-NORMSDIST(Q$9*SQRT($C$11)*NORMSINV($B480)+SQRT(1-Q$9^2*$C$11)*NORMSINV(P480)))*(Q$7-Q$5)*(Q$7-Q$6))))</f>
        <v>0.0663509965200559</v>
      </c>
      <c r="R480" s="2" t="n">
        <v>0.873408562</v>
      </c>
      <c r="S480" s="2" t="n">
        <f aca="false">IF(S$7=S$5,S$6,IF(NORMSDIST(S$9*SQRT($C$11)*NORMSINV($B480)+SQRT(1-S$9^2*$C$11)*NORMSINV(R480))&lt;S$8,S$5+SQRT(NORMSDIST(S$9*SQRT($C$11)*NORMSINV($B480)+SQRT(1-S$9^2*$C$11)*NORMSINV(R480))*(S$7-S$5)*(S$6-S$5)),S$7-SQRT((1-NORMSDIST(S$9*SQRT($C$11)*NORMSINV($B480)+SQRT(1-S$9^2*$C$11)*NORMSINV(R480)))*(S$7-S$5)*(S$7-S$6))))</f>
        <v>0.517338671272335</v>
      </c>
      <c r="T480" s="2" t="n">
        <v>0.594787479</v>
      </c>
      <c r="U480" s="2" t="n">
        <f aca="false">IF(U$7=U$5,U$6,IF(NORMSDIST(U$9*SQRT($C$11)*NORMSINV($B480)+SQRT(1-U$9^2*$C$11)*NORMSINV(T480))&lt;U$8,U$5+SQRT(NORMSDIST(U$9*SQRT($C$11)*NORMSINV($B480)+SQRT(1-U$9^2*$C$11)*NORMSINV(T480))*(U$7-U$5)*(U$6-U$5)),U$7-SQRT((1-NORMSDIST(U$9*SQRT($C$11)*NORMSINV($B480)+SQRT(1-U$9^2*$C$11)*NORMSINV(T480)))*(U$7-U$5)*(U$7-U$6))))</f>
        <v>0.367209020783633</v>
      </c>
      <c r="V480" s="2" t="n">
        <v>0.406614542</v>
      </c>
      <c r="W480" s="2" t="n">
        <f aca="false">IF(W$7=W$5,W$6,IF(NORMSDIST(W$9*SQRT($C$11)*NORMSINV($B480)+SQRT(1-W$9^2*$C$11)*NORMSINV(V480))&lt;W$8,W$5+SQRT(NORMSDIST(W$9*SQRT($C$11)*NORMSINV($B480)+SQRT(1-W$9^2*$C$11)*NORMSINV(V480))*(W$7-W$5)*(W$6-W$5)),W$7-SQRT((1-NORMSDIST(W$9*SQRT($C$11)*NORMSINV($B480)+SQRT(1-W$9^2*$C$11)*NORMSINV(V480)))*(W$7-W$5)*(W$7-W$6))))</f>
        <v>9.14160038647487</v>
      </c>
      <c r="X480" s="2" t="n">
        <v>0.205066531</v>
      </c>
      <c r="Y480" s="2" t="n">
        <f aca="false">IF(Y$7=Y$5,Y$6,IF(NORMSDIST(Y$9*SQRT($C$11)*NORMSINV($B480)+SQRT(1-Y$9^2*$C$11)*NORMSINV(X480))&lt;Y$8,Y$5+SQRT(NORMSDIST(Y$9*SQRT($C$11)*NORMSINV($B480)+SQRT(1-Y$9^2*$C$11)*NORMSINV(X480))*(Y$7-Y$5)*(Y$6-Y$5)),Y$7-SQRT((1-NORMSDIST(Y$9*SQRT($C$11)*NORMSINV($B480)+SQRT(1-Y$9^2*$C$11)*NORMSINV(X480)))*(Y$7-Y$5)*(Y$7-Y$6))))</f>
        <v>0.320208159639944</v>
      </c>
      <c r="Z480" s="2" t="n">
        <v>0.170860969</v>
      </c>
      <c r="AA480" s="2" t="n">
        <f aca="false">IF(AA$7=AA$5,AA$6,IF(NORMSDIST(AA$9*SQRT($C$11)*NORMSINV($B480)+SQRT(1-AA$9^2*$C$11)*NORMSINV(Z480))&lt;AA$8,AA$5+SQRT(NORMSDIST(AA$9*SQRT($C$11)*NORMSINV($B480)+SQRT(1-AA$9^2*$C$11)*NORMSINV(Z480))*(AA$7-AA$5)*(AA$6-AA$5)),AA$7-SQRT((1-NORMSDIST(AA$9*SQRT($C$11)*NORMSINV($B480)+SQRT(1-AA$9^2*$C$11)*NORMSINV(Z480)))*(AA$7-AA$5)*(AA$7-AA$6))))</f>
        <v>0.706869933527718</v>
      </c>
      <c r="AB480" s="2" t="n">
        <v>0.188115298</v>
      </c>
      <c r="AC480" s="2" t="n">
        <f aca="false">IF(AC$7=AC$5,AC$6,IF(NORMSDIST(AC$9*SQRT($C$11)*NORMSINV($B480)+SQRT(1-AC$9^2*$C$11)*NORMSINV(AB480))&lt;AC$8,AC$5+SQRT(NORMSDIST(AC$9*SQRT($C$11)*NORMSINV($B480)+SQRT(1-AC$9^2*$C$11)*NORMSINV(AB480))*(AC$7-AC$5)*(AC$6-AC$5)),AC$7-SQRT((1-NORMSDIST(AC$9*SQRT($C$11)*NORMSINV($B480)+SQRT(1-AC$9^2*$C$11)*NORMSINV(AB480)))*(AC$7-AC$5)*(AC$7-AC$6))))</f>
        <v>8.17084679485962</v>
      </c>
      <c r="AD480" s="2" t="n">
        <f aca="false">Entrées!$C$8*(1+E480)</f>
        <v>7422.72705231773</v>
      </c>
      <c r="AE480" s="2" t="n">
        <f aca="false">I480*Hypothèses!$J$24/12/Hypothèses!$J$19</f>
        <v>96.3992386987314</v>
      </c>
      <c r="AF480" s="2" t="n">
        <f aca="false">Entrées!$C$36*S480*1000</f>
        <v>258.669335636168</v>
      </c>
      <c r="AG480" s="2" t="n">
        <f aca="false">-AF480/W480</f>
        <v>-28.2958480682302</v>
      </c>
      <c r="AH480" s="2" t="n">
        <f aca="false">AD480+AE480+AG480</f>
        <v>7490.83044294823</v>
      </c>
      <c r="AI480" s="2" t="n">
        <f aca="false">Entrées!$C$16-M480+Hypothèses!$J$22*1000-AF480+Hypothèses!$J$23</f>
        <v>22905.2395294321</v>
      </c>
      <c r="AJ480" s="2" t="n">
        <f aca="false">AI480/AH480</f>
        <v>3.05777039059731</v>
      </c>
      <c r="AK480" s="2" t="n">
        <f aca="false">AI480/(AH480+I480*(12-Hypothèses!$J$24)/12/Hypothèses!$J$19)</f>
        <v>3.02991901676864</v>
      </c>
      <c r="AL480" s="2" t="n">
        <f aca="false">(AD480+AG480+I480/Hypothèses!$J$19)*(1+G480)</f>
        <v>8008.11655123391</v>
      </c>
      <c r="AM480" s="2" t="n">
        <f aca="false">Entrées!$C$54*K480/Hypothèses!$J$19</f>
        <v>6.75410270544707</v>
      </c>
      <c r="AN480" s="2" t="n">
        <f aca="false">Y480*1000/AC480</f>
        <v>39.1891033670331</v>
      </c>
      <c r="AO480" s="2" t="n">
        <f aca="false">(Entrées!$C$36*(1-S480)+MAX(0,Entrées!$C$30-Entrées!$C$35-Entrées!$C$36)*U480)*1000</f>
        <v>755.423293460918</v>
      </c>
      <c r="AP480" s="2" t="n">
        <f aca="false">-AO480/W480</f>
        <v>-82.6357816491932</v>
      </c>
      <c r="AQ480" s="2" t="n">
        <f aca="false">AL480+AM480+AN480+AP480</f>
        <v>7971.4239756572</v>
      </c>
      <c r="AR480" s="2" t="n">
        <f aca="false">O480*AQ480-Hypothèses!$J$25/Hypothèses!$J$19</f>
        <v>1229.42469622763</v>
      </c>
      <c r="AS480" s="2" t="n">
        <f aca="false">Entrées!$C$79*(1+Q480)+Hypothèses!$J$20</f>
        <v>1466.91974517554</v>
      </c>
      <c r="AT480" s="2" t="n">
        <f aca="false">AI480-AR480+AS480+Y480*1000-AO480+Hypothèses!$J$23</f>
        <v>22707.519444559</v>
      </c>
      <c r="AU480" s="2" t="n">
        <f aca="false">AT480/AQ480</f>
        <v>2.84861519270613</v>
      </c>
      <c r="AV480" s="2" t="n">
        <f aca="false">Hypothèses!$J$26*AQ480-AT480</f>
        <v>1206.7524824126</v>
      </c>
      <c r="AW480" s="2" t="n">
        <f aca="false">IF(AC480&gt;Hypothèses!$J$26,MAX(0,AV480)/(1-Hypothèses!$J$26/AC480),0)</f>
        <v>1906.88102825093</v>
      </c>
      <c r="AX480" s="2" t="n">
        <f aca="false">AQ480-Entrées!$C$17*1000</f>
        <v>-28.5760243428012</v>
      </c>
      <c r="AY480" s="2" t="n">
        <f aca="false">AI480+(Entrées!$C$244-Entrées!$C$13)</f>
        <v>28652.2395294321</v>
      </c>
      <c r="AZ480" s="2" t="n">
        <f aca="false">AA480*AH480</f>
        <v>5295.04281727422</v>
      </c>
      <c r="BA480" s="2" t="n">
        <f aca="false">AZ480/AY480</f>
        <v>0.184803802573096</v>
      </c>
      <c r="BB480" s="2" t="n">
        <f aca="false">AZ480/(Entrées!$C$151/100)-AY480</f>
        <v>764.665010980272</v>
      </c>
      <c r="BC480" s="2" t="n">
        <f aca="false">AT480+(Entrées!$C$244-Entrées!$C$13)</f>
        <v>28454.519444559</v>
      </c>
      <c r="BD480" s="2" t="n">
        <f aca="false">AA480*AQ480</f>
        <v>5634.75993579406</v>
      </c>
      <c r="BE480" s="2" t="n">
        <f aca="false">BD480/BC480</f>
        <v>0.198026888022933</v>
      </c>
      <c r="BF480" s="2" t="n">
        <f aca="false">BD480/(Entrées!$C$151/100)-BC480</f>
        <v>2849.70242096356</v>
      </c>
      <c r="BG480" s="2" t="n">
        <f aca="false">MIN(AV480,BF480)</f>
        <v>1206.7524824126</v>
      </c>
      <c r="BH480" s="2" t="n">
        <f aca="false">IF(AC480&gt;Hypothèses!$J$26,MAX(0,BG480)/(1-Hypothèses!$J$26/AC480),0)</f>
        <v>1906.88102825093</v>
      </c>
    </row>
    <row r="481" customFormat="false" ht="15" hidden="false" customHeight="false" outlineLevel="0" collapsed="false">
      <c r="A481" s="2" t="n">
        <v>466</v>
      </c>
      <c r="B481" s="2" t="n">
        <v>0.703817481</v>
      </c>
      <c r="C481" s="2"/>
      <c r="D481" s="2" t="n">
        <v>0.049181682</v>
      </c>
      <c r="E481" s="2" t="n">
        <f aca="false">IF(E$7=E$5,E$6,IF(NORMSDIST(E$9*SQRT($C$11)*NORMSINV($B481)+SQRT(1-E$9^2*$C$11)*NORMSINV(D481))&lt;E$8,E$5+SQRT(NORMSDIST(E$9*SQRT($C$11)*NORMSINV($B481)+SQRT(1-E$9^2*$C$11)*NORMSINV(D481))*(E$7-E$5)*(E$6-E$5)),E$7-SQRT((1-NORMSDIST(E$9*SQRT($C$11)*NORMSINV($B481)+SQRT(1-E$9^2*$C$11)*NORMSINV(D481)))*(E$7-E$5)*(E$7-E$6))))</f>
        <v>0.0529426457044403</v>
      </c>
      <c r="F481" s="2" t="n">
        <v>0.944225587</v>
      </c>
      <c r="G481" s="2" t="n">
        <f aca="false">IF(G$7=G$5,G$6,IF(NORMSDIST(G$9*SQRT($C$11)*NORMSINV($B481)+SQRT(1-G$9^2*$C$11)*NORMSINV(F481))&lt;G$8,G$5+SQRT(NORMSDIST(G$9*SQRT($C$11)*NORMSINV($B481)+SQRT(1-G$9^2*$C$11)*NORMSINV(F481))*(G$7-G$5)*(G$6-G$5)),G$7-SQRT((1-NORMSDIST(G$9*SQRT($C$11)*NORMSINV($B481)+SQRT(1-G$9^2*$C$11)*NORMSINV(F481)))*(G$7-G$5)*(G$7-G$6))))</f>
        <v>0.0648882709836084</v>
      </c>
      <c r="H481" s="2" t="n">
        <v>0.341106077</v>
      </c>
      <c r="I481" s="2" t="n">
        <f aca="false">IF(I$7=I$5,I$6,IF(NORMSDIST(I$9*SQRT($C$11)*NORMSINV($B481)+SQRT(1-I$9^2*$C$11)*NORMSINV(H481))&lt;I$8,I$5+SQRT(NORMSDIST(I$9*SQRT($C$11)*NORMSINV($B481)+SQRT(1-I$9^2*$C$11)*NORMSINV(H481))*(I$7-I$5)*(I$6-I$5)),I$7-SQRT((1-NORMSDIST(I$9*SQRT($C$11)*NORMSINV($B481)+SQRT(1-I$9^2*$C$11)*NORMSINV(H481)))*(I$7-I$5)*(I$7-I$6))))</f>
        <v>200.172020356903</v>
      </c>
      <c r="J481" s="2" t="n">
        <v>0.007490853</v>
      </c>
      <c r="K481" s="2" t="n">
        <f aca="false">IF(K$7=K$5,K$6,IF(NORMSDIST(K$9*SQRT($C$11)*NORMSINV($B481)+SQRT(1-K$9^2*$C$11)*NORMSINV(J481))&lt;K$8,K$5+SQRT(NORMSDIST(K$9*SQRT($C$11)*NORMSINV($B481)+SQRT(1-K$9^2*$C$11)*NORMSINV(J481))*(K$7-K$5)*(K$6-K$5)),K$7-SQRT((1-NORMSDIST(K$9*SQRT($C$11)*NORMSINV($B481)+SQRT(1-K$9^2*$C$11)*NORMSINV(J481)))*(K$7-K$5)*(K$7-K$6))))</f>
        <v>0.0873732794218962</v>
      </c>
      <c r="L481" s="2" t="n">
        <v>0.907748828</v>
      </c>
      <c r="M481" s="2" t="n">
        <f aca="false">IF(M$7=M$5,M$6,IF(NORMSDIST(M$9*SQRT($C$11)*NORMSINV($B481)+SQRT(1-M$9^2*$C$11)*NORMSINV(L481))&lt;M$8,M$5+SQRT(NORMSDIST(M$9*SQRT($C$11)*NORMSINV($B481)+SQRT(1-M$9^2*$C$11)*NORMSINV(L481))*(M$7-M$5)*(M$6-M$5)),M$7-SQRT((1-NORMSDIST(M$9*SQRT($C$11)*NORMSINV($B481)+SQRT(1-M$9^2*$C$11)*NORMSINV(L481)))*(M$7-M$5)*(M$7-M$6))))</f>
        <v>1709.21167415606</v>
      </c>
      <c r="N481" s="2" t="n">
        <v>0.212843322</v>
      </c>
      <c r="O481" s="2" t="n">
        <f aca="false">IF(O$7=O$5,O$6,IF(NORMSDIST(O$9*SQRT($C$11)*NORMSINV($B481)+SQRT(1-O$9^2*$C$11)*NORMSINV(N481))&lt;O$8,O$5+SQRT(NORMSDIST(O$9*SQRT($C$11)*NORMSINV($B481)+SQRT(1-O$9^2*$C$11)*NORMSINV(N481))*(O$7-O$5)*(O$6-O$5)),O$7-SQRT((1-NORMSDIST(O$9*SQRT($C$11)*NORMSINV($B481)+SQRT(1-O$9^2*$C$11)*NORMSINV(N481)))*(O$7-O$5)*(O$7-O$6))))</f>
        <v>0.163665941545374</v>
      </c>
      <c r="P481" s="2" t="n">
        <v>0.931798612</v>
      </c>
      <c r="Q481" s="2" t="n">
        <f aca="false">IF(Q$7=Q$5,Q$6,IF(NORMSDIST(Q$9*SQRT($C$11)*NORMSINV($B481)+SQRT(1-Q$9^2*$C$11)*NORMSINV(P481))&lt;Q$8,Q$5+SQRT(NORMSDIST(Q$9*SQRT($C$11)*NORMSINV($B481)+SQRT(1-Q$9^2*$C$11)*NORMSINV(P481))*(Q$7-Q$5)*(Q$6-Q$5)),Q$7-SQRT((1-NORMSDIST(Q$9*SQRT($C$11)*NORMSINV($B481)+SQRT(1-Q$9^2*$C$11)*NORMSINV(P481)))*(Q$7-Q$5)*(Q$7-Q$6))))</f>
        <v>0.105226901421841</v>
      </c>
      <c r="R481" s="2" t="n">
        <v>0.622608562</v>
      </c>
      <c r="S481" s="2" t="n">
        <f aca="false">IF(S$7=S$5,S$6,IF(NORMSDIST(S$9*SQRT($C$11)*NORMSINV($B481)+SQRT(1-S$9^2*$C$11)*NORMSINV(R481))&lt;S$8,S$5+SQRT(NORMSDIST(S$9*SQRT($C$11)*NORMSINV($B481)+SQRT(1-S$9^2*$C$11)*NORMSINV(R481))*(S$7-S$5)*(S$6-S$5)),S$7-SQRT((1-NORMSDIST(S$9*SQRT($C$11)*NORMSINV($B481)+SQRT(1-S$9^2*$C$11)*NORMSINV(R481)))*(S$7-S$5)*(S$7-S$6))))</f>
        <v>0.625321354026802</v>
      </c>
      <c r="T481" s="2" t="n">
        <v>0.783240867</v>
      </c>
      <c r="U481" s="2" t="n">
        <f aca="false">IF(U$7=U$5,U$6,IF(NORMSDIST(U$9*SQRT($C$11)*NORMSINV($B481)+SQRT(1-U$9^2*$C$11)*NORMSINV(T481))&lt;U$8,U$5+SQRT(NORMSDIST(U$9*SQRT($C$11)*NORMSINV($B481)+SQRT(1-U$9^2*$C$11)*NORMSINV(T481))*(U$7-U$5)*(U$6-U$5)),U$7-SQRT((1-NORMSDIST(U$9*SQRT($C$11)*NORMSINV($B481)+SQRT(1-U$9^2*$C$11)*NORMSINV(T481)))*(U$7-U$5)*(U$7-U$6))))</f>
        <v>0.70652194801648</v>
      </c>
      <c r="V481" s="2" t="n">
        <v>0.213461157</v>
      </c>
      <c r="W481" s="2" t="n">
        <f aca="false">IF(W$7=W$5,W$6,IF(NORMSDIST(W$9*SQRT($C$11)*NORMSINV($B481)+SQRT(1-W$9^2*$C$11)*NORMSINV(V481))&lt;W$8,W$5+SQRT(NORMSDIST(W$9*SQRT($C$11)*NORMSINV($B481)+SQRT(1-W$9^2*$C$11)*NORMSINV(V481))*(W$7-W$5)*(W$6-W$5)),W$7-SQRT((1-NORMSDIST(W$9*SQRT($C$11)*NORMSINV($B481)+SQRT(1-W$9^2*$C$11)*NORMSINV(V481)))*(W$7-W$5)*(W$7-W$6))))</f>
        <v>9.76856721848463</v>
      </c>
      <c r="X481" s="2" t="n">
        <v>0.496639517</v>
      </c>
      <c r="Y481" s="2" t="n">
        <f aca="false">IF(Y$7=Y$5,Y$6,IF(NORMSDIST(Y$9*SQRT($C$11)*NORMSINV($B481)+SQRT(1-Y$9^2*$C$11)*NORMSINV(X481))&lt;Y$8,Y$5+SQRT(NORMSDIST(Y$9*SQRT($C$11)*NORMSINV($B481)+SQRT(1-Y$9^2*$C$11)*NORMSINV(X481))*(Y$7-Y$5)*(Y$6-Y$5)),Y$7-SQRT((1-NORMSDIST(Y$9*SQRT($C$11)*NORMSINV($B481)+SQRT(1-Y$9^2*$C$11)*NORMSINV(X481)))*(Y$7-Y$5)*(Y$7-Y$6))))</f>
        <v>0.498316925761106</v>
      </c>
      <c r="Z481" s="2" t="n">
        <v>0.820095325</v>
      </c>
      <c r="AA481" s="2" t="n">
        <f aca="false">IF(AA$7=AA$5,AA$6,IF(NORMSDIST(AA$9*SQRT($C$11)*NORMSINV($B481)+SQRT(1-AA$9^2*$C$11)*NORMSINV(Z481))&lt;AA$8,AA$5+SQRT(NORMSDIST(AA$9*SQRT($C$11)*NORMSINV($B481)+SQRT(1-AA$9^2*$C$11)*NORMSINV(Z481))*(AA$7-AA$5)*(AA$6-AA$5)),AA$7-SQRT((1-NORMSDIST(AA$9*SQRT($C$11)*NORMSINV($B481)+SQRT(1-AA$9^2*$C$11)*NORMSINV(Z481)))*(AA$7-AA$5)*(AA$7-AA$6))))</f>
        <v>0.74010928363678</v>
      </c>
      <c r="AB481" s="2" t="n">
        <v>0.873887164</v>
      </c>
      <c r="AC481" s="2" t="n">
        <f aca="false">IF(AC$7=AC$5,AC$6,IF(NORMSDIST(AC$9*SQRT($C$11)*NORMSINV($B481)+SQRT(1-AC$9^2*$C$11)*NORMSINV(AB481))&lt;AC$8,AC$5+SQRT(NORMSDIST(AC$9*SQRT($C$11)*NORMSINV($B481)+SQRT(1-AC$9^2*$C$11)*NORMSINV(AB481))*(AC$7-AC$5)*(AC$6-AC$5)),AC$7-SQRT((1-NORMSDIST(AC$9*SQRT($C$11)*NORMSINV($B481)+SQRT(1-AC$9^2*$C$11)*NORMSINV(AB481)))*(AC$7-AC$5)*(AC$7-AC$6))))</f>
        <v>10.3100504674072</v>
      </c>
      <c r="AD481" s="2" t="n">
        <f aca="false">Entrées!$C$8*(1+E481)</f>
        <v>7423.2456522163</v>
      </c>
      <c r="AE481" s="2" t="n">
        <f aca="false">I481*Hypothèses!$J$24/12/Hypothèses!$J$19</f>
        <v>99.3046986235847</v>
      </c>
      <c r="AF481" s="2" t="n">
        <f aca="false">Entrées!$C$36*S481*1000</f>
        <v>312.660677013401</v>
      </c>
      <c r="AG481" s="2" t="n">
        <f aca="false">-AF481/W481</f>
        <v>-32.0068102128393</v>
      </c>
      <c r="AH481" s="2" t="n">
        <f aca="false">AD481+AE481+AG481</f>
        <v>7490.54354062705</v>
      </c>
      <c r="AI481" s="2" t="n">
        <f aca="false">Entrées!$C$16-M481+Hypothèses!$J$22*1000-AF481+Hypothèses!$J$23</f>
        <v>22526.1276488305</v>
      </c>
      <c r="AJ481" s="2" t="n">
        <f aca="false">AI481/AH481</f>
        <v>3.00727544358481</v>
      </c>
      <c r="AK481" s="2" t="n">
        <f aca="false">AI481/(AH481+I481*(12-Hypothèses!$J$24)/12/Hypothèses!$J$19)</f>
        <v>2.97906509695352</v>
      </c>
      <c r="AL481" s="2" t="n">
        <f aca="false">(AD481+AG481+I481/Hypothèses!$J$19)*(1+G481)</f>
        <v>8052.12653743279</v>
      </c>
      <c r="AM481" s="2" t="n">
        <f aca="false">Entrées!$C$54*K481/Hypothèses!$J$19</f>
        <v>8.91681002169796</v>
      </c>
      <c r="AN481" s="2" t="n">
        <f aca="false">Y481*1000/AC481</f>
        <v>48.3331218733039</v>
      </c>
      <c r="AO481" s="2" t="n">
        <f aca="false">(Entrées!$C$36*(1-S481)+MAX(0,Entrées!$C$30-Entrées!$C$35-Entrées!$C$36)*U481)*1000</f>
        <v>1176.47005020967</v>
      </c>
      <c r="AP481" s="2" t="n">
        <f aca="false">-AO481/W481</f>
        <v>-120.434248329017</v>
      </c>
      <c r="AQ481" s="2" t="n">
        <f aca="false">AL481+AM481+AN481+AP481</f>
        <v>7988.94222099877</v>
      </c>
      <c r="AR481" s="2" t="n">
        <f aca="false">O481*AQ481-Hypothèses!$J$25/Hypothèses!$J$19</f>
        <v>1288.38258828973</v>
      </c>
      <c r="AS481" s="2" t="n">
        <f aca="false">Entrées!$C$79*(1+Q481)+Hypothèses!$J$20</f>
        <v>1509.6443646626</v>
      </c>
      <c r="AT481" s="2" t="n">
        <f aca="false">AI481-AR481+AS481+Y481*1000-AO481+Hypothèses!$J$23</f>
        <v>22069.2363007549</v>
      </c>
      <c r="AU481" s="2" t="n">
        <f aca="false">AT481/AQ481</f>
        <v>2.76247288943289</v>
      </c>
      <c r="AV481" s="2" t="n">
        <f aca="false">Hypothèses!$J$26*AQ481-AT481</f>
        <v>1897.59036224146</v>
      </c>
      <c r="AW481" s="2" t="n">
        <f aca="false">IF(AC481&gt;Hypothèses!$J$26,MAX(0,AV481)/(1-Hypothèses!$J$26/AC481),0)</f>
        <v>2676.34984031981</v>
      </c>
      <c r="AX481" s="2" t="n">
        <f aca="false">AQ481-Entrées!$C$17*1000</f>
        <v>-11.0577790012294</v>
      </c>
      <c r="AY481" s="2" t="n">
        <f aca="false">AI481+(Entrées!$C$244-Entrées!$C$13)</f>
        <v>28273.1276488305</v>
      </c>
      <c r="AZ481" s="2" t="n">
        <f aca="false">AA481*AH481</f>
        <v>5543.82081390359</v>
      </c>
      <c r="BA481" s="2" t="n">
        <f aca="false">AZ481/AY481</f>
        <v>0.19608091763887</v>
      </c>
      <c r="BB481" s="2" t="n">
        <f aca="false">AZ481/(Entrées!$C$151/100)-AY481</f>
        <v>2525.87687285608</v>
      </c>
      <c r="BC481" s="2" t="n">
        <f aca="false">AT481+(Entrées!$C$244-Entrées!$C$13)</f>
        <v>27816.2363007549</v>
      </c>
      <c r="BD481" s="2" t="n">
        <f aca="false">AA481*AQ481</f>
        <v>5912.69030419902</v>
      </c>
      <c r="BE481" s="2" t="n">
        <f aca="false">BD481/BC481</f>
        <v>0.212562556640295</v>
      </c>
      <c r="BF481" s="2" t="n">
        <f aca="false">BD481/(Entrées!$C$151/100)-BC481</f>
        <v>5032.0431670175</v>
      </c>
      <c r="BG481" s="2" t="n">
        <f aca="false">MIN(AV481,BF481)</f>
        <v>1897.59036224146</v>
      </c>
      <c r="BH481" s="2" t="n">
        <f aca="false">IF(AC481&gt;Hypothèses!$J$26,MAX(0,BG481)/(1-Hypothèses!$J$26/AC481),0)</f>
        <v>2676.34984031981</v>
      </c>
    </row>
    <row r="482" customFormat="false" ht="15" hidden="false" customHeight="false" outlineLevel="0" collapsed="false">
      <c r="A482" s="2" t="n">
        <v>467</v>
      </c>
      <c r="B482" s="2" t="n">
        <v>0.477363408</v>
      </c>
      <c r="C482" s="2"/>
      <c r="D482" s="2" t="n">
        <v>0.287815627</v>
      </c>
      <c r="E482" s="2" t="n">
        <f aca="false">IF(E$7=E$5,E$6,IF(NORMSDIST(E$9*SQRT($C$11)*NORMSINV($B482)+SQRT(1-E$9^2*$C$11)*NORMSINV(D482))&lt;E$8,E$5+SQRT(NORMSDIST(E$9*SQRT($C$11)*NORMSINV($B482)+SQRT(1-E$9^2*$C$11)*NORMSINV(D482))*(E$7-E$5)*(E$6-E$5)),E$7-SQRT((1-NORMSDIST(E$9*SQRT($C$11)*NORMSINV($B482)+SQRT(1-E$9^2*$C$11)*NORMSINV(D482)))*(E$7-E$5)*(E$7-E$6))))</f>
        <v>0.0539959570813215</v>
      </c>
      <c r="F482" s="2" t="n">
        <v>0.430240336</v>
      </c>
      <c r="G482" s="2" t="n">
        <f aca="false">IF(G$7=G$5,G$6,IF(NORMSDIST(G$9*SQRT($C$11)*NORMSINV($B482)+SQRT(1-G$9^2*$C$11)*NORMSINV(F482))&lt;G$8,G$5+SQRT(NORMSDIST(G$9*SQRT($C$11)*NORMSINV($B482)+SQRT(1-G$9^2*$C$11)*NORMSINV(F482))*(G$7-G$5)*(G$6-G$5)),G$7-SQRT((1-NORMSDIST(G$9*SQRT($C$11)*NORMSINV($B482)+SQRT(1-G$9^2*$C$11)*NORMSINV(F482)))*(G$7-G$5)*(G$7-G$6))))</f>
        <v>0.0539378793234905</v>
      </c>
      <c r="H482" s="2" t="n">
        <v>0.649615695</v>
      </c>
      <c r="I482" s="2" t="n">
        <f aca="false">IF(I$7=I$5,I$6,IF(NORMSDIST(I$9*SQRT($C$11)*NORMSINV($B482)+SQRT(1-I$9^2*$C$11)*NORMSINV(H482))&lt;I$8,I$5+SQRT(NORMSDIST(I$9*SQRT($C$11)*NORMSINV($B482)+SQRT(1-I$9^2*$C$11)*NORMSINV(H482))*(I$7-I$5)*(I$6-I$5)),I$7-SQRT((1-NORMSDIST(I$9*SQRT($C$11)*NORMSINV($B482)+SQRT(1-I$9^2*$C$11)*NORMSINV(H482)))*(I$7-I$5)*(I$7-I$6))))</f>
        <v>202.18419231575</v>
      </c>
      <c r="J482" s="2" t="n">
        <v>0.660522759</v>
      </c>
      <c r="K482" s="2" t="n">
        <f aca="false">IF(K$7=K$5,K$6,IF(NORMSDIST(K$9*SQRT($C$11)*NORMSINV($B482)+SQRT(1-K$9^2*$C$11)*NORMSINV(J482))&lt;K$8,K$5+SQRT(NORMSDIST(K$9*SQRT($C$11)*NORMSINV($B482)+SQRT(1-K$9^2*$C$11)*NORMSINV(J482))*(K$7-K$5)*(K$6-K$5)),K$7-SQRT((1-NORMSDIST(K$9*SQRT($C$11)*NORMSINV($B482)+SQRT(1-K$9^2*$C$11)*NORMSINV(J482)))*(K$7-K$5)*(K$7-K$6))))</f>
        <v>0.279789882576894</v>
      </c>
      <c r="L482" s="2" t="n">
        <v>0.482033447</v>
      </c>
      <c r="M482" s="2" t="n">
        <f aca="false">IF(M$7=M$5,M$6,IF(NORMSDIST(M$9*SQRT($C$11)*NORMSINV($B482)+SQRT(1-M$9^2*$C$11)*NORMSINV(L482))&lt;M$8,M$5+SQRT(NORMSDIST(M$9*SQRT($C$11)*NORMSINV($B482)+SQRT(1-M$9^2*$C$11)*NORMSINV(L482))*(M$7-M$5)*(M$6-M$5)),M$7-SQRT((1-NORMSDIST(M$9*SQRT($C$11)*NORMSINV($B482)+SQRT(1-M$9^2*$C$11)*NORMSINV(L482)))*(M$7-M$5)*(M$7-M$6))))</f>
        <v>1577.27247375538</v>
      </c>
      <c r="N482" s="2" t="n">
        <v>0.055005377</v>
      </c>
      <c r="O482" s="2" t="n">
        <f aca="false">IF(O$7=O$5,O$6,IF(NORMSDIST(O$9*SQRT($C$11)*NORMSINV($B482)+SQRT(1-O$9^2*$C$11)*NORMSINV(N482))&lt;O$8,O$5+SQRT(NORMSDIST(O$9*SQRT($C$11)*NORMSINV($B482)+SQRT(1-O$9^2*$C$11)*NORMSINV(N482))*(O$7-O$5)*(O$6-O$5)),O$7-SQRT((1-NORMSDIST(O$9*SQRT($C$11)*NORMSINV($B482)+SQRT(1-O$9^2*$C$11)*NORMSINV(N482)))*(O$7-O$5)*(O$7-O$6))))</f>
        <v>0.152059746435882</v>
      </c>
      <c r="P482" s="2" t="n">
        <v>0.031198448</v>
      </c>
      <c r="Q482" s="2" t="n">
        <f aca="false">IF(Q$7=Q$5,Q$6,IF(NORMSDIST(Q$9*SQRT($C$11)*NORMSINV($B482)+SQRT(1-Q$9^2*$C$11)*NORMSINV(P482))&lt;Q$8,Q$5+SQRT(NORMSDIST(Q$9*SQRT($C$11)*NORMSINV($B482)+SQRT(1-Q$9^2*$C$11)*NORMSINV(P482))*(Q$7-Q$5)*(Q$6-Q$5)),Q$7-SQRT((1-NORMSDIST(Q$9*SQRT($C$11)*NORMSINV($B482)+SQRT(1-Q$9^2*$C$11)*NORMSINV(P482)))*(Q$7-Q$5)*(Q$7-Q$6))))</f>
        <v>0.0499917482754521</v>
      </c>
      <c r="R482" s="2" t="n">
        <v>0.341259815</v>
      </c>
      <c r="S482" s="2" t="n">
        <f aca="false">IF(S$7=S$5,S$6,IF(NORMSDIST(S$9*SQRT($C$11)*NORMSINV($B482)+SQRT(1-S$9^2*$C$11)*NORMSINV(R482))&lt;S$8,S$5+SQRT(NORMSDIST(S$9*SQRT($C$11)*NORMSINV($B482)+SQRT(1-S$9^2*$C$11)*NORMSINV(R482))*(S$7-S$5)*(S$6-S$5)),S$7-SQRT((1-NORMSDIST(S$9*SQRT($C$11)*NORMSINV($B482)+SQRT(1-S$9^2*$C$11)*NORMSINV(R482)))*(S$7-S$5)*(S$7-S$6))))</f>
        <v>0.425524869058706</v>
      </c>
      <c r="T482" s="2" t="n">
        <v>0.203000619</v>
      </c>
      <c r="U482" s="2" t="n">
        <f aca="false">IF(U$7=U$5,U$6,IF(NORMSDIST(U$9*SQRT($C$11)*NORMSINV($B482)+SQRT(1-U$9^2*$C$11)*NORMSINV(T482))&lt;U$8,U$5+SQRT(NORMSDIST(U$9*SQRT($C$11)*NORMSINV($B482)+SQRT(1-U$9^2*$C$11)*NORMSINV(T482))*(U$7-U$5)*(U$6-U$5)),U$7-SQRT((1-NORMSDIST(U$9*SQRT($C$11)*NORMSINV($B482)+SQRT(1-U$9^2*$C$11)*NORMSINV(T482)))*(U$7-U$5)*(U$7-U$6))))</f>
        <v>0.352414717648837</v>
      </c>
      <c r="V482" s="2" t="n">
        <v>0.956618023</v>
      </c>
      <c r="W482" s="2" t="n">
        <f aca="false">IF(W$7=W$5,W$6,IF(NORMSDIST(W$9*SQRT($C$11)*NORMSINV($B482)+SQRT(1-W$9^2*$C$11)*NORMSINV(V482))&lt;W$8,W$5+SQRT(NORMSDIST(W$9*SQRT($C$11)*NORMSINV($B482)+SQRT(1-W$9^2*$C$11)*NORMSINV(V482))*(W$7-W$5)*(W$6-W$5)),W$7-SQRT((1-NORMSDIST(W$9*SQRT($C$11)*NORMSINV($B482)+SQRT(1-W$9^2*$C$11)*NORMSINV(V482)))*(W$7-W$5)*(W$7-W$6))))</f>
        <v>11.1127880699303</v>
      </c>
      <c r="X482" s="2" t="n">
        <v>0.351208439</v>
      </c>
      <c r="Y482" s="2" t="n">
        <f aca="false">IF(Y$7=Y$5,Y$6,IF(NORMSDIST(Y$9*SQRT($C$11)*NORMSINV($B482)+SQRT(1-Y$9^2*$C$11)*NORMSINV(X482))&lt;Y$8,Y$5+SQRT(NORMSDIST(Y$9*SQRT($C$11)*NORMSINV($B482)+SQRT(1-Y$9^2*$C$11)*NORMSINV(X482))*(Y$7-Y$5)*(Y$6-Y$5)),Y$7-SQRT((1-NORMSDIST(Y$9*SQRT($C$11)*NORMSINV($B482)+SQRT(1-Y$9^2*$C$11)*NORMSINV(X482)))*(Y$7-Y$5)*(Y$7-Y$6))))</f>
        <v>0.41905157140858</v>
      </c>
      <c r="Z482" s="2" t="n">
        <v>0.607846188</v>
      </c>
      <c r="AA482" s="2" t="n">
        <f aca="false">IF(AA$7=AA$5,AA$6,IF(NORMSDIST(AA$9*SQRT($C$11)*NORMSINV($B482)+SQRT(1-AA$9^2*$C$11)*NORMSINV(Z482))&lt;AA$8,AA$5+SQRT(NORMSDIST(AA$9*SQRT($C$11)*NORMSINV($B482)+SQRT(1-AA$9^2*$C$11)*NORMSINV(Z482))*(AA$7-AA$5)*(AA$6-AA$5)),AA$7-SQRT((1-NORMSDIST(AA$9*SQRT($C$11)*NORMSINV($B482)+SQRT(1-AA$9^2*$C$11)*NORMSINV(Z482)))*(AA$7-AA$5)*(AA$7-AA$6))))</f>
        <v>0.730264412361418</v>
      </c>
      <c r="AB482" s="2" t="n">
        <v>0.278306106</v>
      </c>
      <c r="AC482" s="2" t="n">
        <f aca="false">IF(AC$7=AC$5,AC$6,IF(NORMSDIST(AC$9*SQRT($C$11)*NORMSINV($B482)+SQRT(1-AC$9^2*$C$11)*NORMSINV(AB482))&lt;AC$8,AC$5+SQRT(NORMSDIST(AC$9*SQRT($C$11)*NORMSINV($B482)+SQRT(1-AC$9^2*$C$11)*NORMSINV(AB482))*(AC$7-AC$5)*(AC$6-AC$5)),AC$7-SQRT((1-NORMSDIST(AC$9*SQRT($C$11)*NORMSINV($B482)+SQRT(1-AC$9^2*$C$11)*NORMSINV(AB482)))*(AC$7-AC$5)*(AC$7-AC$6))))</f>
        <v>9.04084058813464</v>
      </c>
      <c r="AD482" s="2" t="n">
        <f aca="false">Entrées!$C$8*(1+E482)</f>
        <v>7430.67149742332</v>
      </c>
      <c r="AE482" s="2" t="n">
        <f aca="false">I482*Hypothèses!$J$24/12/Hypothèses!$J$19</f>
        <v>100.302930692162</v>
      </c>
      <c r="AF482" s="2" t="n">
        <f aca="false">Entrées!$C$36*S482*1000</f>
        <v>212.762434529353</v>
      </c>
      <c r="AG482" s="2" t="n">
        <f aca="false">-AF482/W482</f>
        <v>-19.1457295136455</v>
      </c>
      <c r="AH482" s="2" t="n">
        <f aca="false">AD482+AE482+AG482</f>
        <v>7511.82869860183</v>
      </c>
      <c r="AI482" s="2" t="n">
        <f aca="false">Entrées!$C$16-M482+Hypothèses!$J$22*1000-AF482+Hypothèses!$J$23</f>
        <v>22757.9650917153</v>
      </c>
      <c r="AJ482" s="2" t="n">
        <f aca="false">AI482/AH482</f>
        <v>3.02961715513443</v>
      </c>
      <c r="AK482" s="2" t="n">
        <f aca="false">AI482/(AH482+I482*(12-Hypothèses!$J$24)/12/Hypothèses!$J$19)</f>
        <v>3.00099481382486</v>
      </c>
      <c r="AL482" s="2" t="n">
        <f aca="false">(AD482+AG482+I482/Hypothèses!$J$19)*(1+G482)</f>
        <v>7992.51013563406</v>
      </c>
      <c r="AM482" s="2" t="n">
        <f aca="false">Entrées!$C$54*K482/Hypothèses!$J$19</f>
        <v>28.5537322787741</v>
      </c>
      <c r="AN482" s="2" t="n">
        <f aca="false">Y482*1000/AC482</f>
        <v>46.3509523615039</v>
      </c>
      <c r="AO482" s="2" t="n">
        <f aca="false">(Entrées!$C$36*(1-S482)+MAX(0,Entrées!$C$30-Entrées!$C$35-Entrées!$C$36)*U482)*1000</f>
        <v>780.61817017902</v>
      </c>
      <c r="AP482" s="2" t="n">
        <f aca="false">-AO482/W482</f>
        <v>-70.2450334935538</v>
      </c>
      <c r="AQ482" s="2" t="n">
        <f aca="false">AL482+AM482+AN482+AP482</f>
        <v>7997.16978678078</v>
      </c>
      <c r="AR482" s="2" t="n">
        <f aca="false">O482*AQ482-Hypothèses!$J$25/Hypothèses!$J$19</f>
        <v>1196.91244772096</v>
      </c>
      <c r="AS482" s="2" t="n">
        <f aca="false">Entrées!$C$79*(1+Q482)+Hypothèses!$J$20</f>
        <v>1448.94093135472</v>
      </c>
      <c r="AT482" s="2" t="n">
        <f aca="false">AI482-AR482+AS482+Y482*1000-AO482+Hypothèses!$J$23</f>
        <v>22648.4269765786</v>
      </c>
      <c r="AU482" s="2" t="n">
        <f aca="false">AT482/AQ482</f>
        <v>2.83205528711122</v>
      </c>
      <c r="AV482" s="2" t="n">
        <f aca="false">Hypothèses!$J$26*AQ482-AT482</f>
        <v>1343.08238376375</v>
      </c>
      <c r="AW482" s="2" t="n">
        <f aca="false">IF(AC482&gt;Hypothèses!$J$26,MAX(0,AV482)/(1-Hypothèses!$J$26/AC482),0)</f>
        <v>2010.08345629751</v>
      </c>
      <c r="AX482" s="2" t="n">
        <f aca="false">AQ482-Entrées!$C$17*1000</f>
        <v>-2.83021321921751</v>
      </c>
      <c r="AY482" s="2" t="n">
        <f aca="false">AI482+(Entrées!$C$244-Entrées!$C$13)</f>
        <v>28504.9650917153</v>
      </c>
      <c r="AZ482" s="2" t="n">
        <f aca="false">AA482*AH482</f>
        <v>5485.6211703441</v>
      </c>
      <c r="BA482" s="2" t="n">
        <f aca="false">AZ482/AY482</f>
        <v>0.192444409340408</v>
      </c>
      <c r="BB482" s="2" t="n">
        <f aca="false">AZ482/(Entrées!$C$151/100)-AY482</f>
        <v>1970.70807686306</v>
      </c>
      <c r="BC482" s="2" t="n">
        <f aca="false">AT482+(Entrées!$C$244-Entrées!$C$13)</f>
        <v>28395.4269765786</v>
      </c>
      <c r="BD482" s="2" t="n">
        <f aca="false">AA482*AQ482</f>
        <v>5840.04849489795</v>
      </c>
      <c r="BE482" s="2" t="n">
        <f aca="false">BD482/BC482</f>
        <v>0.205668627547492</v>
      </c>
      <c r="BF482" s="2" t="n">
        <f aca="false">BD482/(Entrées!$C$151/100)-BC482</f>
        <v>4049.28688396557</v>
      </c>
      <c r="BG482" s="2" t="n">
        <f aca="false">MIN(AV482,BF482)</f>
        <v>1343.08238376375</v>
      </c>
      <c r="BH482" s="2" t="n">
        <f aca="false">IF(AC482&gt;Hypothèses!$J$26,MAX(0,BG482)/(1-Hypothèses!$J$26/AC482),0)</f>
        <v>2010.08345629751</v>
      </c>
    </row>
    <row r="483" customFormat="false" ht="15" hidden="false" customHeight="false" outlineLevel="0" collapsed="false">
      <c r="A483" s="2" t="n">
        <v>468</v>
      </c>
      <c r="B483" s="2" t="n">
        <v>0.510109026</v>
      </c>
      <c r="C483" s="2"/>
      <c r="D483" s="2" t="n">
        <v>0.289106333</v>
      </c>
      <c r="E483" s="2" t="n">
        <f aca="false">IF(E$7=E$5,E$6,IF(NORMSDIST(E$9*SQRT($C$11)*NORMSINV($B483)+SQRT(1-E$9^2*$C$11)*NORMSINV(D483))&lt;E$8,E$5+SQRT(NORMSDIST(E$9*SQRT($C$11)*NORMSINV($B483)+SQRT(1-E$9^2*$C$11)*NORMSINV(D483))*(E$7-E$5)*(E$6-E$5)),E$7-SQRT((1-NORMSDIST(E$9*SQRT($C$11)*NORMSINV($B483)+SQRT(1-E$9^2*$C$11)*NORMSINV(D483)))*(E$7-E$5)*(E$7-E$6))))</f>
        <v>0.0541182556798927</v>
      </c>
      <c r="F483" s="2" t="n">
        <v>0.689377172</v>
      </c>
      <c r="G483" s="2" t="n">
        <f aca="false">IF(G$7=G$5,G$6,IF(NORMSDIST(G$9*SQRT($C$11)*NORMSINV($B483)+SQRT(1-G$9^2*$C$11)*NORMSINV(F483))&lt;G$8,G$5+SQRT(NORMSDIST(G$9*SQRT($C$11)*NORMSINV($B483)+SQRT(1-G$9^2*$C$11)*NORMSINV(F483))*(G$7-G$5)*(G$6-G$5)),G$7-SQRT((1-NORMSDIST(G$9*SQRT($C$11)*NORMSINV($B483)+SQRT(1-G$9^2*$C$11)*NORMSINV(F483)))*(G$7-G$5)*(G$7-G$6))))</f>
        <v>0.0575393319539049</v>
      </c>
      <c r="H483" s="2" t="n">
        <v>0.193454717</v>
      </c>
      <c r="I483" s="2" t="n">
        <f aca="false">IF(I$7=I$5,I$6,IF(NORMSDIST(I$9*SQRT($C$11)*NORMSINV($B483)+SQRT(1-I$9^2*$C$11)*NORMSINV(H483))&lt;I$8,I$5+SQRT(NORMSDIST(I$9*SQRT($C$11)*NORMSINV($B483)+SQRT(1-I$9^2*$C$11)*NORMSINV(H483))*(I$7-I$5)*(I$6-I$5)),I$7-SQRT((1-NORMSDIST(I$9*SQRT($C$11)*NORMSINV($B483)+SQRT(1-I$9^2*$C$11)*NORMSINV(H483)))*(I$7-I$5)*(I$7-I$6))))</f>
        <v>194.324738232502</v>
      </c>
      <c r="J483" s="2" t="n">
        <v>0.870910278</v>
      </c>
      <c r="K483" s="2" t="n">
        <f aca="false">IF(K$7=K$5,K$6,IF(NORMSDIST(K$9*SQRT($C$11)*NORMSINV($B483)+SQRT(1-K$9^2*$C$11)*NORMSINV(J483))&lt;K$8,K$5+SQRT(NORMSDIST(K$9*SQRT($C$11)*NORMSINV($B483)+SQRT(1-K$9^2*$C$11)*NORMSINV(J483))*(K$7-K$5)*(K$6-K$5)),K$7-SQRT((1-NORMSDIST(K$9*SQRT($C$11)*NORMSINV($B483)+SQRT(1-K$9^2*$C$11)*NORMSINV(J483)))*(K$7-K$5)*(K$7-K$6))))</f>
        <v>0.34742547926893</v>
      </c>
      <c r="L483" s="2" t="n">
        <v>0.193705222</v>
      </c>
      <c r="M483" s="2" t="n">
        <f aca="false">IF(M$7=M$5,M$6,IF(NORMSDIST(M$9*SQRT($C$11)*NORMSINV($B483)+SQRT(1-M$9^2*$C$11)*NORMSINV(L483))&lt;M$8,M$5+SQRT(NORMSDIST(M$9*SQRT($C$11)*NORMSINV($B483)+SQRT(1-M$9^2*$C$11)*NORMSINV(L483))*(M$7-M$5)*(M$6-M$5)),M$7-SQRT((1-NORMSDIST(M$9*SQRT($C$11)*NORMSINV($B483)+SQRT(1-M$9^2*$C$11)*NORMSINV(L483)))*(M$7-M$5)*(M$7-M$6))))</f>
        <v>1505.37671403482</v>
      </c>
      <c r="N483" s="2" t="n">
        <v>0.32459109</v>
      </c>
      <c r="O483" s="2" t="n">
        <f aca="false">IF(O$7=O$5,O$6,IF(NORMSDIST(O$9*SQRT($C$11)*NORMSINV($B483)+SQRT(1-O$9^2*$C$11)*NORMSINV(N483))&lt;O$8,O$5+SQRT(NORMSDIST(O$9*SQRT($C$11)*NORMSINV($B483)+SQRT(1-O$9^2*$C$11)*NORMSINV(N483))*(O$7-O$5)*(O$6-O$5)),O$7-SQRT((1-NORMSDIST(O$9*SQRT($C$11)*NORMSINV($B483)+SQRT(1-O$9^2*$C$11)*NORMSINV(N483)))*(O$7-O$5)*(O$7-O$6))))</f>
        <v>0.162988184040301</v>
      </c>
      <c r="P483" s="2" t="n">
        <v>0.03645127</v>
      </c>
      <c r="Q483" s="2" t="n">
        <f aca="false">IF(Q$7=Q$5,Q$6,IF(NORMSDIST(Q$9*SQRT($C$11)*NORMSINV($B483)+SQRT(1-Q$9^2*$C$11)*NORMSINV(P483))&lt;Q$8,Q$5+SQRT(NORMSDIST(Q$9*SQRT($C$11)*NORMSINV($B483)+SQRT(1-Q$9^2*$C$11)*NORMSINV(P483))*(Q$7-Q$5)*(Q$6-Q$5)),Q$7-SQRT((1-NORMSDIST(Q$9*SQRT($C$11)*NORMSINV($B483)+SQRT(1-Q$9^2*$C$11)*NORMSINV(P483)))*(Q$7-Q$5)*(Q$7-Q$6))))</f>
        <v>0.0508001881465093</v>
      </c>
      <c r="R483" s="2" t="n">
        <v>0.112370163</v>
      </c>
      <c r="S483" s="2" t="n">
        <f aca="false">IF(S$7=S$5,S$6,IF(NORMSDIST(S$9*SQRT($C$11)*NORMSINV($B483)+SQRT(1-S$9^2*$C$11)*NORMSINV(R483))&lt;S$8,S$5+SQRT(NORMSDIST(S$9*SQRT($C$11)*NORMSINV($B483)+SQRT(1-S$9^2*$C$11)*NORMSINV(R483))*(S$7-S$5)*(S$6-S$5)),S$7-SQRT((1-NORMSDIST(S$9*SQRT($C$11)*NORMSINV($B483)+SQRT(1-S$9^2*$C$11)*NORMSINV(R483)))*(S$7-S$5)*(S$7-S$6))))</f>
        <v>0.298037506503545</v>
      </c>
      <c r="T483" s="2" t="n">
        <v>0.06706588</v>
      </c>
      <c r="U483" s="2" t="n">
        <f aca="false">IF(U$7=U$5,U$6,IF(NORMSDIST(U$9*SQRT($C$11)*NORMSINV($B483)+SQRT(1-U$9^2*$C$11)*NORMSINV(T483))&lt;U$8,U$5+SQRT(NORMSDIST(U$9*SQRT($C$11)*NORMSINV($B483)+SQRT(1-U$9^2*$C$11)*NORMSINV(T483))*(U$7-U$5)*(U$6-U$5)),U$7-SQRT((1-NORMSDIST(U$9*SQRT($C$11)*NORMSINV($B483)+SQRT(1-U$9^2*$C$11)*NORMSINV(T483)))*(U$7-U$5)*(U$7-U$6))))</f>
        <v>0.251241896510682</v>
      </c>
      <c r="V483" s="2" t="n">
        <v>0.022711439</v>
      </c>
      <c r="W483" s="2" t="n">
        <f aca="false">IF(W$7=W$5,W$6,IF(NORMSDIST(W$9*SQRT($C$11)*NORMSINV($B483)+SQRT(1-W$9^2*$C$11)*NORMSINV(V483))&lt;W$8,W$5+SQRT(NORMSDIST(W$9*SQRT($C$11)*NORMSINV($B483)+SQRT(1-W$9^2*$C$11)*NORMSINV(V483))*(W$7-W$5)*(W$6-W$5)),W$7-SQRT((1-NORMSDIST(W$9*SQRT($C$11)*NORMSINV($B483)+SQRT(1-W$9^2*$C$11)*NORMSINV(V483)))*(W$7-W$5)*(W$7-W$6))))</f>
        <v>8.70738478319665</v>
      </c>
      <c r="X483" s="2" t="n">
        <v>0.897667297</v>
      </c>
      <c r="Y483" s="2" t="n">
        <f aca="false">IF(Y$7=Y$5,Y$6,IF(NORMSDIST(Y$9*SQRT($C$11)*NORMSINV($B483)+SQRT(1-Y$9^2*$C$11)*NORMSINV(X483))&lt;Y$8,Y$5+SQRT(NORMSDIST(Y$9*SQRT($C$11)*NORMSINV($B483)+SQRT(1-Y$9^2*$C$11)*NORMSINV(X483))*(Y$7-Y$5)*(Y$6-Y$5)),Y$7-SQRT((1-NORMSDIST(Y$9*SQRT($C$11)*NORMSINV($B483)+SQRT(1-Y$9^2*$C$11)*NORMSINV(X483)))*(Y$7-Y$5)*(Y$7-Y$6))))</f>
        <v>0.773800195623427</v>
      </c>
      <c r="Z483" s="2" t="n">
        <v>0.672656428</v>
      </c>
      <c r="AA483" s="2" t="n">
        <f aca="false">IF(AA$7=AA$5,AA$6,IF(NORMSDIST(AA$9*SQRT($C$11)*NORMSINV($B483)+SQRT(1-AA$9^2*$C$11)*NORMSINV(Z483))&lt;AA$8,AA$5+SQRT(NORMSDIST(AA$9*SQRT($C$11)*NORMSINV($B483)+SQRT(1-AA$9^2*$C$11)*NORMSINV(Z483))*(AA$7-AA$5)*(AA$6-AA$5)),AA$7-SQRT((1-NORMSDIST(AA$9*SQRT($C$11)*NORMSINV($B483)+SQRT(1-AA$9^2*$C$11)*NORMSINV(Z483)))*(AA$7-AA$5)*(AA$7-AA$6))))</f>
        <v>0.732403425669693</v>
      </c>
      <c r="AB483" s="2" t="n">
        <v>0.273555428</v>
      </c>
      <c r="AC483" s="2" t="n">
        <f aca="false">IF(AC$7=AC$5,AC$6,IF(NORMSDIST(AC$9*SQRT($C$11)*NORMSINV($B483)+SQRT(1-AC$9^2*$C$11)*NORMSINV(AB483))&lt;AC$8,AC$5+SQRT(NORMSDIST(AC$9*SQRT($C$11)*NORMSINV($B483)+SQRT(1-AC$9^2*$C$11)*NORMSINV(AB483))*(AC$7-AC$5)*(AC$6-AC$5)),AC$7-SQRT((1-NORMSDIST(AC$9*SQRT($C$11)*NORMSINV($B483)+SQRT(1-AC$9^2*$C$11)*NORMSINV(AB483)))*(AC$7-AC$5)*(AC$7-AC$6))))</f>
        <v>9.07887155828245</v>
      </c>
      <c r="AD483" s="2" t="n">
        <f aca="false">Entrées!$C$8*(1+E483)</f>
        <v>7431.53370254324</v>
      </c>
      <c r="AE483" s="2" t="n">
        <f aca="false">I483*Hypothèses!$J$24/12/Hypothèses!$J$19</f>
        <v>96.4038806766237</v>
      </c>
      <c r="AF483" s="2" t="n">
        <f aca="false">Entrées!$C$36*S483*1000</f>
        <v>149.018753251773</v>
      </c>
      <c r="AG483" s="2" t="n">
        <f aca="false">-AF483/W483</f>
        <v>-17.1140654699614</v>
      </c>
      <c r="AH483" s="2" t="n">
        <f aca="false">AD483+AE483+AG483</f>
        <v>7510.82351774991</v>
      </c>
      <c r="AI483" s="2" t="n">
        <f aca="false">Entrées!$C$16-M483+Hypothèses!$J$22*1000-AF483+Hypothèses!$J$23</f>
        <v>22893.6045327134</v>
      </c>
      <c r="AJ483" s="2" t="n">
        <f aca="false">AI483/AH483</f>
        <v>3.04808180868719</v>
      </c>
      <c r="AK483" s="2" t="n">
        <f aca="false">AI483/(AH483+I483*(12-Hypothèses!$J$24)/12/Hypothèses!$J$19)</f>
        <v>3.02039059236875</v>
      </c>
      <c r="AL483" s="2" t="n">
        <f aca="false">(AD483+AG483+I483/Hypothèses!$J$19)*(1+G483)</f>
        <v>8015.81335364814</v>
      </c>
      <c r="AM483" s="2" t="n">
        <f aca="false">Entrées!$C$54*K483/Hypothèses!$J$19</f>
        <v>35.4562289047154</v>
      </c>
      <c r="AN483" s="2" t="n">
        <f aca="false">Y483*1000/AC483</f>
        <v>85.2308781610096</v>
      </c>
      <c r="AO483" s="2" t="n">
        <f aca="false">(Entrées!$C$36*(1-S483)+MAX(0,Entrées!$C$30-Entrées!$C$35-Entrées!$C$36)*U483)*1000</f>
        <v>702.719901863182</v>
      </c>
      <c r="AP483" s="2" t="n">
        <f aca="false">-AO483/W483</f>
        <v>-80.7038989731197</v>
      </c>
      <c r="AQ483" s="2" t="n">
        <f aca="false">AL483+AM483+AN483+AP483</f>
        <v>8055.79656174075</v>
      </c>
      <c r="AR483" s="2" t="n">
        <f aca="false">O483*AQ483-Hypothèses!$J$25/Hypothèses!$J$19</f>
        <v>1293.8644903346</v>
      </c>
      <c r="AS483" s="2" t="n">
        <f aca="false">Entrées!$C$79*(1+Q483)+Hypothèses!$J$20</f>
        <v>1449.82940677301</v>
      </c>
      <c r="AT483" s="2" t="n">
        <f aca="false">AI483-AR483+AS483+Y483*1000-AO483+Hypothèses!$J$23</f>
        <v>23120.6497429121</v>
      </c>
      <c r="AU483" s="2" t="n">
        <f aca="false">AT483/AQ483</f>
        <v>2.87006375666419</v>
      </c>
      <c r="AV483" s="2" t="n">
        <f aca="false">Hypothèses!$J$26*AQ483-AT483</f>
        <v>1046.73994231017</v>
      </c>
      <c r="AW483" s="2" t="n">
        <f aca="false">IF(AC483&gt;Hypothèses!$J$26,MAX(0,AV483)/(1-Hypothèses!$J$26/AC483),0)</f>
        <v>1563.31934307937</v>
      </c>
      <c r="AX483" s="2" t="n">
        <f aca="false">AQ483-Entrées!$C$17*1000</f>
        <v>55.7965617407472</v>
      </c>
      <c r="AY483" s="2" t="n">
        <f aca="false">AI483+(Entrées!$C$244-Entrées!$C$13)</f>
        <v>28640.6045327134</v>
      </c>
      <c r="AZ483" s="2" t="n">
        <f aca="false">AA483*AH483</f>
        <v>5500.95287400052</v>
      </c>
      <c r="BA483" s="2" t="n">
        <f aca="false">AZ483/AY483</f>
        <v>0.192068322710064</v>
      </c>
      <c r="BB483" s="2" t="n">
        <f aca="false">AZ483/(Entrées!$C$151/100)-AY483</f>
        <v>1920.2447672895</v>
      </c>
      <c r="BC483" s="2" t="n">
        <f aca="false">AT483+(Entrées!$C$244-Entrées!$C$13)</f>
        <v>28867.6497429121</v>
      </c>
      <c r="BD483" s="2" t="n">
        <f aca="false">AA483*AQ483</f>
        <v>5900.09299831706</v>
      </c>
      <c r="BE483" s="2" t="n">
        <f aca="false">BD483/BC483</f>
        <v>0.204384251951987</v>
      </c>
      <c r="BF483" s="2" t="n">
        <f aca="false">BD483/(Entrées!$C$151/100)-BC483</f>
        <v>3910.64469218268</v>
      </c>
      <c r="BG483" s="2" t="n">
        <f aca="false">MIN(AV483,BF483)</f>
        <v>1046.73994231017</v>
      </c>
      <c r="BH483" s="2" t="n">
        <f aca="false">IF(AC483&gt;Hypothèses!$J$26,MAX(0,BG483)/(1-Hypothèses!$J$26/AC483),0)</f>
        <v>1563.31934307937</v>
      </c>
    </row>
    <row r="484" customFormat="false" ht="15" hidden="false" customHeight="false" outlineLevel="0" collapsed="false">
      <c r="A484" s="2" t="n">
        <v>469</v>
      </c>
      <c r="B484" s="2" t="n">
        <v>0.37291204</v>
      </c>
      <c r="C484" s="2"/>
      <c r="D484" s="2" t="n">
        <v>0.762636718</v>
      </c>
      <c r="E484" s="2" t="n">
        <f aca="false">IF(E$7=E$5,E$6,IF(NORMSDIST(E$9*SQRT($C$11)*NORMSINV($B484)+SQRT(1-E$9^2*$C$11)*NORMSINV(D484))&lt;E$8,E$5+SQRT(NORMSDIST(E$9*SQRT($C$11)*NORMSINV($B484)+SQRT(1-E$9^2*$C$11)*NORMSINV(D484))*(E$7-E$5)*(E$6-E$5)),E$7-SQRT((1-NORMSDIST(E$9*SQRT($C$11)*NORMSINV($B484)+SQRT(1-E$9^2*$C$11)*NORMSINV(D484)))*(E$7-E$5)*(E$7-E$6))))</f>
        <v>0.055735815807947</v>
      </c>
      <c r="F484" s="2" t="n">
        <v>0.31296925</v>
      </c>
      <c r="G484" s="2" t="n">
        <f aca="false">IF(G$7=G$5,G$6,IF(NORMSDIST(G$9*SQRT($C$11)*NORMSINV($B484)+SQRT(1-G$9^2*$C$11)*NORMSINV(F484))&lt;G$8,G$5+SQRT(NORMSDIST(G$9*SQRT($C$11)*NORMSINV($B484)+SQRT(1-G$9^2*$C$11)*NORMSINV(F484))*(G$7-G$5)*(G$6-G$5)),G$7-SQRT((1-NORMSDIST(G$9*SQRT($C$11)*NORMSINV($B484)+SQRT(1-G$9^2*$C$11)*NORMSINV(F484)))*(G$7-G$5)*(G$7-G$6))))</f>
        <v>0.0512266759808374</v>
      </c>
      <c r="H484" s="2" t="n">
        <v>0.909044396</v>
      </c>
      <c r="I484" s="2" t="n">
        <f aca="false">IF(I$7=I$5,I$6,IF(NORMSDIST(I$9*SQRT($C$11)*NORMSINV($B484)+SQRT(1-I$9^2*$C$11)*NORMSINV(H484))&lt;I$8,I$5+SQRT(NORMSDIST(I$9*SQRT($C$11)*NORMSINV($B484)+SQRT(1-I$9^2*$C$11)*NORMSINV(H484))*(I$7-I$5)*(I$6-I$5)),I$7-SQRT((1-NORMSDIST(I$9*SQRT($C$11)*NORMSINV($B484)+SQRT(1-I$9^2*$C$11)*NORMSINV(H484)))*(I$7-I$5)*(I$7-I$6))))</f>
        <v>207.238993464776</v>
      </c>
      <c r="J484" s="2" t="n">
        <v>0.373062701</v>
      </c>
      <c r="K484" s="2" t="n">
        <f aca="false">IF(K$7=K$5,K$6,IF(NORMSDIST(K$9*SQRT($C$11)*NORMSINV($B484)+SQRT(1-K$9^2*$C$11)*NORMSINV(J484))&lt;K$8,K$5+SQRT(NORMSDIST(K$9*SQRT($C$11)*NORMSINV($B484)+SQRT(1-K$9^2*$C$11)*NORMSINV(J484))*(K$7-K$5)*(K$6-K$5)),K$7-SQRT((1-NORMSDIST(K$9*SQRT($C$11)*NORMSINV($B484)+SQRT(1-K$9^2*$C$11)*NORMSINV(J484)))*(K$7-K$5)*(K$7-K$6))))</f>
        <v>0.201330284332447</v>
      </c>
      <c r="L484" s="2" t="n">
        <v>0.740969323</v>
      </c>
      <c r="M484" s="2" t="n">
        <f aca="false">IF(M$7=M$5,M$6,IF(NORMSDIST(M$9*SQRT($C$11)*NORMSINV($B484)+SQRT(1-M$9^2*$C$11)*NORMSINV(L484))&lt;M$8,M$5+SQRT(NORMSDIST(M$9*SQRT($C$11)*NORMSINV($B484)+SQRT(1-M$9^2*$C$11)*NORMSINV(L484))*(M$7-M$5)*(M$6-M$5)),M$7-SQRT((1-NORMSDIST(M$9*SQRT($C$11)*NORMSINV($B484)+SQRT(1-M$9^2*$C$11)*NORMSINV(L484)))*(M$7-M$5)*(M$7-M$6))))</f>
        <v>1616.437835329</v>
      </c>
      <c r="N484" s="2" t="n">
        <v>0.896261422</v>
      </c>
      <c r="O484" s="2" t="n">
        <f aca="false">IF(O$7=O$5,O$6,IF(NORMSDIST(O$9*SQRT($C$11)*NORMSINV($B484)+SQRT(1-O$9^2*$C$11)*NORMSINV(N484))&lt;O$8,O$5+SQRT(NORMSDIST(O$9*SQRT($C$11)*NORMSINV($B484)+SQRT(1-O$9^2*$C$11)*NORMSINV(N484))*(O$7-O$5)*(O$6-O$5)),O$7-SQRT((1-NORMSDIST(O$9*SQRT($C$11)*NORMSINV($B484)+SQRT(1-O$9^2*$C$11)*NORMSINV(N484)))*(O$7-O$5)*(O$7-O$6))))</f>
        <v>0.174683597716495</v>
      </c>
      <c r="P484" s="2" t="n">
        <v>0.847802723</v>
      </c>
      <c r="Q484" s="2" t="n">
        <f aca="false">IF(Q$7=Q$5,Q$6,IF(NORMSDIST(Q$9*SQRT($C$11)*NORMSINV($B484)+SQRT(1-Q$9^2*$C$11)*NORMSINV(P484))&lt;Q$8,Q$5+SQRT(NORMSDIST(Q$9*SQRT($C$11)*NORMSINV($B484)+SQRT(1-Q$9^2*$C$11)*NORMSINV(P484))*(Q$7-Q$5)*(Q$6-Q$5)),Q$7-SQRT((1-NORMSDIST(Q$9*SQRT($C$11)*NORMSINV($B484)+SQRT(1-Q$9^2*$C$11)*NORMSINV(P484)))*(Q$7-Q$5)*(Q$7-Q$6))))</f>
        <v>0.0979312146596148</v>
      </c>
      <c r="R484" s="2" t="n">
        <v>0.769579384</v>
      </c>
      <c r="S484" s="2" t="n">
        <f aca="false">IF(S$7=S$5,S$6,IF(NORMSDIST(S$9*SQRT($C$11)*NORMSINV($B484)+SQRT(1-S$9^2*$C$11)*NORMSINV(R484))&lt;S$8,S$5+SQRT(NORMSDIST(S$9*SQRT($C$11)*NORMSINV($B484)+SQRT(1-S$9^2*$C$11)*NORMSINV(R484))*(S$7-S$5)*(S$6-S$5)),S$7-SQRT((1-NORMSDIST(S$9*SQRT($C$11)*NORMSINV($B484)+SQRT(1-S$9^2*$C$11)*NORMSINV(R484)))*(S$7-S$5)*(S$7-S$6))))</f>
        <v>0.577449079212474</v>
      </c>
      <c r="T484" s="2" t="n">
        <v>0.005954391</v>
      </c>
      <c r="U484" s="2" t="n">
        <f aca="false">IF(U$7=U$5,U$6,IF(NORMSDIST(U$9*SQRT($C$11)*NORMSINV($B484)+SQRT(1-U$9^2*$C$11)*NORMSINV(T484))&lt;U$8,U$5+SQRT(NORMSDIST(U$9*SQRT($C$11)*NORMSINV($B484)+SQRT(1-U$9^2*$C$11)*NORMSINV(T484))*(U$7-U$5)*(U$6-U$5)),U$7-SQRT((1-NORMSDIST(U$9*SQRT($C$11)*NORMSINV($B484)+SQRT(1-U$9^2*$C$11)*NORMSINV(T484)))*(U$7-U$5)*(U$7-U$6))))</f>
        <v>0.0884860583000649</v>
      </c>
      <c r="V484" s="2" t="n">
        <v>0.193890072</v>
      </c>
      <c r="W484" s="2" t="n">
        <f aca="false">IF(W$7=W$5,W$6,IF(NORMSDIST(W$9*SQRT($C$11)*NORMSINV($B484)+SQRT(1-W$9^2*$C$11)*NORMSINV(V484))&lt;W$8,W$5+SQRT(NORMSDIST(W$9*SQRT($C$11)*NORMSINV($B484)+SQRT(1-W$9^2*$C$11)*NORMSINV(V484))*(W$7-W$5)*(W$6-W$5)),W$7-SQRT((1-NORMSDIST(W$9*SQRT($C$11)*NORMSINV($B484)+SQRT(1-W$9^2*$C$11)*NORMSINV(V484)))*(W$7-W$5)*(W$7-W$6))))</f>
        <v>9.23632198108227</v>
      </c>
      <c r="X484" s="2" t="n">
        <v>0.365270927</v>
      </c>
      <c r="Y484" s="2" t="n">
        <f aca="false">IF(Y$7=Y$5,Y$6,IF(NORMSDIST(Y$9*SQRT($C$11)*NORMSINV($B484)+SQRT(1-Y$9^2*$C$11)*NORMSINV(X484))&lt;Y$8,Y$5+SQRT(NORMSDIST(Y$9*SQRT($C$11)*NORMSINV($B484)+SQRT(1-Y$9^2*$C$11)*NORMSINV(X484))*(Y$7-Y$5)*(Y$6-Y$5)),Y$7-SQRT((1-NORMSDIST(Y$9*SQRT($C$11)*NORMSINV($B484)+SQRT(1-Y$9^2*$C$11)*NORMSINV(X484)))*(Y$7-Y$5)*(Y$7-Y$6))))</f>
        <v>0.427358705890029</v>
      </c>
      <c r="Z484" s="2" t="n">
        <v>0.156431796</v>
      </c>
      <c r="AA484" s="2" t="n">
        <f aca="false">IF(AA$7=AA$5,AA$6,IF(NORMSDIST(AA$9*SQRT($C$11)*NORMSINV($B484)+SQRT(1-AA$9^2*$C$11)*NORMSINV(Z484))&lt;AA$8,AA$5+SQRT(NORMSDIST(AA$9*SQRT($C$11)*NORMSINV($B484)+SQRT(1-AA$9^2*$C$11)*NORMSINV(Z484))*(AA$7-AA$5)*(AA$6-AA$5)),AA$7-SQRT((1-NORMSDIST(AA$9*SQRT($C$11)*NORMSINV($B484)+SQRT(1-AA$9^2*$C$11)*NORMSINV(Z484)))*(AA$7-AA$5)*(AA$7-AA$6))))</f>
        <v>0.71394379281718</v>
      </c>
      <c r="AB484" s="2" t="n">
        <v>0.6933911</v>
      </c>
      <c r="AC484" s="2" t="n">
        <f aca="false">IF(AC$7=AC$5,AC$6,IF(NORMSDIST(AC$9*SQRT($C$11)*NORMSINV($B484)+SQRT(1-AC$9^2*$C$11)*NORMSINV(AB484))&lt;AC$8,AC$5+SQRT(NORMSDIST(AC$9*SQRT($C$11)*NORMSINV($B484)+SQRT(1-AC$9^2*$C$11)*NORMSINV(AB484))*(AC$7-AC$5)*(AC$6-AC$5)),AC$7-SQRT((1-NORMSDIST(AC$9*SQRT($C$11)*NORMSINV($B484)+SQRT(1-AC$9^2*$C$11)*NORMSINV(AB484)))*(AC$7-AC$5)*(AC$7-AC$6))))</f>
        <v>9.62693886051159</v>
      </c>
      <c r="AD484" s="2" t="n">
        <f aca="false">Entrées!$C$8*(1+E484)</f>
        <v>7442.93750144603</v>
      </c>
      <c r="AE484" s="2" t="n">
        <f aca="false">I484*Hypothèses!$J$24/12/Hypothèses!$J$19</f>
        <v>102.810601363673</v>
      </c>
      <c r="AF484" s="2" t="n">
        <f aca="false">Entrées!$C$36*S484*1000</f>
        <v>288.724539606237</v>
      </c>
      <c r="AG484" s="2" t="n">
        <f aca="false">-AF484/W484</f>
        <v>-31.2596875896704</v>
      </c>
      <c r="AH484" s="2" t="n">
        <f aca="false">AD484+AE484+AG484</f>
        <v>7514.48841522003</v>
      </c>
      <c r="AI484" s="2" t="n">
        <f aca="false">Entrées!$C$16-M484+Hypothèses!$J$22*1000-AF484+Hypothèses!$J$23</f>
        <v>22642.8376250648</v>
      </c>
      <c r="AJ484" s="2" t="n">
        <f aca="false">AI484/AH484</f>
        <v>3.01322410441187</v>
      </c>
      <c r="AK484" s="2" t="n">
        <f aca="false">AI484/(AH484+I484*(12-Hypothèses!$J$24)/12/Hypothèses!$J$19)</f>
        <v>2.98406203815711</v>
      </c>
      <c r="AL484" s="2" t="n">
        <f aca="false">(AD484+AG484+I484/Hypothèses!$J$19)*(1+G484)</f>
        <v>7976.62871180478</v>
      </c>
      <c r="AM484" s="2" t="n">
        <f aca="false">Entrées!$C$54*K484/Hypothèses!$J$19</f>
        <v>20.5466008473635</v>
      </c>
      <c r="AN484" s="2" t="n">
        <f aca="false">Y484*1000/AC484</f>
        <v>44.3919621888321</v>
      </c>
      <c r="AO484" s="2" t="n">
        <f aca="false">(Entrées!$C$36*(1-S484)+MAX(0,Entrées!$C$30-Entrées!$C$35-Entrées!$C$36)*U484)*1000</f>
        <v>335.155942013854</v>
      </c>
      <c r="AP484" s="2" t="n">
        <f aca="false">-AO484/W484</f>
        <v>-36.2867321754608</v>
      </c>
      <c r="AQ484" s="2" t="n">
        <f aca="false">AL484+AM484+AN484+AP484</f>
        <v>8005.28054266551</v>
      </c>
      <c r="AR484" s="2" t="n">
        <f aca="false">O484*AQ484-Hypothèses!$J$25/Hypothèses!$J$19</f>
        <v>1379.25604366104</v>
      </c>
      <c r="AS484" s="2" t="n">
        <f aca="false">Entrées!$C$79*(1+Q484)+Hypothèses!$J$20</f>
        <v>1501.62640491092</v>
      </c>
      <c r="AT484" s="2" t="n">
        <f aca="false">AI484-AR484+AS484+Y484*1000-AO484+Hypothèses!$J$23</f>
        <v>22857.4107501908</v>
      </c>
      <c r="AU484" s="2" t="n">
        <f aca="false">AT484/AQ484</f>
        <v>2.8552916575963</v>
      </c>
      <c r="AV484" s="2" t="n">
        <f aca="false">Hypothèses!$J$26*AQ484-AT484</f>
        <v>1158.43087780573</v>
      </c>
      <c r="AW484" s="2" t="n">
        <f aca="false">IF(AC484&gt;Hypothèses!$J$26,MAX(0,AV484)/(1-Hypothèses!$J$26/AC484),0)</f>
        <v>1682.84987525954</v>
      </c>
      <c r="AX484" s="2" t="n">
        <f aca="false">AQ484-Entrées!$C$17*1000</f>
        <v>5.28054266551226</v>
      </c>
      <c r="AY484" s="2" t="n">
        <f aca="false">AI484+(Entrées!$C$244-Entrées!$C$13)</f>
        <v>28389.8376250648</v>
      </c>
      <c r="AZ484" s="2" t="n">
        <f aca="false">AA484*AH484</f>
        <v>5364.92236024295</v>
      </c>
      <c r="BA484" s="2" t="n">
        <f aca="false">AZ484/AY484</f>
        <v>0.188973337258765</v>
      </c>
      <c r="BB484" s="2" t="n">
        <f aca="false">AZ484/(Entrées!$C$151/100)-AY484</f>
        <v>1415.28659850718</v>
      </c>
      <c r="BC484" s="2" t="n">
        <f aca="false">AT484+(Entrées!$C$244-Entrées!$C$13)</f>
        <v>28604.4107501908</v>
      </c>
      <c r="BD484" s="2" t="n">
        <f aca="false">AA484*AQ484</f>
        <v>5715.32035319619</v>
      </c>
      <c r="BE484" s="2" t="n">
        <f aca="false">BD484/BC484</f>
        <v>0.199805561565643</v>
      </c>
      <c r="BF484" s="2" t="n">
        <f aca="false">BD484/(Entrées!$C$151/100)-BC484</f>
        <v>3147.36898978803</v>
      </c>
      <c r="BG484" s="2" t="n">
        <f aca="false">MIN(AV484,BF484)</f>
        <v>1158.43087780573</v>
      </c>
      <c r="BH484" s="2" t="n">
        <f aca="false">IF(AC484&gt;Hypothèses!$J$26,MAX(0,BG484)/(1-Hypothèses!$J$26/AC484),0)</f>
        <v>1682.84987525954</v>
      </c>
    </row>
    <row r="485" customFormat="false" ht="15" hidden="false" customHeight="false" outlineLevel="0" collapsed="false">
      <c r="A485" s="2" t="n">
        <v>470</v>
      </c>
      <c r="B485" s="2" t="n">
        <v>0.24032691</v>
      </c>
      <c r="C485" s="2"/>
      <c r="D485" s="2" t="n">
        <v>0.901506147</v>
      </c>
      <c r="E485" s="2" t="n">
        <f aca="false">IF(E$7=E$5,E$6,IF(NORMSDIST(E$9*SQRT($C$11)*NORMSINV($B485)+SQRT(1-E$9^2*$C$11)*NORMSINV(D485))&lt;E$8,E$5+SQRT(NORMSDIST(E$9*SQRT($C$11)*NORMSINV($B485)+SQRT(1-E$9^2*$C$11)*NORMSINV(D485))*(E$7-E$5)*(E$6-E$5)),E$7-SQRT((1-NORMSDIST(E$9*SQRT($C$11)*NORMSINV($B485)+SQRT(1-E$9^2*$C$11)*NORMSINV(D485)))*(E$7-E$5)*(E$7-E$6))))</f>
        <v>0.0561919905516346</v>
      </c>
      <c r="F485" s="2" t="n">
        <v>0.547161983</v>
      </c>
      <c r="G485" s="2" t="n">
        <f aca="false">IF(G$7=G$5,G$6,IF(NORMSDIST(G$9*SQRT($C$11)*NORMSINV($B485)+SQRT(1-G$9^2*$C$11)*NORMSINV(F485))&lt;G$8,G$5+SQRT(NORMSDIST(G$9*SQRT($C$11)*NORMSINV($B485)+SQRT(1-G$9^2*$C$11)*NORMSINV(F485))*(G$7-G$5)*(G$6-G$5)),G$7-SQRT((1-NORMSDIST(G$9*SQRT($C$11)*NORMSINV($B485)+SQRT(1-G$9^2*$C$11)*NORMSINV(F485)))*(G$7-G$5)*(G$7-G$6))))</f>
        <v>0.0527557154227994</v>
      </c>
      <c r="H485" s="2" t="n">
        <v>0.023185306</v>
      </c>
      <c r="I485" s="2" t="n">
        <f aca="false">IF(I$7=I$5,I$6,IF(NORMSDIST(I$9*SQRT($C$11)*NORMSINV($B485)+SQRT(1-I$9^2*$C$11)*NORMSINV(H485))&lt;I$8,I$5+SQRT(NORMSDIST(I$9*SQRT($C$11)*NORMSINV($B485)+SQRT(1-I$9^2*$C$11)*NORMSINV(H485))*(I$7-I$5)*(I$6-I$5)),I$7-SQRT((1-NORMSDIST(I$9*SQRT($C$11)*NORMSINV($B485)+SQRT(1-I$9^2*$C$11)*NORMSINV(H485)))*(I$7-I$5)*(I$7-I$6))))</f>
        <v>184.321888733944</v>
      </c>
      <c r="J485" s="2" t="n">
        <v>0.842543754</v>
      </c>
      <c r="K485" s="2" t="n">
        <f aca="false">IF(K$7=K$5,K$6,IF(NORMSDIST(K$9*SQRT($C$11)*NORMSINV($B485)+SQRT(1-K$9^2*$C$11)*NORMSINV(J485))&lt;K$8,K$5+SQRT(NORMSDIST(K$9*SQRT($C$11)*NORMSINV($B485)+SQRT(1-K$9^2*$C$11)*NORMSINV(J485))*(K$7-K$5)*(K$6-K$5)),K$7-SQRT((1-NORMSDIST(K$9*SQRT($C$11)*NORMSINV($B485)+SQRT(1-K$9^2*$C$11)*NORMSINV(J485)))*(K$7-K$5)*(K$7-K$6))))</f>
        <v>0.285002333561526</v>
      </c>
      <c r="L485" s="2" t="n">
        <v>0.825435483</v>
      </c>
      <c r="M485" s="2" t="n">
        <f aca="false">IF(M$7=M$5,M$6,IF(NORMSDIST(M$9*SQRT($C$11)*NORMSINV($B485)+SQRT(1-M$9^2*$C$11)*NORMSINV(L485))&lt;M$8,M$5+SQRT(NORMSDIST(M$9*SQRT($C$11)*NORMSINV($B485)+SQRT(1-M$9^2*$C$11)*NORMSINV(L485))*(M$7-M$5)*(M$6-M$5)),M$7-SQRT((1-NORMSDIST(M$9*SQRT($C$11)*NORMSINV($B485)+SQRT(1-M$9^2*$C$11)*NORMSINV(L485)))*(M$7-M$5)*(M$7-M$6))))</f>
        <v>1614.83431013536</v>
      </c>
      <c r="N485" s="2" t="n">
        <v>0.15480825</v>
      </c>
      <c r="O485" s="2" t="n">
        <f aca="false">IF(O$7=O$5,O$6,IF(NORMSDIST(O$9*SQRT($C$11)*NORMSINV($B485)+SQRT(1-O$9^2*$C$11)*NORMSINV(N485))&lt;O$8,O$5+SQRT(NORMSDIST(O$9*SQRT($C$11)*NORMSINV($B485)+SQRT(1-O$9^2*$C$11)*NORMSINV(N485))*(O$7-O$5)*(O$6-O$5)),O$7-SQRT((1-NORMSDIST(O$9*SQRT($C$11)*NORMSINV($B485)+SQRT(1-O$9^2*$C$11)*NORMSINV(N485)))*(O$7-O$5)*(O$7-O$6))))</f>
        <v>0.15249308223058</v>
      </c>
      <c r="P485" s="2" t="n">
        <v>0.416740733</v>
      </c>
      <c r="Q485" s="2" t="n">
        <f aca="false">IF(Q$7=Q$5,Q$6,IF(NORMSDIST(Q$9*SQRT($C$11)*NORMSINV($B485)+SQRT(1-Q$9^2*$C$11)*NORMSINV(P485))&lt;Q$8,Q$5+SQRT(NORMSDIST(Q$9*SQRT($C$11)*NORMSINV($B485)+SQRT(1-Q$9^2*$C$11)*NORMSINV(P485))*(Q$7-Q$5)*(Q$6-Q$5)),Q$7-SQRT((1-NORMSDIST(Q$9*SQRT($C$11)*NORMSINV($B485)+SQRT(1-Q$9^2*$C$11)*NORMSINV(P485)))*(Q$7-Q$5)*(Q$7-Q$6))))</f>
        <v>0.0765180824469194</v>
      </c>
      <c r="R485" s="2" t="n">
        <v>0.777989485</v>
      </c>
      <c r="S485" s="2" t="n">
        <f aca="false">IF(S$7=S$5,S$6,IF(NORMSDIST(S$9*SQRT($C$11)*NORMSINV($B485)+SQRT(1-S$9^2*$C$11)*NORMSINV(R485))&lt;S$8,S$5+SQRT(NORMSDIST(S$9*SQRT($C$11)*NORMSINV($B485)+SQRT(1-S$9^2*$C$11)*NORMSINV(R485))*(S$7-S$5)*(S$6-S$5)),S$7-SQRT((1-NORMSDIST(S$9*SQRT($C$11)*NORMSINV($B485)+SQRT(1-S$9^2*$C$11)*NORMSINV(R485)))*(S$7-S$5)*(S$7-S$6))))</f>
        <v>0.530093455378329</v>
      </c>
      <c r="T485" s="2" t="n">
        <v>0.114139381</v>
      </c>
      <c r="U485" s="2" t="n">
        <f aca="false">IF(U$7=U$5,U$6,IF(NORMSDIST(U$9*SQRT($C$11)*NORMSINV($B485)+SQRT(1-U$9^2*$C$11)*NORMSINV(T485))&lt;U$8,U$5+SQRT(NORMSDIST(U$9*SQRT($C$11)*NORMSINV($B485)+SQRT(1-U$9^2*$C$11)*NORMSINV(T485))*(U$7-U$5)*(U$6-U$5)),U$7-SQRT((1-NORMSDIST(U$9*SQRT($C$11)*NORMSINV($B485)+SQRT(1-U$9^2*$C$11)*NORMSINV(T485)))*(U$7-U$5)*(U$7-U$6))))</f>
        <v>0.204822571142047</v>
      </c>
      <c r="V485" s="2" t="n">
        <v>0.431422102</v>
      </c>
      <c r="W485" s="2" t="n">
        <f aca="false">IF(W$7=W$5,W$6,IF(NORMSDIST(W$9*SQRT($C$11)*NORMSINV($B485)+SQRT(1-W$9^2*$C$11)*NORMSINV(V485))&lt;W$8,W$5+SQRT(NORMSDIST(W$9*SQRT($C$11)*NORMSINV($B485)+SQRT(1-W$9^2*$C$11)*NORMSINV(V485))*(W$7-W$5)*(W$6-W$5)),W$7-SQRT((1-NORMSDIST(W$9*SQRT($C$11)*NORMSINV($B485)+SQRT(1-W$9^2*$C$11)*NORMSINV(V485)))*(W$7-W$5)*(W$7-W$6))))</f>
        <v>9.49934938513562</v>
      </c>
      <c r="X485" s="2" t="n">
        <v>0.51467055</v>
      </c>
      <c r="Y485" s="2" t="n">
        <f aca="false">IF(Y$7=Y$5,Y$6,IF(NORMSDIST(Y$9*SQRT($C$11)*NORMSINV($B485)+SQRT(1-Y$9^2*$C$11)*NORMSINV(X485))&lt;Y$8,Y$5+SQRT(NORMSDIST(Y$9*SQRT($C$11)*NORMSINV($B485)+SQRT(1-Y$9^2*$C$11)*NORMSINV(X485))*(Y$7-Y$5)*(Y$6-Y$5)),Y$7-SQRT((1-NORMSDIST(Y$9*SQRT($C$11)*NORMSINV($B485)+SQRT(1-Y$9^2*$C$11)*NORMSINV(X485)))*(Y$7-Y$5)*(Y$7-Y$6))))</f>
        <v>0.507389885406319</v>
      </c>
      <c r="Z485" s="2" t="n">
        <v>0.487280157</v>
      </c>
      <c r="AA485" s="2" t="n">
        <f aca="false">IF(AA$7=AA$5,AA$6,IF(NORMSDIST(AA$9*SQRT($C$11)*NORMSINV($B485)+SQRT(1-AA$9^2*$C$11)*NORMSINV(Z485))&lt;AA$8,AA$5+SQRT(NORMSDIST(AA$9*SQRT($C$11)*NORMSINV($B485)+SQRT(1-AA$9^2*$C$11)*NORMSINV(Z485))*(AA$7-AA$5)*(AA$6-AA$5)),AA$7-SQRT((1-NORMSDIST(AA$9*SQRT($C$11)*NORMSINV($B485)+SQRT(1-AA$9^2*$C$11)*NORMSINV(Z485)))*(AA$7-AA$5)*(AA$7-AA$6))))</f>
        <v>0.721460406184278</v>
      </c>
      <c r="AB485" s="2" t="n">
        <v>0.779436637</v>
      </c>
      <c r="AC485" s="2" t="n">
        <f aca="false">IF(AC$7=AC$5,AC$6,IF(NORMSDIST(AC$9*SQRT($C$11)*NORMSINV($B485)+SQRT(1-AC$9^2*$C$11)*NORMSINV(AB485))&lt;AC$8,AC$5+SQRT(NORMSDIST(AC$9*SQRT($C$11)*NORMSINV($B485)+SQRT(1-AC$9^2*$C$11)*NORMSINV(AB485))*(AC$7-AC$5)*(AC$6-AC$5)),AC$7-SQRT((1-NORMSDIST(AC$9*SQRT($C$11)*NORMSINV($B485)+SQRT(1-AC$9^2*$C$11)*NORMSINV(AB485)))*(AC$7-AC$5)*(AC$7-AC$6))))</f>
        <v>9.59937002473257</v>
      </c>
      <c r="AD485" s="2" t="n">
        <f aca="false">Entrées!$C$8*(1+E485)</f>
        <v>7446.15353338902</v>
      </c>
      <c r="AE485" s="2" t="n">
        <f aca="false">I485*Hypothèses!$J$24/12/Hypothèses!$J$19</f>
        <v>91.4414990557545</v>
      </c>
      <c r="AF485" s="2" t="n">
        <f aca="false">Entrées!$C$36*S485*1000</f>
        <v>265.046727689165</v>
      </c>
      <c r="AG485" s="2" t="n">
        <f aca="false">-AF485/W485</f>
        <v>-27.9015664066325</v>
      </c>
      <c r="AH485" s="2" t="n">
        <f aca="false">AD485+AE485+AG485</f>
        <v>7509.69346603815</v>
      </c>
      <c r="AI485" s="2" t="n">
        <f aca="false">Entrées!$C$16-M485+Hypothèses!$J$22*1000-AF485+Hypothèses!$J$23</f>
        <v>22668.1189621755</v>
      </c>
      <c r="AJ485" s="2" t="n">
        <f aca="false">AI485/AH485</f>
        <v>3.01851454585861</v>
      </c>
      <c r="AK485" s="2" t="n">
        <f aca="false">AI485/(AH485+I485*(12-Hypothèses!$J$24)/12/Hypothèses!$J$19)</f>
        <v>2.99248746679013</v>
      </c>
      <c r="AL485" s="2" t="n">
        <f aca="false">(AD485+AG485+I485/Hypothèses!$J$19)*(1+G485)</f>
        <v>7974.63383227189</v>
      </c>
      <c r="AM485" s="2" t="n">
        <f aca="false">Entrées!$C$54*K485/Hypothèses!$J$19</f>
        <v>29.0856847874232</v>
      </c>
      <c r="AN485" s="2" t="n">
        <f aca="false">Y485*1000/AC485</f>
        <v>52.8565816401534</v>
      </c>
      <c r="AO485" s="2" t="n">
        <f aca="false">(Entrées!$C$36*(1-S485)+MAX(0,Entrées!$C$30-Entrées!$C$35-Entrées!$C$36)*U485)*1000</f>
        <v>521.704871909702</v>
      </c>
      <c r="AP485" s="2" t="n">
        <f aca="false">-AO485/W485</f>
        <v>-54.9200635494105</v>
      </c>
      <c r="AQ485" s="2" t="n">
        <f aca="false">AL485+AM485+AN485+AP485</f>
        <v>8001.65603515006</v>
      </c>
      <c r="AR485" s="2" t="n">
        <f aca="false">O485*AQ485-Hypothèses!$J$25/Hypothèses!$J$19</f>
        <v>1201.06202948733</v>
      </c>
      <c r="AS485" s="2" t="n">
        <f aca="false">Entrées!$C$79*(1+Q485)+Hypothèses!$J$20</f>
        <v>1478.09337260916</v>
      </c>
      <c r="AT485" s="2" t="n">
        <f aca="false">AI485-AR485+AS485+Y485*1000-AO485+Hypothèses!$J$23</f>
        <v>22930.8353187939</v>
      </c>
      <c r="AU485" s="2" t="n">
        <f aca="false">AT485/AQ485</f>
        <v>2.86576118969152</v>
      </c>
      <c r="AV485" s="2" t="n">
        <f aca="false">Hypothèses!$J$26*AQ485-AT485</f>
        <v>1074.13278665624</v>
      </c>
      <c r="AW485" s="2" t="n">
        <f aca="false">IF(AC485&gt;Hypothèses!$J$26,MAX(0,AV485)/(1-Hypothèses!$J$26/AC485),0)</f>
        <v>1562.42156996315</v>
      </c>
      <c r="AX485" s="2" t="n">
        <f aca="false">AQ485-Entrées!$C$17*1000</f>
        <v>1.6560351500566</v>
      </c>
      <c r="AY485" s="2" t="n">
        <f aca="false">AI485+(Entrées!$C$244-Entrées!$C$13)</f>
        <v>28415.1189621755</v>
      </c>
      <c r="AZ485" s="2" t="n">
        <f aca="false">AA485*AH485</f>
        <v>5417.9464983273</v>
      </c>
      <c r="BA485" s="2" t="n">
        <f aca="false">AZ485/AY485</f>
        <v>0.190671258689409</v>
      </c>
      <c r="BB485" s="2" t="n">
        <f aca="false">AZ485/(Entrées!$C$151/100)-AY485</f>
        <v>1684.5838063095</v>
      </c>
      <c r="BC485" s="2" t="n">
        <f aca="false">AT485+(Entrées!$C$244-Entrées!$C$13)</f>
        <v>28677.8353187939</v>
      </c>
      <c r="BD485" s="2" t="n">
        <f aca="false">AA485*AQ485</f>
        <v>5772.87801326624</v>
      </c>
      <c r="BE485" s="2" t="n">
        <f aca="false">BD485/BC485</f>
        <v>0.201301037860518</v>
      </c>
      <c r="BF485" s="2" t="n">
        <f aca="false">BD485/(Entrées!$C$151/100)-BC485</f>
        <v>3393.70919935183</v>
      </c>
      <c r="BG485" s="2" t="n">
        <f aca="false">MIN(AV485,BF485)</f>
        <v>1074.13278665624</v>
      </c>
      <c r="BH485" s="2" t="n">
        <f aca="false">IF(AC485&gt;Hypothèses!$J$26,MAX(0,BG485)/(1-Hypothèses!$J$26/AC485),0)</f>
        <v>1562.42156996315</v>
      </c>
    </row>
    <row r="486" customFormat="false" ht="15" hidden="false" customHeight="false" outlineLevel="0" collapsed="false">
      <c r="A486" s="2" t="n">
        <v>471</v>
      </c>
      <c r="B486" s="2" t="n">
        <v>0.786455612</v>
      </c>
      <c r="C486" s="2"/>
      <c r="D486" s="2" t="n">
        <v>0.028541023</v>
      </c>
      <c r="E486" s="2" t="n">
        <f aca="false">IF(E$7=E$5,E$6,IF(NORMSDIST(E$9*SQRT($C$11)*NORMSINV($B486)+SQRT(1-E$9^2*$C$11)*NORMSINV(D486))&lt;E$8,E$5+SQRT(NORMSDIST(E$9*SQRT($C$11)*NORMSINV($B486)+SQRT(1-E$9^2*$C$11)*NORMSINV(D486))*(E$7-E$5)*(E$6-E$5)),E$7-SQRT((1-NORMSDIST(E$9*SQRT($C$11)*NORMSINV($B486)+SQRT(1-E$9^2*$C$11)*NORMSINV(D486)))*(E$7-E$5)*(E$7-E$6))))</f>
        <v>0.0528778751223542</v>
      </c>
      <c r="F486" s="2" t="n">
        <v>0.013455179</v>
      </c>
      <c r="G486" s="2" t="n">
        <f aca="false">IF(G$7=G$5,G$6,IF(NORMSDIST(G$9*SQRT($C$11)*NORMSINV($B486)+SQRT(1-G$9^2*$C$11)*NORMSINV(F486))&lt;G$8,G$5+SQRT(NORMSDIST(G$9*SQRT($C$11)*NORMSINV($B486)+SQRT(1-G$9^2*$C$11)*NORMSINV(F486))*(G$7-G$5)*(G$6-G$5)),G$7-SQRT((1-NORMSDIST(G$9*SQRT($C$11)*NORMSINV($B486)+SQRT(1-G$9^2*$C$11)*NORMSINV(F486)))*(G$7-G$5)*(G$7-G$6))))</f>
        <v>0.0471247084965656</v>
      </c>
      <c r="H486" s="2" t="n">
        <v>0.802779731</v>
      </c>
      <c r="I486" s="2" t="n">
        <f aca="false">IF(I$7=I$5,I$6,IF(NORMSDIST(I$9*SQRT($C$11)*NORMSINV($B486)+SQRT(1-I$9^2*$C$11)*NORMSINV(H486))&lt;I$8,I$5+SQRT(NORMSDIST(I$9*SQRT($C$11)*NORMSINV($B486)+SQRT(1-I$9^2*$C$11)*NORMSINV(H486))*(I$7-I$5)*(I$6-I$5)),I$7-SQRT((1-NORMSDIST(I$9*SQRT($C$11)*NORMSINV($B486)+SQRT(1-I$9^2*$C$11)*NORMSINV(H486)))*(I$7-I$5)*(I$7-I$6))))</f>
        <v>210.095141756615</v>
      </c>
      <c r="J486" s="2" t="n">
        <v>0.309954786</v>
      </c>
      <c r="K486" s="2" t="n">
        <f aca="false">IF(K$7=K$5,K$6,IF(NORMSDIST(K$9*SQRT($C$11)*NORMSINV($B486)+SQRT(1-K$9^2*$C$11)*NORMSINV(J486))&lt;K$8,K$5+SQRT(NORMSDIST(K$9*SQRT($C$11)*NORMSINV($B486)+SQRT(1-K$9^2*$C$11)*NORMSINV(J486))*(K$7-K$5)*(K$6-K$5)),K$7-SQRT((1-NORMSDIST(K$9*SQRT($C$11)*NORMSINV($B486)+SQRT(1-K$9^2*$C$11)*NORMSINV(J486)))*(K$7-K$5)*(K$7-K$6))))</f>
        <v>0.262041675565397</v>
      </c>
      <c r="L486" s="2" t="n">
        <v>0.26348737</v>
      </c>
      <c r="M486" s="2" t="n">
        <f aca="false">IF(M$7=M$5,M$6,IF(NORMSDIST(M$9*SQRT($C$11)*NORMSINV($B486)+SQRT(1-M$9^2*$C$11)*NORMSINV(L486))&lt;M$8,M$5+SQRT(NORMSDIST(M$9*SQRT($C$11)*NORMSINV($B486)+SQRT(1-M$9^2*$C$11)*NORMSINV(L486))*(M$7-M$5)*(M$6-M$5)),M$7-SQRT((1-NORMSDIST(M$9*SQRT($C$11)*NORMSINV($B486)+SQRT(1-M$9^2*$C$11)*NORMSINV(L486)))*(M$7-M$5)*(M$7-M$6))))</f>
        <v>1586.72677818712</v>
      </c>
      <c r="N486" s="2" t="n">
        <v>0.039505379</v>
      </c>
      <c r="O486" s="2" t="n">
        <f aca="false">IF(O$7=O$5,O$6,IF(NORMSDIST(O$9*SQRT($C$11)*NORMSINV($B486)+SQRT(1-O$9^2*$C$11)*NORMSINV(N486))&lt;O$8,O$5+SQRT(NORMSDIST(O$9*SQRT($C$11)*NORMSINV($B486)+SQRT(1-O$9^2*$C$11)*NORMSINV(N486))*(O$7-O$5)*(O$6-O$5)),O$7-SQRT((1-NORMSDIST(O$9*SQRT($C$11)*NORMSINV($B486)+SQRT(1-O$9^2*$C$11)*NORMSINV(N486)))*(O$7-O$5)*(O$7-O$6))))</f>
        <v>0.156742980377853</v>
      </c>
      <c r="P486" s="2" t="n">
        <v>0.599416568</v>
      </c>
      <c r="Q486" s="2" t="n">
        <f aca="false">IF(Q$7=Q$5,Q$6,IF(NORMSDIST(Q$9*SQRT($C$11)*NORMSINV($B486)+SQRT(1-Q$9^2*$C$11)*NORMSINV(P486))&lt;Q$8,Q$5+SQRT(NORMSDIST(Q$9*SQRT($C$11)*NORMSINV($B486)+SQRT(1-Q$9^2*$C$11)*NORMSINV(P486))*(Q$7-Q$5)*(Q$6-Q$5)),Q$7-SQRT((1-NORMSDIST(Q$9*SQRT($C$11)*NORMSINV($B486)+SQRT(1-Q$9^2*$C$11)*NORMSINV(P486)))*(Q$7-Q$5)*(Q$7-Q$6))))</f>
        <v>0.0841968299950968</v>
      </c>
      <c r="R486" s="2" t="n">
        <v>0.514378845</v>
      </c>
      <c r="S486" s="2" t="n">
        <f aca="false">IF(S$7=S$5,S$6,IF(NORMSDIST(S$9*SQRT($C$11)*NORMSINV($B486)+SQRT(1-S$9^2*$C$11)*NORMSINV(R486))&lt;S$8,S$5+SQRT(NORMSDIST(S$9*SQRT($C$11)*NORMSINV($B486)+SQRT(1-S$9^2*$C$11)*NORMSINV(R486))*(S$7-S$5)*(S$6-S$5)),S$7-SQRT((1-NORMSDIST(S$9*SQRT($C$11)*NORMSINV($B486)+SQRT(1-S$9^2*$C$11)*NORMSINV(R486)))*(S$7-S$5)*(S$7-S$6))))</f>
        <v>0.61400570957205</v>
      </c>
      <c r="T486" s="2" t="n">
        <v>0.118017303</v>
      </c>
      <c r="U486" s="2" t="n">
        <f aca="false">IF(U$7=U$5,U$6,IF(NORMSDIST(U$9*SQRT($C$11)*NORMSINV($B486)+SQRT(1-U$9^2*$C$11)*NORMSINV(T486))&lt;U$8,U$5+SQRT(NORMSDIST(U$9*SQRT($C$11)*NORMSINV($B486)+SQRT(1-U$9^2*$C$11)*NORMSINV(T486))*(U$7-U$5)*(U$6-U$5)),U$7-SQRT((1-NORMSDIST(U$9*SQRT($C$11)*NORMSINV($B486)+SQRT(1-U$9^2*$C$11)*NORMSINV(T486)))*(U$7-U$5)*(U$7-U$6))))</f>
        <v>0.411618429317488</v>
      </c>
      <c r="V486" s="2" t="n">
        <v>0.301216078</v>
      </c>
      <c r="W486" s="2" t="n">
        <f aca="false">IF(W$7=W$5,W$6,IF(NORMSDIST(W$9*SQRT($C$11)*NORMSINV($B486)+SQRT(1-W$9^2*$C$11)*NORMSINV(V486))&lt;W$8,W$5+SQRT(NORMSDIST(W$9*SQRT($C$11)*NORMSINV($B486)+SQRT(1-W$9^2*$C$11)*NORMSINV(V486))*(W$7-W$5)*(W$6-W$5)),W$7-SQRT((1-NORMSDIST(W$9*SQRT($C$11)*NORMSINV($B486)+SQRT(1-W$9^2*$C$11)*NORMSINV(V486)))*(W$7-W$5)*(W$7-W$6))))</f>
        <v>10.0803101260754</v>
      </c>
      <c r="X486" s="2" t="n">
        <v>0.216363343</v>
      </c>
      <c r="Y486" s="2" t="n">
        <f aca="false">IF(Y$7=Y$5,Y$6,IF(NORMSDIST(Y$9*SQRT($C$11)*NORMSINV($B486)+SQRT(1-Y$9^2*$C$11)*NORMSINV(X486))&lt;Y$8,Y$5+SQRT(NORMSDIST(Y$9*SQRT($C$11)*NORMSINV($B486)+SQRT(1-Y$9^2*$C$11)*NORMSINV(X486))*(Y$7-Y$5)*(Y$6-Y$5)),Y$7-SQRT((1-NORMSDIST(Y$9*SQRT($C$11)*NORMSINV($B486)+SQRT(1-Y$9^2*$C$11)*NORMSINV(X486)))*(Y$7-Y$5)*(Y$7-Y$6))))</f>
        <v>0.328909822747817</v>
      </c>
      <c r="Z486" s="2" t="n">
        <v>0.648426259</v>
      </c>
      <c r="AA486" s="2" t="n">
        <f aca="false">IF(AA$7=AA$5,AA$6,IF(NORMSDIST(AA$9*SQRT($C$11)*NORMSINV($B486)+SQRT(1-AA$9^2*$C$11)*NORMSINV(Z486))&lt;AA$8,AA$5+SQRT(NORMSDIST(AA$9*SQRT($C$11)*NORMSINV($B486)+SQRT(1-AA$9^2*$C$11)*NORMSINV(Z486))*(AA$7-AA$5)*(AA$6-AA$5)),AA$7-SQRT((1-NORMSDIST(AA$9*SQRT($C$11)*NORMSINV($B486)+SQRT(1-AA$9^2*$C$11)*NORMSINV(Z486)))*(AA$7-AA$5)*(AA$7-AA$6))))</f>
        <v>0.737339856511672</v>
      </c>
      <c r="AB486" s="2" t="n">
        <v>0.613199627</v>
      </c>
      <c r="AC486" s="2" t="n">
        <f aca="false">IF(AC$7=AC$5,AC$6,IF(NORMSDIST(AC$9*SQRT($C$11)*NORMSINV($B486)+SQRT(1-AC$9^2*$C$11)*NORMSINV(AB486))&lt;AC$8,AC$5+SQRT(NORMSDIST(AC$9*SQRT($C$11)*NORMSINV($B486)+SQRT(1-AC$9^2*$C$11)*NORMSINV(AB486))*(AC$7-AC$5)*(AC$6-AC$5)),AC$7-SQRT((1-NORMSDIST(AC$9*SQRT($C$11)*NORMSINV($B486)+SQRT(1-AC$9^2*$C$11)*NORMSINV(AB486)))*(AC$7-AC$5)*(AC$7-AC$6))))</f>
        <v>9.99416330169157</v>
      </c>
      <c r="AD486" s="2" t="n">
        <f aca="false">Entrées!$C$8*(1+E486)</f>
        <v>7422.7890196126</v>
      </c>
      <c r="AE486" s="2" t="n">
        <f aca="false">I486*Hypothèses!$J$24/12/Hypothèses!$J$19</f>
        <v>104.227527389796</v>
      </c>
      <c r="AF486" s="2" t="n">
        <f aca="false">Entrées!$C$36*S486*1000</f>
        <v>307.002854786025</v>
      </c>
      <c r="AG486" s="2" t="n">
        <f aca="false">-AF486/W486</f>
        <v>-30.4556954048348</v>
      </c>
      <c r="AH486" s="2" t="n">
        <f aca="false">AD486+AE486+AG486</f>
        <v>7496.56085159756</v>
      </c>
      <c r="AI486" s="2" t="n">
        <f aca="false">Entrées!$C$16-M486+Hypothèses!$J$22*1000-AF486+Hypothèses!$J$23</f>
        <v>22654.2703670269</v>
      </c>
      <c r="AJ486" s="2" t="n">
        <f aca="false">AI486/AH486</f>
        <v>3.02195510921506</v>
      </c>
      <c r="AK486" s="2" t="n">
        <f aca="false">AI486/(AH486+I486*(12-Hypothèses!$J$24)/12/Hypothèses!$J$19)</f>
        <v>2.99223922615173</v>
      </c>
      <c r="AL486" s="2" t="n">
        <f aca="false">(AD486+AG486+I486/Hypothèses!$J$19)*(1+G486)</f>
        <v>7927.79068162397</v>
      </c>
      <c r="AM486" s="2" t="n">
        <f aca="false">Entrées!$C$54*K486/Hypothèses!$J$19</f>
        <v>26.7424532333452</v>
      </c>
      <c r="AN486" s="2" t="n">
        <f aca="false">Y486*1000/AC486</f>
        <v>32.9101909603725</v>
      </c>
      <c r="AO486" s="2" t="n">
        <f aca="false">(Entrées!$C$36*(1-S486)+MAX(0,Entrées!$C$30-Entrées!$C$35-Entrées!$C$36)*U486)*1000</f>
        <v>769.262946258458</v>
      </c>
      <c r="AP486" s="2" t="n">
        <f aca="false">-AO486/W486</f>
        <v>-76.3134205830189</v>
      </c>
      <c r="AQ486" s="2" t="n">
        <f aca="false">AL486+AM486+AN486+AP486</f>
        <v>7911.12990523467</v>
      </c>
      <c r="AR486" s="2" t="n">
        <f aca="false">O486*AQ486-Hypothèses!$J$25/Hypothèses!$J$19</f>
        <v>1220.87891724122</v>
      </c>
      <c r="AS486" s="2" t="n">
        <f aca="false">Entrées!$C$79*(1+Q486)+Hypothèses!$J$20</f>
        <v>1486.53231616461</v>
      </c>
      <c r="AT486" s="2" t="n">
        <f aca="false">AI486-AR486+AS486+Y486*1000-AO486+Hypothèses!$J$23</f>
        <v>22479.5706424396</v>
      </c>
      <c r="AU486" s="2" t="n">
        <f aca="false">AT486/AQ486</f>
        <v>2.84151201051132</v>
      </c>
      <c r="AV486" s="2" t="n">
        <f aca="false">Hypothèses!$J$26*AQ486-AT486</f>
        <v>1253.8190732644</v>
      </c>
      <c r="AW486" s="2" t="n">
        <f aca="false">IF(AC486&gt;Hypothèses!$J$26,MAX(0,AV486)/(1-Hypothèses!$J$26/AC486),0)</f>
        <v>1791.61852940285</v>
      </c>
      <c r="AX486" s="2" t="n">
        <f aca="false">AQ486-Entrées!$C$17*1000</f>
        <v>-88.8700947653297</v>
      </c>
      <c r="AY486" s="2" t="n">
        <f aca="false">AI486+(Entrées!$C$244-Entrées!$C$13)</f>
        <v>28401.2703670269</v>
      </c>
      <c r="AZ486" s="2" t="n">
        <f aca="false">AA486*AH486</f>
        <v>5527.51310264796</v>
      </c>
      <c r="BA486" s="2" t="n">
        <f aca="false">AZ486/AY486</f>
        <v>0.194622037367218</v>
      </c>
      <c r="BB486" s="2" t="n">
        <f aca="false">AZ486/(Entrées!$C$151/100)-AY486</f>
        <v>2307.13575879514</v>
      </c>
      <c r="BC486" s="2" t="n">
        <f aca="false">AT486+(Entrées!$C$244-Entrées!$C$13)</f>
        <v>28226.5706424396</v>
      </c>
      <c r="BD486" s="2" t="n">
        <f aca="false">AA486*AQ486</f>
        <v>5833.19138917093</v>
      </c>
      <c r="BE486" s="2" t="n">
        <f aca="false">BD486/BC486</f>
        <v>0.206656042742951</v>
      </c>
      <c r="BF486" s="2" t="n">
        <f aca="false">BD486/(Entrées!$C$151/100)-BC486</f>
        <v>4180.04818628777</v>
      </c>
      <c r="BG486" s="2" t="n">
        <f aca="false">MIN(AV486,BF486)</f>
        <v>1253.8190732644</v>
      </c>
      <c r="BH486" s="2" t="n">
        <f aca="false">IF(AC486&gt;Hypothèses!$J$26,MAX(0,BG486)/(1-Hypothèses!$J$26/AC486),0)</f>
        <v>1791.61852940285</v>
      </c>
    </row>
    <row r="487" customFormat="false" ht="15" hidden="false" customHeight="false" outlineLevel="0" collapsed="false">
      <c r="A487" s="2" t="n">
        <v>472</v>
      </c>
      <c r="B487" s="2" t="n">
        <v>0.849865583</v>
      </c>
      <c r="C487" s="2"/>
      <c r="D487" s="2" t="n">
        <v>0.667044064</v>
      </c>
      <c r="E487" s="2" t="n">
        <f aca="false">IF(E$7=E$5,E$6,IF(NORMSDIST(E$9*SQRT($C$11)*NORMSINV($B487)+SQRT(1-E$9^2*$C$11)*NORMSINV(D487))&lt;E$8,E$5+SQRT(NORMSDIST(E$9*SQRT($C$11)*NORMSINV($B487)+SQRT(1-E$9^2*$C$11)*NORMSINV(D487))*(E$7-E$5)*(E$6-E$5)),E$7-SQRT((1-NORMSDIST(E$9*SQRT($C$11)*NORMSINV($B487)+SQRT(1-E$9^2*$C$11)*NORMSINV(D487)))*(E$7-E$5)*(E$7-E$6))))</f>
        <v>0.0571610714634308</v>
      </c>
      <c r="F487" s="2" t="n">
        <v>0.275756568</v>
      </c>
      <c r="G487" s="2" t="n">
        <f aca="false">IF(G$7=G$5,G$6,IF(NORMSDIST(G$9*SQRT($C$11)*NORMSINV($B487)+SQRT(1-G$9^2*$C$11)*NORMSINV(F487))&lt;G$8,G$5+SQRT(NORMSDIST(G$9*SQRT($C$11)*NORMSINV($B487)+SQRT(1-G$9^2*$C$11)*NORMSINV(F487))*(G$7-G$5)*(G$6-G$5)),G$7-SQRT((1-NORMSDIST(G$9*SQRT($C$11)*NORMSINV($B487)+SQRT(1-G$9^2*$C$11)*NORMSINV(F487)))*(G$7-G$5)*(G$7-G$6))))</f>
        <v>0.0562009695319816</v>
      </c>
      <c r="H487" s="2" t="n">
        <v>0.201050512</v>
      </c>
      <c r="I487" s="2" t="n">
        <f aca="false">IF(I$7=I$5,I$6,IF(NORMSDIST(I$9*SQRT($C$11)*NORMSINV($B487)+SQRT(1-I$9^2*$C$11)*NORMSINV(H487))&lt;I$8,I$5+SQRT(NORMSDIST(I$9*SQRT($C$11)*NORMSINV($B487)+SQRT(1-I$9^2*$C$11)*NORMSINV(H487))*(I$7-I$5)*(I$6-I$5)),I$7-SQRT((1-NORMSDIST(I$9*SQRT($C$11)*NORMSINV($B487)+SQRT(1-I$9^2*$C$11)*NORMSINV(H487)))*(I$7-I$5)*(I$7-I$6))))</f>
        <v>200.048877974515</v>
      </c>
      <c r="J487" s="2" t="n">
        <v>0.187775833</v>
      </c>
      <c r="K487" s="2" t="n">
        <f aca="false">IF(K$7=K$5,K$6,IF(NORMSDIST(K$9*SQRT($C$11)*NORMSINV($B487)+SQRT(1-K$9^2*$C$11)*NORMSINV(J487))&lt;K$8,K$5+SQRT(NORMSDIST(K$9*SQRT($C$11)*NORMSINV($B487)+SQRT(1-K$9^2*$C$11)*NORMSINV(J487))*(K$7-K$5)*(K$6-K$5)),K$7-SQRT((1-NORMSDIST(K$9*SQRT($C$11)*NORMSINV($B487)+SQRT(1-K$9^2*$C$11)*NORMSINV(J487)))*(K$7-K$5)*(K$7-K$6))))</f>
        <v>0.246863719276414</v>
      </c>
      <c r="L487" s="2" t="n">
        <v>0.690692432</v>
      </c>
      <c r="M487" s="2" t="n">
        <f aca="false">IF(M$7=M$5,M$6,IF(NORMSDIST(M$9*SQRT($C$11)*NORMSINV($B487)+SQRT(1-M$9^2*$C$11)*NORMSINV(L487))&lt;M$8,M$5+SQRT(NORMSDIST(M$9*SQRT($C$11)*NORMSINV($B487)+SQRT(1-M$9^2*$C$11)*NORMSINV(L487))*(M$7-M$5)*(M$6-M$5)),M$7-SQRT((1-NORMSDIST(M$9*SQRT($C$11)*NORMSINV($B487)+SQRT(1-M$9^2*$C$11)*NORMSINV(L487)))*(M$7-M$5)*(M$7-M$6))))</f>
        <v>1682.98879251215</v>
      </c>
      <c r="N487" s="2" t="n">
        <v>0.113978615</v>
      </c>
      <c r="O487" s="2" t="n">
        <f aca="false">IF(O$7=O$5,O$6,IF(NORMSDIST(O$9*SQRT($C$11)*NORMSINV($B487)+SQRT(1-O$9^2*$C$11)*NORMSINV(N487))&lt;O$8,O$5+SQRT(NORMSDIST(O$9*SQRT($C$11)*NORMSINV($B487)+SQRT(1-O$9^2*$C$11)*NORMSINV(N487))*(O$7-O$5)*(O$6-O$5)),O$7-SQRT((1-NORMSDIST(O$9*SQRT($C$11)*NORMSINV($B487)+SQRT(1-O$9^2*$C$11)*NORMSINV(N487)))*(O$7-O$5)*(O$7-O$6))))</f>
        <v>0.163662052438238</v>
      </c>
      <c r="P487" s="2" t="n">
        <v>0.412125653</v>
      </c>
      <c r="Q487" s="2" t="n">
        <f aca="false">IF(Q$7=Q$5,Q$6,IF(NORMSDIST(Q$9*SQRT($C$11)*NORMSINV($B487)+SQRT(1-Q$9^2*$C$11)*NORMSINV(P487))&lt;Q$8,Q$5+SQRT(NORMSDIST(Q$9*SQRT($C$11)*NORMSINV($B487)+SQRT(1-Q$9^2*$C$11)*NORMSINV(P487))*(Q$7-Q$5)*(Q$6-Q$5)),Q$7-SQRT((1-NORMSDIST(Q$9*SQRT($C$11)*NORMSINV($B487)+SQRT(1-Q$9^2*$C$11)*NORMSINV(P487)))*(Q$7-Q$5)*(Q$7-Q$6))))</f>
        <v>0.0763153148079429</v>
      </c>
      <c r="R487" s="2" t="n">
        <v>0.11661001</v>
      </c>
      <c r="S487" s="2" t="n">
        <f aca="false">IF(S$7=S$5,S$6,IF(NORMSDIST(S$9*SQRT($C$11)*NORMSINV($B487)+SQRT(1-S$9^2*$C$11)*NORMSINV(R487))&lt;S$8,S$5+SQRT(NORMSDIST(S$9*SQRT($C$11)*NORMSINV($B487)+SQRT(1-S$9^2*$C$11)*NORMSINV(R487))*(S$7-S$5)*(S$6-S$5)),S$7-SQRT((1-NORMSDIST(S$9*SQRT($C$11)*NORMSINV($B487)+SQRT(1-S$9^2*$C$11)*NORMSINV(R487)))*(S$7-S$5)*(S$7-S$6))))</f>
        <v>0.443985836408373</v>
      </c>
      <c r="T487" s="2" t="n">
        <v>0.560772446</v>
      </c>
      <c r="U487" s="2" t="n">
        <f aca="false">IF(U$7=U$5,U$6,IF(NORMSDIST(U$9*SQRT($C$11)*NORMSINV($B487)+SQRT(1-U$9^2*$C$11)*NORMSINV(T487))&lt;U$8,U$5+SQRT(NORMSDIST(U$9*SQRT($C$11)*NORMSINV($B487)+SQRT(1-U$9^2*$C$11)*NORMSINV(T487))*(U$7-U$5)*(U$6-U$5)),U$7-SQRT((1-NORMSDIST(U$9*SQRT($C$11)*NORMSINV($B487)+SQRT(1-U$9^2*$C$11)*NORMSINV(T487)))*(U$7-U$5)*(U$7-U$6))))</f>
        <v>0.668649468161693</v>
      </c>
      <c r="V487" s="2" t="n">
        <v>0.295846451</v>
      </c>
      <c r="W487" s="2" t="n">
        <f aca="false">IF(W$7=W$5,W$6,IF(NORMSDIST(W$9*SQRT($C$11)*NORMSINV($B487)+SQRT(1-W$9^2*$C$11)*NORMSINV(V487))&lt;W$8,W$5+SQRT(NORMSDIST(W$9*SQRT($C$11)*NORMSINV($B487)+SQRT(1-W$9^2*$C$11)*NORMSINV(V487))*(W$7-W$5)*(W$6-W$5)),W$7-SQRT((1-NORMSDIST(W$9*SQRT($C$11)*NORMSINV($B487)+SQRT(1-W$9^2*$C$11)*NORMSINV(V487)))*(W$7-W$5)*(W$7-W$6))))</f>
        <v>10.199333356683</v>
      </c>
      <c r="X487" s="2" t="n">
        <v>0.08183796</v>
      </c>
      <c r="Y487" s="2" t="n">
        <f aca="false">IF(Y$7=Y$5,Y$6,IF(NORMSDIST(Y$9*SQRT($C$11)*NORMSINV($B487)+SQRT(1-Y$9^2*$C$11)*NORMSINV(X487))&lt;Y$8,Y$5+SQRT(NORMSDIST(Y$9*SQRT($C$11)*NORMSINV($B487)+SQRT(1-Y$9^2*$C$11)*NORMSINV(X487))*(Y$7-Y$5)*(Y$6-Y$5)),Y$7-SQRT((1-NORMSDIST(Y$9*SQRT($C$11)*NORMSINV($B487)+SQRT(1-Y$9^2*$C$11)*NORMSINV(X487)))*(Y$7-Y$5)*(Y$7-Y$6))))</f>
        <v>0.202284403748781</v>
      </c>
      <c r="Z487" s="2" t="n">
        <v>0.495884028</v>
      </c>
      <c r="AA487" s="2" t="n">
        <f aca="false">IF(AA$7=AA$5,AA$6,IF(NORMSDIST(AA$9*SQRT($C$11)*NORMSINV($B487)+SQRT(1-AA$9^2*$C$11)*NORMSINV(Z487))&lt;AA$8,AA$5+SQRT(NORMSDIST(AA$9*SQRT($C$11)*NORMSINV($B487)+SQRT(1-AA$9^2*$C$11)*NORMSINV(Z487))*(AA$7-AA$5)*(AA$6-AA$5)),AA$7-SQRT((1-NORMSDIST(AA$9*SQRT($C$11)*NORMSINV($B487)+SQRT(1-AA$9^2*$C$11)*NORMSINV(Z487)))*(AA$7-AA$5)*(AA$7-AA$6))))</f>
        <v>0.735632406242648</v>
      </c>
      <c r="AB487" s="2" t="n">
        <v>0.330540945</v>
      </c>
      <c r="AC487" s="2" t="n">
        <f aca="false">IF(AC$7=AC$5,AC$6,IF(NORMSDIST(AC$9*SQRT($C$11)*NORMSINV($B487)+SQRT(1-AC$9^2*$C$11)*NORMSINV(AB487))&lt;AC$8,AC$5+SQRT(NORMSDIST(AC$9*SQRT($C$11)*NORMSINV($B487)+SQRT(1-AC$9^2*$C$11)*NORMSINV(AB487))*(AC$7-AC$5)*(AC$6-AC$5)),AC$7-SQRT((1-NORMSDIST(AC$9*SQRT($C$11)*NORMSINV($B487)+SQRT(1-AC$9^2*$C$11)*NORMSINV(AB487)))*(AC$7-AC$5)*(AC$7-AC$6))))</f>
        <v>9.72159944476374</v>
      </c>
      <c r="AD487" s="2" t="n">
        <f aca="false">Entrées!$C$8*(1+E487)</f>
        <v>7452.98555381719</v>
      </c>
      <c r="AE487" s="2" t="n">
        <f aca="false">I487*Hypothèses!$J$24/12/Hypothèses!$J$19</f>
        <v>99.2436080818144</v>
      </c>
      <c r="AF487" s="2" t="n">
        <f aca="false">Entrées!$C$36*S487*1000</f>
        <v>221.992918204187</v>
      </c>
      <c r="AG487" s="2" t="n">
        <f aca="false">-AF487/W487</f>
        <v>-21.7654341162139</v>
      </c>
      <c r="AH487" s="2" t="n">
        <f aca="false">AD487+AE487+AG487</f>
        <v>7530.46372778279</v>
      </c>
      <c r="AI487" s="2" t="n">
        <f aca="false">Entrées!$C$16-M487+Hypothèses!$J$22*1000-AF487+Hypothèses!$J$23</f>
        <v>22643.0182892837</v>
      </c>
      <c r="AJ487" s="2" t="n">
        <f aca="false">AI487/AH487</f>
        <v>3.00685576716143</v>
      </c>
      <c r="AK487" s="2" t="n">
        <f aca="false">AI487/(AH487+I487*(12-Hypothèses!$J$24)/12/Hypothèses!$J$19)</f>
        <v>2.9788145887577</v>
      </c>
      <c r="AL487" s="2" t="n">
        <f aca="false">(AD487+AG487+I487/Hypothèses!$J$19)*(1+G487)</f>
        <v>8028.55537250665</v>
      </c>
      <c r="AM487" s="2" t="n">
        <f aca="false">Entrées!$C$54*K487/Hypothèses!$J$19</f>
        <v>25.1934790659342</v>
      </c>
      <c r="AN487" s="2" t="n">
        <f aca="false">Y487*1000/AC487</f>
        <v>20.8077286971267</v>
      </c>
      <c r="AO487" s="2" t="n">
        <f aca="false">(Entrées!$C$36*(1-S487)+MAX(0,Entrées!$C$30-Entrées!$C$35-Entrées!$C$36)*U487)*1000</f>
        <v>1214.11633722218</v>
      </c>
      <c r="AP487" s="2" t="n">
        <f aca="false">-AO487/W487</f>
        <v>-119.038793493954</v>
      </c>
      <c r="AQ487" s="2" t="n">
        <f aca="false">AL487+AM487+AN487+AP487</f>
        <v>7955.51778677575</v>
      </c>
      <c r="AR487" s="2" t="n">
        <f aca="false">O487*AQ487-Hypothèses!$J$25/Hypothèses!$J$19</f>
        <v>1282.881206931</v>
      </c>
      <c r="AS487" s="2" t="n">
        <f aca="false">Entrées!$C$79*(1+Q487)+Hypothèses!$J$20</f>
        <v>1477.87053097393</v>
      </c>
      <c r="AT487" s="2" t="n">
        <f aca="false">AI487-AR487+AS487+Y487*1000-AO487+Hypothèses!$J$23</f>
        <v>21826.1756798532</v>
      </c>
      <c r="AU487" s="2" t="n">
        <f aca="false">AT487/AQ487</f>
        <v>2.74352672759205</v>
      </c>
      <c r="AV487" s="2" t="n">
        <f aca="false">Hypothèses!$J$26*AQ487-AT487</f>
        <v>2040.37768047407</v>
      </c>
      <c r="AW487" s="2" t="n">
        <f aca="false">IF(AC487&gt;Hypothèses!$J$26,MAX(0,AV487)/(1-Hypothèses!$J$26/AC487),0)</f>
        <v>2951.04382351398</v>
      </c>
      <c r="AX487" s="2" t="n">
        <f aca="false">AQ487-Entrées!$C$17*1000</f>
        <v>-44.4822132242471</v>
      </c>
      <c r="AY487" s="2" t="n">
        <f aca="false">AI487+(Entrées!$C$244-Entrées!$C$13)</f>
        <v>28390.0182892837</v>
      </c>
      <c r="AZ487" s="2" t="n">
        <f aca="false">AA487*AH487</f>
        <v>5539.65315219183</v>
      </c>
      <c r="BA487" s="2" t="n">
        <f aca="false">AZ487/AY487</f>
        <v>0.195126790541128</v>
      </c>
      <c r="BB487" s="2" t="n">
        <f aca="false">AZ487/(Entrées!$C$151/100)-AY487</f>
        <v>2385.83255622652</v>
      </c>
      <c r="BC487" s="2" t="n">
        <f aca="false">AT487+(Entrées!$C$244-Entrées!$C$13)</f>
        <v>27573.1756798532</v>
      </c>
      <c r="BD487" s="2" t="n">
        <f aca="false">AA487*AQ487</f>
        <v>5852.33669239203</v>
      </c>
      <c r="BE487" s="2" t="n">
        <f aca="false">BD487/BC487</f>
        <v>0.21224746689835</v>
      </c>
      <c r="BF487" s="2" t="n">
        <f aca="false">BD487/(Entrées!$C$151/100)-BC487</f>
        <v>4939.805944547</v>
      </c>
      <c r="BG487" s="2" t="n">
        <f aca="false">MIN(AV487,BF487)</f>
        <v>2040.37768047407</v>
      </c>
      <c r="BH487" s="2" t="n">
        <f aca="false">IF(AC487&gt;Hypothèses!$J$26,MAX(0,BG487)/(1-Hypothèses!$J$26/AC487),0)</f>
        <v>2951.04382351398</v>
      </c>
    </row>
    <row r="488" customFormat="false" ht="15" hidden="false" customHeight="false" outlineLevel="0" collapsed="false">
      <c r="A488" s="2" t="n">
        <v>473</v>
      </c>
      <c r="B488" s="2" t="n">
        <v>0.180677719</v>
      </c>
      <c r="C488" s="2"/>
      <c r="D488" s="2" t="n">
        <v>0.423623344</v>
      </c>
      <c r="E488" s="2" t="n">
        <f aca="false">IF(E$7=E$5,E$6,IF(NORMSDIST(E$9*SQRT($C$11)*NORMSINV($B488)+SQRT(1-E$9^2*$C$11)*NORMSINV(D488))&lt;E$8,E$5+SQRT(NORMSDIST(E$9*SQRT($C$11)*NORMSINV($B488)+SQRT(1-E$9^2*$C$11)*NORMSINV(D488))*(E$7-E$5)*(E$6-E$5)),E$7-SQRT((1-NORMSDIST(E$9*SQRT($C$11)*NORMSINV($B488)+SQRT(1-E$9^2*$C$11)*NORMSINV(D488)))*(E$7-E$5)*(E$7-E$6))))</f>
        <v>0.0534187971116831</v>
      </c>
      <c r="F488" s="2" t="n">
        <v>0.061299658</v>
      </c>
      <c r="G488" s="2" t="n">
        <f aca="false">IF(G$7=G$5,G$6,IF(NORMSDIST(G$9*SQRT($C$11)*NORMSINV($B488)+SQRT(1-G$9^2*$C$11)*NORMSINV(F488))&lt;G$8,G$5+SQRT(NORMSDIST(G$9*SQRT($C$11)*NORMSINV($B488)+SQRT(1-G$9^2*$C$11)*NORMSINV(F488))*(G$7-G$5)*(G$6-G$5)),G$7-SQRT((1-NORMSDIST(G$9*SQRT($C$11)*NORMSINV($B488)+SQRT(1-G$9^2*$C$11)*NORMSINV(F488)))*(G$7-G$5)*(G$7-G$6))))</f>
        <v>0.0441403594782327</v>
      </c>
      <c r="H488" s="2" t="n">
        <v>0.111291806</v>
      </c>
      <c r="I488" s="2" t="n">
        <f aca="false">IF(I$7=I$5,I$6,IF(NORMSDIST(I$9*SQRT($C$11)*NORMSINV($B488)+SQRT(1-I$9^2*$C$11)*NORMSINV(H488))&lt;I$8,I$5+SQRT(NORMSDIST(I$9*SQRT($C$11)*NORMSINV($B488)+SQRT(1-I$9^2*$C$11)*NORMSINV(H488))*(I$7-I$5)*(I$6-I$5)),I$7-SQRT((1-NORMSDIST(I$9*SQRT($C$11)*NORMSINV($B488)+SQRT(1-I$9^2*$C$11)*NORMSINV(H488)))*(I$7-I$5)*(I$7-I$6))))</f>
        <v>187.155240525944</v>
      </c>
      <c r="J488" s="2" t="n">
        <v>0.401345508</v>
      </c>
      <c r="K488" s="2" t="n">
        <f aca="false">IF(K$7=K$5,K$6,IF(NORMSDIST(K$9*SQRT($C$11)*NORMSINV($B488)+SQRT(1-K$9^2*$C$11)*NORMSINV(J488))&lt;K$8,K$5+SQRT(NORMSDIST(K$9*SQRT($C$11)*NORMSINV($B488)+SQRT(1-K$9^2*$C$11)*NORMSINV(J488))*(K$7-K$5)*(K$6-K$5)),K$7-SQRT((1-NORMSDIST(K$9*SQRT($C$11)*NORMSINV($B488)+SQRT(1-K$9^2*$C$11)*NORMSINV(J488)))*(K$7-K$5)*(K$7-K$6))))</f>
        <v>0.165982095108338</v>
      </c>
      <c r="L488" s="2" t="n">
        <v>0.925451779</v>
      </c>
      <c r="M488" s="2" t="n">
        <f aca="false">IF(M$7=M$5,M$6,IF(NORMSDIST(M$9*SQRT($C$11)*NORMSINV($B488)+SQRT(1-M$9^2*$C$11)*NORMSINV(L488))&lt;M$8,M$5+SQRT(NORMSDIST(M$9*SQRT($C$11)*NORMSINV($B488)+SQRT(1-M$9^2*$C$11)*NORMSINV(L488))*(M$7-M$5)*(M$6-M$5)),M$7-SQRT((1-NORMSDIST(M$9*SQRT($C$11)*NORMSINV($B488)+SQRT(1-M$9^2*$C$11)*NORMSINV(L488)))*(M$7-M$5)*(M$7-M$6))))</f>
        <v>1638.77838604916</v>
      </c>
      <c r="N488" s="2" t="n">
        <v>0.611489712</v>
      </c>
      <c r="O488" s="2" t="n">
        <f aca="false">IF(O$7=O$5,O$6,IF(NORMSDIST(O$9*SQRT($C$11)*NORMSINV($B488)+SQRT(1-O$9^2*$C$11)*NORMSINV(N488))&lt;O$8,O$5+SQRT(NORMSDIST(O$9*SQRT($C$11)*NORMSINV($B488)+SQRT(1-O$9^2*$C$11)*NORMSINV(N488))*(O$7-O$5)*(O$6-O$5)),O$7-SQRT((1-NORMSDIST(O$9*SQRT($C$11)*NORMSINV($B488)+SQRT(1-O$9^2*$C$11)*NORMSINV(N488)))*(O$7-O$5)*(O$7-O$6))))</f>
        <v>0.162733671916374</v>
      </c>
      <c r="P488" s="2" t="n">
        <v>0.519054821</v>
      </c>
      <c r="Q488" s="2" t="n">
        <f aca="false">IF(Q$7=Q$5,Q$6,IF(NORMSDIST(Q$9*SQRT($C$11)*NORMSINV($B488)+SQRT(1-Q$9^2*$C$11)*NORMSINV(P488))&lt;Q$8,Q$5+SQRT(NORMSDIST(Q$9*SQRT($C$11)*NORMSINV($B488)+SQRT(1-Q$9^2*$C$11)*NORMSINV(P488))*(Q$7-Q$5)*(Q$6-Q$5)),Q$7-SQRT((1-NORMSDIST(Q$9*SQRT($C$11)*NORMSINV($B488)+SQRT(1-Q$9^2*$C$11)*NORMSINV(P488)))*(Q$7-Q$5)*(Q$7-Q$6))))</f>
        <v>0.0807695963212205</v>
      </c>
      <c r="R488" s="2" t="n">
        <v>0.816810671</v>
      </c>
      <c r="S488" s="2" t="n">
        <f aca="false">IF(S$7=S$5,S$6,IF(NORMSDIST(S$9*SQRT($C$11)*NORMSINV($B488)+SQRT(1-S$9^2*$C$11)*NORMSINV(R488))&lt;S$8,S$5+SQRT(NORMSDIST(S$9*SQRT($C$11)*NORMSINV($B488)+SQRT(1-S$9^2*$C$11)*NORMSINV(R488))*(S$7-S$5)*(S$6-S$5)),S$7-SQRT((1-NORMSDIST(S$9*SQRT($C$11)*NORMSINV($B488)+SQRT(1-S$9^2*$C$11)*NORMSINV(R488)))*(S$7-S$5)*(S$7-S$6))))</f>
        <v>0.524974098598679</v>
      </c>
      <c r="T488" s="2" t="n">
        <v>0.545845613</v>
      </c>
      <c r="U488" s="2" t="n">
        <f aca="false">IF(U$7=U$5,U$6,IF(NORMSDIST(U$9*SQRT($C$11)*NORMSINV($B488)+SQRT(1-U$9^2*$C$11)*NORMSINV(T488))&lt;U$8,U$5+SQRT(NORMSDIST(U$9*SQRT($C$11)*NORMSINV($B488)+SQRT(1-U$9^2*$C$11)*NORMSINV(T488))*(U$7-U$5)*(U$6-U$5)),U$7-SQRT((1-NORMSDIST(U$9*SQRT($C$11)*NORMSINV($B488)+SQRT(1-U$9^2*$C$11)*NORMSINV(T488)))*(U$7-U$5)*(U$7-U$6))))</f>
        <v>0.395439673057445</v>
      </c>
      <c r="V488" s="2" t="n">
        <v>0.37953857</v>
      </c>
      <c r="W488" s="2" t="n">
        <f aca="false">IF(W$7=W$5,W$6,IF(NORMSDIST(W$9*SQRT($C$11)*NORMSINV($B488)+SQRT(1-W$9^2*$C$11)*NORMSINV(V488))&lt;W$8,W$5+SQRT(NORMSDIST(W$9*SQRT($C$11)*NORMSINV($B488)+SQRT(1-W$9^2*$C$11)*NORMSINV(V488))*(W$7-W$5)*(W$6-W$5)),W$7-SQRT((1-NORMSDIST(W$9*SQRT($C$11)*NORMSINV($B488)+SQRT(1-W$9^2*$C$11)*NORMSINV(V488)))*(W$7-W$5)*(W$7-W$6))))</f>
        <v>9.28864699457655</v>
      </c>
      <c r="X488" s="2" t="n">
        <v>0.157365982</v>
      </c>
      <c r="Y488" s="2" t="n">
        <f aca="false">IF(Y$7=Y$5,Y$6,IF(NORMSDIST(Y$9*SQRT($C$11)*NORMSINV($B488)+SQRT(1-Y$9^2*$C$11)*NORMSINV(X488))&lt;Y$8,Y$5+SQRT(NORMSDIST(Y$9*SQRT($C$11)*NORMSINV($B488)+SQRT(1-Y$9^2*$C$11)*NORMSINV(X488))*(Y$7-Y$5)*(Y$6-Y$5)),Y$7-SQRT((1-NORMSDIST(Y$9*SQRT($C$11)*NORMSINV($B488)+SQRT(1-Y$9^2*$C$11)*NORMSINV(X488)))*(Y$7-Y$5)*(Y$7-Y$6))))</f>
        <v>0.280504885875451</v>
      </c>
      <c r="Z488" s="2" t="n">
        <v>0.817024043</v>
      </c>
      <c r="AA488" s="2" t="n">
        <f aca="false">IF(AA$7=AA$5,AA$6,IF(NORMSDIST(AA$9*SQRT($C$11)*NORMSINV($B488)+SQRT(1-AA$9^2*$C$11)*NORMSINV(Z488))&lt;AA$8,AA$5+SQRT(NORMSDIST(AA$9*SQRT($C$11)*NORMSINV($B488)+SQRT(1-AA$9^2*$C$11)*NORMSINV(Z488))*(AA$7-AA$5)*(AA$6-AA$5)),AA$7-SQRT((1-NORMSDIST(AA$9*SQRT($C$11)*NORMSINV($B488)+SQRT(1-AA$9^2*$C$11)*NORMSINV(Z488)))*(AA$7-AA$5)*(AA$7-AA$6))))</f>
        <v>0.729616138736568</v>
      </c>
      <c r="AB488" s="2" t="n">
        <v>0.749130036</v>
      </c>
      <c r="AC488" s="2" t="n">
        <f aca="false">IF(AC$7=AC$5,AC$6,IF(NORMSDIST(AC$9*SQRT($C$11)*NORMSINV($B488)+SQRT(1-AC$9^2*$C$11)*NORMSINV(AB488))&lt;AC$8,AC$5+SQRT(NORMSDIST(AC$9*SQRT($C$11)*NORMSINV($B488)+SQRT(1-AC$9^2*$C$11)*NORMSINV(AB488))*(AC$7-AC$5)*(AC$6-AC$5)),AC$7-SQRT((1-NORMSDIST(AC$9*SQRT($C$11)*NORMSINV($B488)+SQRT(1-AC$9^2*$C$11)*NORMSINV(AB488)))*(AC$7-AC$5)*(AC$7-AC$6))))</f>
        <v>9.43070980143773</v>
      </c>
      <c r="AD488" s="2" t="n">
        <f aca="false">Entrées!$C$8*(1+E488)</f>
        <v>7426.60251963737</v>
      </c>
      <c r="AE488" s="2" t="n">
        <f aca="false">I488*Hypothèses!$J$24/12/Hypothèses!$J$19</f>
        <v>92.8471158112702</v>
      </c>
      <c r="AF488" s="2" t="n">
        <f aca="false">Entrées!$C$36*S488*1000</f>
        <v>262.487049299339</v>
      </c>
      <c r="AG488" s="2" t="n">
        <f aca="false">-AF488/W488</f>
        <v>-28.2589110612773</v>
      </c>
      <c r="AH488" s="2" t="n">
        <f aca="false">AD488+AE488+AG488</f>
        <v>7491.19072438736</v>
      </c>
      <c r="AI488" s="2" t="n">
        <f aca="false">Entrées!$C$16-M488+Hypothèses!$J$22*1000-AF488+Hypothèses!$J$23</f>
        <v>22646.7345646515</v>
      </c>
      <c r="AJ488" s="2" t="n">
        <f aca="false">AI488/AH488</f>
        <v>3.02311546960428</v>
      </c>
      <c r="AK488" s="2" t="n">
        <f aca="false">AI488/(AH488+I488*(12-Hypothèses!$J$24)/12/Hypothèses!$J$19)</f>
        <v>2.99658674437697</v>
      </c>
      <c r="AL488" s="2" t="n">
        <f aca="false">(AD488+AG488+I488/Hypothèses!$J$19)*(1+G488)</f>
        <v>7891.1013050816</v>
      </c>
      <c r="AM488" s="2" t="n">
        <f aca="false">Entrées!$C$54*K488/Hypothèses!$J$19</f>
        <v>16.9391697195876</v>
      </c>
      <c r="AN488" s="2" t="n">
        <f aca="false">Y488*1000/AC488</f>
        <v>29.743772396929</v>
      </c>
      <c r="AO488" s="2" t="n">
        <f aca="false">(Entrées!$C$36*(1-S488)+MAX(0,Entrées!$C$30-Entrées!$C$35-Entrées!$C$36)*U488)*1000</f>
        <v>791.128492981084</v>
      </c>
      <c r="AP488" s="2" t="n">
        <f aca="false">-AO488/W488</f>
        <v>-85.1715533428073</v>
      </c>
      <c r="AQ488" s="2" t="n">
        <f aca="false">AL488+AM488+AN488+AP488</f>
        <v>7852.61269385531</v>
      </c>
      <c r="AR488" s="2" t="n">
        <f aca="false">O488*AQ488-Hypothèses!$J$25/Hypothèses!$J$19</f>
        <v>1258.74933554658</v>
      </c>
      <c r="AS488" s="2" t="n">
        <f aca="false">Entrées!$C$79*(1+Q488)+Hypothèses!$J$20</f>
        <v>1482.76578635702</v>
      </c>
      <c r="AT488" s="2" t="n">
        <f aca="false">AI488-AR488+AS488+Y488*1000-AO488+Hypothèses!$J$23</f>
        <v>22360.1274083563</v>
      </c>
      <c r="AU488" s="2" t="n">
        <f aca="false">AT488/AQ488</f>
        <v>2.84747615603825</v>
      </c>
      <c r="AV488" s="2" t="n">
        <f aca="false">Hypothèses!$J$26*AQ488-AT488</f>
        <v>1197.71067320961</v>
      </c>
      <c r="AW488" s="2" t="n">
        <f aca="false">IF(AC488&gt;Hypothèses!$J$26,MAX(0,AV488)/(1-Hypothèses!$J$26/AC488),0)</f>
        <v>1756.45646186665</v>
      </c>
      <c r="AX488" s="2" t="n">
        <f aca="false">AQ488-Entrées!$C$17*1000</f>
        <v>-147.387306144688</v>
      </c>
      <c r="AY488" s="2" t="n">
        <f aca="false">AI488+(Entrées!$C$244-Entrées!$C$13)</f>
        <v>28393.7345646515</v>
      </c>
      <c r="AZ488" s="2" t="n">
        <f aca="false">AA488*AH488</f>
        <v>5465.6936508667</v>
      </c>
      <c r="BA488" s="2" t="n">
        <f aca="false">AZ488/AY488</f>
        <v>0.192496469191875</v>
      </c>
      <c r="BB488" s="2" t="n">
        <f aca="false">AZ488/(Entrées!$C$151/100)-AY488</f>
        <v>1971.23016238572</v>
      </c>
      <c r="BC488" s="2" t="n">
        <f aca="false">AT488+(Entrées!$C$244-Entrées!$C$13)</f>
        <v>28107.1274083563</v>
      </c>
      <c r="BD488" s="2" t="n">
        <f aca="false">AA488*AQ488</f>
        <v>5729.39295268447</v>
      </c>
      <c r="BE488" s="2" t="n">
        <f aca="false">BD488/BC488</f>
        <v>0.203841284434535</v>
      </c>
      <c r="BF488" s="2" t="n">
        <f aca="false">BD488/(Entrées!$C$151/100)-BC488</f>
        <v>3722.83343989075</v>
      </c>
      <c r="BG488" s="2" t="n">
        <f aca="false">MIN(AV488,BF488)</f>
        <v>1197.71067320961</v>
      </c>
      <c r="BH488" s="2" t="n">
        <f aca="false">IF(AC488&gt;Hypothèses!$J$26,MAX(0,BG488)/(1-Hypothèses!$J$26/AC488),0)</f>
        <v>1756.45646186665</v>
      </c>
    </row>
    <row r="489" customFormat="false" ht="15" hidden="false" customHeight="false" outlineLevel="0" collapsed="false">
      <c r="A489" s="2" t="n">
        <v>474</v>
      </c>
      <c r="B489" s="2" t="n">
        <v>0.66112997</v>
      </c>
      <c r="C489" s="2"/>
      <c r="D489" s="2" t="n">
        <v>0.750425188</v>
      </c>
      <c r="E489" s="2" t="n">
        <f aca="false">IF(E$7=E$5,E$6,IF(NORMSDIST(E$9*SQRT($C$11)*NORMSINV($B489)+SQRT(1-E$9^2*$C$11)*NORMSINV(D489))&lt;E$8,E$5+SQRT(NORMSDIST(E$9*SQRT($C$11)*NORMSINV($B489)+SQRT(1-E$9^2*$C$11)*NORMSINV(D489))*(E$7-E$5)*(E$6-E$5)),E$7-SQRT((1-NORMSDIST(E$9*SQRT($C$11)*NORMSINV($B489)+SQRT(1-E$9^2*$C$11)*NORMSINV(D489)))*(E$7-E$5)*(E$7-E$6))))</f>
        <v>0.056714861073977</v>
      </c>
      <c r="F489" s="2" t="n">
        <v>0.542852881</v>
      </c>
      <c r="G489" s="2" t="n">
        <f aca="false">IF(G$7=G$5,G$6,IF(NORMSDIST(G$9*SQRT($C$11)*NORMSINV($B489)+SQRT(1-G$9^2*$C$11)*NORMSINV(F489))&lt;G$8,G$5+SQRT(NORMSDIST(G$9*SQRT($C$11)*NORMSINV($B489)+SQRT(1-G$9^2*$C$11)*NORMSINV(F489))*(G$7-G$5)*(G$6-G$5)),G$7-SQRT((1-NORMSDIST(G$9*SQRT($C$11)*NORMSINV($B489)+SQRT(1-G$9^2*$C$11)*NORMSINV(F489)))*(G$7-G$5)*(G$7-G$6))))</f>
        <v>0.0571909611567883</v>
      </c>
      <c r="H489" s="2" t="n">
        <v>0.384946306</v>
      </c>
      <c r="I489" s="2" t="n">
        <f aca="false">IF(I$7=I$5,I$6,IF(NORMSDIST(I$9*SQRT($C$11)*NORMSINV($B489)+SQRT(1-I$9^2*$C$11)*NORMSINV(H489))&lt;I$8,I$5+SQRT(NORMSDIST(I$9*SQRT($C$11)*NORMSINV($B489)+SQRT(1-I$9^2*$C$11)*NORMSINV(H489))*(I$7-I$5)*(I$6-I$5)),I$7-SQRT((1-NORMSDIST(I$9*SQRT($C$11)*NORMSINV($B489)+SQRT(1-I$9^2*$C$11)*NORMSINV(H489)))*(I$7-I$5)*(I$7-I$6))))</f>
        <v>200.291168320631</v>
      </c>
      <c r="J489" s="2" t="n">
        <v>0.382307029</v>
      </c>
      <c r="K489" s="2" t="n">
        <f aca="false">IF(K$7=K$5,K$6,IF(NORMSDIST(K$9*SQRT($C$11)*NORMSINV($B489)+SQRT(1-K$9^2*$C$11)*NORMSINV(J489))&lt;K$8,K$5+SQRT(NORMSDIST(K$9*SQRT($C$11)*NORMSINV($B489)+SQRT(1-K$9^2*$C$11)*NORMSINV(J489))*(K$7-K$5)*(K$6-K$5)),K$7-SQRT((1-NORMSDIST(K$9*SQRT($C$11)*NORMSINV($B489)+SQRT(1-K$9^2*$C$11)*NORMSINV(J489)))*(K$7-K$5)*(K$7-K$6))))</f>
        <v>0.253098636993815</v>
      </c>
      <c r="L489" s="2" t="n">
        <v>0.587805773</v>
      </c>
      <c r="M489" s="2" t="n">
        <f aca="false">IF(M$7=M$5,M$6,IF(NORMSDIST(M$9*SQRT($C$11)*NORMSINV($B489)+SQRT(1-M$9^2*$C$11)*NORMSINV(L489))&lt;M$8,M$5+SQRT(NORMSDIST(M$9*SQRT($C$11)*NORMSINV($B489)+SQRT(1-M$9^2*$C$11)*NORMSINV(L489))*(M$7-M$5)*(M$6-M$5)),M$7-SQRT((1-NORMSDIST(M$9*SQRT($C$11)*NORMSINV($B489)+SQRT(1-M$9^2*$C$11)*NORMSINV(L489)))*(M$7-M$5)*(M$7-M$6))))</f>
        <v>1629.35326066352</v>
      </c>
      <c r="N489" s="2" t="n">
        <v>0.865840672</v>
      </c>
      <c r="O489" s="2" t="n">
        <f aca="false">IF(O$7=O$5,O$6,IF(NORMSDIST(O$9*SQRT($C$11)*NORMSINV($B489)+SQRT(1-O$9^2*$C$11)*NORMSINV(N489))&lt;O$8,O$5+SQRT(NORMSDIST(O$9*SQRT($C$11)*NORMSINV($B489)+SQRT(1-O$9^2*$C$11)*NORMSINV(N489))*(O$7-O$5)*(O$6-O$5)),O$7-SQRT((1-NORMSDIST(O$9*SQRT($C$11)*NORMSINV($B489)+SQRT(1-O$9^2*$C$11)*NORMSINV(N489)))*(O$7-O$5)*(O$7-O$6))))</f>
        <v>0.178173668449003</v>
      </c>
      <c r="P489" s="2" t="n">
        <v>0.299677839</v>
      </c>
      <c r="Q489" s="2" t="n">
        <f aca="false">IF(Q$7=Q$5,Q$6,IF(NORMSDIST(Q$9*SQRT($C$11)*NORMSINV($B489)+SQRT(1-Q$9^2*$C$11)*NORMSINV(P489))&lt;Q$8,Q$5+SQRT(NORMSDIST(Q$9*SQRT($C$11)*NORMSINV($B489)+SQRT(1-Q$9^2*$C$11)*NORMSINV(P489))*(Q$7-Q$5)*(Q$6-Q$5)),Q$7-SQRT((1-NORMSDIST(Q$9*SQRT($C$11)*NORMSINV($B489)+SQRT(1-Q$9^2*$C$11)*NORMSINV(P489)))*(Q$7-Q$5)*(Q$7-Q$6))))</f>
        <v>0.0709672259784437</v>
      </c>
      <c r="R489" s="2" t="n">
        <v>0.260416866</v>
      </c>
      <c r="S489" s="2" t="n">
        <f aca="false">IF(S$7=S$5,S$6,IF(NORMSDIST(S$9*SQRT($C$11)*NORMSINV($B489)+SQRT(1-S$9^2*$C$11)*NORMSINV(R489))&lt;S$8,S$5+SQRT(NORMSDIST(S$9*SQRT($C$11)*NORMSINV($B489)+SQRT(1-S$9^2*$C$11)*NORMSINV(R489))*(S$7-S$5)*(S$6-S$5)),S$7-SQRT((1-NORMSDIST(S$9*SQRT($C$11)*NORMSINV($B489)+SQRT(1-S$9^2*$C$11)*NORMSINV(R489)))*(S$7-S$5)*(S$7-S$6))))</f>
        <v>0.451270389266319</v>
      </c>
      <c r="T489" s="2" t="n">
        <v>0.71339213</v>
      </c>
      <c r="U489" s="2" t="n">
        <f aca="false">IF(U$7=U$5,U$6,IF(NORMSDIST(U$9*SQRT($C$11)*NORMSINV($B489)+SQRT(1-U$9^2*$C$11)*NORMSINV(T489))&lt;U$8,U$5+SQRT(NORMSDIST(U$9*SQRT($C$11)*NORMSINV($B489)+SQRT(1-U$9^2*$C$11)*NORMSINV(T489))*(U$7-U$5)*(U$6-U$5)),U$7-SQRT((1-NORMSDIST(U$9*SQRT($C$11)*NORMSINV($B489)+SQRT(1-U$9^2*$C$11)*NORMSINV(T489)))*(U$7-U$5)*(U$7-U$6))))</f>
        <v>0.651987835916015</v>
      </c>
      <c r="V489" s="2" t="n">
        <v>0.128230766</v>
      </c>
      <c r="W489" s="2" t="n">
        <f aca="false">IF(W$7=W$5,W$6,IF(NORMSDIST(W$9*SQRT($C$11)*NORMSINV($B489)+SQRT(1-W$9^2*$C$11)*NORMSINV(V489))&lt;W$8,W$5+SQRT(NORMSDIST(W$9*SQRT($C$11)*NORMSINV($B489)+SQRT(1-W$9^2*$C$11)*NORMSINV(V489))*(W$7-W$5)*(W$6-W$5)),W$7-SQRT((1-NORMSDIST(W$9*SQRT($C$11)*NORMSINV($B489)+SQRT(1-W$9^2*$C$11)*NORMSINV(V489)))*(W$7-W$5)*(W$7-W$6))))</f>
        <v>9.46665343435095</v>
      </c>
      <c r="X489" s="2" t="n">
        <v>0.856449901</v>
      </c>
      <c r="Y489" s="2" t="n">
        <f aca="false">IF(Y$7=Y$5,Y$6,IF(NORMSDIST(Y$9*SQRT($C$11)*NORMSINV($B489)+SQRT(1-Y$9^2*$C$11)*NORMSINV(X489))&lt;Y$8,Y$5+SQRT(NORMSDIST(Y$9*SQRT($C$11)*NORMSINV($B489)+SQRT(1-Y$9^2*$C$11)*NORMSINV(X489))*(Y$7-Y$5)*(Y$6-Y$5)),Y$7-SQRT((1-NORMSDIST(Y$9*SQRT($C$11)*NORMSINV($B489)+SQRT(1-Y$9^2*$C$11)*NORMSINV(X489)))*(Y$7-Y$5)*(Y$7-Y$6))))</f>
        <v>0.732091341125375</v>
      </c>
      <c r="Z489" s="2" t="n">
        <v>0.784890546</v>
      </c>
      <c r="AA489" s="2" t="n">
        <f aca="false">IF(AA$7=AA$5,AA$6,IF(NORMSDIST(AA$9*SQRT($C$11)*NORMSINV($B489)+SQRT(1-AA$9^2*$C$11)*NORMSINV(Z489))&lt;AA$8,AA$5+SQRT(NORMSDIST(AA$9*SQRT($C$11)*NORMSINV($B489)+SQRT(1-AA$9^2*$C$11)*NORMSINV(Z489))*(AA$7-AA$5)*(AA$6-AA$5)),AA$7-SQRT((1-NORMSDIST(AA$9*SQRT($C$11)*NORMSINV($B489)+SQRT(1-AA$9^2*$C$11)*NORMSINV(Z489)))*(AA$7-AA$5)*(AA$7-AA$6))))</f>
        <v>0.738197530398973</v>
      </c>
      <c r="AB489" s="2" t="n">
        <v>0.532713351</v>
      </c>
      <c r="AC489" s="2" t="n">
        <f aca="false">IF(AC$7=AC$5,AC$6,IF(NORMSDIST(AC$9*SQRT($C$11)*NORMSINV($B489)+SQRT(1-AC$9^2*$C$11)*NORMSINV(AB489))&lt;AC$8,AC$5+SQRT(NORMSDIST(AC$9*SQRT($C$11)*NORMSINV($B489)+SQRT(1-AC$9^2*$C$11)*NORMSINV(AB489))*(AC$7-AC$5)*(AC$6-AC$5)),AC$7-SQRT((1-NORMSDIST(AC$9*SQRT($C$11)*NORMSINV($B489)+SQRT(1-AC$9^2*$C$11)*NORMSINV(AB489)))*(AC$7-AC$5)*(AC$7-AC$6))))</f>
        <v>9.72925083332222</v>
      </c>
      <c r="AD489" s="2" t="n">
        <f aca="false">Entrées!$C$8*(1+E489)</f>
        <v>7449.83977057154</v>
      </c>
      <c r="AE489" s="2" t="n">
        <f aca="false">I489*Hypothèses!$J$24/12/Hypothèses!$J$19</f>
        <v>99.3638075470423</v>
      </c>
      <c r="AF489" s="2" t="n">
        <f aca="false">Entrées!$C$36*S489*1000</f>
        <v>225.635194633159</v>
      </c>
      <c r="AG489" s="2" t="n">
        <f aca="false">-AF489/W489</f>
        <v>-23.8347369741469</v>
      </c>
      <c r="AH489" s="2" t="n">
        <f aca="false">AD489+AE489+AG489</f>
        <v>7525.36884114443</v>
      </c>
      <c r="AI489" s="2" t="n">
        <f aca="false">Entrées!$C$16-M489+Hypothèses!$J$22*1000-AF489+Hypothèses!$J$23</f>
        <v>22693.0115447033</v>
      </c>
      <c r="AJ489" s="2" t="n">
        <f aca="false">AI489/AH489</f>
        <v>3.01553478955488</v>
      </c>
      <c r="AK489" s="2" t="n">
        <f aca="false">AI489/(AH489+I489*(12-Hypothèses!$J$24)/12/Hypothèses!$J$19)</f>
        <v>2.98736004632654</v>
      </c>
      <c r="AL489" s="2" t="n">
        <f aca="false">(AD489+AG489+I489/Hypothèses!$J$19)*(1+G489)</f>
        <v>8030.7851462323</v>
      </c>
      <c r="AM489" s="2" t="n">
        <f aca="false">Entrées!$C$54*K489/Hypothèses!$J$19</f>
        <v>25.8297785977228</v>
      </c>
      <c r="AN489" s="2" t="n">
        <f aca="false">Y489*1000/AC489</f>
        <v>75.2464247933662</v>
      </c>
      <c r="AO489" s="2" t="n">
        <f aca="false">(Entrées!$C$36*(1-S489)+MAX(0,Entrées!$C$30-Entrées!$C$35-Entrées!$C$36)*U489)*1000</f>
        <v>1187.14777564926</v>
      </c>
      <c r="AP489" s="2" t="n">
        <f aca="false">-AO489/W489</f>
        <v>-125.403109333394</v>
      </c>
      <c r="AQ489" s="2" t="n">
        <f aca="false">AL489+AM489+AN489+AP489</f>
        <v>8006.45824028999</v>
      </c>
      <c r="AR489" s="2" t="n">
        <f aca="false">O489*AQ489-Hypothèses!$J$25/Hypothèses!$J$19</f>
        <v>1407.40487369459</v>
      </c>
      <c r="AS489" s="2" t="n">
        <f aca="false">Entrées!$C$79*(1+Q489)+Hypothèses!$J$20</f>
        <v>1471.99298135031</v>
      </c>
      <c r="AT489" s="2" t="n">
        <f aca="false">AI489-AR489+AS489+Y489*1000-AO489+Hypothèses!$J$23</f>
        <v>22302.5432178352</v>
      </c>
      <c r="AU489" s="2" t="n">
        <f aca="false">AT489/AQ489</f>
        <v>2.7855691678506</v>
      </c>
      <c r="AV489" s="2" t="n">
        <f aca="false">Hypothèses!$J$26*AQ489-AT489</f>
        <v>1716.83150303482</v>
      </c>
      <c r="AW489" s="2" t="n">
        <f aca="false">IF(AC489&gt;Hypothèses!$J$26,MAX(0,AV489)/(1-Hypothèses!$J$26/AC489),0)</f>
        <v>2482.2204945701</v>
      </c>
      <c r="AX489" s="2" t="n">
        <f aca="false">AQ489-Entrées!$C$17*1000</f>
        <v>6.45824028999141</v>
      </c>
      <c r="AY489" s="2" t="n">
        <f aca="false">AI489+(Entrées!$C$244-Entrées!$C$13)</f>
        <v>28440.0115447033</v>
      </c>
      <c r="AZ489" s="2" t="n">
        <f aca="false">AA489*AH489</f>
        <v>5555.2086938742</v>
      </c>
      <c r="BA489" s="2" t="n">
        <f aca="false">AZ489/AY489</f>
        <v>0.195330746794609</v>
      </c>
      <c r="BB489" s="2" t="n">
        <f aca="false">AZ489/(Entrées!$C$151/100)-AY489</f>
        <v>2422.25897682001</v>
      </c>
      <c r="BC489" s="2" t="n">
        <f aca="false">AT489+(Entrées!$C$244-Entrées!$C$13)</f>
        <v>28049.5432178352</v>
      </c>
      <c r="BD489" s="2" t="n">
        <f aca="false">AA489*AQ489</f>
        <v>5910.34770022458</v>
      </c>
      <c r="BE489" s="2" t="n">
        <f aca="false">BD489/BC489</f>
        <v>0.21071101423379</v>
      </c>
      <c r="BF489" s="2" t="n">
        <f aca="false">BD489/(Entrées!$C$151/100)-BC489</f>
        <v>4785.72178341249</v>
      </c>
      <c r="BG489" s="2" t="n">
        <f aca="false">MIN(AV489,BF489)</f>
        <v>1716.83150303482</v>
      </c>
      <c r="BH489" s="2" t="n">
        <f aca="false">IF(AC489&gt;Hypothèses!$J$26,MAX(0,BG489)/(1-Hypothèses!$J$26/AC489),0)</f>
        <v>2482.2204945701</v>
      </c>
    </row>
    <row r="490" customFormat="false" ht="15" hidden="false" customHeight="false" outlineLevel="0" collapsed="false">
      <c r="A490" s="2" t="n">
        <v>475</v>
      </c>
      <c r="B490" s="2" t="n">
        <v>0.028616407</v>
      </c>
      <c r="C490" s="2"/>
      <c r="D490" s="2" t="n">
        <v>0.721879937</v>
      </c>
      <c r="E490" s="2" t="n">
        <f aca="false">IF(E$7=E$5,E$6,IF(NORMSDIST(E$9*SQRT($C$11)*NORMSINV($B490)+SQRT(1-E$9^2*$C$11)*NORMSINV(D490))&lt;E$8,E$5+SQRT(NORMSDIST(E$9*SQRT($C$11)*NORMSINV($B490)+SQRT(1-E$9^2*$C$11)*NORMSINV(D490))*(E$7-E$5)*(E$6-E$5)),E$7-SQRT((1-NORMSDIST(E$9*SQRT($C$11)*NORMSINV($B490)+SQRT(1-E$9^2*$C$11)*NORMSINV(D490)))*(E$7-E$5)*(E$7-E$6))))</f>
        <v>0.0533732953044937</v>
      </c>
      <c r="F490" s="2" t="n">
        <v>0.428622266</v>
      </c>
      <c r="G490" s="2" t="n">
        <f aca="false">IF(G$7=G$5,G$6,IF(NORMSDIST(G$9*SQRT($C$11)*NORMSINV($B490)+SQRT(1-G$9^2*$C$11)*NORMSINV(F490))&lt;G$8,G$5+SQRT(NORMSDIST(G$9*SQRT($C$11)*NORMSINV($B490)+SQRT(1-G$9^2*$C$11)*NORMSINV(F490))*(G$7-G$5)*(G$6-G$5)),G$7-SQRT((1-NORMSDIST(G$9*SQRT($C$11)*NORMSINV($B490)+SQRT(1-G$9^2*$C$11)*NORMSINV(F490)))*(G$7-G$5)*(G$7-G$6))))</f>
        <v>0.0463569934688355</v>
      </c>
      <c r="H490" s="2" t="n">
        <v>0.701141705</v>
      </c>
      <c r="I490" s="2" t="n">
        <f aca="false">IF(I$7=I$5,I$6,IF(NORMSDIST(I$9*SQRT($C$11)*NORMSINV($B490)+SQRT(1-I$9^2*$C$11)*NORMSINV(H490))&lt;I$8,I$5+SQRT(NORMSDIST(I$9*SQRT($C$11)*NORMSINV($B490)+SQRT(1-I$9^2*$C$11)*NORMSINV(H490))*(I$7-I$5)*(I$6-I$5)),I$7-SQRT((1-NORMSDIST(I$9*SQRT($C$11)*NORMSINV($B490)+SQRT(1-I$9^2*$C$11)*NORMSINV(H490)))*(I$7-I$5)*(I$7-I$6))))</f>
        <v>193.073038404777</v>
      </c>
      <c r="J490" s="2" t="n">
        <v>0.449064092</v>
      </c>
      <c r="K490" s="2" t="n">
        <f aca="false">IF(K$7=K$5,K$6,IF(NORMSDIST(K$9*SQRT($C$11)*NORMSINV($B490)+SQRT(1-K$9^2*$C$11)*NORMSINV(J490))&lt;K$8,K$5+SQRT(NORMSDIST(K$9*SQRT($C$11)*NORMSINV($B490)+SQRT(1-K$9^2*$C$11)*NORMSINV(J490))*(K$7-K$5)*(K$6-K$5)),K$7-SQRT((1-NORMSDIST(K$9*SQRT($C$11)*NORMSINV($B490)+SQRT(1-K$9^2*$C$11)*NORMSINV(J490)))*(K$7-K$5)*(K$7-K$6))))</f>
        <v>0.109824982041641</v>
      </c>
      <c r="L490" s="2" t="n">
        <v>0.311163213</v>
      </c>
      <c r="M490" s="2" t="n">
        <f aca="false">IF(M$7=M$5,M$6,IF(NORMSDIST(M$9*SQRT($C$11)*NORMSINV($B490)+SQRT(1-M$9^2*$C$11)*NORMSINV(L490))&lt;M$8,M$5+SQRT(NORMSDIST(M$9*SQRT($C$11)*NORMSINV($B490)+SQRT(1-M$9^2*$C$11)*NORMSINV(L490))*(M$7-M$5)*(M$6-M$5)),M$7-SQRT((1-NORMSDIST(M$9*SQRT($C$11)*NORMSINV($B490)+SQRT(1-M$9^2*$C$11)*NORMSINV(L490)))*(M$7-M$5)*(M$7-M$6))))</f>
        <v>1398.11199448652</v>
      </c>
      <c r="N490" s="2" t="n">
        <v>0.072615057</v>
      </c>
      <c r="O490" s="2" t="n">
        <f aca="false">IF(O$7=O$5,O$6,IF(NORMSDIST(O$9*SQRT($C$11)*NORMSINV($B490)+SQRT(1-O$9^2*$C$11)*NORMSINV(N490))&lt;O$8,O$5+SQRT(NORMSDIST(O$9*SQRT($C$11)*NORMSINV($B490)+SQRT(1-O$9^2*$C$11)*NORMSINV(N490))*(O$7-O$5)*(O$6-O$5)),O$7-SQRT((1-NORMSDIST(O$9*SQRT($C$11)*NORMSINV($B490)+SQRT(1-O$9^2*$C$11)*NORMSINV(N490)))*(O$7-O$5)*(O$7-O$6))))</f>
        <v>0.143764970456445</v>
      </c>
      <c r="P490" s="2" t="n">
        <v>0.03685471</v>
      </c>
      <c r="Q490" s="2" t="n">
        <f aca="false">IF(Q$7=Q$5,Q$6,IF(NORMSDIST(Q$9*SQRT($C$11)*NORMSINV($B490)+SQRT(1-Q$9^2*$C$11)*NORMSINV(P490))&lt;Q$8,Q$5+SQRT(NORMSDIST(Q$9*SQRT($C$11)*NORMSINV($B490)+SQRT(1-Q$9^2*$C$11)*NORMSINV(P490))*(Q$7-Q$5)*(Q$6-Q$5)),Q$7-SQRT((1-NORMSDIST(Q$9*SQRT($C$11)*NORMSINV($B490)+SQRT(1-Q$9^2*$C$11)*NORMSINV(P490)))*(Q$7-Q$5)*(Q$7-Q$6))))</f>
        <v>0.0508597915265441</v>
      </c>
      <c r="R490" s="2" t="n">
        <v>0.619110239</v>
      </c>
      <c r="S490" s="2" t="n">
        <f aca="false">IF(S$7=S$5,S$6,IF(NORMSDIST(S$9*SQRT($C$11)*NORMSINV($B490)+SQRT(1-S$9^2*$C$11)*NORMSINV(R490))&lt;S$8,S$5+SQRT(NORMSDIST(S$9*SQRT($C$11)*NORMSINV($B490)+SQRT(1-S$9^2*$C$11)*NORMSINV(R490))*(S$7-S$5)*(S$6-S$5)),S$7-SQRT((1-NORMSDIST(S$9*SQRT($C$11)*NORMSINV($B490)+SQRT(1-S$9^2*$C$11)*NORMSINV(R490)))*(S$7-S$5)*(S$7-S$6))))</f>
        <v>0.288589506323959</v>
      </c>
      <c r="T490" s="2" t="n">
        <v>0.518350337</v>
      </c>
      <c r="U490" s="2" t="n">
        <f aca="false">IF(U$7=U$5,U$6,IF(NORMSDIST(U$9*SQRT($C$11)*NORMSINV($B490)+SQRT(1-U$9^2*$C$11)*NORMSINV(T490))&lt;U$8,U$5+SQRT(NORMSDIST(U$9*SQRT($C$11)*NORMSINV($B490)+SQRT(1-U$9^2*$C$11)*NORMSINV(T490))*(U$7-U$5)*(U$6-U$5)),U$7-SQRT((1-NORMSDIST(U$9*SQRT($C$11)*NORMSINV($B490)+SQRT(1-U$9^2*$C$11)*NORMSINV(T490)))*(U$7-U$5)*(U$7-U$6))))</f>
        <v>0.246583823012066</v>
      </c>
      <c r="V490" s="2" t="n">
        <v>0.995018666</v>
      </c>
      <c r="W490" s="2" t="n">
        <f aca="false">IF(W$7=W$5,W$6,IF(NORMSDIST(W$9*SQRT($C$11)*NORMSINV($B490)+SQRT(1-W$9^2*$C$11)*NORMSINV(V490))&lt;W$8,W$5+SQRT(NORMSDIST(W$9*SQRT($C$11)*NORMSINV($B490)+SQRT(1-W$9^2*$C$11)*NORMSINV(V490))*(W$7-W$5)*(W$6-W$5)),W$7-SQRT((1-NORMSDIST(W$9*SQRT($C$11)*NORMSINV($B490)+SQRT(1-W$9^2*$C$11)*NORMSINV(V490)))*(W$7-W$5)*(W$7-W$6))))</f>
        <v>10.6924382620505</v>
      </c>
      <c r="X490" s="2" t="n">
        <v>0.716571581</v>
      </c>
      <c r="Y490" s="2" t="n">
        <f aca="false">IF(Y$7=Y$5,Y$6,IF(NORMSDIST(Y$9*SQRT($C$11)*NORMSINV($B490)+SQRT(1-Y$9^2*$C$11)*NORMSINV(X490))&lt;Y$8,Y$5+SQRT(NORMSDIST(Y$9*SQRT($C$11)*NORMSINV($B490)+SQRT(1-Y$9^2*$C$11)*NORMSINV(X490))*(Y$7-Y$5)*(Y$6-Y$5)),Y$7-SQRT((1-NORMSDIST(Y$9*SQRT($C$11)*NORMSINV($B490)+SQRT(1-Y$9^2*$C$11)*NORMSINV(X490)))*(Y$7-Y$5)*(Y$7-Y$6))))</f>
        <v>0.623550521982033</v>
      </c>
      <c r="Z490" s="2" t="n">
        <v>0.819474411</v>
      </c>
      <c r="AA490" s="2" t="n">
        <f aca="false">IF(AA$7=AA$5,AA$6,IF(NORMSDIST(AA$9*SQRT($C$11)*NORMSINV($B490)+SQRT(1-AA$9^2*$C$11)*NORMSINV(Z490))&lt;AA$8,AA$5+SQRT(NORMSDIST(AA$9*SQRT($C$11)*NORMSINV($B490)+SQRT(1-AA$9^2*$C$11)*NORMSINV(Z490))*(AA$7-AA$5)*(AA$6-AA$5)),AA$7-SQRT((1-NORMSDIST(AA$9*SQRT($C$11)*NORMSINV($B490)+SQRT(1-AA$9^2*$C$11)*NORMSINV(Z490)))*(AA$7-AA$5)*(AA$7-AA$6))))</f>
        <v>0.721102896270725</v>
      </c>
      <c r="AB490" s="2" t="n">
        <v>0.67032466</v>
      </c>
      <c r="AC490" s="2" t="n">
        <f aca="false">IF(AC$7=AC$5,AC$6,IF(NORMSDIST(AC$9*SQRT($C$11)*NORMSINV($B490)+SQRT(1-AC$9^2*$C$11)*NORMSINV(AB490))&lt;AC$8,AC$5+SQRT(NORMSDIST(AC$9*SQRT($C$11)*NORMSINV($B490)+SQRT(1-AC$9^2*$C$11)*NORMSINV(AB490))*(AC$7-AC$5)*(AC$6-AC$5)),AC$7-SQRT((1-NORMSDIST(AC$9*SQRT($C$11)*NORMSINV($B490)+SQRT(1-AC$9^2*$C$11)*NORMSINV(AB490)))*(AC$7-AC$5)*(AC$7-AC$6))))</f>
        <v>8.69656249342797</v>
      </c>
      <c r="AD490" s="2" t="n">
        <f aca="false">Entrées!$C$8*(1+E490)</f>
        <v>7426.28173189668</v>
      </c>
      <c r="AE490" s="2" t="n">
        <f aca="false">I490*Hypothèses!$J$24/12/Hypothèses!$J$19</f>
        <v>95.7829163983106</v>
      </c>
      <c r="AF490" s="2" t="n">
        <f aca="false">Entrées!$C$36*S490*1000</f>
        <v>144.29475316198</v>
      </c>
      <c r="AG490" s="2" t="n">
        <f aca="false">-AF490/W490</f>
        <v>-13.4950279464423</v>
      </c>
      <c r="AH490" s="2" t="n">
        <f aca="false">AD490+AE490+AG490</f>
        <v>7508.56962034855</v>
      </c>
      <c r="AI490" s="2" t="n">
        <f aca="false">Entrées!$C$16-M490+Hypothèses!$J$22*1000-AF490+Hypothèses!$J$23</f>
        <v>23005.5932523515</v>
      </c>
      <c r="AJ490" s="2" t="n">
        <f aca="false">AI490/AH490</f>
        <v>3.06391155913443</v>
      </c>
      <c r="AK490" s="2" t="n">
        <f aca="false">AI490/(AH490+I490*(12-Hypothèses!$J$24)/12/Hypothèses!$J$19)</f>
        <v>3.03624598027888</v>
      </c>
      <c r="AL490" s="2" t="n">
        <f aca="false">(AD490+AG490+I490/Hypothèses!$J$19)*(1+G490)</f>
        <v>7928.2322792195</v>
      </c>
      <c r="AM490" s="2" t="n">
        <f aca="false">Entrées!$C$54*K490/Hypothèses!$J$19</f>
        <v>11.2081005426505</v>
      </c>
      <c r="AN490" s="2" t="n">
        <f aca="false">Y490*1000/AC490</f>
        <v>71.7008039042154</v>
      </c>
      <c r="AO490" s="2" t="n">
        <f aca="false">(Entrées!$C$36*(1-S490)+MAX(0,Entrées!$C$30-Entrées!$C$35-Entrées!$C$36)*U490)*1000</f>
        <v>700.922599054912</v>
      </c>
      <c r="AP490" s="2" t="n">
        <f aca="false">-AO490/W490</f>
        <v>-65.5531116361572</v>
      </c>
      <c r="AQ490" s="2" t="n">
        <f aca="false">AL490+AM490+AN490+AP490</f>
        <v>7945.58807203021</v>
      </c>
      <c r="AR490" s="2" t="n">
        <f aca="false">O490*AQ490-Hypothèses!$J$25/Hypothèses!$J$19</f>
        <v>1123.16207217288</v>
      </c>
      <c r="AS490" s="2" t="n">
        <f aca="false">Entrées!$C$79*(1+Q490)+Hypothèses!$J$20</f>
        <v>1449.89491088767</v>
      </c>
      <c r="AT490" s="2" t="n">
        <f aca="false">AI490-AR490+AS490+Y490*1000-AO490+Hypothèses!$J$23</f>
        <v>23254.9540139934</v>
      </c>
      <c r="AU490" s="2" t="n">
        <f aca="false">AT490/AQ490</f>
        <v>2.92677569025441</v>
      </c>
      <c r="AV490" s="2" t="n">
        <f aca="false">Hypothèses!$J$26*AQ490-AT490</f>
        <v>581.810202097197</v>
      </c>
      <c r="AW490" s="2" t="n">
        <f aca="false">IF(AC490&gt;Hypothèses!$J$26,MAX(0,AV490)/(1-Hypothèses!$J$26/AC490),0)</f>
        <v>888.210879401319</v>
      </c>
      <c r="AX490" s="2" t="n">
        <f aca="false">AQ490-Entrées!$C$17*1000</f>
        <v>-54.4119279697952</v>
      </c>
      <c r="AY490" s="2" t="n">
        <f aca="false">AI490+(Entrées!$C$244-Entrées!$C$13)</f>
        <v>28752.5932523515</v>
      </c>
      <c r="AZ490" s="2" t="n">
        <f aca="false">AA490*AH490</f>
        <v>5414.45130008372</v>
      </c>
      <c r="BA490" s="2" t="n">
        <f aca="false">AZ490/AY490</f>
        <v>0.188311755136761</v>
      </c>
      <c r="BB490" s="2" t="n">
        <f aca="false">AZ490/(Entrées!$C$151/100)-AY490</f>
        <v>1327.69174811359</v>
      </c>
      <c r="BC490" s="2" t="n">
        <f aca="false">AT490+(Entrées!$C$244-Entrées!$C$13)</f>
        <v>29001.9540139934</v>
      </c>
      <c r="BD490" s="2" t="n">
        <f aca="false">AA490*AQ490</f>
        <v>5729.58657131511</v>
      </c>
      <c r="BE490" s="2" t="n">
        <f aca="false">BD490/BC490</f>
        <v>0.197558639274808</v>
      </c>
      <c r="BF490" s="2" t="n">
        <f aca="false">BD490/(Entrées!$C$151/100)-BC490</f>
        <v>2829.08249331272</v>
      </c>
      <c r="BG490" s="2" t="n">
        <f aca="false">MIN(AV490,BF490)</f>
        <v>581.810202097197</v>
      </c>
      <c r="BH490" s="2" t="n">
        <f aca="false">IF(AC490&gt;Hypothèses!$J$26,MAX(0,BG490)/(1-Hypothèses!$J$26/AC490),0)</f>
        <v>888.210879401319</v>
      </c>
    </row>
    <row r="491" customFormat="false" ht="15" hidden="false" customHeight="false" outlineLevel="0" collapsed="false">
      <c r="A491" s="2" t="n">
        <v>476</v>
      </c>
      <c r="B491" s="2" t="n">
        <v>0.677839169</v>
      </c>
      <c r="C491" s="2"/>
      <c r="D491" s="2" t="n">
        <v>0.289908945</v>
      </c>
      <c r="E491" s="2" t="n">
        <f aca="false">IF(E$7=E$5,E$6,IF(NORMSDIST(E$9*SQRT($C$11)*NORMSINV($B491)+SQRT(1-E$9^2*$C$11)*NORMSINV(D491))&lt;E$8,E$5+SQRT(NORMSDIST(E$9*SQRT($C$11)*NORMSINV($B491)+SQRT(1-E$9^2*$C$11)*NORMSINV(D491))*(E$7-E$5)*(E$6-E$5)),E$7-SQRT((1-NORMSDIST(E$9*SQRT($C$11)*NORMSINV($B491)+SQRT(1-E$9^2*$C$11)*NORMSINV(D491)))*(E$7-E$5)*(E$7-E$6))))</f>
        <v>0.0547199861535837</v>
      </c>
      <c r="F491" s="2" t="n">
        <v>0.186861446</v>
      </c>
      <c r="G491" s="2" t="n">
        <f aca="false">IF(G$7=G$5,G$6,IF(NORMSDIST(G$9*SQRT($C$11)*NORMSINV($B491)+SQRT(1-G$9^2*$C$11)*NORMSINV(F491))&lt;G$8,G$5+SQRT(NORMSDIST(G$9*SQRT($C$11)*NORMSINV($B491)+SQRT(1-G$9^2*$C$11)*NORMSINV(F491))*(G$7-G$5)*(G$6-G$5)),G$7-SQRT((1-NORMSDIST(G$9*SQRT($C$11)*NORMSINV($B491)+SQRT(1-G$9^2*$C$11)*NORMSINV(F491)))*(G$7-G$5)*(G$7-G$6))))</f>
        <v>0.052472024579218</v>
      </c>
      <c r="H491" s="2" t="n">
        <v>0.82893785</v>
      </c>
      <c r="I491" s="2" t="n">
        <f aca="false">IF(I$7=I$5,I$6,IF(NORMSDIST(I$9*SQRT($C$11)*NORMSINV($B491)+SQRT(1-I$9^2*$C$11)*NORMSINV(H491))&lt;I$8,I$5+SQRT(NORMSDIST(I$9*SQRT($C$11)*NORMSINV($B491)+SQRT(1-I$9^2*$C$11)*NORMSINV(H491))*(I$7-I$5)*(I$6-I$5)),I$7-SQRT((1-NORMSDIST(I$9*SQRT($C$11)*NORMSINV($B491)+SQRT(1-I$9^2*$C$11)*NORMSINV(H491)))*(I$7-I$5)*(I$7-I$6))))</f>
        <v>208.972228827501</v>
      </c>
      <c r="J491" s="2" t="n">
        <v>0.872196173</v>
      </c>
      <c r="K491" s="2" t="n">
        <f aca="false">IF(K$7=K$5,K$6,IF(NORMSDIST(K$9*SQRT($C$11)*NORMSINV($B491)+SQRT(1-K$9^2*$C$11)*NORMSINV(J491))&lt;K$8,K$5+SQRT(NORMSDIST(K$9*SQRT($C$11)*NORMSINV($B491)+SQRT(1-K$9^2*$C$11)*NORMSINV(J491))*(K$7-K$5)*(K$6-K$5)),K$7-SQRT((1-NORMSDIST(K$9*SQRT($C$11)*NORMSINV($B491)+SQRT(1-K$9^2*$C$11)*NORMSINV(J491)))*(K$7-K$5)*(K$7-K$6))))</f>
        <v>0.377278738949064</v>
      </c>
      <c r="L491" s="2" t="n">
        <v>0.599405947</v>
      </c>
      <c r="M491" s="2" t="n">
        <f aca="false">IF(M$7=M$5,M$6,IF(NORMSDIST(M$9*SQRT($C$11)*NORMSINV($B491)+SQRT(1-M$9^2*$C$11)*NORMSINV(L491))&lt;M$8,M$5+SQRT(NORMSDIST(M$9*SQRT($C$11)*NORMSINV($B491)+SQRT(1-M$9^2*$C$11)*NORMSINV(L491))*(M$7-M$5)*(M$6-M$5)),M$7-SQRT((1-NORMSDIST(M$9*SQRT($C$11)*NORMSINV($B491)+SQRT(1-M$9^2*$C$11)*NORMSINV(L491)))*(M$7-M$5)*(M$7-M$6))))</f>
        <v>1634.01704841858</v>
      </c>
      <c r="N491" s="2" t="n">
        <v>0.108357716</v>
      </c>
      <c r="O491" s="2" t="n">
        <f aca="false">IF(O$7=O$5,O$6,IF(NORMSDIST(O$9*SQRT($C$11)*NORMSINV($B491)+SQRT(1-O$9^2*$C$11)*NORMSINV(N491))&lt;O$8,O$5+SQRT(NORMSDIST(O$9*SQRT($C$11)*NORMSINV($B491)+SQRT(1-O$9^2*$C$11)*NORMSINV(N491))*(O$7-O$5)*(O$6-O$5)),O$7-SQRT((1-NORMSDIST(O$9*SQRT($C$11)*NORMSINV($B491)+SQRT(1-O$9^2*$C$11)*NORMSINV(N491)))*(O$7-O$5)*(O$7-O$6))))</f>
        <v>0.159055143618219</v>
      </c>
      <c r="P491" s="2" t="n">
        <v>0.366608548</v>
      </c>
      <c r="Q491" s="2" t="n">
        <f aca="false">IF(Q$7=Q$5,Q$6,IF(NORMSDIST(Q$9*SQRT($C$11)*NORMSINV($B491)+SQRT(1-Q$9^2*$C$11)*NORMSINV(P491))&lt;Q$8,Q$5+SQRT(NORMSDIST(Q$9*SQRT($C$11)*NORMSINV($B491)+SQRT(1-Q$9^2*$C$11)*NORMSINV(P491))*(Q$7-Q$5)*(Q$6-Q$5)),Q$7-SQRT((1-NORMSDIST(Q$9*SQRT($C$11)*NORMSINV($B491)+SQRT(1-Q$9^2*$C$11)*NORMSINV(P491)))*(Q$7-Q$5)*(Q$7-Q$6))))</f>
        <v>0.0742512387162859</v>
      </c>
      <c r="R491" s="2" t="n">
        <v>0.772541407</v>
      </c>
      <c r="S491" s="2" t="n">
        <f aca="false">IF(S$7=S$5,S$6,IF(NORMSDIST(S$9*SQRT($C$11)*NORMSINV($B491)+SQRT(1-S$9^2*$C$11)*NORMSINV(R491))&lt;S$8,S$5+SQRT(NORMSDIST(S$9*SQRT($C$11)*NORMSINV($B491)+SQRT(1-S$9^2*$C$11)*NORMSINV(R491))*(S$7-S$5)*(S$6-S$5)),S$7-SQRT((1-NORMSDIST(S$9*SQRT($C$11)*NORMSINV($B491)+SQRT(1-S$9^2*$C$11)*NORMSINV(R491)))*(S$7-S$5)*(S$7-S$6))))</f>
        <v>0.690215153278316</v>
      </c>
      <c r="T491" s="2" t="n">
        <v>0.668995954</v>
      </c>
      <c r="U491" s="2" t="n">
        <f aca="false">IF(U$7=U$5,U$6,IF(NORMSDIST(U$9*SQRT($C$11)*NORMSINV($B491)+SQRT(1-U$9^2*$C$11)*NORMSINV(T491))&lt;U$8,U$5+SQRT(NORMSDIST(U$9*SQRT($C$11)*NORMSINV($B491)+SQRT(1-U$9^2*$C$11)*NORMSINV(T491))*(U$7-U$5)*(U$6-U$5)),U$7-SQRT((1-NORMSDIST(U$9*SQRT($C$11)*NORMSINV($B491)+SQRT(1-U$9^2*$C$11)*NORMSINV(T491)))*(U$7-U$5)*(U$7-U$6))))</f>
        <v>0.636576131626455</v>
      </c>
      <c r="V491" s="2" t="n">
        <v>0.495533234</v>
      </c>
      <c r="W491" s="2" t="n">
        <f aca="false">IF(W$7=W$5,W$6,IF(NORMSDIST(W$9*SQRT($C$11)*NORMSINV($B491)+SQRT(1-W$9^2*$C$11)*NORMSINV(V491))&lt;W$8,W$5+SQRT(NORMSDIST(W$9*SQRT($C$11)*NORMSINV($B491)+SQRT(1-W$9^2*$C$11)*NORMSINV(V491))*(W$7-W$5)*(W$6-W$5)),W$7-SQRT((1-NORMSDIST(W$9*SQRT($C$11)*NORMSINV($B491)+SQRT(1-W$9^2*$C$11)*NORMSINV(V491)))*(W$7-W$5)*(W$7-W$6))))</f>
        <v>10.237116489189</v>
      </c>
      <c r="X491" s="2" t="n">
        <v>0.174686407</v>
      </c>
      <c r="Y491" s="2" t="n">
        <f aca="false">IF(Y$7=Y$5,Y$6,IF(NORMSDIST(Y$9*SQRT($C$11)*NORMSINV($B491)+SQRT(1-Y$9^2*$C$11)*NORMSINV(X491))&lt;Y$8,Y$5+SQRT(NORMSDIST(Y$9*SQRT($C$11)*NORMSINV($B491)+SQRT(1-Y$9^2*$C$11)*NORMSINV(X491))*(Y$7-Y$5)*(Y$6-Y$5)),Y$7-SQRT((1-NORMSDIST(Y$9*SQRT($C$11)*NORMSINV($B491)+SQRT(1-Y$9^2*$C$11)*NORMSINV(X491)))*(Y$7-Y$5)*(Y$7-Y$6))))</f>
        <v>0.295538835857489</v>
      </c>
      <c r="Z491" s="2" t="n">
        <v>0.433139348</v>
      </c>
      <c r="AA491" s="2" t="n">
        <f aca="false">IF(AA$7=AA$5,AA$6,IF(NORMSDIST(AA$9*SQRT($C$11)*NORMSINV($B491)+SQRT(1-AA$9^2*$C$11)*NORMSINV(Z491))&lt;AA$8,AA$5+SQRT(NORMSDIST(AA$9*SQRT($C$11)*NORMSINV($B491)+SQRT(1-AA$9^2*$C$11)*NORMSINV(Z491))*(AA$7-AA$5)*(AA$6-AA$5)),AA$7-SQRT((1-NORMSDIST(AA$9*SQRT($C$11)*NORMSINV($B491)+SQRT(1-AA$9^2*$C$11)*NORMSINV(Z491)))*(AA$7-AA$5)*(AA$7-AA$6))))</f>
        <v>0.730088419860114</v>
      </c>
      <c r="AB491" s="2" t="n">
        <v>0.18163084</v>
      </c>
      <c r="AC491" s="2" t="n">
        <f aca="false">IF(AC$7=AC$5,AC$6,IF(NORMSDIST(AC$9*SQRT($C$11)*NORMSINV($B491)+SQRT(1-AC$9^2*$C$11)*NORMSINV(AB491))&lt;AC$8,AC$5+SQRT(NORMSDIST(AC$9*SQRT($C$11)*NORMSINV($B491)+SQRT(1-AC$9^2*$C$11)*NORMSINV(AB491))*(AC$7-AC$5)*(AC$6-AC$5)),AC$7-SQRT((1-NORMSDIST(AC$9*SQRT($C$11)*NORMSINV($B491)+SQRT(1-AC$9^2*$C$11)*NORMSINV(AB491)))*(AC$7-AC$5)*(AC$7-AC$6))))</f>
        <v>9.11413442127249</v>
      </c>
      <c r="AD491" s="2" t="n">
        <f aca="false">Entrées!$C$8*(1+E491)</f>
        <v>7435.77590238277</v>
      </c>
      <c r="AE491" s="2" t="n">
        <f aca="false">I491*Hypothèses!$J$24/12/Hypothèses!$J$19</f>
        <v>103.670453879685</v>
      </c>
      <c r="AF491" s="2" t="n">
        <f aca="false">Entrées!$C$36*S491*1000</f>
        <v>345.107576639158</v>
      </c>
      <c r="AG491" s="2" t="n">
        <f aca="false">-AF491/W491</f>
        <v>-33.7114046717758</v>
      </c>
      <c r="AH491" s="2" t="n">
        <f aca="false">AD491+AE491+AG491</f>
        <v>7505.73495159067</v>
      </c>
      <c r="AI491" s="2" t="n">
        <f aca="false">Entrées!$C$16-M491+Hypothèses!$J$22*1000-AF491+Hypothèses!$J$23</f>
        <v>22568.8753749423</v>
      </c>
      <c r="AJ491" s="2" t="n">
        <f aca="false">AI491/AH491</f>
        <v>3.00688413866244</v>
      </c>
      <c r="AK491" s="2" t="n">
        <f aca="false">AI491/(AH491+I491*(12-Hypothèses!$J$24)/12/Hypothèses!$J$19)</f>
        <v>2.97750853800917</v>
      </c>
      <c r="AL491" s="2" t="n">
        <f aca="false">(AD491+AG491+I491/Hypothèses!$J$19)*(1+G491)</f>
        <v>7977.51195508692</v>
      </c>
      <c r="AM491" s="2" t="n">
        <f aca="false">Entrées!$C$54*K491/Hypothèses!$J$19</f>
        <v>38.5028794008104</v>
      </c>
      <c r="AN491" s="2" t="n">
        <f aca="false">Y491*1000/AC491</f>
        <v>32.4264293455776</v>
      </c>
      <c r="AO491" s="2" t="n">
        <f aca="false">(Entrées!$C$36*(1-S491)+MAX(0,Entrées!$C$30-Entrées!$C$35-Entrées!$C$36)*U491)*1000</f>
        <v>1046.09900763788</v>
      </c>
      <c r="AP491" s="2" t="n">
        <f aca="false">-AO491/W491</f>
        <v>-102.186881310047</v>
      </c>
      <c r="AQ491" s="2" t="n">
        <f aca="false">AL491+AM491+AN491+AP491</f>
        <v>7946.25438252326</v>
      </c>
      <c r="AR491" s="2" t="n">
        <f aca="false">O491*AQ491-Hypothèses!$J$25/Hypothèses!$J$19</f>
        <v>1244.75746977751</v>
      </c>
      <c r="AS491" s="2" t="n">
        <f aca="false">Entrées!$C$79*(1+Q491)+Hypothèses!$J$20</f>
        <v>1475.6021113492</v>
      </c>
      <c r="AT491" s="2" t="n">
        <f aca="false">AI491-AR491+AS491+Y491*1000-AO491+Hypothèses!$J$23</f>
        <v>22049.1598447336</v>
      </c>
      <c r="AU491" s="2" t="n">
        <f aca="false">AT491/AQ491</f>
        <v>2.77478655770545</v>
      </c>
      <c r="AV491" s="2" t="n">
        <f aca="false">Hypothèses!$J$26*AQ491-AT491</f>
        <v>1789.60330283622</v>
      </c>
      <c r="AW491" s="2" t="n">
        <f aca="false">IF(AC491&gt;Hypothèses!$J$26,MAX(0,AV491)/(1-Hypothèses!$J$26/AC491),0)</f>
        <v>2667.70141756352</v>
      </c>
      <c r="AX491" s="2" t="n">
        <f aca="false">AQ491-Entrées!$C$17*1000</f>
        <v>-53.7456174767376</v>
      </c>
      <c r="AY491" s="2" t="n">
        <f aca="false">AI491+(Entrées!$C$244-Entrées!$C$13)</f>
        <v>28315.8753749423</v>
      </c>
      <c r="AZ491" s="2" t="n">
        <f aca="false">AA491*AH491</f>
        <v>5479.85017069566</v>
      </c>
      <c r="BA491" s="2" t="n">
        <f aca="false">AZ491/AY491</f>
        <v>0.193525720046959</v>
      </c>
      <c r="BB491" s="2" t="n">
        <f aca="false">AZ491/(Entrées!$C$151/100)-AY491</f>
        <v>2127.73668447808</v>
      </c>
      <c r="BC491" s="2" t="n">
        <f aca="false">AT491+(Entrées!$C$244-Entrées!$C$13)</f>
        <v>27796.1598447336</v>
      </c>
      <c r="BD491" s="2" t="n">
        <f aca="false">AA491*AQ491</f>
        <v>5801.46830594291</v>
      </c>
      <c r="BE491" s="2" t="n">
        <f aca="false">BD491/BC491</f>
        <v>0.208714741113496</v>
      </c>
      <c r="BF491" s="2" t="n">
        <f aca="false">BD491/(Entrées!$C$151/100)-BC491</f>
        <v>4434.21963272706</v>
      </c>
      <c r="BG491" s="2" t="n">
        <f aca="false">MIN(AV491,BF491)</f>
        <v>1789.60330283622</v>
      </c>
      <c r="BH491" s="2" t="n">
        <f aca="false">IF(AC491&gt;Hypothèses!$J$26,MAX(0,BG491)/(1-Hypothèses!$J$26/AC491),0)</f>
        <v>2667.70141756352</v>
      </c>
    </row>
    <row r="492" customFormat="false" ht="15" hidden="false" customHeight="false" outlineLevel="0" collapsed="false">
      <c r="A492" s="2" t="n">
        <v>477</v>
      </c>
      <c r="B492" s="2" t="n">
        <v>0.984154268</v>
      </c>
      <c r="C492" s="2"/>
      <c r="D492" s="2" t="n">
        <v>0.838277409</v>
      </c>
      <c r="E492" s="2" t="n">
        <f aca="false">IF(E$7=E$5,E$6,IF(NORMSDIST(E$9*SQRT($C$11)*NORMSINV($B492)+SQRT(1-E$9^2*$C$11)*NORMSINV(D492))&lt;E$8,E$5+SQRT(NORMSDIST(E$9*SQRT($C$11)*NORMSINV($B492)+SQRT(1-E$9^2*$C$11)*NORMSINV(D492))*(E$7-E$5)*(E$6-E$5)),E$7-SQRT((1-NORMSDIST(E$9*SQRT($C$11)*NORMSINV($B492)+SQRT(1-E$9^2*$C$11)*NORMSINV(D492)))*(E$7-E$5)*(E$7-E$6))))</f>
        <v>0.059081994243211</v>
      </c>
      <c r="F492" s="2" t="n">
        <v>0.901137605</v>
      </c>
      <c r="G492" s="2" t="n">
        <f aca="false">IF(G$7=G$5,G$6,IF(NORMSDIST(G$9*SQRT($C$11)*NORMSINV($B492)+SQRT(1-G$9^2*$C$11)*NORMSINV(F492))&lt;G$8,G$5+SQRT(NORMSDIST(G$9*SQRT($C$11)*NORMSINV($B492)+SQRT(1-G$9^2*$C$11)*NORMSINV(F492))*(G$7-G$5)*(G$6-G$5)),G$7-SQRT((1-NORMSDIST(G$9*SQRT($C$11)*NORMSINV($B492)+SQRT(1-G$9^2*$C$11)*NORMSINV(F492)))*(G$7-G$5)*(G$7-G$6))))</f>
        <v>0.0679624246067648</v>
      </c>
      <c r="H492" s="2" t="n">
        <v>0.949559184</v>
      </c>
      <c r="I492" s="2" t="n">
        <f aca="false">IF(I$7=I$5,I$6,IF(NORMSDIST(I$9*SQRT($C$11)*NORMSINV($B492)+SQRT(1-I$9^2*$C$11)*NORMSINV(H492))&lt;I$8,I$5+SQRT(NORMSDIST(I$9*SQRT($C$11)*NORMSINV($B492)+SQRT(1-I$9^2*$C$11)*NORMSINV(H492))*(I$7-I$5)*(I$6-I$5)),I$7-SQRT((1-NORMSDIST(I$9*SQRT($C$11)*NORMSINV($B492)+SQRT(1-I$9^2*$C$11)*NORMSINV(H492)))*(I$7-I$5)*(I$7-I$6))))</f>
        <v>218.150537391225</v>
      </c>
      <c r="J492" s="2" t="n">
        <v>0.450172904</v>
      </c>
      <c r="K492" s="2" t="n">
        <f aca="false">IF(K$7=K$5,K$6,IF(NORMSDIST(K$9*SQRT($C$11)*NORMSINV($B492)+SQRT(1-K$9^2*$C$11)*NORMSINV(J492))&lt;K$8,K$5+SQRT(NORMSDIST(K$9*SQRT($C$11)*NORMSINV($B492)+SQRT(1-K$9^2*$C$11)*NORMSINV(J492))*(K$7-K$5)*(K$6-K$5)),K$7-SQRT((1-NORMSDIST(K$9*SQRT($C$11)*NORMSINV($B492)+SQRT(1-K$9^2*$C$11)*NORMSINV(J492)))*(K$7-K$5)*(K$7-K$6))))</f>
        <v>0.386240634368903</v>
      </c>
      <c r="L492" s="2" t="n">
        <v>0.89998475</v>
      </c>
      <c r="M492" s="2" t="n">
        <f aca="false">IF(M$7=M$5,M$6,IF(NORMSDIST(M$9*SQRT($C$11)*NORMSINV($B492)+SQRT(1-M$9^2*$C$11)*NORMSINV(L492))&lt;M$8,M$5+SQRT(NORMSDIST(M$9*SQRT($C$11)*NORMSINV($B492)+SQRT(1-M$9^2*$C$11)*NORMSINV(L492))*(M$7-M$5)*(M$6-M$5)),M$7-SQRT((1-NORMSDIST(M$9*SQRT($C$11)*NORMSINV($B492)+SQRT(1-M$9^2*$C$11)*NORMSINV(L492)))*(M$7-M$5)*(M$7-M$6))))</f>
        <v>1764.61187192966</v>
      </c>
      <c r="N492" s="2" t="n">
        <v>0.967176355</v>
      </c>
      <c r="O492" s="2" t="n">
        <f aca="false">IF(O$7=O$5,O$6,IF(NORMSDIST(O$9*SQRT($C$11)*NORMSINV($B492)+SQRT(1-O$9^2*$C$11)*NORMSINV(N492))&lt;O$8,O$5+SQRT(NORMSDIST(O$9*SQRT($C$11)*NORMSINV($B492)+SQRT(1-O$9^2*$C$11)*NORMSINV(N492))*(O$7-O$5)*(O$6-O$5)),O$7-SQRT((1-NORMSDIST(O$9*SQRT($C$11)*NORMSINV($B492)+SQRT(1-O$9^2*$C$11)*NORMSINV(N492)))*(O$7-O$5)*(O$7-O$6))))</f>
        <v>0.188310485902631</v>
      </c>
      <c r="P492" s="2" t="n">
        <v>0.591092035</v>
      </c>
      <c r="Q492" s="2" t="n">
        <f aca="false">IF(Q$7=Q$5,Q$6,IF(NORMSDIST(Q$9*SQRT($C$11)*NORMSINV($B492)+SQRT(1-Q$9^2*$C$11)*NORMSINV(P492))&lt;Q$8,Q$5+SQRT(NORMSDIST(Q$9*SQRT($C$11)*NORMSINV($B492)+SQRT(1-Q$9^2*$C$11)*NORMSINV(P492))*(Q$7-Q$5)*(Q$6-Q$5)),Q$7-SQRT((1-NORMSDIST(Q$9*SQRT($C$11)*NORMSINV($B492)+SQRT(1-Q$9^2*$C$11)*NORMSINV(P492)))*(Q$7-Q$5)*(Q$7-Q$6))))</f>
        <v>0.0838267296474317</v>
      </c>
      <c r="R492" s="2" t="n">
        <v>0.660718135</v>
      </c>
      <c r="S492" s="2" t="n">
        <f aca="false">IF(S$7=S$5,S$6,IF(NORMSDIST(S$9*SQRT($C$11)*NORMSINV($B492)+SQRT(1-S$9^2*$C$11)*NORMSINV(R492))&lt;S$8,S$5+SQRT(NORMSDIST(S$9*SQRT($C$11)*NORMSINV($B492)+SQRT(1-S$9^2*$C$11)*NORMSINV(R492))*(S$7-S$5)*(S$6-S$5)),S$7-SQRT((1-NORMSDIST(S$9*SQRT($C$11)*NORMSINV($B492)+SQRT(1-S$9^2*$C$11)*NORMSINV(R492)))*(S$7-S$5)*(S$7-S$6))))</f>
        <v>0.847508155487835</v>
      </c>
      <c r="T492" s="2" t="n">
        <v>0.246379235</v>
      </c>
      <c r="U492" s="2" t="n">
        <f aca="false">IF(U$7=U$5,U$6,IF(NORMSDIST(U$9*SQRT($C$11)*NORMSINV($B492)+SQRT(1-U$9^2*$C$11)*NORMSINV(T492))&lt;U$8,U$5+SQRT(NORMSDIST(U$9*SQRT($C$11)*NORMSINV($B492)+SQRT(1-U$9^2*$C$11)*NORMSINV(T492))*(U$7-U$5)*(U$6-U$5)),U$7-SQRT((1-NORMSDIST(U$9*SQRT($C$11)*NORMSINV($B492)+SQRT(1-U$9^2*$C$11)*NORMSINV(T492)))*(U$7-U$5)*(U$7-U$6))))</f>
        <v>0.680615873817464</v>
      </c>
      <c r="V492" s="2" t="n">
        <v>0.052878849</v>
      </c>
      <c r="W492" s="2" t="n">
        <f aca="false">IF(W$7=W$5,W$6,IF(NORMSDIST(W$9*SQRT($C$11)*NORMSINV($B492)+SQRT(1-W$9^2*$C$11)*NORMSINV(V492))&lt;W$8,W$5+SQRT(NORMSDIST(W$9*SQRT($C$11)*NORMSINV($B492)+SQRT(1-W$9^2*$C$11)*NORMSINV(V492))*(W$7-W$5)*(W$6-W$5)),W$7-SQRT((1-NORMSDIST(W$9*SQRT($C$11)*NORMSINV($B492)+SQRT(1-W$9^2*$C$11)*NORMSINV(V492)))*(W$7-W$5)*(W$7-W$6))))</f>
        <v>10.0860599939205</v>
      </c>
      <c r="X492" s="2" t="n">
        <v>0.948316303</v>
      </c>
      <c r="Y492" s="2" t="n">
        <f aca="false">IF(Y$7=Y$5,Y$6,IF(NORMSDIST(Y$9*SQRT($C$11)*NORMSINV($B492)+SQRT(1-Y$9^2*$C$11)*NORMSINV(X492))&lt;Y$8,Y$5+SQRT(NORMSDIST(Y$9*SQRT($C$11)*NORMSINV($B492)+SQRT(1-Y$9^2*$C$11)*NORMSINV(X492))*(Y$7-Y$5)*(Y$6-Y$5)),Y$7-SQRT((1-NORMSDIST(Y$9*SQRT($C$11)*NORMSINV($B492)+SQRT(1-Y$9^2*$C$11)*NORMSINV(X492)))*(Y$7-Y$5)*(Y$7-Y$6))))</f>
        <v>0.839246000049766</v>
      </c>
      <c r="Z492" s="2" t="n">
        <v>0.89335829</v>
      </c>
      <c r="AA492" s="2" t="n">
        <f aca="false">IF(AA$7=AA$5,AA$6,IF(NORMSDIST(AA$9*SQRT($C$11)*NORMSINV($B492)+SQRT(1-AA$9^2*$C$11)*NORMSINV(Z492))&lt;AA$8,AA$5+SQRT(NORMSDIST(AA$9*SQRT($C$11)*NORMSINV($B492)+SQRT(1-AA$9^2*$C$11)*NORMSINV(Z492))*(AA$7-AA$5)*(AA$6-AA$5)),AA$7-SQRT((1-NORMSDIST(AA$9*SQRT($C$11)*NORMSINV($B492)+SQRT(1-AA$9^2*$C$11)*NORMSINV(Z492)))*(AA$7-AA$5)*(AA$7-AA$6))))</f>
        <v>0.750269459727855</v>
      </c>
      <c r="AB492" s="2" t="n">
        <v>0.165729319</v>
      </c>
      <c r="AC492" s="2" t="n">
        <f aca="false">IF(AC$7=AC$5,AC$6,IF(NORMSDIST(AC$9*SQRT($C$11)*NORMSINV($B492)+SQRT(1-AC$9^2*$C$11)*NORMSINV(AB492))&lt;AC$8,AC$5+SQRT(NORMSDIST(AC$9*SQRT($C$11)*NORMSINV($B492)+SQRT(1-AC$9^2*$C$11)*NORMSINV(AB492))*(AC$7-AC$5)*(AC$6-AC$5)),AC$7-SQRT((1-NORMSDIST(AC$9*SQRT($C$11)*NORMSINV($B492)+SQRT(1-AC$9^2*$C$11)*NORMSINV(AB492)))*(AC$7-AC$5)*(AC$7-AC$6))))</f>
        <v>9.91577184924912</v>
      </c>
      <c r="AD492" s="2" t="n">
        <f aca="false">Entrées!$C$8*(1+E492)</f>
        <v>7466.52805941464</v>
      </c>
      <c r="AE492" s="2" t="n">
        <f aca="false">I492*Hypothèses!$J$24/12/Hypothèses!$J$19</f>
        <v>108.22378338183</v>
      </c>
      <c r="AF492" s="2" t="n">
        <f aca="false">Entrées!$C$36*S492*1000</f>
        <v>423.754077743918</v>
      </c>
      <c r="AG492" s="2" t="n">
        <f aca="false">-AF492/W492</f>
        <v>-42.0138367211124</v>
      </c>
      <c r="AH492" s="2" t="n">
        <f aca="false">AD492+AE492+AG492</f>
        <v>7532.73800607536</v>
      </c>
      <c r="AI492" s="2" t="n">
        <f aca="false">Entrées!$C$16-M492+Hypothèses!$J$22*1000-AF492+Hypothèses!$J$23</f>
        <v>22359.6340503264</v>
      </c>
      <c r="AJ492" s="2" t="n">
        <f aca="false">AI492/AH492</f>
        <v>2.96832758982096</v>
      </c>
      <c r="AK492" s="2" t="n">
        <f aca="false">AI492/(AH492+I492*(12-Hypothèses!$J$24)/12/Hypothèses!$J$19)</f>
        <v>2.93817535369798</v>
      </c>
      <c r="AL492" s="2" t="n">
        <f aca="false">(AD492+AG492+I492/Hypothèses!$J$19)*(1+G492)</f>
        <v>8127.23752639618</v>
      </c>
      <c r="AM492" s="2" t="n">
        <f aca="false">Entrées!$C$54*K492/Hypothèses!$J$19</f>
        <v>39.4174784569723</v>
      </c>
      <c r="AN492" s="2" t="n">
        <f aca="false">Y492*1000/AC492</f>
        <v>84.6374858971083</v>
      </c>
      <c r="AO492" s="2" t="n">
        <f aca="false">(Entrées!$C$36*(1-S492)+MAX(0,Entrées!$C$30-Entrées!$C$35-Entrées!$C$36)*U492)*1000</f>
        <v>1029.10814560053</v>
      </c>
      <c r="AP492" s="2" t="n">
        <f aca="false">-AO492/W492</f>
        <v>-102.032721024944</v>
      </c>
      <c r="AQ492" s="2" t="n">
        <f aca="false">AL492+AM492+AN492+AP492</f>
        <v>8149.25976972531</v>
      </c>
      <c r="AR492" s="2" t="n">
        <f aca="false">O492*AQ492-Hypothèses!$J$25/Hypothèses!$J$19</f>
        <v>1515.45590472211</v>
      </c>
      <c r="AS492" s="2" t="n">
        <f aca="false">Entrées!$C$79*(1+Q492)+Hypothèses!$J$20</f>
        <v>1486.12557588253</v>
      </c>
      <c r="AT492" s="2" t="n">
        <f aca="false">AI492-AR492+AS492+Y492*1000-AO492+Hypothèses!$J$23</f>
        <v>22140.4415759361</v>
      </c>
      <c r="AU492" s="2" t="n">
        <f aca="false">AT492/AQ492</f>
        <v>2.71686535974572</v>
      </c>
      <c r="AV492" s="2" t="n">
        <f aca="false">Hypothèses!$J$26*AQ492-AT492</f>
        <v>2307.33773323986</v>
      </c>
      <c r="AW492" s="2" t="n">
        <f aca="false">IF(AC492&gt;Hypothèses!$J$26,MAX(0,AV492)/(1-Hypothèses!$J$26/AC492),0)</f>
        <v>3308.2402139183</v>
      </c>
      <c r="AX492" s="2" t="n">
        <f aca="false">AQ492-Entrées!$C$17*1000</f>
        <v>149.259769725311</v>
      </c>
      <c r="AY492" s="2" t="n">
        <f aca="false">AI492+(Entrées!$C$244-Entrées!$C$13)</f>
        <v>28106.6340503264</v>
      </c>
      <c r="AZ492" s="2" t="n">
        <f aca="false">AA492*AH492</f>
        <v>5651.58327408964</v>
      </c>
      <c r="BA492" s="2" t="n">
        <f aca="false">AZ492/AY492</f>
        <v>0.20107648834685</v>
      </c>
      <c r="BB492" s="2" t="n">
        <f aca="false">AZ492/(Entrées!$C$151/100)-AY492</f>
        <v>3291.05080572711</v>
      </c>
      <c r="BC492" s="2" t="n">
        <f aca="false">AT492+(Entrées!$C$244-Entrées!$C$13)</f>
        <v>27887.4415759361</v>
      </c>
      <c r="BD492" s="2" t="n">
        <f aca="false">AA492*AQ492</f>
        <v>6114.14072461375</v>
      </c>
      <c r="BE492" s="2" t="n">
        <f aca="false">BD492/BC492</f>
        <v>0.219243515328047</v>
      </c>
      <c r="BF492" s="2" t="n">
        <f aca="false">BD492/(Entrées!$C$151/100)-BC492</f>
        <v>6080.00689414033</v>
      </c>
      <c r="BG492" s="2" t="n">
        <f aca="false">MIN(AV492,BF492)</f>
        <v>2307.33773323986</v>
      </c>
      <c r="BH492" s="2" t="n">
        <f aca="false">IF(AC492&gt;Hypothèses!$J$26,MAX(0,BG492)/(1-Hypothèses!$J$26/AC492),0)</f>
        <v>3308.2402139183</v>
      </c>
    </row>
    <row r="493" customFormat="false" ht="15" hidden="false" customHeight="false" outlineLevel="0" collapsed="false">
      <c r="A493" s="2" t="n">
        <v>478</v>
      </c>
      <c r="B493" s="2" t="n">
        <v>0.262339424</v>
      </c>
      <c r="C493" s="2"/>
      <c r="D493" s="2" t="n">
        <v>0.766821063</v>
      </c>
      <c r="E493" s="2" t="n">
        <f aca="false">IF(E$7=E$5,E$6,IF(NORMSDIST(E$9*SQRT($C$11)*NORMSINV($B493)+SQRT(1-E$9^2*$C$11)*NORMSINV(D493))&lt;E$8,E$5+SQRT(NORMSDIST(E$9*SQRT($C$11)*NORMSINV($B493)+SQRT(1-E$9^2*$C$11)*NORMSINV(D493))*(E$7-E$5)*(E$6-E$5)),E$7-SQRT((1-NORMSDIST(E$9*SQRT($C$11)*NORMSINV($B493)+SQRT(1-E$9^2*$C$11)*NORMSINV(D493)))*(E$7-E$5)*(E$7-E$6))))</f>
        <v>0.0553325873130818</v>
      </c>
      <c r="F493" s="2" t="n">
        <v>0.146876636</v>
      </c>
      <c r="G493" s="2" t="n">
        <f aca="false">IF(G$7=G$5,G$6,IF(NORMSDIST(G$9*SQRT($C$11)*NORMSINV($B493)+SQRT(1-G$9^2*$C$11)*NORMSINV(F493))&lt;G$8,G$5+SQRT(NORMSDIST(G$9*SQRT($C$11)*NORMSINV($B493)+SQRT(1-G$9^2*$C$11)*NORMSINV(F493))*(G$7-G$5)*(G$6-G$5)),G$7-SQRT((1-NORMSDIST(G$9*SQRT($C$11)*NORMSINV($B493)+SQRT(1-G$9^2*$C$11)*NORMSINV(F493)))*(G$7-G$5)*(G$7-G$6))))</f>
        <v>0.0471014495153034</v>
      </c>
      <c r="H493" s="2" t="n">
        <v>0.746880945</v>
      </c>
      <c r="I493" s="2" t="n">
        <f aca="false">IF(I$7=I$5,I$6,IF(NORMSDIST(I$9*SQRT($C$11)*NORMSINV($B493)+SQRT(1-I$9^2*$C$11)*NORMSINV(H493))&lt;I$8,I$5+SQRT(NORMSDIST(I$9*SQRT($C$11)*NORMSINV($B493)+SQRT(1-I$9^2*$C$11)*NORMSINV(H493))*(I$7-I$5)*(I$6-I$5)),I$7-SQRT((1-NORMSDIST(I$9*SQRT($C$11)*NORMSINV($B493)+SQRT(1-I$9^2*$C$11)*NORMSINV(H493)))*(I$7-I$5)*(I$7-I$6))))</f>
        <v>200.917099521368</v>
      </c>
      <c r="J493" s="2" t="n">
        <v>0.408189268</v>
      </c>
      <c r="K493" s="2" t="n">
        <f aca="false">IF(K$7=K$5,K$6,IF(NORMSDIST(K$9*SQRT($C$11)*NORMSINV($B493)+SQRT(1-K$9^2*$C$11)*NORMSINV(J493))&lt;K$8,K$5+SQRT(NORMSDIST(K$9*SQRT($C$11)*NORMSINV($B493)+SQRT(1-K$9^2*$C$11)*NORMSINV(J493))*(K$7-K$5)*(K$6-K$5)),K$7-SQRT((1-NORMSDIST(K$9*SQRT($C$11)*NORMSINV($B493)+SQRT(1-K$9^2*$C$11)*NORMSINV(J493)))*(K$7-K$5)*(K$7-K$6))))</f>
        <v>0.187154800045038</v>
      </c>
      <c r="L493" s="2" t="n">
        <v>0.266866204</v>
      </c>
      <c r="M493" s="2" t="n">
        <f aca="false">IF(M$7=M$5,M$6,IF(NORMSDIST(M$9*SQRT($C$11)*NORMSINV($B493)+SQRT(1-M$9^2*$C$11)*NORMSINV(L493))&lt;M$8,M$5+SQRT(NORMSDIST(M$9*SQRT($C$11)*NORMSINV($B493)+SQRT(1-M$9^2*$C$11)*NORMSINV(L493))*(M$7-M$5)*(M$6-M$5)),M$7-SQRT((1-NORMSDIST(M$9*SQRT($C$11)*NORMSINV($B493)+SQRT(1-M$9^2*$C$11)*NORMSINV(L493)))*(M$7-M$5)*(M$7-M$6))))</f>
        <v>1476.32443211732</v>
      </c>
      <c r="N493" s="2" t="n">
        <v>0.149490184</v>
      </c>
      <c r="O493" s="2" t="n">
        <f aca="false">IF(O$7=O$5,O$6,IF(NORMSDIST(O$9*SQRT($C$11)*NORMSINV($B493)+SQRT(1-O$9^2*$C$11)*NORMSINV(N493))&lt;O$8,O$5+SQRT(NORMSDIST(O$9*SQRT($C$11)*NORMSINV($B493)+SQRT(1-O$9^2*$C$11)*NORMSINV(N493))*(O$7-O$5)*(O$6-O$5)),O$7-SQRT((1-NORMSDIST(O$9*SQRT($C$11)*NORMSINV($B493)+SQRT(1-O$9^2*$C$11)*NORMSINV(N493)))*(O$7-O$5)*(O$7-O$6))))</f>
        <v>0.152775107498165</v>
      </c>
      <c r="P493" s="2" t="n">
        <v>0.974641455</v>
      </c>
      <c r="Q493" s="2" t="n">
        <f aca="false">IF(Q$7=Q$5,Q$6,IF(NORMSDIST(Q$9*SQRT($C$11)*NORMSINV($B493)+SQRT(1-Q$9^2*$C$11)*NORMSINV(P493))&lt;Q$8,Q$5+SQRT(NORMSDIST(Q$9*SQRT($C$11)*NORMSINV($B493)+SQRT(1-Q$9^2*$C$11)*NORMSINV(P493))*(Q$7-Q$5)*(Q$6-Q$5)),Q$7-SQRT((1-NORMSDIST(Q$9*SQRT($C$11)*NORMSINV($B493)+SQRT(1-Q$9^2*$C$11)*NORMSINV(P493)))*(Q$7-Q$5)*(Q$7-Q$6))))</f>
        <v>0.110991817941449</v>
      </c>
      <c r="R493" s="2" t="n">
        <v>0.390947109</v>
      </c>
      <c r="S493" s="2" t="n">
        <f aca="false">IF(S$7=S$5,S$6,IF(NORMSDIST(S$9*SQRT($C$11)*NORMSINV($B493)+SQRT(1-S$9^2*$C$11)*NORMSINV(R493))&lt;S$8,S$5+SQRT(NORMSDIST(S$9*SQRT($C$11)*NORMSINV($B493)+SQRT(1-S$9^2*$C$11)*NORMSINV(R493))*(S$7-S$5)*(S$6-S$5)),S$7-SQRT((1-NORMSDIST(S$9*SQRT($C$11)*NORMSINV($B493)+SQRT(1-S$9^2*$C$11)*NORMSINV(R493)))*(S$7-S$5)*(S$7-S$6))))</f>
        <v>0.366529954937398</v>
      </c>
      <c r="T493" s="2" t="n">
        <v>0.215620622</v>
      </c>
      <c r="U493" s="2" t="n">
        <f aca="false">IF(U$7=U$5,U$6,IF(NORMSDIST(U$9*SQRT($C$11)*NORMSINV($B493)+SQRT(1-U$9^2*$C$11)*NORMSINV(T493))&lt;U$8,U$5+SQRT(NORMSDIST(U$9*SQRT($C$11)*NORMSINV($B493)+SQRT(1-U$9^2*$C$11)*NORMSINV(T493))*(U$7-U$5)*(U$6-U$5)),U$7-SQRT((1-NORMSDIST(U$9*SQRT($C$11)*NORMSINV($B493)+SQRT(1-U$9^2*$C$11)*NORMSINV(T493)))*(U$7-U$5)*(U$7-U$6))))</f>
        <v>0.279078455084352</v>
      </c>
      <c r="V493" s="2" t="n">
        <v>0.570827869</v>
      </c>
      <c r="W493" s="2" t="n">
        <f aca="false">IF(W$7=W$5,W$6,IF(NORMSDIST(W$9*SQRT($C$11)*NORMSINV($B493)+SQRT(1-W$9^2*$C$11)*NORMSINV(V493))&lt;W$8,W$5+SQRT(NORMSDIST(W$9*SQRT($C$11)*NORMSINV($B493)+SQRT(1-W$9^2*$C$11)*NORMSINV(V493))*(W$7-W$5)*(W$6-W$5)),W$7-SQRT((1-NORMSDIST(W$9*SQRT($C$11)*NORMSINV($B493)+SQRT(1-W$9^2*$C$11)*NORMSINV(V493)))*(W$7-W$5)*(W$7-W$6))))</f>
        <v>9.77956701759943</v>
      </c>
      <c r="X493" s="2" t="n">
        <v>0.769921053</v>
      </c>
      <c r="Y493" s="2" t="n">
        <f aca="false">IF(Y$7=Y$5,Y$6,IF(NORMSDIST(Y$9*SQRT($C$11)*NORMSINV($B493)+SQRT(1-Y$9^2*$C$11)*NORMSINV(X493))&lt;Y$8,Y$5+SQRT(NORMSDIST(Y$9*SQRT($C$11)*NORMSINV($B493)+SQRT(1-Y$9^2*$C$11)*NORMSINV(X493))*(Y$7-Y$5)*(Y$6-Y$5)),Y$7-SQRT((1-NORMSDIST(Y$9*SQRT($C$11)*NORMSINV($B493)+SQRT(1-Y$9^2*$C$11)*NORMSINV(X493)))*(Y$7-Y$5)*(Y$7-Y$6))))</f>
        <v>0.660825305336616</v>
      </c>
      <c r="Z493" s="2" t="n">
        <v>0.982316593</v>
      </c>
      <c r="AA493" s="2" t="n">
        <f aca="false">IF(AA$7=AA$5,AA$6,IF(NORMSDIST(AA$9*SQRT($C$11)*NORMSINV($B493)+SQRT(1-AA$9^2*$C$11)*NORMSINV(Z493))&lt;AA$8,AA$5+SQRT(NORMSDIST(AA$9*SQRT($C$11)*NORMSINV($B493)+SQRT(1-AA$9^2*$C$11)*NORMSINV(Z493))*(AA$7-AA$5)*(AA$6-AA$5)),AA$7-SQRT((1-NORMSDIST(AA$9*SQRT($C$11)*NORMSINV($B493)+SQRT(1-AA$9^2*$C$11)*NORMSINV(Z493)))*(AA$7-AA$5)*(AA$7-AA$6))))</f>
        <v>0.741990193735243</v>
      </c>
      <c r="AB493" s="2" t="n">
        <v>0.22863701</v>
      </c>
      <c r="AC493" s="2" t="n">
        <f aca="false">IF(AC$7=AC$5,AC$6,IF(NORMSDIST(AC$9*SQRT($C$11)*NORMSINV($B493)+SQRT(1-AC$9^2*$C$11)*NORMSINV(AB493))&lt;AC$8,AC$5+SQRT(NORMSDIST(AC$9*SQRT($C$11)*NORMSINV($B493)+SQRT(1-AC$9^2*$C$11)*NORMSINV(AB493))*(AC$7-AC$5)*(AC$6-AC$5)),AC$7-SQRT((1-NORMSDIST(AC$9*SQRT($C$11)*NORMSINV($B493)+SQRT(1-AC$9^2*$C$11)*NORMSINV(AB493)))*(AC$7-AC$5)*(AC$7-AC$6))))</f>
        <v>8.5903817849317</v>
      </c>
      <c r="AD493" s="2" t="n">
        <f aca="false">Entrées!$C$8*(1+E493)</f>
        <v>7440.09474055723</v>
      </c>
      <c r="AE493" s="2" t="n">
        <f aca="false">I493*Hypothèses!$J$24/12/Hypothèses!$J$19</f>
        <v>99.6743300123569</v>
      </c>
      <c r="AF493" s="2" t="n">
        <f aca="false">Entrées!$C$36*S493*1000</f>
        <v>183.264977468699</v>
      </c>
      <c r="AG493" s="2" t="n">
        <f aca="false">-AF493/W493</f>
        <v>-18.7395798953976</v>
      </c>
      <c r="AH493" s="2" t="n">
        <f aca="false">AD493+AE493+AG493</f>
        <v>7521.02949067419</v>
      </c>
      <c r="AI493" s="2" t="n">
        <f aca="false">Entrées!$C$16-M493+Hypothèses!$J$22*1000-AF493+Hypothèses!$J$23</f>
        <v>22888.410590414</v>
      </c>
      <c r="AJ493" s="2" t="n">
        <f aca="false">AI493/AH493</f>
        <v>3.0432549983742</v>
      </c>
      <c r="AK493" s="2" t="n">
        <f aca="false">AI493/(AH493+I493*(12-Hypothèses!$J$24)/12/Hypothèses!$J$19)</f>
        <v>3.01471693237219</v>
      </c>
      <c r="AL493" s="2" t="n">
        <f aca="false">(AD493+AG493+I493/Hypothèses!$J$19)*(1+G493)</f>
        <v>7949.83026398615</v>
      </c>
      <c r="AM493" s="2" t="n">
        <f aca="false">Entrées!$C$54*K493/Hypothèses!$J$19</f>
        <v>19.0999331568212</v>
      </c>
      <c r="AN493" s="2" t="n">
        <f aca="false">Y493*1000/AC493</f>
        <v>76.9261858065217</v>
      </c>
      <c r="AO493" s="2" t="n">
        <f aca="false">(Entrées!$C$36*(1-S493)+MAX(0,Entrées!$C$30-Entrées!$C$35-Entrées!$C$36)*U493)*1000</f>
        <v>707.444859649393</v>
      </c>
      <c r="AP493" s="2" t="n">
        <f aca="false">-AO493/W493</f>
        <v>-72.3390778320008</v>
      </c>
      <c r="AQ493" s="2" t="n">
        <f aca="false">AL493+AM493+AN493+AP493</f>
        <v>7973.51730511749</v>
      </c>
      <c r="AR493" s="2" t="n">
        <f aca="false">O493*AQ493-Hypothèses!$J$25/Hypothèses!$J$19</f>
        <v>1199.01980116618</v>
      </c>
      <c r="AS493" s="2" t="n">
        <f aca="false">Entrées!$C$79*(1+Q493)+Hypothèses!$J$20</f>
        <v>1515.98000791765</v>
      </c>
      <c r="AT493" s="2" t="n">
        <f aca="false">AI493-AR493+AS493+Y493*1000-AO493+Hypothèses!$J$23</f>
        <v>23158.7512428527</v>
      </c>
      <c r="AU493" s="2" t="n">
        <f aca="false">AT493/AQ493</f>
        <v>2.90445864185799</v>
      </c>
      <c r="AV493" s="2" t="n">
        <f aca="false">Hypothèses!$J$26*AQ493-AT493</f>
        <v>761.80067249978</v>
      </c>
      <c r="AW493" s="2" t="n">
        <f aca="false">IF(AC493&gt;Hypothèses!$J$26,MAX(0,AV493)/(1-Hypothèses!$J$26/AC493),0)</f>
        <v>1170.61032189786</v>
      </c>
      <c r="AX493" s="2" t="n">
        <f aca="false">AQ493-Entrées!$C$17*1000</f>
        <v>-26.4826948825121</v>
      </c>
      <c r="AY493" s="2" t="n">
        <f aca="false">AI493+(Entrées!$C$244-Entrées!$C$13)</f>
        <v>28635.410590414</v>
      </c>
      <c r="AZ493" s="2" t="n">
        <f aca="false">AA493*AH493</f>
        <v>5580.53012887382</v>
      </c>
      <c r="BA493" s="2" t="n">
        <f aca="false">AZ493/AY493</f>
        <v>0.194882141160636</v>
      </c>
      <c r="BB493" s="2" t="n">
        <f aca="false">AZ493/(Entrées!$C$151/100)-AY493</f>
        <v>2367.53456999611</v>
      </c>
      <c r="BC493" s="2" t="n">
        <f aca="false">AT493+(Entrées!$C$244-Entrées!$C$13)</f>
        <v>28905.7512428527</v>
      </c>
      <c r="BD493" s="2" t="n">
        <f aca="false">AA493*AQ493</f>
        <v>5916.27164997544</v>
      </c>
      <c r="BE493" s="2" t="n">
        <f aca="false">BD493/BC493</f>
        <v>0.204674550758763</v>
      </c>
      <c r="BF493" s="2" t="n">
        <f aca="false">BD493/(Entrées!$C$151/100)-BC493</f>
        <v>3962.42459034421</v>
      </c>
      <c r="BG493" s="2" t="n">
        <f aca="false">MIN(AV493,BF493)</f>
        <v>761.80067249978</v>
      </c>
      <c r="BH493" s="2" t="n">
        <f aca="false">IF(AC493&gt;Hypothèses!$J$26,MAX(0,BG493)/(1-Hypothèses!$J$26/AC493),0)</f>
        <v>1170.61032189786</v>
      </c>
    </row>
    <row r="494" customFormat="false" ht="15" hidden="false" customHeight="false" outlineLevel="0" collapsed="false">
      <c r="A494" s="2" t="n">
        <v>479</v>
      </c>
      <c r="B494" s="2" t="n">
        <v>0.696330844</v>
      </c>
      <c r="C494" s="2"/>
      <c r="D494" s="2" t="n">
        <v>0.30197278</v>
      </c>
      <c r="E494" s="2" t="n">
        <f aca="false">IF(E$7=E$5,E$6,IF(NORMSDIST(E$9*SQRT($C$11)*NORMSINV($B494)+SQRT(1-E$9^2*$C$11)*NORMSINV(D494))&lt;E$8,E$5+SQRT(NORMSDIST(E$9*SQRT($C$11)*NORMSINV($B494)+SQRT(1-E$9^2*$C$11)*NORMSINV(D494))*(E$7-E$5)*(E$6-E$5)),E$7-SQRT((1-NORMSDIST(E$9*SQRT($C$11)*NORMSINV($B494)+SQRT(1-E$9^2*$C$11)*NORMSINV(D494)))*(E$7-E$5)*(E$7-E$6))))</f>
        <v>0.0548445268391396</v>
      </c>
      <c r="F494" s="2" t="n">
        <v>0.232378528</v>
      </c>
      <c r="G494" s="2" t="n">
        <f aca="false">IF(G$7=G$5,G$6,IF(NORMSDIST(G$9*SQRT($C$11)*NORMSINV($B494)+SQRT(1-G$9^2*$C$11)*NORMSINV(F494))&lt;G$8,G$5+SQRT(NORMSDIST(G$9*SQRT($C$11)*NORMSINV($B494)+SQRT(1-G$9^2*$C$11)*NORMSINV(F494))*(G$7-G$5)*(G$6-G$5)),G$7-SQRT((1-NORMSDIST(G$9*SQRT($C$11)*NORMSINV($B494)+SQRT(1-G$9^2*$C$11)*NORMSINV(F494)))*(G$7-G$5)*(G$7-G$6))))</f>
        <v>0.0534946502813372</v>
      </c>
      <c r="H494" s="2" t="n">
        <v>0.779119936</v>
      </c>
      <c r="I494" s="2" t="n">
        <f aca="false">IF(I$7=I$5,I$6,IF(NORMSDIST(I$9*SQRT($C$11)*NORMSINV($B494)+SQRT(1-I$9^2*$C$11)*NORMSINV(H494))&lt;I$8,I$5+SQRT(NORMSDIST(I$9*SQRT($C$11)*NORMSINV($B494)+SQRT(1-I$9^2*$C$11)*NORMSINV(H494))*(I$7-I$5)*(I$6-I$5)),I$7-SQRT((1-NORMSDIST(I$9*SQRT($C$11)*NORMSINV($B494)+SQRT(1-I$9^2*$C$11)*NORMSINV(H494)))*(I$7-I$5)*(I$7-I$6))))</f>
        <v>208.047886166556</v>
      </c>
      <c r="J494" s="2" t="n">
        <v>0.054979109</v>
      </c>
      <c r="K494" s="2" t="n">
        <f aca="false">IF(K$7=K$5,K$6,IF(NORMSDIST(K$9*SQRT($C$11)*NORMSINV($B494)+SQRT(1-K$9^2*$C$11)*NORMSINV(J494))&lt;K$8,K$5+SQRT(NORMSDIST(K$9*SQRT($C$11)*NORMSINV($B494)+SQRT(1-K$9^2*$C$11)*NORMSINV(J494))*(K$7-K$5)*(K$6-K$5)),K$7-SQRT((1-NORMSDIST(K$9*SQRT($C$11)*NORMSINV($B494)+SQRT(1-K$9^2*$C$11)*NORMSINV(J494)))*(K$7-K$5)*(K$7-K$6))))</f>
        <v>0.150248083156272</v>
      </c>
      <c r="L494" s="2" t="n">
        <v>0.387379059</v>
      </c>
      <c r="M494" s="2" t="n">
        <f aca="false">IF(M$7=M$5,M$6,IF(NORMSDIST(M$9*SQRT($C$11)*NORMSINV($B494)+SQRT(1-M$9^2*$C$11)*NORMSINV(L494))&lt;M$8,M$5+SQRT(NORMSDIST(M$9*SQRT($C$11)*NORMSINV($B494)+SQRT(1-M$9^2*$C$11)*NORMSINV(L494))*(M$7-M$5)*(M$6-M$5)),M$7-SQRT((1-NORMSDIST(M$9*SQRT($C$11)*NORMSINV($B494)+SQRT(1-M$9^2*$C$11)*NORMSINV(L494)))*(M$7-M$5)*(M$7-M$6))))</f>
        <v>1596.73385630526</v>
      </c>
      <c r="N494" s="2" t="n">
        <v>0.776670141</v>
      </c>
      <c r="O494" s="2" t="n">
        <f aca="false">IF(O$7=O$5,O$6,IF(NORMSDIST(O$9*SQRT($C$11)*NORMSINV($B494)+SQRT(1-O$9^2*$C$11)*NORMSINV(N494))&lt;O$8,O$5+SQRT(NORMSDIST(O$9*SQRT($C$11)*NORMSINV($B494)+SQRT(1-O$9^2*$C$11)*NORMSINV(N494))*(O$7-O$5)*(O$6-O$5)),O$7-SQRT((1-NORMSDIST(O$9*SQRT($C$11)*NORMSINV($B494)+SQRT(1-O$9^2*$C$11)*NORMSINV(N494)))*(O$7-O$5)*(O$7-O$6))))</f>
        <v>0.176144193635219</v>
      </c>
      <c r="P494" s="2" t="n">
        <v>0.585690871</v>
      </c>
      <c r="Q494" s="2" t="n">
        <f aca="false">IF(Q$7=Q$5,Q$6,IF(NORMSDIST(Q$9*SQRT($C$11)*NORMSINV($B494)+SQRT(1-Q$9^2*$C$11)*NORMSINV(P494))&lt;Q$8,Q$5+SQRT(NORMSDIST(Q$9*SQRT($C$11)*NORMSINV($B494)+SQRT(1-Q$9^2*$C$11)*NORMSINV(P494))*(Q$7-Q$5)*(Q$6-Q$5)),Q$7-SQRT((1-NORMSDIST(Q$9*SQRT($C$11)*NORMSINV($B494)+SQRT(1-Q$9^2*$C$11)*NORMSINV(P494)))*(Q$7-Q$5)*(Q$7-Q$6))))</f>
        <v>0.083588611495852</v>
      </c>
      <c r="R494" s="2" t="n">
        <v>0.491147141</v>
      </c>
      <c r="S494" s="2" t="n">
        <f aca="false">IF(S$7=S$5,S$6,IF(NORMSDIST(S$9*SQRT($C$11)*NORMSINV($B494)+SQRT(1-S$9^2*$C$11)*NORMSINV(R494))&lt;S$8,S$5+SQRT(NORMSDIST(S$9*SQRT($C$11)*NORMSINV($B494)+SQRT(1-S$9^2*$C$11)*NORMSINV(R494))*(S$7-S$5)*(S$6-S$5)),S$7-SQRT((1-NORMSDIST(S$9*SQRT($C$11)*NORMSINV($B494)+SQRT(1-S$9^2*$C$11)*NORMSINV(R494)))*(S$7-S$5)*(S$7-S$6))))</f>
        <v>0.564619680501853</v>
      </c>
      <c r="T494" s="2" t="n">
        <v>0.289703625</v>
      </c>
      <c r="U494" s="2" t="n">
        <f aca="false">IF(U$7=U$5,U$6,IF(NORMSDIST(U$9*SQRT($C$11)*NORMSINV($B494)+SQRT(1-U$9^2*$C$11)*NORMSINV(T494))&lt;U$8,U$5+SQRT(NORMSDIST(U$9*SQRT($C$11)*NORMSINV($B494)+SQRT(1-U$9^2*$C$11)*NORMSINV(T494))*(U$7-U$5)*(U$6-U$5)),U$7-SQRT((1-NORMSDIST(U$9*SQRT($C$11)*NORMSINV($B494)+SQRT(1-U$9^2*$C$11)*NORMSINV(T494)))*(U$7-U$5)*(U$7-U$6))))</f>
        <v>0.478779177846318</v>
      </c>
      <c r="V494" s="2" t="n">
        <v>0.806599526</v>
      </c>
      <c r="W494" s="2" t="n">
        <f aca="false">IF(W$7=W$5,W$6,IF(NORMSDIST(W$9*SQRT($C$11)*NORMSINV($B494)+SQRT(1-W$9^2*$C$11)*NORMSINV(V494))&lt;W$8,W$5+SQRT(NORMSDIST(W$9*SQRT($C$11)*NORMSINV($B494)+SQRT(1-W$9^2*$C$11)*NORMSINV(V494))*(W$7-W$5)*(W$6-W$5)),W$7-SQRT((1-NORMSDIST(W$9*SQRT($C$11)*NORMSINV($B494)+SQRT(1-W$9^2*$C$11)*NORMSINV(V494)))*(W$7-W$5)*(W$7-W$6))))</f>
        <v>10.8694101756375</v>
      </c>
      <c r="X494" s="2" t="n">
        <v>0.942883347</v>
      </c>
      <c r="Y494" s="2" t="n">
        <f aca="false">IF(Y$7=Y$5,Y$6,IF(NORMSDIST(Y$9*SQRT($C$11)*NORMSINV($B494)+SQRT(1-Y$9^2*$C$11)*NORMSINV(X494))&lt;Y$8,Y$5+SQRT(NORMSDIST(Y$9*SQRT($C$11)*NORMSINV($B494)+SQRT(1-Y$9^2*$C$11)*NORMSINV(X494))*(Y$7-Y$5)*(Y$6-Y$5)),Y$7-SQRT((1-NORMSDIST(Y$9*SQRT($C$11)*NORMSINV($B494)+SQRT(1-Y$9^2*$C$11)*NORMSINV(X494)))*(Y$7-Y$5)*(Y$7-Y$6))))</f>
        <v>0.831007909948424</v>
      </c>
      <c r="Z494" s="2" t="n">
        <v>0.703321916</v>
      </c>
      <c r="AA494" s="2" t="n">
        <f aca="false">IF(AA$7=AA$5,AA$6,IF(NORMSDIST(AA$9*SQRT($C$11)*NORMSINV($B494)+SQRT(1-AA$9^2*$C$11)*NORMSINV(Z494))&lt;AA$8,AA$5+SQRT(NORMSDIST(AA$9*SQRT($C$11)*NORMSINV($B494)+SQRT(1-AA$9^2*$C$11)*NORMSINV(Z494))*(AA$7-AA$5)*(AA$6-AA$5)),AA$7-SQRT((1-NORMSDIST(AA$9*SQRT($C$11)*NORMSINV($B494)+SQRT(1-AA$9^2*$C$11)*NORMSINV(Z494)))*(AA$7-AA$5)*(AA$7-AA$6))))</f>
        <v>0.73667368506195</v>
      </c>
      <c r="AB494" s="2" t="n">
        <v>0.476189975</v>
      </c>
      <c r="AC494" s="2" t="n">
        <f aca="false">IF(AC$7=AC$5,AC$6,IF(NORMSDIST(AC$9*SQRT($C$11)*NORMSINV($B494)+SQRT(1-AC$9^2*$C$11)*NORMSINV(AB494))&lt;AC$8,AC$5+SQRT(NORMSDIST(AC$9*SQRT($C$11)*NORMSINV($B494)+SQRT(1-AC$9^2*$C$11)*NORMSINV(AB494))*(AC$7-AC$5)*(AC$6-AC$5)),AC$7-SQRT((1-NORMSDIST(AC$9*SQRT($C$11)*NORMSINV($B494)+SQRT(1-AC$9^2*$C$11)*NORMSINV(AB494)))*(AC$7-AC$5)*(AC$7-AC$6))))</f>
        <v>9.69532168328727</v>
      </c>
      <c r="AD494" s="2" t="n">
        <f aca="false">Entrées!$C$8*(1+E494)</f>
        <v>7436.65391421593</v>
      </c>
      <c r="AE494" s="2" t="n">
        <f aca="false">I494*Hypothèses!$J$24/12/Hypothèses!$J$19</f>
        <v>103.211890444064</v>
      </c>
      <c r="AF494" s="2" t="n">
        <f aca="false">Entrées!$C$36*S494*1000</f>
        <v>282.309840250926</v>
      </c>
      <c r="AG494" s="2" t="n">
        <f aca="false">-AF494/W494</f>
        <v>-25.9728757760648</v>
      </c>
      <c r="AH494" s="2" t="n">
        <f aca="false">AD494+AE494+AG494</f>
        <v>7513.89292888393</v>
      </c>
      <c r="AI494" s="2" t="n">
        <f aca="false">Entrées!$C$16-M494+Hypothèses!$J$22*1000-AF494+Hypothèses!$J$23</f>
        <v>22668.9563034438</v>
      </c>
      <c r="AJ494" s="2" t="n">
        <f aca="false">AI494/AH494</f>
        <v>3.01693895800707</v>
      </c>
      <c r="AK494" s="2" t="n">
        <f aca="false">AI494/(AH494+I494*(12-Hypothèses!$J$24)/12/Hypothèses!$J$19)</f>
        <v>2.98762578081311</v>
      </c>
      <c r="AL494" s="2" t="n">
        <f aca="false">(AD494+AG494+I494/Hypothèses!$J$19)*(1+G494)</f>
        <v>7993.51255652902</v>
      </c>
      <c r="AM494" s="2" t="n">
        <f aca="false">Entrées!$C$54*K494/Hypothèses!$J$19</f>
        <v>15.3334477370322</v>
      </c>
      <c r="AN494" s="2" t="n">
        <f aca="false">Y494*1000/AC494</f>
        <v>85.7122576325559</v>
      </c>
      <c r="AO494" s="2" t="n">
        <f aca="false">(Entrées!$C$36*(1-S494)+MAX(0,Entrées!$C$30-Entrées!$C$35-Entrées!$C$36)*U494)*1000</f>
        <v>887.981008733919</v>
      </c>
      <c r="AP494" s="2" t="n">
        <f aca="false">-AO494/W494</f>
        <v>-81.6954180940035</v>
      </c>
      <c r="AQ494" s="2" t="n">
        <f aca="false">AL494+AM494+AN494+AP494</f>
        <v>8012.86284380461</v>
      </c>
      <c r="AR494" s="2" t="n">
        <f aca="false">O494*AQ494-Hypothèses!$J$25/Hypothèses!$J$19</f>
        <v>1392.28410206994</v>
      </c>
      <c r="AS494" s="2" t="n">
        <f aca="false">Entrées!$C$79*(1+Q494)+Hypothèses!$J$20</f>
        <v>1485.86388403394</v>
      </c>
      <c r="AT494" s="2" t="n">
        <f aca="false">AI494-AR494+AS494+Y494*1000-AO494+Hypothèses!$J$23</f>
        <v>22705.5629866223</v>
      </c>
      <c r="AU494" s="2" t="n">
        <f aca="false">AT494/AQ494</f>
        <v>2.83363929087814</v>
      </c>
      <c r="AV494" s="2" t="n">
        <f aca="false">Hypothèses!$J$26*AQ494-AT494</f>
        <v>1333.02554479152</v>
      </c>
      <c r="AW494" s="2" t="n">
        <f aca="false">IF(AC494&gt;Hypothèses!$J$26,MAX(0,AV494)/(1-Hypothèses!$J$26/AC494),0)</f>
        <v>1930.31971877526</v>
      </c>
      <c r="AX494" s="2" t="n">
        <f aca="false">AQ494-Entrées!$C$17*1000</f>
        <v>12.862843804608</v>
      </c>
      <c r="AY494" s="2" t="n">
        <f aca="false">AI494+(Entrées!$C$244-Entrées!$C$13)</f>
        <v>28415.9563034438</v>
      </c>
      <c r="AZ494" s="2" t="n">
        <f aca="false">AA494*AH494</f>
        <v>5535.28719308186</v>
      </c>
      <c r="BA494" s="2" t="n">
        <f aca="false">AZ494/AY494</f>
        <v>0.194795034661952</v>
      </c>
      <c r="BB494" s="2" t="n">
        <f aca="false">AZ494/(Entrées!$C$151/100)-AY494</f>
        <v>2335.63921367761</v>
      </c>
      <c r="BC494" s="2" t="n">
        <f aca="false">AT494+(Entrées!$C$244-Entrées!$C$13)</f>
        <v>28452.5629866223</v>
      </c>
      <c r="BD494" s="2" t="n">
        <f aca="false">AA494*AQ494</f>
        <v>5902.86519904152</v>
      </c>
      <c r="BE494" s="2" t="n">
        <f aca="false">BD494/BC494</f>
        <v>0.207463390971734</v>
      </c>
      <c r="BF494" s="2" t="n">
        <f aca="false">BD494/(Entrées!$C$151/100)-BC494</f>
        <v>4341.13256360834</v>
      </c>
      <c r="BG494" s="2" t="n">
        <f aca="false">MIN(AV494,BF494)</f>
        <v>1333.02554479152</v>
      </c>
      <c r="BH494" s="2" t="n">
        <f aca="false">IF(AC494&gt;Hypothèses!$J$26,MAX(0,BG494)/(1-Hypothèses!$J$26/AC494),0)</f>
        <v>1930.31971877526</v>
      </c>
    </row>
    <row r="495" customFormat="false" ht="15" hidden="false" customHeight="false" outlineLevel="0" collapsed="false">
      <c r="A495" s="2" t="n">
        <v>480</v>
      </c>
      <c r="B495" s="2" t="n">
        <v>0.970213954</v>
      </c>
      <c r="C495" s="2"/>
      <c r="D495" s="2" t="n">
        <v>0.432232791</v>
      </c>
      <c r="E495" s="2" t="n">
        <f aca="false">IF(E$7=E$5,E$6,IF(NORMSDIST(E$9*SQRT($C$11)*NORMSINV($B495)+SQRT(1-E$9^2*$C$11)*NORMSINV(D495))&lt;E$8,E$5+SQRT(NORMSDIST(E$9*SQRT($C$11)*NORMSINV($B495)+SQRT(1-E$9^2*$C$11)*NORMSINV(D495))*(E$7-E$5)*(E$6-E$5)),E$7-SQRT((1-NORMSDIST(E$9*SQRT($C$11)*NORMSINV($B495)+SQRT(1-E$9^2*$C$11)*NORMSINV(D495)))*(E$7-E$5)*(E$7-E$6))))</f>
        <v>0.0573099005930993</v>
      </c>
      <c r="F495" s="2" t="n">
        <v>0.071640114</v>
      </c>
      <c r="G495" s="2" t="n">
        <f aca="false">IF(G$7=G$5,G$6,IF(NORMSDIST(G$9*SQRT($C$11)*NORMSINV($B495)+SQRT(1-G$9^2*$C$11)*NORMSINV(F495))&lt;G$8,G$5+SQRT(NORMSDIST(G$9*SQRT($C$11)*NORMSINV($B495)+SQRT(1-G$9^2*$C$11)*NORMSINV(F495))*(G$7-G$5)*(G$6-G$5)),G$7-SQRT((1-NORMSDIST(G$9*SQRT($C$11)*NORMSINV($B495)+SQRT(1-G$9^2*$C$11)*NORMSINV(F495)))*(G$7-G$5)*(G$7-G$6))))</f>
        <v>0.0553494501304909</v>
      </c>
      <c r="H495" s="2" t="n">
        <v>0.429981566</v>
      </c>
      <c r="I495" s="2" t="n">
        <f aca="false">IF(I$7=I$5,I$6,IF(NORMSDIST(I$9*SQRT($C$11)*NORMSINV($B495)+SQRT(1-I$9^2*$C$11)*NORMSINV(H495))&lt;I$8,I$5+SQRT(NORMSDIST(I$9*SQRT($C$11)*NORMSINV($B495)+SQRT(1-I$9^2*$C$11)*NORMSINV(H495))*(I$7-I$5)*(I$6-I$5)),I$7-SQRT((1-NORMSDIST(I$9*SQRT($C$11)*NORMSINV($B495)+SQRT(1-I$9^2*$C$11)*NORMSINV(H495)))*(I$7-I$5)*(I$7-I$6))))</f>
        <v>209.202030094015</v>
      </c>
      <c r="J495" s="2" t="n">
        <v>0.62238862</v>
      </c>
      <c r="K495" s="2" t="n">
        <f aca="false">IF(K$7=K$5,K$6,IF(NORMSDIST(K$9*SQRT($C$11)*NORMSINV($B495)+SQRT(1-K$9^2*$C$11)*NORMSINV(J495))&lt;K$8,K$5+SQRT(NORMSDIST(K$9*SQRT($C$11)*NORMSINV($B495)+SQRT(1-K$9^2*$C$11)*NORMSINV(J495))*(K$7-K$5)*(K$6-K$5)),K$7-SQRT((1-NORMSDIST(K$9*SQRT($C$11)*NORMSINV($B495)+SQRT(1-K$9^2*$C$11)*NORMSINV(J495)))*(K$7-K$5)*(K$7-K$6))))</f>
        <v>0.402577773251197</v>
      </c>
      <c r="L495" s="2" t="n">
        <v>0.059582936</v>
      </c>
      <c r="M495" s="2" t="n">
        <f aca="false">IF(M$7=M$5,M$6,IF(NORMSDIST(M$9*SQRT($C$11)*NORMSINV($B495)+SQRT(1-M$9^2*$C$11)*NORMSINV(L495))&lt;M$8,M$5+SQRT(NORMSDIST(M$9*SQRT($C$11)*NORMSINV($B495)+SQRT(1-M$9^2*$C$11)*NORMSINV(L495))*(M$7-M$5)*(M$6-M$5)),M$7-SQRT((1-NORMSDIST(M$9*SQRT($C$11)*NORMSINV($B495)+SQRT(1-M$9^2*$C$11)*NORMSINV(L495)))*(M$7-M$5)*(M$7-M$6))))</f>
        <v>1583.59773852966</v>
      </c>
      <c r="N495" s="2" t="n">
        <v>0.153712986</v>
      </c>
      <c r="O495" s="2" t="n">
        <f aca="false">IF(O$7=O$5,O$6,IF(NORMSDIST(O$9*SQRT($C$11)*NORMSINV($B495)+SQRT(1-O$9^2*$C$11)*NORMSINV(N495))&lt;O$8,O$5+SQRT(NORMSDIST(O$9*SQRT($C$11)*NORMSINV($B495)+SQRT(1-O$9^2*$C$11)*NORMSINV(N495))*(O$7-O$5)*(O$6-O$5)),O$7-SQRT((1-NORMSDIST(O$9*SQRT($C$11)*NORMSINV($B495)+SQRT(1-O$9^2*$C$11)*NORMSINV(N495)))*(O$7-O$5)*(O$7-O$6))))</f>
        <v>0.170851274769875</v>
      </c>
      <c r="P495" s="2" t="n">
        <v>0.075895891</v>
      </c>
      <c r="Q495" s="2" t="n">
        <f aca="false">IF(Q$7=Q$5,Q$6,IF(NORMSDIST(Q$9*SQRT($C$11)*NORMSINV($B495)+SQRT(1-Q$9^2*$C$11)*NORMSINV(P495))&lt;Q$8,Q$5+SQRT(NORMSDIST(Q$9*SQRT($C$11)*NORMSINV($B495)+SQRT(1-Q$9^2*$C$11)*NORMSINV(P495))*(Q$7-Q$5)*(Q$6-Q$5)),Q$7-SQRT((1-NORMSDIST(Q$9*SQRT($C$11)*NORMSINV($B495)+SQRT(1-Q$9^2*$C$11)*NORMSINV(P495)))*(Q$7-Q$5)*(Q$7-Q$6))))</f>
        <v>0.0555841859331824</v>
      </c>
      <c r="R495" s="2" t="n">
        <v>0.246039161</v>
      </c>
      <c r="S495" s="2" t="n">
        <f aca="false">IF(S$7=S$5,S$6,IF(NORMSDIST(S$9*SQRT($C$11)*NORMSINV($B495)+SQRT(1-S$9^2*$C$11)*NORMSINV(R495))&lt;S$8,S$5+SQRT(NORMSDIST(S$9*SQRT($C$11)*NORMSINV($B495)+SQRT(1-S$9^2*$C$11)*NORMSINV(R495))*(S$7-S$5)*(S$6-S$5)),S$7-SQRT((1-NORMSDIST(S$9*SQRT($C$11)*NORMSINV($B495)+SQRT(1-S$9^2*$C$11)*NORMSINV(R495)))*(S$7-S$5)*(S$7-S$6))))</f>
        <v>0.643045918605092</v>
      </c>
      <c r="T495" s="2" t="n">
        <v>0.160188085</v>
      </c>
      <c r="U495" s="2" t="n">
        <f aca="false">IF(U$7=U$5,U$6,IF(NORMSDIST(U$9*SQRT($C$11)*NORMSINV($B495)+SQRT(1-U$9^2*$C$11)*NORMSINV(T495))&lt;U$8,U$5+SQRT(NORMSDIST(U$9*SQRT($C$11)*NORMSINV($B495)+SQRT(1-U$9^2*$C$11)*NORMSINV(T495))*(U$7-U$5)*(U$6-U$5)),U$7-SQRT((1-NORMSDIST(U$9*SQRT($C$11)*NORMSINV($B495)+SQRT(1-U$9^2*$C$11)*NORMSINV(T495)))*(U$7-U$5)*(U$7-U$6))))</f>
        <v>0.5897667250004</v>
      </c>
      <c r="V495" s="2" t="n">
        <v>0.399255029</v>
      </c>
      <c r="W495" s="2" t="n">
        <f aca="false">IF(W$7=W$5,W$6,IF(NORMSDIST(W$9*SQRT($C$11)*NORMSINV($B495)+SQRT(1-W$9^2*$C$11)*NORMSINV(V495))&lt;W$8,W$5+SQRT(NORMSDIST(W$9*SQRT($C$11)*NORMSINV($B495)+SQRT(1-W$9^2*$C$11)*NORMSINV(V495))*(W$7-W$5)*(W$6-W$5)),W$7-SQRT((1-NORMSDIST(W$9*SQRT($C$11)*NORMSINV($B495)+SQRT(1-W$9^2*$C$11)*NORMSINV(V495)))*(W$7-W$5)*(W$7-W$6))))</f>
        <v>10.8680434971722</v>
      </c>
      <c r="X495" s="2" t="n">
        <v>0.00399687</v>
      </c>
      <c r="Y495" s="2" t="n">
        <f aca="false">IF(Y$7=Y$5,Y$6,IF(NORMSDIST(Y$9*SQRT($C$11)*NORMSINV($B495)+SQRT(1-Y$9^2*$C$11)*NORMSINV(X495))&lt;Y$8,Y$5+SQRT(NORMSDIST(Y$9*SQRT($C$11)*NORMSINV($B495)+SQRT(1-Y$9^2*$C$11)*NORMSINV(X495))*(Y$7-Y$5)*(Y$6-Y$5)),Y$7-SQRT((1-NORMSDIST(Y$9*SQRT($C$11)*NORMSINV($B495)+SQRT(1-Y$9^2*$C$11)*NORMSINV(X495)))*(Y$7-Y$5)*(Y$7-Y$6))))</f>
        <v>0.044703858893836</v>
      </c>
      <c r="Z495" s="2" t="n">
        <v>0.714705509</v>
      </c>
      <c r="AA495" s="2" t="n">
        <f aca="false">IF(AA$7=AA$5,AA$6,IF(NORMSDIST(AA$9*SQRT($C$11)*NORMSINV($B495)+SQRT(1-AA$9^2*$C$11)*NORMSINV(Z495))&lt;AA$8,AA$5+SQRT(NORMSDIST(AA$9*SQRT($C$11)*NORMSINV($B495)+SQRT(1-AA$9^2*$C$11)*NORMSINV(Z495))*(AA$7-AA$5)*(AA$6-AA$5)),AA$7-SQRT((1-NORMSDIST(AA$9*SQRT($C$11)*NORMSINV($B495)+SQRT(1-AA$9^2*$C$11)*NORMSINV(Z495)))*(AA$7-AA$5)*(AA$7-AA$6))))</f>
        <v>0.745738336702132</v>
      </c>
      <c r="AB495" s="2" t="n">
        <v>0.210582762</v>
      </c>
      <c r="AC495" s="2" t="n">
        <f aca="false">IF(AC$7=AC$5,AC$6,IF(NORMSDIST(AC$9*SQRT($C$11)*NORMSINV($B495)+SQRT(1-AC$9^2*$C$11)*NORMSINV(AB495))&lt;AC$8,AC$5+SQRT(NORMSDIST(AC$9*SQRT($C$11)*NORMSINV($B495)+SQRT(1-AC$9^2*$C$11)*NORMSINV(AB495))*(AC$7-AC$5)*(AC$6-AC$5)),AC$7-SQRT((1-NORMSDIST(AC$9*SQRT($C$11)*NORMSINV($B495)+SQRT(1-AC$9^2*$C$11)*NORMSINV(AB495)))*(AC$7-AC$5)*(AC$7-AC$6))))</f>
        <v>9.89065348019069</v>
      </c>
      <c r="AD495" s="2" t="n">
        <f aca="false">Entrées!$C$8*(1+E495)</f>
        <v>7454.03479918135</v>
      </c>
      <c r="AE495" s="2" t="n">
        <f aca="false">I495*Hypothèses!$J$24/12/Hypothèses!$J$19</f>
        <v>103.784457552495</v>
      </c>
      <c r="AF495" s="2" t="n">
        <f aca="false">Entrées!$C$36*S495*1000</f>
        <v>321.522959302546</v>
      </c>
      <c r="AG495" s="2" t="n">
        <f aca="false">-AF495/W495</f>
        <v>-29.5842539999223</v>
      </c>
      <c r="AH495" s="2" t="n">
        <f aca="false">AD495+AE495+AG495</f>
        <v>7528.23500273392</v>
      </c>
      <c r="AI495" s="2" t="n">
        <f aca="false">Entrées!$C$16-M495+Hypothèses!$J$22*1000-AF495+Hypothèses!$J$23</f>
        <v>22642.8793021678</v>
      </c>
      <c r="AJ495" s="2" t="n">
        <f aca="false">AI495/AH495</f>
        <v>3.00772748113534</v>
      </c>
      <c r="AK495" s="2" t="n">
        <f aca="false">AI495/(AH495+I495*(12-Hypothèses!$J$24)/12/Hypothèses!$J$19)</f>
        <v>2.97839870431898</v>
      </c>
      <c r="AL495" s="2" t="n">
        <f aca="false">(AD495+AG495+I495/Hypothèses!$J$19)*(1+G495)</f>
        <v>8023.1535778813</v>
      </c>
      <c r="AM495" s="2" t="n">
        <f aca="false">Entrées!$C$54*K495/Hypothèses!$J$19</f>
        <v>41.0847520751238</v>
      </c>
      <c r="AN495" s="2" t="n">
        <f aca="false">Y495*1000/AC495</f>
        <v>4.51980842149311</v>
      </c>
      <c r="AO495" s="2" t="n">
        <f aca="false">(Entrées!$C$36*(1-S495)+MAX(0,Entrées!$C$30-Entrées!$C$35-Entrées!$C$36)*U495)*1000</f>
        <v>1004.15045569801</v>
      </c>
      <c r="AP495" s="2" t="n">
        <f aca="false">-AO495/W495</f>
        <v>-92.3947770322495</v>
      </c>
      <c r="AQ495" s="2" t="n">
        <f aca="false">AL495+AM495+AN495+AP495</f>
        <v>7976.36336134567</v>
      </c>
      <c r="AR495" s="2" t="n">
        <f aca="false">O495*AQ495-Hypothèses!$J$25/Hypothèses!$J$19</f>
        <v>1343.63668605201</v>
      </c>
      <c r="AS495" s="2" t="n">
        <f aca="false">Entrées!$C$79*(1+Q495)+Hypothèses!$J$20</f>
        <v>1455.08702034057</v>
      </c>
      <c r="AT495" s="2" t="n">
        <f aca="false">AI495-AR495+AS495+Y495*1000-AO495+Hypothèses!$J$23</f>
        <v>21794.8830396522</v>
      </c>
      <c r="AU495" s="2" t="n">
        <f aca="false">AT495/AQ495</f>
        <v>2.73243357308326</v>
      </c>
      <c r="AV495" s="2" t="n">
        <f aca="false">Hypothèses!$J$26*AQ495-AT495</f>
        <v>2134.20704438483</v>
      </c>
      <c r="AW495" s="2" t="n">
        <f aca="false">IF(AC495&gt;Hypothèses!$J$26,MAX(0,AV495)/(1-Hypothèses!$J$26/AC495),0)</f>
        <v>3063.3817810859</v>
      </c>
      <c r="AX495" s="2" t="n">
        <f aca="false">AQ495-Entrées!$C$17*1000</f>
        <v>-23.6366386543314</v>
      </c>
      <c r="AY495" s="2" t="n">
        <f aca="false">AI495+(Entrées!$C$244-Entrées!$C$13)</f>
        <v>28389.8793021678</v>
      </c>
      <c r="AZ495" s="2" t="n">
        <f aca="false">AA495*AH495</f>
        <v>5614.09344924157</v>
      </c>
      <c r="BA495" s="2" t="n">
        <f aca="false">AZ495/AY495</f>
        <v>0.19774981744332</v>
      </c>
      <c r="BB495" s="2" t="n">
        <f aca="false">AZ495/(Entrées!$C$151/100)-AY495</f>
        <v>2799.52874917425</v>
      </c>
      <c r="BC495" s="2" t="n">
        <f aca="false">AT495+(Entrées!$C$244-Entrées!$C$13)</f>
        <v>27541.8830396522</v>
      </c>
      <c r="BD495" s="2" t="n">
        <f aca="false">AA495*AQ495</f>
        <v>5948.27994602175</v>
      </c>
      <c r="BE495" s="2" t="n">
        <f aca="false">BD495/BC495</f>
        <v>0.215972159109745</v>
      </c>
      <c r="BF495" s="2" t="n">
        <f aca="false">BD495/(Entrées!$C$151/100)-BC495</f>
        <v>5504.11666046864</v>
      </c>
      <c r="BG495" s="2" t="n">
        <f aca="false">MIN(AV495,BF495)</f>
        <v>2134.20704438483</v>
      </c>
      <c r="BH495" s="2" t="n">
        <f aca="false">IF(AC495&gt;Hypothèses!$J$26,MAX(0,BG495)/(1-Hypothèses!$J$26/AC495),0)</f>
        <v>3063.3817810859</v>
      </c>
    </row>
    <row r="496" customFormat="false" ht="15" hidden="false" customHeight="false" outlineLevel="0" collapsed="false">
      <c r="A496" s="2" t="n">
        <v>481</v>
      </c>
      <c r="B496" s="2" t="n">
        <v>0.759786396</v>
      </c>
      <c r="C496" s="2"/>
      <c r="D496" s="2" t="n">
        <v>0.247778153</v>
      </c>
      <c r="E496" s="2" t="n">
        <f aca="false">IF(E$7=E$5,E$6,IF(NORMSDIST(E$9*SQRT($C$11)*NORMSINV($B496)+SQRT(1-E$9^2*$C$11)*NORMSINV(D496))&lt;E$8,E$5+SQRT(NORMSDIST(E$9*SQRT($C$11)*NORMSINV($B496)+SQRT(1-E$9^2*$C$11)*NORMSINV(D496))*(E$7-E$5)*(E$6-E$5)),E$7-SQRT((1-NORMSDIST(E$9*SQRT($C$11)*NORMSINV($B496)+SQRT(1-E$9^2*$C$11)*NORMSINV(D496)))*(E$7-E$5)*(E$7-E$6))))</f>
        <v>0.0548346465487515</v>
      </c>
      <c r="F496" s="2" t="n">
        <v>0.25285643</v>
      </c>
      <c r="G496" s="2" t="n">
        <f aca="false">IF(G$7=G$5,G$6,IF(NORMSDIST(G$9*SQRT($C$11)*NORMSINV($B496)+SQRT(1-G$9^2*$C$11)*NORMSINV(F496))&lt;G$8,G$5+SQRT(NORMSDIST(G$9*SQRT($C$11)*NORMSINV($B496)+SQRT(1-G$9^2*$C$11)*NORMSINV(F496))*(G$7-G$5)*(G$6-G$5)),G$7-SQRT((1-NORMSDIST(G$9*SQRT($C$11)*NORMSINV($B496)+SQRT(1-G$9^2*$C$11)*NORMSINV(F496)))*(G$7-G$5)*(G$7-G$6))))</f>
        <v>0.0545800803082479</v>
      </c>
      <c r="H496" s="2" t="n">
        <v>0.830765702</v>
      </c>
      <c r="I496" s="2" t="n">
        <f aca="false">IF(I$7=I$5,I$6,IF(NORMSDIST(I$9*SQRT($C$11)*NORMSINV($B496)+SQRT(1-I$9^2*$C$11)*NORMSINV(H496))&lt;I$8,I$5+SQRT(NORMSDIST(I$9*SQRT($C$11)*NORMSINV($B496)+SQRT(1-I$9^2*$C$11)*NORMSINV(H496))*(I$7-I$5)*(I$6-I$5)),I$7-SQRT((1-NORMSDIST(I$9*SQRT($C$11)*NORMSINV($B496)+SQRT(1-I$9^2*$C$11)*NORMSINV(H496)))*(I$7-I$5)*(I$7-I$6))))</f>
        <v>210.305727180097</v>
      </c>
      <c r="J496" s="2" t="n">
        <v>0.781809972</v>
      </c>
      <c r="K496" s="2" t="n">
        <f aca="false">IF(K$7=K$5,K$6,IF(NORMSDIST(K$9*SQRT($C$11)*NORMSINV($B496)+SQRT(1-K$9^2*$C$11)*NORMSINV(J496))&lt;K$8,K$5+SQRT(NORMSDIST(K$9*SQRT($C$11)*NORMSINV($B496)+SQRT(1-K$9^2*$C$11)*NORMSINV(J496))*(K$7-K$5)*(K$6-K$5)),K$7-SQRT((1-NORMSDIST(K$9*SQRT($C$11)*NORMSINV($B496)+SQRT(1-K$9^2*$C$11)*NORMSINV(J496)))*(K$7-K$5)*(K$7-K$6))))</f>
        <v>0.36442096914739</v>
      </c>
      <c r="L496" s="2" t="n">
        <v>0.703009767</v>
      </c>
      <c r="M496" s="2" t="n">
        <f aca="false">IF(M$7=M$5,M$6,IF(NORMSDIST(M$9*SQRT($C$11)*NORMSINV($B496)+SQRT(1-M$9^2*$C$11)*NORMSINV(L496))&lt;M$8,M$5+SQRT(NORMSDIST(M$9*SQRT($C$11)*NORMSINV($B496)+SQRT(1-M$9^2*$C$11)*NORMSINV(L496))*(M$7-M$5)*(M$6-M$5)),M$7-SQRT((1-NORMSDIST(M$9*SQRT($C$11)*NORMSINV($B496)+SQRT(1-M$9^2*$C$11)*NORMSINV(L496)))*(M$7-M$5)*(M$7-M$6))))</f>
        <v>1667.26781070333</v>
      </c>
      <c r="N496" s="2" t="n">
        <v>0.641871354</v>
      </c>
      <c r="O496" s="2" t="n">
        <f aca="false">IF(O$7=O$5,O$6,IF(NORMSDIST(O$9*SQRT($C$11)*NORMSINV($B496)+SQRT(1-O$9^2*$C$11)*NORMSINV(N496))&lt;O$8,O$5+SQRT(NORMSDIST(O$9*SQRT($C$11)*NORMSINV($B496)+SQRT(1-O$9^2*$C$11)*NORMSINV(N496))*(O$7-O$5)*(O$6-O$5)),O$7-SQRT((1-NORMSDIST(O$9*SQRT($C$11)*NORMSINV($B496)+SQRT(1-O$9^2*$C$11)*NORMSINV(N496)))*(O$7-O$5)*(O$7-O$6))))</f>
        <v>0.174233699250154</v>
      </c>
      <c r="P496" s="2" t="n">
        <v>0.55768188</v>
      </c>
      <c r="Q496" s="2" t="n">
        <f aca="false">IF(Q$7=Q$5,Q$6,IF(NORMSDIST(Q$9*SQRT($C$11)*NORMSINV($B496)+SQRT(1-Q$9^2*$C$11)*NORMSINV(P496))&lt;Q$8,Q$5+SQRT(NORMSDIST(Q$9*SQRT($C$11)*NORMSINV($B496)+SQRT(1-Q$9^2*$C$11)*NORMSINV(P496))*(Q$7-Q$5)*(Q$6-Q$5)),Q$7-SQRT((1-NORMSDIST(Q$9*SQRT($C$11)*NORMSINV($B496)+SQRT(1-Q$9^2*$C$11)*NORMSINV(P496)))*(Q$7-Q$5)*(Q$7-Q$6))))</f>
        <v>0.0823779588007243</v>
      </c>
      <c r="R496" s="2" t="n">
        <v>0.370954807</v>
      </c>
      <c r="S496" s="2" t="n">
        <f aca="false">IF(S$7=S$5,S$6,IF(NORMSDIST(S$9*SQRT($C$11)*NORMSINV($B496)+SQRT(1-S$9^2*$C$11)*NORMSINV(R496))&lt;S$8,S$5+SQRT(NORMSDIST(S$9*SQRT($C$11)*NORMSINV($B496)+SQRT(1-S$9^2*$C$11)*NORMSINV(R496))*(S$7-S$5)*(S$6-S$5)),S$7-SQRT((1-NORMSDIST(S$9*SQRT($C$11)*NORMSINV($B496)+SQRT(1-S$9^2*$C$11)*NORMSINV(R496)))*(S$7-S$5)*(S$7-S$6))))</f>
        <v>0.53946018081285</v>
      </c>
      <c r="T496" s="2" t="n">
        <v>0.345403787</v>
      </c>
      <c r="U496" s="2" t="n">
        <f aca="false">IF(U$7=U$5,U$6,IF(NORMSDIST(U$9*SQRT($C$11)*NORMSINV($B496)+SQRT(1-U$9^2*$C$11)*NORMSINV(T496))&lt;U$8,U$5+SQRT(NORMSDIST(U$9*SQRT($C$11)*NORMSINV($B496)+SQRT(1-U$9^2*$C$11)*NORMSINV(T496))*(U$7-U$5)*(U$6-U$5)),U$7-SQRT((1-NORMSDIST(U$9*SQRT($C$11)*NORMSINV($B496)+SQRT(1-U$9^2*$C$11)*NORMSINV(T496)))*(U$7-U$5)*(U$7-U$6))))</f>
        <v>0.528272297786661</v>
      </c>
      <c r="V496" s="2" t="n">
        <v>0.684866008</v>
      </c>
      <c r="W496" s="2" t="n">
        <f aca="false">IF(W$7=W$5,W$6,IF(NORMSDIST(W$9*SQRT($C$11)*NORMSINV($B496)+SQRT(1-W$9^2*$C$11)*NORMSINV(V496))&lt;W$8,W$5+SQRT(NORMSDIST(W$9*SQRT($C$11)*NORMSINV($B496)+SQRT(1-W$9^2*$C$11)*NORMSINV(V496))*(W$7-W$5)*(W$6-W$5)),W$7-SQRT((1-NORMSDIST(W$9*SQRT($C$11)*NORMSINV($B496)+SQRT(1-W$9^2*$C$11)*NORMSINV(V496)))*(W$7-W$5)*(W$7-W$6))))</f>
        <v>10.7151395420802</v>
      </c>
      <c r="X496" s="2" t="n">
        <v>0.186735567</v>
      </c>
      <c r="Y496" s="2" t="n">
        <f aca="false">IF(Y$7=Y$5,Y$6,IF(NORMSDIST(Y$9*SQRT($C$11)*NORMSINV($B496)+SQRT(1-Y$9^2*$C$11)*NORMSINV(X496))&lt;Y$8,Y$5+SQRT(NORMSDIST(Y$9*SQRT($C$11)*NORMSINV($B496)+SQRT(1-Y$9^2*$C$11)*NORMSINV(X496))*(Y$7-Y$5)*(Y$6-Y$5)),Y$7-SQRT((1-NORMSDIST(Y$9*SQRT($C$11)*NORMSINV($B496)+SQRT(1-Y$9^2*$C$11)*NORMSINV(X496)))*(Y$7-Y$5)*(Y$7-Y$6))))</f>
        <v>0.305561423448707</v>
      </c>
      <c r="Z496" s="2" t="n">
        <v>0.77651781</v>
      </c>
      <c r="AA496" s="2" t="n">
        <f aca="false">IF(AA$7=AA$5,AA$6,IF(NORMSDIST(AA$9*SQRT($C$11)*NORMSINV($B496)+SQRT(1-AA$9^2*$C$11)*NORMSINV(Z496))&lt;AA$8,AA$5+SQRT(NORMSDIST(AA$9*SQRT($C$11)*NORMSINV($B496)+SQRT(1-AA$9^2*$C$11)*NORMSINV(Z496))*(AA$7-AA$5)*(AA$6-AA$5)),AA$7-SQRT((1-NORMSDIST(AA$9*SQRT($C$11)*NORMSINV($B496)+SQRT(1-AA$9^2*$C$11)*NORMSINV(Z496)))*(AA$7-AA$5)*(AA$7-AA$6))))</f>
        <v>0.739973430244399</v>
      </c>
      <c r="AB496" s="2" t="n">
        <v>0.079899793</v>
      </c>
      <c r="AC496" s="2" t="n">
        <f aca="false">IF(AC$7=AC$5,AC$6,IF(NORMSDIST(AC$9*SQRT($C$11)*NORMSINV($B496)+SQRT(1-AC$9^2*$C$11)*NORMSINV(AB496))&lt;AC$8,AC$5+SQRT(NORMSDIST(AC$9*SQRT($C$11)*NORMSINV($B496)+SQRT(1-AC$9^2*$C$11)*NORMSINV(AB496))*(AC$7-AC$5)*(AC$6-AC$5)),AC$7-SQRT((1-NORMSDIST(AC$9*SQRT($C$11)*NORMSINV($B496)+SQRT(1-AC$9^2*$C$11)*NORMSINV(AB496)))*(AC$7-AC$5)*(AC$7-AC$6))))</f>
        <v>8.89948182934169</v>
      </c>
      <c r="AD496" s="2" t="n">
        <f aca="false">Entrées!$C$8*(1+E496)</f>
        <v>7436.5842581687</v>
      </c>
      <c r="AE496" s="2" t="n">
        <f aca="false">I496*Hypothèses!$J$24/12/Hypothèses!$J$19</f>
        <v>104.331998144381</v>
      </c>
      <c r="AF496" s="2" t="n">
        <f aca="false">Entrées!$C$36*S496*1000</f>
        <v>269.730090406425</v>
      </c>
      <c r="AG496" s="2" t="n">
        <f aca="false">-AF496/W496</f>
        <v>-25.172802402353</v>
      </c>
      <c r="AH496" s="2" t="n">
        <f aca="false">AD496+AE496+AG496</f>
        <v>7515.74345391073</v>
      </c>
      <c r="AI496" s="2" t="n">
        <f aca="false">Entrées!$C$16-M496+Hypothèses!$J$22*1000-AF496+Hypothèses!$J$23</f>
        <v>22611.0020988903</v>
      </c>
      <c r="AJ496" s="2" t="n">
        <f aca="false">AI496/AH496</f>
        <v>3.00848508701091</v>
      </c>
      <c r="AK496" s="2" t="n">
        <f aca="false">AI496/(AH496+I496*(12-Hypothèses!$J$24)/12/Hypothèses!$J$19)</f>
        <v>2.97894713785083</v>
      </c>
      <c r="AL496" s="2" t="n">
        <f aca="false">(AD496+AG496+I496/Hypothèses!$J$19)*(1+G496)</f>
        <v>8004.54365447409</v>
      </c>
      <c r="AM496" s="2" t="n">
        <f aca="false">Entrées!$C$54*K496/Hypothèses!$J$19</f>
        <v>37.1906900062629</v>
      </c>
      <c r="AN496" s="2" t="n">
        <f aca="false">Y496*1000/AC496</f>
        <v>34.3347432253041</v>
      </c>
      <c r="AO496" s="2" t="n">
        <f aca="false">(Entrées!$C$36*(1-S496)+MAX(0,Entrées!$C$30-Entrées!$C$35-Entrées!$C$36)*U496)*1000</f>
        <v>969.8511264949</v>
      </c>
      <c r="AP496" s="2" t="n">
        <f aca="false">-AO496/W496</f>
        <v>-90.5122254998291</v>
      </c>
      <c r="AQ496" s="2" t="n">
        <f aca="false">AL496+AM496+AN496+AP496</f>
        <v>7985.55686220583</v>
      </c>
      <c r="AR496" s="2" t="n">
        <f aca="false">O496*AQ496-Hypothèses!$J$25/Hypothèses!$J$19</f>
        <v>1372.21795041295</v>
      </c>
      <c r="AS496" s="2" t="n">
        <f aca="false">Entrées!$C$79*(1+Q496)+Hypothèses!$J$20</f>
        <v>1484.533376722</v>
      </c>
      <c r="AT496" s="2" t="n">
        <f aca="false">AI496-AR496+AS496+Y496*1000-AO496+Hypothèses!$J$23</f>
        <v>22059.0278221531</v>
      </c>
      <c r="AU496" s="2" t="n">
        <f aca="false">AT496/AQ496</f>
        <v>2.7623656312003</v>
      </c>
      <c r="AV496" s="2" t="n">
        <f aca="false">Hypothèses!$J$26*AQ496-AT496</f>
        <v>1897.64276446438</v>
      </c>
      <c r="AW496" s="2" t="n">
        <f aca="false">IF(AC496&gt;Hypothèses!$J$26,MAX(0,AV496)/(1-Hypothèses!$J$26/AC496),0)</f>
        <v>2862.63061561408</v>
      </c>
      <c r="AX496" s="2" t="n">
        <f aca="false">AQ496-Entrées!$C$17*1000</f>
        <v>-14.4431377941719</v>
      </c>
      <c r="AY496" s="2" t="n">
        <f aca="false">AI496+(Entrées!$C$244-Entrées!$C$13)</f>
        <v>28358.0020988903</v>
      </c>
      <c r="AZ496" s="2" t="n">
        <f aca="false">AA496*AH496</f>
        <v>5561.45046442721</v>
      </c>
      <c r="BA496" s="2" t="n">
        <f aca="false">AZ496/AY496</f>
        <v>0.196115736398963</v>
      </c>
      <c r="BB496" s="2" t="n">
        <f aca="false">AZ496/(Entrées!$C$151/100)-AY496</f>
        <v>2538.94492570534</v>
      </c>
      <c r="BC496" s="2" t="n">
        <f aca="false">AT496+(Entrées!$C$244-Entrées!$C$13)</f>
        <v>27806.0278221531</v>
      </c>
      <c r="BD496" s="2" t="n">
        <f aca="false">AA496*AQ496</f>
        <v>5909.09990373815</v>
      </c>
      <c r="BE496" s="2" t="n">
        <f aca="false">BD496/BC496</f>
        <v>0.212511472028031</v>
      </c>
      <c r="BF496" s="2" t="n">
        <f aca="false">BD496/(Entrées!$C$151/100)-BC496</f>
        <v>5022.30497639215</v>
      </c>
      <c r="BG496" s="2" t="n">
        <f aca="false">MIN(AV496,BF496)</f>
        <v>1897.64276446438</v>
      </c>
      <c r="BH496" s="2" t="n">
        <f aca="false">IF(AC496&gt;Hypothèses!$J$26,MAX(0,BG496)/(1-Hypothèses!$J$26/AC496),0)</f>
        <v>2862.63061561408</v>
      </c>
    </row>
    <row r="497" customFormat="false" ht="15" hidden="false" customHeight="false" outlineLevel="0" collapsed="false">
      <c r="A497" s="2" t="n">
        <v>482</v>
      </c>
      <c r="B497" s="2" t="n">
        <v>0.341545499</v>
      </c>
      <c r="C497" s="2"/>
      <c r="D497" s="2" t="n">
        <v>0.294291563</v>
      </c>
      <c r="E497" s="2" t="n">
        <f aca="false">IF(E$7=E$5,E$6,IF(NORMSDIST(E$9*SQRT($C$11)*NORMSINV($B497)+SQRT(1-E$9^2*$C$11)*NORMSINV(D497))&lt;E$8,E$5+SQRT(NORMSDIST(E$9*SQRT($C$11)*NORMSINV($B497)+SQRT(1-E$9^2*$C$11)*NORMSINV(D497))*(E$7-E$5)*(E$6-E$5)),E$7-SQRT((1-NORMSDIST(E$9*SQRT($C$11)*NORMSINV($B497)+SQRT(1-E$9^2*$C$11)*NORMSINV(D497)))*(E$7-E$5)*(E$7-E$6))))</f>
        <v>0.053529509090605</v>
      </c>
      <c r="F497" s="2" t="n">
        <v>0.983814077</v>
      </c>
      <c r="G497" s="2" t="n">
        <f aca="false">IF(G$7=G$5,G$6,IF(NORMSDIST(G$9*SQRT($C$11)*NORMSINV($B497)+SQRT(1-G$9^2*$C$11)*NORMSINV(F497))&lt;G$8,G$5+SQRT(NORMSDIST(G$9*SQRT($C$11)*NORMSINV($B497)+SQRT(1-G$9^2*$C$11)*NORMSINV(F497))*(G$7-G$5)*(G$6-G$5)),G$7-SQRT((1-NORMSDIST(G$9*SQRT($C$11)*NORMSINV($B497)+SQRT(1-G$9^2*$C$11)*NORMSINV(F497)))*(G$7-G$5)*(G$7-G$6))))</f>
        <v>0.0639676340228148</v>
      </c>
      <c r="H497" s="2" t="n">
        <v>0.797670974</v>
      </c>
      <c r="I497" s="2" t="n">
        <f aca="false">IF(I$7=I$5,I$6,IF(NORMSDIST(I$9*SQRT($C$11)*NORMSINV($B497)+SQRT(1-I$9^2*$C$11)*NORMSINV(H497))&lt;I$8,I$5+SQRT(NORMSDIST(I$9*SQRT($C$11)*NORMSINV($B497)+SQRT(1-I$9^2*$C$11)*NORMSINV(H497))*(I$7-I$5)*(I$6-I$5)),I$7-SQRT((1-NORMSDIST(I$9*SQRT($C$11)*NORMSINV($B497)+SQRT(1-I$9^2*$C$11)*NORMSINV(H497)))*(I$7-I$5)*(I$7-I$6))))</f>
        <v>203.284295700859</v>
      </c>
      <c r="J497" s="2" t="n">
        <v>0.433828834</v>
      </c>
      <c r="K497" s="2" t="n">
        <f aca="false">IF(K$7=K$5,K$6,IF(NORMSDIST(K$9*SQRT($C$11)*NORMSINV($B497)+SQRT(1-K$9^2*$C$11)*NORMSINV(J497))&lt;K$8,K$5+SQRT(NORMSDIST(K$9*SQRT($C$11)*NORMSINV($B497)+SQRT(1-K$9^2*$C$11)*NORMSINV(J497))*(K$7-K$5)*(K$6-K$5)),K$7-SQRT((1-NORMSDIST(K$9*SQRT($C$11)*NORMSINV($B497)+SQRT(1-K$9^2*$C$11)*NORMSINV(J497)))*(K$7-K$5)*(K$7-K$6))))</f>
        <v>0.208948791991388</v>
      </c>
      <c r="L497" s="2" t="n">
        <v>0.461077805</v>
      </c>
      <c r="M497" s="2" t="n">
        <f aca="false">IF(M$7=M$5,M$6,IF(NORMSDIST(M$9*SQRT($C$11)*NORMSINV($B497)+SQRT(1-M$9^2*$C$11)*NORMSINV(L497))&lt;M$8,M$5+SQRT(NORMSDIST(M$9*SQRT($C$11)*NORMSINV($B497)+SQRT(1-M$9^2*$C$11)*NORMSINV(L497))*(M$7-M$5)*(M$6-M$5)),M$7-SQRT((1-NORMSDIST(M$9*SQRT($C$11)*NORMSINV($B497)+SQRT(1-M$9^2*$C$11)*NORMSINV(L497)))*(M$7-M$5)*(M$7-M$6))))</f>
        <v>1545.66303633196</v>
      </c>
      <c r="N497" s="2" t="n">
        <v>0.518351727</v>
      </c>
      <c r="O497" s="2" t="n">
        <f aca="false">IF(O$7=O$5,O$6,IF(NORMSDIST(O$9*SQRT($C$11)*NORMSINV($B497)+SQRT(1-O$9^2*$C$11)*NORMSINV(N497))&lt;O$8,O$5+SQRT(NORMSDIST(O$9*SQRT($C$11)*NORMSINV($B497)+SQRT(1-O$9^2*$C$11)*NORMSINV(N497))*(O$7-O$5)*(O$6-O$5)),O$7-SQRT((1-NORMSDIST(O$9*SQRT($C$11)*NORMSINV($B497)+SQRT(1-O$9^2*$C$11)*NORMSINV(N497)))*(O$7-O$5)*(O$7-O$6))))</f>
        <v>0.164311738961308</v>
      </c>
      <c r="P497" s="2" t="n">
        <v>0.690926512</v>
      </c>
      <c r="Q497" s="2" t="n">
        <f aca="false">IF(Q$7=Q$5,Q$6,IF(NORMSDIST(Q$9*SQRT($C$11)*NORMSINV($B497)+SQRT(1-Q$9^2*$C$11)*NORMSINV(P497))&lt;Q$8,Q$5+SQRT(NORMSDIST(Q$9*SQRT($C$11)*NORMSINV($B497)+SQRT(1-Q$9^2*$C$11)*NORMSINV(P497))*(Q$7-Q$5)*(Q$6-Q$5)),Q$7-SQRT((1-NORMSDIST(Q$9*SQRT($C$11)*NORMSINV($B497)+SQRT(1-Q$9^2*$C$11)*NORMSINV(P497)))*(Q$7-Q$5)*(Q$7-Q$6))))</f>
        <v>0.0885510705810198</v>
      </c>
      <c r="R497" s="2" t="n">
        <v>0.105135706</v>
      </c>
      <c r="S497" s="2" t="n">
        <f aca="false">IF(S$7=S$5,S$6,IF(NORMSDIST(S$9*SQRT($C$11)*NORMSINV($B497)+SQRT(1-S$9^2*$C$11)*NORMSINV(R497))&lt;S$8,S$5+SQRT(NORMSDIST(S$9*SQRT($C$11)*NORMSINV($B497)+SQRT(1-S$9^2*$C$11)*NORMSINV(R497))*(S$7-S$5)*(S$6-S$5)),S$7-SQRT((1-NORMSDIST(S$9*SQRT($C$11)*NORMSINV($B497)+SQRT(1-S$9^2*$C$11)*NORMSINV(R497)))*(S$7-S$5)*(S$7-S$6))))</f>
        <v>0.23409983276039</v>
      </c>
      <c r="T497" s="2" t="n">
        <v>0.870051745</v>
      </c>
      <c r="U497" s="2" t="n">
        <f aca="false">IF(U$7=U$5,U$6,IF(NORMSDIST(U$9*SQRT($C$11)*NORMSINV($B497)+SQRT(1-U$9^2*$C$11)*NORMSINV(T497))&lt;U$8,U$5+SQRT(NORMSDIST(U$9*SQRT($C$11)*NORMSINV($B497)+SQRT(1-U$9^2*$C$11)*NORMSINV(T497))*(U$7-U$5)*(U$6-U$5)),U$7-SQRT((1-NORMSDIST(U$9*SQRT($C$11)*NORMSINV($B497)+SQRT(1-U$9^2*$C$11)*NORMSINV(T497)))*(U$7-U$5)*(U$7-U$6))))</f>
        <v>0.632953617410729</v>
      </c>
      <c r="V497" s="2" t="n">
        <v>0.868786712</v>
      </c>
      <c r="W497" s="2" t="n">
        <f aca="false">IF(W$7=W$5,W$6,IF(NORMSDIST(W$9*SQRT($C$11)*NORMSINV($B497)+SQRT(1-W$9^2*$C$11)*NORMSINV(V497))&lt;W$8,W$5+SQRT(NORMSDIST(W$9*SQRT($C$11)*NORMSINV($B497)+SQRT(1-W$9^2*$C$11)*NORMSINV(V497))*(W$7-W$5)*(W$6-W$5)),W$7-SQRT((1-NORMSDIST(W$9*SQRT($C$11)*NORMSINV($B497)+SQRT(1-W$9^2*$C$11)*NORMSINV(V497)))*(W$7-W$5)*(W$7-W$6))))</f>
        <v>10.527658876102</v>
      </c>
      <c r="X497" s="2" t="n">
        <v>0.425956328</v>
      </c>
      <c r="Y497" s="2" t="n">
        <f aca="false">IF(Y$7=Y$5,Y$6,IF(NORMSDIST(Y$9*SQRT($C$11)*NORMSINV($B497)+SQRT(1-Y$9^2*$C$11)*NORMSINV(X497))&lt;Y$8,Y$5+SQRT(NORMSDIST(Y$9*SQRT($C$11)*NORMSINV($B497)+SQRT(1-Y$9^2*$C$11)*NORMSINV(X497))*(Y$7-Y$5)*(Y$6-Y$5)),Y$7-SQRT((1-NORMSDIST(Y$9*SQRT($C$11)*NORMSINV($B497)+SQRT(1-Y$9^2*$C$11)*NORMSINV(X497)))*(Y$7-Y$5)*(Y$7-Y$6))))</f>
        <v>0.461495573109862</v>
      </c>
      <c r="Z497" s="2" t="n">
        <v>0.801011374</v>
      </c>
      <c r="AA497" s="2" t="n">
        <f aca="false">IF(AA$7=AA$5,AA$6,IF(NORMSDIST(AA$9*SQRT($C$11)*NORMSINV($B497)+SQRT(1-AA$9^2*$C$11)*NORMSINV(Z497))&lt;AA$8,AA$5+SQRT(NORMSDIST(AA$9*SQRT($C$11)*NORMSINV($B497)+SQRT(1-AA$9^2*$C$11)*NORMSINV(Z497))*(AA$7-AA$5)*(AA$6-AA$5)),AA$7-SQRT((1-NORMSDIST(AA$9*SQRT($C$11)*NORMSINV($B497)+SQRT(1-AA$9^2*$C$11)*NORMSINV(Z497)))*(AA$7-AA$5)*(AA$7-AA$6))))</f>
        <v>0.732785245081868</v>
      </c>
      <c r="AB497" s="2" t="n">
        <v>0.703960673</v>
      </c>
      <c r="AC497" s="2" t="n">
        <f aca="false">IF(AC$7=AC$5,AC$6,IF(NORMSDIST(AC$9*SQRT($C$11)*NORMSINV($B497)+SQRT(1-AC$9^2*$C$11)*NORMSINV(AB497))&lt;AC$8,AC$5+SQRT(NORMSDIST(AC$9*SQRT($C$11)*NORMSINV($B497)+SQRT(1-AC$9^2*$C$11)*NORMSINV(AB497))*(AC$7-AC$5)*(AC$6-AC$5)),AC$7-SQRT((1-NORMSDIST(AC$9*SQRT($C$11)*NORMSINV($B497)+SQRT(1-AC$9^2*$C$11)*NORMSINV(AB497)))*(AC$7-AC$5)*(AC$7-AC$6))))</f>
        <v>9.60418499084836</v>
      </c>
      <c r="AD497" s="2" t="n">
        <f aca="false">Entrées!$C$8*(1+E497)</f>
        <v>7427.38303908877</v>
      </c>
      <c r="AE497" s="2" t="n">
        <f aca="false">I497*Hypothèses!$J$24/12/Hypothèses!$J$19</f>
        <v>100.848688460497</v>
      </c>
      <c r="AF497" s="2" t="n">
        <f aca="false">Entrées!$C$36*S497*1000</f>
        <v>117.049916380195</v>
      </c>
      <c r="AG497" s="2" t="n">
        <f aca="false">-AF497/W497</f>
        <v>-11.118323433323</v>
      </c>
      <c r="AH497" s="2" t="n">
        <f aca="false">AD497+AE497+AG497</f>
        <v>7517.11340411594</v>
      </c>
      <c r="AI497" s="2" t="n">
        <f aca="false">Entrées!$C$16-M497+Hypothèses!$J$22*1000-AF497+Hypothèses!$J$23</f>
        <v>22885.2870472878</v>
      </c>
      <c r="AJ497" s="2" t="n">
        <f aca="false">AI497/AH497</f>
        <v>3.04442487654333</v>
      </c>
      <c r="AK497" s="2" t="n">
        <f aca="false">AI497/(AH497+I497*(12-Hypothèses!$J$24)/12/Hypothèses!$J$19)</f>
        <v>3.01552776407905</v>
      </c>
      <c r="AL497" s="2" t="n">
        <f aca="false">(AD497+AG497+I497/Hypothèses!$J$19)*(1+G497)</f>
        <v>8074.60803501244</v>
      </c>
      <c r="AM497" s="2" t="n">
        <f aca="false">Entrées!$C$54*K497/Hypothèses!$J$19</f>
        <v>21.324101542005</v>
      </c>
      <c r="AN497" s="2" t="n">
        <f aca="false">Y497*1000/AC497</f>
        <v>48.0515081237619</v>
      </c>
      <c r="AO497" s="2" t="n">
        <f aca="false">(Entrées!$C$36*(1-S497)+MAX(0,Entrées!$C$30-Entrées!$C$35-Entrées!$C$36)*U497)*1000</f>
        <v>1269.08514799483</v>
      </c>
      <c r="AP497" s="2" t="n">
        <f aca="false">-AO497/W497</f>
        <v>-120.547707988115</v>
      </c>
      <c r="AQ497" s="2" t="n">
        <f aca="false">AL497+AM497+AN497+AP497</f>
        <v>8023.43593669009</v>
      </c>
      <c r="AR497" s="2" t="n">
        <f aca="false">O497*AQ497-Hypothèses!$J$25/Hypothèses!$J$19</f>
        <v>1299.20954894058</v>
      </c>
      <c r="AS497" s="2" t="n">
        <f aca="false">Entrées!$C$79*(1+Q497)+Hypothèses!$J$20</f>
        <v>1491.31762656854</v>
      </c>
      <c r="AT497" s="2" t="n">
        <f aca="false">AI497-AR497+AS497+Y497*1000-AO497+Hypothèses!$J$23</f>
        <v>22269.8055500308</v>
      </c>
      <c r="AU497" s="2" t="n">
        <f aca="false">AT497/AQ497</f>
        <v>2.77559461130537</v>
      </c>
      <c r="AV497" s="2" t="n">
        <f aca="false">Hypothèses!$J$26*AQ497-AT497</f>
        <v>1800.50226003942</v>
      </c>
      <c r="AW497" s="2" t="n">
        <f aca="false">IF(AC497&gt;Hypothèses!$J$26,MAX(0,AV497)/(1-Hypothèses!$J$26/AC497),0)</f>
        <v>2618.39376180736</v>
      </c>
      <c r="AX497" s="2" t="n">
        <f aca="false">AQ497-Entrées!$C$17*1000</f>
        <v>23.435936690089</v>
      </c>
      <c r="AY497" s="2" t="n">
        <f aca="false">AI497+(Entrées!$C$244-Entrées!$C$13)</f>
        <v>28632.2870472878</v>
      </c>
      <c r="AZ497" s="2" t="n">
        <f aca="false">AA497*AH497</f>
        <v>5508.42978814329</v>
      </c>
      <c r="BA497" s="2" t="n">
        <f aca="false">AZ497/AY497</f>
        <v>0.192385253020334</v>
      </c>
      <c r="BB497" s="2" t="n">
        <f aca="false">AZ497/(Entrées!$C$151/100)-AY497</f>
        <v>1970.10066461933</v>
      </c>
      <c r="BC497" s="2" t="n">
        <f aca="false">AT497+(Entrées!$C$244-Entrées!$C$13)</f>
        <v>28016.8055500308</v>
      </c>
      <c r="BD497" s="2" t="n">
        <f aca="false">AA497*AQ497</f>
        <v>5879.45546926611</v>
      </c>
      <c r="BE497" s="2" t="n">
        <f aca="false">BD497/BC497</f>
        <v>0.209854598118508</v>
      </c>
      <c r="BF497" s="2" t="n">
        <f aca="false">BD497/(Entrées!$C$151/100)-BC497</f>
        <v>4646.83594589201</v>
      </c>
      <c r="BG497" s="2" t="n">
        <f aca="false">MIN(AV497,BF497)</f>
        <v>1800.50226003942</v>
      </c>
      <c r="BH497" s="2" t="n">
        <f aca="false">IF(AC497&gt;Hypothèses!$J$26,MAX(0,BG497)/(1-Hypothèses!$J$26/AC497),0)</f>
        <v>2618.39376180736</v>
      </c>
    </row>
    <row r="498" customFormat="false" ht="15" hidden="false" customHeight="false" outlineLevel="0" collapsed="false">
      <c r="A498" s="2" t="n">
        <v>483</v>
      </c>
      <c r="B498" s="2" t="n">
        <v>0.298233623</v>
      </c>
      <c r="C498" s="2"/>
      <c r="D498" s="2" t="n">
        <v>0.852579812</v>
      </c>
      <c r="E498" s="2" t="n">
        <f aca="false">IF(E$7=E$5,E$6,IF(NORMSDIST(E$9*SQRT($C$11)*NORMSINV($B498)+SQRT(1-E$9^2*$C$11)*NORMSINV(D498))&lt;E$8,E$5+SQRT(NORMSDIST(E$9*SQRT($C$11)*NORMSINV($B498)+SQRT(1-E$9^2*$C$11)*NORMSINV(D498))*(E$7-E$5)*(E$6-E$5)),E$7-SQRT((1-NORMSDIST(E$9*SQRT($C$11)*NORMSINV($B498)+SQRT(1-E$9^2*$C$11)*NORMSINV(D498)))*(E$7-E$5)*(E$7-E$6))))</f>
        <v>0.0560198150197174</v>
      </c>
      <c r="F498" s="2" t="n">
        <v>0.105682082</v>
      </c>
      <c r="G498" s="2" t="n">
        <f aca="false">IF(G$7=G$5,G$6,IF(NORMSDIST(G$9*SQRT($C$11)*NORMSINV($B498)+SQRT(1-G$9^2*$C$11)*NORMSINV(F498))&lt;G$8,G$5+SQRT(NORMSDIST(G$9*SQRT($C$11)*NORMSINV($B498)+SQRT(1-G$9^2*$C$11)*NORMSINV(F498))*(G$7-G$5)*(G$6-G$5)),G$7-SQRT((1-NORMSDIST(G$9*SQRT($C$11)*NORMSINV($B498)+SQRT(1-G$9^2*$C$11)*NORMSINV(F498)))*(G$7-G$5)*(G$7-G$6))))</f>
        <v>0.0465825816953219</v>
      </c>
      <c r="H498" s="2" t="n">
        <v>0.745932727</v>
      </c>
      <c r="I498" s="2" t="n">
        <f aca="false">IF(I$7=I$5,I$6,IF(NORMSDIST(I$9*SQRT($C$11)*NORMSINV($B498)+SQRT(1-I$9^2*$C$11)*NORMSINV(H498))&lt;I$8,I$5+SQRT(NORMSDIST(I$9*SQRT($C$11)*NORMSINV($B498)+SQRT(1-I$9^2*$C$11)*NORMSINV(H498))*(I$7-I$5)*(I$6-I$5)),I$7-SQRT((1-NORMSDIST(I$9*SQRT($C$11)*NORMSINV($B498)+SQRT(1-I$9^2*$C$11)*NORMSINV(H498)))*(I$7-I$5)*(I$7-I$6))))</f>
        <v>201.464066190338</v>
      </c>
      <c r="J498" s="2" t="n">
        <v>0.843989766</v>
      </c>
      <c r="K498" s="2" t="n">
        <f aca="false">IF(K$7=K$5,K$6,IF(NORMSDIST(K$9*SQRT($C$11)*NORMSINV($B498)+SQRT(1-K$9^2*$C$11)*NORMSINV(J498))&lt;K$8,K$5+SQRT(NORMSDIST(K$9*SQRT($C$11)*NORMSINV($B498)+SQRT(1-K$9^2*$C$11)*NORMSINV(J498))*(K$7-K$5)*(K$6-K$5)),K$7-SQRT((1-NORMSDIST(K$9*SQRT($C$11)*NORMSINV($B498)+SQRT(1-K$9^2*$C$11)*NORMSINV(J498)))*(K$7-K$5)*(K$7-K$6))))</f>
        <v>0.297826682401451</v>
      </c>
      <c r="L498" s="2" t="n">
        <v>0.809507435</v>
      </c>
      <c r="M498" s="2" t="n">
        <f aca="false">IF(M$7=M$5,M$6,IF(NORMSDIST(M$9*SQRT($C$11)*NORMSINV($B498)+SQRT(1-M$9^2*$C$11)*NORMSINV(L498))&lt;M$8,M$5+SQRT(NORMSDIST(M$9*SQRT($C$11)*NORMSINV($B498)+SQRT(1-M$9^2*$C$11)*NORMSINV(L498))*(M$7-M$5)*(M$6-M$5)),M$7-SQRT((1-NORMSDIST(M$9*SQRT($C$11)*NORMSINV($B498)+SQRT(1-M$9^2*$C$11)*NORMSINV(L498)))*(M$7-M$5)*(M$7-M$6))))</f>
        <v>1621.03703728906</v>
      </c>
      <c r="N498" s="2" t="n">
        <v>0.488189687</v>
      </c>
      <c r="O498" s="2" t="n">
        <f aca="false">IF(O$7=O$5,O$6,IF(NORMSDIST(O$9*SQRT($C$11)*NORMSINV($B498)+SQRT(1-O$9^2*$C$11)*NORMSINV(N498))&lt;O$8,O$5+SQRT(NORMSDIST(O$9*SQRT($C$11)*NORMSINV($B498)+SQRT(1-O$9^2*$C$11)*NORMSINV(N498))*(O$7-O$5)*(O$6-O$5)),O$7-SQRT((1-NORMSDIST(O$9*SQRT($C$11)*NORMSINV($B498)+SQRT(1-O$9^2*$C$11)*NORMSINV(N498)))*(O$7-O$5)*(O$7-O$6))))</f>
        <v>0.162735035431846</v>
      </c>
      <c r="P498" s="2" t="n">
        <v>0.192037291</v>
      </c>
      <c r="Q498" s="2" t="n">
        <f aca="false">IF(Q$7=Q$5,Q$6,IF(NORMSDIST(Q$9*SQRT($C$11)*NORMSINV($B498)+SQRT(1-Q$9^2*$C$11)*NORMSINV(P498))&lt;Q$8,Q$5+SQRT(NORMSDIST(Q$9*SQRT($C$11)*NORMSINV($B498)+SQRT(1-Q$9^2*$C$11)*NORMSINV(P498))*(Q$7-Q$5)*(Q$6-Q$5)),Q$7-SQRT((1-NORMSDIST(Q$9*SQRT($C$11)*NORMSINV($B498)+SQRT(1-Q$9^2*$C$11)*NORMSINV(P498)))*(Q$7-Q$5)*(Q$7-Q$6))))</f>
        <v>0.0647895004225579</v>
      </c>
      <c r="R498" s="2" t="n">
        <v>0.154869572</v>
      </c>
      <c r="S498" s="2" t="n">
        <f aca="false">IF(S$7=S$5,S$6,IF(NORMSDIST(S$9*SQRT($C$11)*NORMSINV($B498)+SQRT(1-S$9^2*$C$11)*NORMSINV(R498))&lt;S$8,S$5+SQRT(NORMSDIST(S$9*SQRT($C$11)*NORMSINV($B498)+SQRT(1-S$9^2*$C$11)*NORMSINV(R498))*(S$7-S$5)*(S$6-S$5)),S$7-SQRT((1-NORMSDIST(S$9*SQRT($C$11)*NORMSINV($B498)+SQRT(1-S$9^2*$C$11)*NORMSINV(R498)))*(S$7-S$5)*(S$7-S$6))))</f>
        <v>0.255927073828599</v>
      </c>
      <c r="T498" s="2" t="n">
        <v>0.398806833</v>
      </c>
      <c r="U498" s="2" t="n">
        <f aca="false">IF(U$7=U$5,U$6,IF(NORMSDIST(U$9*SQRT($C$11)*NORMSINV($B498)+SQRT(1-U$9^2*$C$11)*NORMSINV(T498))&lt;U$8,U$5+SQRT(NORMSDIST(U$9*SQRT($C$11)*NORMSINV($B498)+SQRT(1-U$9^2*$C$11)*NORMSINV(T498))*(U$7-U$5)*(U$6-U$5)),U$7-SQRT((1-NORMSDIST(U$9*SQRT($C$11)*NORMSINV($B498)+SQRT(1-U$9^2*$C$11)*NORMSINV(T498)))*(U$7-U$5)*(U$7-U$6))))</f>
        <v>0.385252825183608</v>
      </c>
      <c r="V498" s="2" t="n">
        <v>0.664361949</v>
      </c>
      <c r="W498" s="2" t="n">
        <f aca="false">IF(W$7=W$5,W$6,IF(NORMSDIST(W$9*SQRT($C$11)*NORMSINV($B498)+SQRT(1-W$9^2*$C$11)*NORMSINV(V498))&lt;W$8,W$5+SQRT(NORMSDIST(W$9*SQRT($C$11)*NORMSINV($B498)+SQRT(1-W$9^2*$C$11)*NORMSINV(V498))*(W$7-W$5)*(W$6-W$5)),W$7-SQRT((1-NORMSDIST(W$9*SQRT($C$11)*NORMSINV($B498)+SQRT(1-W$9^2*$C$11)*NORMSINV(V498)))*(W$7-W$5)*(W$7-W$6))))</f>
        <v>9.99509449429696</v>
      </c>
      <c r="X498" s="2" t="n">
        <v>0.329763265</v>
      </c>
      <c r="Y498" s="2" t="n">
        <f aca="false">IF(Y$7=Y$5,Y$6,IF(NORMSDIST(Y$9*SQRT($C$11)*NORMSINV($B498)+SQRT(1-Y$9^2*$C$11)*NORMSINV(X498))&lt;Y$8,Y$5+SQRT(NORMSDIST(Y$9*SQRT($C$11)*NORMSINV($B498)+SQRT(1-Y$9^2*$C$11)*NORMSINV(X498))*(Y$7-Y$5)*(Y$6-Y$5)),Y$7-SQRT((1-NORMSDIST(Y$9*SQRT($C$11)*NORMSINV($B498)+SQRT(1-Y$9^2*$C$11)*NORMSINV(X498)))*(Y$7-Y$5)*(Y$7-Y$6))))</f>
        <v>0.406056193771256</v>
      </c>
      <c r="Z498" s="2" t="n">
        <v>0.968353255</v>
      </c>
      <c r="AA498" s="2" t="n">
        <f aca="false">IF(AA$7=AA$5,AA$6,IF(NORMSDIST(AA$9*SQRT($C$11)*NORMSINV($B498)+SQRT(1-AA$9^2*$C$11)*NORMSINV(Z498))&lt;AA$8,AA$5+SQRT(NORMSDIST(AA$9*SQRT($C$11)*NORMSINV($B498)+SQRT(1-AA$9^2*$C$11)*NORMSINV(Z498))*(AA$7-AA$5)*(AA$6-AA$5)),AA$7-SQRT((1-NORMSDIST(AA$9*SQRT($C$11)*NORMSINV($B498)+SQRT(1-AA$9^2*$C$11)*NORMSINV(Z498)))*(AA$7-AA$5)*(AA$7-AA$6))))</f>
        <v>0.740704040580814</v>
      </c>
      <c r="AB498" s="2" t="n">
        <v>0.795434159</v>
      </c>
      <c r="AC498" s="2" t="n">
        <f aca="false">IF(AC$7=AC$5,AC$6,IF(NORMSDIST(AC$9*SQRT($C$11)*NORMSINV($B498)+SQRT(1-AC$9^2*$C$11)*NORMSINV(AB498))&lt;AC$8,AC$5+SQRT(NORMSDIST(AC$9*SQRT($C$11)*NORMSINV($B498)+SQRT(1-AC$9^2*$C$11)*NORMSINV(AB498))*(AC$7-AC$5)*(AC$6-AC$5)),AC$7-SQRT((1-NORMSDIST(AC$9*SQRT($C$11)*NORMSINV($B498)+SQRT(1-AC$9^2*$C$11)*NORMSINV(AB498)))*(AC$7-AC$5)*(AC$7-AC$6))))</f>
        <v>9.71377344686518</v>
      </c>
      <c r="AD498" s="2" t="n">
        <f aca="false">Entrées!$C$8*(1+E498)</f>
        <v>7444.93969588901</v>
      </c>
      <c r="AE498" s="2" t="n">
        <f aca="false">I498*Hypothèses!$J$24/12/Hypothèses!$J$19</f>
        <v>99.9456784261983</v>
      </c>
      <c r="AF498" s="2" t="n">
        <f aca="false">Entrées!$C$36*S498*1000</f>
        <v>127.963536914299</v>
      </c>
      <c r="AG498" s="2" t="n">
        <f aca="false">-AF498/W498</f>
        <v>-12.8026340308552</v>
      </c>
      <c r="AH498" s="2" t="n">
        <f aca="false">AD498+AE498+AG498</f>
        <v>7532.08274028435</v>
      </c>
      <c r="AI498" s="2" t="n">
        <f aca="false">Entrées!$C$16-M498+Hypothèses!$J$22*1000-AF498+Hypothèses!$J$23</f>
        <v>22798.9994257966</v>
      </c>
      <c r="AJ498" s="2" t="n">
        <f aca="false">AI498/AH498</f>
        <v>3.02691834542114</v>
      </c>
      <c r="AK498" s="2" t="n">
        <f aca="false">AI498/(AH498+I498*(12-Hypothèses!$J$24)/12/Hypothèses!$J$19)</f>
        <v>2.99849830377452</v>
      </c>
      <c r="AL498" s="2" t="n">
        <f aca="false">(AD498+AG498+I498/Hypothèses!$J$19)*(1+G498)</f>
        <v>7957.66188998141</v>
      </c>
      <c r="AM498" s="2" t="n">
        <f aca="false">Entrées!$C$54*K498/Hypothèses!$J$19</f>
        <v>30.3944634324987</v>
      </c>
      <c r="AN498" s="2" t="n">
        <f aca="false">Y498*1000/AC498</f>
        <v>41.8021066676512</v>
      </c>
      <c r="AO498" s="2" t="n">
        <f aca="false">(Entrées!$C$36*(1-S498)+MAX(0,Entrées!$C$30-Entrées!$C$35-Entrées!$C$36)*U498)*1000</f>
        <v>911.390418342752</v>
      </c>
      <c r="AP498" s="2" t="n">
        <f aca="false">-AO498/W498</f>
        <v>-91.1837720856743</v>
      </c>
      <c r="AQ498" s="2" t="n">
        <f aca="false">AL498+AM498+AN498+AP498</f>
        <v>7938.67468799589</v>
      </c>
      <c r="AR498" s="2" t="n">
        <f aca="false">O498*AQ498-Hypothèses!$J$25/Hypothèses!$J$19</f>
        <v>1272.76534437128</v>
      </c>
      <c r="AS498" s="2" t="n">
        <f aca="false">Entrées!$C$79*(1+Q498)+Hypothèses!$J$20</f>
        <v>1465.20366096439</v>
      </c>
      <c r="AT498" s="2" t="n">
        <f aca="false">AI498-AR498+AS498+Y498*1000-AO498+Hypothèses!$J$23</f>
        <v>22486.1035178183</v>
      </c>
      <c r="AU498" s="2" t="n">
        <f aca="false">AT498/AQ498</f>
        <v>2.83247574709411</v>
      </c>
      <c r="AV498" s="2" t="n">
        <f aca="false">Hypothèses!$J$26*AQ498-AT498</f>
        <v>1329.92054616941</v>
      </c>
      <c r="AW498" s="2" t="n">
        <f aca="false">IF(AC498&gt;Hypothèses!$J$26,MAX(0,AV498)/(1-Hypothèses!$J$26/AC498),0)</f>
        <v>1924.18570421867</v>
      </c>
      <c r="AX498" s="2" t="n">
        <f aca="false">AQ498-Entrées!$C$17*1000</f>
        <v>-61.3253120041109</v>
      </c>
      <c r="AY498" s="2" t="n">
        <f aca="false">AI498+(Entrées!$C$244-Entrées!$C$13)</f>
        <v>28545.9994257966</v>
      </c>
      <c r="AZ498" s="2" t="n">
        <f aca="false">AA498*AH498</f>
        <v>5579.04411971763</v>
      </c>
      <c r="BA498" s="2" t="n">
        <f aca="false">AZ498/AY498</f>
        <v>0.195440490154145</v>
      </c>
      <c r="BB498" s="2" t="n">
        <f aca="false">AZ498/(Entrées!$C$151/100)-AY498</f>
        <v>2448.69012819018</v>
      </c>
      <c r="BC498" s="2" t="n">
        <f aca="false">AT498+(Entrées!$C$244-Entrées!$C$13)</f>
        <v>28233.1035178183</v>
      </c>
      <c r="BD498" s="2" t="n">
        <f aca="false">AA498*AQ498</f>
        <v>5880.20841825519</v>
      </c>
      <c r="BE498" s="2" t="n">
        <f aca="false">BD498/BC498</f>
        <v>0.208273540120877</v>
      </c>
      <c r="BF498" s="2" t="n">
        <f aca="false">BD498/(Entrées!$C$151/100)-BC498</f>
        <v>4434.7210280439</v>
      </c>
      <c r="BG498" s="2" t="n">
        <f aca="false">MIN(AV498,BF498)</f>
        <v>1329.92054616941</v>
      </c>
      <c r="BH498" s="2" t="n">
        <f aca="false">IF(AC498&gt;Hypothèses!$J$26,MAX(0,BG498)/(1-Hypothèses!$J$26/AC498),0)</f>
        <v>1924.18570421867</v>
      </c>
    </row>
    <row r="499" customFormat="false" ht="15" hidden="false" customHeight="false" outlineLevel="0" collapsed="false">
      <c r="A499" s="2" t="n">
        <v>484</v>
      </c>
      <c r="B499" s="2" t="n">
        <v>0.658716617</v>
      </c>
      <c r="C499" s="2"/>
      <c r="D499" s="2" t="n">
        <v>0.654045418</v>
      </c>
      <c r="E499" s="2" t="n">
        <f aca="false">IF(E$7=E$5,E$6,IF(NORMSDIST(E$9*SQRT($C$11)*NORMSINV($B499)+SQRT(1-E$9^2*$C$11)*NORMSINV(D499))&lt;E$8,E$5+SQRT(NORMSDIST(E$9*SQRT($C$11)*NORMSINV($B499)+SQRT(1-E$9^2*$C$11)*NORMSINV(D499))*(E$7-E$5)*(E$6-E$5)),E$7-SQRT((1-NORMSDIST(E$9*SQRT($C$11)*NORMSINV($B499)+SQRT(1-E$9^2*$C$11)*NORMSINV(D499)))*(E$7-E$5)*(E$7-E$6))))</f>
        <v>0.056219564064911</v>
      </c>
      <c r="F499" s="2" t="n">
        <v>0.454033829</v>
      </c>
      <c r="G499" s="2" t="n">
        <f aca="false">IF(G$7=G$5,G$6,IF(NORMSDIST(G$9*SQRT($C$11)*NORMSINV($B499)+SQRT(1-G$9^2*$C$11)*NORMSINV(F499))&lt;G$8,G$5+SQRT(NORMSDIST(G$9*SQRT($C$11)*NORMSINV($B499)+SQRT(1-G$9^2*$C$11)*NORMSINV(F499))*(G$7-G$5)*(G$6-G$5)),G$7-SQRT((1-NORMSDIST(G$9*SQRT($C$11)*NORMSINV($B499)+SQRT(1-G$9^2*$C$11)*NORMSINV(F499)))*(G$7-G$5)*(G$7-G$6))))</f>
        <v>0.0560440607993205</v>
      </c>
      <c r="H499" s="2" t="n">
        <v>0.353394375</v>
      </c>
      <c r="I499" s="2" t="n">
        <f aca="false">IF(I$7=I$5,I$6,IF(NORMSDIST(I$9*SQRT($C$11)*NORMSINV($B499)+SQRT(1-I$9^2*$C$11)*NORMSINV(H499))&lt;I$8,I$5+SQRT(NORMSDIST(I$9*SQRT($C$11)*NORMSINV($B499)+SQRT(1-I$9^2*$C$11)*NORMSINV(H499))*(I$7-I$5)*(I$6-I$5)),I$7-SQRT((1-NORMSDIST(I$9*SQRT($C$11)*NORMSINV($B499)+SQRT(1-I$9^2*$C$11)*NORMSINV(H499)))*(I$7-I$5)*(I$7-I$6))))</f>
        <v>199.737164630843</v>
      </c>
      <c r="J499" s="2" t="n">
        <v>0.892482984</v>
      </c>
      <c r="K499" s="2" t="n">
        <f aca="false">IF(K$7=K$5,K$6,IF(NORMSDIST(K$9*SQRT($C$11)*NORMSINV($B499)+SQRT(1-K$9^2*$C$11)*NORMSINV(J499))&lt;K$8,K$5+SQRT(NORMSDIST(K$9*SQRT($C$11)*NORMSINV($B499)+SQRT(1-K$9^2*$C$11)*NORMSINV(J499))*(K$7-K$5)*(K$6-K$5)),K$7-SQRT((1-NORMSDIST(K$9*SQRT($C$11)*NORMSINV($B499)+SQRT(1-K$9^2*$C$11)*NORMSINV(J499)))*(K$7-K$5)*(K$7-K$6))))</f>
        <v>0.381986877852041</v>
      </c>
      <c r="L499" s="2" t="n">
        <v>0.300231306</v>
      </c>
      <c r="M499" s="2" t="n">
        <f aca="false">IF(M$7=M$5,M$6,IF(NORMSDIST(M$9*SQRT($C$11)*NORMSINV($B499)+SQRT(1-M$9^2*$C$11)*NORMSINV(L499))&lt;M$8,M$5+SQRT(NORMSDIST(M$9*SQRT($C$11)*NORMSINV($B499)+SQRT(1-M$9^2*$C$11)*NORMSINV(L499))*(M$7-M$5)*(M$6-M$5)),M$7-SQRT((1-NORMSDIST(M$9*SQRT($C$11)*NORMSINV($B499)+SQRT(1-M$9^2*$C$11)*NORMSINV(L499)))*(M$7-M$5)*(M$7-M$6))))</f>
        <v>1568.34789119378</v>
      </c>
      <c r="N499" s="2" t="n">
        <v>0.19326726</v>
      </c>
      <c r="O499" s="2" t="n">
        <f aca="false">IF(O$7=O$5,O$6,IF(NORMSDIST(O$9*SQRT($C$11)*NORMSINV($B499)+SQRT(1-O$9^2*$C$11)*NORMSINV(N499))&lt;O$8,O$5+SQRT(NORMSDIST(O$9*SQRT($C$11)*NORMSINV($B499)+SQRT(1-O$9^2*$C$11)*NORMSINV(N499))*(O$7-O$5)*(O$6-O$5)),O$7-SQRT((1-NORMSDIST(O$9*SQRT($C$11)*NORMSINV($B499)+SQRT(1-O$9^2*$C$11)*NORMSINV(N499)))*(O$7-O$5)*(O$7-O$6))))</f>
        <v>0.162091534520014</v>
      </c>
      <c r="P499" s="2" t="n">
        <v>0.821125596</v>
      </c>
      <c r="Q499" s="2" t="n">
        <f aca="false">IF(Q$7=Q$5,Q$6,IF(NORMSDIST(Q$9*SQRT($C$11)*NORMSINV($B499)+SQRT(1-Q$9^2*$C$11)*NORMSINV(P499))&lt;Q$8,Q$5+SQRT(NORMSDIST(Q$9*SQRT($C$11)*NORMSINV($B499)+SQRT(1-Q$9^2*$C$11)*NORMSINV(P499))*(Q$7-Q$5)*(Q$6-Q$5)),Q$7-SQRT((1-NORMSDIST(Q$9*SQRT($C$11)*NORMSINV($B499)+SQRT(1-Q$9^2*$C$11)*NORMSINV(P499)))*(Q$7-Q$5)*(Q$7-Q$6))))</f>
        <v>0.096075157413266</v>
      </c>
      <c r="R499" s="2" t="n">
        <v>0.660133984</v>
      </c>
      <c r="S499" s="2" t="n">
        <f aca="false">IF(S$7=S$5,S$6,IF(NORMSDIST(S$9*SQRT($C$11)*NORMSINV($B499)+SQRT(1-S$9^2*$C$11)*NORMSINV(R499))&lt;S$8,S$5+SQRT(NORMSDIST(S$9*SQRT($C$11)*NORMSINV($B499)+SQRT(1-S$9^2*$C$11)*NORMSINV(R499))*(S$7-S$5)*(S$6-S$5)),S$7-SQRT((1-NORMSDIST(S$9*SQRT($C$11)*NORMSINV($B499)+SQRT(1-S$9^2*$C$11)*NORMSINV(R499)))*(S$7-S$5)*(S$7-S$6))))</f>
        <v>0.624841362035065</v>
      </c>
      <c r="T499" s="2" t="n">
        <v>0.680543226</v>
      </c>
      <c r="U499" s="2" t="n">
        <f aca="false">IF(U$7=U$5,U$6,IF(NORMSDIST(U$9*SQRT($C$11)*NORMSINV($B499)+SQRT(1-U$9^2*$C$11)*NORMSINV(T499))&lt;U$8,U$5+SQRT(NORMSDIST(U$9*SQRT($C$11)*NORMSINV($B499)+SQRT(1-U$9^2*$C$11)*NORMSINV(T499))*(U$7-U$5)*(U$6-U$5)),U$7-SQRT((1-NORMSDIST(U$9*SQRT($C$11)*NORMSINV($B499)+SQRT(1-U$9^2*$C$11)*NORMSINV(T499)))*(U$7-U$5)*(U$7-U$6))))</f>
        <v>0.634667205273102</v>
      </c>
      <c r="V499" s="2" t="n">
        <v>0.868651653</v>
      </c>
      <c r="W499" s="2" t="n">
        <f aca="false">IF(W$7=W$5,W$6,IF(NORMSDIST(W$9*SQRT($C$11)*NORMSINV($B499)+SQRT(1-W$9^2*$C$11)*NORMSINV(V499))&lt;W$8,W$5+SQRT(NORMSDIST(W$9*SQRT($C$11)*NORMSINV($B499)+SQRT(1-W$9^2*$C$11)*NORMSINV(V499))*(W$7-W$5)*(W$6-W$5)),W$7-SQRT((1-NORMSDIST(W$9*SQRT($C$11)*NORMSINV($B499)+SQRT(1-W$9^2*$C$11)*NORMSINV(V499)))*(W$7-W$5)*(W$7-W$6))))</f>
        <v>10.9800626035827</v>
      </c>
      <c r="X499" s="2" t="n">
        <v>0.489805053</v>
      </c>
      <c r="Y499" s="2" t="n">
        <f aca="false">IF(Y$7=Y$5,Y$6,IF(NORMSDIST(Y$9*SQRT($C$11)*NORMSINV($B499)+SQRT(1-Y$9^2*$C$11)*NORMSINV(X499))&lt;Y$8,Y$5+SQRT(NORMSDIST(Y$9*SQRT($C$11)*NORMSINV($B499)+SQRT(1-Y$9^2*$C$11)*NORMSINV(X499))*(Y$7-Y$5)*(Y$6-Y$5)),Y$7-SQRT((1-NORMSDIST(Y$9*SQRT($C$11)*NORMSINV($B499)+SQRT(1-Y$9^2*$C$11)*NORMSINV(X499)))*(Y$7-Y$5)*(Y$7-Y$6))))</f>
        <v>0.494876273931172</v>
      </c>
      <c r="Z499" s="2" t="n">
        <v>0.977185851</v>
      </c>
      <c r="AA499" s="2" t="n">
        <f aca="false">IF(AA$7=AA$5,AA$6,IF(NORMSDIST(AA$9*SQRT($C$11)*NORMSINV($B499)+SQRT(1-AA$9^2*$C$11)*NORMSINV(Z499))&lt;AA$8,AA$5+SQRT(NORMSDIST(AA$9*SQRT($C$11)*NORMSINV($B499)+SQRT(1-AA$9^2*$C$11)*NORMSINV(Z499))*(AA$7-AA$5)*(AA$6-AA$5)),AA$7-SQRT((1-NORMSDIST(AA$9*SQRT($C$11)*NORMSINV($B499)+SQRT(1-AA$9^2*$C$11)*NORMSINV(Z499)))*(AA$7-AA$5)*(AA$7-AA$6))))</f>
        <v>0.747127260964137</v>
      </c>
      <c r="AB499" s="2" t="n">
        <v>0.723058628</v>
      </c>
      <c r="AC499" s="2" t="n">
        <f aca="false">IF(AC$7=AC$5,AC$6,IF(NORMSDIST(AC$9*SQRT($C$11)*NORMSINV($B499)+SQRT(1-AC$9^2*$C$11)*NORMSINV(AB499))&lt;AC$8,AC$5+SQRT(NORMSDIST(AC$9*SQRT($C$11)*NORMSINV($B499)+SQRT(1-AC$9^2*$C$11)*NORMSINV(AB499))*(AC$7-AC$5)*(AC$6-AC$5)),AC$7-SQRT((1-NORMSDIST(AC$9*SQRT($C$11)*NORMSINV($B499)+SQRT(1-AC$9^2*$C$11)*NORMSINV(AB499)))*(AC$7-AC$5)*(AC$7-AC$6))))</f>
        <v>9.98893380830517</v>
      </c>
      <c r="AD499" s="2" t="n">
        <f aca="false">Entrées!$C$8*(1+E499)</f>
        <v>7446.34792665762</v>
      </c>
      <c r="AE499" s="2" t="n">
        <f aca="false">I499*Hypothèses!$J$24/12/Hypothèses!$J$19</f>
        <v>99.0889680896959</v>
      </c>
      <c r="AF499" s="2" t="n">
        <f aca="false">Entrées!$C$36*S499*1000</f>
        <v>312.420681017532</v>
      </c>
      <c r="AG499" s="2" t="n">
        <f aca="false">-AF499/W499</f>
        <v>-28.4534517057846</v>
      </c>
      <c r="AH499" s="2" t="n">
        <f aca="false">AD499+AE499+AG499</f>
        <v>7516.98344304153</v>
      </c>
      <c r="AI499" s="2" t="n">
        <f aca="false">Entrées!$C$16-M499+Hypothèses!$J$22*1000-AF499+Hypothèses!$J$23</f>
        <v>22667.2314277887</v>
      </c>
      <c r="AJ499" s="2" t="n">
        <f aca="false">AI499/AH499</f>
        <v>3.01546911730552</v>
      </c>
      <c r="AK499" s="2" t="n">
        <f aca="false">AI499/(AH499+I499*(12-Hypothèses!$J$24)/12/Hypothèses!$J$19)</f>
        <v>2.98734114044001</v>
      </c>
      <c r="AL499" s="2" t="n">
        <f aca="false">(AD499+AG499+I499/Hypothèses!$J$19)*(1+G499)</f>
        <v>8013.01023175216</v>
      </c>
      <c r="AM499" s="2" t="n">
        <f aca="false">Entrées!$C$54*K499/Hypothèses!$J$19</f>
        <v>38.9833647440571</v>
      </c>
      <c r="AN499" s="2" t="n">
        <f aca="false">Y499*1000/AC499</f>
        <v>49.5424520202259</v>
      </c>
      <c r="AO499" s="2" t="n">
        <f aca="false">(Entrées!$C$36*(1-S499)+MAX(0,Entrées!$C$30-Entrées!$C$35-Entrées!$C$36)*U499)*1000</f>
        <v>1076.11340636481</v>
      </c>
      <c r="AP499" s="2" t="n">
        <f aca="false">-AO499/W499</f>
        <v>-98.0061266694128</v>
      </c>
      <c r="AQ499" s="2" t="n">
        <f aca="false">AL499+AM499+AN499+AP499</f>
        <v>8003.52992184703</v>
      </c>
      <c r="AR499" s="2" t="n">
        <f aca="false">O499*AQ499-Hypothèses!$J$25/Hypothèses!$J$19</f>
        <v>1278.1692843474</v>
      </c>
      <c r="AS499" s="2" t="n">
        <f aca="false">Entrées!$C$79*(1+Q499)+Hypothèses!$J$20</f>
        <v>1499.58659799718</v>
      </c>
      <c r="AT499" s="2" t="n">
        <f aca="false">AI499-AR499+AS499+Y499*1000-AO499+Hypothèses!$J$23</f>
        <v>22307.4116090048</v>
      </c>
      <c r="AU499" s="2" t="n">
        <f aca="false">AT499/AQ499</f>
        <v>2.78719662784203</v>
      </c>
      <c r="AV499" s="2" t="n">
        <f aca="false">Hypothèses!$J$26*AQ499-AT499</f>
        <v>1703.17815653628</v>
      </c>
      <c r="AW499" s="2" t="n">
        <f aca="false">IF(AC499&gt;Hypothèses!$J$26,MAX(0,AV499)/(1-Hypothèses!$J$26/AC499),0)</f>
        <v>2434.2674198996</v>
      </c>
      <c r="AX499" s="2" t="n">
        <f aca="false">AQ499-Entrées!$C$17*1000</f>
        <v>3.52992184703453</v>
      </c>
      <c r="AY499" s="2" t="n">
        <f aca="false">AI499+(Entrées!$C$244-Entrées!$C$13)</f>
        <v>28414.2314277887</v>
      </c>
      <c r="AZ499" s="2" t="n">
        <f aca="false">AA499*AH499</f>
        <v>5616.14325051239</v>
      </c>
      <c r="BA499" s="2" t="n">
        <f aca="false">AZ499/AY499</f>
        <v>0.197652477941736</v>
      </c>
      <c r="BB499" s="2" t="n">
        <f aca="false">AZ499/(Entrées!$C$151/100)-AY499</f>
        <v>2786.56440839125</v>
      </c>
      <c r="BC499" s="2" t="n">
        <f aca="false">AT499+(Entrées!$C$244-Entrées!$C$13)</f>
        <v>28054.4116090048</v>
      </c>
      <c r="BD499" s="2" t="n">
        <f aca="false">AA499*AQ499</f>
        <v>5979.65538855409</v>
      </c>
      <c r="BE499" s="2" t="n">
        <f aca="false">BD499/BC499</f>
        <v>0.213144922513176</v>
      </c>
      <c r="BF499" s="2" t="n">
        <f aca="false">BD499/(Entrées!$C$151/100)-BC499</f>
        <v>5165.89610518454</v>
      </c>
      <c r="BG499" s="2" t="n">
        <f aca="false">MIN(AV499,BF499)</f>
        <v>1703.17815653628</v>
      </c>
      <c r="BH499" s="2" t="n">
        <f aca="false">IF(AC499&gt;Hypothèses!$J$26,MAX(0,BG499)/(1-Hypothèses!$J$26/AC499),0)</f>
        <v>2434.2674198996</v>
      </c>
    </row>
    <row r="500" customFormat="false" ht="15" hidden="false" customHeight="false" outlineLevel="0" collapsed="false">
      <c r="A500" s="2" t="n">
        <v>485</v>
      </c>
      <c r="B500" s="2" t="n">
        <v>0.284252664</v>
      </c>
      <c r="C500" s="2"/>
      <c r="D500" s="2" t="n">
        <v>0.104953199</v>
      </c>
      <c r="E500" s="2" t="n">
        <f aca="false">IF(E$7=E$5,E$6,IF(NORMSDIST(E$9*SQRT($C$11)*NORMSINV($B500)+SQRT(1-E$9^2*$C$11)*NORMSINV(D500))&lt;E$8,E$5+SQRT(NORMSDIST(E$9*SQRT($C$11)*NORMSINV($B500)+SQRT(1-E$9^2*$C$11)*NORMSINV(D500))*(E$7-E$5)*(E$6-E$5)),E$7-SQRT((1-NORMSDIST(E$9*SQRT($C$11)*NORMSINV($B500)+SQRT(1-E$9^2*$C$11)*NORMSINV(D500)))*(E$7-E$5)*(E$7-E$6))))</f>
        <v>0.0521383624709285</v>
      </c>
      <c r="F500" s="2" t="n">
        <v>0.832651911</v>
      </c>
      <c r="G500" s="2" t="n">
        <f aca="false">IF(G$7=G$5,G$6,IF(NORMSDIST(G$9*SQRT($C$11)*NORMSINV($B500)+SQRT(1-G$9^2*$C$11)*NORMSINV(F500))&lt;G$8,G$5+SQRT(NORMSDIST(G$9*SQRT($C$11)*NORMSINV($B500)+SQRT(1-G$9^2*$C$11)*NORMSINV(F500))*(G$7-G$5)*(G$6-G$5)),G$7-SQRT((1-NORMSDIST(G$9*SQRT($C$11)*NORMSINV($B500)+SQRT(1-G$9^2*$C$11)*NORMSINV(F500)))*(G$7-G$5)*(G$7-G$6))))</f>
        <v>0.0574585397984321</v>
      </c>
      <c r="H500" s="2" t="n">
        <v>0.433135505</v>
      </c>
      <c r="I500" s="2" t="n">
        <f aca="false">IF(I$7=I$5,I$6,IF(NORMSDIST(I$9*SQRT($C$11)*NORMSINV($B500)+SQRT(1-I$9^2*$C$11)*NORMSINV(H500))&lt;I$8,I$5+SQRT(NORMSDIST(I$9*SQRT($C$11)*NORMSINV($B500)+SQRT(1-I$9^2*$C$11)*NORMSINV(H500))*(I$7-I$5)*(I$6-I$5)),I$7-SQRT((1-NORMSDIST(I$9*SQRT($C$11)*NORMSINV($B500)+SQRT(1-I$9^2*$C$11)*NORMSINV(H500)))*(I$7-I$5)*(I$7-I$6))))</f>
        <v>195.790574947144</v>
      </c>
      <c r="J500" s="2" t="n">
        <v>0.107769244</v>
      </c>
      <c r="K500" s="2" t="n">
        <f aca="false">IF(K$7=K$5,K$6,IF(NORMSDIST(K$9*SQRT($C$11)*NORMSINV($B500)+SQRT(1-K$9^2*$C$11)*NORMSINV(J500))&lt;K$8,K$5+SQRT(NORMSDIST(K$9*SQRT($C$11)*NORMSINV($B500)+SQRT(1-K$9^2*$C$11)*NORMSINV(J500))*(K$7-K$5)*(K$6-K$5)),K$7-SQRT((1-NORMSDIST(K$9*SQRT($C$11)*NORMSINV($B500)+SQRT(1-K$9^2*$C$11)*NORMSINV(J500)))*(K$7-K$5)*(K$7-K$6))))</f>
        <v>0.108062765735289</v>
      </c>
      <c r="L500" s="2" t="n">
        <v>0.491702399</v>
      </c>
      <c r="M500" s="2" t="n">
        <f aca="false">IF(M$7=M$5,M$6,IF(NORMSDIST(M$9*SQRT($C$11)*NORMSINV($B500)+SQRT(1-M$9^2*$C$11)*NORMSINV(L500))&lt;M$8,M$5+SQRT(NORMSDIST(M$9*SQRT($C$11)*NORMSINV($B500)+SQRT(1-M$9^2*$C$11)*NORMSINV(L500))*(M$7-M$5)*(M$6-M$5)),M$7-SQRT((1-NORMSDIST(M$9*SQRT($C$11)*NORMSINV($B500)+SQRT(1-M$9^2*$C$11)*NORMSINV(L500)))*(M$7-M$5)*(M$7-M$6))))</f>
        <v>1540.33161524173</v>
      </c>
      <c r="N500" s="2" t="n">
        <v>0.353292602</v>
      </c>
      <c r="O500" s="2" t="n">
        <f aca="false">IF(O$7=O$5,O$6,IF(NORMSDIST(O$9*SQRT($C$11)*NORMSINV($B500)+SQRT(1-O$9^2*$C$11)*NORMSINV(N500))&lt;O$8,O$5+SQRT(NORMSDIST(O$9*SQRT($C$11)*NORMSINV($B500)+SQRT(1-O$9^2*$C$11)*NORMSINV(N500))*(O$7-O$5)*(O$6-O$5)),O$7-SQRT((1-NORMSDIST(O$9*SQRT($C$11)*NORMSINV($B500)+SQRT(1-O$9^2*$C$11)*NORMSINV(N500)))*(O$7-O$5)*(O$7-O$6))))</f>
        <v>0.159207247958193</v>
      </c>
      <c r="P500" s="2" t="n">
        <v>0.446127064</v>
      </c>
      <c r="Q500" s="2" t="n">
        <f aca="false">IF(Q$7=Q$5,Q$6,IF(NORMSDIST(Q$9*SQRT($C$11)*NORMSINV($B500)+SQRT(1-Q$9^2*$C$11)*NORMSINV(P500))&lt;Q$8,Q$5+SQRT(NORMSDIST(Q$9*SQRT($C$11)*NORMSINV($B500)+SQRT(1-Q$9^2*$C$11)*NORMSINV(P500))*(Q$7-Q$5)*(Q$6-Q$5)),Q$7-SQRT((1-NORMSDIST(Q$9*SQRT($C$11)*NORMSINV($B500)+SQRT(1-Q$9^2*$C$11)*NORMSINV(P500)))*(Q$7-Q$5)*(Q$7-Q$6))))</f>
        <v>0.077783681726375</v>
      </c>
      <c r="R500" s="2" t="n">
        <v>0.529432112</v>
      </c>
      <c r="S500" s="2" t="n">
        <f aca="false">IF(S$7=S$5,S$6,IF(NORMSDIST(S$9*SQRT($C$11)*NORMSINV($B500)+SQRT(1-S$9^2*$C$11)*NORMSINV(R500))&lt;S$8,S$5+SQRT(NORMSDIST(S$9*SQRT($C$11)*NORMSINV($B500)+SQRT(1-S$9^2*$C$11)*NORMSINV(R500))*(S$7-S$5)*(S$6-S$5)),S$7-SQRT((1-NORMSDIST(S$9*SQRT($C$11)*NORMSINV($B500)+SQRT(1-S$9^2*$C$11)*NORMSINV(R500)))*(S$7-S$5)*(S$7-S$6))))</f>
        <v>0.436330599465353</v>
      </c>
      <c r="T500" s="2" t="n">
        <v>0.389126279</v>
      </c>
      <c r="U500" s="2" t="n">
        <f aca="false">IF(U$7=U$5,U$6,IF(NORMSDIST(U$9*SQRT($C$11)*NORMSINV($B500)+SQRT(1-U$9^2*$C$11)*NORMSINV(T500))&lt;U$8,U$5+SQRT(NORMSDIST(U$9*SQRT($C$11)*NORMSINV($B500)+SQRT(1-U$9^2*$C$11)*NORMSINV(T500))*(U$7-U$5)*(U$6-U$5)),U$7-SQRT((1-NORMSDIST(U$9*SQRT($C$11)*NORMSINV($B500)+SQRT(1-U$9^2*$C$11)*NORMSINV(T500)))*(U$7-U$5)*(U$7-U$6))))</f>
        <v>0.375078193799932</v>
      </c>
      <c r="V500" s="2" t="n">
        <v>0.907006527</v>
      </c>
      <c r="W500" s="2" t="n">
        <f aca="false">IF(W$7=W$5,W$6,IF(NORMSDIST(W$9*SQRT($C$11)*NORMSINV($B500)+SQRT(1-W$9^2*$C$11)*NORMSINV(V500))&lt;W$8,W$5+SQRT(NORMSDIST(W$9*SQRT($C$11)*NORMSINV($B500)+SQRT(1-W$9^2*$C$11)*NORMSINV(V500))*(W$7-W$5)*(W$6-W$5)),W$7-SQRT((1-NORMSDIST(W$9*SQRT($C$11)*NORMSINV($B500)+SQRT(1-W$9^2*$C$11)*NORMSINV(V500)))*(W$7-W$5)*(W$7-W$6))))</f>
        <v>10.5761567957162</v>
      </c>
      <c r="X500" s="2" t="n">
        <v>0.752750296</v>
      </c>
      <c r="Y500" s="2" t="n">
        <f aca="false">IF(Y$7=Y$5,Y$6,IF(NORMSDIST(Y$9*SQRT($C$11)*NORMSINV($B500)+SQRT(1-Y$9^2*$C$11)*NORMSINV(X500))&lt;Y$8,Y$5+SQRT(NORMSDIST(Y$9*SQRT($C$11)*NORMSINV($B500)+SQRT(1-Y$9^2*$C$11)*NORMSINV(X500))*(Y$7-Y$5)*(Y$6-Y$5)),Y$7-SQRT((1-NORMSDIST(Y$9*SQRT($C$11)*NORMSINV($B500)+SQRT(1-Y$9^2*$C$11)*NORMSINV(X500)))*(Y$7-Y$5)*(Y$7-Y$6))))</f>
        <v>0.648396740629442</v>
      </c>
      <c r="Z500" s="2" t="n">
        <v>0.217530575</v>
      </c>
      <c r="AA500" s="2" t="n">
        <f aca="false">IF(AA$7=AA$5,AA$6,IF(NORMSDIST(AA$9*SQRT($C$11)*NORMSINV($B500)+SQRT(1-AA$9^2*$C$11)*NORMSINV(Z500))&lt;AA$8,AA$5+SQRT(NORMSDIST(AA$9*SQRT($C$11)*NORMSINV($B500)+SQRT(1-AA$9^2*$C$11)*NORMSINV(Z500))*(AA$7-AA$5)*(AA$6-AA$5)),AA$7-SQRT((1-NORMSDIST(AA$9*SQRT($C$11)*NORMSINV($B500)+SQRT(1-AA$9^2*$C$11)*NORMSINV(Z500)))*(AA$7-AA$5)*(AA$7-AA$6))))</f>
        <v>0.714247455391707</v>
      </c>
      <c r="AB500" s="2" t="n">
        <v>0.88447833</v>
      </c>
      <c r="AC500" s="2" t="n">
        <f aca="false">IF(AC$7=AC$5,AC$6,IF(NORMSDIST(AC$9*SQRT($C$11)*NORMSINV($B500)+SQRT(1-AC$9^2*$C$11)*NORMSINV(AB500))&lt;AC$8,AC$5+SQRT(NORMSDIST(AC$9*SQRT($C$11)*NORMSINV($B500)+SQRT(1-AC$9^2*$C$11)*NORMSINV(AB500))*(AC$7-AC$5)*(AC$6-AC$5)),AC$7-SQRT((1-NORMSDIST(AC$9*SQRT($C$11)*NORMSINV($B500)+SQRT(1-AC$9^2*$C$11)*NORMSINV(AB500)))*(AC$7-AC$5)*(AC$7-AC$6))))</f>
        <v>9.88974698927594</v>
      </c>
      <c r="AD500" s="2" t="n">
        <f aca="false">Entrées!$C$8*(1+E500)</f>
        <v>7417.57545542005</v>
      </c>
      <c r="AE500" s="2" t="n">
        <f aca="false">I500*Hypothèses!$J$24/12/Hypothèses!$J$19</f>
        <v>97.1310775791649</v>
      </c>
      <c r="AF500" s="2" t="n">
        <f aca="false">Entrées!$C$36*S500*1000</f>
        <v>218.165299732677</v>
      </c>
      <c r="AG500" s="2" t="n">
        <f aca="false">-AF500/W500</f>
        <v>-20.6280318972808</v>
      </c>
      <c r="AH500" s="2" t="n">
        <f aca="false">AD500+AE500+AG500</f>
        <v>7494.07850110193</v>
      </c>
      <c r="AI500" s="2" t="n">
        <f aca="false">Entrées!$C$16-M500+Hypothèses!$J$22*1000-AF500+Hypothèses!$J$23</f>
        <v>22789.5030850256</v>
      </c>
      <c r="AJ500" s="2" t="n">
        <f aca="false">AI500/AH500</f>
        <v>3.04100138284842</v>
      </c>
      <c r="AK500" s="2" t="n">
        <f aca="false">AI500/(AH500+I500*(12-Hypothèses!$J$24)/12/Hypothèses!$J$19)</f>
        <v>3.01310638075913</v>
      </c>
      <c r="AL500" s="2" t="n">
        <f aca="false">(AD500+AG500+I500/Hypothèses!$J$19)*(1+G500)</f>
        <v>7998.04308567144</v>
      </c>
      <c r="AM500" s="2" t="n">
        <f aca="false">Entrées!$C$54*K500/Hypothèses!$J$19</f>
        <v>11.0282589695191</v>
      </c>
      <c r="AN500" s="2" t="n">
        <f aca="false">Y500*1000/AC500</f>
        <v>65.5625205915317</v>
      </c>
      <c r="AO500" s="2" t="n">
        <f aca="false">(Entrées!$C$36*(1-S500)+MAX(0,Entrées!$C$30-Entrées!$C$35-Entrées!$C$36)*U500)*1000</f>
        <v>806.944171587229</v>
      </c>
      <c r="AP500" s="2" t="n">
        <f aca="false">-AO500/W500</f>
        <v>-76.2984311951652</v>
      </c>
      <c r="AQ500" s="2" t="n">
        <f aca="false">AL500+AM500+AN500+AP500</f>
        <v>7998.33543403732</v>
      </c>
      <c r="AR500" s="2" t="n">
        <f aca="false">O500*AQ500-Hypothèses!$J$25/Hypothèses!$J$19</f>
        <v>1254.25781043795</v>
      </c>
      <c r="AS500" s="2" t="n">
        <f aca="false">Entrées!$C$79*(1+Q500)+Hypothèses!$J$20</f>
        <v>1479.48426621729</v>
      </c>
      <c r="AT500" s="2" t="n">
        <f aca="false">AI500-AR500+AS500+Y500*1000-AO500+Hypothèses!$J$23</f>
        <v>22856.1821098471</v>
      </c>
      <c r="AU500" s="2" t="n">
        <f aca="false">AT500/AQ500</f>
        <v>2.85761735030285</v>
      </c>
      <c r="AV500" s="2" t="n">
        <f aca="false">Hypothèses!$J$26*AQ500-AT500</f>
        <v>1138.82419226482</v>
      </c>
      <c r="AW500" s="2" t="n">
        <f aca="false">IF(AC500&gt;Hypothèses!$J$26,MAX(0,AV500)/(1-Hypothèses!$J$26/AC500),0)</f>
        <v>1634.7019918578</v>
      </c>
      <c r="AX500" s="2" t="n">
        <f aca="false">AQ500-Entrées!$C$17*1000</f>
        <v>-1.66456596267835</v>
      </c>
      <c r="AY500" s="2" t="n">
        <f aca="false">AI500+(Entrées!$C$244-Entrées!$C$13)</f>
        <v>28536.5030850256</v>
      </c>
      <c r="AZ500" s="2" t="n">
        <f aca="false">AA500*AH500</f>
        <v>5352.62649991775</v>
      </c>
      <c r="BA500" s="2" t="n">
        <f aca="false">AZ500/AY500</f>
        <v>0.187571213051908</v>
      </c>
      <c r="BB500" s="2" t="n">
        <f aca="false">AZ500/(Entrées!$C$151/100)-AY500</f>
        <v>1200.31080340636</v>
      </c>
      <c r="BC500" s="2" t="n">
        <f aca="false">AT500+(Entrées!$C$244-Entrées!$C$13)</f>
        <v>28603.1821098471</v>
      </c>
      <c r="BD500" s="2" t="n">
        <f aca="false">AA500*AQ500</f>
        <v>5712.79073113048</v>
      </c>
      <c r="BE500" s="2" t="n">
        <f aca="false">BD500/BC500</f>
        <v>0.199725705664187</v>
      </c>
      <c r="BF500" s="2" t="n">
        <f aca="false">BD500/(Entrées!$C$151/100)-BC500</f>
        <v>3134.5441742111</v>
      </c>
      <c r="BG500" s="2" t="n">
        <f aca="false">MIN(AV500,BF500)</f>
        <v>1138.82419226482</v>
      </c>
      <c r="BH500" s="2" t="n">
        <f aca="false">IF(AC500&gt;Hypothèses!$J$26,MAX(0,BG500)/(1-Hypothèses!$J$26/AC500),0)</f>
        <v>1634.7019918578</v>
      </c>
    </row>
    <row r="501" customFormat="false" ht="15" hidden="false" customHeight="false" outlineLevel="0" collapsed="false">
      <c r="A501" s="2" t="n">
        <v>486</v>
      </c>
      <c r="B501" s="2" t="n">
        <v>0.807840657</v>
      </c>
      <c r="C501" s="2"/>
      <c r="D501" s="2" t="n">
        <v>0.159794009</v>
      </c>
      <c r="E501" s="2" t="n">
        <f aca="false">IF(E$7=E$5,E$6,IF(NORMSDIST(E$9*SQRT($C$11)*NORMSINV($B501)+SQRT(1-E$9^2*$C$11)*NORMSINV(D501))&lt;E$8,E$5+SQRT(NORMSDIST(E$9*SQRT($C$11)*NORMSINV($B501)+SQRT(1-E$9^2*$C$11)*NORMSINV(D501))*(E$7-E$5)*(E$6-E$5)),E$7-SQRT((1-NORMSDIST(E$9*SQRT($C$11)*NORMSINV($B501)+SQRT(1-E$9^2*$C$11)*NORMSINV(D501)))*(E$7-E$5)*(E$7-E$6))))</f>
        <v>0.054542277095831</v>
      </c>
      <c r="F501" s="2" t="n">
        <v>0.04429526</v>
      </c>
      <c r="G501" s="2" t="n">
        <f aca="false">IF(G$7=G$5,G$6,IF(NORMSDIST(G$9*SQRT($C$11)*NORMSINV($B501)+SQRT(1-G$9^2*$C$11)*NORMSINV(F501))&lt;G$8,G$5+SQRT(NORMSDIST(G$9*SQRT($C$11)*NORMSINV($B501)+SQRT(1-G$9^2*$C$11)*NORMSINV(F501))*(G$7-G$5)*(G$6-G$5)),G$7-SQRT((1-NORMSDIST(G$9*SQRT($C$11)*NORMSINV($B501)+SQRT(1-G$9^2*$C$11)*NORMSINV(F501)))*(G$7-G$5)*(G$7-G$6))))</f>
        <v>0.049972396722593</v>
      </c>
      <c r="H501" s="2" t="n">
        <v>0.861115064</v>
      </c>
      <c r="I501" s="2" t="n">
        <f aca="false">IF(I$7=I$5,I$6,IF(NORMSDIST(I$9*SQRT($C$11)*NORMSINV($B501)+SQRT(1-I$9^2*$C$11)*NORMSINV(H501))&lt;I$8,I$5+SQRT(NORMSDIST(I$9*SQRT($C$11)*NORMSINV($B501)+SQRT(1-I$9^2*$C$11)*NORMSINV(H501))*(I$7-I$5)*(I$6-I$5)),I$7-SQRT((1-NORMSDIST(I$9*SQRT($C$11)*NORMSINV($B501)+SQRT(1-I$9^2*$C$11)*NORMSINV(H501)))*(I$7-I$5)*(I$7-I$6))))</f>
        <v>211.89443944153</v>
      </c>
      <c r="J501" s="2" t="n">
        <v>0.702077218</v>
      </c>
      <c r="K501" s="2" t="n">
        <f aca="false">IF(K$7=K$5,K$6,IF(NORMSDIST(K$9*SQRT($C$11)*NORMSINV($B501)+SQRT(1-K$9^2*$C$11)*NORMSINV(J501))&lt;K$8,K$5+SQRT(NORMSDIST(K$9*SQRT($C$11)*NORMSINV($B501)+SQRT(1-K$9^2*$C$11)*NORMSINV(J501))*(K$7-K$5)*(K$6-K$5)),K$7-SQRT((1-NORMSDIST(K$9*SQRT($C$11)*NORMSINV($B501)+SQRT(1-K$9^2*$C$11)*NORMSINV(J501)))*(K$7-K$5)*(K$7-K$6))))</f>
        <v>0.354972518179701</v>
      </c>
      <c r="L501" s="2" t="n">
        <v>0.102077891</v>
      </c>
      <c r="M501" s="2" t="n">
        <f aca="false">IF(M$7=M$5,M$6,IF(NORMSDIST(M$9*SQRT($C$11)*NORMSINV($B501)+SQRT(1-M$9^2*$C$11)*NORMSINV(L501))&lt;M$8,M$5+SQRT(NORMSDIST(M$9*SQRT($C$11)*NORMSINV($B501)+SQRT(1-M$9^2*$C$11)*NORMSINV(L501))*(M$7-M$5)*(M$6-M$5)),M$7-SQRT((1-NORMSDIST(M$9*SQRT($C$11)*NORMSINV($B501)+SQRT(1-M$9^2*$C$11)*NORMSINV(L501)))*(M$7-M$5)*(M$7-M$6))))</f>
        <v>1533.24355544004</v>
      </c>
      <c r="N501" s="2" t="n">
        <v>0.960930533</v>
      </c>
      <c r="O501" s="2" t="n">
        <f aca="false">IF(O$7=O$5,O$6,IF(NORMSDIST(O$9*SQRT($C$11)*NORMSINV($B501)+SQRT(1-O$9^2*$C$11)*NORMSINV(N501))&lt;O$8,O$5+SQRT(NORMSDIST(O$9*SQRT($C$11)*NORMSINV($B501)+SQRT(1-O$9^2*$C$11)*NORMSINV(N501))*(O$7-O$5)*(O$6-O$5)),O$7-SQRT((1-NORMSDIST(O$9*SQRT($C$11)*NORMSINV($B501)+SQRT(1-O$9^2*$C$11)*NORMSINV(N501)))*(O$7-O$5)*(O$7-O$6))))</f>
        <v>0.184561913766952</v>
      </c>
      <c r="P501" s="2" t="n">
        <v>0.491484727</v>
      </c>
      <c r="Q501" s="2" t="n">
        <f aca="false">IF(Q$7=Q$5,Q$6,IF(NORMSDIST(Q$9*SQRT($C$11)*NORMSINV($B501)+SQRT(1-Q$9^2*$C$11)*NORMSINV(P501))&lt;Q$8,Q$5+SQRT(NORMSDIST(Q$9*SQRT($C$11)*NORMSINV($B501)+SQRT(1-Q$9^2*$C$11)*NORMSINV(P501))*(Q$7-Q$5)*(Q$6-Q$5)),Q$7-SQRT((1-NORMSDIST(Q$9*SQRT($C$11)*NORMSINV($B501)+SQRT(1-Q$9^2*$C$11)*NORMSINV(P501)))*(Q$7-Q$5)*(Q$7-Q$6))))</f>
        <v>0.0796579264006579</v>
      </c>
      <c r="R501" s="2" t="n">
        <v>0.487633349</v>
      </c>
      <c r="S501" s="2" t="n">
        <f aca="false">IF(S$7=S$5,S$6,IF(NORMSDIST(S$9*SQRT($C$11)*NORMSINV($B501)+SQRT(1-S$9^2*$C$11)*NORMSINV(R501))&lt;S$8,S$5+SQRT(NORMSDIST(S$9*SQRT($C$11)*NORMSINV($B501)+SQRT(1-S$9^2*$C$11)*NORMSINV(R501))*(S$7-S$5)*(S$6-S$5)),S$7-SQRT((1-NORMSDIST(S$9*SQRT($C$11)*NORMSINV($B501)+SQRT(1-S$9^2*$C$11)*NORMSINV(R501)))*(S$7-S$5)*(S$7-S$6))))</f>
        <v>0.613105529768279</v>
      </c>
      <c r="T501" s="2" t="n">
        <v>0.845226593</v>
      </c>
      <c r="U501" s="2" t="n">
        <f aca="false">IF(U$7=U$5,U$6,IF(NORMSDIST(U$9*SQRT($C$11)*NORMSINV($B501)+SQRT(1-U$9^2*$C$11)*NORMSINV(T501))&lt;U$8,U$5+SQRT(NORMSDIST(U$9*SQRT($C$11)*NORMSINV($B501)+SQRT(1-U$9^2*$C$11)*NORMSINV(T501))*(U$7-U$5)*(U$6-U$5)),U$7-SQRT((1-NORMSDIST(U$9*SQRT($C$11)*NORMSINV($B501)+SQRT(1-U$9^2*$C$11)*NORMSINV(T501)))*(U$7-U$5)*(U$7-U$6))))</f>
        <v>0.787213852381655</v>
      </c>
      <c r="V501" s="2" t="n">
        <v>0.761535741</v>
      </c>
      <c r="W501" s="2" t="n">
        <f aca="false">IF(W$7=W$5,W$6,IF(NORMSDIST(W$9*SQRT($C$11)*NORMSINV($B501)+SQRT(1-W$9^2*$C$11)*NORMSINV(V501))&lt;W$8,W$5+SQRT(NORMSDIST(W$9*SQRT($C$11)*NORMSINV($B501)+SQRT(1-W$9^2*$C$11)*NORMSINV(V501))*(W$7-W$5)*(W$6-W$5)),W$7-SQRT((1-NORMSDIST(W$9*SQRT($C$11)*NORMSINV($B501)+SQRT(1-W$9^2*$C$11)*NORMSINV(V501)))*(W$7-W$5)*(W$7-W$6))))</f>
        <v>10.9591691264332</v>
      </c>
      <c r="X501" s="2" t="n">
        <v>0.405083751</v>
      </c>
      <c r="Y501" s="2" t="n">
        <f aca="false">IF(Y$7=Y$5,Y$6,IF(NORMSDIST(Y$9*SQRT($C$11)*NORMSINV($B501)+SQRT(1-Y$9^2*$C$11)*NORMSINV(X501))&lt;Y$8,Y$5+SQRT(NORMSDIST(Y$9*SQRT($C$11)*NORMSINV($B501)+SQRT(1-Y$9^2*$C$11)*NORMSINV(X501))*(Y$7-Y$5)*(Y$6-Y$5)),Y$7-SQRT((1-NORMSDIST(Y$9*SQRT($C$11)*NORMSINV($B501)+SQRT(1-Y$9^2*$C$11)*NORMSINV(X501)))*(Y$7-Y$5)*(Y$7-Y$6))))</f>
        <v>0.450046525928153</v>
      </c>
      <c r="Z501" s="2" t="n">
        <v>0.627324524</v>
      </c>
      <c r="AA501" s="2" t="n">
        <f aca="false">IF(AA$7=AA$5,AA$6,IF(NORMSDIST(AA$9*SQRT($C$11)*NORMSINV($B501)+SQRT(1-AA$9^2*$C$11)*NORMSINV(Z501))&lt;AA$8,AA$5+SQRT(NORMSDIST(AA$9*SQRT($C$11)*NORMSINV($B501)+SQRT(1-AA$9^2*$C$11)*NORMSINV(Z501))*(AA$7-AA$5)*(AA$6-AA$5)),AA$7-SQRT((1-NORMSDIST(AA$9*SQRT($C$11)*NORMSINV($B501)+SQRT(1-AA$9^2*$C$11)*NORMSINV(Z501)))*(AA$7-AA$5)*(AA$7-AA$6))))</f>
        <v>0.73738860536811</v>
      </c>
      <c r="AB501" s="2" t="n">
        <v>0.842907936</v>
      </c>
      <c r="AC501" s="2" t="n">
        <f aca="false">IF(AC$7=AC$5,AC$6,IF(NORMSDIST(AC$9*SQRT($C$11)*NORMSINV($B501)+SQRT(1-AC$9^2*$C$11)*NORMSINV(AB501))&lt;AC$8,AC$5+SQRT(NORMSDIST(AC$9*SQRT($C$11)*NORMSINV($B501)+SQRT(1-AC$9^2*$C$11)*NORMSINV(AB501))*(AC$7-AC$5)*(AC$6-AC$5)),AC$7-SQRT((1-NORMSDIST(AC$9*SQRT($C$11)*NORMSINV($B501)+SQRT(1-AC$9^2*$C$11)*NORMSINV(AB501)))*(AC$7-AC$5)*(AC$7-AC$6))))</f>
        <v>10.3703025212892</v>
      </c>
      <c r="AD501" s="2" t="n">
        <f aca="false">Entrées!$C$8*(1+E501)</f>
        <v>7434.52305352561</v>
      </c>
      <c r="AE501" s="2" t="n">
        <f aca="false">I501*Hypothèses!$J$24/12/Hypothèses!$J$19</f>
        <v>105.120153212406</v>
      </c>
      <c r="AF501" s="2" t="n">
        <f aca="false">Entrées!$C$36*S501*1000</f>
        <v>306.55276488414</v>
      </c>
      <c r="AG501" s="2" t="n">
        <f aca="false">-AF501/W501</f>
        <v>-27.9722633483904</v>
      </c>
      <c r="AH501" s="2" t="n">
        <f aca="false">AD501+AE501+AG501</f>
        <v>7511.67094338962</v>
      </c>
      <c r="AI501" s="2" t="n">
        <f aca="false">Entrées!$C$16-M501+Hypothèses!$J$22*1000-AF501+Hypothèses!$J$23</f>
        <v>22708.2036796758</v>
      </c>
      <c r="AJ501" s="2" t="n">
        <f aca="false">AI501/AH501</f>
        <v>3.02305623486601</v>
      </c>
      <c r="AK501" s="2" t="n">
        <f aca="false">AI501/(AH501+I501*(12-Hypothèses!$J$24)/12/Hypothèses!$J$19)</f>
        <v>2.99313717003711</v>
      </c>
      <c r="AL501" s="2" t="n">
        <f aca="false">(AD501+AG501+I501/Hypothèses!$J$19)*(1+G501)</f>
        <v>7965.88518611675</v>
      </c>
      <c r="AM501" s="2" t="n">
        <f aca="false">Entrées!$C$54*K501/Hypothèses!$J$19</f>
        <v>36.2264359135283</v>
      </c>
      <c r="AN501" s="2" t="n">
        <f aca="false">Y501*1000/AC501</f>
        <v>43.3976275045258</v>
      </c>
      <c r="AO501" s="2" t="n">
        <f aca="false">(Entrées!$C$36*(1-S501)+MAX(0,Entrées!$C$30-Entrées!$C$35-Entrées!$C$36)*U501)*1000</f>
        <v>1295.54662845018</v>
      </c>
      <c r="AP501" s="2" t="n">
        <f aca="false">-AO501/W501</f>
        <v>-118.215771059264</v>
      </c>
      <c r="AQ501" s="2" t="n">
        <f aca="false">AL501+AM501+AN501+AP501</f>
        <v>7927.29347847554</v>
      </c>
      <c r="AR501" s="2" t="n">
        <f aca="false">O501*AQ501-Hypothèses!$J$25/Hypothèses!$J$19</f>
        <v>1443.94129311809</v>
      </c>
      <c r="AS501" s="2" t="n">
        <f aca="false">Entrées!$C$79*(1+Q501)+Hypothèses!$J$20</f>
        <v>1481.54406111432</v>
      </c>
      <c r="AT501" s="2" t="n">
        <f aca="false">AI501-AR501+AS501+Y501*1000-AO501+Hypothèses!$J$23</f>
        <v>21900.30634515</v>
      </c>
      <c r="AU501" s="2" t="n">
        <f aca="false">AT501/AQ501</f>
        <v>2.76264609158403</v>
      </c>
      <c r="AV501" s="2" t="n">
        <f aca="false">Hypothèses!$J$26*AQ501-AT501</f>
        <v>1881.57409027659</v>
      </c>
      <c r="AW501" s="2" t="n">
        <f aca="false">IF(AC501&gt;Hypothèses!$J$26,MAX(0,AV501)/(1-Hypothèses!$J$26/AC501),0)</f>
        <v>2647.44798141266</v>
      </c>
      <c r="AX501" s="2" t="n">
        <f aca="false">AQ501-Entrées!$C$17*1000</f>
        <v>-72.706521524462</v>
      </c>
      <c r="AY501" s="2" t="n">
        <f aca="false">AI501+(Entrées!$C$244-Entrées!$C$13)</f>
        <v>28455.2036796758</v>
      </c>
      <c r="AZ501" s="2" t="n">
        <f aca="false">AA501*AH501</f>
        <v>5539.02056093023</v>
      </c>
      <c r="BA501" s="2" t="n">
        <f aca="false">AZ501/AY501</f>
        <v>0.194657561523149</v>
      </c>
      <c r="BB501" s="2" t="n">
        <f aca="false">AZ501/(Entrées!$C$151/100)-AY501</f>
        <v>2317.13276993657</v>
      </c>
      <c r="BC501" s="2" t="n">
        <f aca="false">AT501+(Entrées!$C$244-Entrées!$C$13)</f>
        <v>27647.30634515</v>
      </c>
      <c r="BD501" s="2" t="n">
        <f aca="false">AA501*AQ501</f>
        <v>5845.49588243679</v>
      </c>
      <c r="BE501" s="2" t="n">
        <f aca="false">BD501/BC501</f>
        <v>0.211430936868185</v>
      </c>
      <c r="BF501" s="2" t="n">
        <f aca="false">BD501/(Entrées!$C$151/100)-BC501</f>
        <v>4827.67077949881</v>
      </c>
      <c r="BG501" s="2" t="n">
        <f aca="false">MIN(AV501,BF501)</f>
        <v>1881.57409027659</v>
      </c>
      <c r="BH501" s="2" t="n">
        <f aca="false">IF(AC501&gt;Hypothèses!$J$26,MAX(0,BG501)/(1-Hypothèses!$J$26/AC501),0)</f>
        <v>2647.44798141266</v>
      </c>
    </row>
    <row r="502" customFormat="false" ht="15" hidden="false" customHeight="false" outlineLevel="0" collapsed="false">
      <c r="A502" s="2" t="n">
        <v>487</v>
      </c>
      <c r="B502" s="2" t="n">
        <v>0.419646822</v>
      </c>
      <c r="C502" s="2"/>
      <c r="D502" s="2" t="n">
        <v>0.446794444</v>
      </c>
      <c r="E502" s="2" t="n">
        <f aca="false">IF(E$7=E$5,E$6,IF(NORMSDIST(E$9*SQRT($C$11)*NORMSINV($B502)+SQRT(1-E$9^2*$C$11)*NORMSINV(D502))&lt;E$8,E$5+SQRT(NORMSDIST(E$9*SQRT($C$11)*NORMSINV($B502)+SQRT(1-E$9^2*$C$11)*NORMSINV(D502))*(E$7-E$5)*(E$6-E$5)),E$7-SQRT((1-NORMSDIST(E$9*SQRT($C$11)*NORMSINV($B502)+SQRT(1-E$9^2*$C$11)*NORMSINV(D502)))*(E$7-E$5)*(E$7-E$6))))</f>
        <v>0.0545183962972773</v>
      </c>
      <c r="F502" s="2" t="n">
        <v>0.982523111</v>
      </c>
      <c r="G502" s="2" t="n">
        <f aca="false">IF(G$7=G$5,G$6,IF(NORMSDIST(G$9*SQRT($C$11)*NORMSINV($B502)+SQRT(1-G$9^2*$C$11)*NORMSINV(F502))&lt;G$8,G$5+SQRT(NORMSDIST(G$9*SQRT($C$11)*NORMSINV($B502)+SQRT(1-G$9^2*$C$11)*NORMSINV(F502))*(G$7-G$5)*(G$6-G$5)),G$7-SQRT((1-NORMSDIST(G$9*SQRT($C$11)*NORMSINV($B502)+SQRT(1-G$9^2*$C$11)*NORMSINV(F502)))*(G$7-G$5)*(G$7-G$6))))</f>
        <v>0.0645450367704728</v>
      </c>
      <c r="H502" s="2" t="n">
        <v>0.264926651</v>
      </c>
      <c r="I502" s="2" t="n">
        <f aca="false">IF(I$7=I$5,I$6,IF(NORMSDIST(I$9*SQRT($C$11)*NORMSINV($B502)+SQRT(1-I$9^2*$C$11)*NORMSINV(H502))&lt;I$8,I$5+SQRT(NORMSDIST(I$9*SQRT($C$11)*NORMSINV($B502)+SQRT(1-I$9^2*$C$11)*NORMSINV(H502))*(I$7-I$5)*(I$6-I$5)),I$7-SQRT((1-NORMSDIST(I$9*SQRT($C$11)*NORMSINV($B502)+SQRT(1-I$9^2*$C$11)*NORMSINV(H502)))*(I$7-I$5)*(I$7-I$6))))</f>
        <v>194.678292653357</v>
      </c>
      <c r="J502" s="2" t="n">
        <v>0.130975954</v>
      </c>
      <c r="K502" s="2" t="n">
        <f aca="false">IF(K$7=K$5,K$6,IF(NORMSDIST(K$9*SQRT($C$11)*NORMSINV($B502)+SQRT(1-K$9^2*$C$11)*NORMSINV(J502))&lt;K$8,K$5+SQRT(NORMSDIST(K$9*SQRT($C$11)*NORMSINV($B502)+SQRT(1-K$9^2*$C$11)*NORMSINV(J502))*(K$7-K$5)*(K$6-K$5)),K$7-SQRT((1-NORMSDIST(K$9*SQRT($C$11)*NORMSINV($B502)+SQRT(1-K$9^2*$C$11)*NORMSINV(J502)))*(K$7-K$5)*(K$7-K$6))))</f>
        <v>0.141127170240149</v>
      </c>
      <c r="L502" s="2" t="n">
        <v>0.703294881</v>
      </c>
      <c r="M502" s="2" t="n">
        <f aca="false">IF(M$7=M$5,M$6,IF(NORMSDIST(M$9*SQRT($C$11)*NORMSINV($B502)+SQRT(1-M$9^2*$C$11)*NORMSINV(L502))&lt;M$8,M$5+SQRT(NORMSDIST(M$9*SQRT($C$11)*NORMSINV($B502)+SQRT(1-M$9^2*$C$11)*NORMSINV(L502))*(M$7-M$5)*(M$6-M$5)),M$7-SQRT((1-NORMSDIST(M$9*SQRT($C$11)*NORMSINV($B502)+SQRT(1-M$9^2*$C$11)*NORMSINV(L502)))*(M$7-M$5)*(M$7-M$6))))</f>
        <v>1615.43096501991</v>
      </c>
      <c r="N502" s="2" t="n">
        <v>0.958860485</v>
      </c>
      <c r="O502" s="2" t="n">
        <f aca="false">IF(O$7=O$5,O$6,IF(NORMSDIST(O$9*SQRT($C$11)*NORMSINV($B502)+SQRT(1-O$9^2*$C$11)*NORMSINV(N502))&lt;O$8,O$5+SQRT(NORMSDIST(O$9*SQRT($C$11)*NORMSINV($B502)+SQRT(1-O$9^2*$C$11)*NORMSINV(N502))*(O$7-O$5)*(O$6-O$5)),O$7-SQRT((1-NORMSDIST(O$9*SQRT($C$11)*NORMSINV($B502)+SQRT(1-O$9^2*$C$11)*NORMSINV(N502)))*(O$7-O$5)*(O$7-O$6))))</f>
        <v>0.179093580366449</v>
      </c>
      <c r="P502" s="2" t="n">
        <v>0.817832633</v>
      </c>
      <c r="Q502" s="2" t="n">
        <f aca="false">IF(Q$7=Q$5,Q$6,IF(NORMSDIST(Q$9*SQRT($C$11)*NORMSINV($B502)+SQRT(1-Q$9^2*$C$11)*NORMSINV(P502))&lt;Q$8,Q$5+SQRT(NORMSDIST(Q$9*SQRT($C$11)*NORMSINV($B502)+SQRT(1-Q$9^2*$C$11)*NORMSINV(P502))*(Q$7-Q$5)*(Q$6-Q$5)),Q$7-SQRT((1-NORMSDIST(Q$9*SQRT($C$11)*NORMSINV($B502)+SQRT(1-Q$9^2*$C$11)*NORMSINV(P502)))*(Q$7-Q$5)*(Q$7-Q$6))))</f>
        <v>0.0958559412194221</v>
      </c>
      <c r="R502" s="2" t="n">
        <v>0.389126089</v>
      </c>
      <c r="S502" s="2" t="n">
        <f aca="false">IF(S$7=S$5,S$6,IF(NORMSDIST(S$9*SQRT($C$11)*NORMSINV($B502)+SQRT(1-S$9^2*$C$11)*NORMSINV(R502))&lt;S$8,S$5+SQRT(NORMSDIST(S$9*SQRT($C$11)*NORMSINV($B502)+SQRT(1-S$9^2*$C$11)*NORMSINV(R502))*(S$7-S$5)*(S$6-S$5)),S$7-SQRT((1-NORMSDIST(S$9*SQRT($C$11)*NORMSINV($B502)+SQRT(1-S$9^2*$C$11)*NORMSINV(R502)))*(S$7-S$5)*(S$7-S$6))))</f>
        <v>0.426923207196377</v>
      </c>
      <c r="T502" s="2" t="n">
        <v>0.352512494</v>
      </c>
      <c r="U502" s="2" t="n">
        <f aca="false">IF(U$7=U$5,U$6,IF(NORMSDIST(U$9*SQRT($C$11)*NORMSINV($B502)+SQRT(1-U$9^2*$C$11)*NORMSINV(T502))&lt;U$8,U$5+SQRT(NORMSDIST(U$9*SQRT($C$11)*NORMSINV($B502)+SQRT(1-U$9^2*$C$11)*NORMSINV(T502))*(U$7-U$5)*(U$6-U$5)),U$7-SQRT((1-NORMSDIST(U$9*SQRT($C$11)*NORMSINV($B502)+SQRT(1-U$9^2*$C$11)*NORMSINV(T502)))*(U$7-U$5)*(U$7-U$6))))</f>
        <v>0.410306026505329</v>
      </c>
      <c r="V502" s="2" t="n">
        <v>0.985647769</v>
      </c>
      <c r="W502" s="2" t="n">
        <f aca="false">IF(W$7=W$5,W$6,IF(NORMSDIST(W$9*SQRT($C$11)*NORMSINV($B502)+SQRT(1-W$9^2*$C$11)*NORMSINV(V502))&lt;W$8,W$5+SQRT(NORMSDIST(W$9*SQRT($C$11)*NORMSINV($B502)+SQRT(1-W$9^2*$C$11)*NORMSINV(V502))*(W$7-W$5)*(W$6-W$5)),W$7-SQRT((1-NORMSDIST(W$9*SQRT($C$11)*NORMSINV($B502)+SQRT(1-W$9^2*$C$11)*NORMSINV(V502)))*(W$7-W$5)*(W$7-W$6))))</f>
        <v>11.3150040184541</v>
      </c>
      <c r="X502" s="2" t="n">
        <v>0.562231676</v>
      </c>
      <c r="Y502" s="2" t="n">
        <f aca="false">IF(Y$7=Y$5,Y$6,IF(NORMSDIST(Y$9*SQRT($C$11)*NORMSINV($B502)+SQRT(1-Y$9^2*$C$11)*NORMSINV(X502))&lt;Y$8,Y$5+SQRT(NORMSDIST(Y$9*SQRT($C$11)*NORMSINV($B502)+SQRT(1-Y$9^2*$C$11)*NORMSINV(X502))*(Y$7-Y$5)*(Y$6-Y$5)),Y$7-SQRT((1-NORMSDIST(Y$9*SQRT($C$11)*NORMSINV($B502)+SQRT(1-Y$9^2*$C$11)*NORMSINV(X502)))*(Y$7-Y$5)*(Y$7-Y$6))))</f>
        <v>0.532149423426667</v>
      </c>
      <c r="Z502" s="2" t="n">
        <v>0.172001064</v>
      </c>
      <c r="AA502" s="2" t="n">
        <f aca="false">IF(AA$7=AA$5,AA$6,IF(NORMSDIST(AA$9*SQRT($C$11)*NORMSINV($B502)+SQRT(1-AA$9^2*$C$11)*NORMSINV(Z502))&lt;AA$8,AA$5+SQRT(NORMSDIST(AA$9*SQRT($C$11)*NORMSINV($B502)+SQRT(1-AA$9^2*$C$11)*NORMSINV(Z502))*(AA$7-AA$5)*(AA$6-AA$5)),AA$7-SQRT((1-NORMSDIST(AA$9*SQRT($C$11)*NORMSINV($B502)+SQRT(1-AA$9^2*$C$11)*NORMSINV(Z502)))*(AA$7-AA$5)*(AA$7-AA$6))))</f>
        <v>0.715736814468568</v>
      </c>
      <c r="AB502" s="2" t="n">
        <v>0.375449722</v>
      </c>
      <c r="AC502" s="2" t="n">
        <f aca="false">IF(AC$7=AC$5,AC$6,IF(NORMSDIST(AC$9*SQRT($C$11)*NORMSINV($B502)+SQRT(1-AC$9^2*$C$11)*NORMSINV(AB502))&lt;AC$8,AC$5+SQRT(NORMSDIST(AC$9*SQRT($C$11)*NORMSINV($B502)+SQRT(1-AC$9^2*$C$11)*NORMSINV(AB502))*(AC$7-AC$5)*(AC$6-AC$5)),AC$7-SQRT((1-NORMSDIST(AC$9*SQRT($C$11)*NORMSINV($B502)+SQRT(1-AC$9^2*$C$11)*NORMSINV(AB502)))*(AC$7-AC$5)*(AC$7-AC$6))))</f>
        <v>9.14922749109963</v>
      </c>
      <c r="AD502" s="2" t="n">
        <f aca="false">Entrées!$C$8*(1+E502)</f>
        <v>7434.35469389581</v>
      </c>
      <c r="AE502" s="2" t="n">
        <f aca="false">I502*Hypothèses!$J$24/12/Hypothèses!$J$19</f>
        <v>96.579277893215</v>
      </c>
      <c r="AF502" s="2" t="n">
        <f aca="false">Entrées!$C$36*S502*1000</f>
        <v>213.461603598188</v>
      </c>
      <c r="AG502" s="2" t="n">
        <f aca="false">-AF502/W502</f>
        <v>-18.8653581784014</v>
      </c>
      <c r="AH502" s="2" t="n">
        <f aca="false">AD502+AE502+AG502</f>
        <v>7512.06861361062</v>
      </c>
      <c r="AI502" s="2" t="n">
        <f aca="false">Entrées!$C$16-M502+Hypothèses!$J$22*1000-AF502+Hypothèses!$J$23</f>
        <v>22719.1074313819</v>
      </c>
      <c r="AJ502" s="2" t="n">
        <f aca="false">AI502/AH502</f>
        <v>3.02434769967605</v>
      </c>
      <c r="AK502" s="2" t="n">
        <f aca="false">AI502/(AH502+I502*(12-Hypothèses!$J$24)/12/Hypothèses!$J$19)</f>
        <v>2.99682708954038</v>
      </c>
      <c r="AL502" s="2" t="n">
        <f aca="false">(AD502+AG502+I502/Hypothèses!$J$19)*(1+G502)</f>
        <v>8070.37320916707</v>
      </c>
      <c r="AM502" s="2" t="n">
        <f aca="false">Entrées!$C$54*K502/Hypothèses!$J$19</f>
        <v>14.4026202777032</v>
      </c>
      <c r="AN502" s="2" t="n">
        <f aca="false">Y502*1000/AC502</f>
        <v>58.1633174980448</v>
      </c>
      <c r="AO502" s="2" t="n">
        <f aca="false">(Entrées!$C$36*(1-S502)+MAX(0,Entrées!$C$30-Entrées!$C$35-Entrées!$C$36)*U502)*1000</f>
        <v>860.966833509273</v>
      </c>
      <c r="AP502" s="2" t="n">
        <f aca="false">-AO502/W502</f>
        <v>-76.0907227346173</v>
      </c>
      <c r="AQ502" s="2" t="n">
        <f aca="false">AL502+AM502+AN502+AP502</f>
        <v>8066.8484242082</v>
      </c>
      <c r="AR502" s="2" t="n">
        <f aca="false">O502*AQ502-Hypothèses!$J$25/Hypothèses!$J$19</f>
        <v>1425.58560430327</v>
      </c>
      <c r="AS502" s="2" t="n">
        <f aca="false">Entrées!$C$79*(1+Q502)+Hypothèses!$J$20</f>
        <v>1499.34567940015</v>
      </c>
      <c r="AT502" s="2" t="n">
        <f aca="false">AI502-AR502+AS502+Y502*1000-AO502+Hypothèses!$J$23</f>
        <v>22464.0500963962</v>
      </c>
      <c r="AU502" s="2" t="n">
        <f aca="false">AT502/AQ502</f>
        <v>2.78473685324032</v>
      </c>
      <c r="AV502" s="2" t="n">
        <f aca="false">Hypothèses!$J$26*AQ502-AT502</f>
        <v>1736.49517622843</v>
      </c>
      <c r="AW502" s="2" t="n">
        <f aca="false">IF(AC502&gt;Hypothèses!$J$26,MAX(0,AV502)/(1-Hypothèses!$J$26/AC502),0)</f>
        <v>2583.67240885244</v>
      </c>
      <c r="AX502" s="2" t="n">
        <f aca="false">AQ502-Entrées!$C$17*1000</f>
        <v>66.8484242082022</v>
      </c>
      <c r="AY502" s="2" t="n">
        <f aca="false">AI502+(Entrées!$C$244-Entrées!$C$13)</f>
        <v>28466.1074313819</v>
      </c>
      <c r="AZ502" s="2" t="n">
        <f aca="false">AA502*AH502</f>
        <v>5376.66405957497</v>
      </c>
      <c r="BA502" s="2" t="n">
        <f aca="false">AZ502/AY502</f>
        <v>0.188879497224393</v>
      </c>
      <c r="BB502" s="2" t="n">
        <f aca="false">AZ502/(Entrées!$C$151/100)-AY502</f>
        <v>1404.24845514572</v>
      </c>
      <c r="BC502" s="2" t="n">
        <f aca="false">AT502+(Entrées!$C$244-Entrées!$C$13)</f>
        <v>28211.0500963962</v>
      </c>
      <c r="BD502" s="2" t="n">
        <f aca="false">AA502*AQ502</f>
        <v>5773.74039394356</v>
      </c>
      <c r="BE502" s="2" t="n">
        <f aca="false">BD502/BC502</f>
        <v>0.204662370745325</v>
      </c>
      <c r="BF502" s="2" t="n">
        <f aca="false">BD502/(Entrées!$C$151/100)-BC502</f>
        <v>3865.28542551251</v>
      </c>
      <c r="BG502" s="2" t="n">
        <f aca="false">MIN(AV502,BF502)</f>
        <v>1736.49517622843</v>
      </c>
      <c r="BH502" s="2" t="n">
        <f aca="false">IF(AC502&gt;Hypothèses!$J$26,MAX(0,BG502)/(1-Hypothèses!$J$26/AC502),0)</f>
        <v>2583.67240885244</v>
      </c>
    </row>
    <row r="503" customFormat="false" ht="15" hidden="false" customHeight="false" outlineLevel="0" collapsed="false">
      <c r="A503" s="2" t="n">
        <v>488</v>
      </c>
      <c r="B503" s="2" t="n">
        <v>0.203860443</v>
      </c>
      <c r="C503" s="2"/>
      <c r="D503" s="2" t="n">
        <v>0.467657634</v>
      </c>
      <c r="E503" s="2" t="n">
        <f aca="false">IF(E$7=E$5,E$6,IF(NORMSDIST(E$9*SQRT($C$11)*NORMSINV($B503)+SQRT(1-E$9^2*$C$11)*NORMSINV(D503))&lt;E$8,E$5+SQRT(NORMSDIST(E$9*SQRT($C$11)*NORMSINV($B503)+SQRT(1-E$9^2*$C$11)*NORMSINV(D503))*(E$7-E$5)*(E$6-E$5)),E$7-SQRT((1-NORMSDIST(E$9*SQRT($C$11)*NORMSINV($B503)+SQRT(1-E$9^2*$C$11)*NORMSINV(D503)))*(E$7-E$5)*(E$7-E$6))))</f>
        <v>0.0537334676489893</v>
      </c>
      <c r="F503" s="2" t="n">
        <v>0.376172792</v>
      </c>
      <c r="G503" s="2" t="n">
        <f aca="false">IF(G$7=G$5,G$6,IF(NORMSDIST(G$9*SQRT($C$11)*NORMSINV($B503)+SQRT(1-G$9^2*$C$11)*NORMSINV(F503))&lt;G$8,G$5+SQRT(NORMSDIST(G$9*SQRT($C$11)*NORMSINV($B503)+SQRT(1-G$9^2*$C$11)*NORMSINV(F503))*(G$7-G$5)*(G$6-G$5)),G$7-SQRT((1-NORMSDIST(G$9*SQRT($C$11)*NORMSINV($B503)+SQRT(1-G$9^2*$C$11)*NORMSINV(F503)))*(G$7-G$5)*(G$7-G$6))))</f>
        <v>0.0499776928063259</v>
      </c>
      <c r="H503" s="2" t="n">
        <v>0.905916847</v>
      </c>
      <c r="I503" s="2" t="n">
        <f aca="false">IF(I$7=I$5,I$6,IF(NORMSDIST(I$9*SQRT($C$11)*NORMSINV($B503)+SQRT(1-I$9^2*$C$11)*NORMSINV(H503))&lt;I$8,I$5+SQRT(NORMSDIST(I$9*SQRT($C$11)*NORMSINV($B503)+SQRT(1-I$9^2*$C$11)*NORMSINV(H503))*(I$7-I$5)*(I$6-I$5)),I$7-SQRT((1-NORMSDIST(I$9*SQRT($C$11)*NORMSINV($B503)+SQRT(1-I$9^2*$C$11)*NORMSINV(H503)))*(I$7-I$5)*(I$7-I$6))))</f>
        <v>204.251265687699</v>
      </c>
      <c r="J503" s="2" t="n">
        <v>0.992822881</v>
      </c>
      <c r="K503" s="2" t="n">
        <f aca="false">IF(K$7=K$5,K$6,IF(NORMSDIST(K$9*SQRT($C$11)*NORMSINV($B503)+SQRT(1-K$9^2*$C$11)*NORMSINV(J503))&lt;K$8,K$5+SQRT(NORMSDIST(K$9*SQRT($C$11)*NORMSINV($B503)+SQRT(1-K$9^2*$C$11)*NORMSINV(J503))*(K$7-K$5)*(K$6-K$5)),K$7-SQRT((1-NORMSDIST(K$9*SQRT($C$11)*NORMSINV($B503)+SQRT(1-K$9^2*$C$11)*NORMSINV(J503)))*(K$7-K$5)*(K$7-K$6))))</f>
        <v>0.396979368151897</v>
      </c>
      <c r="L503" s="2" t="n">
        <v>0.373091069</v>
      </c>
      <c r="M503" s="2" t="n">
        <f aca="false">IF(M$7=M$5,M$6,IF(NORMSDIST(M$9*SQRT($C$11)*NORMSINV($B503)+SQRT(1-M$9^2*$C$11)*NORMSINV(L503))&lt;M$8,M$5+SQRT(NORMSDIST(M$9*SQRT($C$11)*NORMSINV($B503)+SQRT(1-M$9^2*$C$11)*NORMSINV(L503))*(M$7-M$5)*(M$6-M$5)),M$7-SQRT((1-NORMSDIST(M$9*SQRT($C$11)*NORMSINV($B503)+SQRT(1-M$9^2*$C$11)*NORMSINV(L503)))*(M$7-M$5)*(M$7-M$6))))</f>
        <v>1490.08794196422</v>
      </c>
      <c r="N503" s="2" t="n">
        <v>0.313426446</v>
      </c>
      <c r="O503" s="2" t="n">
        <f aca="false">IF(O$7=O$5,O$6,IF(NORMSDIST(O$9*SQRT($C$11)*NORMSINV($B503)+SQRT(1-O$9^2*$C$11)*NORMSINV(N503))&lt;O$8,O$5+SQRT(NORMSDIST(O$9*SQRT($C$11)*NORMSINV($B503)+SQRT(1-O$9^2*$C$11)*NORMSINV(N503))*(O$7-O$5)*(O$6-O$5)),O$7-SQRT((1-NORMSDIST(O$9*SQRT($C$11)*NORMSINV($B503)+SQRT(1-O$9^2*$C$11)*NORMSINV(N503)))*(O$7-O$5)*(O$7-O$6))))</f>
        <v>0.156248633681148</v>
      </c>
      <c r="P503" s="2" t="n">
        <v>0.233223232</v>
      </c>
      <c r="Q503" s="2" t="n">
        <f aca="false">IF(Q$7=Q$5,Q$6,IF(NORMSDIST(Q$9*SQRT($C$11)*NORMSINV($B503)+SQRT(1-Q$9^2*$C$11)*NORMSINV(P503))&lt;Q$8,Q$5+SQRT(NORMSDIST(Q$9*SQRT($C$11)*NORMSINV($B503)+SQRT(1-Q$9^2*$C$11)*NORMSINV(P503))*(Q$7-Q$5)*(Q$6-Q$5)),Q$7-SQRT((1-NORMSDIST(Q$9*SQRT($C$11)*NORMSINV($B503)+SQRT(1-Q$9^2*$C$11)*NORMSINV(P503)))*(Q$7-Q$5)*(Q$7-Q$6))))</f>
        <v>0.0673187544079155</v>
      </c>
      <c r="R503" s="2" t="n">
        <v>0.433930328</v>
      </c>
      <c r="S503" s="2" t="n">
        <f aca="false">IF(S$7=S$5,S$6,IF(NORMSDIST(S$9*SQRT($C$11)*NORMSINV($B503)+SQRT(1-S$9^2*$C$11)*NORMSINV(R503))&lt;S$8,S$5+SQRT(NORMSDIST(S$9*SQRT($C$11)*NORMSINV($B503)+SQRT(1-S$9^2*$C$11)*NORMSINV(R503))*(S$7-S$5)*(S$6-S$5)),S$7-SQRT((1-NORMSDIST(S$9*SQRT($C$11)*NORMSINV($B503)+SQRT(1-S$9^2*$C$11)*NORMSINV(R503)))*(S$7-S$5)*(S$7-S$6))))</f>
        <v>0.358498286622133</v>
      </c>
      <c r="T503" s="2" t="n">
        <v>0.780064837</v>
      </c>
      <c r="U503" s="2" t="n">
        <f aca="false">IF(U$7=U$5,U$6,IF(NORMSDIST(U$9*SQRT($C$11)*NORMSINV($B503)+SQRT(1-U$9^2*$C$11)*NORMSINV(T503))&lt;U$8,U$5+SQRT(NORMSDIST(U$9*SQRT($C$11)*NORMSINV($B503)+SQRT(1-U$9^2*$C$11)*NORMSINV(T503))*(U$7-U$5)*(U$6-U$5)),U$7-SQRT((1-NORMSDIST(U$9*SQRT($C$11)*NORMSINV($B503)+SQRT(1-U$9^2*$C$11)*NORMSINV(T503)))*(U$7-U$5)*(U$7-U$6))))</f>
        <v>0.515113270800859</v>
      </c>
      <c r="V503" s="2" t="n">
        <v>0.417835054</v>
      </c>
      <c r="W503" s="2" t="n">
        <f aca="false">IF(W$7=W$5,W$6,IF(NORMSDIST(W$9*SQRT($C$11)*NORMSINV($B503)+SQRT(1-W$9^2*$C$11)*NORMSINV(V503))&lt;W$8,W$5+SQRT(NORMSDIST(W$9*SQRT($C$11)*NORMSINV($B503)+SQRT(1-W$9^2*$C$11)*NORMSINV(V503))*(W$7-W$5)*(W$6-W$5)),W$7-SQRT((1-NORMSDIST(W$9*SQRT($C$11)*NORMSINV($B503)+SQRT(1-W$9^2*$C$11)*NORMSINV(V503)))*(W$7-W$5)*(W$7-W$6))))</f>
        <v>9.40540192283824</v>
      </c>
      <c r="X503" s="2" t="n">
        <v>0.276910306</v>
      </c>
      <c r="Y503" s="2" t="n">
        <f aca="false">IF(Y$7=Y$5,Y$6,IF(NORMSDIST(Y$9*SQRT($C$11)*NORMSINV($B503)+SQRT(1-Y$9^2*$C$11)*NORMSINV(X503))&lt;Y$8,Y$5+SQRT(NORMSDIST(Y$9*SQRT($C$11)*NORMSINV($B503)+SQRT(1-Y$9^2*$C$11)*NORMSINV(X503))*(Y$7-Y$5)*(Y$6-Y$5)),Y$7-SQRT((1-NORMSDIST(Y$9*SQRT($C$11)*NORMSINV($B503)+SQRT(1-Y$9^2*$C$11)*NORMSINV(X503)))*(Y$7-Y$5)*(Y$7-Y$6))))</f>
        <v>0.372095623462572</v>
      </c>
      <c r="Z503" s="2" t="n">
        <v>0.71209712</v>
      </c>
      <c r="AA503" s="2" t="n">
        <f aca="false">IF(AA$7=AA$5,AA$6,IF(NORMSDIST(AA$9*SQRT($C$11)*NORMSINV($B503)+SQRT(1-AA$9^2*$C$11)*NORMSINV(Z503))&lt;AA$8,AA$5+SQRT(NORMSDIST(AA$9*SQRT($C$11)*NORMSINV($B503)+SQRT(1-AA$9^2*$C$11)*NORMSINV(Z503))*(AA$7-AA$5)*(AA$6-AA$5)),AA$7-SQRT((1-NORMSDIST(AA$9*SQRT($C$11)*NORMSINV($B503)+SQRT(1-AA$9^2*$C$11)*NORMSINV(Z503)))*(AA$7-AA$5)*(AA$7-AA$6))))</f>
        <v>0.726853007284476</v>
      </c>
      <c r="AB503" s="2" t="n">
        <v>0.274760164</v>
      </c>
      <c r="AC503" s="2" t="n">
        <f aca="false">IF(AC$7=AC$5,AC$6,IF(NORMSDIST(AC$9*SQRT($C$11)*NORMSINV($B503)+SQRT(1-AC$9^2*$C$11)*NORMSINV(AB503))&lt;AC$8,AC$5+SQRT(NORMSDIST(AC$9*SQRT($C$11)*NORMSINV($B503)+SQRT(1-AC$9^2*$C$11)*NORMSINV(AB503))*(AC$7-AC$5)*(AC$6-AC$5)),AC$7-SQRT((1-NORMSDIST(AC$9*SQRT($C$11)*NORMSINV($B503)+SQRT(1-AC$9^2*$C$11)*NORMSINV(AB503)))*(AC$7-AC$5)*(AC$7-AC$6))))</f>
        <v>8.58225185932609</v>
      </c>
      <c r="AD503" s="2" t="n">
        <f aca="false">Entrées!$C$8*(1+E503)</f>
        <v>7428.82094692538</v>
      </c>
      <c r="AE503" s="2" t="n">
        <f aca="false">I503*Hypothèses!$J$24/12/Hypothèses!$J$19</f>
        <v>101.32839917606</v>
      </c>
      <c r="AF503" s="2" t="n">
        <f aca="false">Entrées!$C$36*S503*1000</f>
        <v>179.249143311066</v>
      </c>
      <c r="AG503" s="2" t="n">
        <f aca="false">-AF503/W503</f>
        <v>-19.0581056271304</v>
      </c>
      <c r="AH503" s="2" t="n">
        <f aca="false">AD503+AE503+AG503</f>
        <v>7511.09124047431</v>
      </c>
      <c r="AI503" s="2" t="n">
        <f aca="false">Entrées!$C$16-M503+Hypothèses!$J$22*1000-AF503+Hypothèses!$J$23</f>
        <v>22878.6629147247</v>
      </c>
      <c r="AJ503" s="2" t="n">
        <f aca="false">AI503/AH503</f>
        <v>3.04598388998933</v>
      </c>
      <c r="AK503" s="2" t="n">
        <f aca="false">AI503/(AH503+I503*(12-Hypothèses!$J$24)/12/Hypothèses!$J$19)</f>
        <v>3.01691269720498</v>
      </c>
      <c r="AL503" s="2" t="n">
        <f aca="false">(AD503+AG503+I503/Hypothèses!$J$19)*(1+G503)</f>
        <v>7962.47293597576</v>
      </c>
      <c r="AM503" s="2" t="n">
        <f aca="false">Entrées!$C$54*K503/Hypothèses!$J$19</f>
        <v>40.5134113285563</v>
      </c>
      <c r="AN503" s="2" t="n">
        <f aca="false">Y503*1000/AC503</f>
        <v>43.3564091990876</v>
      </c>
      <c r="AO503" s="2" t="n">
        <f aca="false">(Entrées!$C$36*(1-S503)+MAX(0,Entrées!$C$30-Entrées!$C$35-Entrées!$C$36)*U503)*1000</f>
        <v>1041.90943581014</v>
      </c>
      <c r="AP503" s="2" t="n">
        <f aca="false">-AO503/W503</f>
        <v>-110.777768388629</v>
      </c>
      <c r="AQ503" s="2" t="n">
        <f aca="false">AL503+AM503+AN503+AP503</f>
        <v>7935.56498811477</v>
      </c>
      <c r="AR503" s="2" t="n">
        <f aca="false">O503*AQ503-Hypothèses!$J$25/Hypothèses!$J$19</f>
        <v>1220.78602461926</v>
      </c>
      <c r="AS503" s="2" t="n">
        <f aca="false">Entrées!$C$79*(1+Q503)+Hypothèses!$J$20</f>
        <v>1467.9833110943</v>
      </c>
      <c r="AT503" s="2" t="n">
        <f aca="false">AI503-AR503+AS503+Y503*1000-AO503+Hypothèses!$J$23</f>
        <v>22456.0463888522</v>
      </c>
      <c r="AU503" s="2" t="n">
        <f aca="false">AT503/AQ503</f>
        <v>2.82979805754033</v>
      </c>
      <c r="AV503" s="2" t="n">
        <f aca="false">Hypothèses!$J$26*AQ503-AT503</f>
        <v>1350.64857549212</v>
      </c>
      <c r="AW503" s="2" t="n">
        <f aca="false">IF(AC503&gt;Hypothèses!$J$26,MAX(0,AV503)/(1-Hypothèses!$J$26/AC503),0)</f>
        <v>2076.51079536077</v>
      </c>
      <c r="AX503" s="2" t="n">
        <f aca="false">AQ503-Entrées!$C$17*1000</f>
        <v>-64.4350118852299</v>
      </c>
      <c r="AY503" s="2" t="n">
        <f aca="false">AI503+(Entrées!$C$244-Entrées!$C$13)</f>
        <v>28625.6629147247</v>
      </c>
      <c r="AZ503" s="2" t="n">
        <f aca="false">AA503*AH503</f>
        <v>5459.45925612683</v>
      </c>
      <c r="BA503" s="2" t="n">
        <f aca="false">AZ503/AY503</f>
        <v>0.190719050678074</v>
      </c>
      <c r="BB503" s="2" t="n">
        <f aca="false">AZ503/(Entrées!$C$151/100)-AY503</f>
        <v>1704.66628597991</v>
      </c>
      <c r="BC503" s="2" t="n">
        <f aca="false">AT503+(Entrées!$C$244-Entrées!$C$13)</f>
        <v>28203.0463888522</v>
      </c>
      <c r="BD503" s="2" t="n">
        <f aca="false">AA503*AQ503</f>
        <v>5767.98927611262</v>
      </c>
      <c r="BE503" s="2" t="n">
        <f aca="false">BD503/BC503</f>
        <v>0.204516533305868</v>
      </c>
      <c r="BF503" s="2" t="n">
        <f aca="false">BD503/(Entrées!$C$151/100)-BC503</f>
        <v>3841.33847844012</v>
      </c>
      <c r="BG503" s="2" t="n">
        <f aca="false">MIN(AV503,BF503)</f>
        <v>1350.64857549212</v>
      </c>
      <c r="BH503" s="2" t="n">
        <f aca="false">IF(AC503&gt;Hypothèses!$J$26,MAX(0,BG503)/(1-Hypothèses!$J$26/AC503),0)</f>
        <v>2076.51079536077</v>
      </c>
    </row>
    <row r="504" customFormat="false" ht="15" hidden="false" customHeight="false" outlineLevel="0" collapsed="false">
      <c r="A504" s="2" t="n">
        <v>489</v>
      </c>
      <c r="B504" s="2" t="n">
        <v>0.466631347</v>
      </c>
      <c r="C504" s="2"/>
      <c r="D504" s="2" t="n">
        <v>0.915327515</v>
      </c>
      <c r="E504" s="2" t="n">
        <f aca="false">IF(E$7=E$5,E$6,IF(NORMSDIST(E$9*SQRT($C$11)*NORMSINV($B504)+SQRT(1-E$9^2*$C$11)*NORMSINV(D504))&lt;E$8,E$5+SQRT(NORMSDIST(E$9*SQRT($C$11)*NORMSINV($B504)+SQRT(1-E$9^2*$C$11)*NORMSINV(D504))*(E$7-E$5)*(E$6-E$5)),E$7-SQRT((1-NORMSDIST(E$9*SQRT($C$11)*NORMSINV($B504)+SQRT(1-E$9^2*$C$11)*NORMSINV(D504)))*(E$7-E$5)*(E$7-E$6))))</f>
        <v>0.0572083100542082</v>
      </c>
      <c r="F504" s="2" t="n">
        <v>0.833490468</v>
      </c>
      <c r="G504" s="2" t="n">
        <f aca="false">IF(G$7=G$5,G$6,IF(NORMSDIST(G$9*SQRT($C$11)*NORMSINV($B504)+SQRT(1-G$9^2*$C$11)*NORMSINV(F504))&lt;G$8,G$5+SQRT(NORMSDIST(G$9*SQRT($C$11)*NORMSINV($B504)+SQRT(1-G$9^2*$C$11)*NORMSINV(F504))*(G$7-G$5)*(G$6-G$5)),G$7-SQRT((1-NORMSDIST(G$9*SQRT($C$11)*NORMSINV($B504)+SQRT(1-G$9^2*$C$11)*NORMSINV(F504)))*(G$7-G$5)*(G$7-G$6))))</f>
        <v>0.0595443033607296</v>
      </c>
      <c r="H504" s="2" t="n">
        <v>0.404996426</v>
      </c>
      <c r="I504" s="2" t="n">
        <f aca="false">IF(I$7=I$5,I$6,IF(NORMSDIST(I$9*SQRT($C$11)*NORMSINV($B504)+SQRT(1-I$9^2*$C$11)*NORMSINV(H504))&lt;I$8,I$5+SQRT(NORMSDIST(I$9*SQRT($C$11)*NORMSINV($B504)+SQRT(1-I$9^2*$C$11)*NORMSINV(H504))*(I$7-I$5)*(I$6-I$5)),I$7-SQRT((1-NORMSDIST(I$9*SQRT($C$11)*NORMSINV($B504)+SQRT(1-I$9^2*$C$11)*NORMSINV(H504)))*(I$7-I$5)*(I$7-I$6))))</f>
        <v>198.010536195724</v>
      </c>
      <c r="J504" s="2" t="n">
        <v>0.300202607</v>
      </c>
      <c r="K504" s="2" t="n">
        <f aca="false">IF(K$7=K$5,K$6,IF(NORMSDIST(K$9*SQRT($C$11)*NORMSINV($B504)+SQRT(1-K$9^2*$C$11)*NORMSINV(J504))&lt;K$8,K$5+SQRT(NORMSDIST(K$9*SQRT($C$11)*NORMSINV($B504)+SQRT(1-K$9^2*$C$11)*NORMSINV(J504))*(K$7-K$5)*(K$6-K$5)),K$7-SQRT((1-NORMSDIST(K$9*SQRT($C$11)*NORMSINV($B504)+SQRT(1-K$9^2*$C$11)*NORMSINV(J504)))*(K$7-K$5)*(K$7-K$6))))</f>
        <v>0.201004134069795</v>
      </c>
      <c r="L504" s="2" t="n">
        <v>0.536779518</v>
      </c>
      <c r="M504" s="2" t="n">
        <f aca="false">IF(M$7=M$5,M$6,IF(NORMSDIST(M$9*SQRT($C$11)*NORMSINV($B504)+SQRT(1-M$9^2*$C$11)*NORMSINV(L504))&lt;M$8,M$5+SQRT(NORMSDIST(M$9*SQRT($C$11)*NORMSINV($B504)+SQRT(1-M$9^2*$C$11)*NORMSINV(L504))*(M$7-M$5)*(M$6-M$5)),M$7-SQRT((1-NORMSDIST(M$9*SQRT($C$11)*NORMSINV($B504)+SQRT(1-M$9^2*$C$11)*NORMSINV(L504)))*(M$7-M$5)*(M$7-M$6))))</f>
        <v>1587.43146253335</v>
      </c>
      <c r="N504" s="2" t="n">
        <v>0.651515306</v>
      </c>
      <c r="O504" s="2" t="n">
        <f aca="false">IF(O$7=O$5,O$6,IF(NORMSDIST(O$9*SQRT($C$11)*NORMSINV($B504)+SQRT(1-O$9^2*$C$11)*NORMSINV(N504))&lt;O$8,O$5+SQRT(NORMSDIST(O$9*SQRT($C$11)*NORMSINV($B504)+SQRT(1-O$9^2*$C$11)*NORMSINV(N504))*(O$7-O$5)*(O$6-O$5)),O$7-SQRT((1-NORMSDIST(O$9*SQRT($C$11)*NORMSINV($B504)+SQRT(1-O$9^2*$C$11)*NORMSINV(N504)))*(O$7-O$5)*(O$7-O$6))))</f>
        <v>0.169311944421217</v>
      </c>
      <c r="P504" s="2" t="n">
        <v>0.749605867</v>
      </c>
      <c r="Q504" s="2" t="n">
        <f aca="false">IF(Q$7=Q$5,Q$6,IF(NORMSDIST(Q$9*SQRT($C$11)*NORMSINV($B504)+SQRT(1-Q$9^2*$C$11)*NORMSINV(P504))&lt;Q$8,Q$5+SQRT(NORMSDIST(Q$9*SQRT($C$11)*NORMSINV($B504)+SQRT(1-Q$9^2*$C$11)*NORMSINV(P504))*(Q$7-Q$5)*(Q$6-Q$5)),Q$7-SQRT((1-NORMSDIST(Q$9*SQRT($C$11)*NORMSINV($B504)+SQRT(1-Q$9^2*$C$11)*NORMSINV(P504)))*(Q$7-Q$5)*(Q$7-Q$6))))</f>
        <v>0.0916934420036628</v>
      </c>
      <c r="R504" s="2" t="n">
        <v>0.01547362</v>
      </c>
      <c r="S504" s="2" t="n">
        <f aca="false">IF(S$7=S$5,S$6,IF(NORMSDIST(S$9*SQRT($C$11)*NORMSINV($B504)+SQRT(1-S$9^2*$C$11)*NORMSINV(R504))&lt;S$8,S$5+SQRT(NORMSDIST(S$9*SQRT($C$11)*NORMSINV($B504)+SQRT(1-S$9^2*$C$11)*NORMSINV(R504))*(S$7-S$5)*(S$6-S$5)),S$7-SQRT((1-NORMSDIST(S$9*SQRT($C$11)*NORMSINV($B504)+SQRT(1-S$9^2*$C$11)*NORMSINV(R504)))*(S$7-S$5)*(S$7-S$6))))</f>
        <v>0.145469025477417</v>
      </c>
      <c r="T504" s="2" t="n">
        <v>0.111150215</v>
      </c>
      <c r="U504" s="2" t="n">
        <f aca="false">IF(U$7=U$5,U$6,IF(NORMSDIST(U$9*SQRT($C$11)*NORMSINV($B504)+SQRT(1-U$9^2*$C$11)*NORMSINV(T504))&lt;U$8,U$5+SQRT(NORMSDIST(U$9*SQRT($C$11)*NORMSINV($B504)+SQRT(1-U$9^2*$C$11)*NORMSINV(T504))*(U$7-U$5)*(U$6-U$5)),U$7-SQRT((1-NORMSDIST(U$9*SQRT($C$11)*NORMSINV($B504)+SQRT(1-U$9^2*$C$11)*NORMSINV(T504)))*(U$7-U$5)*(U$7-U$6))))</f>
        <v>0.282015463583553</v>
      </c>
      <c r="V504" s="2" t="n">
        <v>0.108543197</v>
      </c>
      <c r="W504" s="2" t="n">
        <f aca="false">IF(W$7=W$5,W$6,IF(NORMSDIST(W$9*SQRT($C$11)*NORMSINV($B504)+SQRT(1-W$9^2*$C$11)*NORMSINV(V504))&lt;W$8,W$5+SQRT(NORMSDIST(W$9*SQRT($C$11)*NORMSINV($B504)+SQRT(1-W$9^2*$C$11)*NORMSINV(V504))*(W$7-W$5)*(W$6-W$5)),W$7-SQRT((1-NORMSDIST(W$9*SQRT($C$11)*NORMSINV($B504)+SQRT(1-W$9^2*$C$11)*NORMSINV(V504)))*(W$7-W$5)*(W$7-W$6))))</f>
        <v>9.11883409339327</v>
      </c>
      <c r="X504" s="2" t="n">
        <v>0.343289812</v>
      </c>
      <c r="Y504" s="2" t="n">
        <f aca="false">IF(Y$7=Y$5,Y$6,IF(NORMSDIST(Y$9*SQRT($C$11)*NORMSINV($B504)+SQRT(1-Y$9^2*$C$11)*NORMSINV(X504))&lt;Y$8,Y$5+SQRT(NORMSDIST(Y$9*SQRT($C$11)*NORMSINV($B504)+SQRT(1-Y$9^2*$C$11)*NORMSINV(X504))*(Y$7-Y$5)*(Y$6-Y$5)),Y$7-SQRT((1-NORMSDIST(Y$9*SQRT($C$11)*NORMSINV($B504)+SQRT(1-Y$9^2*$C$11)*NORMSINV(X504)))*(Y$7-Y$5)*(Y$7-Y$6))))</f>
        <v>0.414300502051349</v>
      </c>
      <c r="Z504" s="2" t="n">
        <v>0.057565202</v>
      </c>
      <c r="AA504" s="2" t="n">
        <f aca="false">IF(AA$7=AA$5,AA$6,IF(NORMSDIST(AA$9*SQRT($C$11)*NORMSINV($B504)+SQRT(1-AA$9^2*$C$11)*NORMSINV(Z504))&lt;AA$8,AA$5+SQRT(NORMSDIST(AA$9*SQRT($C$11)*NORMSINV($B504)+SQRT(1-AA$9^2*$C$11)*NORMSINV(Z504))*(AA$7-AA$5)*(AA$6-AA$5)),AA$7-SQRT((1-NORMSDIST(AA$9*SQRT($C$11)*NORMSINV($B504)+SQRT(1-AA$9^2*$C$11)*NORMSINV(Z504)))*(AA$7-AA$5)*(AA$7-AA$6))))</f>
        <v>0.710062646442189</v>
      </c>
      <c r="AB504" s="2" t="n">
        <v>0.830047644</v>
      </c>
      <c r="AC504" s="2" t="n">
        <f aca="false">IF(AC$7=AC$5,AC$6,IF(NORMSDIST(AC$9*SQRT($C$11)*NORMSINV($B504)+SQRT(1-AC$9^2*$C$11)*NORMSINV(AB504))&lt;AC$8,AC$5+SQRT(NORMSDIST(AC$9*SQRT($C$11)*NORMSINV($B504)+SQRT(1-AC$9^2*$C$11)*NORMSINV(AB504))*(AC$7-AC$5)*(AC$6-AC$5)),AC$7-SQRT((1-NORMSDIST(AC$9*SQRT($C$11)*NORMSINV($B504)+SQRT(1-AC$9^2*$C$11)*NORMSINV(AB504)))*(AC$7-AC$5)*(AC$7-AC$6))))</f>
        <v>9.96855285836871</v>
      </c>
      <c r="AD504" s="2" t="n">
        <f aca="false">Entrées!$C$8*(1+E504)</f>
        <v>7453.31858588217</v>
      </c>
      <c r="AE504" s="2" t="n">
        <f aca="false">I504*Hypothèses!$J$24/12/Hypothèses!$J$19</f>
        <v>98.2323932493231</v>
      </c>
      <c r="AF504" s="2" t="n">
        <f aca="false">Entrées!$C$36*S504*1000</f>
        <v>72.7345127387083</v>
      </c>
      <c r="AG504" s="2" t="n">
        <f aca="false">-AF504/W504</f>
        <v>-7.97629521425393</v>
      </c>
      <c r="AH504" s="2" t="n">
        <f aca="false">AD504+AE504+AG504</f>
        <v>7543.57468391724</v>
      </c>
      <c r="AI504" s="2" t="n">
        <f aca="false">Entrées!$C$16-M504+Hypothèses!$J$22*1000-AF504+Hypothèses!$J$23</f>
        <v>22887.8340247279</v>
      </c>
      <c r="AJ504" s="2" t="n">
        <f aca="false">AI504/AH504</f>
        <v>3.03408330715203</v>
      </c>
      <c r="AK504" s="2" t="n">
        <f aca="false">AI504/(AH504+I504*(12-Hypothèses!$J$24)/12/Hypothèses!$J$19)</f>
        <v>3.00612208760537</v>
      </c>
      <c r="AL504" s="2" t="n">
        <f aca="false">(AD504+AG504+I504/Hypothèses!$J$19)*(1+G504)</f>
        <v>8067.09556380131</v>
      </c>
      <c r="AM504" s="2" t="n">
        <f aca="false">Entrées!$C$54*K504/Hypothèses!$J$19</f>
        <v>20.5133158436434</v>
      </c>
      <c r="AN504" s="2" t="n">
        <f aca="false">Y504*1000/AC504</f>
        <v>41.5607468744613</v>
      </c>
      <c r="AO504" s="2" t="n">
        <f aca="false">(Entrées!$C$36*(1-S504)+MAX(0,Entrées!$C$30-Entrées!$C$35-Entrées!$C$36)*U504)*1000</f>
        <v>822.087136278265</v>
      </c>
      <c r="AP504" s="2" t="n">
        <f aca="false">-AO504/W504</f>
        <v>-90.1526585371127</v>
      </c>
      <c r="AQ504" s="2" t="n">
        <f aca="false">AL504+AM504+AN504+AP504</f>
        <v>8039.0169679823</v>
      </c>
      <c r="AR504" s="2" t="n">
        <f aca="false">O504*AQ504-Hypothèses!$J$25/Hypothèses!$J$19</f>
        <v>1341.96643182262</v>
      </c>
      <c r="AS504" s="2" t="n">
        <f aca="false">Entrées!$C$79*(1+Q504)+Hypothèses!$J$20</f>
        <v>1494.77109276203</v>
      </c>
      <c r="AT504" s="2" t="n">
        <f aca="false">AI504-AR504+AS504+Y504*1000-AO504+Hypothèses!$J$23</f>
        <v>22632.8520514404</v>
      </c>
      <c r="AU504" s="2" t="n">
        <f aca="false">AT504/AQ504</f>
        <v>2.81537557907668</v>
      </c>
      <c r="AV504" s="2" t="n">
        <f aca="false">Hypothèses!$J$26*AQ504-AT504</f>
        <v>1484.19885250646</v>
      </c>
      <c r="AW504" s="2" t="n">
        <f aca="false">IF(AC504&gt;Hypothèses!$J$26,MAX(0,AV504)/(1-Hypothèses!$J$26/AC504),0)</f>
        <v>2123.154550772</v>
      </c>
      <c r="AX504" s="2" t="n">
        <f aca="false">AQ504-Entrées!$C$17*1000</f>
        <v>39.0169679822975</v>
      </c>
      <c r="AY504" s="2" t="n">
        <f aca="false">AI504+(Entrées!$C$244-Entrées!$C$13)</f>
        <v>28634.8340247279</v>
      </c>
      <c r="AZ504" s="2" t="n">
        <f aca="false">AA504*AH504</f>
        <v>5356.41060369658</v>
      </c>
      <c r="BA504" s="2" t="n">
        <f aca="false">AZ504/AY504</f>
        <v>0.187059250948372</v>
      </c>
      <c r="BB504" s="2" t="n">
        <f aca="false">AZ504/(Entrées!$C$151/100)-AY504</f>
        <v>1123.00266247526</v>
      </c>
      <c r="BC504" s="2" t="n">
        <f aca="false">AT504+(Entrées!$C$244-Entrées!$C$13)</f>
        <v>28379.8520514404</v>
      </c>
      <c r="BD504" s="2" t="n">
        <f aca="false">AA504*AQ504</f>
        <v>5708.20566307918</v>
      </c>
      <c r="BE504" s="2" t="n">
        <f aca="false">BD504/BC504</f>
        <v>0.201135849923835</v>
      </c>
      <c r="BF504" s="2" t="n">
        <f aca="false">BD504/(Entrées!$C$151/100)-BC504</f>
        <v>3332.40163233276</v>
      </c>
      <c r="BG504" s="2" t="n">
        <f aca="false">MIN(AV504,BF504)</f>
        <v>1484.19885250646</v>
      </c>
      <c r="BH504" s="2" t="n">
        <f aca="false">IF(AC504&gt;Hypothèses!$J$26,MAX(0,BG504)/(1-Hypothèses!$J$26/AC504),0)</f>
        <v>2123.154550772</v>
      </c>
    </row>
    <row r="505" customFormat="false" ht="15" hidden="false" customHeight="false" outlineLevel="0" collapsed="false">
      <c r="A505" s="2" t="n">
        <v>490</v>
      </c>
      <c r="B505" s="2" t="n">
        <v>0.67478988</v>
      </c>
      <c r="C505" s="2"/>
      <c r="D505" s="2" t="n">
        <v>0.223740148</v>
      </c>
      <c r="E505" s="2" t="n">
        <f aca="false">IF(E$7=E$5,E$6,IF(NORMSDIST(E$9*SQRT($C$11)*NORMSINV($B505)+SQRT(1-E$9^2*$C$11)*NORMSINV(D505))&lt;E$8,E$5+SQRT(NORMSDIST(E$9*SQRT($C$11)*NORMSINV($B505)+SQRT(1-E$9^2*$C$11)*NORMSINV(D505))*(E$7-E$5)*(E$6-E$5)),E$7-SQRT((1-NORMSDIST(E$9*SQRT($C$11)*NORMSINV($B505)+SQRT(1-E$9^2*$C$11)*NORMSINV(D505)))*(E$7-E$5)*(E$7-E$6))))</f>
        <v>0.0543669650818614</v>
      </c>
      <c r="F505" s="2" t="n">
        <v>0.014403014</v>
      </c>
      <c r="G505" s="2" t="n">
        <f aca="false">IF(G$7=G$5,G$6,IF(NORMSDIST(G$9*SQRT($C$11)*NORMSINV($B505)+SQRT(1-G$9^2*$C$11)*NORMSINV(F505))&lt;G$8,G$5+SQRT(NORMSDIST(G$9*SQRT($C$11)*NORMSINV($B505)+SQRT(1-G$9^2*$C$11)*NORMSINV(F505))*(G$7-G$5)*(G$6-G$5)),G$7-SQRT((1-NORMSDIST(G$9*SQRT($C$11)*NORMSINV($B505)+SQRT(1-G$9^2*$C$11)*NORMSINV(F505)))*(G$7-G$5)*(G$7-G$6))))</f>
        <v>0.0459906213519165</v>
      </c>
      <c r="H505" s="2" t="n">
        <v>0.686699781</v>
      </c>
      <c r="I505" s="2" t="n">
        <f aca="false">IF(I$7=I$5,I$6,IF(NORMSDIST(I$9*SQRT($C$11)*NORMSINV($B505)+SQRT(1-I$9^2*$C$11)*NORMSINV(H505))&lt;I$8,I$5+SQRT(NORMSDIST(I$9*SQRT($C$11)*NORMSINV($B505)+SQRT(1-I$9^2*$C$11)*NORMSINV(H505))*(I$7-I$5)*(I$6-I$5)),I$7-SQRT((1-NORMSDIST(I$9*SQRT($C$11)*NORMSINV($B505)+SQRT(1-I$9^2*$C$11)*NORMSINV(H505)))*(I$7-I$5)*(I$7-I$6))))</f>
        <v>205.758797182021</v>
      </c>
      <c r="J505" s="2" t="n">
        <v>0.097047549</v>
      </c>
      <c r="K505" s="2" t="n">
        <f aca="false">IF(K$7=K$5,K$6,IF(NORMSDIST(K$9*SQRT($C$11)*NORMSINV($B505)+SQRT(1-K$9^2*$C$11)*NORMSINV(J505))&lt;K$8,K$5+SQRT(NORMSDIST(K$9*SQRT($C$11)*NORMSINV($B505)+SQRT(1-K$9^2*$C$11)*NORMSINV(J505))*(K$7-K$5)*(K$6-K$5)),K$7-SQRT((1-NORMSDIST(K$9*SQRT($C$11)*NORMSINV($B505)+SQRT(1-K$9^2*$C$11)*NORMSINV(J505)))*(K$7-K$5)*(K$7-K$6))))</f>
        <v>0.171753845601013</v>
      </c>
      <c r="L505" s="2" t="n">
        <v>0.731715658</v>
      </c>
      <c r="M505" s="2" t="n">
        <f aca="false">IF(M$7=M$5,M$6,IF(NORMSDIST(M$9*SQRT($C$11)*NORMSINV($B505)+SQRT(1-M$9^2*$C$11)*NORMSINV(L505))&lt;M$8,M$5+SQRT(NORMSDIST(M$9*SQRT($C$11)*NORMSINV($B505)+SQRT(1-M$9^2*$C$11)*NORMSINV(L505))*(M$7-M$5)*(M$6-M$5)),M$7-SQRT((1-NORMSDIST(M$9*SQRT($C$11)*NORMSINV($B505)+SQRT(1-M$9^2*$C$11)*NORMSINV(L505)))*(M$7-M$5)*(M$7-M$6))))</f>
        <v>1658.947436298</v>
      </c>
      <c r="N505" s="2" t="n">
        <v>0.500024239</v>
      </c>
      <c r="O505" s="2" t="n">
        <f aca="false">IF(O$7=O$5,O$6,IF(NORMSDIST(O$9*SQRT($C$11)*NORMSINV($B505)+SQRT(1-O$9^2*$C$11)*NORMSINV(N505))&lt;O$8,O$5+SQRT(NORMSDIST(O$9*SQRT($C$11)*NORMSINV($B505)+SQRT(1-O$9^2*$C$11)*NORMSINV(N505))*(O$7-O$5)*(O$6-O$5)),O$7-SQRT((1-NORMSDIST(O$9*SQRT($C$11)*NORMSINV($B505)+SQRT(1-O$9^2*$C$11)*NORMSINV(N505)))*(O$7-O$5)*(O$7-O$6))))</f>
        <v>0.169691802298629</v>
      </c>
      <c r="P505" s="2" t="n">
        <v>0.560579774</v>
      </c>
      <c r="Q505" s="2" t="n">
        <f aca="false">IF(Q$7=Q$5,Q$6,IF(NORMSDIST(Q$9*SQRT($C$11)*NORMSINV($B505)+SQRT(1-Q$9^2*$C$11)*NORMSINV(P505))&lt;Q$8,Q$5+SQRT(NORMSDIST(Q$9*SQRT($C$11)*NORMSINV($B505)+SQRT(1-Q$9^2*$C$11)*NORMSINV(P505))*(Q$7-Q$5)*(Q$6-Q$5)),Q$7-SQRT((1-NORMSDIST(Q$9*SQRT($C$11)*NORMSINV($B505)+SQRT(1-Q$9^2*$C$11)*NORMSINV(P505)))*(Q$7-Q$5)*(Q$7-Q$6))))</f>
        <v>0.082501403716939</v>
      </c>
      <c r="R505" s="2" t="n">
        <v>0.54770222</v>
      </c>
      <c r="S505" s="2" t="n">
        <f aca="false">IF(S$7=S$5,S$6,IF(NORMSDIST(S$9*SQRT($C$11)*NORMSINV($B505)+SQRT(1-S$9^2*$C$11)*NORMSINV(R505))&lt;S$8,S$5+SQRT(NORMSDIST(S$9*SQRT($C$11)*NORMSINV($B505)+SQRT(1-S$9^2*$C$11)*NORMSINV(R505))*(S$7-S$5)*(S$6-S$5)),S$7-SQRT((1-NORMSDIST(S$9*SQRT($C$11)*NORMSINV($B505)+SQRT(1-S$9^2*$C$11)*NORMSINV(R505)))*(S$7-S$5)*(S$7-S$6))))</f>
        <v>0.580372606097677</v>
      </c>
      <c r="T505" s="2" t="n">
        <v>0.662872763</v>
      </c>
      <c r="U505" s="2" t="n">
        <f aca="false">IF(U$7=U$5,U$6,IF(NORMSDIST(U$9*SQRT($C$11)*NORMSINV($B505)+SQRT(1-U$9^2*$C$11)*NORMSINV(T505))&lt;U$8,U$5+SQRT(NORMSDIST(U$9*SQRT($C$11)*NORMSINV($B505)+SQRT(1-U$9^2*$C$11)*NORMSINV(T505))*(U$7-U$5)*(U$6-U$5)),U$7-SQRT((1-NORMSDIST(U$9*SQRT($C$11)*NORMSINV($B505)+SQRT(1-U$9^2*$C$11)*NORMSINV(T505)))*(U$7-U$5)*(U$7-U$6))))</f>
        <v>0.632436551002417</v>
      </c>
      <c r="V505" s="2" t="n">
        <v>0.695632133</v>
      </c>
      <c r="W505" s="2" t="n">
        <f aca="false">IF(W$7=W$5,W$6,IF(NORMSDIST(W$9*SQRT($C$11)*NORMSINV($B505)+SQRT(1-W$9^2*$C$11)*NORMSINV(V505))&lt;W$8,W$5+SQRT(NORMSDIST(W$9*SQRT($C$11)*NORMSINV($B505)+SQRT(1-W$9^2*$C$11)*NORMSINV(V505))*(W$7-W$5)*(W$6-W$5)),W$7-SQRT((1-NORMSDIST(W$9*SQRT($C$11)*NORMSINV($B505)+SQRT(1-W$9^2*$C$11)*NORMSINV(V505)))*(W$7-W$5)*(W$7-W$6))))</f>
        <v>10.5935374757768</v>
      </c>
      <c r="X505" s="2" t="n">
        <v>0.03821373</v>
      </c>
      <c r="Y505" s="2" t="n">
        <f aca="false">IF(Y$7=Y$5,Y$6,IF(NORMSDIST(Y$9*SQRT($C$11)*NORMSINV($B505)+SQRT(1-Y$9^2*$C$11)*NORMSINV(X505))&lt;Y$8,Y$5+SQRT(NORMSDIST(Y$9*SQRT($C$11)*NORMSINV($B505)+SQRT(1-Y$9^2*$C$11)*NORMSINV(X505))*(Y$7-Y$5)*(Y$6-Y$5)),Y$7-SQRT((1-NORMSDIST(Y$9*SQRT($C$11)*NORMSINV($B505)+SQRT(1-Y$9^2*$C$11)*NORMSINV(X505)))*(Y$7-Y$5)*(Y$7-Y$6))))</f>
        <v>0.138227584077853</v>
      </c>
      <c r="Z505" s="2" t="n">
        <v>0.568919873</v>
      </c>
      <c r="AA505" s="2" t="n">
        <f aca="false">IF(AA$7=AA$5,AA$6,IF(NORMSDIST(AA$9*SQRT($C$11)*NORMSINV($B505)+SQRT(1-AA$9^2*$C$11)*NORMSINV(Z505))&lt;AA$8,AA$5+SQRT(NORMSDIST(AA$9*SQRT($C$11)*NORMSINV($B505)+SQRT(1-AA$9^2*$C$11)*NORMSINV(Z505))*(AA$7-AA$5)*(AA$6-AA$5)),AA$7-SQRT((1-NORMSDIST(AA$9*SQRT($C$11)*NORMSINV($B505)+SQRT(1-AA$9^2*$C$11)*NORMSINV(Z505)))*(AA$7-AA$5)*(AA$7-AA$6))))</f>
        <v>0.733062074033628</v>
      </c>
      <c r="AB505" s="2" t="n">
        <v>0.122692231</v>
      </c>
      <c r="AC505" s="2" t="n">
        <f aca="false">IF(AC$7=AC$5,AC$6,IF(NORMSDIST(AC$9*SQRT($C$11)*NORMSINV($B505)+SQRT(1-AC$9^2*$C$11)*NORMSINV(AB505))&lt;AC$8,AC$5+SQRT(NORMSDIST(AC$9*SQRT($C$11)*NORMSINV($B505)+SQRT(1-AC$9^2*$C$11)*NORMSINV(AB505))*(AC$7-AC$5)*(AC$6-AC$5)),AC$7-SQRT((1-NORMSDIST(AC$9*SQRT($C$11)*NORMSINV($B505)+SQRT(1-AC$9^2*$C$11)*NORMSINV(AB505)))*(AC$7-AC$5)*(AC$7-AC$6))))</f>
        <v>8.92700551395565</v>
      </c>
      <c r="AD505" s="2" t="n">
        <f aca="false">Entrées!$C$8*(1+E505)</f>
        <v>7433.28710382712</v>
      </c>
      <c r="AE505" s="2" t="n">
        <f aca="false">I505*Hypothèses!$J$24/12/Hypothèses!$J$19</f>
        <v>102.076280725351</v>
      </c>
      <c r="AF505" s="2" t="n">
        <f aca="false">Entrées!$C$36*S505*1000</f>
        <v>290.186303048839</v>
      </c>
      <c r="AG505" s="2" t="n">
        <f aca="false">-AF505/W505</f>
        <v>-27.3927669310066</v>
      </c>
      <c r="AH505" s="2" t="n">
        <f aca="false">AD505+AE505+AG505</f>
        <v>7507.97061762147</v>
      </c>
      <c r="AI505" s="2" t="n">
        <f aca="false">Entrées!$C$16-M505+Hypothèses!$J$22*1000-AF505+Hypothèses!$J$23</f>
        <v>22598.8662606532</v>
      </c>
      <c r="AJ505" s="2" t="n">
        <f aca="false">AI505/AH505</f>
        <v>3.00998331128426</v>
      </c>
      <c r="AK505" s="2" t="n">
        <f aca="false">AI505/(AH505+I505*(12-Hypothèses!$J$24)/12/Hypothèses!$J$19)</f>
        <v>2.98103380651477</v>
      </c>
      <c r="AL505" s="2" t="n">
        <f aca="false">(AD505+AG505+I505/Hypothèses!$J$19)*(1+G505)</f>
        <v>7929.53173163296</v>
      </c>
      <c r="AM505" s="2" t="n">
        <f aca="false">Entrées!$C$54*K505/Hypothèses!$J$19</f>
        <v>17.5282010913794</v>
      </c>
      <c r="AN505" s="2" t="n">
        <f aca="false">Y505*1000/AC505</f>
        <v>15.48420507434</v>
      </c>
      <c r="AO505" s="2" t="n">
        <f aca="false">(Entrées!$C$36*(1-S505)+MAX(0,Entrées!$C$30-Entrées!$C$35-Entrées!$C$36)*U505)*1000</f>
        <v>1095.22486835455</v>
      </c>
      <c r="AP505" s="2" t="n">
        <f aca="false">-AO505/W505</f>
        <v>-103.386132428274</v>
      </c>
      <c r="AQ505" s="2" t="n">
        <f aca="false">AL505+AM505+AN505+AP505</f>
        <v>7859.1580053704</v>
      </c>
      <c r="AR505" s="2" t="n">
        <f aca="false">O505*AQ505-Hypothèses!$J$25/Hypothèses!$J$19</f>
        <v>1314.49952421937</v>
      </c>
      <c r="AS505" s="2" t="n">
        <f aca="false">Entrées!$C$79*(1+Q505)+Hypothèses!$J$20</f>
        <v>1484.66904268492</v>
      </c>
      <c r="AT505" s="2" t="n">
        <f aca="false">AI505-AR505+AS505+Y505*1000-AO505+Hypothèses!$J$23</f>
        <v>21812.038494842</v>
      </c>
      <c r="AU505" s="2" t="n">
        <f aca="false">AT505/AQ505</f>
        <v>2.77536581907848</v>
      </c>
      <c r="AV505" s="2" t="n">
        <f aca="false">Hypothèses!$J$26*AQ505-AT505</f>
        <v>1765.43552126919</v>
      </c>
      <c r="AW505" s="2" t="n">
        <f aca="false">IF(AC505&gt;Hypothèses!$J$26,MAX(0,AV505)/(1-Hypothèses!$J$26/AC505),0)</f>
        <v>2659.02445945002</v>
      </c>
      <c r="AX505" s="2" t="n">
        <f aca="false">AQ505-Entrées!$C$17*1000</f>
        <v>-140.841994629598</v>
      </c>
      <c r="AY505" s="2" t="n">
        <f aca="false">AI505+(Entrées!$C$244-Entrées!$C$13)</f>
        <v>28345.8662606532</v>
      </c>
      <c r="AZ505" s="2" t="n">
        <f aca="false">AA505*AH505</f>
        <v>5503.80851273713</v>
      </c>
      <c r="BA505" s="2" t="n">
        <f aca="false">AZ505/AY505</f>
        <v>0.194166177957911</v>
      </c>
      <c r="BB505" s="2" t="n">
        <f aca="false">AZ505/(Entrées!$C$151/100)-AY505</f>
        <v>2230.84769899756</v>
      </c>
      <c r="BC505" s="2" t="n">
        <f aca="false">AT505+(Entrées!$C$244-Entrées!$C$13)</f>
        <v>27559.038494842</v>
      </c>
      <c r="BD505" s="2" t="n">
        <f aca="false">AA505*AQ505</f>
        <v>5761.25066757482</v>
      </c>
      <c r="BE505" s="2" t="n">
        <f aca="false">BD505/BC505</f>
        <v>0.209051221749013</v>
      </c>
      <c r="BF505" s="2" t="n">
        <f aca="false">BD505/(Entrées!$C$151/100)-BC505</f>
        <v>4447.90965835141</v>
      </c>
      <c r="BG505" s="2" t="n">
        <f aca="false">MIN(AV505,BF505)</f>
        <v>1765.43552126919</v>
      </c>
      <c r="BH505" s="2" t="n">
        <f aca="false">IF(AC505&gt;Hypothèses!$J$26,MAX(0,BG505)/(1-Hypothèses!$J$26/AC505),0)</f>
        <v>2659.02445945002</v>
      </c>
    </row>
    <row r="506" customFormat="false" ht="15" hidden="false" customHeight="false" outlineLevel="0" collapsed="false">
      <c r="A506" s="2" t="n">
        <v>491</v>
      </c>
      <c r="B506" s="2" t="n">
        <v>0.181275916</v>
      </c>
      <c r="C506" s="2"/>
      <c r="D506" s="2" t="n">
        <v>0.024810364</v>
      </c>
      <c r="E506" s="2" t="n">
        <f aca="false">IF(E$7=E$5,E$6,IF(NORMSDIST(E$9*SQRT($C$11)*NORMSINV($B506)+SQRT(1-E$9^2*$C$11)*NORMSINV(D506))&lt;E$8,E$5+SQRT(NORMSDIST(E$9*SQRT($C$11)*NORMSINV($B506)+SQRT(1-E$9^2*$C$11)*NORMSINV(D506))*(E$7-E$5)*(E$6-E$5)),E$7-SQRT((1-NORMSDIST(E$9*SQRT($C$11)*NORMSINV($B506)+SQRT(1-E$9^2*$C$11)*NORMSINV(D506)))*(E$7-E$5)*(E$7-E$6))))</f>
        <v>0.0509491094893601</v>
      </c>
      <c r="F506" s="2" t="n">
        <v>0.892480417</v>
      </c>
      <c r="G506" s="2" t="n">
        <f aca="false">IF(G$7=G$5,G$6,IF(NORMSDIST(G$9*SQRT($C$11)*NORMSINV($B506)+SQRT(1-G$9^2*$C$11)*NORMSINV(F506))&lt;G$8,G$5+SQRT(NORMSDIST(G$9*SQRT($C$11)*NORMSINV($B506)+SQRT(1-G$9^2*$C$11)*NORMSINV(F506))*(G$7-G$5)*(G$6-G$5)),G$7-SQRT((1-NORMSDIST(G$9*SQRT($C$11)*NORMSINV($B506)+SQRT(1-G$9^2*$C$11)*NORMSINV(F506)))*(G$7-G$5)*(G$7-G$6))))</f>
        <v>0.0574446986981389</v>
      </c>
      <c r="H506" s="2" t="n">
        <v>0.133621334</v>
      </c>
      <c r="I506" s="2" t="n">
        <f aca="false">IF(I$7=I$5,I$6,IF(NORMSDIST(I$9*SQRT($C$11)*NORMSINV($B506)+SQRT(1-I$9^2*$C$11)*NORMSINV(H506))&lt;I$8,I$5+SQRT(NORMSDIST(I$9*SQRT($C$11)*NORMSINV($B506)+SQRT(1-I$9^2*$C$11)*NORMSINV(H506))*(I$7-I$5)*(I$6-I$5)),I$7-SQRT((1-NORMSDIST(I$9*SQRT($C$11)*NORMSINV($B506)+SQRT(1-I$9^2*$C$11)*NORMSINV(H506)))*(I$7-I$5)*(I$7-I$6))))</f>
        <v>187.777489616979</v>
      </c>
      <c r="J506" s="2" t="n">
        <v>0.080140877</v>
      </c>
      <c r="K506" s="2" t="n">
        <f aca="false">IF(K$7=K$5,K$6,IF(NORMSDIST(K$9*SQRT($C$11)*NORMSINV($B506)+SQRT(1-K$9^2*$C$11)*NORMSINV(J506))&lt;K$8,K$5+SQRT(NORMSDIST(K$9*SQRT($C$11)*NORMSINV($B506)+SQRT(1-K$9^2*$C$11)*NORMSINV(J506))*(K$7-K$5)*(K$6-K$5)),K$7-SQRT((1-NORMSDIST(K$9*SQRT($C$11)*NORMSINV($B506)+SQRT(1-K$9^2*$C$11)*NORMSINV(J506)))*(K$7-K$5)*(K$7-K$6))))</f>
        <v>0.0775461562649461</v>
      </c>
      <c r="L506" s="2" t="n">
        <v>0.83553219</v>
      </c>
      <c r="M506" s="2" t="n">
        <f aca="false">IF(M$7=M$5,M$6,IF(NORMSDIST(M$9*SQRT($C$11)*NORMSINV($B506)+SQRT(1-M$9^2*$C$11)*NORMSINV(L506))&lt;M$8,M$5+SQRT(NORMSDIST(M$9*SQRT($C$11)*NORMSINV($B506)+SQRT(1-M$9^2*$C$11)*NORMSINV(L506))*(M$7-M$5)*(M$6-M$5)),M$7-SQRT((1-NORMSDIST(M$9*SQRT($C$11)*NORMSINV($B506)+SQRT(1-M$9^2*$C$11)*NORMSINV(L506)))*(M$7-M$5)*(M$7-M$6))))</f>
        <v>1604.86701369287</v>
      </c>
      <c r="N506" s="2" t="n">
        <v>0.241596898</v>
      </c>
      <c r="O506" s="2" t="n">
        <f aca="false">IF(O$7=O$5,O$6,IF(NORMSDIST(O$9*SQRT($C$11)*NORMSINV($B506)+SQRT(1-O$9^2*$C$11)*NORMSINV(N506))&lt;O$8,O$5+SQRT(NORMSDIST(O$9*SQRT($C$11)*NORMSINV($B506)+SQRT(1-O$9^2*$C$11)*NORMSINV(N506))*(O$7-O$5)*(O$6-O$5)),O$7-SQRT((1-NORMSDIST(O$9*SQRT($C$11)*NORMSINV($B506)+SQRT(1-O$9^2*$C$11)*NORMSINV(N506)))*(O$7-O$5)*(O$7-O$6))))</f>
        <v>0.153739836055611</v>
      </c>
      <c r="P506" s="2" t="n">
        <v>0.78804437</v>
      </c>
      <c r="Q506" s="2" t="n">
        <f aca="false">IF(Q$7=Q$5,Q$6,IF(NORMSDIST(Q$9*SQRT($C$11)*NORMSINV($B506)+SQRT(1-Q$9^2*$C$11)*NORMSINV(P506))&lt;Q$8,Q$5+SQRT(NORMSDIST(Q$9*SQRT($C$11)*NORMSINV($B506)+SQRT(1-Q$9^2*$C$11)*NORMSINV(P506))*(Q$7-Q$5)*(Q$6-Q$5)),Q$7-SQRT((1-NORMSDIST(Q$9*SQRT($C$11)*NORMSINV($B506)+SQRT(1-Q$9^2*$C$11)*NORMSINV(P506)))*(Q$7-Q$5)*(Q$7-Q$6))))</f>
        <v>0.0939566128163021</v>
      </c>
      <c r="R506" s="2" t="n">
        <v>0.949810805</v>
      </c>
      <c r="S506" s="2" t="n">
        <f aca="false">IF(S$7=S$5,S$6,IF(NORMSDIST(S$9*SQRT($C$11)*NORMSINV($B506)+SQRT(1-S$9^2*$C$11)*NORMSINV(R506))&lt;S$8,S$5+SQRT(NORMSDIST(S$9*SQRT($C$11)*NORMSINV($B506)+SQRT(1-S$9^2*$C$11)*NORMSINV(R506))*(S$7-S$5)*(S$6-S$5)),S$7-SQRT((1-NORMSDIST(S$9*SQRT($C$11)*NORMSINV($B506)+SQRT(1-S$9^2*$C$11)*NORMSINV(R506)))*(S$7-S$5)*(S$7-S$6))))</f>
        <v>0.651461847490726</v>
      </c>
      <c r="T506" s="2" t="n">
        <v>0.694472671</v>
      </c>
      <c r="U506" s="2" t="n">
        <f aca="false">IF(U$7=U$5,U$6,IF(NORMSDIST(U$9*SQRT($C$11)*NORMSINV($B506)+SQRT(1-U$9^2*$C$11)*NORMSINV(T506))&lt;U$8,U$5+SQRT(NORMSDIST(U$9*SQRT($C$11)*NORMSINV($B506)+SQRT(1-U$9^2*$C$11)*NORMSINV(T506))*(U$7-U$5)*(U$6-U$5)),U$7-SQRT((1-NORMSDIST(U$9*SQRT($C$11)*NORMSINV($B506)+SQRT(1-U$9^2*$C$11)*NORMSINV(T506)))*(U$7-U$5)*(U$7-U$6))))</f>
        <v>0.462504759562294</v>
      </c>
      <c r="V506" s="2" t="n">
        <v>0.016538433</v>
      </c>
      <c r="W506" s="2" t="n">
        <f aca="false">IF(W$7=W$5,W$6,IF(NORMSDIST(W$9*SQRT($C$11)*NORMSINV($B506)+SQRT(1-W$9^2*$C$11)*NORMSINV(V506))&lt;W$8,W$5+SQRT(NORMSDIST(W$9*SQRT($C$11)*NORMSINV($B506)+SQRT(1-W$9^2*$C$11)*NORMSINV(V506))*(W$7-W$5)*(W$6-W$5)),W$7-SQRT((1-NORMSDIST(W$9*SQRT($C$11)*NORMSINV($B506)+SQRT(1-W$9^2*$C$11)*NORMSINV(V506)))*(W$7-W$5)*(W$7-W$6))))</f>
        <v>8.3223124713753</v>
      </c>
      <c r="X506" s="2" t="n">
        <v>0.140879716</v>
      </c>
      <c r="Y506" s="2" t="n">
        <f aca="false">IF(Y$7=Y$5,Y$6,IF(NORMSDIST(Y$9*SQRT($C$11)*NORMSINV($B506)+SQRT(1-Y$9^2*$C$11)*NORMSINV(X506))&lt;Y$8,Y$5+SQRT(NORMSDIST(Y$9*SQRT($C$11)*NORMSINV($B506)+SQRT(1-Y$9^2*$C$11)*NORMSINV(X506))*(Y$7-Y$5)*(Y$6-Y$5)),Y$7-SQRT((1-NORMSDIST(Y$9*SQRT($C$11)*NORMSINV($B506)+SQRT(1-Y$9^2*$C$11)*NORMSINV(X506)))*(Y$7-Y$5)*(Y$7-Y$6))))</f>
        <v>0.265405082845073</v>
      </c>
      <c r="Z506" s="2" t="n">
        <v>0.063413278</v>
      </c>
      <c r="AA506" s="2" t="n">
        <f aca="false">IF(AA$7=AA$5,AA$6,IF(NORMSDIST(AA$9*SQRT($C$11)*NORMSINV($B506)+SQRT(1-AA$9^2*$C$11)*NORMSINV(Z506))&lt;AA$8,AA$5+SQRT(NORMSDIST(AA$9*SQRT($C$11)*NORMSINV($B506)+SQRT(1-AA$9^2*$C$11)*NORMSINV(Z506))*(AA$7-AA$5)*(AA$6-AA$5)),AA$7-SQRT((1-NORMSDIST(AA$9*SQRT($C$11)*NORMSINV($B506)+SQRT(1-AA$9^2*$C$11)*NORMSINV(Z506)))*(AA$7-AA$5)*(AA$7-AA$6))))</f>
        <v>0.704499856973572</v>
      </c>
      <c r="AB506" s="2" t="n">
        <v>0.471771503</v>
      </c>
      <c r="AC506" s="2" t="n">
        <f aca="false">IF(AC$7=AC$5,AC$6,IF(NORMSDIST(AC$9*SQRT($C$11)*NORMSINV($B506)+SQRT(1-AC$9^2*$C$11)*NORMSINV(AB506))&lt;AC$8,AC$5+SQRT(NORMSDIST(AC$9*SQRT($C$11)*NORMSINV($B506)+SQRT(1-AC$9^2*$C$11)*NORMSINV(AB506))*(AC$7-AC$5)*(AC$6-AC$5)),AC$7-SQRT((1-NORMSDIST(AC$9*SQRT($C$11)*NORMSINV($B506)+SQRT(1-AC$9^2*$C$11)*NORMSINV(AB506)))*(AC$7-AC$5)*(AC$7-AC$6))))</f>
        <v>8.9106099339653</v>
      </c>
      <c r="AD506" s="2" t="n">
        <f aca="false">Entrées!$C$8*(1+E506)</f>
        <v>7409.19122189999</v>
      </c>
      <c r="AE506" s="2" t="n">
        <f aca="false">I506*Hypothèses!$J$24/12/Hypothèses!$J$19</f>
        <v>93.1558115937471</v>
      </c>
      <c r="AF506" s="2" t="n">
        <f aca="false">Entrées!$C$36*S506*1000</f>
        <v>325.730923745363</v>
      </c>
      <c r="AG506" s="2" t="n">
        <f aca="false">-AF506/W506</f>
        <v>-39.1394729368452</v>
      </c>
      <c r="AH506" s="2" t="n">
        <f aca="false">AD506+AE506+AG506</f>
        <v>7463.20756055689</v>
      </c>
      <c r="AI506" s="2" t="n">
        <f aca="false">Entrées!$C$16-M506+Hypothèses!$J$22*1000-AF506+Hypothèses!$J$23</f>
        <v>22617.4020625618</v>
      </c>
      <c r="AJ506" s="2" t="n">
        <f aca="false">AI506/AH506</f>
        <v>3.03052030632176</v>
      </c>
      <c r="AK506" s="2" t="n">
        <f aca="false">AI506/(AH506+I506*(12-Hypothèses!$J$24)/12/Hypothèses!$J$19)</f>
        <v>3.00373980467414</v>
      </c>
      <c r="AL506" s="2" t="n">
        <f aca="false">(AD506+AG506+I506/Hypothèses!$J$19)*(1+G506)</f>
        <v>7962.29149813956</v>
      </c>
      <c r="AM506" s="2" t="n">
        <f aca="false">Entrées!$C$54*K506/Hypothèses!$J$19</f>
        <v>7.91391084210745</v>
      </c>
      <c r="AN506" s="2" t="n">
        <f aca="false">Y506*1000/AC506</f>
        <v>29.7852879670343</v>
      </c>
      <c r="AO506" s="2" t="n">
        <f aca="false">(Entrées!$C$36*(1-S506)+MAX(0,Entrées!$C$30-Entrées!$C$35-Entrées!$C$36)*U506)*1000</f>
        <v>821.775739641848</v>
      </c>
      <c r="AP506" s="2" t="n">
        <f aca="false">-AO506/W506</f>
        <v>-98.7436776098418</v>
      </c>
      <c r="AQ506" s="2" t="n">
        <f aca="false">AL506+AM506+AN506+AP506</f>
        <v>7901.24701933886</v>
      </c>
      <c r="AR506" s="2" t="n">
        <f aca="false">O506*AQ506-Hypothèses!$J$25/Hypothèses!$J$19</f>
        <v>1195.60125912641</v>
      </c>
      <c r="AS506" s="2" t="n">
        <f aca="false">Entrées!$C$79*(1+Q506)+Hypothèses!$J$20</f>
        <v>1497.25831748512</v>
      </c>
      <c r="AT506" s="2" t="n">
        <f aca="false">AI506-AR506+AS506+Y506*1000-AO506+Hypothèses!$J$23</f>
        <v>22362.6884641237</v>
      </c>
      <c r="AU506" s="2" t="n">
        <f aca="false">AT506/AQ506</f>
        <v>2.83027329855521</v>
      </c>
      <c r="AV506" s="2" t="n">
        <f aca="false">Hypothèses!$J$26*AQ506-AT506</f>
        <v>1341.05259389289</v>
      </c>
      <c r="AW506" s="2" t="n">
        <f aca="false">IF(AC506&gt;Hypothèses!$J$26,MAX(0,AV506)/(1-Hypothèses!$J$26/AC506),0)</f>
        <v>2021.71970382339</v>
      </c>
      <c r="AX506" s="2" t="n">
        <f aca="false">AQ506-Entrées!$C$17*1000</f>
        <v>-98.7529806611383</v>
      </c>
      <c r="AY506" s="2" t="n">
        <f aca="false">AI506+(Entrées!$C$244-Entrées!$C$13)</f>
        <v>28364.4020625618</v>
      </c>
      <c r="AZ506" s="2" t="n">
        <f aca="false">AA506*AH506</f>
        <v>5257.82865897641</v>
      </c>
      <c r="BA506" s="2" t="n">
        <f aca="false">AZ506/AY506</f>
        <v>0.185367160124846</v>
      </c>
      <c r="BB506" s="2" t="n">
        <f aca="false">AZ506/(Entrées!$C$151/100)-AY506</f>
        <v>845.757153973838</v>
      </c>
      <c r="BC506" s="2" t="n">
        <f aca="false">AT506+(Entrées!$C$244-Entrées!$C$13)</f>
        <v>28109.6884641237</v>
      </c>
      <c r="BD506" s="2" t="n">
        <f aca="false">AA506*AQ506</f>
        <v>5566.42739503709</v>
      </c>
      <c r="BE506" s="2" t="n">
        <f aca="false">BD506/BC506</f>
        <v>0.19802522543576</v>
      </c>
      <c r="BF506" s="2" t="n">
        <f aca="false">BD506/(Entrées!$C$151/100)-BC506</f>
        <v>2814.90817497123</v>
      </c>
      <c r="BG506" s="2" t="n">
        <f aca="false">MIN(AV506,BF506)</f>
        <v>1341.05259389289</v>
      </c>
      <c r="BH506" s="2" t="n">
        <f aca="false">IF(AC506&gt;Hypothèses!$J$26,MAX(0,BG506)/(1-Hypothèses!$J$26/AC506),0)</f>
        <v>2021.71970382339</v>
      </c>
    </row>
    <row r="507" customFormat="false" ht="15" hidden="false" customHeight="false" outlineLevel="0" collapsed="false">
      <c r="A507" s="2" t="n">
        <v>492</v>
      </c>
      <c r="B507" s="2" t="n">
        <v>0.275091188</v>
      </c>
      <c r="C507" s="2"/>
      <c r="D507" s="2" t="n">
        <v>0.096169702</v>
      </c>
      <c r="E507" s="2" t="n">
        <f aca="false">IF(E$7=E$5,E$6,IF(NORMSDIST(E$9*SQRT($C$11)*NORMSINV($B507)+SQRT(1-E$9^2*$C$11)*NORMSINV(D507))&lt;E$8,E$5+SQRT(NORMSDIST(E$9*SQRT($C$11)*NORMSINV($B507)+SQRT(1-E$9^2*$C$11)*NORMSINV(D507))*(E$7-E$5)*(E$6-E$5)),E$7-SQRT((1-NORMSDIST(E$9*SQRT($C$11)*NORMSINV($B507)+SQRT(1-E$9^2*$C$11)*NORMSINV(D507)))*(E$7-E$5)*(E$7-E$6))))</f>
        <v>0.0520323820042993</v>
      </c>
      <c r="F507" s="2" t="n">
        <v>0.578203078</v>
      </c>
      <c r="G507" s="2" t="n">
        <f aca="false">IF(G$7=G$5,G$6,IF(NORMSDIST(G$9*SQRT($C$11)*NORMSINV($B507)+SQRT(1-G$9^2*$C$11)*NORMSINV(F507))&lt;G$8,G$5+SQRT(NORMSDIST(G$9*SQRT($C$11)*NORMSINV($B507)+SQRT(1-G$9^2*$C$11)*NORMSINV(F507))*(G$7-G$5)*(G$6-G$5)),G$7-SQRT((1-NORMSDIST(G$9*SQRT($C$11)*NORMSINV($B507)+SQRT(1-G$9^2*$C$11)*NORMSINV(F507)))*(G$7-G$5)*(G$7-G$6))))</f>
        <v>0.0535990940612726</v>
      </c>
      <c r="H507" s="2" t="n">
        <v>0.855052014</v>
      </c>
      <c r="I507" s="2" t="n">
        <f aca="false">IF(I$7=I$5,I$6,IF(NORMSDIST(I$9*SQRT($C$11)*NORMSINV($B507)+SQRT(1-I$9^2*$C$11)*NORMSINV(H507))&lt;I$8,I$5+SQRT(NORMSDIST(I$9*SQRT($C$11)*NORMSINV($B507)+SQRT(1-I$9^2*$C$11)*NORMSINV(H507))*(I$7-I$5)*(I$6-I$5)),I$7-SQRT((1-NORMSDIST(I$9*SQRT($C$11)*NORMSINV($B507)+SQRT(1-I$9^2*$C$11)*NORMSINV(H507)))*(I$7-I$5)*(I$7-I$6))))</f>
        <v>203.769731438726</v>
      </c>
      <c r="J507" s="2" t="n">
        <v>0.875890349</v>
      </c>
      <c r="K507" s="2" t="n">
        <f aca="false">IF(K$7=K$5,K$6,IF(NORMSDIST(K$9*SQRT($C$11)*NORMSINV($B507)+SQRT(1-K$9^2*$C$11)*NORMSINV(J507))&lt;K$8,K$5+SQRT(NORMSDIST(K$9*SQRT($C$11)*NORMSINV($B507)+SQRT(1-K$9^2*$C$11)*NORMSINV(J507))*(K$7-K$5)*(K$6-K$5)),K$7-SQRT((1-NORMSDIST(K$9*SQRT($C$11)*NORMSINV($B507)+SQRT(1-K$9^2*$C$11)*NORMSINV(J507)))*(K$7-K$5)*(K$7-K$6))))</f>
        <v>0.305467996326067</v>
      </c>
      <c r="L507" s="2" t="n">
        <v>0.02914373</v>
      </c>
      <c r="M507" s="2" t="n">
        <f aca="false">IF(M$7=M$5,M$6,IF(NORMSDIST(M$9*SQRT($C$11)*NORMSINV($B507)+SQRT(1-M$9^2*$C$11)*NORMSINV(L507))&lt;M$8,M$5+SQRT(NORMSDIST(M$9*SQRT($C$11)*NORMSINV($B507)+SQRT(1-M$9^2*$C$11)*NORMSINV(L507))*(M$7-M$5)*(M$6-M$5)),M$7-SQRT((1-NORMSDIST(M$9*SQRT($C$11)*NORMSINV($B507)+SQRT(1-M$9^2*$C$11)*NORMSINV(L507)))*(M$7-M$5)*(M$7-M$6))))</f>
        <v>1375.18719625892</v>
      </c>
      <c r="N507" s="2" t="n">
        <v>0.973369178</v>
      </c>
      <c r="O507" s="2" t="n">
        <f aca="false">IF(O$7=O$5,O$6,IF(NORMSDIST(O$9*SQRT($C$11)*NORMSINV($B507)+SQRT(1-O$9^2*$C$11)*NORMSINV(N507))&lt;O$8,O$5+SQRT(NORMSDIST(O$9*SQRT($C$11)*NORMSINV($B507)+SQRT(1-O$9^2*$C$11)*NORMSINV(N507))*(O$7-O$5)*(O$6-O$5)),O$7-SQRT((1-NORMSDIST(O$9*SQRT($C$11)*NORMSINV($B507)+SQRT(1-O$9^2*$C$11)*NORMSINV(N507)))*(O$7-O$5)*(O$7-O$6))))</f>
        <v>0.178164084310254</v>
      </c>
      <c r="P507" s="2" t="n">
        <v>0.635706617</v>
      </c>
      <c r="Q507" s="2" t="n">
        <f aca="false">IF(Q$7=Q$5,Q$6,IF(NORMSDIST(Q$9*SQRT($C$11)*NORMSINV($B507)+SQRT(1-Q$9^2*$C$11)*NORMSINV(P507))&lt;Q$8,Q$5+SQRT(NORMSDIST(Q$9*SQRT($C$11)*NORMSINV($B507)+SQRT(1-Q$9^2*$C$11)*NORMSINV(P507))*(Q$7-Q$5)*(Q$6-Q$5)),Q$7-SQRT((1-NORMSDIST(Q$9*SQRT($C$11)*NORMSINV($B507)+SQRT(1-Q$9^2*$C$11)*NORMSINV(P507)))*(Q$7-Q$5)*(Q$7-Q$6))))</f>
        <v>0.0858570823508008</v>
      </c>
      <c r="R507" s="2" t="n">
        <v>0.427527023</v>
      </c>
      <c r="S507" s="2" t="n">
        <f aca="false">IF(S$7=S$5,S$6,IF(NORMSDIST(S$9*SQRT($C$11)*NORMSINV($B507)+SQRT(1-S$9^2*$C$11)*NORMSINV(R507))&lt;S$8,S$5+SQRT(NORMSDIST(S$9*SQRT($C$11)*NORMSINV($B507)+SQRT(1-S$9^2*$C$11)*NORMSINV(R507))*(S$7-S$5)*(S$6-S$5)),S$7-SQRT((1-NORMSDIST(S$9*SQRT($C$11)*NORMSINV($B507)+SQRT(1-S$9^2*$C$11)*NORMSINV(R507)))*(S$7-S$5)*(S$7-S$6))))</f>
        <v>0.388424432699062</v>
      </c>
      <c r="T507" s="2" t="n">
        <v>0.334549819</v>
      </c>
      <c r="U507" s="2" t="n">
        <f aca="false">IF(U$7=U$5,U$6,IF(NORMSDIST(U$9*SQRT($C$11)*NORMSINV($B507)+SQRT(1-U$9^2*$C$11)*NORMSINV(T507))&lt;U$8,U$5+SQRT(NORMSDIST(U$9*SQRT($C$11)*NORMSINV($B507)+SQRT(1-U$9^2*$C$11)*NORMSINV(T507))*(U$7-U$5)*(U$6-U$5)),U$7-SQRT((1-NORMSDIST(U$9*SQRT($C$11)*NORMSINV($B507)+SQRT(1-U$9^2*$C$11)*NORMSINV(T507)))*(U$7-U$5)*(U$7-U$6))))</f>
        <v>0.345819809441249</v>
      </c>
      <c r="V507" s="2" t="n">
        <v>0.199887757</v>
      </c>
      <c r="W507" s="2" t="n">
        <f aca="false">IF(W$7=W$5,W$6,IF(NORMSDIST(W$9*SQRT($C$11)*NORMSINV($B507)+SQRT(1-W$9^2*$C$11)*NORMSINV(V507))&lt;W$8,W$5+SQRT(NORMSDIST(W$9*SQRT($C$11)*NORMSINV($B507)+SQRT(1-W$9^2*$C$11)*NORMSINV(V507))*(W$7-W$5)*(W$6-W$5)),W$7-SQRT((1-NORMSDIST(W$9*SQRT($C$11)*NORMSINV($B507)+SQRT(1-W$9^2*$C$11)*NORMSINV(V507)))*(W$7-W$5)*(W$7-W$6))))</f>
        <v>9.10083182427704</v>
      </c>
      <c r="X507" s="2" t="n">
        <v>0.624324429</v>
      </c>
      <c r="Y507" s="2" t="n">
        <f aca="false">IF(Y$7=Y$5,Y$6,IF(NORMSDIST(Y$9*SQRT($C$11)*NORMSINV($B507)+SQRT(1-Y$9^2*$C$11)*NORMSINV(X507))&lt;Y$8,Y$5+SQRT(NORMSDIST(Y$9*SQRT($C$11)*NORMSINV($B507)+SQRT(1-Y$9^2*$C$11)*NORMSINV(X507))*(Y$7-Y$5)*(Y$6-Y$5)),Y$7-SQRT((1-NORMSDIST(Y$9*SQRT($C$11)*NORMSINV($B507)+SQRT(1-Y$9^2*$C$11)*NORMSINV(X507)))*(Y$7-Y$5)*(Y$7-Y$6))))</f>
        <v>0.566597432517988</v>
      </c>
      <c r="Z507" s="2" t="n">
        <v>0.56852776</v>
      </c>
      <c r="AA507" s="2" t="n">
        <f aca="false">IF(AA$7=AA$5,AA$6,IF(NORMSDIST(AA$9*SQRT($C$11)*NORMSINV($B507)+SQRT(1-AA$9^2*$C$11)*NORMSINV(Z507))&lt;AA$8,AA$5+SQRT(NORMSDIST(AA$9*SQRT($C$11)*NORMSINV($B507)+SQRT(1-AA$9^2*$C$11)*NORMSINV(Z507))*(AA$7-AA$5)*(AA$6-AA$5)),AA$7-SQRT((1-NORMSDIST(AA$9*SQRT($C$11)*NORMSINV($B507)+SQRT(1-AA$9^2*$C$11)*NORMSINV(Z507)))*(AA$7-AA$5)*(AA$7-AA$6))))</f>
        <v>0.724725393612421</v>
      </c>
      <c r="AB507" s="2" t="n">
        <v>0.702048092</v>
      </c>
      <c r="AC507" s="2" t="n">
        <f aca="false">IF(AC$7=AC$5,AC$6,IF(NORMSDIST(AC$9*SQRT($C$11)*NORMSINV($B507)+SQRT(1-AC$9^2*$C$11)*NORMSINV(AB507))&lt;AC$8,AC$5+SQRT(NORMSDIST(AC$9*SQRT($C$11)*NORMSINV($B507)+SQRT(1-AC$9^2*$C$11)*NORMSINV(AB507))*(AC$7-AC$5)*(AC$6-AC$5)),AC$7-SQRT((1-NORMSDIST(AC$9*SQRT($C$11)*NORMSINV($B507)+SQRT(1-AC$9^2*$C$11)*NORMSINV(AB507)))*(AC$7-AC$5)*(AC$7-AC$6))))</f>
        <v>9.50554725037155</v>
      </c>
      <c r="AD507" s="2" t="n">
        <f aca="false">Entrées!$C$8*(1+E507)</f>
        <v>7416.82829313031</v>
      </c>
      <c r="AE507" s="2" t="n">
        <f aca="false">I507*Hypothèses!$J$24/12/Hypothèses!$J$19</f>
        <v>101.089511576355</v>
      </c>
      <c r="AF507" s="2" t="n">
        <f aca="false">Entrées!$C$36*S507*1000</f>
        <v>194.212216349531</v>
      </c>
      <c r="AG507" s="2" t="n">
        <f aca="false">-AF507/W507</f>
        <v>-21.3400511183447</v>
      </c>
      <c r="AH507" s="2" t="n">
        <f aca="false">AD507+AE507+AG507</f>
        <v>7496.57775358832</v>
      </c>
      <c r="AI507" s="2" t="n">
        <f aca="false">Entrées!$C$16-M507+Hypothèses!$J$22*1000-AF507+Hypothèses!$J$23</f>
        <v>22978.6005873916</v>
      </c>
      <c r="AJ507" s="2" t="n">
        <f aca="false">AI507/AH507</f>
        <v>3.0652120664516</v>
      </c>
      <c r="AK507" s="2" t="n">
        <f aca="false">AI507/(AH507+I507*(12-Hypothèses!$J$24)/12/Hypothèses!$J$19)</f>
        <v>3.03596970464229</v>
      </c>
      <c r="AL507" s="2" t="n">
        <f aca="false">(AD507+AG507+I507/Hypothèses!$J$19)*(1+G507)</f>
        <v>7974.46454246622</v>
      </c>
      <c r="AM507" s="2" t="n">
        <f aca="false">Entrées!$C$54*K507/Hypothèses!$J$19</f>
        <v>31.1742916023096</v>
      </c>
      <c r="AN507" s="2" t="n">
        <f aca="false">Y507*1000/AC507</f>
        <v>59.6070292003273</v>
      </c>
      <c r="AO507" s="2" t="n">
        <f aca="false">(Entrées!$C$36*(1-S507)+MAX(0,Entrées!$C$30-Entrées!$C$35-Entrées!$C$36)*U507)*1000</f>
        <v>789.935516868217</v>
      </c>
      <c r="AP507" s="2" t="n">
        <f aca="false">-AO507/W507</f>
        <v>-86.7981665984657</v>
      </c>
      <c r="AQ507" s="2" t="n">
        <f aca="false">AL507+AM507+AN507+AP507</f>
        <v>7978.44769667039</v>
      </c>
      <c r="AR507" s="2" t="n">
        <f aca="false">O507*AQ507-Hypothèses!$J$25/Hypothèses!$J$19</f>
        <v>1402.33766583291</v>
      </c>
      <c r="AS507" s="2" t="n">
        <f aca="false">Entrées!$C$79*(1+Q507)+Hypothèses!$J$20</f>
        <v>1488.35693350353</v>
      </c>
      <c r="AT507" s="2" t="n">
        <f aca="false">AI507-AR507+AS507+Y507*1000-AO507+Hypothèses!$J$23</f>
        <v>22841.2817707119</v>
      </c>
      <c r="AU507" s="2" t="n">
        <f aca="false">AT507/AQ507</f>
        <v>2.86287290950647</v>
      </c>
      <c r="AV507" s="2" t="n">
        <f aca="false">Hypothèses!$J$26*AQ507-AT507</f>
        <v>1094.06131929923</v>
      </c>
      <c r="AW507" s="2" t="n">
        <f aca="false">IF(AC507&gt;Hypothèses!$J$26,MAX(0,AV507)/(1-Hypothèses!$J$26/AC507),0)</f>
        <v>1598.58212770781</v>
      </c>
      <c r="AX507" s="2" t="n">
        <f aca="false">AQ507-Entrées!$C$17*1000</f>
        <v>-21.5523033296095</v>
      </c>
      <c r="AY507" s="2" t="n">
        <f aca="false">AI507+(Entrées!$C$244-Entrées!$C$13)</f>
        <v>28725.6005873916</v>
      </c>
      <c r="AZ507" s="2" t="n">
        <f aca="false">AA507*AH507</f>
        <v>5432.96026321542</v>
      </c>
      <c r="BA507" s="2" t="n">
        <f aca="false">AZ507/AY507</f>
        <v>0.189133043421905</v>
      </c>
      <c r="BB507" s="2" t="n">
        <f aca="false">AZ507/(Entrées!$C$151/100)-AY507</f>
        <v>1457.51198602742</v>
      </c>
      <c r="BC507" s="2" t="n">
        <f aca="false">AT507+(Entrées!$C$244-Entrées!$C$13)</f>
        <v>28588.2817707119</v>
      </c>
      <c r="BD507" s="2" t="n">
        <f aca="false">AA507*AQ507</f>
        <v>5782.18364738556</v>
      </c>
      <c r="BE507" s="2" t="n">
        <f aca="false">BD507/BC507</f>
        <v>0.202257123871966</v>
      </c>
      <c r="BF507" s="2" t="n">
        <f aca="false">BD507/(Entrées!$C$151/100)-BC507</f>
        <v>3534.9607147634</v>
      </c>
      <c r="BG507" s="2" t="n">
        <f aca="false">MIN(AV507,BF507)</f>
        <v>1094.06131929923</v>
      </c>
      <c r="BH507" s="2" t="n">
        <f aca="false">IF(AC507&gt;Hypothèses!$J$26,MAX(0,BG507)/(1-Hypothèses!$J$26/AC507),0)</f>
        <v>1598.58212770781</v>
      </c>
    </row>
    <row r="508" customFormat="false" ht="15" hidden="false" customHeight="false" outlineLevel="0" collapsed="false">
      <c r="A508" s="2" t="n">
        <v>493</v>
      </c>
      <c r="B508" s="2" t="n">
        <v>0.91143371</v>
      </c>
      <c r="C508" s="2"/>
      <c r="D508" s="2" t="n">
        <v>0.284794742</v>
      </c>
      <c r="E508" s="2" t="n">
        <f aca="false">IF(E$7=E$5,E$6,IF(NORMSDIST(E$9*SQRT($C$11)*NORMSINV($B508)+SQRT(1-E$9^2*$C$11)*NORMSINV(D508))&lt;E$8,E$5+SQRT(NORMSDIST(E$9*SQRT($C$11)*NORMSINV($B508)+SQRT(1-E$9^2*$C$11)*NORMSINV(D508))*(E$7-E$5)*(E$6-E$5)),E$7-SQRT((1-NORMSDIST(E$9*SQRT($C$11)*NORMSINV($B508)+SQRT(1-E$9^2*$C$11)*NORMSINV(D508)))*(E$7-E$5)*(E$7-E$6))))</f>
        <v>0.0558783225554336</v>
      </c>
      <c r="F508" s="2" t="n">
        <v>0.439402097</v>
      </c>
      <c r="G508" s="2" t="n">
        <f aca="false">IF(G$7=G$5,G$6,IF(NORMSDIST(G$9*SQRT($C$11)*NORMSINV($B508)+SQRT(1-G$9^2*$C$11)*NORMSINV(F508))&lt;G$8,G$5+SQRT(NORMSDIST(G$9*SQRT($C$11)*NORMSINV($B508)+SQRT(1-G$9^2*$C$11)*NORMSINV(F508))*(G$7-G$5)*(G$6-G$5)),G$7-SQRT((1-NORMSDIST(G$9*SQRT($C$11)*NORMSINV($B508)+SQRT(1-G$9^2*$C$11)*NORMSINV(F508)))*(G$7-G$5)*(G$7-G$6))))</f>
        <v>0.0598038281607385</v>
      </c>
      <c r="H508" s="2" t="n">
        <v>0.516369256</v>
      </c>
      <c r="I508" s="2" t="n">
        <f aca="false">IF(I$7=I$5,I$6,IF(NORMSDIST(I$9*SQRT($C$11)*NORMSINV($B508)+SQRT(1-I$9^2*$C$11)*NORMSINV(H508))&lt;I$8,I$5+SQRT(NORMSDIST(I$9*SQRT($C$11)*NORMSINV($B508)+SQRT(1-I$9^2*$C$11)*NORMSINV(H508))*(I$7-I$5)*(I$6-I$5)),I$7-SQRT((1-NORMSDIST(I$9*SQRT($C$11)*NORMSINV($B508)+SQRT(1-I$9^2*$C$11)*NORMSINV(H508)))*(I$7-I$5)*(I$7-I$6))))</f>
        <v>207.73699352665</v>
      </c>
      <c r="J508" s="2" t="n">
        <v>0.223350441</v>
      </c>
      <c r="K508" s="2" t="n">
        <f aca="false">IF(K$7=K$5,K$6,IF(NORMSDIST(K$9*SQRT($C$11)*NORMSINV($B508)+SQRT(1-K$9^2*$C$11)*NORMSINV(J508))&lt;K$8,K$5+SQRT(NORMSDIST(K$9*SQRT($C$11)*NORMSINV($B508)+SQRT(1-K$9^2*$C$11)*NORMSINV(J508))*(K$7-K$5)*(K$6-K$5)),K$7-SQRT((1-NORMSDIST(K$9*SQRT($C$11)*NORMSINV($B508)+SQRT(1-K$9^2*$C$11)*NORMSINV(J508)))*(K$7-K$5)*(K$7-K$6))))</f>
        <v>0.277563782505463</v>
      </c>
      <c r="L508" s="2" t="n">
        <v>0.174348218</v>
      </c>
      <c r="M508" s="2" t="n">
        <f aca="false">IF(M$7=M$5,M$6,IF(NORMSDIST(M$9*SQRT($C$11)*NORMSINV($B508)+SQRT(1-M$9^2*$C$11)*NORMSINV(L508))&lt;M$8,M$5+SQRT(NORMSDIST(M$9*SQRT($C$11)*NORMSINV($B508)+SQRT(1-M$9^2*$C$11)*NORMSINV(L508))*(M$7-M$5)*(M$6-M$5)),M$7-SQRT((1-NORMSDIST(M$9*SQRT($C$11)*NORMSINV($B508)+SQRT(1-M$9^2*$C$11)*NORMSINV(L508)))*(M$7-M$5)*(M$7-M$6))))</f>
        <v>1599.33892796621</v>
      </c>
      <c r="N508" s="2" t="n">
        <v>0.938768413</v>
      </c>
      <c r="O508" s="2" t="n">
        <f aca="false">IF(O$7=O$5,O$6,IF(NORMSDIST(O$9*SQRT($C$11)*NORMSINV($B508)+SQRT(1-O$9^2*$C$11)*NORMSINV(N508))&lt;O$8,O$5+SQRT(NORMSDIST(O$9*SQRT($C$11)*NORMSINV($B508)+SQRT(1-O$9^2*$C$11)*NORMSINV(N508))*(O$7-O$5)*(O$6-O$5)),O$7-SQRT((1-NORMSDIST(O$9*SQRT($C$11)*NORMSINV($B508)+SQRT(1-O$9^2*$C$11)*NORMSINV(N508)))*(O$7-O$5)*(O$7-O$6))))</f>
        <v>0.185363226875592</v>
      </c>
      <c r="P508" s="2" t="n">
        <v>0.029930943</v>
      </c>
      <c r="Q508" s="2" t="n">
        <f aca="false">IF(Q$7=Q$5,Q$6,IF(NORMSDIST(Q$9*SQRT($C$11)*NORMSINV($B508)+SQRT(1-Q$9^2*$C$11)*NORMSINV(P508))&lt;Q$8,Q$5+SQRT(NORMSDIST(Q$9*SQRT($C$11)*NORMSINV($B508)+SQRT(1-Q$9^2*$C$11)*NORMSINV(P508))*(Q$7-Q$5)*(Q$6-Q$5)),Q$7-SQRT((1-NORMSDIST(Q$9*SQRT($C$11)*NORMSINV($B508)+SQRT(1-Q$9^2*$C$11)*NORMSINV(P508)))*(Q$7-Q$5)*(Q$7-Q$6))))</f>
        <v>0.0497866755131658</v>
      </c>
      <c r="R508" s="2" t="n">
        <v>0.474243427</v>
      </c>
      <c r="S508" s="2" t="n">
        <f aca="false">IF(S$7=S$5,S$6,IF(NORMSDIST(S$9*SQRT($C$11)*NORMSINV($B508)+SQRT(1-S$9^2*$C$11)*NORMSINV(R508))&lt;S$8,S$5+SQRT(NORMSDIST(S$9*SQRT($C$11)*NORMSINV($B508)+SQRT(1-S$9^2*$C$11)*NORMSINV(R508))*(S$7-S$5)*(S$6-S$5)),S$7-SQRT((1-NORMSDIST(S$9*SQRT($C$11)*NORMSINV($B508)+SQRT(1-S$9^2*$C$11)*NORMSINV(R508)))*(S$7-S$5)*(S$7-S$6))))</f>
        <v>0.675322360639308</v>
      </c>
      <c r="T508" s="2" t="n">
        <v>0.67348179</v>
      </c>
      <c r="U508" s="2" t="n">
        <f aca="false">IF(U$7=U$5,U$6,IF(NORMSDIST(U$9*SQRT($C$11)*NORMSINV($B508)+SQRT(1-U$9^2*$C$11)*NORMSINV(T508))&lt;U$8,U$5+SQRT(NORMSDIST(U$9*SQRT($C$11)*NORMSINV($B508)+SQRT(1-U$9^2*$C$11)*NORMSINV(T508))*(U$7-U$5)*(U$6-U$5)),U$7-SQRT((1-NORMSDIST(U$9*SQRT($C$11)*NORMSINV($B508)+SQRT(1-U$9^2*$C$11)*NORMSINV(T508)))*(U$7-U$5)*(U$7-U$6))))</f>
        <v>0.760500690866542</v>
      </c>
      <c r="V508" s="2" t="n">
        <v>0.108779785</v>
      </c>
      <c r="W508" s="2" t="n">
        <f aca="false">IF(W$7=W$5,W$6,IF(NORMSDIST(W$9*SQRT($C$11)*NORMSINV($B508)+SQRT(1-W$9^2*$C$11)*NORMSINV(V508))&lt;W$8,W$5+SQRT(NORMSDIST(W$9*SQRT($C$11)*NORMSINV($B508)+SQRT(1-W$9^2*$C$11)*NORMSINV(V508))*(W$7-W$5)*(W$6-W$5)),W$7-SQRT((1-NORMSDIST(W$9*SQRT($C$11)*NORMSINV($B508)+SQRT(1-W$9^2*$C$11)*NORMSINV(V508)))*(W$7-W$5)*(W$7-W$6))))</f>
        <v>9.91742824816988</v>
      </c>
      <c r="X508" s="2" t="n">
        <v>0.996733023</v>
      </c>
      <c r="Y508" s="2" t="n">
        <f aca="false">IF(Y$7=Y$5,Y$6,IF(NORMSDIST(Y$9*SQRT($C$11)*NORMSINV($B508)+SQRT(1-Y$9^2*$C$11)*NORMSINV(X508))&lt;Y$8,Y$5+SQRT(NORMSDIST(Y$9*SQRT($C$11)*NORMSINV($B508)+SQRT(1-Y$9^2*$C$11)*NORMSINV(X508))*(Y$7-Y$5)*(Y$6-Y$5)),Y$7-SQRT((1-NORMSDIST(Y$9*SQRT($C$11)*NORMSINV($B508)+SQRT(1-Y$9^2*$C$11)*NORMSINV(X508)))*(Y$7-Y$5)*(Y$7-Y$6))))</f>
        <v>0.959583561512672</v>
      </c>
      <c r="Z508" s="2" t="n">
        <v>0.943006727</v>
      </c>
      <c r="AA508" s="2" t="n">
        <f aca="false">IF(AA$7=AA$5,AA$6,IF(NORMSDIST(AA$9*SQRT($C$11)*NORMSINV($B508)+SQRT(1-AA$9^2*$C$11)*NORMSINV(Z508))&lt;AA$8,AA$5+SQRT(NORMSDIST(AA$9*SQRT($C$11)*NORMSINV($B508)+SQRT(1-AA$9^2*$C$11)*NORMSINV(Z508))*(AA$7-AA$5)*(AA$6-AA$5)),AA$7-SQRT((1-NORMSDIST(AA$9*SQRT($C$11)*NORMSINV($B508)+SQRT(1-AA$9^2*$C$11)*NORMSINV(Z508)))*(AA$7-AA$5)*(AA$7-AA$6))))</f>
        <v>0.748947947675035</v>
      </c>
      <c r="AB508" s="2" t="n">
        <v>0.595321193</v>
      </c>
      <c r="AC508" s="2" t="n">
        <f aca="false">IF(AC$7=AC$5,AC$6,IF(NORMSDIST(AC$9*SQRT($C$11)*NORMSINV($B508)+SQRT(1-AC$9^2*$C$11)*NORMSINV(AB508))&lt;AC$8,AC$5+SQRT(NORMSDIST(AC$9*SQRT($C$11)*NORMSINV($B508)+SQRT(1-AC$9^2*$C$11)*NORMSINV(AB508))*(AC$7-AC$5)*(AC$6-AC$5)),AC$7-SQRT((1-NORMSDIST(AC$9*SQRT($C$11)*NORMSINV($B508)+SQRT(1-AC$9^2*$C$11)*NORMSINV(AB508)))*(AC$7-AC$5)*(AC$7-AC$6))))</f>
        <v>10.1975335813946</v>
      </c>
      <c r="AD508" s="2" t="n">
        <f aca="false">Entrées!$C$8*(1+E508)</f>
        <v>7443.94217401581</v>
      </c>
      <c r="AE508" s="2" t="n">
        <f aca="false">I508*Hypothèses!$J$24/12/Hypothèses!$J$19</f>
        <v>103.057657600458</v>
      </c>
      <c r="AF508" s="2" t="n">
        <f aca="false">Entrées!$C$36*S508*1000</f>
        <v>337.661180319654</v>
      </c>
      <c r="AG508" s="2" t="n">
        <f aca="false">-AF508/W508</f>
        <v>-34.0472521575303</v>
      </c>
      <c r="AH508" s="2" t="n">
        <f aca="false">AD508+AE508+AG508</f>
        <v>7512.95257945873</v>
      </c>
      <c r="AI508" s="2" t="n">
        <f aca="false">Entrées!$C$16-M508+Hypothèses!$J$22*1000-AF508+Hypothèses!$J$23</f>
        <v>22610.9998917141</v>
      </c>
      <c r="AJ508" s="2" t="n">
        <f aca="false">AI508/AH508</f>
        <v>3.00960237038301</v>
      </c>
      <c r="AK508" s="2" t="n">
        <f aca="false">AI508/(AH508+I508*(12-Hypothèses!$J$24)/12/Hypothèses!$J$19)</f>
        <v>2.98040013094021</v>
      </c>
      <c r="AL508" s="2" t="n">
        <f aca="false">(AD508+AG508+I508/Hypothèses!$J$19)*(1+G508)</f>
        <v>8040.27083310492</v>
      </c>
      <c r="AM508" s="2" t="n">
        <f aca="false">Entrées!$C$54*K508/Hypothèses!$J$19</f>
        <v>28.3265494196944</v>
      </c>
      <c r="AN508" s="2" t="n">
        <f aca="false">Y508*1000/AC508</f>
        <v>94.0995735736955</v>
      </c>
      <c r="AO508" s="2" t="n">
        <f aca="false">(Entrées!$C$36*(1-S508)+MAX(0,Entrées!$C$30-Entrées!$C$35-Entrées!$C$36)*U508)*1000</f>
        <v>1227.03978689351</v>
      </c>
      <c r="AP508" s="2" t="n">
        <f aca="false">-AO508/W508</f>
        <v>-123.725602665181</v>
      </c>
      <c r="AQ508" s="2" t="n">
        <f aca="false">AL508+AM508+AN508+AP508</f>
        <v>8038.97135343313</v>
      </c>
      <c r="AR508" s="2" t="n">
        <f aca="false">O508*AQ508-Hypothèses!$J$25/Hypothèses!$J$19</f>
        <v>1470.99450857118</v>
      </c>
      <c r="AS508" s="2" t="n">
        <f aca="false">Entrées!$C$79*(1+Q508)+Hypothèses!$J$20</f>
        <v>1448.71555638897</v>
      </c>
      <c r="AT508" s="2" t="n">
        <f aca="false">AI508-AR508+AS508+Y508*1000-AO508+Hypothèses!$J$23</f>
        <v>22321.2647141511</v>
      </c>
      <c r="AU508" s="2" t="n">
        <f aca="false">AT508/AQ508</f>
        <v>2.77663195112874</v>
      </c>
      <c r="AV508" s="2" t="n">
        <f aca="false">Hypothèses!$J$26*AQ508-AT508</f>
        <v>1795.6493461483</v>
      </c>
      <c r="AW508" s="2" t="n">
        <f aca="false">IF(AC508&gt;Hypothèses!$J$26,MAX(0,AV508)/(1-Hypothèses!$J$26/AC508),0)</f>
        <v>2544.09295916179</v>
      </c>
      <c r="AX508" s="2" t="n">
        <f aca="false">AQ508-Entrées!$C$17*1000</f>
        <v>38.9713534331304</v>
      </c>
      <c r="AY508" s="2" t="n">
        <f aca="false">AI508+(Entrées!$C$244-Entrées!$C$13)</f>
        <v>28357.9998917141</v>
      </c>
      <c r="AZ508" s="2" t="n">
        <f aca="false">AA508*AH508</f>
        <v>5626.81041536548</v>
      </c>
      <c r="BA508" s="2" t="n">
        <f aca="false">AZ508/AY508</f>
        <v>0.198420566924735</v>
      </c>
      <c r="BB508" s="2" t="n">
        <f aca="false">AZ508/(Entrées!$C$151/100)-AY508</f>
        <v>2902.05797142742</v>
      </c>
      <c r="BC508" s="2" t="n">
        <f aca="false">AT508+(Entrées!$C$244-Entrées!$C$13)</f>
        <v>28068.2647141511</v>
      </c>
      <c r="BD508" s="2" t="n">
        <f aca="false">AA508*AQ508</f>
        <v>6020.77109657214</v>
      </c>
      <c r="BE508" s="2" t="n">
        <f aca="false">BD508/BC508</f>
        <v>0.214504571546836</v>
      </c>
      <c r="BF508" s="2" t="n">
        <f aca="false">BD508/(Entrées!$C$151/100)-BC508</f>
        <v>5380.46360013859</v>
      </c>
      <c r="BG508" s="2" t="n">
        <f aca="false">MIN(AV508,BF508)</f>
        <v>1795.6493461483</v>
      </c>
      <c r="BH508" s="2" t="n">
        <f aca="false">IF(AC508&gt;Hypothèses!$J$26,MAX(0,BG508)/(1-Hypothèses!$J$26/AC508),0)</f>
        <v>2544.09295916179</v>
      </c>
    </row>
    <row r="509" customFormat="false" ht="15" hidden="false" customHeight="false" outlineLevel="0" collapsed="false">
      <c r="A509" s="2" t="n">
        <v>494</v>
      </c>
      <c r="B509" s="2" t="n">
        <v>0.554987419</v>
      </c>
      <c r="C509" s="2"/>
      <c r="D509" s="2" t="n">
        <v>0.574789795</v>
      </c>
      <c r="E509" s="2" t="n">
        <f aca="false">IF(E$7=E$5,E$6,IF(NORMSDIST(E$9*SQRT($C$11)*NORMSINV($B509)+SQRT(1-E$9^2*$C$11)*NORMSINV(D509))&lt;E$8,E$5+SQRT(NORMSDIST(E$9*SQRT($C$11)*NORMSINV($B509)+SQRT(1-E$9^2*$C$11)*NORMSINV(D509))*(E$7-E$5)*(E$6-E$5)),E$7-SQRT((1-NORMSDIST(E$9*SQRT($C$11)*NORMSINV($B509)+SQRT(1-E$9^2*$C$11)*NORMSINV(D509)))*(E$7-E$5)*(E$7-E$6))))</f>
        <v>0.055485155401656</v>
      </c>
      <c r="F509" s="2" t="n">
        <v>0.747600045</v>
      </c>
      <c r="G509" s="2" t="n">
        <f aca="false">IF(G$7=G$5,G$6,IF(NORMSDIST(G$9*SQRT($C$11)*NORMSINV($B509)+SQRT(1-G$9^2*$C$11)*NORMSINV(F509))&lt;G$8,G$5+SQRT(NORMSDIST(G$9*SQRT($C$11)*NORMSINV($B509)+SQRT(1-G$9^2*$C$11)*NORMSINV(F509))*(G$7-G$5)*(G$6-G$5)),G$7-SQRT((1-NORMSDIST(G$9*SQRT($C$11)*NORMSINV($B509)+SQRT(1-G$9^2*$C$11)*NORMSINV(F509)))*(G$7-G$5)*(G$7-G$6))))</f>
        <v>0.0589183107413639</v>
      </c>
      <c r="H509" s="2" t="n">
        <v>0.609197658</v>
      </c>
      <c r="I509" s="2" t="n">
        <f aca="false">IF(I$7=I$5,I$6,IF(NORMSDIST(I$9*SQRT($C$11)*NORMSINV($B509)+SQRT(1-I$9^2*$C$11)*NORMSINV(H509))&lt;I$8,I$5+SQRT(NORMSDIST(I$9*SQRT($C$11)*NORMSINV($B509)+SQRT(1-I$9^2*$C$11)*NORMSINV(H509))*(I$7-I$5)*(I$6-I$5)),I$7-SQRT((1-NORMSDIST(I$9*SQRT($C$11)*NORMSINV($B509)+SQRT(1-I$9^2*$C$11)*NORMSINV(H509)))*(I$7-I$5)*(I$7-I$6))))</f>
        <v>202.535680003008</v>
      </c>
      <c r="J509" s="2" t="n">
        <v>0.82298365</v>
      </c>
      <c r="K509" s="2" t="n">
        <f aca="false">IF(K$7=K$5,K$6,IF(NORMSDIST(K$9*SQRT($C$11)*NORMSINV($B509)+SQRT(1-K$9^2*$C$11)*NORMSINV(J509))&lt;K$8,K$5+SQRT(NORMSDIST(K$9*SQRT($C$11)*NORMSINV($B509)+SQRT(1-K$9^2*$C$11)*NORMSINV(J509))*(K$7-K$5)*(K$6-K$5)),K$7-SQRT((1-NORMSDIST(K$9*SQRT($C$11)*NORMSINV($B509)+SQRT(1-K$9^2*$C$11)*NORMSINV(J509)))*(K$7-K$5)*(K$7-K$6))))</f>
        <v>0.337861695676076</v>
      </c>
      <c r="L509" s="2" t="n">
        <v>0.937211747</v>
      </c>
      <c r="M509" s="2" t="n">
        <f aca="false">IF(M$7=M$5,M$6,IF(NORMSDIST(M$9*SQRT($C$11)*NORMSINV($B509)+SQRT(1-M$9^2*$C$11)*NORMSINV(L509))&lt;M$8,M$5+SQRT(NORMSDIST(M$9*SQRT($C$11)*NORMSINV($B509)+SQRT(1-M$9^2*$C$11)*NORMSINV(L509))*(M$7-M$5)*(M$6-M$5)),M$7-SQRT((1-NORMSDIST(M$9*SQRT($C$11)*NORMSINV($B509)+SQRT(1-M$9^2*$C$11)*NORMSINV(L509)))*(M$7-M$5)*(M$7-M$6))))</f>
        <v>1702.08099401408</v>
      </c>
      <c r="N509" s="2" t="n">
        <v>0.431941074</v>
      </c>
      <c r="O509" s="2" t="n">
        <f aca="false">IF(O$7=O$5,O$6,IF(NORMSDIST(O$9*SQRT($C$11)*NORMSINV($B509)+SQRT(1-O$9^2*$C$11)*NORMSINV(N509))&lt;O$8,O$5+SQRT(NORMSDIST(O$9*SQRT($C$11)*NORMSINV($B509)+SQRT(1-O$9^2*$C$11)*NORMSINV(N509))*(O$7-O$5)*(O$6-O$5)),O$7-SQRT((1-NORMSDIST(O$9*SQRT($C$11)*NORMSINV($B509)+SQRT(1-O$9^2*$C$11)*NORMSINV(N509)))*(O$7-O$5)*(O$7-O$6))))</f>
        <v>0.166295705321516</v>
      </c>
      <c r="P509" s="2" t="n">
        <v>0.05120154</v>
      </c>
      <c r="Q509" s="2" t="n">
        <f aca="false">IF(Q$7=Q$5,Q$6,IF(NORMSDIST(Q$9*SQRT($C$11)*NORMSINV($B509)+SQRT(1-Q$9^2*$C$11)*NORMSINV(P509))&lt;Q$8,Q$5+SQRT(NORMSDIST(Q$9*SQRT($C$11)*NORMSINV($B509)+SQRT(1-Q$9^2*$C$11)*NORMSINV(P509))*(Q$7-Q$5)*(Q$6-Q$5)),Q$7-SQRT((1-NORMSDIST(Q$9*SQRT($C$11)*NORMSINV($B509)+SQRT(1-Q$9^2*$C$11)*NORMSINV(P509)))*(Q$7-Q$5)*(Q$7-Q$6))))</f>
        <v>0.0528001924985525</v>
      </c>
      <c r="R509" s="2" t="n">
        <v>0.602668755</v>
      </c>
      <c r="S509" s="2" t="n">
        <f aca="false">IF(S$7=S$5,S$6,IF(NORMSDIST(S$9*SQRT($C$11)*NORMSINV($B509)+SQRT(1-S$9^2*$C$11)*NORMSINV(R509))&lt;S$8,S$5+SQRT(NORMSDIST(S$9*SQRT($C$11)*NORMSINV($B509)+SQRT(1-S$9^2*$C$11)*NORMSINV(R509))*(S$7-S$5)*(S$6-S$5)),S$7-SQRT((1-NORMSDIST(S$9*SQRT($C$11)*NORMSINV($B509)+SQRT(1-S$9^2*$C$11)*NORMSINV(R509)))*(S$7-S$5)*(S$7-S$6))))</f>
        <v>0.560527490685883</v>
      </c>
      <c r="T509" s="2" t="n">
        <v>0.574162158</v>
      </c>
      <c r="U509" s="2" t="n">
        <f aca="false">IF(U$7=U$5,U$6,IF(NORMSDIST(U$9*SQRT($C$11)*NORMSINV($B509)+SQRT(1-U$9^2*$C$11)*NORMSINV(T509))&lt;U$8,U$5+SQRT(NORMSDIST(U$9*SQRT($C$11)*NORMSINV($B509)+SQRT(1-U$9^2*$C$11)*NORMSINV(T509))*(U$7-U$5)*(U$6-U$5)),U$7-SQRT((1-NORMSDIST(U$9*SQRT($C$11)*NORMSINV($B509)+SQRT(1-U$9^2*$C$11)*NORMSINV(T509)))*(U$7-U$5)*(U$7-U$6))))</f>
        <v>0.548248958051779</v>
      </c>
      <c r="V509" s="2" t="n">
        <v>0.569378082</v>
      </c>
      <c r="W509" s="2" t="n">
        <f aca="false">IF(W$7=W$5,W$6,IF(NORMSDIST(W$9*SQRT($C$11)*NORMSINV($B509)+SQRT(1-W$9^2*$C$11)*NORMSINV(V509))&lt;W$8,W$5+SQRT(NORMSDIST(W$9*SQRT($C$11)*NORMSINV($B509)+SQRT(1-W$9^2*$C$11)*NORMSINV(V509))*(W$7-W$5)*(W$6-W$5)),W$7-SQRT((1-NORMSDIST(W$9*SQRT($C$11)*NORMSINV($B509)+SQRT(1-W$9^2*$C$11)*NORMSINV(V509)))*(W$7-W$5)*(W$7-W$6))))</f>
        <v>10.1848887916831</v>
      </c>
      <c r="X509" s="2" t="n">
        <v>0.614690838</v>
      </c>
      <c r="Y509" s="2" t="n">
        <f aca="false">IF(Y$7=Y$5,Y$6,IF(NORMSDIST(Y$9*SQRT($C$11)*NORMSINV($B509)+SQRT(1-Y$9^2*$C$11)*NORMSINV(X509))&lt;Y$8,Y$5+SQRT(NORMSDIST(Y$9*SQRT($C$11)*NORMSINV($B509)+SQRT(1-Y$9^2*$C$11)*NORMSINV(X509))*(Y$7-Y$5)*(Y$6-Y$5)),Y$7-SQRT((1-NORMSDIST(Y$9*SQRT($C$11)*NORMSINV($B509)+SQRT(1-Y$9^2*$C$11)*NORMSINV(X509)))*(Y$7-Y$5)*(Y$7-Y$6))))</f>
        <v>0.561075654582706</v>
      </c>
      <c r="Z509" s="2" t="n">
        <v>0.261526883</v>
      </c>
      <c r="AA509" s="2" t="n">
        <f aca="false">IF(AA$7=AA$5,AA$6,IF(NORMSDIST(AA$9*SQRT($C$11)*NORMSINV($B509)+SQRT(1-AA$9^2*$C$11)*NORMSINV(Z509))&lt;AA$8,AA$5+SQRT(NORMSDIST(AA$9*SQRT($C$11)*NORMSINV($B509)+SQRT(1-AA$9^2*$C$11)*NORMSINV(Z509))*(AA$7-AA$5)*(AA$6-AA$5)),AA$7-SQRT((1-NORMSDIST(AA$9*SQRT($C$11)*NORMSINV($B509)+SQRT(1-AA$9^2*$C$11)*NORMSINV(Z509)))*(AA$7-AA$5)*(AA$7-AA$6))))</f>
        <v>0.722386758064222</v>
      </c>
      <c r="AB509" s="2" t="n">
        <v>0.486360858</v>
      </c>
      <c r="AC509" s="2" t="n">
        <f aca="false">IF(AC$7=AC$5,AC$6,IF(NORMSDIST(AC$9*SQRT($C$11)*NORMSINV($B509)+SQRT(1-AC$9^2*$C$11)*NORMSINV(AB509))&lt;AC$8,AC$5+SQRT(NORMSDIST(AC$9*SQRT($C$11)*NORMSINV($B509)+SQRT(1-AC$9^2*$C$11)*NORMSINV(AB509))*(AC$7-AC$5)*(AC$6-AC$5)),AC$7-SQRT((1-NORMSDIST(AC$9*SQRT($C$11)*NORMSINV($B509)+SQRT(1-AC$9^2*$C$11)*NORMSINV(AB509)))*(AC$7-AC$5)*(AC$7-AC$6))))</f>
        <v>9.52838057029037</v>
      </c>
      <c r="AD509" s="2" t="n">
        <f aca="false">Entrées!$C$8*(1+E509)</f>
        <v>7441.17034558168</v>
      </c>
      <c r="AE509" s="2" t="n">
        <f aca="false">I509*Hypothèses!$J$24/12/Hypothèses!$J$19</f>
        <v>100.47730260883</v>
      </c>
      <c r="AF509" s="2" t="n">
        <f aca="false">Entrées!$C$36*S509*1000</f>
        <v>280.263745342941</v>
      </c>
      <c r="AG509" s="2" t="n">
        <f aca="false">-AF509/W509</f>
        <v>-27.5176048629813</v>
      </c>
      <c r="AH509" s="2" t="n">
        <f aca="false">AD509+AE509+AG509</f>
        <v>7514.13004332753</v>
      </c>
      <c r="AI509" s="2" t="n">
        <f aca="false">Entrées!$C$16-M509+Hypothèses!$J$22*1000-AF509+Hypothèses!$J$23</f>
        <v>22565.655260643</v>
      </c>
      <c r="AJ509" s="2" t="n">
        <f aca="false">AI509/AH509</f>
        <v>3.00309618419248</v>
      </c>
      <c r="AK509" s="2" t="n">
        <f aca="false">AI509/(AH509+I509*(12-Hypothèses!$J$24)/12/Hypothèses!$J$19)</f>
        <v>2.97468416582821</v>
      </c>
      <c r="AL509" s="2" t="n">
        <f aca="false">(AD509+AG509+I509/Hypothèses!$J$19)*(1+G509)</f>
        <v>8032.84793184731</v>
      </c>
      <c r="AM509" s="2" t="n">
        <f aca="false">Entrées!$C$54*K509/Hypothèses!$J$19</f>
        <v>34.4802046333323</v>
      </c>
      <c r="AN509" s="2" t="n">
        <f aca="false">Y509*1000/AC509</f>
        <v>58.8846814465145</v>
      </c>
      <c r="AO509" s="2" t="n">
        <f aca="false">(Entrées!$C$36*(1-S509)+MAX(0,Entrées!$C$30-Entrées!$C$35-Entrées!$C$36)*U509)*1000</f>
        <v>987.284795929549</v>
      </c>
      <c r="AP509" s="2" t="n">
        <f aca="false">-AO509/W509</f>
        <v>-96.9362372160374</v>
      </c>
      <c r="AQ509" s="2" t="n">
        <f aca="false">AL509+AM509+AN509+AP509</f>
        <v>8029.27658071112</v>
      </c>
      <c r="AR509" s="2" t="n">
        <f aca="false">O509*AQ509-Hypothèses!$J$25/Hypothèses!$J$19</f>
        <v>1316.09904994926</v>
      </c>
      <c r="AS509" s="2" t="n">
        <f aca="false">Entrées!$C$79*(1+Q509)+Hypothèses!$J$20</f>
        <v>1452.02741155591</v>
      </c>
      <c r="AT509" s="2" t="n">
        <f aca="false">AI509-AR509+AS509+Y509*1000-AO509+Hypothèses!$J$23</f>
        <v>22275.3744809028</v>
      </c>
      <c r="AU509" s="2" t="n">
        <f aca="false">AT509/AQ509</f>
        <v>2.77426917070155</v>
      </c>
      <c r="AV509" s="2" t="n">
        <f aca="false">Hypothèses!$J$26*AQ509-AT509</f>
        <v>1812.45526123056</v>
      </c>
      <c r="AW509" s="2" t="n">
        <f aca="false">IF(AC509&gt;Hypothèses!$J$26,MAX(0,AV509)/(1-Hypothèses!$J$26/AC509),0)</f>
        <v>2645.33651334938</v>
      </c>
      <c r="AX509" s="2" t="n">
        <f aca="false">AQ509-Entrées!$C$17*1000</f>
        <v>29.2765807111155</v>
      </c>
      <c r="AY509" s="2" t="n">
        <f aca="false">AI509+(Entrées!$C$244-Entrées!$C$13)</f>
        <v>28312.655260643</v>
      </c>
      <c r="AZ509" s="2" t="n">
        <f aca="false">AA509*AH509</f>
        <v>5428.10804167234</v>
      </c>
      <c r="BA509" s="2" t="n">
        <f aca="false">AZ509/AY509</f>
        <v>0.191720203975989</v>
      </c>
      <c r="BB509" s="2" t="n">
        <f aca="false">AZ509/(Entrées!$C$151/100)-AY509</f>
        <v>1843.50052642558</v>
      </c>
      <c r="BC509" s="2" t="n">
        <f aca="false">AT509+(Entrées!$C$244-Entrées!$C$13)</f>
        <v>28022.3744809028</v>
      </c>
      <c r="BD509" s="2" t="n">
        <f aca="false">AA509*AQ509</f>
        <v>5800.24307874088</v>
      </c>
      <c r="BE509" s="2" t="n">
        <f aca="false">BD509/BC509</f>
        <v>0.206986138262257</v>
      </c>
      <c r="BF509" s="2" t="n">
        <f aca="false">BD509/(Entrées!$C$151/100)-BC509</f>
        <v>4201.19817876878</v>
      </c>
      <c r="BG509" s="2" t="n">
        <f aca="false">MIN(AV509,BF509)</f>
        <v>1812.45526123056</v>
      </c>
      <c r="BH509" s="2" t="n">
        <f aca="false">IF(AC509&gt;Hypothèses!$J$26,MAX(0,BG509)/(1-Hypothèses!$J$26/AC509),0)</f>
        <v>2645.33651334938</v>
      </c>
    </row>
    <row r="510" customFormat="false" ht="15" hidden="false" customHeight="false" outlineLevel="0" collapsed="false">
      <c r="A510" s="2" t="n">
        <v>495</v>
      </c>
      <c r="B510" s="2" t="n">
        <v>0.030392111</v>
      </c>
      <c r="C510" s="2"/>
      <c r="D510" s="2" t="n">
        <v>0.659470194</v>
      </c>
      <c r="E510" s="2" t="n">
        <f aca="false">IF(E$7=E$5,E$6,IF(NORMSDIST(E$9*SQRT($C$11)*NORMSINV($B510)+SQRT(1-E$9^2*$C$11)*NORMSINV(D510))&lt;E$8,E$5+SQRT(NORMSDIST(E$9*SQRT($C$11)*NORMSINV($B510)+SQRT(1-E$9^2*$C$11)*NORMSINV(D510))*(E$7-E$5)*(E$6-E$5)),E$7-SQRT((1-NORMSDIST(E$9*SQRT($C$11)*NORMSINV($B510)+SQRT(1-E$9^2*$C$11)*NORMSINV(D510)))*(E$7-E$5)*(E$7-E$6))))</f>
        <v>0.0531050643297317</v>
      </c>
      <c r="F510" s="2" t="n">
        <v>0.31443877</v>
      </c>
      <c r="G510" s="2" t="n">
        <f aca="false">IF(G$7=G$5,G$6,IF(NORMSDIST(G$9*SQRT($C$11)*NORMSINV($B510)+SQRT(1-G$9^2*$C$11)*NORMSINV(F510))&lt;G$8,G$5+SQRT(NORMSDIST(G$9*SQRT($C$11)*NORMSINV($B510)+SQRT(1-G$9^2*$C$11)*NORMSINV(F510))*(G$7-G$5)*(G$6-G$5)),G$7-SQRT((1-NORMSDIST(G$9*SQRT($C$11)*NORMSINV($B510)+SQRT(1-G$9^2*$C$11)*NORMSINV(F510)))*(G$7-G$5)*(G$7-G$6))))</f>
        <v>0.0451678887828733</v>
      </c>
      <c r="H510" s="2" t="n">
        <v>0.344384395</v>
      </c>
      <c r="I510" s="2" t="n">
        <f aca="false">IF(I$7=I$5,I$6,IF(NORMSDIST(I$9*SQRT($C$11)*NORMSINV($B510)+SQRT(1-I$9^2*$C$11)*NORMSINV(H510))&lt;I$8,I$5+SQRT(NORMSDIST(I$9*SQRT($C$11)*NORMSINV($B510)+SQRT(1-I$9^2*$C$11)*NORMSINV(H510))*(I$7-I$5)*(I$6-I$5)),I$7-SQRT((1-NORMSDIST(I$9*SQRT($C$11)*NORMSINV($B510)+SQRT(1-I$9^2*$C$11)*NORMSINV(H510)))*(I$7-I$5)*(I$7-I$6))))</f>
        <v>187.338044961392</v>
      </c>
      <c r="J510" s="2" t="n">
        <v>0.39119347</v>
      </c>
      <c r="K510" s="2" t="n">
        <f aca="false">IF(K$7=K$5,K$6,IF(NORMSDIST(K$9*SQRT($C$11)*NORMSINV($B510)+SQRT(1-K$9^2*$C$11)*NORMSINV(J510))&lt;K$8,K$5+SQRT(NORMSDIST(K$9*SQRT($C$11)*NORMSINV($B510)+SQRT(1-K$9^2*$C$11)*NORMSINV(J510))*(K$7-K$5)*(K$6-K$5)),K$7-SQRT((1-NORMSDIST(K$9*SQRT($C$11)*NORMSINV($B510)+SQRT(1-K$9^2*$C$11)*NORMSINV(J510)))*(K$7-K$5)*(K$7-K$6))))</f>
        <v>0.100486293123064</v>
      </c>
      <c r="L510" s="2" t="n">
        <v>0.691499898</v>
      </c>
      <c r="M510" s="2" t="n">
        <f aca="false">IF(M$7=M$5,M$6,IF(NORMSDIST(M$9*SQRT($C$11)*NORMSINV($B510)+SQRT(1-M$9^2*$C$11)*NORMSINV(L510))&lt;M$8,M$5+SQRT(NORMSDIST(M$9*SQRT($C$11)*NORMSINV($B510)+SQRT(1-M$9^2*$C$11)*NORMSINV(L510))*(M$7-M$5)*(M$6-M$5)),M$7-SQRT((1-NORMSDIST(M$9*SQRT($C$11)*NORMSINV($B510)+SQRT(1-M$9^2*$C$11)*NORMSINV(L510)))*(M$7-M$5)*(M$7-M$6))))</f>
        <v>1487.04760179932</v>
      </c>
      <c r="N510" s="2" t="n">
        <v>0.91438488</v>
      </c>
      <c r="O510" s="2" t="n">
        <f aca="false">IF(O$7=O$5,O$6,IF(NORMSDIST(O$9*SQRT($C$11)*NORMSINV($B510)+SQRT(1-O$9^2*$C$11)*NORMSINV(N510))&lt;O$8,O$5+SQRT(NORMSDIST(O$9*SQRT($C$11)*NORMSINV($B510)+SQRT(1-O$9^2*$C$11)*NORMSINV(N510))*(O$7-O$5)*(O$6-O$5)),O$7-SQRT((1-NORMSDIST(O$9*SQRT($C$11)*NORMSINV($B510)+SQRT(1-O$9^2*$C$11)*NORMSINV(N510)))*(O$7-O$5)*(O$7-O$6))))</f>
        <v>0.165405743329509</v>
      </c>
      <c r="P510" s="2" t="n">
        <v>0.174532587</v>
      </c>
      <c r="Q510" s="2" t="n">
        <f aca="false">IF(Q$7=Q$5,Q$6,IF(NORMSDIST(Q$9*SQRT($C$11)*NORMSINV($B510)+SQRT(1-Q$9^2*$C$11)*NORMSINV(P510))&lt;Q$8,Q$5+SQRT(NORMSDIST(Q$9*SQRT($C$11)*NORMSINV($B510)+SQRT(1-Q$9^2*$C$11)*NORMSINV(P510))*(Q$7-Q$5)*(Q$6-Q$5)),Q$7-SQRT((1-NORMSDIST(Q$9*SQRT($C$11)*NORMSINV($B510)+SQRT(1-Q$9^2*$C$11)*NORMSINV(P510)))*(Q$7-Q$5)*(Q$7-Q$6))))</f>
        <v>0.0636326951150308</v>
      </c>
      <c r="R510" s="2" t="n">
        <v>0.696873529</v>
      </c>
      <c r="S510" s="2" t="n">
        <f aca="false">IF(S$7=S$5,S$6,IF(NORMSDIST(S$9*SQRT($C$11)*NORMSINV($B510)+SQRT(1-S$9^2*$C$11)*NORMSINV(R510))&lt;S$8,S$5+SQRT(NORMSDIST(S$9*SQRT($C$11)*NORMSINV($B510)+SQRT(1-S$9^2*$C$11)*NORMSINV(R510))*(S$7-S$5)*(S$6-S$5)),S$7-SQRT((1-NORMSDIST(S$9*SQRT($C$11)*NORMSINV($B510)+SQRT(1-S$9^2*$C$11)*NORMSINV(R510)))*(S$7-S$5)*(S$7-S$6))))</f>
        <v>0.32843976997497</v>
      </c>
      <c r="T510" s="2" t="n">
        <v>0.383880531</v>
      </c>
      <c r="U510" s="2" t="n">
        <f aca="false">IF(U$7=U$5,U$6,IF(NORMSDIST(U$9*SQRT($C$11)*NORMSINV($B510)+SQRT(1-U$9^2*$C$11)*NORMSINV(T510))&lt;U$8,U$5+SQRT(NORMSDIST(U$9*SQRT($C$11)*NORMSINV($B510)+SQRT(1-U$9^2*$C$11)*NORMSINV(T510))*(U$7-U$5)*(U$6-U$5)),U$7-SQRT((1-NORMSDIST(U$9*SQRT($C$11)*NORMSINV($B510)+SQRT(1-U$9^2*$C$11)*NORMSINV(T510)))*(U$7-U$5)*(U$7-U$6))))</f>
        <v>0.198226795673908</v>
      </c>
      <c r="V510" s="2" t="n">
        <v>0.599127489</v>
      </c>
      <c r="W510" s="2" t="n">
        <f aca="false">IF(W$7=W$5,W$6,IF(NORMSDIST(W$9*SQRT($C$11)*NORMSINV($B510)+SQRT(1-W$9^2*$C$11)*NORMSINV(V510))&lt;W$8,W$5+SQRT(NORMSDIST(W$9*SQRT($C$11)*NORMSINV($B510)+SQRT(1-W$9^2*$C$11)*NORMSINV(V510))*(W$7-W$5)*(W$6-W$5)),W$7-SQRT((1-NORMSDIST(W$9*SQRT($C$11)*NORMSINV($B510)+SQRT(1-W$9^2*$C$11)*NORMSINV(V510)))*(W$7-W$5)*(W$7-W$6))))</f>
        <v>9.13400209814328</v>
      </c>
      <c r="X510" s="2" t="n">
        <v>0.651551547</v>
      </c>
      <c r="Y510" s="2" t="n">
        <f aca="false">IF(Y$7=Y$5,Y$6,IF(NORMSDIST(Y$9*SQRT($C$11)*NORMSINV($B510)+SQRT(1-Y$9^2*$C$11)*NORMSINV(X510))&lt;Y$8,Y$5+SQRT(NORMSDIST(Y$9*SQRT($C$11)*NORMSINV($B510)+SQRT(1-Y$9^2*$C$11)*NORMSINV(X510))*(Y$7-Y$5)*(Y$6-Y$5)),Y$7-SQRT((1-NORMSDIST(Y$9*SQRT($C$11)*NORMSINV($B510)+SQRT(1-Y$9^2*$C$11)*NORMSINV(X510)))*(Y$7-Y$5)*(Y$7-Y$6))))</f>
        <v>0.582598243295503</v>
      </c>
      <c r="Z510" s="2" t="n">
        <v>0.515516237</v>
      </c>
      <c r="AA510" s="2" t="n">
        <f aca="false">IF(AA$7=AA$5,AA$6,IF(NORMSDIST(AA$9*SQRT($C$11)*NORMSINV($B510)+SQRT(1-AA$9^2*$C$11)*NORMSINV(Z510))&lt;AA$8,AA$5+SQRT(NORMSDIST(AA$9*SQRT($C$11)*NORMSINV($B510)+SQRT(1-AA$9^2*$C$11)*NORMSINV(Z510))*(AA$7-AA$5)*(AA$6-AA$5)),AA$7-SQRT((1-NORMSDIST(AA$9*SQRT($C$11)*NORMSINV($B510)+SQRT(1-AA$9^2*$C$11)*NORMSINV(Z510)))*(AA$7-AA$5)*(AA$7-AA$6))))</f>
        <v>0.711612429210696</v>
      </c>
      <c r="AB510" s="2" t="n">
        <v>0.164572497</v>
      </c>
      <c r="AC510" s="2" t="n">
        <f aca="false">IF(AC$7=AC$5,AC$6,IF(NORMSDIST(AC$9*SQRT($C$11)*NORMSINV($B510)+SQRT(1-AC$9^2*$C$11)*NORMSINV(AB510))&lt;AC$8,AC$5+SQRT(NORMSDIST(AC$9*SQRT($C$11)*NORMSINV($B510)+SQRT(1-AC$9^2*$C$11)*NORMSINV(AB510))*(AC$7-AC$5)*(AC$6-AC$5)),AC$7-SQRT((1-NORMSDIST(AC$9*SQRT($C$11)*NORMSINV($B510)+SQRT(1-AC$9^2*$C$11)*NORMSINV(AB510)))*(AC$7-AC$5)*(AC$7-AC$6))))</f>
        <v>7.87471112583196</v>
      </c>
      <c r="AD510" s="2" t="n">
        <f aca="false">Entrées!$C$8*(1+E510)</f>
        <v>7424.39070352461</v>
      </c>
      <c r="AE510" s="2" t="n">
        <f aca="false">I510*Hypothèses!$J$24/12/Hypothèses!$J$19</f>
        <v>92.9378045066081</v>
      </c>
      <c r="AF510" s="2" t="n">
        <f aca="false">Entrées!$C$36*S510*1000</f>
        <v>164.219884987485</v>
      </c>
      <c r="AG510" s="2" t="n">
        <f aca="false">-AF510/W510</f>
        <v>-17.9789629149381</v>
      </c>
      <c r="AH510" s="2" t="n">
        <f aca="false">AD510+AE510+AG510</f>
        <v>7499.34954511628</v>
      </c>
      <c r="AI510" s="2" t="n">
        <f aca="false">Entrées!$C$16-M510+Hypothèses!$J$22*1000-AF510+Hypothèses!$J$23</f>
        <v>22896.7325132132</v>
      </c>
      <c r="AJ510" s="2" t="n">
        <f aca="false">AI510/AH510</f>
        <v>3.05316246101957</v>
      </c>
      <c r="AK510" s="2" t="n">
        <f aca="false">AI510/(AH510+I510*(12-Hypothèses!$J$24)/12/Hypothèses!$J$19)</f>
        <v>3.02637304560009</v>
      </c>
      <c r="AL510" s="2" t="n">
        <f aca="false">(AD510+AG510+I510/Hypothèses!$J$19)*(1+G510)</f>
        <v>7907.46190911704</v>
      </c>
      <c r="AM510" s="2" t="n">
        <f aca="false">Entrées!$C$54*K510/Hypothèses!$J$19</f>
        <v>10.2550481278887</v>
      </c>
      <c r="AN510" s="2" t="n">
        <f aca="false">Y510*1000/AC510</f>
        <v>73.9834432001405</v>
      </c>
      <c r="AO510" s="2" t="n">
        <f aca="false">(Entrées!$C$36*(1-S510)+MAX(0,Entrées!$C$30-Entrées!$C$35-Entrées!$C$36)*U510)*1000</f>
        <v>613.297628955986</v>
      </c>
      <c r="AP510" s="2" t="n">
        <f aca="false">-AO510/W510</f>
        <v>-67.1444589530644</v>
      </c>
      <c r="AQ510" s="2" t="n">
        <f aca="false">AL510+AM510+AN510+AP510</f>
        <v>7924.55594149201</v>
      </c>
      <c r="AR510" s="2" t="n">
        <f aca="false">O510*AQ510-Hypothèses!$J$25/Hypothèses!$J$19</f>
        <v>1291.63190379714</v>
      </c>
      <c r="AS510" s="2" t="n">
        <f aca="false">Entrées!$C$79*(1+Q510)+Hypothèses!$J$20</f>
        <v>1463.93233193142</v>
      </c>
      <c r="AT510" s="2" t="n">
        <f aca="false">AI510-AR510+AS510+Y510*1000-AO510+Hypothèses!$J$23</f>
        <v>23038.333555687</v>
      </c>
      <c r="AU510" s="2" t="n">
        <f aca="false">AT510/AQ510</f>
        <v>2.90720814210688</v>
      </c>
      <c r="AV510" s="2" t="n">
        <f aca="false">Hypothèses!$J$26*AQ510-AT510</f>
        <v>735.334268789029</v>
      </c>
      <c r="AW510" s="2" t="n">
        <f aca="false">IF(AC510&gt;Hypothèses!$J$26,MAX(0,AV510)/(1-Hypothèses!$J$26/AC510),0)</f>
        <v>1187.87448079812</v>
      </c>
      <c r="AX510" s="2" t="n">
        <f aca="false">AQ510-Entrées!$C$17*1000</f>
        <v>-75.4440585079919</v>
      </c>
      <c r="AY510" s="2" t="n">
        <f aca="false">AI510+(Entrées!$C$244-Entrées!$C$13)</f>
        <v>28643.7325132132</v>
      </c>
      <c r="AZ510" s="2" t="n">
        <f aca="false">AA510*AH510</f>
        <v>5336.63034730033</v>
      </c>
      <c r="BA510" s="2" t="n">
        <f aca="false">AZ510/AY510</f>
        <v>0.186310577535193</v>
      </c>
      <c r="BB510" s="2" t="n">
        <f aca="false">AZ510/(Entrées!$C$151/100)-AY510</f>
        <v>1004.21386067749</v>
      </c>
      <c r="BC510" s="2" t="n">
        <f aca="false">AT510+(Entrées!$C$244-Entrées!$C$13)</f>
        <v>28785.333555687</v>
      </c>
      <c r="BD510" s="2" t="n">
        <f aca="false">AA510*AQ510</f>
        <v>5639.21250394119</v>
      </c>
      <c r="BE510" s="2" t="n">
        <f aca="false">BD510/BC510</f>
        <v>0.195905755027357</v>
      </c>
      <c r="BF510" s="2" t="n">
        <f aca="false">BD510/(Entrées!$C$151/100)-BC510</f>
        <v>2543.62479954181</v>
      </c>
      <c r="BG510" s="2" t="n">
        <f aca="false">MIN(AV510,BF510)</f>
        <v>735.334268789029</v>
      </c>
      <c r="BH510" s="2" t="n">
        <f aca="false">IF(AC510&gt;Hypothèses!$J$26,MAX(0,BG510)/(1-Hypothèses!$J$26/AC510),0)</f>
        <v>1187.87448079812</v>
      </c>
    </row>
    <row r="511" customFormat="false" ht="15" hidden="false" customHeight="false" outlineLevel="0" collapsed="false">
      <c r="A511" s="2" t="n">
        <v>496</v>
      </c>
      <c r="B511" s="2" t="n">
        <v>0.820956299</v>
      </c>
      <c r="C511" s="2"/>
      <c r="D511" s="2" t="n">
        <v>0.716222436</v>
      </c>
      <c r="E511" s="2" t="n">
        <f aca="false">IF(E$7=E$5,E$6,IF(NORMSDIST(E$9*SQRT($C$11)*NORMSINV($B511)+SQRT(1-E$9^2*$C$11)*NORMSINV(D511))&lt;E$8,E$5+SQRT(NORMSDIST(E$9*SQRT($C$11)*NORMSINV($B511)+SQRT(1-E$9^2*$C$11)*NORMSINV(D511))*(E$7-E$5)*(E$6-E$5)),E$7-SQRT((1-NORMSDIST(E$9*SQRT($C$11)*NORMSINV($B511)+SQRT(1-E$9^2*$C$11)*NORMSINV(D511)))*(E$7-E$5)*(E$7-E$6))))</f>
        <v>0.0572349650387696</v>
      </c>
      <c r="F511" s="2" t="n">
        <v>0.774507976</v>
      </c>
      <c r="G511" s="2" t="n">
        <f aca="false">IF(G$7=G$5,G$6,IF(NORMSDIST(G$9*SQRT($C$11)*NORMSINV($B511)+SQRT(1-G$9^2*$C$11)*NORMSINV(F511))&lt;G$8,G$5+SQRT(NORMSDIST(G$9*SQRT($C$11)*NORMSINV($B511)+SQRT(1-G$9^2*$C$11)*NORMSINV(F511))*(G$7-G$5)*(G$6-G$5)),G$7-SQRT((1-NORMSDIST(G$9*SQRT($C$11)*NORMSINV($B511)+SQRT(1-G$9^2*$C$11)*NORMSINV(F511)))*(G$7-G$5)*(G$7-G$6))))</f>
        <v>0.0625909249554759</v>
      </c>
      <c r="H511" s="2" t="n">
        <v>0.402806481</v>
      </c>
      <c r="I511" s="2" t="n">
        <f aca="false">IF(I$7=I$5,I$6,IF(NORMSDIST(I$9*SQRT($C$11)*NORMSINV($B511)+SQRT(1-I$9^2*$C$11)*NORMSINV(H511))&lt;I$8,I$5+SQRT(NORMSDIST(I$9*SQRT($C$11)*NORMSINV($B511)+SQRT(1-I$9^2*$C$11)*NORMSINV(H511))*(I$7-I$5)*(I$6-I$5)),I$7-SQRT((1-NORMSDIST(I$9*SQRT($C$11)*NORMSINV($B511)+SQRT(1-I$9^2*$C$11)*NORMSINV(H511)))*(I$7-I$5)*(I$7-I$6))))</f>
        <v>203.313708754607</v>
      </c>
      <c r="J511" s="2" t="n">
        <v>0.882233658</v>
      </c>
      <c r="K511" s="2" t="n">
        <f aca="false">IF(K$7=K$5,K$6,IF(NORMSDIST(K$9*SQRT($C$11)*NORMSINV($B511)+SQRT(1-K$9^2*$C$11)*NORMSINV(J511))&lt;K$8,K$5+SQRT(NORMSDIST(K$9*SQRT($C$11)*NORMSINV($B511)+SQRT(1-K$9^2*$C$11)*NORMSINV(J511))*(K$7-K$5)*(K$6-K$5)),K$7-SQRT((1-NORMSDIST(K$9*SQRT($C$11)*NORMSINV($B511)+SQRT(1-K$9^2*$C$11)*NORMSINV(J511)))*(K$7-K$5)*(K$7-K$6))))</f>
        <v>0.408624177529346</v>
      </c>
      <c r="L511" s="2" t="n">
        <v>0.994785788</v>
      </c>
      <c r="M511" s="2" t="n">
        <f aca="false">IF(M$7=M$5,M$6,IF(NORMSDIST(M$9*SQRT($C$11)*NORMSINV($B511)+SQRT(1-M$9^2*$C$11)*NORMSINV(L511))&lt;M$8,M$5+SQRT(NORMSDIST(M$9*SQRT($C$11)*NORMSINV($B511)+SQRT(1-M$9^2*$C$11)*NORMSINV(L511))*(M$7-M$5)*(M$6-M$5)),M$7-SQRT((1-NORMSDIST(M$9*SQRT($C$11)*NORMSINV($B511)+SQRT(1-M$9^2*$C$11)*NORMSINV(L511)))*(M$7-M$5)*(M$7-M$6))))</f>
        <v>1771.64051403452</v>
      </c>
      <c r="N511" s="2" t="n">
        <v>0.099057028</v>
      </c>
      <c r="O511" s="2" t="n">
        <f aca="false">IF(O$7=O$5,O$6,IF(NORMSDIST(O$9*SQRT($C$11)*NORMSINV($B511)+SQRT(1-O$9^2*$C$11)*NORMSINV(N511))&lt;O$8,O$5+SQRT(NORMSDIST(O$9*SQRT($C$11)*NORMSINV($B511)+SQRT(1-O$9^2*$C$11)*NORMSINV(N511))*(O$7-O$5)*(O$6-O$5)),O$7-SQRT((1-NORMSDIST(O$9*SQRT($C$11)*NORMSINV($B511)+SQRT(1-O$9^2*$C$11)*NORMSINV(N511)))*(O$7-O$5)*(O$7-O$6))))</f>
        <v>0.162049415813465</v>
      </c>
      <c r="P511" s="2" t="n">
        <v>0.940338698</v>
      </c>
      <c r="Q511" s="2" t="n">
        <f aca="false">IF(Q$7=Q$5,Q$6,IF(NORMSDIST(Q$9*SQRT($C$11)*NORMSINV($B511)+SQRT(1-Q$9^2*$C$11)*NORMSINV(P511))&lt;Q$8,Q$5+SQRT(NORMSDIST(Q$9*SQRT($C$11)*NORMSINV($B511)+SQRT(1-Q$9^2*$C$11)*NORMSINV(P511))*(Q$7-Q$5)*(Q$6-Q$5)),Q$7-SQRT((1-NORMSDIST(Q$9*SQRT($C$11)*NORMSINV($B511)+SQRT(1-Q$9^2*$C$11)*NORMSINV(P511)))*(Q$7-Q$5)*(Q$7-Q$6))))</f>
        <v>0.106182758364999</v>
      </c>
      <c r="R511" s="2" t="n">
        <v>0.739131655</v>
      </c>
      <c r="S511" s="2" t="n">
        <f aca="false">IF(S$7=S$5,S$6,IF(NORMSDIST(S$9*SQRT($C$11)*NORMSINV($B511)+SQRT(1-S$9^2*$C$11)*NORMSINV(R511))&lt;S$8,S$5+SQRT(NORMSDIST(S$9*SQRT($C$11)*NORMSINV($B511)+SQRT(1-S$9^2*$C$11)*NORMSINV(R511))*(S$7-S$5)*(S$6-S$5)),S$7-SQRT((1-NORMSDIST(S$9*SQRT($C$11)*NORMSINV($B511)+SQRT(1-S$9^2*$C$11)*NORMSINV(R511)))*(S$7-S$5)*(S$7-S$6))))</f>
        <v>0.734831230232828</v>
      </c>
      <c r="T511" s="2" t="n">
        <v>0.228488202</v>
      </c>
      <c r="U511" s="2" t="n">
        <f aca="false">IF(U$7=U$5,U$6,IF(NORMSDIST(U$9*SQRT($C$11)*NORMSINV($B511)+SQRT(1-U$9^2*$C$11)*NORMSINV(T511))&lt;U$8,U$5+SQRT(NORMSDIST(U$9*SQRT($C$11)*NORMSINV($B511)+SQRT(1-U$9^2*$C$11)*NORMSINV(T511))*(U$7-U$5)*(U$6-U$5)),U$7-SQRT((1-NORMSDIST(U$9*SQRT($C$11)*NORMSINV($B511)+SQRT(1-U$9^2*$C$11)*NORMSINV(T511)))*(U$7-U$5)*(U$7-U$6))))</f>
        <v>0.501011245663815</v>
      </c>
      <c r="V511" s="2" t="n">
        <v>0.415776324</v>
      </c>
      <c r="W511" s="2" t="n">
        <f aca="false">IF(W$7=W$5,W$6,IF(NORMSDIST(W$9*SQRT($C$11)*NORMSINV($B511)+SQRT(1-W$9^2*$C$11)*NORMSINV(V511))&lt;W$8,W$5+SQRT(NORMSDIST(W$9*SQRT($C$11)*NORMSINV($B511)+SQRT(1-W$9^2*$C$11)*NORMSINV(V511))*(W$7-W$5)*(W$6-W$5)),W$7-SQRT((1-NORMSDIST(W$9*SQRT($C$11)*NORMSINV($B511)+SQRT(1-W$9^2*$C$11)*NORMSINV(V511)))*(W$7-W$5)*(W$7-W$6))))</f>
        <v>10.3543208233485</v>
      </c>
      <c r="X511" s="2" t="n">
        <v>0.555279377</v>
      </c>
      <c r="Y511" s="2" t="n">
        <f aca="false">IF(Y$7=Y$5,Y$6,IF(NORMSDIST(Y$9*SQRT($C$11)*NORMSINV($B511)+SQRT(1-Y$9^2*$C$11)*NORMSINV(X511))&lt;Y$8,Y$5+SQRT(NORMSDIST(Y$9*SQRT($C$11)*NORMSINV($B511)+SQRT(1-Y$9^2*$C$11)*NORMSINV(X511))*(Y$7-Y$5)*(Y$6-Y$5)),Y$7-SQRT((1-NORMSDIST(Y$9*SQRT($C$11)*NORMSINV($B511)+SQRT(1-Y$9^2*$C$11)*NORMSINV(X511)))*(Y$7-Y$5)*(Y$7-Y$6))))</f>
        <v>0.528449036158339</v>
      </c>
      <c r="Z511" s="2" t="n">
        <v>0.36516222</v>
      </c>
      <c r="AA511" s="2" t="n">
        <f aca="false">IF(AA$7=AA$5,AA$6,IF(NORMSDIST(AA$9*SQRT($C$11)*NORMSINV($B511)+SQRT(1-AA$9^2*$C$11)*NORMSINV(Z511))&lt;AA$8,AA$5+SQRT(NORMSDIST(AA$9*SQRT($C$11)*NORMSINV($B511)+SQRT(1-AA$9^2*$C$11)*NORMSINV(Z511))*(AA$7-AA$5)*(AA$6-AA$5)),AA$7-SQRT((1-NORMSDIST(AA$9*SQRT($C$11)*NORMSINV($B511)+SQRT(1-AA$9^2*$C$11)*NORMSINV(Z511)))*(AA$7-AA$5)*(AA$7-AA$6))))</f>
        <v>0.731865961501069</v>
      </c>
      <c r="AB511" s="2" t="n">
        <v>0.403667048</v>
      </c>
      <c r="AC511" s="2" t="n">
        <f aca="false">IF(AC$7=AC$5,AC$6,IF(NORMSDIST(AC$9*SQRT($C$11)*NORMSINV($B511)+SQRT(1-AC$9^2*$C$11)*NORMSINV(AB511))&lt;AC$8,AC$5+SQRT(NORMSDIST(AC$9*SQRT($C$11)*NORMSINV($B511)+SQRT(1-AC$9^2*$C$11)*NORMSINV(AB511))*(AC$7-AC$5)*(AC$6-AC$5)),AC$7-SQRT((1-NORMSDIST(AC$9*SQRT($C$11)*NORMSINV($B511)+SQRT(1-AC$9^2*$C$11)*NORMSINV(AB511)))*(AC$7-AC$5)*(AC$7-AC$6))))</f>
        <v>9.77453743101224</v>
      </c>
      <c r="AD511" s="2" t="n">
        <f aca="false">Entrées!$C$8*(1+E511)</f>
        <v>7453.50650352333</v>
      </c>
      <c r="AE511" s="2" t="n">
        <f aca="false">I511*Hypothèses!$J$24/12/Hypothèses!$J$19</f>
        <v>100.863280182321</v>
      </c>
      <c r="AF511" s="2" t="n">
        <f aca="false">Entrées!$C$36*S511*1000</f>
        <v>367.415615116414</v>
      </c>
      <c r="AG511" s="2" t="n">
        <f aca="false">-AF511/W511</f>
        <v>-35.4842795954234</v>
      </c>
      <c r="AH511" s="2" t="n">
        <f aca="false">AD511+AE511+AG511</f>
        <v>7518.88550411022</v>
      </c>
      <c r="AI511" s="2" t="n">
        <f aca="false">Entrées!$C$16-M511+Hypothèses!$J$22*1000-AF511+Hypothèses!$J$23</f>
        <v>22408.9438708491</v>
      </c>
      <c r="AJ511" s="2" t="n">
        <f aca="false">AI511/AH511</f>
        <v>2.98035444995128</v>
      </c>
      <c r="AK511" s="2" t="n">
        <f aca="false">AI511/(AH511+I511*(12-Hypothèses!$J$24)/12/Hypothèses!$J$19)</f>
        <v>2.95206803275532</v>
      </c>
      <c r="AL511" s="2" t="n">
        <f aca="false">(AD511+AG511+I511/Hypothèses!$J$19)*(1+G511)</f>
        <v>8066.05407829178</v>
      </c>
      <c r="AM511" s="2" t="n">
        <f aca="false">Entrées!$C$54*K511/Hypothèses!$J$19</f>
        <v>41.7018130189199</v>
      </c>
      <c r="AN511" s="2" t="n">
        <f aca="false">Y511*1000/AC511</f>
        <v>54.0638408608164</v>
      </c>
      <c r="AO511" s="2" t="n">
        <f aca="false">(Entrées!$C$36*(1-S511)+MAX(0,Entrées!$C$30-Entrées!$C$35-Entrées!$C$36)*U511)*1000</f>
        <v>834.000128812926</v>
      </c>
      <c r="AP511" s="2" t="n">
        <f aca="false">-AO511/W511</f>
        <v>-80.5460969426689</v>
      </c>
      <c r="AQ511" s="2" t="n">
        <f aca="false">AL511+AM511+AN511+AP511</f>
        <v>8081.27363522885</v>
      </c>
      <c r="AR511" s="2" t="n">
        <f aca="false">O511*AQ511-Hypothèses!$J$25/Hypothèses!$J$19</f>
        <v>1290.43050935597</v>
      </c>
      <c r="AS511" s="2" t="n">
        <f aca="false">Entrées!$C$79*(1+Q511)+Hypothèses!$J$20</f>
        <v>1510.69485144313</v>
      </c>
      <c r="AT511" s="2" t="n">
        <f aca="false">AI511-AR511+AS511+Y511*1000-AO511+Hypothèses!$J$23</f>
        <v>22323.6571202816</v>
      </c>
      <c r="AU511" s="2" t="n">
        <f aca="false">AT511/AQ511</f>
        <v>2.76239342063183</v>
      </c>
      <c r="AV511" s="2" t="n">
        <f aca="false">Hypothèses!$J$26*AQ511-AT511</f>
        <v>1920.16378540491</v>
      </c>
      <c r="AW511" s="2" t="n">
        <f aca="false">IF(AC511&gt;Hypothèses!$J$26,MAX(0,AV511)/(1-Hypothèses!$J$26/AC511),0)</f>
        <v>2770.47886815056</v>
      </c>
      <c r="AX511" s="2" t="n">
        <f aca="false">AQ511-Entrées!$C$17*1000</f>
        <v>81.2736352288512</v>
      </c>
      <c r="AY511" s="2" t="n">
        <f aca="false">AI511+(Entrées!$C$244-Entrées!$C$13)</f>
        <v>28155.9438708491</v>
      </c>
      <c r="AZ511" s="2" t="n">
        <f aca="false">AA511*AH511</f>
        <v>5502.81636888208</v>
      </c>
      <c r="BA511" s="2" t="n">
        <f aca="false">AZ511/AY511</f>
        <v>0.195440664114243</v>
      </c>
      <c r="BB511" s="2" t="n">
        <f aca="false">AZ511/(Entrées!$C$151/100)-AY511</f>
        <v>2415.25817849582</v>
      </c>
      <c r="BC511" s="2" t="n">
        <f aca="false">AT511+(Entrées!$C$244-Entrées!$C$13)</f>
        <v>28070.6571202816</v>
      </c>
      <c r="BD511" s="2" t="n">
        <f aca="false">AA511*AQ511</f>
        <v>5914.4090992</v>
      </c>
      <c r="BE511" s="2" t="n">
        <f aca="false">BD511/BC511</f>
        <v>0.210697208613856</v>
      </c>
      <c r="BF511" s="2" t="n">
        <f aca="false">BD511/(Entrées!$C$151/100)-BC511</f>
        <v>4787.17120860726</v>
      </c>
      <c r="BG511" s="2" t="n">
        <f aca="false">MIN(AV511,BF511)</f>
        <v>1920.16378540491</v>
      </c>
      <c r="BH511" s="2" t="n">
        <f aca="false">IF(AC511&gt;Hypothèses!$J$26,MAX(0,BG511)/(1-Hypothèses!$J$26/AC511),0)</f>
        <v>2770.47886815056</v>
      </c>
    </row>
    <row r="512" customFormat="false" ht="15" hidden="false" customHeight="false" outlineLevel="0" collapsed="false">
      <c r="A512" s="2" t="n">
        <v>497</v>
      </c>
      <c r="B512" s="2" t="n">
        <v>0.194202875</v>
      </c>
      <c r="C512" s="2"/>
      <c r="D512" s="2" t="n">
        <v>0.739352623</v>
      </c>
      <c r="E512" s="2" t="n">
        <f aca="false">IF(E$7=E$5,E$6,IF(NORMSDIST(E$9*SQRT($C$11)*NORMSINV($B512)+SQRT(1-E$9^2*$C$11)*NORMSINV(D512))&lt;E$8,E$5+SQRT(NORMSDIST(E$9*SQRT($C$11)*NORMSINV($B512)+SQRT(1-E$9^2*$C$11)*NORMSINV(D512))*(E$7-E$5)*(E$6-E$5)),E$7-SQRT((1-NORMSDIST(E$9*SQRT($C$11)*NORMSINV($B512)+SQRT(1-E$9^2*$C$11)*NORMSINV(D512)))*(E$7-E$5)*(E$7-E$6))))</f>
        <v>0.0549019091666356</v>
      </c>
      <c r="F512" s="2" t="n">
        <v>0.460964597</v>
      </c>
      <c r="G512" s="2" t="n">
        <f aca="false">IF(G$7=G$5,G$6,IF(NORMSDIST(G$9*SQRT($C$11)*NORMSINV($B512)+SQRT(1-G$9^2*$C$11)*NORMSINV(F512))&lt;G$8,G$5+SQRT(NORMSDIST(G$9*SQRT($C$11)*NORMSINV($B512)+SQRT(1-G$9^2*$C$11)*NORMSINV(F512))*(G$7-G$5)*(G$6-G$5)),G$7-SQRT((1-NORMSDIST(G$9*SQRT($C$11)*NORMSINV($B512)+SQRT(1-G$9^2*$C$11)*NORMSINV(F512)))*(G$7-G$5)*(G$7-G$6))))</f>
        <v>0.0509646533308196</v>
      </c>
      <c r="H512" s="2" t="n">
        <v>0.780126345</v>
      </c>
      <c r="I512" s="2" t="n">
        <f aca="false">IF(I$7=I$5,I$6,IF(NORMSDIST(I$9*SQRT($C$11)*NORMSINV($B512)+SQRT(1-I$9^2*$C$11)*NORMSINV(H512))&lt;I$8,I$5+SQRT(NORMSDIST(I$9*SQRT($C$11)*NORMSINV($B512)+SQRT(1-I$9^2*$C$11)*NORMSINV(H512))*(I$7-I$5)*(I$6-I$5)),I$7-SQRT((1-NORMSDIST(I$9*SQRT($C$11)*NORMSINV($B512)+SQRT(1-I$9^2*$C$11)*NORMSINV(H512)))*(I$7-I$5)*(I$7-I$6))))</f>
        <v>200.42698620511</v>
      </c>
      <c r="J512" s="2" t="n">
        <v>0.807463871</v>
      </c>
      <c r="K512" s="2" t="n">
        <f aca="false">IF(K$7=K$5,K$6,IF(NORMSDIST(K$9*SQRT($C$11)*NORMSINV($B512)+SQRT(1-K$9^2*$C$11)*NORMSINV(J512))&lt;K$8,K$5+SQRT(NORMSDIST(K$9*SQRT($C$11)*NORMSINV($B512)+SQRT(1-K$9^2*$C$11)*NORMSINV(J512))*(K$7-K$5)*(K$6-K$5)),K$7-SQRT((1-NORMSDIST(K$9*SQRT($C$11)*NORMSINV($B512)+SQRT(1-K$9^2*$C$11)*NORMSINV(J512)))*(K$7-K$5)*(K$7-K$6))))</f>
        <v>0.26300067583149</v>
      </c>
      <c r="L512" s="2" t="n">
        <v>0.025866878</v>
      </c>
      <c r="M512" s="2" t="n">
        <f aca="false">IF(M$7=M$5,M$6,IF(NORMSDIST(M$9*SQRT($C$11)*NORMSINV($B512)+SQRT(1-M$9^2*$C$11)*NORMSINV(L512))&lt;M$8,M$5+SQRT(NORMSDIST(M$9*SQRT($C$11)*NORMSINV($B512)+SQRT(1-M$9^2*$C$11)*NORMSINV(L512))*(M$7-M$5)*(M$6-M$5)),M$7-SQRT((1-NORMSDIST(M$9*SQRT($C$11)*NORMSINV($B512)+SQRT(1-M$9^2*$C$11)*NORMSINV(L512)))*(M$7-M$5)*(M$7-M$6))))</f>
        <v>1359.72538181729</v>
      </c>
      <c r="N512" s="2" t="n">
        <v>0.220066943</v>
      </c>
      <c r="O512" s="2" t="n">
        <f aca="false">IF(O$7=O$5,O$6,IF(NORMSDIST(O$9*SQRT($C$11)*NORMSINV($B512)+SQRT(1-O$9^2*$C$11)*NORMSINV(N512))&lt;O$8,O$5+SQRT(NORMSDIST(O$9*SQRT($C$11)*NORMSINV($B512)+SQRT(1-O$9^2*$C$11)*NORMSINV(N512))*(O$7-O$5)*(O$6-O$5)),O$7-SQRT((1-NORMSDIST(O$9*SQRT($C$11)*NORMSINV($B512)+SQRT(1-O$9^2*$C$11)*NORMSINV(N512)))*(O$7-O$5)*(O$7-O$6))))</f>
        <v>0.153468262343575</v>
      </c>
      <c r="P512" s="2" t="n">
        <v>0.255628175</v>
      </c>
      <c r="Q512" s="2" t="n">
        <f aca="false">IF(Q$7=Q$5,Q$6,IF(NORMSDIST(Q$9*SQRT($C$11)*NORMSINV($B512)+SQRT(1-Q$9^2*$C$11)*NORMSINV(P512))&lt;Q$8,Q$5+SQRT(NORMSDIST(Q$9*SQRT($C$11)*NORMSINV($B512)+SQRT(1-Q$9^2*$C$11)*NORMSINV(P512))*(Q$7-Q$5)*(Q$6-Q$5)),Q$7-SQRT((1-NORMSDIST(Q$9*SQRT($C$11)*NORMSINV($B512)+SQRT(1-Q$9^2*$C$11)*NORMSINV(P512)))*(Q$7-Q$5)*(Q$7-Q$6))))</f>
        <v>0.0686008769096334</v>
      </c>
      <c r="R512" s="2" t="n">
        <v>0.527109731</v>
      </c>
      <c r="S512" s="2" t="n">
        <f aca="false">IF(S$7=S$5,S$6,IF(NORMSDIST(S$9*SQRT($C$11)*NORMSINV($B512)+SQRT(1-S$9^2*$C$11)*NORMSINV(R512))&lt;S$8,S$5+SQRT(NORMSDIST(S$9*SQRT($C$11)*NORMSINV($B512)+SQRT(1-S$9^2*$C$11)*NORMSINV(R512))*(S$7-S$5)*(S$6-S$5)),S$7-SQRT((1-NORMSDIST(S$9*SQRT($C$11)*NORMSINV($B512)+SQRT(1-S$9^2*$C$11)*NORMSINV(R512)))*(S$7-S$5)*(S$7-S$6))))</f>
        <v>0.394378505930322</v>
      </c>
      <c r="T512" s="2" t="n">
        <v>0.201812863</v>
      </c>
      <c r="U512" s="2" t="n">
        <f aca="false">IF(U$7=U$5,U$6,IF(NORMSDIST(U$9*SQRT($C$11)*NORMSINV($B512)+SQRT(1-U$9^2*$C$11)*NORMSINV(T512))&lt;U$8,U$5+SQRT(NORMSDIST(U$9*SQRT($C$11)*NORMSINV($B512)+SQRT(1-U$9^2*$C$11)*NORMSINV(T512))*(U$7-U$5)*(U$6-U$5)),U$7-SQRT((1-NORMSDIST(U$9*SQRT($C$11)*NORMSINV($B512)+SQRT(1-U$9^2*$C$11)*NORMSINV(T512)))*(U$7-U$5)*(U$7-U$6))))</f>
        <v>0.241401337843865</v>
      </c>
      <c r="V512" s="2" t="n">
        <v>0.955338041</v>
      </c>
      <c r="W512" s="2" t="n">
        <f aca="false">IF(W$7=W$5,W$6,IF(NORMSDIST(W$9*SQRT($C$11)*NORMSINV($B512)+SQRT(1-W$9^2*$C$11)*NORMSINV(V512))&lt;W$8,W$5+SQRT(NORMSDIST(W$9*SQRT($C$11)*NORMSINV($B512)+SQRT(1-W$9^2*$C$11)*NORMSINV(V512))*(W$7-W$5)*(W$6-W$5)),W$7-SQRT((1-NORMSDIST(W$9*SQRT($C$11)*NORMSINV($B512)+SQRT(1-W$9^2*$C$11)*NORMSINV(V512)))*(W$7-W$5)*(W$7-W$6))))</f>
        <v>10.6718559184967</v>
      </c>
      <c r="X512" s="2" t="n">
        <v>0.504442833</v>
      </c>
      <c r="Y512" s="2" t="n">
        <f aca="false">IF(Y$7=Y$5,Y$6,IF(NORMSDIST(Y$9*SQRT($C$11)*NORMSINV($B512)+SQRT(1-Y$9^2*$C$11)*NORMSINV(X512))&lt;Y$8,Y$5+SQRT(NORMSDIST(Y$9*SQRT($C$11)*NORMSINV($B512)+SQRT(1-Y$9^2*$C$11)*NORMSINV(X512))*(Y$7-Y$5)*(Y$6-Y$5)),Y$7-SQRT((1-NORMSDIST(Y$9*SQRT($C$11)*NORMSINV($B512)+SQRT(1-Y$9^2*$C$11)*NORMSINV(X512)))*(Y$7-Y$5)*(Y$7-Y$6))))</f>
        <v>0.502226373237794</v>
      </c>
      <c r="Z512" s="2" t="n">
        <v>0.311942375</v>
      </c>
      <c r="AA512" s="2" t="n">
        <f aca="false">IF(AA$7=AA$5,AA$6,IF(NORMSDIST(AA$9*SQRT($C$11)*NORMSINV($B512)+SQRT(1-AA$9^2*$C$11)*NORMSINV(Z512))&lt;AA$8,AA$5+SQRT(NORMSDIST(AA$9*SQRT($C$11)*NORMSINV($B512)+SQRT(1-AA$9^2*$C$11)*NORMSINV(Z512))*(AA$7-AA$5)*(AA$6-AA$5)),AA$7-SQRT((1-NORMSDIST(AA$9*SQRT($C$11)*NORMSINV($B512)+SQRT(1-AA$9^2*$C$11)*NORMSINV(Z512)))*(AA$7-AA$5)*(AA$7-AA$6))))</f>
        <v>0.714816035024255</v>
      </c>
      <c r="AB512" s="2" t="n">
        <v>0.560606955</v>
      </c>
      <c r="AC512" s="2" t="n">
        <f aca="false">IF(AC$7=AC$5,AC$6,IF(NORMSDIST(AC$9*SQRT($C$11)*NORMSINV($B512)+SQRT(1-AC$9^2*$C$11)*NORMSINV(AB512))&lt;AC$8,AC$5+SQRT(NORMSDIST(AC$9*SQRT($C$11)*NORMSINV($B512)+SQRT(1-AC$9^2*$C$11)*NORMSINV(AB512))*(AC$7-AC$5)*(AC$6-AC$5)),AC$7-SQRT((1-NORMSDIST(AC$9*SQRT($C$11)*NORMSINV($B512)+SQRT(1-AC$9^2*$C$11)*NORMSINV(AB512)))*(AC$7-AC$5)*(AC$7-AC$6))))</f>
        <v>9.10016476324849</v>
      </c>
      <c r="AD512" s="2" t="n">
        <f aca="false">Entrées!$C$8*(1+E512)</f>
        <v>7437.05845962478</v>
      </c>
      <c r="AE512" s="2" t="n">
        <f aca="false">I512*Hypothèses!$J$24/12/Hypothèses!$J$19</f>
        <v>99.4311863648304</v>
      </c>
      <c r="AF512" s="2" t="n">
        <f aca="false">Entrées!$C$36*S512*1000</f>
        <v>197.189252965161</v>
      </c>
      <c r="AG512" s="2" t="n">
        <f aca="false">-AF512/W512</f>
        <v>-18.4775033013131</v>
      </c>
      <c r="AH512" s="2" t="n">
        <f aca="false">AD512+AE512+AG512</f>
        <v>7518.0121426883</v>
      </c>
      <c r="AI512" s="2" t="n">
        <f aca="false">Entrées!$C$16-M512+Hypothèses!$J$22*1000-AF512+Hypothèses!$J$23</f>
        <v>22991.0853652176</v>
      </c>
      <c r="AJ512" s="2" t="n">
        <f aca="false">AI512/AH512</f>
        <v>3.05813357691604</v>
      </c>
      <c r="AK512" s="2" t="n">
        <f aca="false">AI512/(AH512+I512*(12-Hypothèses!$J$24)/12/Hypothèses!$J$19)</f>
        <v>3.02951391400693</v>
      </c>
      <c r="AL512" s="2" t="n">
        <f aca="false">(AD512+AG512+I512/Hypothèses!$J$19)*(1+G512)</f>
        <v>7975.80692692601</v>
      </c>
      <c r="AM512" s="2" t="n">
        <f aca="false">Entrées!$C$54*K512/Hypothèses!$J$19</f>
        <v>26.8403232370818</v>
      </c>
      <c r="AN512" s="2" t="n">
        <f aca="false">Y512*1000/AC512</f>
        <v>55.1887121061876</v>
      </c>
      <c r="AO512" s="2" t="n">
        <f aca="false">(Entrées!$C$36*(1-S512)+MAX(0,Entrées!$C$30-Entrées!$C$35-Entrées!$C$36)*U512)*1000</f>
        <v>640.772620016249</v>
      </c>
      <c r="AP512" s="2" t="n">
        <f aca="false">-AO512/W512</f>
        <v>-60.0432225575353</v>
      </c>
      <c r="AQ512" s="2" t="n">
        <f aca="false">AL512+AM512+AN512+AP512</f>
        <v>7997.79273971174</v>
      </c>
      <c r="AR512" s="2" t="n">
        <f aca="false">O512*AQ512-Hypothèses!$J$25/Hypothèses!$J$19</f>
        <v>1208.272192086</v>
      </c>
      <c r="AS512" s="2" t="n">
        <f aca="false">Entrées!$C$79*(1+Q512)+Hypothèses!$J$20</f>
        <v>1469.39236372369</v>
      </c>
      <c r="AT512" s="2" t="n">
        <f aca="false">AI512-AR512+AS512+Y512*1000-AO512+Hypothèses!$J$23</f>
        <v>23113.6592900768</v>
      </c>
      <c r="AU512" s="2" t="n">
        <f aca="false">AT512/AQ512</f>
        <v>2.89000478535905</v>
      </c>
      <c r="AV512" s="2" t="n">
        <f aca="false">Hypothèses!$J$26*AQ512-AT512</f>
        <v>879.718929058428</v>
      </c>
      <c r="AW512" s="2" t="n">
        <f aca="false">IF(AC512&gt;Hypothèses!$J$26,MAX(0,AV512)/(1-Hypothèses!$J$26/AC512),0)</f>
        <v>1312.35589700974</v>
      </c>
      <c r="AX512" s="2" t="n">
        <f aca="false">AQ512-Entrées!$C$17*1000</f>
        <v>-2.20726028826084</v>
      </c>
      <c r="AY512" s="2" t="n">
        <f aca="false">AI512+(Entrées!$C$244-Entrées!$C$13)</f>
        <v>28738.0853652176</v>
      </c>
      <c r="AZ512" s="2" t="n">
        <f aca="false">AA512*AH512</f>
        <v>5373.99563110065</v>
      </c>
      <c r="BA512" s="2" t="n">
        <f aca="false">AZ512/AY512</f>
        <v>0.186999083717837</v>
      </c>
      <c r="BB512" s="2" t="n">
        <f aca="false">AZ512/(Entrées!$C$151/100)-AY512</f>
        <v>1117.44591867494</v>
      </c>
      <c r="BC512" s="2" t="n">
        <f aca="false">AT512+(Entrées!$C$244-Entrées!$C$13)</f>
        <v>28860.6592900768</v>
      </c>
      <c r="BD512" s="2" t="n">
        <f aca="false">AA512*AQ512</f>
        <v>5716.95049514652</v>
      </c>
      <c r="BE512" s="2" t="n">
        <f aca="false">BD512/BC512</f>
        <v>0.198088007542925</v>
      </c>
      <c r="BF512" s="2" t="n">
        <f aca="false">BD512/(Entrées!$C$151/100)-BC512</f>
        <v>2900.17679407052</v>
      </c>
      <c r="BG512" s="2" t="n">
        <f aca="false">MIN(AV512,BF512)</f>
        <v>879.718929058428</v>
      </c>
      <c r="BH512" s="2" t="n">
        <f aca="false">IF(AC512&gt;Hypothèses!$J$26,MAX(0,BG512)/(1-Hypothèses!$J$26/AC512),0)</f>
        <v>1312.35589700974</v>
      </c>
    </row>
    <row r="513" customFormat="false" ht="15" hidden="false" customHeight="false" outlineLevel="0" collapsed="false">
      <c r="A513" s="2" t="n">
        <v>498</v>
      </c>
      <c r="B513" s="2" t="n">
        <v>0.26927958</v>
      </c>
      <c r="C513" s="2"/>
      <c r="D513" s="2" t="n">
        <v>0.891675986</v>
      </c>
      <c r="E513" s="2" t="n">
        <f aca="false">IF(E$7=E$5,E$6,IF(NORMSDIST(E$9*SQRT($C$11)*NORMSINV($B513)+SQRT(1-E$9^2*$C$11)*NORMSINV(D513))&lt;E$8,E$5+SQRT(NORMSDIST(E$9*SQRT($C$11)*NORMSINV($B513)+SQRT(1-E$9^2*$C$11)*NORMSINV(D513))*(E$7-E$5)*(E$6-E$5)),E$7-SQRT((1-NORMSDIST(E$9*SQRT($C$11)*NORMSINV($B513)+SQRT(1-E$9^2*$C$11)*NORMSINV(D513)))*(E$7-E$5)*(E$7-E$6))))</f>
        <v>0.0562250814100849</v>
      </c>
      <c r="F513" s="2" t="n">
        <v>0.167981238</v>
      </c>
      <c r="G513" s="2" t="n">
        <f aca="false">IF(G$7=G$5,G$6,IF(NORMSDIST(G$9*SQRT($C$11)*NORMSINV($B513)+SQRT(1-G$9^2*$C$11)*NORMSINV(F513))&lt;G$8,G$5+SQRT(NORMSDIST(G$9*SQRT($C$11)*NORMSINV($B513)+SQRT(1-G$9^2*$C$11)*NORMSINV(F513))*(G$7-G$5)*(G$6-G$5)),G$7-SQRT((1-NORMSDIST(G$9*SQRT($C$11)*NORMSINV($B513)+SQRT(1-G$9^2*$C$11)*NORMSINV(F513)))*(G$7-G$5)*(G$7-G$6))))</f>
        <v>0.0475996689545454</v>
      </c>
      <c r="H513" s="2" t="n">
        <v>0.068354943</v>
      </c>
      <c r="I513" s="2" t="n">
        <f aca="false">IF(I$7=I$5,I$6,IF(NORMSDIST(I$9*SQRT($C$11)*NORMSINV($B513)+SQRT(1-I$9^2*$C$11)*NORMSINV(H513))&lt;I$8,I$5+SQRT(NORMSDIST(I$9*SQRT($C$11)*NORMSINV($B513)+SQRT(1-I$9^2*$C$11)*NORMSINV(H513))*(I$7-I$5)*(I$6-I$5)),I$7-SQRT((1-NORMSDIST(I$9*SQRT($C$11)*NORMSINV($B513)+SQRT(1-I$9^2*$C$11)*NORMSINV(H513)))*(I$7-I$5)*(I$7-I$6))))</f>
        <v>187.018612312953</v>
      </c>
      <c r="J513" s="2" t="n">
        <v>0.355926697</v>
      </c>
      <c r="K513" s="2" t="n">
        <f aca="false">IF(K$7=K$5,K$6,IF(NORMSDIST(K$9*SQRT($C$11)*NORMSINV($B513)+SQRT(1-K$9^2*$C$11)*NORMSINV(J513))&lt;K$8,K$5+SQRT(NORMSDIST(K$9*SQRT($C$11)*NORMSINV($B513)+SQRT(1-K$9^2*$C$11)*NORMSINV(J513))*(K$7-K$5)*(K$6-K$5)),K$7-SQRT((1-NORMSDIST(K$9*SQRT($C$11)*NORMSINV($B513)+SQRT(1-K$9^2*$C$11)*NORMSINV(J513)))*(K$7-K$5)*(K$7-K$6))))</f>
        <v>0.17671182148922</v>
      </c>
      <c r="L513" s="2" t="n">
        <v>0.158047995</v>
      </c>
      <c r="M513" s="2" t="n">
        <f aca="false">IF(M$7=M$5,M$6,IF(NORMSDIST(M$9*SQRT($C$11)*NORMSINV($B513)+SQRT(1-M$9^2*$C$11)*NORMSINV(L513))&lt;M$8,M$5+SQRT(NORMSDIST(M$9*SQRT($C$11)*NORMSINV($B513)+SQRT(1-M$9^2*$C$11)*NORMSINV(L513))*(M$7-M$5)*(M$6-M$5)),M$7-SQRT((1-NORMSDIST(M$9*SQRT($C$11)*NORMSINV($B513)+SQRT(1-M$9^2*$C$11)*NORMSINV(L513)))*(M$7-M$5)*(M$7-M$6))))</f>
        <v>1442.52009788144</v>
      </c>
      <c r="N513" s="2" t="n">
        <v>0.455003597</v>
      </c>
      <c r="O513" s="2" t="n">
        <f aca="false">IF(O$7=O$5,O$6,IF(NORMSDIST(O$9*SQRT($C$11)*NORMSINV($B513)+SQRT(1-O$9^2*$C$11)*NORMSINV(N513))&lt;O$8,O$5+SQRT(NORMSDIST(O$9*SQRT($C$11)*NORMSINV($B513)+SQRT(1-O$9^2*$C$11)*NORMSINV(N513))*(O$7-O$5)*(O$6-O$5)),O$7-SQRT((1-NORMSDIST(O$9*SQRT($C$11)*NORMSINV($B513)+SQRT(1-O$9^2*$C$11)*NORMSINV(N513)))*(O$7-O$5)*(O$7-O$6))))</f>
        <v>0.161322078985964</v>
      </c>
      <c r="P513" s="2" t="n">
        <v>0.529904686</v>
      </c>
      <c r="Q513" s="2" t="n">
        <f aca="false">IF(Q$7=Q$5,Q$6,IF(NORMSDIST(Q$9*SQRT($C$11)*NORMSINV($B513)+SQRT(1-Q$9^2*$C$11)*NORMSINV(P513))&lt;Q$8,Q$5+SQRT(NORMSDIST(Q$9*SQRT($C$11)*NORMSINV($B513)+SQRT(1-Q$9^2*$C$11)*NORMSINV(P513))*(Q$7-Q$5)*(Q$6-Q$5)),Q$7-SQRT((1-NORMSDIST(Q$9*SQRT($C$11)*NORMSINV($B513)+SQRT(1-Q$9^2*$C$11)*NORMSINV(P513)))*(Q$7-Q$5)*(Q$7-Q$6))))</f>
        <v>0.0812146289846288</v>
      </c>
      <c r="R513" s="2" t="n">
        <v>0.734512916</v>
      </c>
      <c r="S513" s="2" t="n">
        <f aca="false">IF(S$7=S$5,S$6,IF(NORMSDIST(S$9*SQRT($C$11)*NORMSINV($B513)+SQRT(1-S$9^2*$C$11)*NORMSINV(R513))&lt;S$8,S$5+SQRT(NORMSDIST(S$9*SQRT($C$11)*NORMSINV($B513)+SQRT(1-S$9^2*$C$11)*NORMSINV(R513))*(S$7-S$5)*(S$6-S$5)),S$7-SQRT((1-NORMSDIST(S$9*SQRT($C$11)*NORMSINV($B513)+SQRT(1-S$9^2*$C$11)*NORMSINV(R513)))*(S$7-S$5)*(S$7-S$6))))</f>
        <v>0.519571213590432</v>
      </c>
      <c r="T513" s="2" t="n">
        <v>0.77076576</v>
      </c>
      <c r="U513" s="2" t="n">
        <f aca="false">IF(U$7=U$5,U$6,IF(NORMSDIST(U$9*SQRT($C$11)*NORMSINV($B513)+SQRT(1-U$9^2*$C$11)*NORMSINV(T513))&lt;U$8,U$5+SQRT(NORMSDIST(U$9*SQRT($C$11)*NORMSINV($B513)+SQRT(1-U$9^2*$C$11)*NORMSINV(T513))*(U$7-U$5)*(U$6-U$5)),U$7-SQRT((1-NORMSDIST(U$9*SQRT($C$11)*NORMSINV($B513)+SQRT(1-U$9^2*$C$11)*NORMSINV(T513)))*(U$7-U$5)*(U$7-U$6))))</f>
        <v>0.538213326061566</v>
      </c>
      <c r="V513" s="2" t="n">
        <v>0.321773303</v>
      </c>
      <c r="W513" s="2" t="n">
        <f aca="false">IF(W$7=W$5,W$6,IF(NORMSDIST(W$9*SQRT($C$11)*NORMSINV($B513)+SQRT(1-W$9^2*$C$11)*NORMSINV(V513))&lt;W$8,W$5+SQRT(NORMSDIST(W$9*SQRT($C$11)*NORMSINV($B513)+SQRT(1-W$9^2*$C$11)*NORMSINV(V513))*(W$7-W$5)*(W$6-W$5)),W$7-SQRT((1-NORMSDIST(W$9*SQRT($C$11)*NORMSINV($B513)+SQRT(1-W$9^2*$C$11)*NORMSINV(V513)))*(W$7-W$5)*(W$7-W$6))))</f>
        <v>9.34881253682451</v>
      </c>
      <c r="X513" s="2" t="n">
        <v>0.347172691</v>
      </c>
      <c r="Y513" s="2" t="n">
        <f aca="false">IF(Y$7=Y$5,Y$6,IF(NORMSDIST(Y$9*SQRT($C$11)*NORMSINV($B513)+SQRT(1-Y$9^2*$C$11)*NORMSINV(X513))&lt;Y$8,Y$5+SQRT(NORMSDIST(Y$9*SQRT($C$11)*NORMSINV($B513)+SQRT(1-Y$9^2*$C$11)*NORMSINV(X513))*(Y$7-Y$5)*(Y$6-Y$5)),Y$7-SQRT((1-NORMSDIST(Y$9*SQRT($C$11)*NORMSINV($B513)+SQRT(1-Y$9^2*$C$11)*NORMSINV(X513)))*(Y$7-Y$5)*(Y$7-Y$6))))</f>
        <v>0.416636946873414</v>
      </c>
      <c r="Z513" s="2" t="n">
        <v>0.401754184</v>
      </c>
      <c r="AA513" s="2" t="n">
        <f aca="false">IF(AA$7=AA$5,AA$6,IF(NORMSDIST(AA$9*SQRT($C$11)*NORMSINV($B513)+SQRT(1-AA$9^2*$C$11)*NORMSINV(Z513))&lt;AA$8,AA$5+SQRT(NORMSDIST(AA$9*SQRT($C$11)*NORMSINV($B513)+SQRT(1-AA$9^2*$C$11)*NORMSINV(Z513))*(AA$7-AA$5)*(AA$6-AA$5)),AA$7-SQRT((1-NORMSDIST(AA$9*SQRT($C$11)*NORMSINV($B513)+SQRT(1-AA$9^2*$C$11)*NORMSINV(Z513)))*(AA$7-AA$5)*(AA$7-AA$6))))</f>
        <v>0.719830768633118</v>
      </c>
      <c r="AB513" s="2" t="n">
        <v>0.964326599</v>
      </c>
      <c r="AC513" s="2" t="n">
        <f aca="false">IF(AC$7=AC$5,AC$6,IF(NORMSDIST(AC$9*SQRT($C$11)*NORMSINV($B513)+SQRT(1-AC$9^2*$C$11)*NORMSINV(AB513))&lt;AC$8,AC$5+SQRT(NORMSDIST(AC$9*SQRT($C$11)*NORMSINV($B513)+SQRT(1-AC$9^2*$C$11)*NORMSINV(AB513))*(AC$7-AC$5)*(AC$6-AC$5)),AC$7-SQRT((1-NORMSDIST(AC$9*SQRT($C$11)*NORMSINV($B513)+SQRT(1-AC$9^2*$C$11)*NORMSINV(AB513)))*(AC$7-AC$5)*(AC$7-AC$6))))</f>
        <v>10.1770655335443</v>
      </c>
      <c r="AD513" s="2" t="n">
        <f aca="false">Entrées!$C$8*(1+E513)</f>
        <v>7446.3868239411</v>
      </c>
      <c r="AE513" s="2" t="n">
        <f aca="false">I513*Hypothèses!$J$24/12/Hypothèses!$J$19</f>
        <v>92.7793349921014</v>
      </c>
      <c r="AF513" s="2" t="n">
        <f aca="false">Entrées!$C$36*S513*1000</f>
        <v>259.785606795216</v>
      </c>
      <c r="AG513" s="2" t="n">
        <f aca="false">-AF513/W513</f>
        <v>-27.7880860025734</v>
      </c>
      <c r="AH513" s="2" t="n">
        <f aca="false">AD513+AE513+AG513</f>
        <v>7511.37807293063</v>
      </c>
      <c r="AI513" s="2" t="n">
        <f aca="false">Entrées!$C$16-M513+Hypothèses!$J$22*1000-AF513+Hypothèses!$J$23</f>
        <v>22845.6942953234</v>
      </c>
      <c r="AJ513" s="2" t="n">
        <f aca="false">AI513/AH513</f>
        <v>3.04147841760945</v>
      </c>
      <c r="AK513" s="2" t="n">
        <f aca="false">AI513/(AH513+I513*(12-Hypothèses!$J$24)/12/Hypothèses!$J$19)</f>
        <v>3.01487891764845</v>
      </c>
      <c r="AL513" s="2" t="n">
        <f aca="false">(AD513+AG513+I513/Hypothèses!$J$19)*(1+G513)</f>
        <v>7938.34261161138</v>
      </c>
      <c r="AM513" s="2" t="n">
        <f aca="false">Entrées!$C$54*K513/Hypothèses!$J$19</f>
        <v>18.0341833479664</v>
      </c>
      <c r="AN513" s="2" t="n">
        <f aca="false">Y513*1000/AC513</f>
        <v>40.9388094731382</v>
      </c>
      <c r="AO513" s="2" t="n">
        <f aca="false">(Entrées!$C$36*(1-S513)+MAX(0,Entrées!$C$30-Entrées!$C$35-Entrées!$C$36)*U513)*1000</f>
        <v>993.713049690976</v>
      </c>
      <c r="AP513" s="2" t="n">
        <f aca="false">-AO513/W513</f>
        <v>-106.292969912146</v>
      </c>
      <c r="AQ513" s="2" t="n">
        <f aca="false">AL513+AM513+AN513+AP513</f>
        <v>7891.02263452034</v>
      </c>
      <c r="AR513" s="2" t="n">
        <f aca="false">O513*AQ513-Hypothèses!$J$25/Hypothèses!$J$19</f>
        <v>1253.86101446449</v>
      </c>
      <c r="AS513" s="2" t="n">
        <f aca="false">Entrées!$C$79*(1+Q513)+Hypothèses!$J$20</f>
        <v>1483.25487725411</v>
      </c>
      <c r="AT513" s="2" t="n">
        <f aca="false">AI513-AR513+AS513+Y513*1000-AO513+Hypothèses!$J$23</f>
        <v>22498.0120552954</v>
      </c>
      <c r="AU513" s="2" t="n">
        <f aca="false">AT513/AQ513</f>
        <v>2.8510895351985</v>
      </c>
      <c r="AV513" s="2" t="n">
        <f aca="false">Hypothèses!$J$26*AQ513-AT513</f>
        <v>1175.0558482656</v>
      </c>
      <c r="AW513" s="2" t="n">
        <f aca="false">IF(AC513&gt;Hypothèses!$J$26,MAX(0,AV513)/(1-Hypothèses!$J$26/AC513),0)</f>
        <v>1666.22700008535</v>
      </c>
      <c r="AX513" s="2" t="n">
        <f aca="false">AQ513-Entrées!$C$17*1000</f>
        <v>-108.977365479665</v>
      </c>
      <c r="AY513" s="2" t="n">
        <f aca="false">AI513+(Entrées!$C$244-Entrées!$C$13)</f>
        <v>28592.6942953234</v>
      </c>
      <c r="AZ513" s="2" t="n">
        <f aca="false">AA513*AH513</f>
        <v>5406.9210517316</v>
      </c>
      <c r="BA513" s="2" t="n">
        <f aca="false">AZ513/AY513</f>
        <v>0.189101488509111</v>
      </c>
      <c r="BB513" s="2" t="n">
        <f aca="false">AZ513/(Entrées!$C$151/100)-AY513</f>
        <v>1445.75599207444</v>
      </c>
      <c r="BC513" s="2" t="n">
        <f aca="false">AT513+(Entrées!$C$244-Entrées!$C$13)</f>
        <v>28245.0120552954</v>
      </c>
      <c r="BD513" s="2" t="n">
        <f aca="false">AA513*AQ513</f>
        <v>5680.2008883081</v>
      </c>
      <c r="BE513" s="2" t="n">
        <f aca="false">BD513/BC513</f>
        <v>0.201104565903103</v>
      </c>
      <c r="BF513" s="2" t="n">
        <f aca="false">BD513/(Entrées!$C$151/100)-BC513</f>
        <v>3311.65954641629</v>
      </c>
      <c r="BG513" s="2" t="n">
        <f aca="false">MIN(AV513,BF513)</f>
        <v>1175.0558482656</v>
      </c>
      <c r="BH513" s="2" t="n">
        <f aca="false">IF(AC513&gt;Hypothèses!$J$26,MAX(0,BG513)/(1-Hypothèses!$J$26/AC513),0)</f>
        <v>1666.22700008535</v>
      </c>
    </row>
    <row r="514" customFormat="false" ht="15" hidden="false" customHeight="false" outlineLevel="0" collapsed="false">
      <c r="A514" s="2" t="n">
        <v>499</v>
      </c>
      <c r="B514" s="2" t="n">
        <v>0.289487301</v>
      </c>
      <c r="C514" s="2"/>
      <c r="D514" s="2" t="n">
        <v>0.079111802</v>
      </c>
      <c r="E514" s="2" t="n">
        <f aca="false">IF(E$7=E$5,E$6,IF(NORMSDIST(E$9*SQRT($C$11)*NORMSINV($B514)+SQRT(1-E$9^2*$C$11)*NORMSINV(D514))&lt;E$8,E$5+SQRT(NORMSDIST(E$9*SQRT($C$11)*NORMSINV($B514)+SQRT(1-E$9^2*$C$11)*NORMSINV(D514))*(E$7-E$5)*(E$6-E$5)),E$7-SQRT((1-NORMSDIST(E$9*SQRT($C$11)*NORMSINV($B514)+SQRT(1-E$9^2*$C$11)*NORMSINV(D514)))*(E$7-E$5)*(E$7-E$6))))</f>
        <v>0.0519284257841191</v>
      </c>
      <c r="F514" s="2" t="n">
        <v>0.4035797</v>
      </c>
      <c r="G514" s="2" t="n">
        <f aca="false">IF(G$7=G$5,G$6,IF(NORMSDIST(G$9*SQRT($C$11)*NORMSINV($B514)+SQRT(1-G$9^2*$C$11)*NORMSINV(F514))&lt;G$8,G$5+SQRT(NORMSDIST(G$9*SQRT($C$11)*NORMSINV($B514)+SQRT(1-G$9^2*$C$11)*NORMSINV(F514))*(G$7-G$5)*(G$6-G$5)),G$7-SQRT((1-NORMSDIST(G$9*SQRT($C$11)*NORMSINV($B514)+SQRT(1-G$9^2*$C$11)*NORMSINV(F514)))*(G$7-G$5)*(G$7-G$6))))</f>
        <v>0.0515137952989108</v>
      </c>
      <c r="H514" s="2" t="n">
        <v>0.72054106</v>
      </c>
      <c r="I514" s="2" t="n">
        <f aca="false">IF(I$7=I$5,I$6,IF(NORMSDIST(I$9*SQRT($C$11)*NORMSINV($B514)+SQRT(1-I$9^2*$C$11)*NORMSINV(H514))&lt;I$8,I$5+SQRT(NORMSDIST(I$9*SQRT($C$11)*NORMSINV($B514)+SQRT(1-I$9^2*$C$11)*NORMSINV(H514))*(I$7-I$5)*(I$6-I$5)),I$7-SQRT((1-NORMSDIST(I$9*SQRT($C$11)*NORMSINV($B514)+SQRT(1-I$9^2*$C$11)*NORMSINV(H514)))*(I$7-I$5)*(I$7-I$6))))</f>
        <v>200.82776768923</v>
      </c>
      <c r="J514" s="2" t="n">
        <v>0.713150695</v>
      </c>
      <c r="K514" s="2" t="n">
        <f aca="false">IF(K$7=K$5,K$6,IF(NORMSDIST(K$9*SQRT($C$11)*NORMSINV($B514)+SQRT(1-K$9^2*$C$11)*NORMSINV(J514))&lt;K$8,K$5+SQRT(NORMSDIST(K$9*SQRT($C$11)*NORMSINV($B514)+SQRT(1-K$9^2*$C$11)*NORMSINV(J514))*(K$7-K$5)*(K$6-K$5)),K$7-SQRT((1-NORMSDIST(K$9*SQRT($C$11)*NORMSINV($B514)+SQRT(1-K$9^2*$C$11)*NORMSINV(J514)))*(K$7-K$5)*(K$7-K$6))))</f>
        <v>0.258601283721183</v>
      </c>
      <c r="L514" s="2" t="n">
        <v>0.127141386</v>
      </c>
      <c r="M514" s="2" t="n">
        <f aca="false">IF(M$7=M$5,M$6,IF(NORMSDIST(M$9*SQRT($C$11)*NORMSINV($B514)+SQRT(1-M$9^2*$C$11)*NORMSINV(L514))&lt;M$8,M$5+SQRT(NORMSDIST(M$9*SQRT($C$11)*NORMSINV($B514)+SQRT(1-M$9^2*$C$11)*NORMSINV(L514))*(M$7-M$5)*(M$6-M$5)),M$7-SQRT((1-NORMSDIST(M$9*SQRT($C$11)*NORMSINV($B514)+SQRT(1-M$9^2*$C$11)*NORMSINV(L514)))*(M$7-M$5)*(M$7-M$6))))</f>
        <v>1434.69821702113</v>
      </c>
      <c r="N514" s="2" t="n">
        <v>0.263290777</v>
      </c>
      <c r="O514" s="2" t="n">
        <f aca="false">IF(O$7=O$5,O$6,IF(NORMSDIST(O$9*SQRT($C$11)*NORMSINV($B514)+SQRT(1-O$9^2*$C$11)*NORMSINV(N514))&lt;O$8,O$5+SQRT(NORMSDIST(O$9*SQRT($C$11)*NORMSINV($B514)+SQRT(1-O$9^2*$C$11)*NORMSINV(N514))*(O$7-O$5)*(O$6-O$5)),O$7-SQRT((1-NORMSDIST(O$9*SQRT($C$11)*NORMSINV($B514)+SQRT(1-O$9^2*$C$11)*NORMSINV(N514)))*(O$7-O$5)*(O$7-O$6))))</f>
        <v>0.156942161835818</v>
      </c>
      <c r="P514" s="2" t="n">
        <v>0.496595026</v>
      </c>
      <c r="Q514" s="2" t="n">
        <f aca="false">IF(Q$7=Q$5,Q$6,IF(NORMSDIST(Q$9*SQRT($C$11)*NORMSINV($B514)+SQRT(1-Q$9^2*$C$11)*NORMSINV(P514))&lt;Q$8,Q$5+SQRT(NORMSDIST(Q$9*SQRT($C$11)*NORMSINV($B514)+SQRT(1-Q$9^2*$C$11)*NORMSINV(P514))*(Q$7-Q$5)*(Q$6-Q$5)),Q$7-SQRT((1-NORMSDIST(Q$9*SQRT($C$11)*NORMSINV($B514)+SQRT(1-Q$9^2*$C$11)*NORMSINV(P514)))*(Q$7-Q$5)*(Q$7-Q$6))))</f>
        <v>0.0798635683701297</v>
      </c>
      <c r="R514" s="2" t="n">
        <v>0.983297511</v>
      </c>
      <c r="S514" s="2" t="n">
        <f aca="false">IF(S$7=S$5,S$6,IF(NORMSDIST(S$9*SQRT($C$11)*NORMSINV($B514)+SQRT(1-S$9^2*$C$11)*NORMSINV(R514))&lt;S$8,S$5+SQRT(NORMSDIST(S$9*SQRT($C$11)*NORMSINV($B514)+SQRT(1-S$9^2*$C$11)*NORMSINV(R514))*(S$7-S$5)*(S$6-S$5)),S$7-SQRT((1-NORMSDIST(S$9*SQRT($C$11)*NORMSINV($B514)+SQRT(1-S$9^2*$C$11)*NORMSINV(R514)))*(S$7-S$5)*(S$7-S$6))))</f>
        <v>0.779369845595328</v>
      </c>
      <c r="T514" s="2" t="n">
        <v>0.025613111</v>
      </c>
      <c r="U514" s="2" t="n">
        <f aca="false">IF(U$7=U$5,U$6,IF(NORMSDIST(U$9*SQRT($C$11)*NORMSINV($B514)+SQRT(1-U$9^2*$C$11)*NORMSINV(T514))&lt;U$8,U$5+SQRT(NORMSDIST(U$9*SQRT($C$11)*NORMSINV($B514)+SQRT(1-U$9^2*$C$11)*NORMSINV(T514))*(U$7-U$5)*(U$6-U$5)),U$7-SQRT((1-NORMSDIST(U$9*SQRT($C$11)*NORMSINV($B514)+SQRT(1-U$9^2*$C$11)*NORMSINV(T514)))*(U$7-U$5)*(U$7-U$6))))</f>
        <v>0.125233096173116</v>
      </c>
      <c r="V514" s="2" t="n">
        <v>0.217057067</v>
      </c>
      <c r="W514" s="2" t="n">
        <f aca="false">IF(W$7=W$5,W$6,IF(NORMSDIST(W$9*SQRT($C$11)*NORMSINV($B514)+SQRT(1-W$9^2*$C$11)*NORMSINV(V514))&lt;W$8,W$5+SQRT(NORMSDIST(W$9*SQRT($C$11)*NORMSINV($B514)+SQRT(1-W$9^2*$C$11)*NORMSINV(V514))*(W$7-W$5)*(W$6-W$5)),W$7-SQRT((1-NORMSDIST(W$9*SQRT($C$11)*NORMSINV($B514)+SQRT(1-W$9^2*$C$11)*NORMSINV(V514)))*(W$7-W$5)*(W$7-W$6))))</f>
        <v>9.16389902985078</v>
      </c>
      <c r="X514" s="2" t="n">
        <v>0.937663085</v>
      </c>
      <c r="Y514" s="2" t="n">
        <f aca="false">IF(Y$7=Y$5,Y$6,IF(NORMSDIST(Y$9*SQRT($C$11)*NORMSINV($B514)+SQRT(1-Y$9^2*$C$11)*NORMSINV(X514))&lt;Y$8,Y$5+SQRT(NORMSDIST(Y$9*SQRT($C$11)*NORMSINV($B514)+SQRT(1-Y$9^2*$C$11)*NORMSINV(X514))*(Y$7-Y$5)*(Y$6-Y$5)),Y$7-SQRT((1-NORMSDIST(Y$9*SQRT($C$11)*NORMSINV($B514)+SQRT(1-Y$9^2*$C$11)*NORMSINV(X514)))*(Y$7-Y$5)*(Y$7-Y$6))))</f>
        <v>0.82345409237255</v>
      </c>
      <c r="Z514" s="2" t="n">
        <v>0.317274242</v>
      </c>
      <c r="AA514" s="2" t="n">
        <f aca="false">IF(AA$7=AA$5,AA$6,IF(NORMSDIST(AA$9*SQRT($C$11)*NORMSINV($B514)+SQRT(1-AA$9^2*$C$11)*NORMSINV(Z514))&lt;AA$8,AA$5+SQRT(NORMSDIST(AA$9*SQRT($C$11)*NORMSINV($B514)+SQRT(1-AA$9^2*$C$11)*NORMSINV(Z514))*(AA$7-AA$5)*(AA$6-AA$5)),AA$7-SQRT((1-NORMSDIST(AA$9*SQRT($C$11)*NORMSINV($B514)+SQRT(1-AA$9^2*$C$11)*NORMSINV(Z514)))*(AA$7-AA$5)*(AA$7-AA$6))))</f>
        <v>0.717808355402733</v>
      </c>
      <c r="AB514" s="2" t="n">
        <v>0.06662288</v>
      </c>
      <c r="AC514" s="2" t="n">
        <f aca="false">IF(AC$7=AC$5,AC$6,IF(NORMSDIST(AC$9*SQRT($C$11)*NORMSINV($B514)+SQRT(1-AC$9^2*$C$11)*NORMSINV(AB514))&lt;AC$8,AC$5+SQRT(NORMSDIST(AC$9*SQRT($C$11)*NORMSINV($B514)+SQRT(1-AC$9^2*$C$11)*NORMSINV(AB514))*(AC$7-AC$5)*(AC$6-AC$5)),AC$7-SQRT((1-NORMSDIST(AC$9*SQRT($C$11)*NORMSINV($B514)+SQRT(1-AC$9^2*$C$11)*NORMSINV(AB514)))*(AC$7-AC$5)*(AC$7-AC$6))))</f>
        <v>8.14951995976735</v>
      </c>
      <c r="AD514" s="2" t="n">
        <f aca="false">Entrées!$C$8*(1+E514)</f>
        <v>7416.09540177804</v>
      </c>
      <c r="AE514" s="2" t="n">
        <f aca="false">I514*Hypothèses!$J$24/12/Hypothèses!$J$19</f>
        <v>99.6300127763511</v>
      </c>
      <c r="AF514" s="2" t="n">
        <f aca="false">Entrées!$C$36*S514*1000</f>
        <v>389.684922797664</v>
      </c>
      <c r="AG514" s="2" t="n">
        <f aca="false">-AF514/W514</f>
        <v>-42.5239214801791</v>
      </c>
      <c r="AH514" s="2" t="n">
        <f aca="false">AD514+AE514+AG514</f>
        <v>7473.20149307421</v>
      </c>
      <c r="AI514" s="2" t="n">
        <f aca="false">Entrées!$C$16-M514+Hypothèses!$J$22*1000-AF514+Hypothèses!$J$23</f>
        <v>22723.6168601812</v>
      </c>
      <c r="AJ514" s="2" t="n">
        <f aca="false">AI514/AH514</f>
        <v>3.04068034044583</v>
      </c>
      <c r="AK514" s="2" t="n">
        <f aca="false">AI514/(AH514+I514*(12-Hypothèses!$J$24)/12/Hypothèses!$J$19)</f>
        <v>3.01199829104029</v>
      </c>
      <c r="AL514" s="2" t="n">
        <f aca="false">(AD514+AG514+I514/Hypothèses!$J$19)*(1+G514)</f>
        <v>7933.00470277319</v>
      </c>
      <c r="AM514" s="2" t="n">
        <f aca="false">Entrées!$C$54*K514/Hypothèses!$J$19</f>
        <v>26.3913468003712</v>
      </c>
      <c r="AN514" s="2" t="n">
        <f aca="false">Y514*1000/AC514</f>
        <v>101.043263460644</v>
      </c>
      <c r="AO514" s="2" t="n">
        <f aca="false">(Entrées!$C$36*(1-S514)+MAX(0,Entrées!$C$30-Entrées!$C$35-Entrées!$C$36)*U514)*1000</f>
        <v>285.641411844698</v>
      </c>
      <c r="AP514" s="2" t="n">
        <f aca="false">-AO514/W514</f>
        <v>-31.1702923520044</v>
      </c>
      <c r="AQ514" s="2" t="n">
        <f aca="false">AL514+AM514+AN514+AP514</f>
        <v>8029.26902068221</v>
      </c>
      <c r="AR514" s="2" t="n">
        <f aca="false">O514*AQ514-Hypothèses!$J$25/Hypothèses!$J$19</f>
        <v>1240.9956758056</v>
      </c>
      <c r="AS514" s="2" t="n">
        <f aca="false">Entrées!$C$79*(1+Q514)+Hypothèses!$J$20</f>
        <v>1481.77006163877</v>
      </c>
      <c r="AT514" s="2" t="n">
        <f aca="false">AI514-AR514+AS514+Y514*1000-AO514+Hypothèses!$J$23</f>
        <v>23502.2039265422</v>
      </c>
      <c r="AU514" s="2" t="n">
        <f aca="false">AT514/AQ514</f>
        <v>2.92706644477898</v>
      </c>
      <c r="AV514" s="2" t="n">
        <f aca="false">Hypothèses!$J$26*AQ514-AT514</f>
        <v>585.603135504385</v>
      </c>
      <c r="AW514" s="2" t="n">
        <f aca="false">IF(AC514&gt;Hypothèses!$J$26,MAX(0,AV514)/(1-Hypothèses!$J$26/AC514),0)</f>
        <v>926.762975691222</v>
      </c>
      <c r="AX514" s="2" t="n">
        <f aca="false">AQ514-Entrées!$C$17*1000</f>
        <v>29.2690206822053</v>
      </c>
      <c r="AY514" s="2" t="n">
        <f aca="false">AI514+(Entrées!$C$244-Entrées!$C$13)</f>
        <v>28470.6168601812</v>
      </c>
      <c r="AZ514" s="2" t="n">
        <f aca="false">AA514*AH514</f>
        <v>5364.32647333685</v>
      </c>
      <c r="BA514" s="2" t="n">
        <f aca="false">AZ514/AY514</f>
        <v>0.188416236279002</v>
      </c>
      <c r="BB514" s="2" t="n">
        <f aca="false">AZ514/(Entrées!$C$151/100)-AY514</f>
        <v>1331.19688057905</v>
      </c>
      <c r="BC514" s="2" t="n">
        <f aca="false">AT514+(Entrées!$C$244-Entrées!$C$13)</f>
        <v>29249.2039265422</v>
      </c>
      <c r="BD514" s="2" t="n">
        <f aca="false">AA514*AQ514</f>
        <v>5763.47639082201</v>
      </c>
      <c r="BE514" s="2" t="n">
        <f aca="false">BD514/BC514</f>
        <v>0.197047290767183</v>
      </c>
      <c r="BF514" s="2" t="n">
        <f aca="false">BD514/(Entrées!$C$151/100)-BC514</f>
        <v>2770.10935580224</v>
      </c>
      <c r="BG514" s="2" t="n">
        <f aca="false">MIN(AV514,BF514)</f>
        <v>585.603135504385</v>
      </c>
      <c r="BH514" s="2" t="n">
        <f aca="false">IF(AC514&gt;Hypothèses!$J$26,MAX(0,BG514)/(1-Hypothèses!$J$26/AC514),0)</f>
        <v>926.762975691222</v>
      </c>
    </row>
    <row r="515" customFormat="false" ht="15" hidden="false" customHeight="false" outlineLevel="0" collapsed="false">
      <c r="A515" s="2" t="n">
        <v>500</v>
      </c>
      <c r="B515" s="2" t="n">
        <v>0.223464125</v>
      </c>
      <c r="C515" s="2"/>
      <c r="D515" s="2" t="n">
        <v>0.371427834</v>
      </c>
      <c r="E515" s="2" t="n">
        <f aca="false">IF(E$7=E$5,E$6,IF(NORMSDIST(E$9*SQRT($C$11)*NORMSINV($B515)+SQRT(1-E$9^2*$C$11)*NORMSINV(D515))&lt;E$8,E$5+SQRT(NORMSDIST(E$9*SQRT($C$11)*NORMSINV($B515)+SQRT(1-E$9^2*$C$11)*NORMSINV(D515))*(E$7-E$5)*(E$6-E$5)),E$7-SQRT((1-NORMSDIST(E$9*SQRT($C$11)*NORMSINV($B515)+SQRT(1-E$9^2*$C$11)*NORMSINV(D515)))*(E$7-E$5)*(E$7-E$6))))</f>
        <v>0.0533994715971895</v>
      </c>
      <c r="F515" s="2" t="n">
        <v>0.972129638</v>
      </c>
      <c r="G515" s="2" t="n">
        <f aca="false">IF(G$7=G$5,G$6,IF(NORMSDIST(G$9*SQRT($C$11)*NORMSINV($B515)+SQRT(1-G$9^2*$C$11)*NORMSINV(F515))&lt;G$8,G$5+SQRT(NORMSDIST(G$9*SQRT($C$11)*NORMSINV($B515)+SQRT(1-G$9^2*$C$11)*NORMSINV(F515))*(G$7-G$5)*(G$6-G$5)),G$7-SQRT((1-NORMSDIST(G$9*SQRT($C$11)*NORMSINV($B515)+SQRT(1-G$9^2*$C$11)*NORMSINV(F515)))*(G$7-G$5)*(G$7-G$6))))</f>
        <v>0.0615558393001911</v>
      </c>
      <c r="H515" s="2" t="n">
        <v>0.78203414</v>
      </c>
      <c r="I515" s="2" t="n">
        <f aca="false">IF(I$7=I$5,I$6,IF(NORMSDIST(I$9*SQRT($C$11)*NORMSINV($B515)+SQRT(1-I$9^2*$C$11)*NORMSINV(H515))&lt;I$8,I$5+SQRT(NORMSDIST(I$9*SQRT($C$11)*NORMSINV($B515)+SQRT(1-I$9^2*$C$11)*NORMSINV(H515))*(I$7-I$5)*(I$6-I$5)),I$7-SQRT((1-NORMSDIST(I$9*SQRT($C$11)*NORMSINV($B515)+SQRT(1-I$9^2*$C$11)*NORMSINV(H515)))*(I$7-I$5)*(I$7-I$6))))</f>
        <v>200.999654147855</v>
      </c>
      <c r="J515" s="2" t="n">
        <v>0.432758569</v>
      </c>
      <c r="K515" s="2" t="n">
        <f aca="false">IF(K$7=K$5,K$6,IF(NORMSDIST(K$9*SQRT($C$11)*NORMSINV($B515)+SQRT(1-K$9^2*$C$11)*NORMSINV(J515))&lt;K$8,K$5+SQRT(NORMSDIST(K$9*SQRT($C$11)*NORMSINV($B515)+SQRT(1-K$9^2*$C$11)*NORMSINV(J515))*(K$7-K$5)*(K$6-K$5)),K$7-SQRT((1-NORMSDIST(K$9*SQRT($C$11)*NORMSINV($B515)+SQRT(1-K$9^2*$C$11)*NORMSINV(J515)))*(K$7-K$5)*(K$7-K$6))))</f>
        <v>0.183781398560904</v>
      </c>
      <c r="L515" s="2" t="n">
        <v>0.609817068</v>
      </c>
      <c r="M515" s="2" t="n">
        <f aca="false">IF(M$7=M$5,M$6,IF(NORMSDIST(M$9*SQRT($C$11)*NORMSINV($B515)+SQRT(1-M$9^2*$C$11)*NORMSINV(L515))&lt;M$8,M$5+SQRT(NORMSDIST(M$9*SQRT($C$11)*NORMSINV($B515)+SQRT(1-M$9^2*$C$11)*NORMSINV(L515))*(M$7-M$5)*(M$6-M$5)),M$7-SQRT((1-NORMSDIST(M$9*SQRT($C$11)*NORMSINV($B515)+SQRT(1-M$9^2*$C$11)*NORMSINV(L515)))*(M$7-M$5)*(M$7-M$6))))</f>
        <v>1554.13893780813</v>
      </c>
      <c r="N515" s="2" t="n">
        <v>0.793931352</v>
      </c>
      <c r="O515" s="2" t="n">
        <f aca="false">IF(O$7=O$5,O$6,IF(NORMSDIST(O$9*SQRT($C$11)*NORMSINV($B515)+SQRT(1-O$9^2*$C$11)*NORMSINV(N515))&lt;O$8,O$5+SQRT(NORMSDIST(O$9*SQRT($C$11)*NORMSINV($B515)+SQRT(1-O$9^2*$C$11)*NORMSINV(N515))*(O$7-O$5)*(O$6-O$5)),O$7-SQRT((1-NORMSDIST(O$9*SQRT($C$11)*NORMSINV($B515)+SQRT(1-O$9^2*$C$11)*NORMSINV(N515)))*(O$7-O$5)*(O$7-O$6))))</f>
        <v>0.168378914474271</v>
      </c>
      <c r="P515" s="2" t="n">
        <v>0.781298541</v>
      </c>
      <c r="Q515" s="2" t="n">
        <f aca="false">IF(Q$7=Q$5,Q$6,IF(NORMSDIST(Q$9*SQRT($C$11)*NORMSINV($B515)+SQRT(1-Q$9^2*$C$11)*NORMSINV(P515))&lt;Q$8,Q$5+SQRT(NORMSDIST(Q$9*SQRT($C$11)*NORMSINV($B515)+SQRT(1-Q$9^2*$C$11)*NORMSINV(P515))*(Q$7-Q$5)*(Q$6-Q$5)),Q$7-SQRT((1-NORMSDIST(Q$9*SQRT($C$11)*NORMSINV($B515)+SQRT(1-Q$9^2*$C$11)*NORMSINV(P515)))*(Q$7-Q$5)*(Q$7-Q$6))))</f>
        <v>0.0935454225359769</v>
      </c>
      <c r="R515" s="2" t="n">
        <v>0.845767605</v>
      </c>
      <c r="S515" s="2" t="n">
        <f aca="false">IF(S$7=S$5,S$6,IF(NORMSDIST(S$9*SQRT($C$11)*NORMSINV($B515)+SQRT(1-S$9^2*$C$11)*NORMSINV(R515))&lt;S$8,S$5+SQRT(NORMSDIST(S$9*SQRT($C$11)*NORMSINV($B515)+SQRT(1-S$9^2*$C$11)*NORMSINV(R515))*(S$7-S$5)*(S$6-S$5)),S$7-SQRT((1-NORMSDIST(S$9*SQRT($C$11)*NORMSINV($B515)+SQRT(1-S$9^2*$C$11)*NORMSINV(R515)))*(S$7-S$5)*(S$7-S$6))))</f>
        <v>0.564633153414343</v>
      </c>
      <c r="T515" s="2" t="n">
        <v>0.784333921</v>
      </c>
      <c r="U515" s="2" t="n">
        <f aca="false">IF(U$7=U$5,U$6,IF(NORMSDIST(U$9*SQRT($C$11)*NORMSINV($B515)+SQRT(1-U$9^2*$C$11)*NORMSINV(T515))&lt;U$8,U$5+SQRT(NORMSDIST(U$9*SQRT($C$11)*NORMSINV($B515)+SQRT(1-U$9^2*$C$11)*NORMSINV(T515))*(U$7-U$5)*(U$6-U$5)),U$7-SQRT((1-NORMSDIST(U$9*SQRT($C$11)*NORMSINV($B515)+SQRT(1-U$9^2*$C$11)*NORMSINV(T515)))*(U$7-U$5)*(U$7-U$6))))</f>
        <v>0.526256932646011</v>
      </c>
      <c r="V515" s="2" t="n">
        <v>0.107277871</v>
      </c>
      <c r="W515" s="2" t="n">
        <f aca="false">IF(W$7=W$5,W$6,IF(NORMSDIST(W$9*SQRT($C$11)*NORMSINV($B515)+SQRT(1-W$9^2*$C$11)*NORMSINV(V515))&lt;W$8,W$5+SQRT(NORMSDIST(W$9*SQRT($C$11)*NORMSINV($B515)+SQRT(1-W$9^2*$C$11)*NORMSINV(V515))*(W$7-W$5)*(W$6-W$5)),W$7-SQRT((1-NORMSDIST(W$9*SQRT($C$11)*NORMSINV($B515)+SQRT(1-W$9^2*$C$11)*NORMSINV(V515)))*(W$7-W$5)*(W$7-W$6))))</f>
        <v>8.77250794681696</v>
      </c>
      <c r="X515" s="2" t="n">
        <v>0.922037984</v>
      </c>
      <c r="Y515" s="2" t="n">
        <f aca="false">IF(Y$7=Y$5,Y$6,IF(NORMSDIST(Y$9*SQRT($C$11)*NORMSINV($B515)+SQRT(1-Y$9^2*$C$11)*NORMSINV(X515))&lt;Y$8,Y$5+SQRT(NORMSDIST(Y$9*SQRT($C$11)*NORMSINV($B515)+SQRT(1-Y$9^2*$C$11)*NORMSINV(X515))*(Y$7-Y$5)*(Y$6-Y$5)),Y$7-SQRT((1-NORMSDIST(Y$9*SQRT($C$11)*NORMSINV($B515)+SQRT(1-Y$9^2*$C$11)*NORMSINV(X515)))*(Y$7-Y$5)*(Y$7-Y$6))))</f>
        <v>0.802563914139284</v>
      </c>
      <c r="Z515" s="2" t="n">
        <v>0.128588875</v>
      </c>
      <c r="AA515" s="2" t="n">
        <f aca="false">IF(AA$7=AA$5,AA$6,IF(NORMSDIST(AA$9*SQRT($C$11)*NORMSINV($B515)+SQRT(1-AA$9^2*$C$11)*NORMSINV(Z515))&lt;AA$8,AA$5+SQRT(NORMSDIST(AA$9*SQRT($C$11)*NORMSINV($B515)+SQRT(1-AA$9^2*$C$11)*NORMSINV(Z515))*(AA$7-AA$5)*(AA$6-AA$5)),AA$7-SQRT((1-NORMSDIST(AA$9*SQRT($C$11)*NORMSINV($B515)+SQRT(1-AA$9^2*$C$11)*NORMSINV(Z515)))*(AA$7-AA$5)*(AA$7-AA$6))))</f>
        <v>0.708982361145358</v>
      </c>
      <c r="AB515" s="2" t="n">
        <v>0.479426089</v>
      </c>
      <c r="AC515" s="2" t="n">
        <f aca="false">IF(AC$7=AC$5,AC$6,IF(NORMSDIST(AC$9*SQRT($C$11)*NORMSINV($B515)+SQRT(1-AC$9^2*$C$11)*NORMSINV(AB515))&lt;AC$8,AC$5+SQRT(NORMSDIST(AC$9*SQRT($C$11)*NORMSINV($B515)+SQRT(1-AC$9^2*$C$11)*NORMSINV(AB515))*(AC$7-AC$5)*(AC$6-AC$5)),AC$7-SQRT((1-NORMSDIST(AC$9*SQRT($C$11)*NORMSINV($B515)+SQRT(1-AC$9^2*$C$11)*NORMSINV(AB515)))*(AC$7-AC$5)*(AC$7-AC$6))))</f>
        <v>9.013163447338</v>
      </c>
      <c r="AD515" s="2" t="n">
        <f aca="false">Entrées!$C$8*(1+E515)</f>
        <v>7426.46627476019</v>
      </c>
      <c r="AE515" s="2" t="n">
        <f aca="false">I515*Hypothèses!$J$24/12/Hypothèses!$J$19</f>
        <v>99.7152850983309</v>
      </c>
      <c r="AF515" s="2" t="n">
        <f aca="false">Entrées!$C$36*S515*1000</f>
        <v>282.316576707172</v>
      </c>
      <c r="AG515" s="2" t="n">
        <f aca="false">-AF515/W515</f>
        <v>-32.1819687618075</v>
      </c>
      <c r="AH515" s="2" t="n">
        <f aca="false">AD515+AE515+AG515</f>
        <v>7493.99959109671</v>
      </c>
      <c r="AI515" s="2" t="n">
        <f aca="false">Entrées!$C$16-M515+Hypothèses!$J$22*1000-AF515+Hypothèses!$J$23</f>
        <v>22711.5444854847</v>
      </c>
      <c r="AJ515" s="2" t="n">
        <f aca="false">AI515/AH515</f>
        <v>3.03063060111016</v>
      </c>
      <c r="AK515" s="2" t="n">
        <f aca="false">AI515/(AH515+I515*(12-Hypothèses!$J$24)/12/Hypothèses!$J$19)</f>
        <v>3.00209776995399</v>
      </c>
      <c r="AL515" s="2" t="n">
        <f aca="false">(AD515+AG515+I515/Hypothèses!$J$19)*(1+G515)</f>
        <v>8030.90855647311</v>
      </c>
      <c r="AM515" s="2" t="n">
        <f aca="false">Entrées!$C$54*K515/Hypothèses!$J$19</f>
        <v>18.7556633713677</v>
      </c>
      <c r="AN515" s="2" t="n">
        <f aca="false">Y515*1000/AC515</f>
        <v>89.0435326984244</v>
      </c>
      <c r="AO515" s="2" t="n">
        <f aca="false">(Entrées!$C$36*(1-S515)+MAX(0,Entrées!$C$30-Entrées!$C$35-Entrées!$C$36)*U515)*1000</f>
        <v>954.443128997244</v>
      </c>
      <c r="AP515" s="2" t="n">
        <f aca="false">-AO515/W515</f>
        <v>-108.799346182816</v>
      </c>
      <c r="AQ515" s="2" t="n">
        <f aca="false">AL515+AM515+AN515+AP515</f>
        <v>8029.90840636009</v>
      </c>
      <c r="AR515" s="2" t="n">
        <f aca="false">O515*AQ515-Hypothèses!$J$25/Hypothèses!$J$19</f>
        <v>1332.93209852911</v>
      </c>
      <c r="AS515" s="2" t="n">
        <f aca="false">Entrées!$C$79*(1+Q515)+Hypothèses!$J$20</f>
        <v>1496.80641936704</v>
      </c>
      <c r="AT515" s="2" t="n">
        <f aca="false">AI515-AR515+AS515+Y515*1000-AO515+Hypothèses!$J$23</f>
        <v>22723.5395914647</v>
      </c>
      <c r="AU515" s="2" t="n">
        <f aca="false">AT515/AQ515</f>
        <v>2.8298628628773</v>
      </c>
      <c r="AV515" s="2" t="n">
        <f aca="false">Hypothèses!$J$26*AQ515-AT515</f>
        <v>1366.1856276156</v>
      </c>
      <c r="AW515" s="2" t="n">
        <f aca="false">IF(AC515&gt;Hypothèses!$J$26,MAX(0,AV515)/(1-Hypothèses!$J$26/AC515),0)</f>
        <v>2047.78307939636</v>
      </c>
      <c r="AX515" s="2" t="n">
        <f aca="false">AQ515-Entrées!$C$17*1000</f>
        <v>29.9084063600876</v>
      </c>
      <c r="AY515" s="2" t="n">
        <f aca="false">AI515+(Entrées!$C$244-Entrées!$C$13)</f>
        <v>28458.5444854847</v>
      </c>
      <c r="AZ515" s="2" t="n">
        <f aca="false">AA515*AH515</f>
        <v>5313.11352451809</v>
      </c>
      <c r="BA515" s="2" t="n">
        <f aca="false">AZ515/AY515</f>
        <v>0.186696600988433</v>
      </c>
      <c r="BB515" s="2" t="n">
        <f aca="false">AZ515/(Entrées!$C$151/100)-AY515</f>
        <v>1058.75287294916</v>
      </c>
      <c r="BC515" s="2" t="n">
        <f aca="false">AT515+(Entrées!$C$244-Entrées!$C$13)</f>
        <v>28470.5395914647</v>
      </c>
      <c r="BD515" s="2" t="n">
        <f aca="false">AA515*AQ515</f>
        <v>5693.06342172214</v>
      </c>
      <c r="BE515" s="2" t="n">
        <f aca="false">BD515/BC515</f>
        <v>0.199963313074294</v>
      </c>
      <c r="BF515" s="2" t="n">
        <f aca="false">BD515/(Entrées!$C$151/100)-BC515</f>
        <v>3157.59052921386</v>
      </c>
      <c r="BG515" s="2" t="n">
        <f aca="false">MIN(AV515,BF515)</f>
        <v>1366.1856276156</v>
      </c>
      <c r="BH515" s="2" t="n">
        <f aca="false">IF(AC515&gt;Hypothèses!$J$26,MAX(0,BG515)/(1-Hypothèses!$J$26/AC515),0)</f>
        <v>2047.78307939636</v>
      </c>
    </row>
    <row r="516" customFormat="false" ht="15" hidden="false" customHeight="false" outlineLevel="0" collapsed="false">
      <c r="A516" s="2" t="n">
        <v>501</v>
      </c>
      <c r="B516" s="2" t="n">
        <v>0.109793987</v>
      </c>
      <c r="C516" s="2"/>
      <c r="D516" s="2" t="n">
        <v>0.643702485</v>
      </c>
      <c r="E516" s="2" t="n">
        <f aca="false">IF(E$7=E$5,E$6,IF(NORMSDIST(E$9*SQRT($C$11)*NORMSINV($B516)+SQRT(1-E$9^2*$C$11)*NORMSINV(D516))&lt;E$8,E$5+SQRT(NORMSDIST(E$9*SQRT($C$11)*NORMSINV($B516)+SQRT(1-E$9^2*$C$11)*NORMSINV(D516))*(E$7-E$5)*(E$6-E$5)),E$7-SQRT((1-NORMSDIST(E$9*SQRT($C$11)*NORMSINV($B516)+SQRT(1-E$9^2*$C$11)*NORMSINV(D516)))*(E$7-E$5)*(E$7-E$6))))</f>
        <v>0.0539476948578418</v>
      </c>
      <c r="F516" s="2" t="n">
        <v>0.842379939</v>
      </c>
      <c r="G516" s="2" t="n">
        <f aca="false">IF(G$7=G$5,G$6,IF(NORMSDIST(G$9*SQRT($C$11)*NORMSINV($B516)+SQRT(1-G$9^2*$C$11)*NORMSINV(F516))&lt;G$8,G$5+SQRT(NORMSDIST(G$9*SQRT($C$11)*NORMSINV($B516)+SQRT(1-G$9^2*$C$11)*NORMSINV(F516))*(G$7-G$5)*(G$6-G$5)),G$7-SQRT((1-NORMSDIST(G$9*SQRT($C$11)*NORMSINV($B516)+SQRT(1-G$9^2*$C$11)*NORMSINV(F516)))*(G$7-G$5)*(G$7-G$6))))</f>
        <v>0.0550089774759476</v>
      </c>
      <c r="H516" s="2" t="n">
        <v>0.166831944</v>
      </c>
      <c r="I516" s="2" t="n">
        <f aca="false">IF(I$7=I$5,I$6,IF(NORMSDIST(I$9*SQRT($C$11)*NORMSINV($B516)+SQRT(1-I$9^2*$C$11)*NORMSINV(H516))&lt;I$8,I$5+SQRT(NORMSDIST(I$9*SQRT($C$11)*NORMSINV($B516)+SQRT(1-I$9^2*$C$11)*NORMSINV(H516))*(I$7-I$5)*(I$6-I$5)),I$7-SQRT((1-NORMSDIST(I$9*SQRT($C$11)*NORMSINV($B516)+SQRT(1-I$9^2*$C$11)*NORMSINV(H516)))*(I$7-I$5)*(I$7-I$6))))</f>
        <v>187.132810735442</v>
      </c>
      <c r="J516" s="2" t="n">
        <v>0.960960101</v>
      </c>
      <c r="K516" s="2" t="n">
        <f aca="false">IF(K$7=K$5,K$6,IF(NORMSDIST(K$9*SQRT($C$11)*NORMSINV($B516)+SQRT(1-K$9^2*$C$11)*NORMSINV(J516))&lt;K$8,K$5+SQRT(NORMSDIST(K$9*SQRT($C$11)*NORMSINV($B516)+SQRT(1-K$9^2*$C$11)*NORMSINV(J516))*(K$7-K$5)*(K$6-K$5)),K$7-SQRT((1-NORMSDIST(K$9*SQRT($C$11)*NORMSINV($B516)+SQRT(1-K$9^2*$C$11)*NORMSINV(J516)))*(K$7-K$5)*(K$7-K$6))))</f>
        <v>0.313539255396799</v>
      </c>
      <c r="L516" s="2" t="n">
        <v>0.483910797</v>
      </c>
      <c r="M516" s="2" t="n">
        <f aca="false">IF(M$7=M$5,M$6,IF(NORMSDIST(M$9*SQRT($C$11)*NORMSINV($B516)+SQRT(1-M$9^2*$C$11)*NORMSINV(L516))&lt;M$8,M$5+SQRT(NORMSDIST(M$9*SQRT($C$11)*NORMSINV($B516)+SQRT(1-M$9^2*$C$11)*NORMSINV(L516))*(M$7-M$5)*(M$6-M$5)),M$7-SQRT((1-NORMSDIST(M$9*SQRT($C$11)*NORMSINV($B516)+SQRT(1-M$9^2*$C$11)*NORMSINV(L516)))*(M$7-M$5)*(M$7-M$6))))</f>
        <v>1485.89867830395</v>
      </c>
      <c r="N516" s="2" t="n">
        <v>0.424176571</v>
      </c>
      <c r="O516" s="2" t="n">
        <f aca="false">IF(O$7=O$5,O$6,IF(NORMSDIST(O$9*SQRT($C$11)*NORMSINV($B516)+SQRT(1-O$9^2*$C$11)*NORMSINV(N516))&lt;O$8,O$5+SQRT(NORMSDIST(O$9*SQRT($C$11)*NORMSINV($B516)+SQRT(1-O$9^2*$C$11)*NORMSINV(N516))*(O$7-O$5)*(O$6-O$5)),O$7-SQRT((1-NORMSDIST(O$9*SQRT($C$11)*NORMSINV($B516)+SQRT(1-O$9^2*$C$11)*NORMSINV(N516)))*(O$7-O$5)*(O$7-O$6))))</f>
        <v>0.155963359139481</v>
      </c>
      <c r="P516" s="2" t="n">
        <v>0.799258914</v>
      </c>
      <c r="Q516" s="2" t="n">
        <f aca="false">IF(Q$7=Q$5,Q$6,IF(NORMSDIST(Q$9*SQRT($C$11)*NORMSINV($B516)+SQRT(1-Q$9^2*$C$11)*NORMSINV(P516))&lt;Q$8,Q$5+SQRT(NORMSDIST(Q$9*SQRT($C$11)*NORMSINV($B516)+SQRT(1-Q$9^2*$C$11)*NORMSINV(P516))*(Q$7-Q$5)*(Q$6-Q$5)),Q$7-SQRT((1-NORMSDIST(Q$9*SQRT($C$11)*NORMSINV($B516)+SQRT(1-Q$9^2*$C$11)*NORMSINV(P516)))*(Q$7-Q$5)*(Q$7-Q$6))))</f>
        <v>0.094654951663096</v>
      </c>
      <c r="R516" s="2" t="n">
        <v>0.109123398</v>
      </c>
      <c r="S516" s="2" t="n">
        <f aca="false">IF(S$7=S$5,S$6,IF(NORMSDIST(S$9*SQRT($C$11)*NORMSINV($B516)+SQRT(1-S$9^2*$C$11)*NORMSINV(R516))&lt;S$8,S$5+SQRT(NORMSDIST(S$9*SQRT($C$11)*NORMSINV($B516)+SQRT(1-S$9^2*$C$11)*NORMSINV(R516))*(S$7-S$5)*(S$6-S$5)),S$7-SQRT((1-NORMSDIST(S$9*SQRT($C$11)*NORMSINV($B516)+SQRT(1-S$9^2*$C$11)*NORMSINV(R516)))*(S$7-S$5)*(S$7-S$6))))</f>
        <v>0.144578443772585</v>
      </c>
      <c r="T516" s="2" t="n">
        <v>0.033812085</v>
      </c>
      <c r="U516" s="2" t="n">
        <f aca="false">IF(U$7=U$5,U$6,IF(NORMSDIST(U$9*SQRT($C$11)*NORMSINV($B516)+SQRT(1-U$9^2*$C$11)*NORMSINV(T516))&lt;U$8,U$5+SQRT(NORMSDIST(U$9*SQRT($C$11)*NORMSINV($B516)+SQRT(1-U$9^2*$C$11)*NORMSINV(T516))*(U$7-U$5)*(U$6-U$5)),U$7-SQRT((1-NORMSDIST(U$9*SQRT($C$11)*NORMSINV($B516)+SQRT(1-U$9^2*$C$11)*NORMSINV(T516)))*(U$7-U$5)*(U$7-U$6))))</f>
        <v>0.0842315570684782</v>
      </c>
      <c r="V516" s="2" t="n">
        <v>0.538379044</v>
      </c>
      <c r="W516" s="2" t="n">
        <f aca="false">IF(W$7=W$5,W$6,IF(NORMSDIST(W$9*SQRT($C$11)*NORMSINV($B516)+SQRT(1-W$9^2*$C$11)*NORMSINV(V516))&lt;W$8,W$5+SQRT(NORMSDIST(W$9*SQRT($C$11)*NORMSINV($B516)+SQRT(1-W$9^2*$C$11)*NORMSINV(V516))*(W$7-W$5)*(W$6-W$5)),W$7-SQRT((1-NORMSDIST(W$9*SQRT($C$11)*NORMSINV($B516)+SQRT(1-W$9^2*$C$11)*NORMSINV(V516)))*(W$7-W$5)*(W$7-W$6))))</f>
        <v>9.38969545708797</v>
      </c>
      <c r="X516" s="2" t="n">
        <v>0.167390185</v>
      </c>
      <c r="Y516" s="2" t="n">
        <f aca="false">IF(Y$7=Y$5,Y$6,IF(NORMSDIST(Y$9*SQRT($C$11)*NORMSINV($B516)+SQRT(1-Y$9^2*$C$11)*NORMSINV(X516))&lt;Y$8,Y$5+SQRT(NORMSDIST(Y$9*SQRT($C$11)*NORMSINV($B516)+SQRT(1-Y$9^2*$C$11)*NORMSINV(X516))*(Y$7-Y$5)*(Y$6-Y$5)),Y$7-SQRT((1-NORMSDIST(Y$9*SQRT($C$11)*NORMSINV($B516)+SQRT(1-Y$9^2*$C$11)*NORMSINV(X516)))*(Y$7-Y$5)*(Y$7-Y$6))))</f>
        <v>0.289301041304728</v>
      </c>
      <c r="Z516" s="2" t="n">
        <v>0.869724978</v>
      </c>
      <c r="AA516" s="2" t="n">
        <f aca="false">IF(AA$7=AA$5,AA$6,IF(NORMSDIST(AA$9*SQRT($C$11)*NORMSINV($B516)+SQRT(1-AA$9^2*$C$11)*NORMSINV(Z516))&lt;AA$8,AA$5+SQRT(NORMSDIST(AA$9*SQRT($C$11)*NORMSINV($B516)+SQRT(1-AA$9^2*$C$11)*NORMSINV(Z516))*(AA$7-AA$5)*(AA$6-AA$5)),AA$7-SQRT((1-NORMSDIST(AA$9*SQRT($C$11)*NORMSINV($B516)+SQRT(1-AA$9^2*$C$11)*NORMSINV(Z516)))*(AA$7-AA$5)*(AA$7-AA$6))))</f>
        <v>0.729268395637007</v>
      </c>
      <c r="AB516" s="2" t="n">
        <v>0.739350245</v>
      </c>
      <c r="AC516" s="2" t="n">
        <f aca="false">IF(AC$7=AC$5,AC$6,IF(NORMSDIST(AC$9*SQRT($C$11)*NORMSINV($B516)+SQRT(1-AC$9^2*$C$11)*NORMSINV(AB516))&lt;AC$8,AC$5+SQRT(NORMSDIST(AC$9*SQRT($C$11)*NORMSINV($B516)+SQRT(1-AC$9^2*$C$11)*NORMSINV(AB516))*(AC$7-AC$5)*(AC$6-AC$5)),AC$7-SQRT((1-NORMSDIST(AC$9*SQRT($C$11)*NORMSINV($B516)+SQRT(1-AC$9^2*$C$11)*NORMSINV(AB516)))*(AC$7-AC$5)*(AC$7-AC$6))))</f>
        <v>9.23536142824381</v>
      </c>
      <c r="AD516" s="2" t="n">
        <f aca="false">Entrées!$C$8*(1+E516)</f>
        <v>7430.33124874779</v>
      </c>
      <c r="AE516" s="2" t="n">
        <f aca="false">I516*Hypothèses!$J$24/12/Hypothèses!$J$19</f>
        <v>92.8359884639917</v>
      </c>
      <c r="AF516" s="2" t="n">
        <f aca="false">Entrées!$C$36*S516*1000</f>
        <v>72.2892218862927</v>
      </c>
      <c r="AG516" s="2" t="n">
        <f aca="false">-AF516/W516</f>
        <v>-7.69878237442983</v>
      </c>
      <c r="AH516" s="2" t="n">
        <f aca="false">AD516+AE516+AG516</f>
        <v>7515.46845483735</v>
      </c>
      <c r="AI516" s="2" t="n">
        <f aca="false">Entrées!$C$16-M516+Hypothèses!$J$22*1000-AF516+Hypothèses!$J$23</f>
        <v>22989.8120998098</v>
      </c>
      <c r="AJ516" s="2" t="n">
        <f aca="false">AI516/AH516</f>
        <v>3.05899921448174</v>
      </c>
      <c r="AK516" s="2" t="n">
        <f aca="false">AI516/(AH516+I516*(12-Hypothèses!$J$24)/12/Hypothèses!$J$19)</f>
        <v>3.03224473386574</v>
      </c>
      <c r="AL516" s="2" t="n">
        <f aca="false">(AD516+AG516+I516/Hypothèses!$J$19)*(1+G516)</f>
        <v>7998.84583354952</v>
      </c>
      <c r="AM516" s="2" t="n">
        <f aca="false">Entrées!$C$54*K516/Hypothèses!$J$19</f>
        <v>31.9979974795047</v>
      </c>
      <c r="AN516" s="2" t="n">
        <f aca="false">Y516*1000/AC516</f>
        <v>31.3253621477099</v>
      </c>
      <c r="AO516" s="2" t="n">
        <f aca="false">(Entrées!$C$36*(1-S516)+MAX(0,Entrées!$C$30-Entrées!$C$35-Entrées!$C$36)*U516)*1000</f>
        <v>545.634958009577</v>
      </c>
      <c r="AP516" s="2" t="n">
        <f aca="false">-AO516/W516</f>
        <v>-58.1099739073747</v>
      </c>
      <c r="AQ516" s="2" t="n">
        <f aca="false">AL516+AM516+AN516+AP516</f>
        <v>8004.05921926936</v>
      </c>
      <c r="AR516" s="2" t="n">
        <f aca="false">O516*AQ516-Hypothèses!$J$25/Hypothèses!$J$19</f>
        <v>1229.20480032696</v>
      </c>
      <c r="AS516" s="2" t="n">
        <f aca="false">Entrées!$C$79*(1+Q516)+Hypothèses!$J$20</f>
        <v>1498.02579187774</v>
      </c>
      <c r="AT516" s="2" t="n">
        <f aca="false">AI516-AR516+AS516+Y516*1000-AO516+Hypothèses!$J$23</f>
        <v>23002.2991746557</v>
      </c>
      <c r="AU516" s="2" t="n">
        <f aca="false">AT516/AQ516</f>
        <v>2.87382920896922</v>
      </c>
      <c r="AV516" s="2" t="n">
        <f aca="false">Hypothèses!$J$26*AQ516-AT516</f>
        <v>1009.87848315239</v>
      </c>
      <c r="AW516" s="2" t="n">
        <f aca="false">IF(AC516&gt;Hypothèses!$J$26,MAX(0,AV516)/(1-Hypothèses!$J$26/AC516),0)</f>
        <v>1495.75816860801</v>
      </c>
      <c r="AX516" s="2" t="n">
        <f aca="false">AQ516-Entrées!$C$17*1000</f>
        <v>4.05921926936207</v>
      </c>
      <c r="AY516" s="2" t="n">
        <f aca="false">AI516+(Entrées!$C$244-Entrées!$C$13)</f>
        <v>28736.8120998098</v>
      </c>
      <c r="AZ516" s="2" t="n">
        <f aca="false">AA516*AH516</f>
        <v>5480.79362251977</v>
      </c>
      <c r="BA516" s="2" t="n">
        <f aca="false">AZ516/AY516</f>
        <v>0.190723786740285</v>
      </c>
      <c r="BB516" s="2" t="n">
        <f aca="false">AZ516/(Entrées!$C$151/100)-AY516</f>
        <v>1712.04135863341</v>
      </c>
      <c r="BC516" s="2" t="n">
        <f aca="false">AT516+(Entrées!$C$244-Entrées!$C$13)</f>
        <v>28749.2991746557</v>
      </c>
      <c r="BD516" s="2" t="n">
        <f aca="false">AA516*AQ516</f>
        <v>5837.10742542017</v>
      </c>
      <c r="BE516" s="2" t="n">
        <f aca="false">BD516/BC516</f>
        <v>0.203034772776859</v>
      </c>
      <c r="BF516" s="2" t="n">
        <f aca="false">BD516/(Entrées!$C$151/100)-BC516</f>
        <v>3679.07541101189</v>
      </c>
      <c r="BG516" s="2" t="n">
        <f aca="false">MIN(AV516,BF516)</f>
        <v>1009.87848315239</v>
      </c>
      <c r="BH516" s="2" t="n">
        <f aca="false">IF(AC516&gt;Hypothèses!$J$26,MAX(0,BG516)/(1-Hypothèses!$J$26/AC516),0)</f>
        <v>1495.75816860801</v>
      </c>
    </row>
    <row r="517" customFormat="false" ht="15" hidden="false" customHeight="false" outlineLevel="0" collapsed="false">
      <c r="A517" s="2" t="n">
        <v>502</v>
      </c>
      <c r="B517" s="2" t="n">
        <v>0.504574196</v>
      </c>
      <c r="C517" s="2"/>
      <c r="D517" s="2" t="n">
        <v>0.385935933</v>
      </c>
      <c r="E517" s="2" t="n">
        <f aca="false">IF(E$7=E$5,E$6,IF(NORMSDIST(E$9*SQRT($C$11)*NORMSINV($B517)+SQRT(1-E$9^2*$C$11)*NORMSINV(D517))&lt;E$8,E$5+SQRT(NORMSDIST(E$9*SQRT($C$11)*NORMSINV($B517)+SQRT(1-E$9^2*$C$11)*NORMSINV(D517))*(E$7-E$5)*(E$6-E$5)),E$7-SQRT((1-NORMSDIST(E$9*SQRT($C$11)*NORMSINV($B517)+SQRT(1-E$9^2*$C$11)*NORMSINV(D517)))*(E$7-E$5)*(E$7-E$6))))</f>
        <v>0.0545496019724052</v>
      </c>
      <c r="F517" s="2" t="n">
        <v>0.966332484</v>
      </c>
      <c r="G517" s="2" t="n">
        <f aca="false">IF(G$7=G$5,G$6,IF(NORMSDIST(G$9*SQRT($C$11)*NORMSINV($B517)+SQRT(1-G$9^2*$C$11)*NORMSINV(F517))&lt;G$8,G$5+SQRT(NORMSDIST(G$9*SQRT($C$11)*NORMSINV($B517)+SQRT(1-G$9^2*$C$11)*NORMSINV(F517))*(G$7-G$5)*(G$6-G$5)),G$7-SQRT((1-NORMSDIST(G$9*SQRT($C$11)*NORMSINV($B517)+SQRT(1-G$9^2*$C$11)*NORMSINV(F517)))*(G$7-G$5)*(G$7-G$6))))</f>
        <v>0.064106833120875</v>
      </c>
      <c r="H517" s="2" t="n">
        <v>0.416457365</v>
      </c>
      <c r="I517" s="2" t="n">
        <f aca="false">IF(I$7=I$5,I$6,IF(NORMSDIST(I$9*SQRT($C$11)*NORMSINV($B517)+SQRT(1-I$9^2*$C$11)*NORMSINV(H517))&lt;I$8,I$5+SQRT(NORMSDIST(I$9*SQRT($C$11)*NORMSINV($B517)+SQRT(1-I$9^2*$C$11)*NORMSINV(H517))*(I$7-I$5)*(I$6-I$5)),I$7-SQRT((1-NORMSDIST(I$9*SQRT($C$11)*NORMSINV($B517)+SQRT(1-I$9^2*$C$11)*NORMSINV(H517)))*(I$7-I$5)*(I$7-I$6))))</f>
        <v>198.717972347591</v>
      </c>
      <c r="J517" s="2" t="n">
        <v>0.947251107</v>
      </c>
      <c r="K517" s="2" t="n">
        <f aca="false">IF(K$7=K$5,K$6,IF(NORMSDIST(K$9*SQRT($C$11)*NORMSINV($B517)+SQRT(1-K$9^2*$C$11)*NORMSINV(J517))&lt;K$8,K$5+SQRT(NORMSDIST(K$9*SQRT($C$11)*NORMSINV($B517)+SQRT(1-K$9^2*$C$11)*NORMSINV(J517))*(K$7-K$5)*(K$6-K$5)),K$7-SQRT((1-NORMSDIST(K$9*SQRT($C$11)*NORMSINV($B517)+SQRT(1-K$9^2*$C$11)*NORMSINV(J517)))*(K$7-K$5)*(K$7-K$6))))</f>
        <v>0.386186084808072</v>
      </c>
      <c r="L517" s="2" t="n">
        <v>0.908553085</v>
      </c>
      <c r="M517" s="2" t="n">
        <f aca="false">IF(M$7=M$5,M$6,IF(NORMSDIST(M$9*SQRT($C$11)*NORMSINV($B517)+SQRT(1-M$9^2*$C$11)*NORMSINV(L517))&lt;M$8,M$5+SQRT(NORMSDIST(M$9*SQRT($C$11)*NORMSINV($B517)+SQRT(1-M$9^2*$C$11)*NORMSINV(L517))*(M$7-M$5)*(M$6-M$5)),M$7-SQRT((1-NORMSDIST(M$9*SQRT($C$11)*NORMSINV($B517)+SQRT(1-M$9^2*$C$11)*NORMSINV(L517)))*(M$7-M$5)*(M$7-M$6))))</f>
        <v>1682.83576957346</v>
      </c>
      <c r="N517" s="2" t="n">
        <v>0.80613539</v>
      </c>
      <c r="O517" s="2" t="n">
        <f aca="false">IF(O$7=O$5,O$6,IF(NORMSDIST(O$9*SQRT($C$11)*NORMSINV($B517)+SQRT(1-O$9^2*$C$11)*NORMSINV(N517))&lt;O$8,O$5+SQRT(NORMSDIST(O$9*SQRT($C$11)*NORMSINV($B517)+SQRT(1-O$9^2*$C$11)*NORMSINV(N517))*(O$7-O$5)*(O$6-O$5)),O$7-SQRT((1-NORMSDIST(O$9*SQRT($C$11)*NORMSINV($B517)+SQRT(1-O$9^2*$C$11)*NORMSINV(N517)))*(O$7-O$5)*(O$7-O$6))))</f>
        <v>0.173700254512792</v>
      </c>
      <c r="P517" s="2" t="n">
        <v>0.638550117</v>
      </c>
      <c r="Q517" s="2" t="n">
        <f aca="false">IF(Q$7=Q$5,Q$6,IF(NORMSDIST(Q$9*SQRT($C$11)*NORMSINV($B517)+SQRT(1-Q$9^2*$C$11)*NORMSINV(P517))&lt;Q$8,Q$5+SQRT(NORMSDIST(Q$9*SQRT($C$11)*NORMSINV($B517)+SQRT(1-Q$9^2*$C$11)*NORMSINV(P517))*(Q$7-Q$5)*(Q$6-Q$5)),Q$7-SQRT((1-NORMSDIST(Q$9*SQRT($C$11)*NORMSINV($B517)+SQRT(1-Q$9^2*$C$11)*NORMSINV(P517)))*(Q$7-Q$5)*(Q$7-Q$6))))</f>
        <v>0.0859905950419594</v>
      </c>
      <c r="R517" s="2" t="n">
        <v>0.386267274</v>
      </c>
      <c r="S517" s="2" t="n">
        <f aca="false">IF(S$7=S$5,S$6,IF(NORMSDIST(S$9*SQRT($C$11)*NORMSINV($B517)+SQRT(1-S$9^2*$C$11)*NORMSINV(R517))&lt;S$8,S$5+SQRT(NORMSDIST(S$9*SQRT($C$11)*NORMSINV($B517)+SQRT(1-S$9^2*$C$11)*NORMSINV(R517))*(S$7-S$5)*(S$6-S$5)),S$7-SQRT((1-NORMSDIST(S$9*SQRT($C$11)*NORMSINV($B517)+SQRT(1-S$9^2*$C$11)*NORMSINV(R517)))*(S$7-S$5)*(S$7-S$6))))</f>
        <v>0.455103819929331</v>
      </c>
      <c r="T517" s="2" t="n">
        <v>0.42791816</v>
      </c>
      <c r="U517" s="2" t="n">
        <f aca="false">IF(U$7=U$5,U$6,IF(NORMSDIST(U$9*SQRT($C$11)*NORMSINV($B517)+SQRT(1-U$9^2*$C$11)*NORMSINV(T517))&lt;U$8,U$5+SQRT(NORMSDIST(U$9*SQRT($C$11)*NORMSINV($B517)+SQRT(1-U$9^2*$C$11)*NORMSINV(T517))*(U$7-U$5)*(U$6-U$5)),U$7-SQRT((1-NORMSDIST(U$9*SQRT($C$11)*NORMSINV($B517)+SQRT(1-U$9^2*$C$11)*NORMSINV(T517)))*(U$7-U$5)*(U$7-U$6))))</f>
        <v>0.472709771110773</v>
      </c>
      <c r="V517" s="2" t="n">
        <v>0.204661829</v>
      </c>
      <c r="W517" s="2" t="n">
        <f aca="false">IF(W$7=W$5,W$6,IF(NORMSDIST(W$9*SQRT($C$11)*NORMSINV($B517)+SQRT(1-W$9^2*$C$11)*NORMSINV(V517))&lt;W$8,W$5+SQRT(NORMSDIST(W$9*SQRT($C$11)*NORMSINV($B517)+SQRT(1-W$9^2*$C$11)*NORMSINV(V517))*(W$7-W$5)*(W$6-W$5)),W$7-SQRT((1-NORMSDIST(W$9*SQRT($C$11)*NORMSINV($B517)+SQRT(1-W$9^2*$C$11)*NORMSINV(V517)))*(W$7-W$5)*(W$7-W$6))))</f>
        <v>9.4525578213205</v>
      </c>
      <c r="X517" s="2" t="n">
        <v>0.131360421</v>
      </c>
      <c r="Y517" s="2" t="n">
        <f aca="false">IF(Y$7=Y$5,Y$6,IF(NORMSDIST(Y$9*SQRT($C$11)*NORMSINV($B517)+SQRT(1-Y$9^2*$C$11)*NORMSINV(X517))&lt;Y$8,Y$5+SQRT(NORMSDIST(Y$9*SQRT($C$11)*NORMSINV($B517)+SQRT(1-Y$9^2*$C$11)*NORMSINV(X517))*(Y$7-Y$5)*(Y$6-Y$5)),Y$7-SQRT((1-NORMSDIST(Y$9*SQRT($C$11)*NORMSINV($B517)+SQRT(1-Y$9^2*$C$11)*NORMSINV(X517)))*(Y$7-Y$5)*(Y$7-Y$6))))</f>
        <v>0.256281506355804</v>
      </c>
      <c r="Z517" s="2" t="n">
        <v>0.106977273</v>
      </c>
      <c r="AA517" s="2" t="n">
        <f aca="false">IF(AA$7=AA$5,AA$6,IF(NORMSDIST(AA$9*SQRT($C$11)*NORMSINV($B517)+SQRT(1-AA$9^2*$C$11)*NORMSINV(Z517))&lt;AA$8,AA$5+SQRT(NORMSDIST(AA$9*SQRT($C$11)*NORMSINV($B517)+SQRT(1-AA$9^2*$C$11)*NORMSINV(Z517))*(AA$7-AA$5)*(AA$6-AA$5)),AA$7-SQRT((1-NORMSDIST(AA$9*SQRT($C$11)*NORMSINV($B517)+SQRT(1-AA$9^2*$C$11)*NORMSINV(Z517)))*(AA$7-AA$5)*(AA$7-AA$6))))</f>
        <v>0.714387763790865</v>
      </c>
      <c r="AB517" s="2" t="n">
        <v>0.326190235</v>
      </c>
      <c r="AC517" s="2" t="n">
        <f aca="false">IF(AC$7=AC$5,AC$6,IF(NORMSDIST(AC$9*SQRT($C$11)*NORMSINV($B517)+SQRT(1-AC$9^2*$C$11)*NORMSINV(AB517))&lt;AC$8,AC$5+SQRT(NORMSDIST(AC$9*SQRT($C$11)*NORMSINV($B517)+SQRT(1-AC$9^2*$C$11)*NORMSINV(AB517))*(AC$7-AC$5)*(AC$6-AC$5)),AC$7-SQRT((1-NORMSDIST(AC$9*SQRT($C$11)*NORMSINV($B517)+SQRT(1-AC$9^2*$C$11)*NORMSINV(AB517)))*(AC$7-AC$5)*(AC$7-AC$6))))</f>
        <v>9.17899543075952</v>
      </c>
      <c r="AD517" s="2" t="n">
        <f aca="false">Entrées!$C$8*(1+E517)</f>
        <v>7434.57469390546</v>
      </c>
      <c r="AE517" s="2" t="n">
        <f aca="false">I517*Hypothèses!$J$24/12/Hypothèses!$J$19</f>
        <v>98.5833500600265</v>
      </c>
      <c r="AF517" s="2" t="n">
        <f aca="false">Entrées!$C$36*S517*1000</f>
        <v>227.551909964665</v>
      </c>
      <c r="AG517" s="2" t="n">
        <f aca="false">-AF517/W517</f>
        <v>-24.0730513651465</v>
      </c>
      <c r="AH517" s="2" t="n">
        <f aca="false">AD517+AE517+AG517</f>
        <v>7509.08499260034</v>
      </c>
      <c r="AI517" s="2" t="n">
        <f aca="false">Entrées!$C$16-M517+Hypothèses!$J$22*1000-AF517+Hypothèses!$J$23</f>
        <v>22637.6123204619</v>
      </c>
      <c r="AJ517" s="2" t="n">
        <f aca="false">AI517/AH517</f>
        <v>3.01469650999684</v>
      </c>
      <c r="AK517" s="2" t="n">
        <f aca="false">AI517/(AH517+I517*(12-Hypothèses!$J$24)/12/Hypothèses!$J$19)</f>
        <v>2.9866887431973</v>
      </c>
      <c r="AL517" s="2" t="n">
        <f aca="false">(AD517+AG517+I517/Hypothèses!$J$19)*(1+G517)</f>
        <v>8065.39951999059</v>
      </c>
      <c r="AM517" s="2" t="n">
        <f aca="false">Entrées!$C$54*K517/Hypothèses!$J$19</f>
        <v>39.4119114452507</v>
      </c>
      <c r="AN517" s="2" t="n">
        <f aca="false">Y517*1000/AC517</f>
        <v>27.9204307583578</v>
      </c>
      <c r="AO517" s="2" t="n">
        <f aca="false">(Entrées!$C$36*(1-S517)+MAX(0,Entrées!$C$30-Entrées!$C$35-Entrées!$C$36)*U517)*1000</f>
        <v>934.241769590417</v>
      </c>
      <c r="AP517" s="2" t="n">
        <f aca="false">-AO517/W517</f>
        <v>-98.8348114076816</v>
      </c>
      <c r="AQ517" s="2" t="n">
        <f aca="false">AL517+AM517+AN517+AP517</f>
        <v>8033.89705078652</v>
      </c>
      <c r="AR517" s="2" t="n">
        <f aca="false">O517*AQ517-Hypothèses!$J$25/Hypothèses!$J$19</f>
        <v>1376.35480018956</v>
      </c>
      <c r="AS517" s="2" t="n">
        <f aca="false">Entrées!$C$79*(1+Q517)+Hypothèses!$J$20</f>
        <v>1488.50366395111</v>
      </c>
      <c r="AT517" s="2" t="n">
        <f aca="false">AI517-AR517+AS517+Y517*1000-AO517+Hypothèses!$J$23</f>
        <v>22071.8009209888</v>
      </c>
      <c r="AU517" s="2" t="n">
        <f aca="false">AT517/AQ517</f>
        <v>2.74733429884168</v>
      </c>
      <c r="AV517" s="2" t="n">
        <f aca="false">Hypothèses!$J$26*AQ517-AT517</f>
        <v>2029.89023137074</v>
      </c>
      <c r="AW517" s="2" t="n">
        <f aca="false">IF(AC517&gt;Hypothèses!$J$26,MAX(0,AV517)/(1-Hypothèses!$J$26/AC517),0)</f>
        <v>3015.43404061154</v>
      </c>
      <c r="AX517" s="2" t="n">
        <f aca="false">AQ517-Entrées!$C$17*1000</f>
        <v>33.8970507865179</v>
      </c>
      <c r="AY517" s="2" t="n">
        <f aca="false">AI517+(Entrées!$C$244-Entrées!$C$13)</f>
        <v>28384.6123204619</v>
      </c>
      <c r="AZ517" s="2" t="n">
        <f aca="false">AA517*AH517</f>
        <v>5364.3984359793</v>
      </c>
      <c r="BA517" s="2" t="n">
        <f aca="false">AZ517/AY517</f>
        <v>0.188989667197682</v>
      </c>
      <c r="BB517" s="2" t="n">
        <f aca="false">AZ517/(Entrées!$C$151/100)-AY517</f>
        <v>1417.60121275646</v>
      </c>
      <c r="BC517" s="2" t="n">
        <f aca="false">AT517+(Entrées!$C$244-Entrées!$C$13)</f>
        <v>27818.8009209888</v>
      </c>
      <c r="BD517" s="2" t="n">
        <f aca="false">AA517*AQ517</f>
        <v>5739.31774863741</v>
      </c>
      <c r="BE517" s="2" t="n">
        <f aca="false">BD517/BC517</f>
        <v>0.206310752391459</v>
      </c>
      <c r="BF517" s="2" t="n">
        <f aca="false">BD517/(Entrées!$C$151/100)-BC517</f>
        <v>4066.29768255234</v>
      </c>
      <c r="BG517" s="2" t="n">
        <f aca="false">MIN(AV517,BF517)</f>
        <v>2029.89023137074</v>
      </c>
      <c r="BH517" s="2" t="n">
        <f aca="false">IF(AC517&gt;Hypothèses!$J$26,MAX(0,BG517)/(1-Hypothèses!$J$26/AC517),0)</f>
        <v>3015.43404061154</v>
      </c>
    </row>
    <row r="518" customFormat="false" ht="15" hidden="false" customHeight="false" outlineLevel="0" collapsed="false">
      <c r="A518" s="2" t="n">
        <v>503</v>
      </c>
      <c r="B518" s="2" t="n">
        <v>0.46330239</v>
      </c>
      <c r="C518" s="2"/>
      <c r="D518" s="2" t="n">
        <v>0.412033839</v>
      </c>
      <c r="E518" s="2" t="n">
        <f aca="false">IF(E$7=E$5,E$6,IF(NORMSDIST(E$9*SQRT($C$11)*NORMSINV($B518)+SQRT(1-E$9^2*$C$11)*NORMSINV(D518))&lt;E$8,E$5+SQRT(NORMSDIST(E$9*SQRT($C$11)*NORMSINV($B518)+SQRT(1-E$9^2*$C$11)*NORMSINV(D518))*(E$7-E$5)*(E$6-E$5)),E$7-SQRT((1-NORMSDIST(E$9*SQRT($C$11)*NORMSINV($B518)+SQRT(1-E$9^2*$C$11)*NORMSINV(D518)))*(E$7-E$5)*(E$7-E$6))))</f>
        <v>0.0545214212167147</v>
      </c>
      <c r="F518" s="2" t="n">
        <v>0.653424964</v>
      </c>
      <c r="G518" s="2" t="n">
        <f aca="false">IF(G$7=G$5,G$6,IF(NORMSDIST(G$9*SQRT($C$11)*NORMSINV($B518)+SQRT(1-G$9^2*$C$11)*NORMSINV(F518))&lt;G$8,G$5+SQRT(NORMSDIST(G$9*SQRT($C$11)*NORMSINV($B518)+SQRT(1-G$9^2*$C$11)*NORMSINV(F518))*(G$7-G$5)*(G$6-G$5)),G$7-SQRT((1-NORMSDIST(G$9*SQRT($C$11)*NORMSINV($B518)+SQRT(1-G$9^2*$C$11)*NORMSINV(F518)))*(G$7-G$5)*(G$7-G$6))))</f>
        <v>0.0565449773118494</v>
      </c>
      <c r="H518" s="2" t="n">
        <v>0.641602873</v>
      </c>
      <c r="I518" s="2" t="n">
        <f aca="false">IF(I$7=I$5,I$6,IF(NORMSDIST(I$9*SQRT($C$11)*NORMSINV($B518)+SQRT(1-I$9^2*$C$11)*NORMSINV(H518))&lt;I$8,I$5+SQRT(NORMSDIST(I$9*SQRT($C$11)*NORMSINV($B518)+SQRT(1-I$9^2*$C$11)*NORMSINV(H518))*(I$7-I$5)*(I$6-I$5)),I$7-SQRT((1-NORMSDIST(I$9*SQRT($C$11)*NORMSINV($B518)+SQRT(1-I$9^2*$C$11)*NORMSINV(H518)))*(I$7-I$5)*(I$7-I$6))))</f>
        <v>201.847845226162</v>
      </c>
      <c r="J518" s="2" t="n">
        <v>0.199247764</v>
      </c>
      <c r="K518" s="2" t="n">
        <f aca="false">IF(K$7=K$5,K$6,IF(NORMSDIST(K$9*SQRT($C$11)*NORMSINV($B518)+SQRT(1-K$9^2*$C$11)*NORMSINV(J518))&lt;K$8,K$5+SQRT(NORMSDIST(K$9*SQRT($C$11)*NORMSINV($B518)+SQRT(1-K$9^2*$C$11)*NORMSINV(J518))*(K$7-K$5)*(K$6-K$5)),K$7-SQRT((1-NORMSDIST(K$9*SQRT($C$11)*NORMSINV($B518)+SQRT(1-K$9^2*$C$11)*NORMSINV(J518)))*(K$7-K$5)*(K$7-K$6))))</f>
        <v>0.172536825544279</v>
      </c>
      <c r="L518" s="2" t="n">
        <v>0.334147743</v>
      </c>
      <c r="M518" s="2" t="n">
        <f aca="false">IF(M$7=M$5,M$6,IF(NORMSDIST(M$9*SQRT($C$11)*NORMSINV($B518)+SQRT(1-M$9^2*$C$11)*NORMSINV(L518))&lt;M$8,M$5+SQRT(NORMSDIST(M$9*SQRT($C$11)*NORMSINV($B518)+SQRT(1-M$9^2*$C$11)*NORMSINV(L518))*(M$7-M$5)*(M$6-M$5)),M$7-SQRT((1-NORMSDIST(M$9*SQRT($C$11)*NORMSINV($B518)+SQRT(1-M$9^2*$C$11)*NORMSINV(L518)))*(M$7-M$5)*(M$7-M$6))))</f>
        <v>1538.65906342052</v>
      </c>
      <c r="N518" s="2" t="n">
        <v>0.945019163</v>
      </c>
      <c r="O518" s="2" t="n">
        <f aca="false">IF(O$7=O$5,O$6,IF(NORMSDIST(O$9*SQRT($C$11)*NORMSINV($B518)+SQRT(1-O$9^2*$C$11)*NORMSINV(N518))&lt;O$8,O$5+SQRT(NORMSDIST(O$9*SQRT($C$11)*NORMSINV($B518)+SQRT(1-O$9^2*$C$11)*NORMSINV(N518))*(O$7-O$5)*(O$6-O$5)),O$7-SQRT((1-NORMSDIST(O$9*SQRT($C$11)*NORMSINV($B518)+SQRT(1-O$9^2*$C$11)*NORMSINV(N518)))*(O$7-O$5)*(O$7-O$6))))</f>
        <v>0.178739755736751</v>
      </c>
      <c r="P518" s="2" t="n">
        <v>0.787272594</v>
      </c>
      <c r="Q518" s="2" t="n">
        <f aca="false">IF(Q$7=Q$5,Q$6,IF(NORMSDIST(Q$9*SQRT($C$11)*NORMSINV($B518)+SQRT(1-Q$9^2*$C$11)*NORMSINV(P518))&lt;Q$8,Q$5+SQRT(NORMSDIST(Q$9*SQRT($C$11)*NORMSINV($B518)+SQRT(1-Q$9^2*$C$11)*NORMSINV(P518))*(Q$7-Q$5)*(Q$6-Q$5)),Q$7-SQRT((1-NORMSDIST(Q$9*SQRT($C$11)*NORMSINV($B518)+SQRT(1-Q$9^2*$C$11)*NORMSINV(P518)))*(Q$7-Q$5)*(Q$7-Q$6))))</f>
        <v>0.0939092411149081</v>
      </c>
      <c r="R518" s="2" t="n">
        <v>0.269253777</v>
      </c>
      <c r="S518" s="2" t="n">
        <f aca="false">IF(S$7=S$5,S$6,IF(NORMSDIST(S$9*SQRT($C$11)*NORMSINV($B518)+SQRT(1-S$9^2*$C$11)*NORMSINV(R518))&lt;S$8,S$5+SQRT(NORMSDIST(S$9*SQRT($C$11)*NORMSINV($B518)+SQRT(1-S$9^2*$C$11)*NORMSINV(R518))*(S$7-S$5)*(S$6-S$5)),S$7-SQRT((1-NORMSDIST(S$9*SQRT($C$11)*NORMSINV($B518)+SQRT(1-S$9^2*$C$11)*NORMSINV(R518)))*(S$7-S$5)*(S$7-S$6))))</f>
        <v>0.384987844888308</v>
      </c>
      <c r="T518" s="2" t="n">
        <v>0.545871048</v>
      </c>
      <c r="U518" s="2" t="n">
        <f aca="false">IF(U$7=U$5,U$6,IF(NORMSDIST(U$9*SQRT($C$11)*NORMSINV($B518)+SQRT(1-U$9^2*$C$11)*NORMSINV(T518))&lt;U$8,U$5+SQRT(NORMSDIST(U$9*SQRT($C$11)*NORMSINV($B518)+SQRT(1-U$9^2*$C$11)*NORMSINV(T518))*(U$7-U$5)*(U$6-U$5)),U$7-SQRT((1-NORMSDIST(U$9*SQRT($C$11)*NORMSINV($B518)+SQRT(1-U$9^2*$C$11)*NORMSINV(T518)))*(U$7-U$5)*(U$7-U$6))))</f>
        <v>0.506221609099914</v>
      </c>
      <c r="V518" s="2" t="n">
        <v>0.822741707</v>
      </c>
      <c r="W518" s="2" t="n">
        <f aca="false">IF(W$7=W$5,W$6,IF(NORMSDIST(W$9*SQRT($C$11)*NORMSINV($B518)+SQRT(1-W$9^2*$C$11)*NORMSINV(V518))&lt;W$8,W$5+SQRT(NORMSDIST(W$9*SQRT($C$11)*NORMSINV($B518)+SQRT(1-W$9^2*$C$11)*NORMSINV(V518))*(W$7-W$5)*(W$6-W$5)),W$7-SQRT((1-NORMSDIST(W$9*SQRT($C$11)*NORMSINV($B518)+SQRT(1-W$9^2*$C$11)*NORMSINV(V518)))*(W$7-W$5)*(W$7-W$6))))</f>
        <v>10.5717803621119</v>
      </c>
      <c r="X518" s="2" t="n">
        <v>0.750146764</v>
      </c>
      <c r="Y518" s="2" t="n">
        <f aca="false">IF(Y$7=Y$5,Y$6,IF(NORMSDIST(Y$9*SQRT($C$11)*NORMSINV($B518)+SQRT(1-Y$9^2*$C$11)*NORMSINV(X518))&lt;Y$8,Y$5+SQRT(NORMSDIST(Y$9*SQRT($C$11)*NORMSINV($B518)+SQRT(1-Y$9^2*$C$11)*NORMSINV(X518))*(Y$7-Y$5)*(Y$6-Y$5)),Y$7-SQRT((1-NORMSDIST(Y$9*SQRT($C$11)*NORMSINV($B518)+SQRT(1-Y$9^2*$C$11)*NORMSINV(X518)))*(Y$7-Y$5)*(Y$7-Y$6))))</f>
        <v>0.646550402461681</v>
      </c>
      <c r="Z518" s="2" t="n">
        <v>0.028006002</v>
      </c>
      <c r="AA518" s="2" t="n">
        <f aca="false">IF(AA$7=AA$5,AA$6,IF(NORMSDIST(AA$9*SQRT($C$11)*NORMSINV($B518)+SQRT(1-AA$9^2*$C$11)*NORMSINV(Z518))&lt;AA$8,AA$5+SQRT(NORMSDIST(AA$9*SQRT($C$11)*NORMSINV($B518)+SQRT(1-AA$9^2*$C$11)*NORMSINV(Z518))*(AA$7-AA$5)*(AA$6-AA$5)),AA$7-SQRT((1-NORMSDIST(AA$9*SQRT($C$11)*NORMSINV($B518)+SQRT(1-AA$9^2*$C$11)*NORMSINV(Z518)))*(AA$7-AA$5)*(AA$7-AA$6))))</f>
        <v>0.706842280251616</v>
      </c>
      <c r="AB518" s="2" t="n">
        <v>0.717933278</v>
      </c>
      <c r="AC518" s="2" t="n">
        <f aca="false">IF(AC$7=AC$5,AC$6,IF(NORMSDIST(AC$9*SQRT($C$11)*NORMSINV($B518)+SQRT(1-AC$9^2*$C$11)*NORMSINV(AB518))&lt;AC$8,AC$5+SQRT(NORMSDIST(AC$9*SQRT($C$11)*NORMSINV($B518)+SQRT(1-AC$9^2*$C$11)*NORMSINV(AB518))*(AC$7-AC$5)*(AC$6-AC$5)),AC$7-SQRT((1-NORMSDIST(AC$9*SQRT($C$11)*NORMSINV($B518)+SQRT(1-AC$9^2*$C$11)*NORMSINV(AB518)))*(AC$7-AC$5)*(AC$7-AC$6))))</f>
        <v>9.77192754469364</v>
      </c>
      <c r="AD518" s="2" t="n">
        <f aca="false">Entrées!$C$8*(1+E518)</f>
        <v>7434.37601957784</v>
      </c>
      <c r="AE518" s="2" t="n">
        <f aca="false">I518*Hypothèses!$J$24/12/Hypothèses!$J$19</f>
        <v>100.136069977538</v>
      </c>
      <c r="AF518" s="2" t="n">
        <f aca="false">Entrées!$C$36*S518*1000</f>
        <v>192.493922444154</v>
      </c>
      <c r="AG518" s="2" t="n">
        <f aca="false">-AF518/W518</f>
        <v>-18.2082786295893</v>
      </c>
      <c r="AH518" s="2" t="n">
        <f aca="false">AD518+AE518+AG518</f>
        <v>7516.30381092579</v>
      </c>
      <c r="AI518" s="2" t="n">
        <f aca="false">Entrées!$C$16-M518+Hypothèses!$J$22*1000-AF518+Hypothèses!$J$23</f>
        <v>22816.8470141353</v>
      </c>
      <c r="AJ518" s="2" t="n">
        <f aca="false">AI518/AH518</f>
        <v>3.03564725270531</v>
      </c>
      <c r="AK518" s="2" t="n">
        <f aca="false">AI518/(AH518+I518*(12-Hypothèses!$J$24)/12/Hypothèses!$J$19)</f>
        <v>3.00703208842795</v>
      </c>
      <c r="AL518" s="2" t="n">
        <f aca="false">(AD518+AG518+I518/Hypothèses!$J$19)*(1+G518)</f>
        <v>8016.88322637106</v>
      </c>
      <c r="AM518" s="2" t="n">
        <f aca="false">Entrées!$C$54*K518/Hypothèses!$J$19</f>
        <v>17.60810748211</v>
      </c>
      <c r="AN518" s="2" t="n">
        <f aca="false">Y518*1000/AC518</f>
        <v>66.1640602127439</v>
      </c>
      <c r="AO518" s="2" t="n">
        <f aca="false">(Entrées!$C$36*(1-S518)+MAX(0,Entrées!$C$30-Entrées!$C$35-Entrées!$C$36)*U518)*1000</f>
        <v>1016.21633029573</v>
      </c>
      <c r="AP518" s="2" t="n">
        <f aca="false">-AO518/W518</f>
        <v>-96.125372972913</v>
      </c>
      <c r="AQ518" s="2" t="n">
        <f aca="false">AL518+AM518+AN518+AP518</f>
        <v>8004.530021093</v>
      </c>
      <c r="AR518" s="2" t="n">
        <f aca="false">O518*AQ518-Hypothèses!$J$25/Hypothèses!$J$19</f>
        <v>1411.59257849603</v>
      </c>
      <c r="AS518" s="2" t="n">
        <f aca="false">Entrées!$C$79*(1+Q518)+Hypothèses!$J$20</f>
        <v>1497.20625598528</v>
      </c>
      <c r="AT518" s="2" t="n">
        <f aca="false">AI518-AR518+AS518+Y518*1000-AO518+Hypothèses!$J$23</f>
        <v>22532.7947637905</v>
      </c>
      <c r="AU518" s="2" t="n">
        <f aca="false">AT518/AQ518</f>
        <v>2.8150053412772</v>
      </c>
      <c r="AV518" s="2" t="n">
        <f aca="false">Hypothèses!$J$26*AQ518-AT518</f>
        <v>1480.79529948848</v>
      </c>
      <c r="AW518" s="2" t="n">
        <f aca="false">IF(AC518&gt;Hypothèses!$J$26,MAX(0,AV518)/(1-Hypothèses!$J$26/AC518),0)</f>
        <v>2136.7955105283</v>
      </c>
      <c r="AX518" s="2" t="n">
        <f aca="false">AQ518-Entrées!$C$17*1000</f>
        <v>4.53002109300451</v>
      </c>
      <c r="AY518" s="2" t="n">
        <f aca="false">AI518+(Entrées!$C$244-Entrées!$C$13)</f>
        <v>28563.8470141353</v>
      </c>
      <c r="AZ518" s="2" t="n">
        <f aca="false">AA518*AH518</f>
        <v>5312.8413247787</v>
      </c>
      <c r="BA518" s="2" t="n">
        <f aca="false">AZ518/AY518</f>
        <v>0.185998801987335</v>
      </c>
      <c r="BB518" s="2" t="n">
        <f aca="false">AZ518/(Entrées!$C$151/100)-AY518</f>
        <v>951.938123524098</v>
      </c>
      <c r="BC518" s="2" t="n">
        <f aca="false">AT518+(Entrées!$C$244-Entrées!$C$13)</f>
        <v>28279.7947637905</v>
      </c>
      <c r="BD518" s="2" t="n">
        <f aca="false">AA518*AQ518</f>
        <v>5657.9402524519</v>
      </c>
      <c r="BE518" s="2" t="n">
        <f aca="false">BD518/BC518</f>
        <v>0.200070060610777</v>
      </c>
      <c r="BF518" s="2" t="n">
        <f aca="false">BD518/(Entrées!$C$151/100)-BC518</f>
        <v>3153.20663872</v>
      </c>
      <c r="BG518" s="2" t="n">
        <f aca="false">MIN(AV518,BF518)</f>
        <v>1480.79529948848</v>
      </c>
      <c r="BH518" s="2" t="n">
        <f aca="false">IF(AC518&gt;Hypothèses!$J$26,MAX(0,BG518)/(1-Hypothèses!$J$26/AC518),0)</f>
        <v>2136.7955105283</v>
      </c>
    </row>
    <row r="519" customFormat="false" ht="15" hidden="false" customHeight="false" outlineLevel="0" collapsed="false">
      <c r="A519" s="2" t="n">
        <v>504</v>
      </c>
      <c r="B519" s="2" t="n">
        <v>0.145824225</v>
      </c>
      <c r="C519" s="2"/>
      <c r="D519" s="2" t="n">
        <v>0.6040644</v>
      </c>
      <c r="E519" s="2" t="n">
        <f aca="false">IF(E$7=E$5,E$6,IF(NORMSDIST(E$9*SQRT($C$11)*NORMSINV($B519)+SQRT(1-E$9^2*$C$11)*NORMSINV(D519))&lt;E$8,E$5+SQRT(NORMSDIST(E$9*SQRT($C$11)*NORMSINV($B519)+SQRT(1-E$9^2*$C$11)*NORMSINV(D519))*(E$7-E$5)*(E$6-E$5)),E$7-SQRT((1-NORMSDIST(E$9*SQRT($C$11)*NORMSINV($B519)+SQRT(1-E$9^2*$C$11)*NORMSINV(D519)))*(E$7-E$5)*(E$7-E$6))))</f>
        <v>0.0540115490849647</v>
      </c>
      <c r="F519" s="2" t="n">
        <v>0.174587046</v>
      </c>
      <c r="G519" s="2" t="n">
        <f aca="false">IF(G$7=G$5,G$6,IF(NORMSDIST(G$9*SQRT($C$11)*NORMSINV($B519)+SQRT(1-G$9^2*$C$11)*NORMSINV(F519))&lt;G$8,G$5+SQRT(NORMSDIST(G$9*SQRT($C$11)*NORMSINV($B519)+SQRT(1-G$9^2*$C$11)*NORMSINV(F519))*(G$7-G$5)*(G$6-G$5)),G$7-SQRT((1-NORMSDIST(G$9*SQRT($C$11)*NORMSINV($B519)+SQRT(1-G$9^2*$C$11)*NORMSINV(F519)))*(G$7-G$5)*(G$7-G$6))))</f>
        <v>0.0460725180108766</v>
      </c>
      <c r="H519" s="2" t="n">
        <v>0.851819517</v>
      </c>
      <c r="I519" s="2" t="n">
        <f aca="false">IF(I$7=I$5,I$6,IF(NORMSDIST(I$9*SQRT($C$11)*NORMSINV($B519)+SQRT(1-I$9^2*$C$11)*NORMSINV(H519))&lt;I$8,I$5+SQRT(NORMSDIST(I$9*SQRT($C$11)*NORMSINV($B519)+SQRT(1-I$9^2*$C$11)*NORMSINV(H519))*(I$7-I$5)*(I$6-I$5)),I$7-SQRT((1-NORMSDIST(I$9*SQRT($C$11)*NORMSINV($B519)+SQRT(1-I$9^2*$C$11)*NORMSINV(H519)))*(I$7-I$5)*(I$7-I$6))))</f>
        <v>201.162638920403</v>
      </c>
      <c r="J519" s="2" t="n">
        <v>0.668150394</v>
      </c>
      <c r="K519" s="2" t="n">
        <f aca="false">IF(K$7=K$5,K$6,IF(NORMSDIST(K$9*SQRT($C$11)*NORMSINV($B519)+SQRT(1-K$9^2*$C$11)*NORMSINV(J519))&lt;K$8,K$5+SQRT(NORMSDIST(K$9*SQRT($C$11)*NORMSINV($B519)+SQRT(1-K$9^2*$C$11)*NORMSINV(J519))*(K$7-K$5)*(K$6-K$5)),K$7-SQRT((1-NORMSDIST(K$9*SQRT($C$11)*NORMSINV($B519)+SQRT(1-K$9^2*$C$11)*NORMSINV(J519)))*(K$7-K$5)*(K$7-K$6))))</f>
        <v>0.215247364964148</v>
      </c>
      <c r="L519" s="2" t="n">
        <v>0.492890809</v>
      </c>
      <c r="M519" s="2" t="n">
        <f aca="false">IF(M$7=M$5,M$6,IF(NORMSDIST(M$9*SQRT($C$11)*NORMSINV($B519)+SQRT(1-M$9^2*$C$11)*NORMSINV(L519))&lt;M$8,M$5+SQRT(NORMSDIST(M$9*SQRT($C$11)*NORMSINV($B519)+SQRT(1-M$9^2*$C$11)*NORMSINV(L519))*(M$7-M$5)*(M$6-M$5)),M$7-SQRT((1-NORMSDIST(M$9*SQRT($C$11)*NORMSINV($B519)+SQRT(1-M$9^2*$C$11)*NORMSINV(L519)))*(M$7-M$5)*(M$7-M$6))))</f>
        <v>1501.91898621386</v>
      </c>
      <c r="N519" s="2" t="n">
        <v>0.974640832</v>
      </c>
      <c r="O519" s="2" t="n">
        <f aca="false">IF(O$7=O$5,O$6,IF(NORMSDIST(O$9*SQRT($C$11)*NORMSINV($B519)+SQRT(1-O$9^2*$C$11)*NORMSINV(N519))&lt;O$8,O$5+SQRT(NORMSDIST(O$9*SQRT($C$11)*NORMSINV($B519)+SQRT(1-O$9^2*$C$11)*NORMSINV(N519))*(O$7-O$5)*(O$6-O$5)),O$7-SQRT((1-NORMSDIST(O$9*SQRT($C$11)*NORMSINV($B519)+SQRT(1-O$9^2*$C$11)*NORMSINV(N519)))*(O$7-O$5)*(O$7-O$6))))</f>
        <v>0.175454237801549</v>
      </c>
      <c r="P519" s="2" t="n">
        <v>0.110399009</v>
      </c>
      <c r="Q519" s="2" t="n">
        <f aca="false">IF(Q$7=Q$5,Q$6,IF(NORMSDIST(Q$9*SQRT($C$11)*NORMSINV($B519)+SQRT(1-Q$9^2*$C$11)*NORMSINV(P519))&lt;Q$8,Q$5+SQRT(NORMSDIST(Q$9*SQRT($C$11)*NORMSINV($B519)+SQRT(1-Q$9^2*$C$11)*NORMSINV(P519))*(Q$7-Q$5)*(Q$6-Q$5)),Q$7-SQRT((1-NORMSDIST(Q$9*SQRT($C$11)*NORMSINV($B519)+SQRT(1-Q$9^2*$C$11)*NORMSINV(P519)))*(Q$7-Q$5)*(Q$7-Q$6))))</f>
        <v>0.0587956598394417</v>
      </c>
      <c r="R519" s="2" t="n">
        <v>0.921990704</v>
      </c>
      <c r="S519" s="2" t="n">
        <f aca="false">IF(S$7=S$5,S$6,IF(NORMSDIST(S$9*SQRT($C$11)*NORMSINV($B519)+SQRT(1-S$9^2*$C$11)*NORMSINV(R519))&lt;S$8,S$5+SQRT(NORMSDIST(S$9*SQRT($C$11)*NORMSINV($B519)+SQRT(1-S$9^2*$C$11)*NORMSINV(R519))*(S$7-S$5)*(S$6-S$5)),S$7-SQRT((1-NORMSDIST(S$9*SQRT($C$11)*NORMSINV($B519)+SQRT(1-S$9^2*$C$11)*NORMSINV(R519)))*(S$7-S$5)*(S$7-S$6))))</f>
        <v>0.59201349615105</v>
      </c>
      <c r="T519" s="2" t="n">
        <v>0.358271199</v>
      </c>
      <c r="U519" s="2" t="n">
        <f aca="false">IF(U$7=U$5,U$6,IF(NORMSDIST(U$9*SQRT($C$11)*NORMSINV($B519)+SQRT(1-U$9^2*$C$11)*NORMSINV(T519))&lt;U$8,U$5+SQRT(NORMSDIST(U$9*SQRT($C$11)*NORMSINV($B519)+SQRT(1-U$9^2*$C$11)*NORMSINV(T519))*(U$7-U$5)*(U$6-U$5)),U$7-SQRT((1-NORMSDIST(U$9*SQRT($C$11)*NORMSINV($B519)+SQRT(1-U$9^2*$C$11)*NORMSINV(T519)))*(U$7-U$5)*(U$7-U$6))))</f>
        <v>0.292848133848403</v>
      </c>
      <c r="V519" s="2" t="n">
        <v>0.509663102</v>
      </c>
      <c r="W519" s="2" t="n">
        <f aca="false">IF(W$7=W$5,W$6,IF(NORMSDIST(W$9*SQRT($C$11)*NORMSINV($B519)+SQRT(1-W$9^2*$C$11)*NORMSINV(V519))&lt;W$8,W$5+SQRT(NORMSDIST(W$9*SQRT($C$11)*NORMSINV($B519)+SQRT(1-W$9^2*$C$11)*NORMSINV(V519))*(W$7-W$5)*(W$6-W$5)),W$7-SQRT((1-NORMSDIST(W$9*SQRT($C$11)*NORMSINV($B519)+SQRT(1-W$9^2*$C$11)*NORMSINV(V519)))*(W$7-W$5)*(W$7-W$6))))</f>
        <v>9.43788205381366</v>
      </c>
      <c r="X519" s="2" t="n">
        <v>0.082335462</v>
      </c>
      <c r="Y519" s="2" t="n">
        <f aca="false">IF(Y$7=Y$5,Y$6,IF(NORMSDIST(Y$9*SQRT($C$11)*NORMSINV($B519)+SQRT(1-Y$9^2*$C$11)*NORMSINV(X519))&lt;Y$8,Y$5+SQRT(NORMSDIST(Y$9*SQRT($C$11)*NORMSINV($B519)+SQRT(1-Y$9^2*$C$11)*NORMSINV(X519))*(Y$7-Y$5)*(Y$6-Y$5)),Y$7-SQRT((1-NORMSDIST(Y$9*SQRT($C$11)*NORMSINV($B519)+SQRT(1-Y$9^2*$C$11)*NORMSINV(X519)))*(Y$7-Y$5)*(Y$7-Y$6))))</f>
        <v>0.202898326755052</v>
      </c>
      <c r="Z519" s="2" t="n">
        <v>0.986133303</v>
      </c>
      <c r="AA519" s="2" t="n">
        <f aca="false">IF(AA$7=AA$5,AA$6,IF(NORMSDIST(AA$9*SQRT($C$11)*NORMSINV($B519)+SQRT(1-AA$9^2*$C$11)*NORMSINV(Z519))&lt;AA$8,AA$5+SQRT(NORMSDIST(AA$9*SQRT($C$11)*NORMSINV($B519)+SQRT(1-AA$9^2*$C$11)*NORMSINV(Z519))*(AA$7-AA$5)*(AA$6-AA$5)),AA$7-SQRT((1-NORMSDIST(AA$9*SQRT($C$11)*NORMSINV($B519)+SQRT(1-AA$9^2*$C$11)*NORMSINV(Z519)))*(AA$7-AA$5)*(AA$7-AA$6))))</f>
        <v>0.740001963364862</v>
      </c>
      <c r="AB519" s="2" t="n">
        <v>0.522383459</v>
      </c>
      <c r="AC519" s="2" t="n">
        <f aca="false">IF(AC$7=AC$5,AC$6,IF(NORMSDIST(AC$9*SQRT($C$11)*NORMSINV($B519)+SQRT(1-AC$9^2*$C$11)*NORMSINV(AB519))&lt;AC$8,AC$5+SQRT(NORMSDIST(AC$9*SQRT($C$11)*NORMSINV($B519)+SQRT(1-AC$9^2*$C$11)*NORMSINV(AB519))*(AC$7-AC$5)*(AC$6-AC$5)),AC$7-SQRT((1-NORMSDIST(AC$9*SQRT($C$11)*NORMSINV($B519)+SQRT(1-AC$9^2*$C$11)*NORMSINV(AB519)))*(AC$7-AC$5)*(AC$7-AC$6))))</f>
        <v>8.9174039408378</v>
      </c>
      <c r="AD519" s="2" t="n">
        <f aca="false">Entrées!$C$8*(1+E519)</f>
        <v>7430.781421049</v>
      </c>
      <c r="AE519" s="2" t="n">
        <f aca="false">I519*Hypothèses!$J$24/12/Hypothèses!$J$19</f>
        <v>99.7961413223389</v>
      </c>
      <c r="AF519" s="2" t="n">
        <f aca="false">Entrées!$C$36*S519*1000</f>
        <v>296.006748075525</v>
      </c>
      <c r="AG519" s="2" t="n">
        <f aca="false">-AF519/W519</f>
        <v>-31.3636837574077</v>
      </c>
      <c r="AH519" s="2" t="n">
        <f aca="false">AD519+AE519+AG519</f>
        <v>7499.21387861393</v>
      </c>
      <c r="AI519" s="2" t="n">
        <f aca="false">Entrées!$C$16-M519+Hypothèses!$J$22*1000-AF519+Hypothèses!$J$23</f>
        <v>22750.0742657106</v>
      </c>
      <c r="AJ519" s="2" t="n">
        <f aca="false">AI519/AH519</f>
        <v>3.03366121222235</v>
      </c>
      <c r="AK519" s="2" t="n">
        <f aca="false">AI519/(AH519+I519*(12-Hypothèses!$J$24)/12/Hypothèses!$J$19)</f>
        <v>3.00509659490505</v>
      </c>
      <c r="AL519" s="2" t="n">
        <f aca="false">(AD519+AG519+I519/Hypothèses!$J$19)*(1+G519)</f>
        <v>7919.28868856152</v>
      </c>
      <c r="AM519" s="2" t="n">
        <f aca="false">Entrées!$C$54*K519/Hypothèses!$J$19</f>
        <v>21.9668973598741</v>
      </c>
      <c r="AN519" s="2" t="n">
        <f aca="false">Y519*1000/AC519</f>
        <v>22.7530711966368</v>
      </c>
      <c r="AO519" s="2" t="n">
        <f aca="false">(Entrées!$C$36*(1-S519)+MAX(0,Entrées!$C$30-Entrées!$C$35-Entrées!$C$36)*U519)*1000</f>
        <v>613.98063931224</v>
      </c>
      <c r="AP519" s="2" t="n">
        <f aca="false">-AO519/W519</f>
        <v>-65.0549175981853</v>
      </c>
      <c r="AQ519" s="2" t="n">
        <f aca="false">AL519+AM519+AN519+AP519</f>
        <v>7898.95373951985</v>
      </c>
      <c r="AR519" s="2" t="n">
        <f aca="false">O519*AQ519-Hypothèses!$J$25/Hypothèses!$J$19</f>
        <v>1366.76974553553</v>
      </c>
      <c r="AS519" s="2" t="n">
        <f aca="false">Entrées!$C$79*(1+Q519)+Hypothèses!$J$20</f>
        <v>1458.61643016355</v>
      </c>
      <c r="AT519" s="2" t="n">
        <f aca="false">AI519-AR519+AS519+Y519*1000-AO519+Hypothèses!$J$23</f>
        <v>22430.8386377815</v>
      </c>
      <c r="AU519" s="2" t="n">
        <f aca="false">AT519/AQ519</f>
        <v>2.83972275031262</v>
      </c>
      <c r="AV519" s="2" t="n">
        <f aca="false">Hypothèses!$J$26*AQ519-AT519</f>
        <v>1266.02258077809</v>
      </c>
      <c r="AW519" s="2" t="n">
        <f aca="false">IF(AC519&gt;Hypothèses!$J$26,MAX(0,AV519)/(1-Hypothèses!$J$26/AC519),0)</f>
        <v>1907.86954277483</v>
      </c>
      <c r="AX519" s="2" t="n">
        <f aca="false">AQ519-Entrées!$C$17*1000</f>
        <v>-101.046260480152</v>
      </c>
      <c r="AY519" s="2" t="n">
        <f aca="false">AI519+(Entrées!$C$244-Entrées!$C$13)</f>
        <v>28497.0742657106</v>
      </c>
      <c r="AZ519" s="2" t="n">
        <f aca="false">AA519*AH519</f>
        <v>5549.43299386733</v>
      </c>
      <c r="BA519" s="2" t="n">
        <f aca="false">AZ519/AY519</f>
        <v>0.194736938330008</v>
      </c>
      <c r="BB519" s="2" t="n">
        <f aca="false">AZ519/(Entrées!$C$151/100)-AY519</f>
        <v>2333.10903355236</v>
      </c>
      <c r="BC519" s="2" t="n">
        <f aca="false">AT519+(Entrées!$C$244-Entrées!$C$13)</f>
        <v>28177.8386377815</v>
      </c>
      <c r="BD519" s="2" t="n">
        <f aca="false">AA519*AQ519</f>
        <v>5845.24127577291</v>
      </c>
      <c r="BE519" s="2" t="n">
        <f aca="false">BD519/BC519</f>
        <v>0.207441079882383</v>
      </c>
      <c r="BF519" s="2" t="n">
        <f aca="false">BD519/(Entrées!$C$151/100)-BC519</f>
        <v>4295.72400540138</v>
      </c>
      <c r="BG519" s="2" t="n">
        <f aca="false">MIN(AV519,BF519)</f>
        <v>1266.02258077809</v>
      </c>
      <c r="BH519" s="2" t="n">
        <f aca="false">IF(AC519&gt;Hypothèses!$J$26,MAX(0,BG519)/(1-Hypothèses!$J$26/AC519),0)</f>
        <v>1907.86954277483</v>
      </c>
    </row>
    <row r="520" customFormat="false" ht="15" hidden="false" customHeight="false" outlineLevel="0" collapsed="false">
      <c r="A520" s="2" t="n">
        <v>505</v>
      </c>
      <c r="B520" s="2" t="n">
        <v>0.066495906</v>
      </c>
      <c r="C520" s="2"/>
      <c r="D520" s="2" t="n">
        <v>0.597718742</v>
      </c>
      <c r="E520" s="2" t="n">
        <f aca="false">IF(E$7=E$5,E$6,IF(NORMSDIST(E$9*SQRT($C$11)*NORMSINV($B520)+SQRT(1-E$9^2*$C$11)*NORMSINV(D520))&lt;E$8,E$5+SQRT(NORMSDIST(E$9*SQRT($C$11)*NORMSINV($B520)+SQRT(1-E$9^2*$C$11)*NORMSINV(D520))*(E$7-E$5)*(E$6-E$5)),E$7-SQRT((1-NORMSDIST(E$9*SQRT($C$11)*NORMSINV($B520)+SQRT(1-E$9^2*$C$11)*NORMSINV(D520)))*(E$7-E$5)*(E$7-E$6))))</f>
        <v>0.0533471290787996</v>
      </c>
      <c r="F520" s="2" t="n">
        <v>0.629383319</v>
      </c>
      <c r="G520" s="2" t="n">
        <f aca="false">IF(G$7=G$5,G$6,IF(NORMSDIST(G$9*SQRT($C$11)*NORMSINV($B520)+SQRT(1-G$9^2*$C$11)*NORMSINV(F520))&lt;G$8,G$5+SQRT(NORMSDIST(G$9*SQRT($C$11)*NORMSINV($B520)+SQRT(1-G$9^2*$C$11)*NORMSINV(F520))*(G$7-G$5)*(G$6-G$5)),G$7-SQRT((1-NORMSDIST(G$9*SQRT($C$11)*NORMSINV($B520)+SQRT(1-G$9^2*$C$11)*NORMSINV(F520)))*(G$7-G$5)*(G$7-G$6))))</f>
        <v>0.0504723187531119</v>
      </c>
      <c r="H520" s="2" t="n">
        <v>0.382778684</v>
      </c>
      <c r="I520" s="2" t="n">
        <f aca="false">IF(I$7=I$5,I$6,IF(NORMSDIST(I$9*SQRT($C$11)*NORMSINV($B520)+SQRT(1-I$9^2*$C$11)*NORMSINV(H520))&lt;I$8,I$5+SQRT(NORMSDIST(I$9*SQRT($C$11)*NORMSINV($B520)+SQRT(1-I$9^2*$C$11)*NORMSINV(H520))*(I$7-I$5)*(I$6-I$5)),I$7-SQRT((1-NORMSDIST(I$9*SQRT($C$11)*NORMSINV($B520)+SQRT(1-I$9^2*$C$11)*NORMSINV(H520)))*(I$7-I$5)*(I$7-I$6))))</f>
        <v>189.747403012832</v>
      </c>
      <c r="J520" s="2" t="n">
        <v>0.765051077</v>
      </c>
      <c r="K520" s="2" t="n">
        <f aca="false">IF(K$7=K$5,K$6,IF(NORMSDIST(K$9*SQRT($C$11)*NORMSINV($B520)+SQRT(1-K$9^2*$C$11)*NORMSINV(J520))&lt;K$8,K$5+SQRT(NORMSDIST(K$9*SQRT($C$11)*NORMSINV($B520)+SQRT(1-K$9^2*$C$11)*NORMSINV(J520))*(K$7-K$5)*(K$6-K$5)),K$7-SQRT((1-NORMSDIST(K$9*SQRT($C$11)*NORMSINV($B520)+SQRT(1-K$9^2*$C$11)*NORMSINV(J520)))*(K$7-K$5)*(K$7-K$6))))</f>
        <v>0.208597346477135</v>
      </c>
      <c r="L520" s="2" t="n">
        <v>0.512838888</v>
      </c>
      <c r="M520" s="2" t="n">
        <f aca="false">IF(M$7=M$5,M$6,IF(NORMSDIST(M$9*SQRT($C$11)*NORMSINV($B520)+SQRT(1-M$9^2*$C$11)*NORMSINV(L520))&lt;M$8,M$5+SQRT(NORMSDIST(M$9*SQRT($C$11)*NORMSINV($B520)+SQRT(1-M$9^2*$C$11)*NORMSINV(L520))*(M$7-M$5)*(M$6-M$5)),M$7-SQRT((1-NORMSDIST(M$9*SQRT($C$11)*NORMSINV($B520)+SQRT(1-M$9^2*$C$11)*NORMSINV(L520)))*(M$7-M$5)*(M$7-M$6))))</f>
        <v>1471.26914379825</v>
      </c>
      <c r="N520" s="2" t="n">
        <v>0.409290275</v>
      </c>
      <c r="O520" s="2" t="n">
        <f aca="false">IF(O$7=O$5,O$6,IF(NORMSDIST(O$9*SQRT($C$11)*NORMSINV($B520)+SQRT(1-O$9^2*$C$11)*NORMSINV(N520))&lt;O$8,O$5+SQRT(NORMSDIST(O$9*SQRT($C$11)*NORMSINV($B520)+SQRT(1-O$9^2*$C$11)*NORMSINV(N520))*(O$7-O$5)*(O$6-O$5)),O$7-SQRT((1-NORMSDIST(O$9*SQRT($C$11)*NORMSINV($B520)+SQRT(1-O$9^2*$C$11)*NORMSINV(N520)))*(O$7-O$5)*(O$7-O$6))))</f>
        <v>0.153640967257888</v>
      </c>
      <c r="P520" s="2" t="n">
        <v>0.807547334</v>
      </c>
      <c r="Q520" s="2" t="n">
        <f aca="false">IF(Q$7=Q$5,Q$6,IF(NORMSDIST(Q$9*SQRT($C$11)*NORMSINV($B520)+SQRT(1-Q$9^2*$C$11)*NORMSINV(P520))&lt;Q$8,Q$5+SQRT(NORMSDIST(Q$9*SQRT($C$11)*NORMSINV($B520)+SQRT(1-Q$9^2*$C$11)*NORMSINV(P520))*(Q$7-Q$5)*(Q$6-Q$5)),Q$7-SQRT((1-NORMSDIST(Q$9*SQRT($C$11)*NORMSINV($B520)+SQRT(1-Q$9^2*$C$11)*NORMSINV(P520)))*(Q$7-Q$5)*(Q$7-Q$6))))</f>
        <v>0.0951837043215552</v>
      </c>
      <c r="R520" s="2" t="n">
        <v>0.688423185</v>
      </c>
      <c r="S520" s="2" t="n">
        <f aca="false">IF(S$7=S$5,S$6,IF(NORMSDIST(S$9*SQRT($C$11)*NORMSINV($B520)+SQRT(1-S$9^2*$C$11)*NORMSINV(R520))&lt;S$8,S$5+SQRT(NORMSDIST(S$9*SQRT($C$11)*NORMSINV($B520)+SQRT(1-S$9^2*$C$11)*NORMSINV(R520))*(S$7-S$5)*(S$6-S$5)),S$7-SQRT((1-NORMSDIST(S$9*SQRT($C$11)*NORMSINV($B520)+SQRT(1-S$9^2*$C$11)*NORMSINV(R520)))*(S$7-S$5)*(S$7-S$6))))</f>
        <v>0.377147962517908</v>
      </c>
      <c r="T520" s="2" t="n">
        <v>0.820339521</v>
      </c>
      <c r="U520" s="2" t="n">
        <f aca="false">IF(U$7=U$5,U$6,IF(NORMSDIST(U$9*SQRT($C$11)*NORMSINV($B520)+SQRT(1-U$9^2*$C$11)*NORMSINV(T520))&lt;U$8,U$5+SQRT(NORMSDIST(U$9*SQRT($C$11)*NORMSINV($B520)+SQRT(1-U$9^2*$C$11)*NORMSINV(T520))*(U$7-U$5)*(U$6-U$5)),U$7-SQRT((1-NORMSDIST(U$9*SQRT($C$11)*NORMSINV($B520)+SQRT(1-U$9^2*$C$11)*NORMSINV(T520)))*(U$7-U$5)*(U$7-U$6))))</f>
        <v>0.450056299648699</v>
      </c>
      <c r="V520" s="2" t="n">
        <v>0.564102485</v>
      </c>
      <c r="W520" s="2" t="n">
        <f aca="false">IF(W$7=W$5,W$6,IF(NORMSDIST(W$9*SQRT($C$11)*NORMSINV($B520)+SQRT(1-W$9^2*$C$11)*NORMSINV(V520))&lt;W$8,W$5+SQRT(NORMSDIST(W$9*SQRT($C$11)*NORMSINV($B520)+SQRT(1-W$9^2*$C$11)*NORMSINV(V520))*(W$7-W$5)*(W$6-W$5)),W$7-SQRT((1-NORMSDIST(W$9*SQRT($C$11)*NORMSINV($B520)+SQRT(1-W$9^2*$C$11)*NORMSINV(V520)))*(W$7-W$5)*(W$7-W$6))))</f>
        <v>9.27946325582057</v>
      </c>
      <c r="X520" s="2" t="n">
        <v>0.738318147</v>
      </c>
      <c r="Y520" s="2" t="n">
        <f aca="false">IF(Y$7=Y$5,Y$6,IF(NORMSDIST(Y$9*SQRT($C$11)*NORMSINV($B520)+SQRT(1-Y$9^2*$C$11)*NORMSINV(X520))&lt;Y$8,Y$5+SQRT(NORMSDIST(Y$9*SQRT($C$11)*NORMSINV($B520)+SQRT(1-Y$9^2*$C$11)*NORMSINV(X520))*(Y$7-Y$5)*(Y$6-Y$5)),Y$7-SQRT((1-NORMSDIST(Y$9*SQRT($C$11)*NORMSINV($B520)+SQRT(1-Y$9^2*$C$11)*NORMSINV(X520)))*(Y$7-Y$5)*(Y$7-Y$6))))</f>
        <v>0.638280597009229</v>
      </c>
      <c r="Z520" s="2" t="n">
        <v>0.615113421</v>
      </c>
      <c r="AA520" s="2" t="n">
        <f aca="false">IF(AA$7=AA$5,AA$6,IF(NORMSDIST(AA$9*SQRT($C$11)*NORMSINV($B520)+SQRT(1-AA$9^2*$C$11)*NORMSINV(Z520))&lt;AA$8,AA$5+SQRT(NORMSDIST(AA$9*SQRT($C$11)*NORMSINV($B520)+SQRT(1-AA$9^2*$C$11)*NORMSINV(Z520))*(AA$7-AA$5)*(AA$6-AA$5)),AA$7-SQRT((1-NORMSDIST(AA$9*SQRT($C$11)*NORMSINV($B520)+SQRT(1-AA$9^2*$C$11)*NORMSINV(Z520)))*(AA$7-AA$5)*(AA$7-AA$6))))</f>
        <v>0.717744201727351</v>
      </c>
      <c r="AB520" s="2" t="n">
        <v>0.181543084</v>
      </c>
      <c r="AC520" s="2" t="n">
        <f aca="false">IF(AC$7=AC$5,AC$6,IF(NORMSDIST(AC$9*SQRT($C$11)*NORMSINV($B520)+SQRT(1-AC$9^2*$C$11)*NORMSINV(AB520))&lt;AC$8,AC$5+SQRT(NORMSDIST(AC$9*SQRT($C$11)*NORMSINV($B520)+SQRT(1-AC$9^2*$C$11)*NORMSINV(AB520))*(AC$7-AC$5)*(AC$6-AC$5)),AC$7-SQRT((1-NORMSDIST(AC$9*SQRT($C$11)*NORMSINV($B520)+SQRT(1-AC$9^2*$C$11)*NORMSINV(AB520)))*(AC$7-AC$5)*(AC$7-AC$6))))</f>
        <v>8.05061130663925</v>
      </c>
      <c r="AD520" s="2" t="n">
        <f aca="false">Entrées!$C$8*(1+E520)</f>
        <v>7426.09726000554</v>
      </c>
      <c r="AE520" s="2" t="n">
        <f aca="false">I520*Hypothèses!$J$24/12/Hypothèses!$J$19</f>
        <v>94.1330793244767</v>
      </c>
      <c r="AF520" s="2" t="n">
        <f aca="false">Entrées!$C$36*S520*1000</f>
        <v>188.573981258954</v>
      </c>
      <c r="AG520" s="2" t="n">
        <f aca="false">-AF520/W520</f>
        <v>-20.3216474983799</v>
      </c>
      <c r="AH520" s="2" t="n">
        <f aca="false">AD520+AE520+AG520</f>
        <v>7499.90869183163</v>
      </c>
      <c r="AI520" s="2" t="n">
        <f aca="false">Entrées!$C$16-M520+Hypothèses!$J$22*1000-AF520+Hypothèses!$J$23</f>
        <v>22888.1568749428</v>
      </c>
      <c r="AJ520" s="2" t="n">
        <f aca="false">AI520/AH520</f>
        <v>3.05179140379015</v>
      </c>
      <c r="AK520" s="2" t="n">
        <f aca="false">AI520/(AH520+I520*(12-Hypothèses!$J$24)/12/Hypothèses!$J$19)</f>
        <v>3.0246746981087</v>
      </c>
      <c r="AL520" s="2" t="n">
        <f aca="false">(AD520+AG520+I520/Hypothèses!$J$19)*(1+G520)</f>
        <v>7949.07804116596</v>
      </c>
      <c r="AM520" s="2" t="n">
        <f aca="false">Entrées!$C$54*K520/Hypothèses!$J$19</f>
        <v>21.2882350516511</v>
      </c>
      <c r="AN520" s="2" t="n">
        <f aca="false">Y520*1000/AC520</f>
        <v>79.2834944698977</v>
      </c>
      <c r="AO520" s="2" t="n">
        <f aca="false">(Entrées!$C$36*(1-S520)+MAX(0,Entrées!$C$30-Entrées!$C$35-Entrées!$C$36)*U520)*1000</f>
        <v>941.504838249225</v>
      </c>
      <c r="AP520" s="2" t="n">
        <f aca="false">-AO520/W520</f>
        <v>-101.461131133707</v>
      </c>
      <c r="AQ520" s="2" t="n">
        <f aca="false">AL520+AM520+AN520+AP520</f>
        <v>7948.1886395538</v>
      </c>
      <c r="AR520" s="2" t="n">
        <f aca="false">O520*AQ520-Hypothèses!$J$25/Hypothèses!$J$19</f>
        <v>1202.03222826758</v>
      </c>
      <c r="AS520" s="2" t="n">
        <f aca="false">Entrées!$C$79*(1+Q520)+Hypothèses!$J$20</f>
        <v>1498.60689104939</v>
      </c>
      <c r="AT520" s="2" t="n">
        <f aca="false">AI520-AR520+AS520+Y520*1000-AO520+Hypothèses!$J$23</f>
        <v>22881.5072964846</v>
      </c>
      <c r="AU520" s="2" t="n">
        <f aca="false">AT520/AQ520</f>
        <v>2.87883294347291</v>
      </c>
      <c r="AV520" s="2" t="n">
        <f aca="false">Hypothèses!$J$26*AQ520-AT520</f>
        <v>963.058622176792</v>
      </c>
      <c r="AW520" s="2" t="n">
        <f aca="false">IF(AC520&gt;Hypothèses!$J$26,MAX(0,AV520)/(1-Hypothèses!$J$26/AC520),0)</f>
        <v>1535.10340866282</v>
      </c>
      <c r="AX520" s="2" t="n">
        <f aca="false">AQ520-Entrées!$C$17*1000</f>
        <v>-51.8113604461969</v>
      </c>
      <c r="AY520" s="2" t="n">
        <f aca="false">AI520+(Entrées!$C$244-Entrées!$C$13)</f>
        <v>28635.1568749428</v>
      </c>
      <c r="AZ520" s="2" t="n">
        <f aca="false">AA520*AH520</f>
        <v>5383.01597704671</v>
      </c>
      <c r="BA520" s="2" t="n">
        <f aca="false">AZ520/AY520</f>
        <v>0.187986257611779</v>
      </c>
      <c r="BB520" s="2" t="n">
        <f aca="false">AZ520/(Entrées!$C$151/100)-AY520</f>
        <v>1270.48744198339</v>
      </c>
      <c r="BC520" s="2" t="n">
        <f aca="false">AT520+(Entrées!$C$244-Entrées!$C$13)</f>
        <v>28628.5072964846</v>
      </c>
      <c r="BD520" s="2" t="n">
        <f aca="false">AA520*AQ520</f>
        <v>5704.76631027494</v>
      </c>
      <c r="BE520" s="2" t="n">
        <f aca="false">BD520/BC520</f>
        <v>0.199268730681444</v>
      </c>
      <c r="BF520" s="2" t="n">
        <f aca="false">BD520/(Entrées!$C$151/100)-BC520</f>
        <v>3064.6388717095</v>
      </c>
      <c r="BG520" s="2" t="n">
        <f aca="false">MIN(AV520,BF520)</f>
        <v>963.058622176792</v>
      </c>
      <c r="BH520" s="2" t="n">
        <f aca="false">IF(AC520&gt;Hypothèses!$J$26,MAX(0,BG520)/(1-Hypothèses!$J$26/AC520),0)</f>
        <v>1535.10340866282</v>
      </c>
    </row>
    <row r="521" customFormat="false" ht="15" hidden="false" customHeight="false" outlineLevel="0" collapsed="false">
      <c r="A521" s="2" t="n">
        <v>506</v>
      </c>
      <c r="B521" s="2" t="n">
        <v>0.429121904</v>
      </c>
      <c r="C521" s="2"/>
      <c r="D521" s="2" t="n">
        <v>0.97037278</v>
      </c>
      <c r="E521" s="2" t="n">
        <f aca="false">IF(E$7=E$5,E$6,IF(NORMSDIST(E$9*SQRT($C$11)*NORMSINV($B521)+SQRT(1-E$9^2*$C$11)*NORMSINV(D521))&lt;E$8,E$5+SQRT(NORMSDIST(E$9*SQRT($C$11)*NORMSINV($B521)+SQRT(1-E$9^2*$C$11)*NORMSINV(D521))*(E$7-E$5)*(E$6-E$5)),E$7-SQRT((1-NORMSDIST(E$9*SQRT($C$11)*NORMSINV($B521)+SQRT(1-E$9^2*$C$11)*NORMSINV(D521)))*(E$7-E$5)*(E$7-E$6))))</f>
        <v>0.0578928267805775</v>
      </c>
      <c r="F521" s="2" t="n">
        <v>0.067630261</v>
      </c>
      <c r="G521" s="2" t="n">
        <f aca="false">IF(G$7=G$5,G$6,IF(NORMSDIST(G$9*SQRT($C$11)*NORMSINV($B521)+SQRT(1-G$9^2*$C$11)*NORMSINV(F521))&lt;G$8,G$5+SQRT(NORMSDIST(G$9*SQRT($C$11)*NORMSINV($B521)+SQRT(1-G$9^2*$C$11)*NORMSINV(F521))*(G$7-G$5)*(G$6-G$5)),G$7-SQRT((1-NORMSDIST(G$9*SQRT($C$11)*NORMSINV($B521)+SQRT(1-G$9^2*$C$11)*NORMSINV(F521)))*(G$7-G$5)*(G$7-G$6))))</f>
        <v>0.0467766023296632</v>
      </c>
      <c r="H521" s="2" t="n">
        <v>0.946250743</v>
      </c>
      <c r="I521" s="2" t="n">
        <f aca="false">IF(I$7=I$5,I$6,IF(NORMSDIST(I$9*SQRT($C$11)*NORMSINV($B521)+SQRT(1-I$9^2*$C$11)*NORMSINV(H521))&lt;I$8,I$5+SQRT(NORMSDIST(I$9*SQRT($C$11)*NORMSINV($B521)+SQRT(1-I$9^2*$C$11)*NORMSINV(H521))*(I$7-I$5)*(I$6-I$5)),I$7-SQRT((1-NORMSDIST(I$9*SQRT($C$11)*NORMSINV($B521)+SQRT(1-I$9^2*$C$11)*NORMSINV(H521)))*(I$7-I$5)*(I$7-I$6))))</f>
        <v>209.863204096491</v>
      </c>
      <c r="J521" s="2" t="n">
        <v>0.535005549</v>
      </c>
      <c r="K521" s="2" t="n">
        <f aca="false">IF(K$7=K$5,K$6,IF(NORMSDIST(K$9*SQRT($C$11)*NORMSINV($B521)+SQRT(1-K$9^2*$C$11)*NORMSINV(J521))&lt;K$8,K$5+SQRT(NORMSDIST(K$9*SQRT($C$11)*NORMSINV($B521)+SQRT(1-K$9^2*$C$11)*NORMSINV(J521))*(K$7-K$5)*(K$6-K$5)),K$7-SQRT((1-NORMSDIST(K$9*SQRT($C$11)*NORMSINV($B521)+SQRT(1-K$9^2*$C$11)*NORMSINV(J521)))*(K$7-K$5)*(K$7-K$6))))</f>
        <v>0.245481765503323</v>
      </c>
      <c r="L521" s="2" t="n">
        <v>0.934741953</v>
      </c>
      <c r="M521" s="2" t="n">
        <f aca="false">IF(M$7=M$5,M$6,IF(NORMSDIST(M$9*SQRT($C$11)*NORMSINV($B521)+SQRT(1-M$9^2*$C$11)*NORMSINV(L521))&lt;M$8,M$5+SQRT(NORMSDIST(M$9*SQRT($C$11)*NORMSINV($B521)+SQRT(1-M$9^2*$C$11)*NORMSINV(L521))*(M$7-M$5)*(M$6-M$5)),M$7-SQRT((1-NORMSDIST(M$9*SQRT($C$11)*NORMSINV($B521)+SQRT(1-M$9^2*$C$11)*NORMSINV(L521)))*(M$7-M$5)*(M$7-M$6))))</f>
        <v>1684.47355267595</v>
      </c>
      <c r="N521" s="2" t="n">
        <v>0.238637779</v>
      </c>
      <c r="O521" s="2" t="n">
        <f aca="false">IF(O$7=O$5,O$6,IF(NORMSDIST(O$9*SQRT($C$11)*NORMSINV($B521)+SQRT(1-O$9^2*$C$11)*NORMSINV(N521))&lt;O$8,O$5+SQRT(NORMSDIST(O$9*SQRT($C$11)*NORMSINV($B521)+SQRT(1-O$9^2*$C$11)*NORMSINV(N521))*(O$7-O$5)*(O$6-O$5)),O$7-SQRT((1-NORMSDIST(O$9*SQRT($C$11)*NORMSINV($B521)+SQRT(1-O$9^2*$C$11)*NORMSINV(N521)))*(O$7-O$5)*(O$7-O$6))))</f>
        <v>0.159072264566235</v>
      </c>
      <c r="P521" s="2" t="n">
        <v>0.494821803</v>
      </c>
      <c r="Q521" s="2" t="n">
        <f aca="false">IF(Q$7=Q$5,Q$6,IF(NORMSDIST(Q$9*SQRT($C$11)*NORMSINV($B521)+SQRT(1-Q$9^2*$C$11)*NORMSINV(P521))&lt;Q$8,Q$5+SQRT(NORMSDIST(Q$9*SQRT($C$11)*NORMSINV($B521)+SQRT(1-Q$9^2*$C$11)*NORMSINV(P521))*(Q$7-Q$5)*(Q$6-Q$5)),Q$7-SQRT((1-NORMSDIST(Q$9*SQRT($C$11)*NORMSINV($B521)+SQRT(1-Q$9^2*$C$11)*NORMSINV(P521)))*(Q$7-Q$5)*(Q$7-Q$6))))</f>
        <v>0.079792333050476</v>
      </c>
      <c r="R521" s="2" t="n">
        <v>0.784207043</v>
      </c>
      <c r="S521" s="2" t="n">
        <f aca="false">IF(S$7=S$5,S$6,IF(NORMSDIST(S$9*SQRT($C$11)*NORMSINV($B521)+SQRT(1-S$9^2*$C$11)*NORMSINV(R521))&lt;S$8,S$5+SQRT(NORMSDIST(S$9*SQRT($C$11)*NORMSINV($B521)+SQRT(1-S$9^2*$C$11)*NORMSINV(R521))*(S$7-S$5)*(S$6-S$5)),S$7-SQRT((1-NORMSDIST(S$9*SQRT($C$11)*NORMSINV($B521)+SQRT(1-S$9^2*$C$11)*NORMSINV(R521)))*(S$7-S$5)*(S$7-S$6))))</f>
        <v>0.606387425678874</v>
      </c>
      <c r="T521" s="2" t="n">
        <v>0.401519362</v>
      </c>
      <c r="U521" s="2" t="n">
        <f aca="false">IF(U$7=U$5,U$6,IF(NORMSDIST(U$9*SQRT($C$11)*NORMSINV($B521)+SQRT(1-U$9^2*$C$11)*NORMSINV(T521))&lt;U$8,U$5+SQRT(NORMSDIST(U$9*SQRT($C$11)*NORMSINV($B521)+SQRT(1-U$9^2*$C$11)*NORMSINV(T521))*(U$7-U$5)*(U$6-U$5)),U$7-SQRT((1-NORMSDIST(U$9*SQRT($C$11)*NORMSINV($B521)+SQRT(1-U$9^2*$C$11)*NORMSINV(T521)))*(U$7-U$5)*(U$7-U$6))))</f>
        <v>0.435741542001258</v>
      </c>
      <c r="V521" s="2" t="n">
        <v>0.541190354</v>
      </c>
      <c r="W521" s="2" t="n">
        <f aca="false">IF(W$7=W$5,W$6,IF(NORMSDIST(W$9*SQRT($C$11)*NORMSINV($B521)+SQRT(1-W$9^2*$C$11)*NORMSINV(V521))&lt;W$8,W$5+SQRT(NORMSDIST(W$9*SQRT($C$11)*NORMSINV($B521)+SQRT(1-W$9^2*$C$11)*NORMSINV(V521))*(W$7-W$5)*(W$6-W$5)),W$7-SQRT((1-NORMSDIST(W$9*SQRT($C$11)*NORMSINV($B521)+SQRT(1-W$9^2*$C$11)*NORMSINV(V521)))*(W$7-W$5)*(W$7-W$6))))</f>
        <v>9.97362499749291</v>
      </c>
      <c r="X521" s="2" t="n">
        <v>0.55721829</v>
      </c>
      <c r="Y521" s="2" t="n">
        <f aca="false">IF(Y$7=Y$5,Y$6,IF(NORMSDIST(Y$9*SQRT($C$11)*NORMSINV($B521)+SQRT(1-Y$9^2*$C$11)*NORMSINV(X521))&lt;Y$8,Y$5+SQRT(NORMSDIST(Y$9*SQRT($C$11)*NORMSINV($B521)+SQRT(1-Y$9^2*$C$11)*NORMSINV(X521))*(Y$7-Y$5)*(Y$6-Y$5)),Y$7-SQRT((1-NORMSDIST(Y$9*SQRT($C$11)*NORMSINV($B521)+SQRT(1-Y$9^2*$C$11)*NORMSINV(X521)))*(Y$7-Y$5)*(Y$7-Y$6))))</f>
        <v>0.529478103591342</v>
      </c>
      <c r="Z521" s="2" t="n">
        <v>0.910991848</v>
      </c>
      <c r="AA521" s="2" t="n">
        <f aca="false">IF(AA$7=AA$5,AA$6,IF(NORMSDIST(AA$9*SQRT($C$11)*NORMSINV($B521)+SQRT(1-AA$9^2*$C$11)*NORMSINV(Z521))&lt;AA$8,AA$5+SQRT(NORMSDIST(AA$9*SQRT($C$11)*NORMSINV($B521)+SQRT(1-AA$9^2*$C$11)*NORMSINV(Z521))*(AA$7-AA$5)*(AA$6-AA$5)),AA$7-SQRT((1-NORMSDIST(AA$9*SQRT($C$11)*NORMSINV($B521)+SQRT(1-AA$9^2*$C$11)*NORMSINV(Z521)))*(AA$7-AA$5)*(AA$7-AA$6))))</f>
        <v>0.738825496820377</v>
      </c>
      <c r="AB521" s="2" t="n">
        <v>0.210900545</v>
      </c>
      <c r="AC521" s="2" t="n">
        <f aca="false">IF(AC$7=AC$5,AC$6,IF(NORMSDIST(AC$9*SQRT($C$11)*NORMSINV($B521)+SQRT(1-AC$9^2*$C$11)*NORMSINV(AB521))&lt;AC$8,AC$5+SQRT(NORMSDIST(AC$9*SQRT($C$11)*NORMSINV($B521)+SQRT(1-AC$9^2*$C$11)*NORMSINV(AB521))*(AC$7-AC$5)*(AC$6-AC$5)),AC$7-SQRT((1-NORMSDIST(AC$9*SQRT($C$11)*NORMSINV($B521)+SQRT(1-AC$9^2*$C$11)*NORMSINV(AB521)))*(AC$7-AC$5)*(AC$7-AC$6))))</f>
        <v>8.81307775286191</v>
      </c>
      <c r="AD521" s="2" t="n">
        <f aca="false">Entrées!$C$8*(1+E521)</f>
        <v>7458.14442880307</v>
      </c>
      <c r="AE521" s="2" t="n">
        <f aca="false">I521*Hypothèses!$J$24/12/Hypothèses!$J$19</f>
        <v>104.112463858954</v>
      </c>
      <c r="AF521" s="2" t="n">
        <f aca="false">Entrées!$C$36*S521*1000</f>
        <v>303.193712839437</v>
      </c>
      <c r="AG521" s="2" t="n">
        <f aca="false">-AF521/W521</f>
        <v>-30.399550104967</v>
      </c>
      <c r="AH521" s="2" t="n">
        <f aca="false">AD521+AE521+AG521</f>
        <v>7531.85734255706</v>
      </c>
      <c r="AI521" s="2" t="n">
        <f aca="false">Entrées!$C$16-M521+Hypothèses!$J$22*1000-AF521+Hypothèses!$J$23</f>
        <v>22560.3327344846</v>
      </c>
      <c r="AJ521" s="2" t="n">
        <f aca="false">AI521/AH521</f>
        <v>2.99532130103056</v>
      </c>
      <c r="AK521" s="2" t="n">
        <f aca="false">AI521/(AH521+I521*(12-Hypothèses!$J$24)/12/Hypothèses!$J$19)</f>
        <v>2.96603604484862</v>
      </c>
      <c r="AL521" s="2" t="n">
        <f aca="false">(AD521+AG521+I521/Hypothèses!$J$19)*(1+G521)</f>
        <v>7962.01667482964</v>
      </c>
      <c r="AM521" s="2" t="n">
        <f aca="false">Entrées!$C$54*K521/Hypothèses!$J$19</f>
        <v>25.0524448809413</v>
      </c>
      <c r="AN521" s="2" t="n">
        <f aca="false">Y521*1000/AC521</f>
        <v>60.0786828891192</v>
      </c>
      <c r="AO521" s="2" t="n">
        <f aca="false">(Entrées!$C$36*(1-S521)+MAX(0,Entrées!$C$30-Entrées!$C$35-Entrées!$C$36)*U521)*1000</f>
        <v>806.844445962324</v>
      </c>
      <c r="AP521" s="2" t="n">
        <f aca="false">-AO521/W521</f>
        <v>-80.8978125972394</v>
      </c>
      <c r="AQ521" s="2" t="n">
        <f aca="false">AL521+AM521+AN521+AP521</f>
        <v>7966.24999000246</v>
      </c>
      <c r="AR521" s="2" t="n">
        <f aca="false">O521*AQ521-Hypothèses!$J$25/Hypothèses!$J$19</f>
        <v>1248.07426374881</v>
      </c>
      <c r="AS521" s="2" t="n">
        <f aca="false">Entrées!$C$79*(1+Q521)+Hypothèses!$J$20</f>
        <v>1481.69177402247</v>
      </c>
      <c r="AT521" s="2" t="n">
        <f aca="false">AI521-AR521+AS521+Y521*1000-AO521+Hypothèses!$J$23</f>
        <v>22516.5839023873</v>
      </c>
      <c r="AU521" s="2" t="n">
        <f aca="false">AT521/AQ521</f>
        <v>2.82649727671681</v>
      </c>
      <c r="AV521" s="2" t="n">
        <f aca="false">Hypothèses!$J$26*AQ521-AT521</f>
        <v>1382.16606762008</v>
      </c>
      <c r="AW521" s="2" t="n">
        <f aca="false">IF(AC521&gt;Hypothèses!$J$26,MAX(0,AV521)/(1-Hypothèses!$J$26/AC521),0)</f>
        <v>2095.47120117328</v>
      </c>
      <c r="AX521" s="2" t="n">
        <f aca="false">AQ521-Entrées!$C$17*1000</f>
        <v>-33.7500099975423</v>
      </c>
      <c r="AY521" s="2" t="n">
        <f aca="false">AI521+(Entrées!$C$244-Entrées!$C$13)</f>
        <v>28307.3327344846</v>
      </c>
      <c r="AZ521" s="2" t="n">
        <f aca="false">AA521*AH521</f>
        <v>5564.72824309492</v>
      </c>
      <c r="BA521" s="2" t="n">
        <f aca="false">AZ521/AY521</f>
        <v>0.196582570858605</v>
      </c>
      <c r="BB521" s="2" t="n">
        <f aca="false">AZ521/(Entrées!$C$151/100)-AY521</f>
        <v>2607.8241715983</v>
      </c>
      <c r="BC521" s="2" t="n">
        <f aca="false">AT521+(Entrées!$C$244-Entrées!$C$13)</f>
        <v>28263.5839023873</v>
      </c>
      <c r="BD521" s="2" t="n">
        <f aca="false">AA521*AQ521</f>
        <v>5885.66860665889</v>
      </c>
      <c r="BE521" s="2" t="n">
        <f aca="false">BD521/BC521</f>
        <v>0.208242119151838</v>
      </c>
      <c r="BF521" s="2" t="n">
        <f aca="false">BD521/(Entrées!$C$151/100)-BC521</f>
        <v>4434.57502349543</v>
      </c>
      <c r="BG521" s="2" t="n">
        <f aca="false">MIN(AV521,BF521)</f>
        <v>1382.16606762008</v>
      </c>
      <c r="BH521" s="2" t="n">
        <f aca="false">IF(AC521&gt;Hypothèses!$J$26,MAX(0,BG521)/(1-Hypothèses!$J$26/AC521),0)</f>
        <v>2095.47120117328</v>
      </c>
    </row>
    <row r="522" customFormat="false" ht="15" hidden="false" customHeight="false" outlineLevel="0" collapsed="false">
      <c r="A522" s="2" t="n">
        <v>507</v>
      </c>
      <c r="B522" s="2" t="n">
        <v>0.50094882</v>
      </c>
      <c r="C522" s="2"/>
      <c r="D522" s="2" t="n">
        <v>0.235202834</v>
      </c>
      <c r="E522" s="2" t="n">
        <f aca="false">IF(E$7=E$5,E$6,IF(NORMSDIST(E$9*SQRT($C$11)*NORMSINV($B522)+SQRT(1-E$9^2*$C$11)*NORMSINV(D522))&lt;E$8,E$5+SQRT(NORMSDIST(E$9*SQRT($C$11)*NORMSINV($B522)+SQRT(1-E$9^2*$C$11)*NORMSINV(D522))*(E$7-E$5)*(E$6-E$5)),E$7-SQRT((1-NORMSDIST(E$9*SQRT($C$11)*NORMSINV($B522)+SQRT(1-E$9^2*$C$11)*NORMSINV(D522)))*(E$7-E$5)*(E$7-E$6))))</f>
        <v>0.0537983800424914</v>
      </c>
      <c r="F522" s="2" t="n">
        <v>0.22280937</v>
      </c>
      <c r="G522" s="2" t="n">
        <f aca="false">IF(G$7=G$5,G$6,IF(NORMSDIST(G$9*SQRT($C$11)*NORMSINV($B522)+SQRT(1-G$9^2*$C$11)*NORMSINV(F522))&lt;G$8,G$5+SQRT(NORMSDIST(G$9*SQRT($C$11)*NORMSINV($B522)+SQRT(1-G$9^2*$C$11)*NORMSINV(F522))*(G$7-G$5)*(G$6-G$5)),G$7-SQRT((1-NORMSDIST(G$9*SQRT($C$11)*NORMSINV($B522)+SQRT(1-G$9^2*$C$11)*NORMSINV(F522)))*(G$7-G$5)*(G$7-G$6))))</f>
        <v>0.0511813148647964</v>
      </c>
      <c r="H522" s="2" t="n">
        <v>0.130049817</v>
      </c>
      <c r="I522" s="2" t="n">
        <f aca="false">IF(I$7=I$5,I$6,IF(NORMSDIST(I$9*SQRT($C$11)*NORMSINV($B522)+SQRT(1-I$9^2*$C$11)*NORMSINV(H522))&lt;I$8,I$5+SQRT(NORMSDIST(I$9*SQRT($C$11)*NORMSINV($B522)+SQRT(1-I$9^2*$C$11)*NORMSINV(H522))*(I$7-I$5)*(I$6-I$5)),I$7-SQRT((1-NORMSDIST(I$9*SQRT($C$11)*NORMSINV($B522)+SQRT(1-I$9^2*$C$11)*NORMSINV(H522)))*(I$7-I$5)*(I$7-I$6))))</f>
        <v>192.391233732539</v>
      </c>
      <c r="J522" s="2" t="n">
        <v>0.240185207</v>
      </c>
      <c r="K522" s="2" t="n">
        <f aca="false">IF(K$7=K$5,K$6,IF(NORMSDIST(K$9*SQRT($C$11)*NORMSINV($B522)+SQRT(1-K$9^2*$C$11)*NORMSINV(J522))&lt;K$8,K$5+SQRT(NORMSDIST(K$9*SQRT($C$11)*NORMSINV($B522)+SQRT(1-K$9^2*$C$11)*NORMSINV(J522))*(K$7-K$5)*(K$6-K$5)),K$7-SQRT((1-NORMSDIST(K$9*SQRT($C$11)*NORMSINV($B522)+SQRT(1-K$9^2*$C$11)*NORMSINV(J522)))*(K$7-K$5)*(K$7-K$6))))</f>
        <v>0.191321283120623</v>
      </c>
      <c r="L522" s="2" t="n">
        <v>0.381270896</v>
      </c>
      <c r="M522" s="2" t="n">
        <f aca="false">IF(M$7=M$5,M$6,IF(NORMSDIST(M$9*SQRT($C$11)*NORMSINV($B522)+SQRT(1-M$9^2*$C$11)*NORMSINV(L522))&lt;M$8,M$5+SQRT(NORMSDIST(M$9*SQRT($C$11)*NORMSINV($B522)+SQRT(1-M$9^2*$C$11)*NORMSINV(L522))*(M$7-M$5)*(M$6-M$5)),M$7-SQRT((1-NORMSDIST(M$9*SQRT($C$11)*NORMSINV($B522)+SQRT(1-M$9^2*$C$11)*NORMSINV(L522)))*(M$7-M$5)*(M$7-M$6))))</f>
        <v>1558.09374149422</v>
      </c>
      <c r="N522" s="2" t="n">
        <v>0.758127126</v>
      </c>
      <c r="O522" s="2" t="n">
        <f aca="false">IF(O$7=O$5,O$6,IF(NORMSDIST(O$9*SQRT($C$11)*NORMSINV($B522)+SQRT(1-O$9^2*$C$11)*NORMSINV(N522))&lt;O$8,O$5+SQRT(NORMSDIST(O$9*SQRT($C$11)*NORMSINV($B522)+SQRT(1-O$9^2*$C$11)*NORMSINV(N522))*(O$7-O$5)*(O$6-O$5)),O$7-SQRT((1-NORMSDIST(O$9*SQRT($C$11)*NORMSINV($B522)+SQRT(1-O$9^2*$C$11)*NORMSINV(N522)))*(O$7-O$5)*(O$7-O$6))))</f>
        <v>0.172326494925516</v>
      </c>
      <c r="P522" s="2" t="n">
        <v>0.663621506</v>
      </c>
      <c r="Q522" s="2" t="n">
        <f aca="false">IF(Q$7=Q$5,Q$6,IF(NORMSDIST(Q$9*SQRT($C$11)*NORMSINV($B522)+SQRT(1-Q$9^2*$C$11)*NORMSINV(P522))&lt;Q$8,Q$5+SQRT(NORMSDIST(Q$9*SQRT($C$11)*NORMSINV($B522)+SQRT(1-Q$9^2*$C$11)*NORMSINV(P522))*(Q$7-Q$5)*(Q$6-Q$5)),Q$7-SQRT((1-NORMSDIST(Q$9*SQRT($C$11)*NORMSINV($B522)+SQRT(1-Q$9^2*$C$11)*NORMSINV(P522)))*(Q$7-Q$5)*(Q$7-Q$6))))</f>
        <v>0.087191294130978</v>
      </c>
      <c r="R522" s="2" t="n">
        <v>0.544951598</v>
      </c>
      <c r="S522" s="2" t="n">
        <f aca="false">IF(S$7=S$5,S$6,IF(NORMSDIST(S$9*SQRT($C$11)*NORMSINV($B522)+SQRT(1-S$9^2*$C$11)*NORMSINV(R522))&lt;S$8,S$5+SQRT(NORMSDIST(S$9*SQRT($C$11)*NORMSINV($B522)+SQRT(1-S$9^2*$C$11)*NORMSINV(R522))*(S$7-S$5)*(S$6-S$5)),S$7-SQRT((1-NORMSDIST(S$9*SQRT($C$11)*NORMSINV($B522)+SQRT(1-S$9^2*$C$11)*NORMSINV(R522)))*(S$7-S$5)*(S$7-S$6))))</f>
        <v>0.518049112277393</v>
      </c>
      <c r="T522" s="2" t="n">
        <v>0.237781543</v>
      </c>
      <c r="U522" s="2" t="n">
        <f aca="false">IF(U$7=U$5,U$6,IF(NORMSDIST(U$9*SQRT($C$11)*NORMSINV($B522)+SQRT(1-U$9^2*$C$11)*NORMSINV(T522))&lt;U$8,U$5+SQRT(NORMSDIST(U$9*SQRT($C$11)*NORMSINV($B522)+SQRT(1-U$9^2*$C$11)*NORMSINV(T522))*(U$7-U$5)*(U$6-U$5)),U$7-SQRT((1-NORMSDIST(U$9*SQRT($C$11)*NORMSINV($B522)+SQRT(1-U$9^2*$C$11)*NORMSINV(T522)))*(U$7-U$5)*(U$7-U$6))))</f>
        <v>0.38129374342161</v>
      </c>
      <c r="V522" s="2" t="n">
        <v>0.382638858</v>
      </c>
      <c r="W522" s="2" t="n">
        <f aca="false">IF(W$7=W$5,W$6,IF(NORMSDIST(W$9*SQRT($C$11)*NORMSINV($B522)+SQRT(1-W$9^2*$C$11)*NORMSINV(V522))&lt;W$8,W$5+SQRT(NORMSDIST(W$9*SQRT($C$11)*NORMSINV($B522)+SQRT(1-W$9^2*$C$11)*NORMSINV(V522))*(W$7-W$5)*(W$6-W$5)),W$7-SQRT((1-NORMSDIST(W$9*SQRT($C$11)*NORMSINV($B522)+SQRT(1-W$9^2*$C$11)*NORMSINV(V522)))*(W$7-W$5)*(W$7-W$6))))</f>
        <v>9.80917690128473</v>
      </c>
      <c r="X522" s="2" t="n">
        <v>0.193192079</v>
      </c>
      <c r="Y522" s="2" t="n">
        <f aca="false">IF(Y$7=Y$5,Y$6,IF(NORMSDIST(Y$9*SQRT($C$11)*NORMSINV($B522)+SQRT(1-Y$9^2*$C$11)*NORMSINV(X522))&lt;Y$8,Y$5+SQRT(NORMSDIST(Y$9*SQRT($C$11)*NORMSINV($B522)+SQRT(1-Y$9^2*$C$11)*NORMSINV(X522))*(Y$7-Y$5)*(Y$6-Y$5)),Y$7-SQRT((1-NORMSDIST(Y$9*SQRT($C$11)*NORMSINV($B522)+SQRT(1-Y$9^2*$C$11)*NORMSINV(X522)))*(Y$7-Y$5)*(Y$7-Y$6))))</f>
        <v>0.310799033943158</v>
      </c>
      <c r="Z522" s="2" t="n">
        <v>0.061761212</v>
      </c>
      <c r="AA522" s="2" t="n">
        <f aca="false">IF(AA$7=AA$5,AA$6,IF(NORMSDIST(AA$9*SQRT($C$11)*NORMSINV($B522)+SQRT(1-AA$9^2*$C$11)*NORMSINV(Z522))&lt;AA$8,AA$5+SQRT(NORMSDIST(AA$9*SQRT($C$11)*NORMSINV($B522)+SQRT(1-AA$9^2*$C$11)*NORMSINV(Z522))*(AA$7-AA$5)*(AA$6-AA$5)),AA$7-SQRT((1-NORMSDIST(AA$9*SQRT($C$11)*NORMSINV($B522)+SQRT(1-AA$9^2*$C$11)*NORMSINV(Z522)))*(AA$7-AA$5)*(AA$7-AA$6))))</f>
        <v>0.711134582729439</v>
      </c>
      <c r="AB522" s="2" t="n">
        <v>0.720551443</v>
      </c>
      <c r="AC522" s="2" t="n">
        <f aca="false">IF(AC$7=AC$5,AC$6,IF(NORMSDIST(AC$9*SQRT($C$11)*NORMSINV($B522)+SQRT(1-AC$9^2*$C$11)*NORMSINV(AB522))&lt;AC$8,AC$5+SQRT(NORMSDIST(AC$9*SQRT($C$11)*NORMSINV($B522)+SQRT(1-AC$9^2*$C$11)*NORMSINV(AB522))*(AC$7-AC$5)*(AC$6-AC$5)),AC$7-SQRT((1-NORMSDIST(AC$9*SQRT($C$11)*NORMSINV($B522)+SQRT(1-AC$9^2*$C$11)*NORMSINV(AB522)))*(AC$7-AC$5)*(AC$7-AC$6))))</f>
        <v>9.81540896727517</v>
      </c>
      <c r="AD522" s="2" t="n">
        <f aca="false">Entrées!$C$8*(1+E522)</f>
        <v>7429.27857929956</v>
      </c>
      <c r="AE522" s="2" t="n">
        <f aca="false">I522*Hypothèses!$J$24/12/Hypothèses!$J$19</f>
        <v>95.4446752826138</v>
      </c>
      <c r="AF522" s="2" t="n">
        <f aca="false">Entrées!$C$36*S522*1000</f>
        <v>259.024556138696</v>
      </c>
      <c r="AG522" s="2" t="n">
        <f aca="false">-AF522/W522</f>
        <v>-26.4063497626158</v>
      </c>
      <c r="AH522" s="2" t="n">
        <f aca="false">AD522+AE522+AG522</f>
        <v>7498.31690481956</v>
      </c>
      <c r="AI522" s="2" t="n">
        <f aca="false">Entrées!$C$16-M522+Hypothèses!$J$22*1000-AF522+Hypothèses!$J$23</f>
        <v>22730.8817023671</v>
      </c>
      <c r="AJ522" s="2" t="n">
        <f aca="false">AI522/AH522</f>
        <v>3.03146452609342</v>
      </c>
      <c r="AK522" s="2" t="n">
        <f aca="false">AI522/(AH522+I522*(12-Hypothèses!$J$24)/12/Hypothèses!$J$19)</f>
        <v>3.00415075904252</v>
      </c>
      <c r="AL522" s="2" t="n">
        <f aca="false">(AD522+AG522+I522/Hypothèses!$J$19)*(1+G522)</f>
        <v>7953.75466561003</v>
      </c>
      <c r="AM522" s="2" t="n">
        <f aca="false">Entrées!$C$54*K522/Hypothèses!$J$19</f>
        <v>19.5251402486166</v>
      </c>
      <c r="AN522" s="2" t="n">
        <f aca="false">Y522*1000/AC522</f>
        <v>31.6643998206667</v>
      </c>
      <c r="AO522" s="2" t="n">
        <f aca="false">(Entrées!$C$36*(1-S522)+MAX(0,Entrées!$C$30-Entrées!$C$35-Entrées!$C$36)*U522)*1000</f>
        <v>774.786684651558</v>
      </c>
      <c r="AP522" s="2" t="n">
        <f aca="false">-AO522/W522</f>
        <v>-78.9859019210962</v>
      </c>
      <c r="AQ522" s="2" t="n">
        <f aca="false">AL522+AM522+AN522+AP522</f>
        <v>7925.95830375822</v>
      </c>
      <c r="AR522" s="2" t="n">
        <f aca="false">O522*AQ522-Hypothèses!$J$25/Hypothèses!$J$19</f>
        <v>1346.71745115082</v>
      </c>
      <c r="AS522" s="2" t="n">
        <f aca="false">Entrées!$C$79*(1+Q522)+Hypothèses!$J$20</f>
        <v>1489.82323224994</v>
      </c>
      <c r="AT522" s="2" t="n">
        <f aca="false">AI522-AR522+AS522+Y522*1000-AO522+Hypothèses!$J$23</f>
        <v>22409.9998327578</v>
      </c>
      <c r="AU522" s="2" t="n">
        <f aca="false">AT522/AQ522</f>
        <v>2.82741833528594</v>
      </c>
      <c r="AV522" s="2" t="n">
        <f aca="false">Hypothèses!$J$26*AQ522-AT522</f>
        <v>1367.87507851684</v>
      </c>
      <c r="AW522" s="2" t="n">
        <f aca="false">IF(AC522&gt;Hypothèses!$J$26,MAX(0,AV522)/(1-Hypothèses!$J$26/AC522),0)</f>
        <v>1969.98498200972</v>
      </c>
      <c r="AX522" s="2" t="n">
        <f aca="false">AQ522-Entrées!$C$17*1000</f>
        <v>-74.041696241783</v>
      </c>
      <c r="AY522" s="2" t="n">
        <f aca="false">AI522+(Entrées!$C$244-Entrées!$C$13)</f>
        <v>28477.8817023671</v>
      </c>
      <c r="AZ522" s="2" t="n">
        <f aca="false">AA522*AH522</f>
        <v>5332.31246328196</v>
      </c>
      <c r="BA522" s="2" t="n">
        <f aca="false">AZ522/AY522</f>
        <v>0.187243999361046</v>
      </c>
      <c r="BB522" s="2" t="n">
        <f aca="false">AZ522/(Entrées!$C$151/100)-AY522</f>
        <v>1146.07642697714</v>
      </c>
      <c r="BC522" s="2" t="n">
        <f aca="false">AT522+(Entrées!$C$244-Entrées!$C$13)</f>
        <v>28156.9998327578</v>
      </c>
      <c r="BD522" s="2" t="n">
        <f aca="false">AA522*AQ522</f>
        <v>5636.42305107403</v>
      </c>
      <c r="BE522" s="2" t="n">
        <f aca="false">BD522/BC522</f>
        <v>0.200178395587325</v>
      </c>
      <c r="BF522" s="2" t="n">
        <f aca="false">BD522/(Entrées!$C$151/100)-BC522</f>
        <v>3156.46156209793</v>
      </c>
      <c r="BG522" s="2" t="n">
        <f aca="false">MIN(AV522,BF522)</f>
        <v>1367.87507851684</v>
      </c>
      <c r="BH522" s="2" t="n">
        <f aca="false">IF(AC522&gt;Hypothèses!$J$26,MAX(0,BG522)/(1-Hypothèses!$J$26/AC522),0)</f>
        <v>1969.98498200972</v>
      </c>
    </row>
    <row r="523" customFormat="false" ht="15" hidden="false" customHeight="false" outlineLevel="0" collapsed="false">
      <c r="A523" s="2" t="n">
        <v>508</v>
      </c>
      <c r="B523" s="2" t="n">
        <v>0.398447417</v>
      </c>
      <c r="C523" s="2"/>
      <c r="D523" s="2" t="n">
        <v>0.402066281</v>
      </c>
      <c r="E523" s="2" t="n">
        <f aca="false">IF(E$7=E$5,E$6,IF(NORMSDIST(E$9*SQRT($C$11)*NORMSINV($B523)+SQRT(1-E$9^2*$C$11)*NORMSINV(D523))&lt;E$8,E$5+SQRT(NORMSDIST(E$9*SQRT($C$11)*NORMSINV($B523)+SQRT(1-E$9^2*$C$11)*NORMSINV(D523))*(E$7-E$5)*(E$6-E$5)),E$7-SQRT((1-NORMSDIST(E$9*SQRT($C$11)*NORMSINV($B523)+SQRT(1-E$9^2*$C$11)*NORMSINV(D523)))*(E$7-E$5)*(E$7-E$6))))</f>
        <v>0.0542505377358501</v>
      </c>
      <c r="F523" s="2" t="n">
        <v>0.179174864</v>
      </c>
      <c r="G523" s="2" t="n">
        <f aca="false">IF(G$7=G$5,G$6,IF(NORMSDIST(G$9*SQRT($C$11)*NORMSINV($B523)+SQRT(1-G$9^2*$C$11)*NORMSINV(F523))&lt;G$8,G$5+SQRT(NORMSDIST(G$9*SQRT($C$11)*NORMSINV($B523)+SQRT(1-G$9^2*$C$11)*NORMSINV(F523))*(G$7-G$5)*(G$6-G$5)),G$7-SQRT((1-NORMSDIST(G$9*SQRT($C$11)*NORMSINV($B523)+SQRT(1-G$9^2*$C$11)*NORMSINV(F523)))*(G$7-G$5)*(G$7-G$6))))</f>
        <v>0.049270693785135</v>
      </c>
      <c r="H523" s="2" t="n">
        <v>0.632835124</v>
      </c>
      <c r="I523" s="2" t="n">
        <f aca="false">IF(I$7=I$5,I$6,IF(NORMSDIST(I$9*SQRT($C$11)*NORMSINV($B523)+SQRT(1-I$9^2*$C$11)*NORMSINV(H523))&lt;I$8,I$5+SQRT(NORMSDIST(I$9*SQRT($C$11)*NORMSINV($B523)+SQRT(1-I$9^2*$C$11)*NORMSINV(H523))*(I$7-I$5)*(I$6-I$5)),I$7-SQRT((1-NORMSDIST(I$9*SQRT($C$11)*NORMSINV($B523)+SQRT(1-I$9^2*$C$11)*NORMSINV(H523)))*(I$7-I$5)*(I$7-I$6))))</f>
        <v>200.813932344554</v>
      </c>
      <c r="J523" s="2" t="n">
        <v>0.441258358</v>
      </c>
      <c r="K523" s="2" t="n">
        <f aca="false">IF(K$7=K$5,K$6,IF(NORMSDIST(K$9*SQRT($C$11)*NORMSINV($B523)+SQRT(1-K$9^2*$C$11)*NORMSINV(J523))&lt;K$8,K$5+SQRT(NORMSDIST(K$9*SQRT($C$11)*NORMSINV($B523)+SQRT(1-K$9^2*$C$11)*NORMSINV(J523))*(K$7-K$5)*(K$6-K$5)),K$7-SQRT((1-NORMSDIST(K$9*SQRT($C$11)*NORMSINV($B523)+SQRT(1-K$9^2*$C$11)*NORMSINV(J523)))*(K$7-K$5)*(K$7-K$6))))</f>
        <v>0.22101941416363</v>
      </c>
      <c r="L523" s="2" t="n">
        <v>0.285198101</v>
      </c>
      <c r="M523" s="2" t="n">
        <f aca="false">IF(M$7=M$5,M$6,IF(NORMSDIST(M$9*SQRT($C$11)*NORMSINV($B523)+SQRT(1-M$9^2*$C$11)*NORMSINV(L523))&lt;M$8,M$5+SQRT(NORMSDIST(M$9*SQRT($C$11)*NORMSINV($B523)+SQRT(1-M$9^2*$C$11)*NORMSINV(L523))*(M$7-M$5)*(M$6-M$5)),M$7-SQRT((1-NORMSDIST(M$9*SQRT($C$11)*NORMSINV($B523)+SQRT(1-M$9^2*$C$11)*NORMSINV(L523)))*(M$7-M$5)*(M$7-M$6))))</f>
        <v>1511.86836968568</v>
      </c>
      <c r="N523" s="2" t="n">
        <v>0.928689624</v>
      </c>
      <c r="O523" s="2" t="n">
        <f aca="false">IF(O$7=O$5,O$6,IF(NORMSDIST(O$9*SQRT($C$11)*NORMSINV($B523)+SQRT(1-O$9^2*$C$11)*NORMSINV(N523))&lt;O$8,O$5+SQRT(NORMSDIST(O$9*SQRT($C$11)*NORMSINV($B523)+SQRT(1-O$9^2*$C$11)*NORMSINV(N523))*(O$7-O$5)*(O$6-O$5)),O$7-SQRT((1-NORMSDIST(O$9*SQRT($C$11)*NORMSINV($B523)+SQRT(1-O$9^2*$C$11)*NORMSINV(N523)))*(O$7-O$5)*(O$7-O$6))))</f>
        <v>0.17673026515936</v>
      </c>
      <c r="P523" s="2" t="n">
        <v>0.730630476</v>
      </c>
      <c r="Q523" s="2" t="n">
        <f aca="false">IF(Q$7=Q$5,Q$6,IF(NORMSDIST(Q$9*SQRT($C$11)*NORMSINV($B523)+SQRT(1-Q$9^2*$C$11)*NORMSINV(P523))&lt;Q$8,Q$5+SQRT(NORMSDIST(Q$9*SQRT($C$11)*NORMSINV($B523)+SQRT(1-Q$9^2*$C$11)*NORMSINV(P523))*(Q$7-Q$5)*(Q$6-Q$5)),Q$7-SQRT((1-NORMSDIST(Q$9*SQRT($C$11)*NORMSINV($B523)+SQRT(1-Q$9^2*$C$11)*NORMSINV(P523)))*(Q$7-Q$5)*(Q$7-Q$6))))</f>
        <v>0.0906404619109905</v>
      </c>
      <c r="R523" s="2" t="n">
        <v>0.440631962</v>
      </c>
      <c r="S523" s="2" t="n">
        <f aca="false">IF(S$7=S$5,S$6,IF(NORMSDIST(S$9*SQRT($C$11)*NORMSINV($B523)+SQRT(1-S$9^2*$C$11)*NORMSINV(R523))&lt;S$8,S$5+SQRT(NORMSDIST(S$9*SQRT($C$11)*NORMSINV($B523)+SQRT(1-S$9^2*$C$11)*NORMSINV(R523))*(S$7-S$5)*(S$6-S$5)),S$7-SQRT((1-NORMSDIST(S$9*SQRT($C$11)*NORMSINV($B523)+SQRT(1-S$9^2*$C$11)*NORMSINV(R523)))*(S$7-S$5)*(S$7-S$6))))</f>
        <v>0.44177179600068</v>
      </c>
      <c r="T523" s="2" t="n">
        <v>0.544296205</v>
      </c>
      <c r="U523" s="2" t="n">
        <f aca="false">IF(U$7=U$5,U$6,IF(NORMSDIST(U$9*SQRT($C$11)*NORMSINV($B523)+SQRT(1-U$9^2*$C$11)*NORMSINV(T523))&lt;U$8,U$5+SQRT(NORMSDIST(U$9*SQRT($C$11)*NORMSINV($B523)+SQRT(1-U$9^2*$C$11)*NORMSINV(T523))*(U$7-U$5)*(U$6-U$5)),U$7-SQRT((1-NORMSDIST(U$9*SQRT($C$11)*NORMSINV($B523)+SQRT(1-U$9^2*$C$11)*NORMSINV(T523)))*(U$7-U$5)*(U$7-U$6))))</f>
        <v>0.484497178867043</v>
      </c>
      <c r="V523" s="2" t="n">
        <v>0.31855098</v>
      </c>
      <c r="W523" s="2" t="n">
        <f aca="false">IF(W$7=W$5,W$6,IF(NORMSDIST(W$9*SQRT($C$11)*NORMSINV($B523)+SQRT(1-W$9^2*$C$11)*NORMSINV(V523))&lt;W$8,W$5+SQRT(NORMSDIST(W$9*SQRT($C$11)*NORMSINV($B523)+SQRT(1-W$9^2*$C$11)*NORMSINV(V523))*(W$7-W$5)*(W$6-W$5)),W$7-SQRT((1-NORMSDIST(W$9*SQRT($C$11)*NORMSINV($B523)+SQRT(1-W$9^2*$C$11)*NORMSINV(V523)))*(W$7-W$5)*(W$7-W$6))))</f>
        <v>9.54578810176104</v>
      </c>
      <c r="X523" s="2" t="n">
        <v>0.199473183</v>
      </c>
      <c r="Y523" s="2" t="n">
        <f aca="false">IF(Y$7=Y$5,Y$6,IF(NORMSDIST(Y$9*SQRT($C$11)*NORMSINV($B523)+SQRT(1-Y$9^2*$C$11)*NORMSINV(X523))&lt;Y$8,Y$5+SQRT(NORMSDIST(Y$9*SQRT($C$11)*NORMSINV($B523)+SQRT(1-Y$9^2*$C$11)*NORMSINV(X523))*(Y$7-Y$5)*(Y$6-Y$5)),Y$7-SQRT((1-NORMSDIST(Y$9*SQRT($C$11)*NORMSINV($B523)+SQRT(1-Y$9^2*$C$11)*NORMSINV(X523)))*(Y$7-Y$5)*(Y$7-Y$6))))</f>
        <v>0.315811005983009</v>
      </c>
      <c r="Z523" s="2" t="n">
        <v>0.610074521</v>
      </c>
      <c r="AA523" s="2" t="n">
        <f aca="false">IF(AA$7=AA$5,AA$6,IF(NORMSDIST(AA$9*SQRT($C$11)*NORMSINV($B523)+SQRT(1-AA$9^2*$C$11)*NORMSINV(Z523))&lt;AA$8,AA$5+SQRT(NORMSDIST(AA$9*SQRT($C$11)*NORMSINV($B523)+SQRT(1-AA$9^2*$C$11)*NORMSINV(Z523))*(AA$7-AA$5)*(AA$6-AA$5)),AA$7-SQRT((1-NORMSDIST(AA$9*SQRT($C$11)*NORMSINV($B523)+SQRT(1-AA$9^2*$C$11)*NORMSINV(Z523)))*(AA$7-AA$5)*(AA$7-AA$6))))</f>
        <v>0.728745386705424</v>
      </c>
      <c r="AB523" s="2" t="n">
        <v>0.376133105</v>
      </c>
      <c r="AC523" s="2" t="n">
        <f aca="false">IF(AC$7=AC$5,AC$6,IF(NORMSDIST(AC$9*SQRT($C$11)*NORMSINV($B523)+SQRT(1-AC$9^2*$C$11)*NORMSINV(AB523))&lt;AC$8,AC$5+SQRT(NORMSDIST(AC$9*SQRT($C$11)*NORMSINV($B523)+SQRT(1-AC$9^2*$C$11)*NORMSINV(AB523))*(AC$7-AC$5)*(AC$6-AC$5)),AC$7-SQRT((1-NORMSDIST(AC$9*SQRT($C$11)*NORMSINV($B523)+SQRT(1-AC$9^2*$C$11)*NORMSINV(AB523)))*(AC$7-AC$5)*(AC$7-AC$6))))</f>
        <v>9.11873068462199</v>
      </c>
      <c r="AD523" s="2" t="n">
        <f aca="false">Entrées!$C$8*(1+E523)</f>
        <v>7432.46629103774</v>
      </c>
      <c r="AE523" s="2" t="n">
        <f aca="false">I523*Hypothèses!$J$24/12/Hypothèses!$J$19</f>
        <v>99.6231491061389</v>
      </c>
      <c r="AF523" s="2" t="n">
        <f aca="false">Entrées!$C$36*S523*1000</f>
        <v>220.88589800034</v>
      </c>
      <c r="AG523" s="2" t="n">
        <f aca="false">-AF523/W523</f>
        <v>-23.1396188188579</v>
      </c>
      <c r="AH523" s="2" t="n">
        <f aca="false">AD523+AE523+AG523</f>
        <v>7508.94982132502</v>
      </c>
      <c r="AI523" s="2" t="n">
        <f aca="false">Entrées!$C$16-M523+Hypothèses!$J$22*1000-AF523+Hypothèses!$J$23</f>
        <v>22815.245732314</v>
      </c>
      <c r="AJ523" s="2" t="n">
        <f aca="false">AI523/AH523</f>
        <v>3.038407004335</v>
      </c>
      <c r="AK523" s="2" t="n">
        <f aca="false">AI523/(AH523+I523*(12-Hypothèses!$J$24)/12/Hypothèses!$J$19)</f>
        <v>3.00988351085352</v>
      </c>
      <c r="AL523" s="2" t="n">
        <f aca="false">(AD523+AG523+I523/Hypothèses!$J$19)*(1+G523)</f>
        <v>7953.58645346209</v>
      </c>
      <c r="AM523" s="2" t="n">
        <f aca="false">Entrées!$C$54*K523/Hypothèses!$J$19</f>
        <v>22.5559592159497</v>
      </c>
      <c r="AN523" s="2" t="n">
        <f aca="false">Y523*1000/AC523</f>
        <v>34.6332200067712</v>
      </c>
      <c r="AO523" s="2" t="n">
        <f aca="false">(Entrées!$C$36*(1-S523)+MAX(0,Entrées!$C$30-Entrées!$C$35-Entrées!$C$36)*U523)*1000</f>
        <v>957.41015241352</v>
      </c>
      <c r="AP523" s="2" t="n">
        <f aca="false">-AO523/W523</f>
        <v>-100.296606441211</v>
      </c>
      <c r="AQ523" s="2" t="n">
        <f aca="false">AL523+AM523+AN523+AP523</f>
        <v>7910.4790262436</v>
      </c>
      <c r="AR523" s="2" t="n">
        <f aca="false">O523*AQ523-Hypothèses!$J$25/Hypothèses!$J$19</f>
        <v>1378.88589358396</v>
      </c>
      <c r="AS523" s="2" t="n">
        <f aca="false">Entrées!$C$79*(1+Q523)+Hypothèses!$J$20</f>
        <v>1493.61386764018</v>
      </c>
      <c r="AT523" s="2" t="n">
        <f aca="false">AI523-AR523+AS523+Y523*1000-AO523+Hypothèses!$J$23</f>
        <v>22288.3745599397</v>
      </c>
      <c r="AU523" s="2" t="n">
        <f aca="false">AT523/AQ523</f>
        <v>2.81757583655761</v>
      </c>
      <c r="AV523" s="2" t="n">
        <f aca="false">Hypothèses!$J$26*AQ523-AT523</f>
        <v>1443.0625187911</v>
      </c>
      <c r="AW523" s="2" t="n">
        <f aca="false">IF(AC523&gt;Hypothèses!$J$26,MAX(0,AV523)/(1-Hypothèses!$J$26/AC523),0)</f>
        <v>2150.59285138993</v>
      </c>
      <c r="AX523" s="2" t="n">
        <f aca="false">AQ523-Entrées!$C$17*1000</f>
        <v>-89.5209737564037</v>
      </c>
      <c r="AY523" s="2" t="n">
        <f aca="false">AI523+(Entrées!$C$244-Entrées!$C$13)</f>
        <v>28562.245732314</v>
      </c>
      <c r="AZ523" s="2" t="n">
        <f aca="false">AA523*AH523</f>
        <v>5472.11254129313</v>
      </c>
      <c r="BA523" s="2" t="n">
        <f aca="false">AZ523/AY523</f>
        <v>0.191585514408702</v>
      </c>
      <c r="BB523" s="2" t="n">
        <f aca="false">AZ523/(Entrées!$C$151/100)-AY523</f>
        <v>1838.3794970923</v>
      </c>
      <c r="BC523" s="2" t="n">
        <f aca="false">AT523+(Entrées!$C$244-Entrées!$C$13)</f>
        <v>28035.3745599397</v>
      </c>
      <c r="BD523" s="2" t="n">
        <f aca="false">AA523*AQ523</f>
        <v>5764.72509700504</v>
      </c>
      <c r="BE523" s="2" t="n">
        <f aca="false">BD523/BC523</f>
        <v>0.205623259453161</v>
      </c>
      <c r="BF523" s="2" t="n">
        <f aca="false">BD523/(Entrées!$C$151/100)-BC523</f>
        <v>3990.87597897717</v>
      </c>
      <c r="BG523" s="2" t="n">
        <f aca="false">MIN(AV523,BF523)</f>
        <v>1443.0625187911</v>
      </c>
      <c r="BH523" s="2" t="n">
        <f aca="false">IF(AC523&gt;Hypothèses!$J$26,MAX(0,BG523)/(1-Hypothèses!$J$26/AC523),0)</f>
        <v>2150.59285138993</v>
      </c>
    </row>
    <row r="524" customFormat="false" ht="15" hidden="false" customHeight="false" outlineLevel="0" collapsed="false">
      <c r="A524" s="2" t="n">
        <v>509</v>
      </c>
      <c r="B524" s="2" t="n">
        <v>0.343501488</v>
      </c>
      <c r="C524" s="2"/>
      <c r="D524" s="2" t="n">
        <v>0.967487618</v>
      </c>
      <c r="E524" s="2" t="n">
        <f aca="false">IF(E$7=E$5,E$6,IF(NORMSDIST(E$9*SQRT($C$11)*NORMSINV($B524)+SQRT(1-E$9^2*$C$11)*NORMSINV(D524))&lt;E$8,E$5+SQRT(NORMSDIST(E$9*SQRT($C$11)*NORMSINV($B524)+SQRT(1-E$9^2*$C$11)*NORMSINV(D524))*(E$7-E$5)*(E$6-E$5)),E$7-SQRT((1-NORMSDIST(E$9*SQRT($C$11)*NORMSINV($B524)+SQRT(1-E$9^2*$C$11)*NORMSINV(D524)))*(E$7-E$5)*(E$7-E$6))))</f>
        <v>0.0575492434444718</v>
      </c>
      <c r="F524" s="2" t="n">
        <v>0.600324728</v>
      </c>
      <c r="G524" s="2" t="n">
        <f aca="false">IF(G$7=G$5,G$6,IF(NORMSDIST(G$9*SQRT($C$11)*NORMSINV($B524)+SQRT(1-G$9^2*$C$11)*NORMSINV(F524))&lt;G$8,G$5+SQRT(NORMSDIST(G$9*SQRT($C$11)*NORMSINV($B524)+SQRT(1-G$9^2*$C$11)*NORMSINV(F524))*(G$7-G$5)*(G$6-G$5)),G$7-SQRT((1-NORMSDIST(G$9*SQRT($C$11)*NORMSINV($B524)+SQRT(1-G$9^2*$C$11)*NORMSINV(F524)))*(G$7-G$5)*(G$7-G$6))))</f>
        <v>0.0546493779583531</v>
      </c>
      <c r="H524" s="2" t="n">
        <v>0.500635962</v>
      </c>
      <c r="I524" s="2" t="n">
        <f aca="false">IF(I$7=I$5,I$6,IF(NORMSDIST(I$9*SQRT($C$11)*NORMSINV($B524)+SQRT(1-I$9^2*$C$11)*NORMSINV(H524))&lt;I$8,I$5+SQRT(NORMSDIST(I$9*SQRT($C$11)*NORMSINV($B524)+SQRT(1-I$9^2*$C$11)*NORMSINV(H524))*(I$7-I$5)*(I$6-I$5)),I$7-SQRT((1-NORMSDIST(I$9*SQRT($C$11)*NORMSINV($B524)+SQRT(1-I$9^2*$C$11)*NORMSINV(H524)))*(I$7-I$5)*(I$7-I$6))))</f>
        <v>197.886378808738</v>
      </c>
      <c r="J524" s="2" t="n">
        <v>0.625067922</v>
      </c>
      <c r="K524" s="2" t="n">
        <f aca="false">IF(K$7=K$5,K$6,IF(NORMSDIST(K$9*SQRT($C$11)*NORMSINV($B524)+SQRT(1-K$9^2*$C$11)*NORMSINV(J524))&lt;K$8,K$5+SQRT(NORMSDIST(K$9*SQRT($C$11)*NORMSINV($B524)+SQRT(1-K$9^2*$C$11)*NORMSINV(J524))*(K$7-K$5)*(K$6-K$5)),K$7-SQRT((1-NORMSDIST(K$9*SQRT($C$11)*NORMSINV($B524)+SQRT(1-K$9^2*$C$11)*NORMSINV(J524)))*(K$7-K$5)*(K$7-K$6))))</f>
        <v>0.249213175958007</v>
      </c>
      <c r="L524" s="2" t="n">
        <v>0.773518608</v>
      </c>
      <c r="M524" s="2" t="n">
        <f aca="false">IF(M$7=M$5,M$6,IF(NORMSDIST(M$9*SQRT($C$11)*NORMSINV($B524)+SQRT(1-M$9^2*$C$11)*NORMSINV(L524))&lt;M$8,M$5+SQRT(NORMSDIST(M$9*SQRT($C$11)*NORMSINV($B524)+SQRT(1-M$9^2*$C$11)*NORMSINV(L524))*(M$7-M$5)*(M$6-M$5)),M$7-SQRT((1-NORMSDIST(M$9*SQRT($C$11)*NORMSINV($B524)+SQRT(1-M$9^2*$C$11)*NORMSINV(L524)))*(M$7-M$5)*(M$7-M$6))))</f>
        <v>1619.40397210389</v>
      </c>
      <c r="N524" s="2" t="n">
        <v>0.594726711</v>
      </c>
      <c r="O524" s="2" t="n">
        <f aca="false">IF(O$7=O$5,O$6,IF(NORMSDIST(O$9*SQRT($C$11)*NORMSINV($B524)+SQRT(1-O$9^2*$C$11)*NORMSINV(N524))&lt;O$8,O$5+SQRT(NORMSDIST(O$9*SQRT($C$11)*NORMSINV($B524)+SQRT(1-O$9^2*$C$11)*NORMSINV(N524))*(O$7-O$5)*(O$6-O$5)),O$7-SQRT((1-NORMSDIST(O$9*SQRT($C$11)*NORMSINV($B524)+SQRT(1-O$9^2*$C$11)*NORMSINV(N524)))*(O$7-O$5)*(O$7-O$6))))</f>
        <v>0.166035765930613</v>
      </c>
      <c r="P524" s="2" t="n">
        <v>0.899329662</v>
      </c>
      <c r="Q524" s="2" t="n">
        <f aca="false">IF(Q$7=Q$5,Q$6,IF(NORMSDIST(Q$9*SQRT($C$11)*NORMSINV($B524)+SQRT(1-Q$9^2*$C$11)*NORMSINV(P524))&lt;Q$8,Q$5+SQRT(NORMSDIST(Q$9*SQRT($C$11)*NORMSINV($B524)+SQRT(1-Q$9^2*$C$11)*NORMSINV(P524))*(Q$7-Q$5)*(Q$6-Q$5)),Q$7-SQRT((1-NORMSDIST(Q$9*SQRT($C$11)*NORMSINV($B524)+SQRT(1-Q$9^2*$C$11)*NORMSINV(P524)))*(Q$7-Q$5)*(Q$7-Q$6))))</f>
        <v>0.102051599469591</v>
      </c>
      <c r="R524" s="2" t="n">
        <v>0.870868761</v>
      </c>
      <c r="S524" s="2" t="n">
        <f aca="false">IF(S$7=S$5,S$6,IF(NORMSDIST(S$9*SQRT($C$11)*NORMSINV($B524)+SQRT(1-S$9^2*$C$11)*NORMSINV(R524))&lt;S$8,S$5+SQRT(NORMSDIST(S$9*SQRT($C$11)*NORMSINV($B524)+SQRT(1-S$9^2*$C$11)*NORMSINV(R524))*(S$7-S$5)*(S$6-S$5)),S$7-SQRT((1-NORMSDIST(S$9*SQRT($C$11)*NORMSINV($B524)+SQRT(1-S$9^2*$C$11)*NORMSINV(R524)))*(S$7-S$5)*(S$7-S$6))))</f>
        <v>0.634385727059179</v>
      </c>
      <c r="T524" s="2" t="n">
        <v>0.9197515</v>
      </c>
      <c r="U524" s="2" t="n">
        <f aca="false">IF(U$7=U$5,U$6,IF(NORMSDIST(U$9*SQRT($C$11)*NORMSINV($B524)+SQRT(1-U$9^2*$C$11)*NORMSINV(T524))&lt;U$8,U$5+SQRT(NORMSDIST(U$9*SQRT($C$11)*NORMSINV($B524)+SQRT(1-U$9^2*$C$11)*NORMSINV(T524))*(U$7-U$5)*(U$6-U$5)),U$7-SQRT((1-NORMSDIST(U$9*SQRT($C$11)*NORMSINV($B524)+SQRT(1-U$9^2*$C$11)*NORMSINV(T524)))*(U$7-U$5)*(U$7-U$6))))</f>
        <v>0.681694085819751</v>
      </c>
      <c r="V524" s="2" t="n">
        <v>0.324933838</v>
      </c>
      <c r="W524" s="2" t="n">
        <f aca="false">IF(W$7=W$5,W$6,IF(NORMSDIST(W$9*SQRT($C$11)*NORMSINV($B524)+SQRT(1-W$9^2*$C$11)*NORMSINV(V524))&lt;W$8,W$5+SQRT(NORMSDIST(W$9*SQRT($C$11)*NORMSINV($B524)+SQRT(1-W$9^2*$C$11)*NORMSINV(V524))*(W$7-W$5)*(W$6-W$5)),W$7-SQRT((1-NORMSDIST(W$9*SQRT($C$11)*NORMSINV($B524)+SQRT(1-W$9^2*$C$11)*NORMSINV(V524)))*(W$7-W$5)*(W$7-W$6))))</f>
        <v>9.47541307779002</v>
      </c>
      <c r="X524" s="2" t="n">
        <v>0.100104285</v>
      </c>
      <c r="Y524" s="2" t="n">
        <f aca="false">IF(Y$7=Y$5,Y$6,IF(NORMSDIST(Y$9*SQRT($C$11)*NORMSINV($B524)+SQRT(1-Y$9^2*$C$11)*NORMSINV(X524))&lt;Y$8,Y$5+SQRT(NORMSDIST(Y$9*SQRT($C$11)*NORMSINV($B524)+SQRT(1-Y$9^2*$C$11)*NORMSINV(X524))*(Y$7-Y$5)*(Y$6-Y$5)),Y$7-SQRT((1-NORMSDIST(Y$9*SQRT($C$11)*NORMSINV($B524)+SQRT(1-Y$9^2*$C$11)*NORMSINV(X524)))*(Y$7-Y$5)*(Y$7-Y$6))))</f>
        <v>0.223723361542777</v>
      </c>
      <c r="Z524" s="2" t="n">
        <v>0.252413762</v>
      </c>
      <c r="AA524" s="2" t="n">
        <f aca="false">IF(AA$7=AA$5,AA$6,IF(NORMSDIST(AA$9*SQRT($C$11)*NORMSINV($B524)+SQRT(1-AA$9^2*$C$11)*NORMSINV(Z524))&lt;AA$8,AA$5+SQRT(NORMSDIST(AA$9*SQRT($C$11)*NORMSINV($B524)+SQRT(1-AA$9^2*$C$11)*NORMSINV(Z524))*(AA$7-AA$5)*(AA$6-AA$5)),AA$7-SQRT((1-NORMSDIST(AA$9*SQRT($C$11)*NORMSINV($B524)+SQRT(1-AA$9^2*$C$11)*NORMSINV(Z524)))*(AA$7-AA$5)*(AA$7-AA$6))))</f>
        <v>0.717042531988979</v>
      </c>
      <c r="AB524" s="2" t="n">
        <v>0.169028633</v>
      </c>
      <c r="AC524" s="2" t="n">
        <f aca="false">IF(AC$7=AC$5,AC$6,IF(NORMSDIST(AC$9*SQRT($C$11)*NORMSINV($B524)+SQRT(1-AC$9^2*$C$11)*NORMSINV(AB524))&lt;AC$8,AC$5+SQRT(NORMSDIST(AC$9*SQRT($C$11)*NORMSINV($B524)+SQRT(1-AC$9^2*$C$11)*NORMSINV(AB524))*(AC$7-AC$5)*(AC$6-AC$5)),AC$7-SQRT((1-NORMSDIST(AC$9*SQRT($C$11)*NORMSINV($B524)+SQRT(1-AC$9^2*$C$11)*NORMSINV(AB524)))*(AC$7-AC$5)*(AC$7-AC$6))))</f>
        <v>8.57356841714424</v>
      </c>
      <c r="AD524" s="2" t="n">
        <f aca="false">Entrées!$C$8*(1+E524)</f>
        <v>7455.72216628353</v>
      </c>
      <c r="AE524" s="2" t="n">
        <f aca="false">I524*Hypothèses!$J$24/12/Hypothèses!$J$19</f>
        <v>98.1707991670204</v>
      </c>
      <c r="AF524" s="2" t="n">
        <f aca="false">Entrées!$C$36*S524*1000</f>
        <v>317.192863529589</v>
      </c>
      <c r="AG524" s="2" t="n">
        <f aca="false">-AF524/W524</f>
        <v>-33.4753599579818</v>
      </c>
      <c r="AH524" s="2" t="n">
        <f aca="false">AD524+AE524+AG524</f>
        <v>7520.41760549257</v>
      </c>
      <c r="AI524" s="2" t="n">
        <f aca="false">Entrées!$C$16-M524+Hypothèses!$J$22*1000-AF524+Hypothèses!$J$23</f>
        <v>22611.4031643665</v>
      </c>
      <c r="AJ524" s="2" t="n">
        <f aca="false">AI524/AH524</f>
        <v>3.00666855891782</v>
      </c>
      <c r="AK524" s="2" t="n">
        <f aca="false">AI524/(AH524+I524*(12-Hypothèses!$J$24)/12/Hypothèses!$J$19)</f>
        <v>2.97889271927086</v>
      </c>
      <c r="AL524" s="2" t="n">
        <f aca="false">(AD524+AG524+I524/Hypothèses!$J$19)*(1+G524)</f>
        <v>8005.35787267348</v>
      </c>
      <c r="AM524" s="2" t="n">
        <f aca="false">Entrées!$C$54*K524/Hypothèses!$J$19</f>
        <v>25.4332509850219</v>
      </c>
      <c r="AN524" s="2" t="n">
        <f aca="false">Y524*1000/AC524</f>
        <v>26.0945443784417</v>
      </c>
      <c r="AO524" s="2" t="n">
        <f aca="false">(Entrées!$C$36*(1-S524)+MAX(0,Entrées!$C$30-Entrées!$C$35-Entrées!$C$36)*U524)*1000</f>
        <v>1137.17885661806</v>
      </c>
      <c r="AP524" s="2" t="n">
        <f aca="false">-AO524/W524</f>
        <v>-120.013644501005</v>
      </c>
      <c r="AQ524" s="2" t="n">
        <f aca="false">AL524+AM524+AN524+AP524</f>
        <v>7936.87202353593</v>
      </c>
      <c r="AR524" s="2" t="n">
        <f aca="false">O524*AQ524-Hypothèses!$J$25/Hypothèses!$J$19</f>
        <v>1298.66946325942</v>
      </c>
      <c r="AS524" s="2" t="n">
        <f aca="false">Entrées!$C$79*(1+Q524)+Hypothèses!$J$20</f>
        <v>1506.15470781708</v>
      </c>
      <c r="AT524" s="2" t="n">
        <f aca="false">AI524-AR524+AS524+Y524*1000-AO524+Hypothèses!$J$23</f>
        <v>21905.4329138489</v>
      </c>
      <c r="AU524" s="2" t="n">
        <f aca="false">AT524/AQ524</f>
        <v>2.75995793416987</v>
      </c>
      <c r="AV524" s="2" t="n">
        <f aca="false">Hypothèses!$J$26*AQ524-AT524</f>
        <v>1905.1831567589</v>
      </c>
      <c r="AW524" s="2" t="n">
        <f aca="false">IF(AC524&gt;Hypothèses!$J$26,MAX(0,AV524)/(1-Hypothèses!$J$26/AC524),0)</f>
        <v>2930.65715160495</v>
      </c>
      <c r="AX524" s="2" t="n">
        <f aca="false">AQ524-Entrées!$C$17*1000</f>
        <v>-63.1279764640658</v>
      </c>
      <c r="AY524" s="2" t="n">
        <f aca="false">AI524+(Entrées!$C$244-Entrées!$C$13)</f>
        <v>28358.4031643665</v>
      </c>
      <c r="AZ524" s="2" t="n">
        <f aca="false">AA524*AH524</f>
        <v>5392.45928145689</v>
      </c>
      <c r="BA524" s="2" t="n">
        <f aca="false">AZ524/AY524</f>
        <v>0.19015384082813</v>
      </c>
      <c r="BB524" s="2" t="n">
        <f aca="false">AZ524/(Entrées!$C$151/100)-AY524</f>
        <v>1599.7039548384</v>
      </c>
      <c r="BC524" s="2" t="n">
        <f aca="false">AT524+(Entrées!$C$244-Entrées!$C$13)</f>
        <v>27652.4329138489</v>
      </c>
      <c r="BD524" s="2" t="n">
        <f aca="false">AA524*AQ524</f>
        <v>5691.0748118287</v>
      </c>
      <c r="BE524" s="2" t="n">
        <f aca="false">BD524/BC524</f>
        <v>0.205807381562383</v>
      </c>
      <c r="BF524" s="2" t="n">
        <f aca="false">BD524/(Entrées!$C$151/100)-BC524</f>
        <v>3964.64937408833</v>
      </c>
      <c r="BG524" s="2" t="n">
        <f aca="false">MIN(AV524,BF524)</f>
        <v>1905.1831567589</v>
      </c>
      <c r="BH524" s="2" t="n">
        <f aca="false">IF(AC524&gt;Hypothèses!$J$26,MAX(0,BG524)/(1-Hypothèses!$J$26/AC524),0)</f>
        <v>2930.65715160495</v>
      </c>
    </row>
    <row r="525" customFormat="false" ht="15" hidden="false" customHeight="false" outlineLevel="0" collapsed="false">
      <c r="A525" s="2" t="n">
        <v>510</v>
      </c>
      <c r="B525" s="2" t="n">
        <v>0.404849132</v>
      </c>
      <c r="C525" s="2"/>
      <c r="D525" s="2" t="n">
        <v>0.100370566</v>
      </c>
      <c r="E525" s="2" t="n">
        <f aca="false">IF(E$7=E$5,E$6,IF(NORMSDIST(E$9*SQRT($C$11)*NORMSINV($B525)+SQRT(1-E$9^2*$C$11)*NORMSINV(D525))&lt;E$8,E$5+SQRT(NORMSDIST(E$9*SQRT($C$11)*NORMSINV($B525)+SQRT(1-E$9^2*$C$11)*NORMSINV(D525))*(E$7-E$5)*(E$6-E$5)),E$7-SQRT((1-NORMSDIST(E$9*SQRT($C$11)*NORMSINV($B525)+SQRT(1-E$9^2*$C$11)*NORMSINV(D525)))*(E$7-E$5)*(E$7-E$6))))</f>
        <v>0.0525144100664233</v>
      </c>
      <c r="F525" s="2" t="n">
        <v>0.098230478</v>
      </c>
      <c r="G525" s="2" t="n">
        <f aca="false">IF(G$7=G$5,G$6,IF(NORMSDIST(G$9*SQRT($C$11)*NORMSINV($B525)+SQRT(1-G$9^2*$C$11)*NORMSINV(F525))&lt;G$8,G$5+SQRT(NORMSDIST(G$9*SQRT($C$11)*NORMSINV($B525)+SQRT(1-G$9^2*$C$11)*NORMSINV(F525))*(G$7-G$5)*(G$6-G$5)),G$7-SQRT((1-NORMSDIST(G$9*SQRT($C$11)*NORMSINV($B525)+SQRT(1-G$9^2*$C$11)*NORMSINV(F525)))*(G$7-G$5)*(G$7-G$6))))</f>
        <v>0.0474845528729648</v>
      </c>
      <c r="H525" s="2" t="n">
        <v>0.492426254</v>
      </c>
      <c r="I525" s="2" t="n">
        <f aca="false">IF(I$7=I$5,I$6,IF(NORMSDIST(I$9*SQRT($C$11)*NORMSINV($B525)+SQRT(1-I$9^2*$C$11)*NORMSINV(H525))&lt;I$8,I$5+SQRT(NORMSDIST(I$9*SQRT($C$11)*NORMSINV($B525)+SQRT(1-I$9^2*$C$11)*NORMSINV(H525))*(I$7-I$5)*(I$6-I$5)),I$7-SQRT((1-NORMSDIST(I$9*SQRT($C$11)*NORMSINV($B525)+SQRT(1-I$9^2*$C$11)*NORMSINV(H525)))*(I$7-I$5)*(I$7-I$6))))</f>
        <v>198.626445774958</v>
      </c>
      <c r="J525" s="2" t="n">
        <v>0.29452665</v>
      </c>
      <c r="K525" s="2" t="n">
        <f aca="false">IF(K$7=K$5,K$6,IF(NORMSDIST(K$9*SQRT($C$11)*NORMSINV($B525)+SQRT(1-K$9^2*$C$11)*NORMSINV(J525))&lt;K$8,K$5+SQRT(NORMSDIST(K$9*SQRT($C$11)*NORMSINV($B525)+SQRT(1-K$9^2*$C$11)*NORMSINV(J525))*(K$7-K$5)*(K$6-K$5)),K$7-SQRT((1-NORMSDIST(K$9*SQRT($C$11)*NORMSINV($B525)+SQRT(1-K$9^2*$C$11)*NORMSINV(J525)))*(K$7-K$5)*(K$7-K$6))))</f>
        <v>0.188442639302698</v>
      </c>
      <c r="L525" s="2" t="n">
        <v>0.059035909</v>
      </c>
      <c r="M525" s="2" t="n">
        <f aca="false">IF(M$7=M$5,M$6,IF(NORMSDIST(M$9*SQRT($C$11)*NORMSINV($B525)+SQRT(1-M$9^2*$C$11)*NORMSINV(L525))&lt;M$8,M$5+SQRT(NORMSDIST(M$9*SQRT($C$11)*NORMSINV($B525)+SQRT(1-M$9^2*$C$11)*NORMSINV(L525))*(M$7-M$5)*(M$6-M$5)),M$7-SQRT((1-NORMSDIST(M$9*SQRT($C$11)*NORMSINV($B525)+SQRT(1-M$9^2*$C$11)*NORMSINV(L525)))*(M$7-M$5)*(M$7-M$6))))</f>
        <v>1420.52281394653</v>
      </c>
      <c r="N525" s="2" t="n">
        <v>0.602065348</v>
      </c>
      <c r="O525" s="2" t="n">
        <f aca="false">IF(O$7=O$5,O$6,IF(NORMSDIST(O$9*SQRT($C$11)*NORMSINV($B525)+SQRT(1-O$9^2*$C$11)*NORMSINV(N525))&lt;O$8,O$5+SQRT(NORMSDIST(O$9*SQRT($C$11)*NORMSINV($B525)+SQRT(1-O$9^2*$C$11)*NORMSINV(N525))*(O$7-O$5)*(O$6-O$5)),O$7-SQRT((1-NORMSDIST(O$9*SQRT($C$11)*NORMSINV($B525)+SQRT(1-O$9^2*$C$11)*NORMSINV(N525)))*(O$7-O$5)*(O$7-O$6))))</f>
        <v>0.167293228191271</v>
      </c>
      <c r="P525" s="2" t="n">
        <v>0.967575896</v>
      </c>
      <c r="Q525" s="2" t="n">
        <f aca="false">IF(Q$7=Q$5,Q$6,IF(NORMSDIST(Q$9*SQRT($C$11)*NORMSINV($B525)+SQRT(1-Q$9^2*$C$11)*NORMSINV(P525))&lt;Q$8,Q$5+SQRT(NORMSDIST(Q$9*SQRT($C$11)*NORMSINV($B525)+SQRT(1-Q$9^2*$C$11)*NORMSINV(P525))*(Q$7-Q$5)*(Q$6-Q$5)),Q$7-SQRT((1-NORMSDIST(Q$9*SQRT($C$11)*NORMSINV($B525)+SQRT(1-Q$9^2*$C$11)*NORMSINV(P525)))*(Q$7-Q$5)*(Q$7-Q$6))))</f>
        <v>0.109813875476905</v>
      </c>
      <c r="R525" s="2" t="n">
        <v>0.913601286</v>
      </c>
      <c r="S525" s="2" t="n">
        <f aca="false">IF(S$7=S$5,S$6,IF(NORMSDIST(S$9*SQRT($C$11)*NORMSINV($B525)+SQRT(1-S$9^2*$C$11)*NORMSINV(R525))&lt;S$8,S$5+SQRT(NORMSDIST(S$9*SQRT($C$11)*NORMSINV($B525)+SQRT(1-S$9^2*$C$11)*NORMSINV(R525))*(S$7-S$5)*(S$6-S$5)),S$7-SQRT((1-NORMSDIST(S$9*SQRT($C$11)*NORMSINV($B525)+SQRT(1-S$9^2*$C$11)*NORMSINV(R525)))*(S$7-S$5)*(S$7-S$6))))</f>
        <v>0.697441987225604</v>
      </c>
      <c r="T525" s="2" t="n">
        <v>0.015107772</v>
      </c>
      <c r="U525" s="2" t="n">
        <f aca="false">IF(U$7=U$5,U$6,IF(NORMSDIST(U$9*SQRT($C$11)*NORMSINV($B525)+SQRT(1-U$9^2*$C$11)*NORMSINV(T525))&lt;U$8,U$5+SQRT(NORMSDIST(U$9*SQRT($C$11)*NORMSINV($B525)+SQRT(1-U$9^2*$C$11)*NORMSINV(T525))*(U$7-U$5)*(U$6-U$5)),U$7-SQRT((1-NORMSDIST(U$9*SQRT($C$11)*NORMSINV($B525)+SQRT(1-U$9^2*$C$11)*NORMSINV(T525)))*(U$7-U$5)*(U$7-U$6))))</f>
        <v>0.129511346908844</v>
      </c>
      <c r="V525" s="2" t="n">
        <v>0.506509181</v>
      </c>
      <c r="W525" s="2" t="n">
        <f aca="false">IF(W$7=W$5,W$6,IF(NORMSDIST(W$9*SQRT($C$11)*NORMSINV($B525)+SQRT(1-W$9^2*$C$11)*NORMSINV(V525))&lt;W$8,W$5+SQRT(NORMSDIST(W$9*SQRT($C$11)*NORMSINV($B525)+SQRT(1-W$9^2*$C$11)*NORMSINV(V525))*(W$7-W$5)*(W$6-W$5)),W$7-SQRT((1-NORMSDIST(W$9*SQRT($C$11)*NORMSINV($B525)+SQRT(1-W$9^2*$C$11)*NORMSINV(V525)))*(W$7-W$5)*(W$7-W$6))))</f>
        <v>9.88565519236886</v>
      </c>
      <c r="X525" s="2" t="n">
        <v>0.418113434</v>
      </c>
      <c r="Y525" s="2" t="n">
        <f aca="false">IF(Y$7=Y$5,Y$6,IF(NORMSDIST(Y$9*SQRT($C$11)*NORMSINV($B525)+SQRT(1-Y$9^2*$C$11)*NORMSINV(X525))&lt;Y$8,Y$5+SQRT(NORMSDIST(Y$9*SQRT($C$11)*NORMSINV($B525)+SQRT(1-Y$9^2*$C$11)*NORMSINV(X525))*(Y$7-Y$5)*(Y$6-Y$5)),Y$7-SQRT((1-NORMSDIST(Y$9*SQRT($C$11)*NORMSINV($B525)+SQRT(1-Y$9^2*$C$11)*NORMSINV(X525)))*(Y$7-Y$5)*(Y$7-Y$6))))</f>
        <v>0.457227205008626</v>
      </c>
      <c r="Z525" s="2" t="n">
        <v>0.377055168</v>
      </c>
      <c r="AA525" s="2" t="n">
        <f aca="false">IF(AA$7=AA$5,AA$6,IF(NORMSDIST(AA$9*SQRT($C$11)*NORMSINV($B525)+SQRT(1-AA$9^2*$C$11)*NORMSINV(Z525))&lt;AA$8,AA$5+SQRT(NORMSDIST(AA$9*SQRT($C$11)*NORMSINV($B525)+SQRT(1-AA$9^2*$C$11)*NORMSINV(Z525))*(AA$7-AA$5)*(AA$6-AA$5)),AA$7-SQRT((1-NORMSDIST(AA$9*SQRT($C$11)*NORMSINV($B525)+SQRT(1-AA$9^2*$C$11)*NORMSINV(Z525)))*(AA$7-AA$5)*(AA$7-AA$6))))</f>
        <v>0.722565588425279</v>
      </c>
      <c r="AB525" s="2" t="n">
        <v>0.621650243</v>
      </c>
      <c r="AC525" s="2" t="n">
        <f aca="false">IF(AC$7=AC$5,AC$6,IF(NORMSDIST(AC$9*SQRT($C$11)*NORMSINV($B525)+SQRT(1-AC$9^2*$C$11)*NORMSINV(AB525))&lt;AC$8,AC$5+SQRT(NORMSDIST(AC$9*SQRT($C$11)*NORMSINV($B525)+SQRT(1-AC$9^2*$C$11)*NORMSINV(AB525))*(AC$7-AC$5)*(AC$6-AC$5)),AC$7-SQRT((1-NORMSDIST(AC$9*SQRT($C$11)*NORMSINV($B525)+SQRT(1-AC$9^2*$C$11)*NORMSINV(AB525)))*(AC$7-AC$5)*(AC$7-AC$6))))</f>
        <v>9.54984420471963</v>
      </c>
      <c r="AD525" s="2" t="n">
        <f aca="false">Entrées!$C$8*(1+E525)</f>
        <v>7420.22659096828</v>
      </c>
      <c r="AE525" s="2" t="n">
        <f aca="false">I525*Hypothèses!$J$24/12/Hypothèses!$J$19</f>
        <v>98.5379440202858</v>
      </c>
      <c r="AF525" s="2" t="n">
        <f aca="false">Entrées!$C$36*S525*1000</f>
        <v>348.720993612802</v>
      </c>
      <c r="AG525" s="2" t="n">
        <f aca="false">-AF525/W525</f>
        <v>-35.2754558829842</v>
      </c>
      <c r="AH525" s="2" t="n">
        <f aca="false">AD525+AE525+AG525</f>
        <v>7483.48907910559</v>
      </c>
      <c r="AI525" s="2" t="n">
        <f aca="false">Entrées!$C$16-M525+Hypothèses!$J$22*1000-AF525+Hypothèses!$J$23</f>
        <v>22778.7561924407</v>
      </c>
      <c r="AJ525" s="2" t="n">
        <f aca="false">AI525/AH525</f>
        <v>3.04386843511812</v>
      </c>
      <c r="AK525" s="2" t="n">
        <f aca="false">AI525/(AH525+I525*(12-Hypothèses!$J$24)/12/Hypothèses!$J$19)</f>
        <v>3.01550677551773</v>
      </c>
      <c r="AL525" s="2" t="n">
        <f aca="false">(AD525+AG525+I525/Hypothèses!$J$19)*(1+G525)</f>
        <v>7912.56562212314</v>
      </c>
      <c r="AM525" s="2" t="n">
        <f aca="false">Entrées!$C$54*K525/Hypothèses!$J$19</f>
        <v>19.2313625603529</v>
      </c>
      <c r="AN525" s="2" t="n">
        <f aca="false">Y525*1000/AC525</f>
        <v>47.8779753058861</v>
      </c>
      <c r="AO525" s="2" t="n">
        <f aca="false">(Entrées!$C$36*(1-S525)+MAX(0,Entrées!$C$30-Entrées!$C$35-Entrées!$C$36)*U525)*1000</f>
        <v>332.59489205958</v>
      </c>
      <c r="AP525" s="2" t="n">
        <f aca="false">-AO525/W525</f>
        <v>-33.644193084574</v>
      </c>
      <c r="AQ525" s="2" t="n">
        <f aca="false">AL525+AM525+AN525+AP525</f>
        <v>7946.0307669048</v>
      </c>
      <c r="AR525" s="2" t="n">
        <f aca="false">O525*AQ525-Hypothèses!$J$25/Hypothèses!$J$19</f>
        <v>1310.18197604104</v>
      </c>
      <c r="AS525" s="2" t="n">
        <f aca="false">Entrées!$C$79*(1+Q525)+Hypothèses!$J$20</f>
        <v>1514.68544914912</v>
      </c>
      <c r="AT525" s="2" t="n">
        <f aca="false">AI525-AR525+AS525+Y525*1000-AO525+Hypothèses!$J$23</f>
        <v>23107.8919784978</v>
      </c>
      <c r="AU525" s="2" t="n">
        <f aca="false">AT525/AQ525</f>
        <v>2.90810502203718</v>
      </c>
      <c r="AV525" s="2" t="n">
        <f aca="false">Hypothèses!$J$26*AQ525-AT525</f>
        <v>730.20032221662</v>
      </c>
      <c r="AW525" s="2" t="n">
        <f aca="false">IF(AC525&gt;Hypothèses!$J$26,MAX(0,AV525)/(1-Hypothèses!$J$26/AC525),0)</f>
        <v>1064.65117298211</v>
      </c>
      <c r="AX525" s="2" t="n">
        <f aca="false">AQ525-Entrées!$C$17*1000</f>
        <v>-53.9692330951975</v>
      </c>
      <c r="AY525" s="2" t="n">
        <f aca="false">AI525+(Entrées!$C$244-Entrées!$C$13)</f>
        <v>28525.7561924407</v>
      </c>
      <c r="AZ525" s="2" t="n">
        <f aca="false">AA525*AH525</f>
        <v>5407.31168991808</v>
      </c>
      <c r="BA525" s="2" t="n">
        <f aca="false">AZ525/AY525</f>
        <v>0.189558925394974</v>
      </c>
      <c r="BB525" s="2" t="n">
        <f aca="false">AZ525/(Entrées!$C$151/100)-AY525</f>
        <v>1514.86430710421</v>
      </c>
      <c r="BC525" s="2" t="n">
        <f aca="false">AT525+(Entrées!$C$244-Entrées!$C$13)</f>
        <v>28854.8919784978</v>
      </c>
      <c r="BD525" s="2" t="n">
        <f aca="false">AA525*AQ525</f>
        <v>5741.52839673394</v>
      </c>
      <c r="BE525" s="2" t="n">
        <f aca="false">BD525/BC525</f>
        <v>0.198979375871947</v>
      </c>
      <c r="BF525" s="2" t="n">
        <f aca="false">BD525/(Entrées!$C$151/100)-BC525</f>
        <v>3042.48800335744</v>
      </c>
      <c r="BG525" s="2" t="n">
        <f aca="false">MIN(AV525,BF525)</f>
        <v>730.20032221662</v>
      </c>
      <c r="BH525" s="2" t="n">
        <f aca="false">IF(AC525&gt;Hypothèses!$J$26,MAX(0,BG525)/(1-Hypothèses!$J$26/AC525),0)</f>
        <v>1064.65117298211</v>
      </c>
    </row>
    <row r="526" customFormat="false" ht="15" hidden="false" customHeight="false" outlineLevel="0" collapsed="false">
      <c r="A526" s="2" t="n">
        <v>511</v>
      </c>
      <c r="B526" s="2" t="n">
        <v>0.595332467</v>
      </c>
      <c r="C526" s="2"/>
      <c r="D526" s="2" t="n">
        <v>0.456373347</v>
      </c>
      <c r="E526" s="2" t="n">
        <f aca="false">IF(E$7=E$5,E$6,IF(NORMSDIST(E$9*SQRT($C$11)*NORMSINV($B526)+SQRT(1-E$9^2*$C$11)*NORMSINV(D526))&lt;E$8,E$5+SQRT(NORMSDIST(E$9*SQRT($C$11)*NORMSINV($B526)+SQRT(1-E$9^2*$C$11)*NORMSINV(D526))*(E$7-E$5)*(E$6-E$5)),E$7-SQRT((1-NORMSDIST(E$9*SQRT($C$11)*NORMSINV($B526)+SQRT(1-E$9^2*$C$11)*NORMSINV(D526)))*(E$7-E$5)*(E$7-E$6))))</f>
        <v>0.0551368621024154</v>
      </c>
      <c r="F526" s="2" t="n">
        <v>0.444627929</v>
      </c>
      <c r="G526" s="2" t="n">
        <f aca="false">IF(G$7=G$5,G$6,IF(NORMSDIST(G$9*SQRT($C$11)*NORMSINV($B526)+SQRT(1-G$9^2*$C$11)*NORMSINV(F526))&lt;G$8,G$5+SQRT(NORMSDIST(G$9*SQRT($C$11)*NORMSINV($B526)+SQRT(1-G$9^2*$C$11)*NORMSINV(F526))*(G$7-G$5)*(G$6-G$5)),G$7-SQRT((1-NORMSDIST(G$9*SQRT($C$11)*NORMSINV($B526)+SQRT(1-G$9^2*$C$11)*NORMSINV(F526)))*(G$7-G$5)*(G$7-G$6))))</f>
        <v>0.0552700841288594</v>
      </c>
      <c r="H526" s="2" t="n">
        <v>0.105976124</v>
      </c>
      <c r="I526" s="2" t="n">
        <f aca="false">IF(I$7=I$5,I$6,IF(NORMSDIST(I$9*SQRT($C$11)*NORMSINV($B526)+SQRT(1-I$9^2*$C$11)*NORMSINV(H526))&lt;I$8,I$5+SQRT(NORMSDIST(I$9*SQRT($C$11)*NORMSINV($B526)+SQRT(1-I$9^2*$C$11)*NORMSINV(H526))*(I$7-I$5)*(I$6-I$5)),I$7-SQRT((1-NORMSDIST(I$9*SQRT($C$11)*NORMSINV($B526)+SQRT(1-I$9^2*$C$11)*NORMSINV(H526)))*(I$7-I$5)*(I$7-I$6))))</f>
        <v>192.891778334775</v>
      </c>
      <c r="J526" s="2" t="n">
        <v>0.106484645</v>
      </c>
      <c r="K526" s="2" t="n">
        <f aca="false">IF(K$7=K$5,K$6,IF(NORMSDIST(K$9*SQRT($C$11)*NORMSINV($B526)+SQRT(1-K$9^2*$C$11)*NORMSINV(J526))&lt;K$8,K$5+SQRT(NORMSDIST(K$9*SQRT($C$11)*NORMSINV($B526)+SQRT(1-K$9^2*$C$11)*NORMSINV(J526))*(K$7-K$5)*(K$6-K$5)),K$7-SQRT((1-NORMSDIST(K$9*SQRT($C$11)*NORMSINV($B526)+SQRT(1-K$9^2*$C$11)*NORMSINV(J526)))*(K$7-K$5)*(K$7-K$6))))</f>
        <v>0.161385845055382</v>
      </c>
      <c r="L526" s="2" t="n">
        <v>0.171427667</v>
      </c>
      <c r="M526" s="2" t="n">
        <f aca="false">IF(M$7=M$5,M$6,IF(NORMSDIST(M$9*SQRT($C$11)*NORMSINV($B526)+SQRT(1-M$9^2*$C$11)*NORMSINV(L526))&lt;M$8,M$5+SQRT(NORMSDIST(M$9*SQRT($C$11)*NORMSINV($B526)+SQRT(1-M$9^2*$C$11)*NORMSINV(L526))*(M$7-M$5)*(M$6-M$5)),M$7-SQRT((1-NORMSDIST(M$9*SQRT($C$11)*NORMSINV($B526)+SQRT(1-M$9^2*$C$11)*NORMSINV(L526)))*(M$7-M$5)*(M$7-M$6))))</f>
        <v>1514.43239439296</v>
      </c>
      <c r="N526" s="2" t="n">
        <v>0.902644738</v>
      </c>
      <c r="O526" s="2" t="n">
        <f aca="false">IF(O$7=O$5,O$6,IF(NORMSDIST(O$9*SQRT($C$11)*NORMSINV($B526)+SQRT(1-O$9^2*$C$11)*NORMSINV(N526))&lt;O$8,O$5+SQRT(NORMSDIST(O$9*SQRT($C$11)*NORMSINV($B526)+SQRT(1-O$9^2*$C$11)*NORMSINV(N526))*(O$7-O$5)*(O$6-O$5)),O$7-SQRT((1-NORMSDIST(O$9*SQRT($C$11)*NORMSINV($B526)+SQRT(1-O$9^2*$C$11)*NORMSINV(N526)))*(O$7-O$5)*(O$7-O$6))))</f>
        <v>0.178524863302589</v>
      </c>
      <c r="P526" s="2" t="n">
        <v>0.757609079</v>
      </c>
      <c r="Q526" s="2" t="n">
        <f aca="false">IF(Q$7=Q$5,Q$6,IF(NORMSDIST(Q$9*SQRT($C$11)*NORMSINV($B526)+SQRT(1-Q$9^2*$C$11)*NORMSINV(P526))&lt;Q$8,Q$5+SQRT(NORMSDIST(Q$9*SQRT($C$11)*NORMSINV($B526)+SQRT(1-Q$9^2*$C$11)*NORMSINV(P526))*(Q$7-Q$5)*(Q$6-Q$5)),Q$7-SQRT((1-NORMSDIST(Q$9*SQRT($C$11)*NORMSINV($B526)+SQRT(1-Q$9^2*$C$11)*NORMSINV(P526)))*(Q$7-Q$5)*(Q$7-Q$6))))</f>
        <v>0.0921494892829593</v>
      </c>
      <c r="R526" s="2" t="n">
        <v>0.231907772</v>
      </c>
      <c r="S526" s="2" t="n">
        <f aca="false">IF(S$7=S$5,S$6,IF(NORMSDIST(S$9*SQRT($C$11)*NORMSINV($B526)+SQRT(1-S$9^2*$C$11)*NORMSINV(R526))&lt;S$8,S$5+SQRT(NORMSDIST(S$9*SQRT($C$11)*NORMSINV($B526)+SQRT(1-S$9^2*$C$11)*NORMSINV(R526))*(S$7-S$5)*(S$6-S$5)),S$7-SQRT((1-NORMSDIST(S$9*SQRT($C$11)*NORMSINV($B526)+SQRT(1-S$9^2*$C$11)*NORMSINV(R526)))*(S$7-S$5)*(S$7-S$6))))</f>
        <v>0.411779857609099</v>
      </c>
      <c r="T526" s="2" t="n">
        <v>0.273770627</v>
      </c>
      <c r="U526" s="2" t="n">
        <f aca="false">IF(U$7=U$5,U$6,IF(NORMSDIST(U$9*SQRT($C$11)*NORMSINV($B526)+SQRT(1-U$9^2*$C$11)*NORMSINV(T526))&lt;U$8,U$5+SQRT(NORMSDIST(U$9*SQRT($C$11)*NORMSINV($B526)+SQRT(1-U$9^2*$C$11)*NORMSINV(T526))*(U$7-U$5)*(U$6-U$5)),U$7-SQRT((1-NORMSDIST(U$9*SQRT($C$11)*NORMSINV($B526)+SQRT(1-U$9^2*$C$11)*NORMSINV(T526)))*(U$7-U$5)*(U$7-U$6))))</f>
        <v>0.434185710819177</v>
      </c>
      <c r="V526" s="2" t="n">
        <v>0.220472938</v>
      </c>
      <c r="W526" s="2" t="n">
        <f aca="false">IF(W$7=W$5,W$6,IF(NORMSDIST(W$9*SQRT($C$11)*NORMSINV($B526)+SQRT(1-W$9^2*$C$11)*NORMSINV(V526))&lt;W$8,W$5+SQRT(NORMSDIST(W$9*SQRT($C$11)*NORMSINV($B526)+SQRT(1-W$9^2*$C$11)*NORMSINV(V526))*(W$7-W$5)*(W$6-W$5)),W$7-SQRT((1-NORMSDIST(W$9*SQRT($C$11)*NORMSINV($B526)+SQRT(1-W$9^2*$C$11)*NORMSINV(V526)))*(W$7-W$5)*(W$7-W$6))))</f>
        <v>9.62089526337879</v>
      </c>
      <c r="X526" s="2" t="n">
        <v>0.18419616</v>
      </c>
      <c r="Y526" s="2" t="n">
        <f aca="false">IF(Y$7=Y$5,Y$6,IF(NORMSDIST(Y$9*SQRT($C$11)*NORMSINV($B526)+SQRT(1-Y$9^2*$C$11)*NORMSINV(X526))&lt;Y$8,Y$5+SQRT(NORMSDIST(Y$9*SQRT($C$11)*NORMSINV($B526)+SQRT(1-Y$9^2*$C$11)*NORMSINV(X526))*(Y$7-Y$5)*(Y$6-Y$5)),Y$7-SQRT((1-NORMSDIST(Y$9*SQRT($C$11)*NORMSINV($B526)+SQRT(1-Y$9^2*$C$11)*NORMSINV(X526)))*(Y$7-Y$5)*(Y$7-Y$6))))</f>
        <v>0.303476654785834</v>
      </c>
      <c r="Z526" s="2" t="n">
        <v>0.735583584</v>
      </c>
      <c r="AA526" s="2" t="n">
        <f aca="false">IF(AA$7=AA$5,AA$6,IF(NORMSDIST(AA$9*SQRT($C$11)*NORMSINV($B526)+SQRT(1-AA$9^2*$C$11)*NORMSINV(Z526))&lt;AA$8,AA$5+SQRT(NORMSDIST(AA$9*SQRT($C$11)*NORMSINV($B526)+SQRT(1-AA$9^2*$C$11)*NORMSINV(Z526))*(AA$7-AA$5)*(AA$6-AA$5)),AA$7-SQRT((1-NORMSDIST(AA$9*SQRT($C$11)*NORMSINV($B526)+SQRT(1-AA$9^2*$C$11)*NORMSINV(Z526)))*(AA$7-AA$5)*(AA$7-AA$6))))</f>
        <v>0.735555902996463</v>
      </c>
      <c r="AB526" s="2" t="n">
        <v>0.607159204</v>
      </c>
      <c r="AC526" s="2" t="n">
        <f aca="false">IF(AC$7=AC$5,AC$6,IF(NORMSDIST(AC$9*SQRT($C$11)*NORMSINV($B526)+SQRT(1-AC$9^2*$C$11)*NORMSINV(AB526))&lt;AC$8,AC$5+SQRT(NORMSDIST(AC$9*SQRT($C$11)*NORMSINV($B526)+SQRT(1-AC$9^2*$C$11)*NORMSINV(AB526))*(AC$7-AC$5)*(AC$6-AC$5)),AC$7-SQRT((1-NORMSDIST(AC$9*SQRT($C$11)*NORMSINV($B526)+SQRT(1-AC$9^2*$C$11)*NORMSINV(AB526)))*(AC$7-AC$5)*(AC$7-AC$6))))</f>
        <v>9.75478542126506</v>
      </c>
      <c r="AD526" s="2" t="n">
        <f aca="false">Entrées!$C$8*(1+E526)</f>
        <v>7438.71487782203</v>
      </c>
      <c r="AE526" s="2" t="n">
        <f aca="false">I526*Hypothèses!$J$24/12/Hypothèses!$J$19</f>
        <v>95.692993857728</v>
      </c>
      <c r="AF526" s="2" t="n">
        <f aca="false">Entrées!$C$36*S526*1000</f>
        <v>205.88992880455</v>
      </c>
      <c r="AG526" s="2" t="n">
        <f aca="false">-AF526/W526</f>
        <v>-21.4002879324811</v>
      </c>
      <c r="AH526" s="2" t="n">
        <f aca="false">AD526+AE526+AG526</f>
        <v>7513.00758374728</v>
      </c>
      <c r="AI526" s="2" t="n">
        <f aca="false">Entrées!$C$16-M526+Hypothèses!$J$22*1000-AF526+Hypothèses!$J$23</f>
        <v>22827.6776768025</v>
      </c>
      <c r="AJ526" s="2" t="n">
        <f aca="false">AI526/AH526</f>
        <v>3.03842068869797</v>
      </c>
      <c r="AK526" s="2" t="n">
        <f aca="false">AI526/(AH526+I526*(12-Hypothèses!$J$24)/12/Hypothèses!$J$19)</f>
        <v>3.01102684916879</v>
      </c>
      <c r="AL526" s="2" t="n">
        <f aca="false">(AD526+AG526+I526/Hypothèses!$J$19)*(1+G526)</f>
        <v>8000.38211187517</v>
      </c>
      <c r="AM526" s="2" t="n">
        <f aca="false">Entrées!$C$54*K526/Hypothèses!$J$19</f>
        <v>16.4701031032766</v>
      </c>
      <c r="AN526" s="2" t="n">
        <f aca="false">Y526*1000/AC526</f>
        <v>31.1105413066561</v>
      </c>
      <c r="AO526" s="2" t="n">
        <f aca="false">(Entrées!$C$36*(1-S526)+MAX(0,Entrées!$C$30-Entrées!$C$35-Entrées!$C$36)*U526)*1000</f>
        <v>901.970066342299</v>
      </c>
      <c r="AP526" s="2" t="n">
        <f aca="false">-AO526/W526</f>
        <v>-93.7511574183309</v>
      </c>
      <c r="AQ526" s="2" t="n">
        <f aca="false">AL526+AM526+AN526+AP526</f>
        <v>7954.21159886677</v>
      </c>
      <c r="AR526" s="2" t="n">
        <f aca="false">O526*AQ526-Hypothèses!$J$25/Hypothèses!$J$19</f>
        <v>1400.88937610593</v>
      </c>
      <c r="AS526" s="2" t="n">
        <f aca="false">Entrées!$C$79*(1+Q526)+Hypothèses!$J$20</f>
        <v>1495.27228872197</v>
      </c>
      <c r="AT526" s="2" t="n">
        <f aca="false">AI526-AR526+AS526+Y526*1000-AO526+Hypothèses!$J$23</f>
        <v>22323.5671778621</v>
      </c>
      <c r="AU526" s="2" t="n">
        <f aca="false">AT526/AQ526</f>
        <v>2.80650909274811</v>
      </c>
      <c r="AV526" s="2" t="n">
        <f aca="false">Hypothèses!$J$26*AQ526-AT526</f>
        <v>1539.06761873823</v>
      </c>
      <c r="AW526" s="2" t="n">
        <f aca="false">IF(AC526&gt;Hypothèses!$J$26,MAX(0,AV526)/(1-Hypothèses!$J$26/AC526),0)</f>
        <v>2222.61307107474</v>
      </c>
      <c r="AX526" s="2" t="n">
        <f aca="false">AQ526-Entrées!$C$17*1000</f>
        <v>-45.7884011332335</v>
      </c>
      <c r="AY526" s="2" t="n">
        <f aca="false">AI526+(Entrées!$C$244-Entrées!$C$13)</f>
        <v>28574.6776768025</v>
      </c>
      <c r="AZ526" s="2" t="n">
        <f aca="false">AA526*AH526</f>
        <v>5526.2370774825</v>
      </c>
      <c r="BA526" s="2" t="n">
        <f aca="false">AZ526/AY526</f>
        <v>0.193396304937809</v>
      </c>
      <c r="BB526" s="2" t="n">
        <f aca="false">AZ526/(Entrées!$C$151/100)-AY526</f>
        <v>2126.6394203225</v>
      </c>
      <c r="BC526" s="2" t="n">
        <f aca="false">AT526+(Entrées!$C$244-Entrées!$C$13)</f>
        <v>28070.5671778621</v>
      </c>
      <c r="BD526" s="2" t="n">
        <f aca="false">AA526*AQ526</f>
        <v>5850.76729522938</v>
      </c>
      <c r="BE526" s="2" t="n">
        <f aca="false">BD526/BC526</f>
        <v>0.208430676094198</v>
      </c>
      <c r="BF526" s="2" t="n">
        <f aca="false">BD526/(Entrées!$C$151/100)-BC526</f>
        <v>4433.69557341227</v>
      </c>
      <c r="BG526" s="2" t="n">
        <f aca="false">MIN(AV526,BF526)</f>
        <v>1539.06761873823</v>
      </c>
      <c r="BH526" s="2" t="n">
        <f aca="false">IF(AC526&gt;Hypothèses!$J$26,MAX(0,BG526)/(1-Hypothèses!$J$26/AC526),0)</f>
        <v>2222.61307107474</v>
      </c>
    </row>
    <row r="527" customFormat="false" ht="15" hidden="false" customHeight="false" outlineLevel="0" collapsed="false">
      <c r="A527" s="2" t="n">
        <v>512</v>
      </c>
      <c r="B527" s="2" t="n">
        <v>0.756582873</v>
      </c>
      <c r="C527" s="2"/>
      <c r="D527" s="2" t="n">
        <v>0.34353322</v>
      </c>
      <c r="E527" s="2" t="n">
        <f aca="false">IF(E$7=E$5,E$6,IF(NORMSDIST(E$9*SQRT($C$11)*NORMSINV($B527)+SQRT(1-E$9^2*$C$11)*NORMSINV(D527))&lt;E$8,E$5+SQRT(NORMSDIST(E$9*SQRT($C$11)*NORMSINV($B527)+SQRT(1-E$9^2*$C$11)*NORMSINV(D527))*(E$7-E$5)*(E$6-E$5)),E$7-SQRT((1-NORMSDIST(E$9*SQRT($C$11)*NORMSINV($B527)+SQRT(1-E$9^2*$C$11)*NORMSINV(D527)))*(E$7-E$5)*(E$7-E$6))))</f>
        <v>0.0552609247299794</v>
      </c>
      <c r="F527" s="2" t="n">
        <v>0.808890774</v>
      </c>
      <c r="G527" s="2" t="n">
        <f aca="false">IF(G$7=G$5,G$6,IF(NORMSDIST(G$9*SQRT($C$11)*NORMSINV($B527)+SQRT(1-G$9^2*$C$11)*NORMSINV(F527))&lt;G$8,G$5+SQRT(NORMSDIST(G$9*SQRT($C$11)*NORMSINV($B527)+SQRT(1-G$9^2*$C$11)*NORMSINV(F527))*(G$7-G$5)*(G$6-G$5)),G$7-SQRT((1-NORMSDIST(G$9*SQRT($C$11)*NORMSINV($B527)+SQRT(1-G$9^2*$C$11)*NORMSINV(F527)))*(G$7-G$5)*(G$7-G$6))))</f>
        <v>0.0622906631421046</v>
      </c>
      <c r="H527" s="2" t="n">
        <v>0.46974899</v>
      </c>
      <c r="I527" s="2" t="n">
        <f aca="false">IF(I$7=I$5,I$6,IF(NORMSDIST(I$9*SQRT($C$11)*NORMSINV($B527)+SQRT(1-I$9^2*$C$11)*NORMSINV(H527))&lt;I$8,I$5+SQRT(NORMSDIST(I$9*SQRT($C$11)*NORMSINV($B527)+SQRT(1-I$9^2*$C$11)*NORMSINV(H527))*(I$7-I$5)*(I$6-I$5)),I$7-SQRT((1-NORMSDIST(I$9*SQRT($C$11)*NORMSINV($B527)+SQRT(1-I$9^2*$C$11)*NORMSINV(H527)))*(I$7-I$5)*(I$7-I$6))))</f>
        <v>203.228443385125</v>
      </c>
      <c r="J527" s="2" t="n">
        <v>0.693610038</v>
      </c>
      <c r="K527" s="2" t="n">
        <f aca="false">IF(K$7=K$5,K$6,IF(NORMSDIST(K$9*SQRT($C$11)*NORMSINV($B527)+SQRT(1-K$9^2*$C$11)*NORMSINV(J527))&lt;K$8,K$5+SQRT(NORMSDIST(K$9*SQRT($C$11)*NORMSINV($B527)+SQRT(1-K$9^2*$C$11)*NORMSINV(J527))*(K$7-K$5)*(K$6-K$5)),K$7-SQRT((1-NORMSDIST(K$9*SQRT($C$11)*NORMSINV($B527)+SQRT(1-K$9^2*$C$11)*NORMSINV(J527)))*(K$7-K$5)*(K$7-K$6))))</f>
        <v>0.3407996465357</v>
      </c>
      <c r="L527" s="2" t="n">
        <v>0.235721019</v>
      </c>
      <c r="M527" s="2" t="n">
        <f aca="false">IF(M$7=M$5,M$6,IF(NORMSDIST(M$9*SQRT($C$11)*NORMSINV($B527)+SQRT(1-M$9^2*$C$11)*NORMSINV(L527))&lt;M$8,M$5+SQRT(NORMSDIST(M$9*SQRT($C$11)*NORMSINV($B527)+SQRT(1-M$9^2*$C$11)*NORMSINV(L527))*(M$7-M$5)*(M$6-M$5)),M$7-SQRT((1-NORMSDIST(M$9*SQRT($C$11)*NORMSINV($B527)+SQRT(1-M$9^2*$C$11)*NORMSINV(L527)))*(M$7-M$5)*(M$7-M$6))))</f>
        <v>1571.76877497487</v>
      </c>
      <c r="N527" s="2" t="n">
        <v>0.669051103</v>
      </c>
      <c r="O527" s="2" t="n">
        <f aca="false">IF(O$7=O$5,O$6,IF(NORMSDIST(O$9*SQRT($C$11)*NORMSINV($B527)+SQRT(1-O$9^2*$C$11)*NORMSINV(N527))&lt;O$8,O$5+SQRT(NORMSDIST(O$9*SQRT($C$11)*NORMSINV($B527)+SQRT(1-O$9^2*$C$11)*NORMSINV(N527))*(O$7-O$5)*(O$6-O$5)),O$7-SQRT((1-NORMSDIST(O$9*SQRT($C$11)*NORMSINV($B527)+SQRT(1-O$9^2*$C$11)*NORMSINV(N527)))*(O$7-O$5)*(O$7-O$6))))</f>
        <v>0.174756848649592</v>
      </c>
      <c r="P527" s="2" t="n">
        <v>0.626921122</v>
      </c>
      <c r="Q527" s="2" t="n">
        <f aca="false">IF(Q$7=Q$5,Q$6,IF(NORMSDIST(Q$9*SQRT($C$11)*NORMSINV($B527)+SQRT(1-Q$9^2*$C$11)*NORMSINV(P527))&lt;Q$8,Q$5+SQRT(NORMSDIST(Q$9*SQRT($C$11)*NORMSINV($B527)+SQRT(1-Q$9^2*$C$11)*NORMSINV(P527))*(Q$7-Q$5)*(Q$6-Q$5)),Q$7-SQRT((1-NORMSDIST(Q$9*SQRT($C$11)*NORMSINV($B527)+SQRT(1-Q$9^2*$C$11)*NORMSINV(P527)))*(Q$7-Q$5)*(Q$7-Q$6))))</f>
        <v>0.0854478306093525</v>
      </c>
      <c r="R527" s="2" t="n">
        <v>0.371181806</v>
      </c>
      <c r="S527" s="2" t="n">
        <f aca="false">IF(S$7=S$5,S$6,IF(NORMSDIST(S$9*SQRT($C$11)*NORMSINV($B527)+SQRT(1-S$9^2*$C$11)*NORMSINV(R527))&lt;S$8,S$5+SQRT(NORMSDIST(S$9*SQRT($C$11)*NORMSINV($B527)+SQRT(1-S$9^2*$C$11)*NORMSINV(R527))*(S$7-S$5)*(S$6-S$5)),S$7-SQRT((1-NORMSDIST(S$9*SQRT($C$11)*NORMSINV($B527)+SQRT(1-S$9^2*$C$11)*NORMSINV(R527)))*(S$7-S$5)*(S$7-S$6))))</f>
        <v>0.538179954907555</v>
      </c>
      <c r="T527" s="2" t="n">
        <v>0.78124476</v>
      </c>
      <c r="U527" s="2" t="n">
        <f aca="false">IF(U$7=U$5,U$6,IF(NORMSDIST(U$9*SQRT($C$11)*NORMSINV($B527)+SQRT(1-U$9^2*$C$11)*NORMSINV(T527))&lt;U$8,U$5+SQRT(NORMSDIST(U$9*SQRT($C$11)*NORMSINV($B527)+SQRT(1-U$9^2*$C$11)*NORMSINV(T527))*(U$7-U$5)*(U$6-U$5)),U$7-SQRT((1-NORMSDIST(U$9*SQRT($C$11)*NORMSINV($B527)+SQRT(1-U$9^2*$C$11)*NORMSINV(T527)))*(U$7-U$5)*(U$7-U$6))))</f>
        <v>0.727148312441218</v>
      </c>
      <c r="V527" s="2" t="n">
        <v>0.939117704</v>
      </c>
      <c r="W527" s="2" t="n">
        <f aca="false">IF(W$7=W$5,W$6,IF(NORMSDIST(W$9*SQRT($C$11)*NORMSINV($B527)+SQRT(1-W$9^2*$C$11)*NORMSINV(V527))&lt;W$8,W$5+SQRT(NORMSDIST(W$9*SQRT($C$11)*NORMSINV($B527)+SQRT(1-W$9^2*$C$11)*NORMSINV(V527))*(W$7-W$5)*(W$6-W$5)),W$7-SQRT((1-NORMSDIST(W$9*SQRT($C$11)*NORMSINV($B527)+SQRT(1-W$9^2*$C$11)*NORMSINV(V527)))*(W$7-W$5)*(W$7-W$6))))</f>
        <v>11.3633250524831</v>
      </c>
      <c r="X527" s="2" t="n">
        <v>0.627145192</v>
      </c>
      <c r="Y527" s="2" t="n">
        <f aca="false">IF(Y$7=Y$5,Y$6,IF(NORMSDIST(Y$9*SQRT($C$11)*NORMSINV($B527)+SQRT(1-Y$9^2*$C$11)*NORMSINV(X527))&lt;Y$8,Y$5+SQRT(NORMSDIST(Y$9*SQRT($C$11)*NORMSINV($B527)+SQRT(1-Y$9^2*$C$11)*NORMSINV(X527))*(Y$7-Y$5)*(Y$6-Y$5)),Y$7-SQRT((1-NORMSDIST(Y$9*SQRT($C$11)*NORMSINV($B527)+SQRT(1-Y$9^2*$C$11)*NORMSINV(X527)))*(Y$7-Y$5)*(Y$7-Y$6))))</f>
        <v>0.568227601623263</v>
      </c>
      <c r="Z527" s="2" t="n">
        <v>0.419452769</v>
      </c>
      <c r="AA527" s="2" t="n">
        <f aca="false">IF(AA$7=AA$5,AA$6,IF(NORMSDIST(AA$9*SQRT($C$11)*NORMSINV($B527)+SQRT(1-AA$9^2*$C$11)*NORMSINV(Z527))&lt;AA$8,AA$5+SQRT(NORMSDIST(AA$9*SQRT($C$11)*NORMSINV($B527)+SQRT(1-AA$9^2*$C$11)*NORMSINV(Z527))*(AA$7-AA$5)*(AA$6-AA$5)),AA$7-SQRT((1-NORMSDIST(AA$9*SQRT($C$11)*NORMSINV($B527)+SQRT(1-AA$9^2*$C$11)*NORMSINV(Z527)))*(AA$7-AA$5)*(AA$7-AA$6))))</f>
        <v>0.73150704525411</v>
      </c>
      <c r="AB527" s="2" t="n">
        <v>0.488232137</v>
      </c>
      <c r="AC527" s="2" t="n">
        <f aca="false">IF(AC$7=AC$5,AC$6,IF(NORMSDIST(AC$9*SQRT($C$11)*NORMSINV($B527)+SQRT(1-AC$9^2*$C$11)*NORMSINV(AB527))&lt;AC$8,AC$5+SQRT(NORMSDIST(AC$9*SQRT($C$11)*NORMSINV($B527)+SQRT(1-AC$9^2*$C$11)*NORMSINV(AB527))*(AC$7-AC$5)*(AC$6-AC$5)),AC$7-SQRT((1-NORMSDIST(AC$9*SQRT($C$11)*NORMSINV($B527)+SQRT(1-AC$9^2*$C$11)*NORMSINV(AB527)))*(AC$7-AC$5)*(AC$7-AC$6))))</f>
        <v>9.79092461340469</v>
      </c>
      <c r="AD527" s="2" t="n">
        <f aca="false">Entrées!$C$8*(1+E527)</f>
        <v>7439.58951934636</v>
      </c>
      <c r="AE527" s="2" t="n">
        <f aca="false">I527*Hypothèses!$J$24/12/Hypothèses!$J$19</f>
        <v>100.820980305423</v>
      </c>
      <c r="AF527" s="2" t="n">
        <f aca="false">Entrées!$C$36*S527*1000</f>
        <v>269.089977453777</v>
      </c>
      <c r="AG527" s="2" t="n">
        <f aca="false">-AF527/W527</f>
        <v>-23.6805667540925</v>
      </c>
      <c r="AH527" s="2" t="n">
        <f aca="false">AD527+AE527+AG527</f>
        <v>7516.72993289769</v>
      </c>
      <c r="AI527" s="2" t="n">
        <f aca="false">Entrées!$C$16-M527+Hypothèses!$J$22*1000-AF527+Hypothèses!$J$23</f>
        <v>22707.1412475714</v>
      </c>
      <c r="AJ527" s="2" t="n">
        <f aca="false">AI527/AH527</f>
        <v>3.02088028308579</v>
      </c>
      <c r="AK527" s="2" t="n">
        <f aca="false">AI527/(AH527+I527*(12-Hypothèses!$J$24)/12/Hypothèses!$J$19)</f>
        <v>2.99221300629404</v>
      </c>
      <c r="AL527" s="2" t="n">
        <f aca="false">(AD527+AG527+I527/Hypothèses!$J$19)*(1+G527)</f>
        <v>8061.45287224034</v>
      </c>
      <c r="AM527" s="2" t="n">
        <f aca="false">Entrées!$C$54*K527/Hypothèses!$J$19</f>
        <v>34.7800348542155</v>
      </c>
      <c r="AN527" s="2" t="n">
        <f aca="false">Y527*1000/AC527</f>
        <v>58.0361532806928</v>
      </c>
      <c r="AO527" s="2" t="n">
        <f aca="false">(Entrées!$C$36*(1-S527)+MAX(0,Entrées!$C$30-Entrées!$C$35-Entrées!$C$36)*U527)*1000</f>
        <v>1248.91765996393</v>
      </c>
      <c r="AP527" s="2" t="n">
        <f aca="false">-AO527/W527</f>
        <v>-109.907765041978</v>
      </c>
      <c r="AQ527" s="2" t="n">
        <f aca="false">AL527+AM527+AN527+AP527</f>
        <v>8044.36129533327</v>
      </c>
      <c r="AR527" s="2" t="n">
        <f aca="false">O527*AQ527-Hypothèses!$J$25/Hypothèses!$J$19</f>
        <v>1386.67206710957</v>
      </c>
      <c r="AS527" s="2" t="n">
        <f aca="false">Entrées!$C$79*(1+Q527)+Hypothèses!$J$20</f>
        <v>1487.90716583968</v>
      </c>
      <c r="AT527" s="2" t="n">
        <f aca="false">AI527-AR527+AS527+Y527*1000-AO527+Hypothèses!$J$23</f>
        <v>22127.6862879608</v>
      </c>
      <c r="AU527" s="2" t="n">
        <f aca="false">AT527/AQ527</f>
        <v>2.75070766659842</v>
      </c>
      <c r="AV527" s="2" t="n">
        <f aca="false">Hypothèses!$J$26*AQ527-AT527</f>
        <v>2005.397598039</v>
      </c>
      <c r="AW527" s="2" t="n">
        <f aca="false">IF(AC527&gt;Hypothèses!$J$26,MAX(0,AV527)/(1-Hypothèses!$J$26/AC527),0)</f>
        <v>2891.31419063989</v>
      </c>
      <c r="AX527" s="2" t="n">
        <f aca="false">AQ527-Entrées!$C$17*1000</f>
        <v>44.3612953332649</v>
      </c>
      <c r="AY527" s="2" t="n">
        <f aca="false">AI527+(Entrées!$C$244-Entrées!$C$13)</f>
        <v>28454.1412475714</v>
      </c>
      <c r="AZ527" s="2" t="n">
        <f aca="false">AA527*AH527</f>
        <v>5498.54090318711</v>
      </c>
      <c r="BA527" s="2" t="n">
        <f aca="false">AZ527/AY527</f>
        <v>0.193242201735975</v>
      </c>
      <c r="BB527" s="2" t="n">
        <f aca="false">AZ527/(Entrées!$C$151/100)-AY527</f>
        <v>2093.30821457925</v>
      </c>
      <c r="BC527" s="2" t="n">
        <f aca="false">AT527+(Entrées!$C$244-Entrées!$C$13)</f>
        <v>27874.6862879608</v>
      </c>
      <c r="BD527" s="2" t="n">
        <f aca="false">AA527*AQ527</f>
        <v>5884.50696210576</v>
      </c>
      <c r="BE527" s="2" t="n">
        <f aca="false">BD527/BC527</f>
        <v>0.211105764610786</v>
      </c>
      <c r="BF527" s="2" t="n">
        <f aca="false">BD527/(Entrées!$C$151/100)-BC527</f>
        <v>4817.01905707121</v>
      </c>
      <c r="BG527" s="2" t="n">
        <f aca="false">MIN(AV527,BF527)</f>
        <v>2005.397598039</v>
      </c>
      <c r="BH527" s="2" t="n">
        <f aca="false">IF(AC527&gt;Hypothèses!$J$26,MAX(0,BG527)/(1-Hypothèses!$J$26/AC527),0)</f>
        <v>2891.31419063989</v>
      </c>
    </row>
    <row r="528" customFormat="false" ht="15" hidden="false" customHeight="false" outlineLevel="0" collapsed="false">
      <c r="A528" s="2" t="n">
        <v>513</v>
      </c>
      <c r="B528" s="2" t="n">
        <v>0.8762576</v>
      </c>
      <c r="C528" s="2"/>
      <c r="D528" s="2" t="n">
        <v>0.697977829</v>
      </c>
      <c r="E528" s="2" t="n">
        <f aca="false">IF(E$7=E$5,E$6,IF(NORMSDIST(E$9*SQRT($C$11)*NORMSINV($B528)+SQRT(1-E$9^2*$C$11)*NORMSINV(D528))&lt;E$8,E$5+SQRT(NORMSDIST(E$9*SQRT($C$11)*NORMSINV($B528)+SQRT(1-E$9^2*$C$11)*NORMSINV(D528))*(E$7-E$5)*(E$6-E$5)),E$7-SQRT((1-NORMSDIST(E$9*SQRT($C$11)*NORMSINV($B528)+SQRT(1-E$9^2*$C$11)*NORMSINV(D528)))*(E$7-E$5)*(E$7-E$6))))</f>
        <v>0.0574644398398312</v>
      </c>
      <c r="F528" s="2" t="n">
        <v>0.666025118</v>
      </c>
      <c r="G528" s="2" t="n">
        <f aca="false">IF(G$7=G$5,G$6,IF(NORMSDIST(G$9*SQRT($C$11)*NORMSINV($B528)+SQRT(1-G$9^2*$C$11)*NORMSINV(F528))&lt;G$8,G$5+SQRT(NORMSDIST(G$9*SQRT($C$11)*NORMSINV($B528)+SQRT(1-G$9^2*$C$11)*NORMSINV(F528))*(G$7-G$5)*(G$6-G$5)),G$7-SQRT((1-NORMSDIST(G$9*SQRT($C$11)*NORMSINV($B528)+SQRT(1-G$9^2*$C$11)*NORMSINV(F528)))*(G$7-G$5)*(G$7-G$6))))</f>
        <v>0.0619576155941249</v>
      </c>
      <c r="H528" s="2" t="n">
        <v>0.553935876</v>
      </c>
      <c r="I528" s="2" t="n">
        <f aca="false">IF(I$7=I$5,I$6,IF(NORMSDIST(I$9*SQRT($C$11)*NORMSINV($B528)+SQRT(1-I$9^2*$C$11)*NORMSINV(H528))&lt;I$8,I$5+SQRT(NORMSDIST(I$9*SQRT($C$11)*NORMSINV($B528)+SQRT(1-I$9^2*$C$11)*NORMSINV(H528))*(I$7-I$5)*(I$6-I$5)),I$7-SQRT((1-NORMSDIST(I$9*SQRT($C$11)*NORMSINV($B528)+SQRT(1-I$9^2*$C$11)*NORMSINV(H528)))*(I$7-I$5)*(I$7-I$6))))</f>
        <v>207.305238559918</v>
      </c>
      <c r="J528" s="2" t="n">
        <v>0.030387476</v>
      </c>
      <c r="K528" s="2" t="n">
        <f aca="false">IF(K$7=K$5,K$6,IF(NORMSDIST(K$9*SQRT($C$11)*NORMSINV($B528)+SQRT(1-K$9^2*$C$11)*NORMSINV(J528))&lt;K$8,K$5+SQRT(NORMSDIST(K$9*SQRT($C$11)*NORMSINV($B528)+SQRT(1-K$9^2*$C$11)*NORMSINV(J528))*(K$7-K$5)*(K$6-K$5)),K$7-SQRT((1-NORMSDIST(K$9*SQRT($C$11)*NORMSINV($B528)+SQRT(1-K$9^2*$C$11)*NORMSINV(J528)))*(K$7-K$5)*(K$7-K$6))))</f>
        <v>0.171551902164225</v>
      </c>
      <c r="L528" s="2" t="n">
        <v>0.66410762</v>
      </c>
      <c r="M528" s="2" t="n">
        <f aca="false">IF(M$7=M$5,M$6,IF(NORMSDIST(M$9*SQRT($C$11)*NORMSINV($B528)+SQRT(1-M$9^2*$C$11)*NORMSINV(L528))&lt;M$8,M$5+SQRT(NORMSDIST(M$9*SQRT($C$11)*NORMSINV($B528)+SQRT(1-M$9^2*$C$11)*NORMSINV(L528))*(M$7-M$5)*(M$6-M$5)),M$7-SQRT((1-NORMSDIST(M$9*SQRT($C$11)*NORMSINV($B528)+SQRT(1-M$9^2*$C$11)*NORMSINV(L528)))*(M$7-M$5)*(M$7-M$6))))</f>
        <v>1684.58646466819</v>
      </c>
      <c r="N528" s="2" t="n">
        <v>0.497785263</v>
      </c>
      <c r="O528" s="2" t="n">
        <f aca="false">IF(O$7=O$5,O$6,IF(NORMSDIST(O$9*SQRT($C$11)*NORMSINV($B528)+SQRT(1-O$9^2*$C$11)*NORMSINV(N528))&lt;O$8,O$5+SQRT(NORMSDIST(O$9*SQRT($C$11)*NORMSINV($B528)+SQRT(1-O$9^2*$C$11)*NORMSINV(N528))*(O$7-O$5)*(O$6-O$5)),O$7-SQRT((1-NORMSDIST(O$9*SQRT($C$11)*NORMSINV($B528)+SQRT(1-O$9^2*$C$11)*NORMSINV(N528)))*(O$7-O$5)*(O$7-O$6))))</f>
        <v>0.174226590115451</v>
      </c>
      <c r="P528" s="2" t="n">
        <v>0.407163289</v>
      </c>
      <c r="Q528" s="2" t="n">
        <f aca="false">IF(Q$7=Q$5,Q$6,IF(NORMSDIST(Q$9*SQRT($C$11)*NORMSINV($B528)+SQRT(1-Q$9^2*$C$11)*NORMSINV(P528))&lt;Q$8,Q$5+SQRT(NORMSDIST(Q$9*SQRT($C$11)*NORMSINV($B528)+SQRT(1-Q$9^2*$C$11)*NORMSINV(P528))*(Q$7-Q$5)*(Q$6-Q$5)),Q$7-SQRT((1-NORMSDIST(Q$9*SQRT($C$11)*NORMSINV($B528)+SQRT(1-Q$9^2*$C$11)*NORMSINV(P528)))*(Q$7-Q$5)*(Q$7-Q$6))))</f>
        <v>0.0760960181294281</v>
      </c>
      <c r="R528" s="2" t="n">
        <v>0.796456208</v>
      </c>
      <c r="S528" s="2" t="n">
        <f aca="false">IF(S$7=S$5,S$6,IF(NORMSDIST(S$9*SQRT($C$11)*NORMSINV($B528)+SQRT(1-S$9^2*$C$11)*NORMSINV(R528))&lt;S$8,S$5+SQRT(NORMSDIST(S$9*SQRT($C$11)*NORMSINV($B528)+SQRT(1-S$9^2*$C$11)*NORMSINV(R528))*(S$7-S$5)*(S$6-S$5)),S$7-SQRT((1-NORMSDIST(S$9*SQRT($C$11)*NORMSINV($B528)+SQRT(1-S$9^2*$C$11)*NORMSINV(R528)))*(S$7-S$5)*(S$7-S$6))))</f>
        <v>0.794105452684383</v>
      </c>
      <c r="T528" s="2" t="n">
        <v>0.784527944</v>
      </c>
      <c r="U528" s="2" t="n">
        <f aca="false">IF(U$7=U$5,U$6,IF(NORMSDIST(U$9*SQRT($C$11)*NORMSINV($B528)+SQRT(1-U$9^2*$C$11)*NORMSINV(T528))&lt;U$8,U$5+SQRT(NORMSDIST(U$9*SQRT($C$11)*NORMSINV($B528)+SQRT(1-U$9^2*$C$11)*NORMSINV(T528))*(U$7-U$5)*(U$6-U$5)),U$7-SQRT((1-NORMSDIST(U$9*SQRT($C$11)*NORMSINV($B528)+SQRT(1-U$9^2*$C$11)*NORMSINV(T528)))*(U$7-U$5)*(U$7-U$6))))</f>
        <v>0.788006092358793</v>
      </c>
      <c r="V528" s="2" t="n">
        <v>0.40760128</v>
      </c>
      <c r="W528" s="2" t="n">
        <f aca="false">IF(W$7=W$5,W$6,IF(NORMSDIST(W$9*SQRT($C$11)*NORMSINV($B528)+SQRT(1-W$9^2*$C$11)*NORMSINV(V528))&lt;W$8,W$5+SQRT(NORMSDIST(W$9*SQRT($C$11)*NORMSINV($B528)+SQRT(1-W$9^2*$C$11)*NORMSINV(V528))*(W$7-W$5)*(W$6-W$5)),W$7-SQRT((1-NORMSDIST(W$9*SQRT($C$11)*NORMSINV($B528)+SQRT(1-W$9^2*$C$11)*NORMSINV(V528)))*(W$7-W$5)*(W$7-W$6))))</f>
        <v>10.4741478611961</v>
      </c>
      <c r="X528" s="2" t="n">
        <v>0.478233757</v>
      </c>
      <c r="Y528" s="2" t="n">
        <f aca="false">IF(Y$7=Y$5,Y$6,IF(NORMSDIST(Y$9*SQRT($C$11)*NORMSINV($B528)+SQRT(1-Y$9^2*$C$11)*NORMSINV(X528))&lt;Y$8,Y$5+SQRT(NORMSDIST(Y$9*SQRT($C$11)*NORMSINV($B528)+SQRT(1-Y$9^2*$C$11)*NORMSINV(X528))*(Y$7-Y$5)*(Y$6-Y$5)),Y$7-SQRT((1-NORMSDIST(Y$9*SQRT($C$11)*NORMSINV($B528)+SQRT(1-Y$9^2*$C$11)*NORMSINV(X528)))*(Y$7-Y$5)*(Y$7-Y$6))))</f>
        <v>0.488995785769162</v>
      </c>
      <c r="Z528" s="2" t="n">
        <v>0.893012583</v>
      </c>
      <c r="AA528" s="2" t="n">
        <f aca="false">IF(AA$7=AA$5,AA$6,IF(NORMSDIST(AA$9*SQRT($C$11)*NORMSINV($B528)+SQRT(1-AA$9^2*$C$11)*NORMSINV(Z528))&lt;AA$8,AA$5+SQRT(NORMSDIST(AA$9*SQRT($C$11)*NORMSINV($B528)+SQRT(1-AA$9^2*$C$11)*NORMSINV(Z528))*(AA$7-AA$5)*(AA$6-AA$5)),AA$7-SQRT((1-NORMSDIST(AA$9*SQRT($C$11)*NORMSINV($B528)+SQRT(1-AA$9^2*$C$11)*NORMSINV(Z528)))*(AA$7-AA$5)*(AA$7-AA$6))))</f>
        <v>0.74625502484123</v>
      </c>
      <c r="AB528" s="2" t="n">
        <v>0.277071992</v>
      </c>
      <c r="AC528" s="2" t="n">
        <f aca="false">IF(AC$7=AC$5,AC$6,IF(NORMSDIST(AC$9*SQRT($C$11)*NORMSINV($B528)+SQRT(1-AC$9^2*$C$11)*NORMSINV(AB528))&lt;AC$8,AC$5+SQRT(NORMSDIST(AC$9*SQRT($C$11)*NORMSINV($B528)+SQRT(1-AC$9^2*$C$11)*NORMSINV(AB528))*(AC$7-AC$5)*(AC$6-AC$5)),AC$7-SQRT((1-NORMSDIST(AC$9*SQRT($C$11)*NORMSINV($B528)+SQRT(1-AC$9^2*$C$11)*NORMSINV(AB528)))*(AC$7-AC$5)*(AC$7-AC$6))))</f>
        <v>9.6913095781949</v>
      </c>
      <c r="AD528" s="2" t="n">
        <f aca="false">Entrées!$C$8*(1+E528)</f>
        <v>7455.12430087081</v>
      </c>
      <c r="AE528" s="2" t="n">
        <f aca="false">I528*Hypothèses!$J$24/12/Hypothèses!$J$19</f>
        <v>102.843465343347</v>
      </c>
      <c r="AF528" s="2" t="n">
        <f aca="false">Entrées!$C$36*S528*1000</f>
        <v>397.052726342191</v>
      </c>
      <c r="AG528" s="2" t="n">
        <f aca="false">-AF528/W528</f>
        <v>-37.9078786746141</v>
      </c>
      <c r="AH528" s="2" t="n">
        <f aca="false">AD528+AE528+AG528</f>
        <v>7520.05988753954</v>
      </c>
      <c r="AI528" s="2" t="n">
        <f aca="false">Entrées!$C$16-M528+Hypothèses!$J$22*1000-AF528+Hypothèses!$J$23</f>
        <v>22466.3608089896</v>
      </c>
      <c r="AJ528" s="2" t="n">
        <f aca="false">AI528/AH528</f>
        <v>2.98752418796764</v>
      </c>
      <c r="AK528" s="2" t="n">
        <f aca="false">AI528/(AH528+I528*(12-Hypothèses!$J$24)/12/Hypothèses!$J$19)</f>
        <v>2.95862291422275</v>
      </c>
      <c r="AL528" s="2" t="n">
        <f aca="false">(AD528+AG528+I528/Hypothèses!$J$19)*(1+G528)</f>
        <v>8063.99586817899</v>
      </c>
      <c r="AM528" s="2" t="n">
        <f aca="false">Entrées!$C$54*K528/Hypothèses!$J$19</f>
        <v>17.5075919157495</v>
      </c>
      <c r="AN528" s="2" t="n">
        <f aca="false">Y528*1000/AC528</f>
        <v>50.4571422286813</v>
      </c>
      <c r="AO528" s="2" t="n">
        <f aca="false">(Entrées!$C$36*(1-S528)+MAX(0,Entrées!$C$30-Entrées!$C$35-Entrées!$C$36)*U528)*1000</f>
        <v>1206.15580296012</v>
      </c>
      <c r="AP528" s="2" t="n">
        <f aca="false">-AO528/W528</f>
        <v>-115.155506580979</v>
      </c>
      <c r="AQ528" s="2" t="n">
        <f aca="false">AL528+AM528+AN528+AP528</f>
        <v>8016.80509574244</v>
      </c>
      <c r="AR528" s="2" t="n">
        <f aca="false">O528*AQ528-Hypothèses!$J$25/Hypothèses!$J$19</f>
        <v>1377.60545318975</v>
      </c>
      <c r="AS528" s="2" t="n">
        <f aca="false">Entrées!$C$79*(1+Q528)+Hypothèses!$J$20</f>
        <v>1477.62952392424</v>
      </c>
      <c r="AT528" s="2" t="n">
        <f aca="false">AI528-AR528+AS528+Y528*1000-AO528+Hypothèses!$J$23</f>
        <v>21849.2248625332</v>
      </c>
      <c r="AU528" s="2" t="n">
        <f aca="false">AT528/AQ528</f>
        <v>2.72542797306334</v>
      </c>
      <c r="AV528" s="2" t="n">
        <f aca="false">Hypothèses!$J$26*AQ528-AT528</f>
        <v>2201.19042469415</v>
      </c>
      <c r="AW528" s="2" t="n">
        <f aca="false">IF(AC528&gt;Hypothèses!$J$26,MAX(0,AV528)/(1-Hypothèses!$J$26/AC528),0)</f>
        <v>3188.07814777928</v>
      </c>
      <c r="AX528" s="2" t="n">
        <f aca="false">AQ528-Entrées!$C$17*1000</f>
        <v>16.8050957424384</v>
      </c>
      <c r="AY528" s="2" t="n">
        <f aca="false">AI528+(Entrées!$C$244-Entrées!$C$13)</f>
        <v>28213.3608089896</v>
      </c>
      <c r="AZ528" s="2" t="n">
        <f aca="false">AA528*AH528</f>
        <v>5611.88247818336</v>
      </c>
      <c r="BA528" s="2" t="n">
        <f aca="false">AZ528/AY528</f>
        <v>0.198908684299506</v>
      </c>
      <c r="BB528" s="2" t="n">
        <f aca="false">AZ528/(Entrées!$C$151/100)-AY528</f>
        <v>2963.76406980682</v>
      </c>
      <c r="BC528" s="2" t="n">
        <f aca="false">AT528+(Entrées!$C$244-Entrées!$C$13)</f>
        <v>27596.2248625332</v>
      </c>
      <c r="BD528" s="2" t="n">
        <f aca="false">AA528*AQ528</f>
        <v>5982.58108587057</v>
      </c>
      <c r="BE528" s="2" t="n">
        <f aca="false">BD528/BC528</f>
        <v>0.216789836858918</v>
      </c>
      <c r="BF528" s="2" t="n">
        <f aca="false">BD528/(Entrées!$C$151/100)-BC528</f>
        <v>5640.33672563669</v>
      </c>
      <c r="BG528" s="2" t="n">
        <f aca="false">MIN(AV528,BF528)</f>
        <v>2201.19042469415</v>
      </c>
      <c r="BH528" s="2" t="n">
        <f aca="false">IF(AC528&gt;Hypothèses!$J$26,MAX(0,BG528)/(1-Hypothèses!$J$26/AC528),0)</f>
        <v>3188.07814777928</v>
      </c>
    </row>
    <row r="529" customFormat="false" ht="15" hidden="false" customHeight="false" outlineLevel="0" collapsed="false">
      <c r="A529" s="2" t="n">
        <v>514</v>
      </c>
      <c r="B529" s="2" t="n">
        <v>0.798135605</v>
      </c>
      <c r="C529" s="2"/>
      <c r="D529" s="2" t="n">
        <v>0.466970731</v>
      </c>
      <c r="E529" s="2" t="n">
        <f aca="false">IF(E$7=E$5,E$6,IF(NORMSDIST(E$9*SQRT($C$11)*NORMSINV($B529)+SQRT(1-E$9^2*$C$11)*NORMSINV(D529))&lt;E$8,E$5+SQRT(NORMSDIST(E$9*SQRT($C$11)*NORMSINV($B529)+SQRT(1-E$9^2*$C$11)*NORMSINV(D529))*(E$7-E$5)*(E$6-E$5)),E$7-SQRT((1-NORMSDIST(E$9*SQRT($C$11)*NORMSINV($B529)+SQRT(1-E$9^2*$C$11)*NORMSINV(D529)))*(E$7-E$5)*(E$7-E$6))))</f>
        <v>0.055991475149363</v>
      </c>
      <c r="F529" s="2" t="n">
        <v>0.007222132</v>
      </c>
      <c r="G529" s="2" t="n">
        <f aca="false">IF(G$7=G$5,G$6,IF(NORMSDIST(G$9*SQRT($C$11)*NORMSINV($B529)+SQRT(1-G$9^2*$C$11)*NORMSINV(F529))&lt;G$8,G$5+SQRT(NORMSDIST(G$9*SQRT($C$11)*NORMSINV($B529)+SQRT(1-G$9^2*$C$11)*NORMSINV(F529))*(G$7-G$5)*(G$6-G$5)),G$7-SQRT((1-NORMSDIST(G$9*SQRT($C$11)*NORMSINV($B529)+SQRT(1-G$9^2*$C$11)*NORMSINV(F529)))*(G$7-G$5)*(G$7-G$6))))</f>
        <v>0.0462164698477157</v>
      </c>
      <c r="H529" s="2" t="n">
        <v>0.04661124</v>
      </c>
      <c r="I529" s="2" t="n">
        <f aca="false">IF(I$7=I$5,I$6,IF(NORMSDIST(I$9*SQRT($C$11)*NORMSINV($B529)+SQRT(1-I$9^2*$C$11)*NORMSINV(H529))&lt;I$8,I$5+SQRT(NORMSDIST(I$9*SQRT($C$11)*NORMSINV($B529)+SQRT(1-I$9^2*$C$11)*NORMSINV(H529))*(I$7-I$5)*(I$6-I$5)),I$7-SQRT((1-NORMSDIST(I$9*SQRT($C$11)*NORMSINV($B529)+SQRT(1-I$9^2*$C$11)*NORMSINV(H529)))*(I$7-I$5)*(I$7-I$6))))</f>
        <v>193.26661693401</v>
      </c>
      <c r="J529" s="2" t="n">
        <v>0.151871663</v>
      </c>
      <c r="K529" s="2" t="n">
        <f aca="false">IF(K$7=K$5,K$6,IF(NORMSDIST(K$9*SQRT($C$11)*NORMSINV($B529)+SQRT(1-K$9^2*$C$11)*NORMSINV(J529))&lt;K$8,K$5+SQRT(NORMSDIST(K$9*SQRT($C$11)*NORMSINV($B529)+SQRT(1-K$9^2*$C$11)*NORMSINV(J529))*(K$7-K$5)*(K$6-K$5)),K$7-SQRT((1-NORMSDIST(K$9*SQRT($C$11)*NORMSINV($B529)+SQRT(1-K$9^2*$C$11)*NORMSINV(J529)))*(K$7-K$5)*(K$7-K$6))))</f>
        <v>0.221963616766698</v>
      </c>
      <c r="L529" s="2" t="n">
        <v>0.291857165</v>
      </c>
      <c r="M529" s="2" t="n">
        <f aca="false">IF(M$7=M$5,M$6,IF(NORMSDIST(M$9*SQRT($C$11)*NORMSINV($B529)+SQRT(1-M$9^2*$C$11)*NORMSINV(L529))&lt;M$8,M$5+SQRT(NORMSDIST(M$9*SQRT($C$11)*NORMSINV($B529)+SQRT(1-M$9^2*$C$11)*NORMSINV(L529))*(M$7-M$5)*(M$6-M$5)),M$7-SQRT((1-NORMSDIST(M$9*SQRT($C$11)*NORMSINV($B529)+SQRT(1-M$9^2*$C$11)*NORMSINV(L529)))*(M$7-M$5)*(M$7-M$6))))</f>
        <v>1596.76465549684</v>
      </c>
      <c r="N529" s="2" t="n">
        <v>0.087080723</v>
      </c>
      <c r="O529" s="2" t="n">
        <f aca="false">IF(O$7=O$5,O$6,IF(NORMSDIST(O$9*SQRT($C$11)*NORMSINV($B529)+SQRT(1-O$9^2*$C$11)*NORMSINV(N529))&lt;O$8,O$5+SQRT(NORMSDIST(O$9*SQRT($C$11)*NORMSINV($B529)+SQRT(1-O$9^2*$C$11)*NORMSINV(N529))*(O$7-O$5)*(O$6-O$5)),O$7-SQRT((1-NORMSDIST(O$9*SQRT($C$11)*NORMSINV($B529)+SQRT(1-O$9^2*$C$11)*NORMSINV(N529)))*(O$7-O$5)*(O$7-O$6))))</f>
        <v>0.160745350798476</v>
      </c>
      <c r="P529" s="2" t="n">
        <v>0.540752242</v>
      </c>
      <c r="Q529" s="2" t="n">
        <f aca="false">IF(Q$7=Q$5,Q$6,IF(NORMSDIST(Q$9*SQRT($C$11)*NORMSINV($B529)+SQRT(1-Q$9^2*$C$11)*NORMSINV(P529))&lt;Q$8,Q$5+SQRT(NORMSDIST(Q$9*SQRT($C$11)*NORMSINV($B529)+SQRT(1-Q$9^2*$C$11)*NORMSINV(P529))*(Q$7-Q$5)*(Q$6-Q$5)),Q$7-SQRT((1-NORMSDIST(Q$9*SQRT($C$11)*NORMSINV($B529)+SQRT(1-Q$9^2*$C$11)*NORMSINV(P529)))*(Q$7-Q$5)*(Q$7-Q$6))))</f>
        <v>0.0816647313091456</v>
      </c>
      <c r="R529" s="2" t="n">
        <v>0.854575089</v>
      </c>
      <c r="S529" s="2" t="n">
        <f aca="false">IF(S$7=S$5,S$6,IF(NORMSDIST(S$9*SQRT($C$11)*NORMSINV($B529)+SQRT(1-S$9^2*$C$11)*NORMSINV(R529))&lt;S$8,S$5+SQRT(NORMSDIST(S$9*SQRT($C$11)*NORMSINV($B529)+SQRT(1-S$9^2*$C$11)*NORMSINV(R529))*(S$7-S$5)*(S$6-S$5)),S$7-SQRT((1-NORMSDIST(S$9*SQRT($C$11)*NORMSINV($B529)+SQRT(1-S$9^2*$C$11)*NORMSINV(R529)))*(S$7-S$5)*(S$7-S$6))))</f>
        <v>0.788920754780693</v>
      </c>
      <c r="T529" s="2" t="n">
        <v>0.389918712</v>
      </c>
      <c r="U529" s="2" t="n">
        <f aca="false">IF(U$7=U$5,U$6,IF(NORMSDIST(U$9*SQRT($C$11)*NORMSINV($B529)+SQRT(1-U$9^2*$C$11)*NORMSINV(T529))&lt;U$8,U$5+SQRT(NORMSDIST(U$9*SQRT($C$11)*NORMSINV($B529)+SQRT(1-U$9^2*$C$11)*NORMSINV(T529))*(U$7-U$5)*(U$6-U$5)),U$7-SQRT((1-NORMSDIST(U$9*SQRT($C$11)*NORMSINV($B529)+SQRT(1-U$9^2*$C$11)*NORMSINV(T529)))*(U$7-U$5)*(U$7-U$6))))</f>
        <v>0.565439378558248</v>
      </c>
      <c r="V529" s="2" t="n">
        <v>0.149024697</v>
      </c>
      <c r="W529" s="2" t="n">
        <f aca="false">IF(W$7=W$5,W$6,IF(NORMSDIST(W$9*SQRT($C$11)*NORMSINV($B529)+SQRT(1-W$9^2*$C$11)*NORMSINV(V529))&lt;W$8,W$5+SQRT(NORMSDIST(W$9*SQRT($C$11)*NORMSINV($B529)+SQRT(1-W$9^2*$C$11)*NORMSINV(V529))*(W$7-W$5)*(W$6-W$5)),W$7-SQRT((1-NORMSDIST(W$9*SQRT($C$11)*NORMSINV($B529)+SQRT(1-W$9^2*$C$11)*NORMSINV(V529)))*(W$7-W$5)*(W$7-W$6))))</f>
        <v>9.76751794543036</v>
      </c>
      <c r="X529" s="2" t="n">
        <v>0.858031761</v>
      </c>
      <c r="Y529" s="2" t="n">
        <f aca="false">IF(Y$7=Y$5,Y$6,IF(NORMSDIST(Y$9*SQRT($C$11)*NORMSINV($B529)+SQRT(1-Y$9^2*$C$11)*NORMSINV(X529))&lt;Y$8,Y$5+SQRT(NORMSDIST(Y$9*SQRT($C$11)*NORMSINV($B529)+SQRT(1-Y$9^2*$C$11)*NORMSINV(X529))*(Y$7-Y$5)*(Y$6-Y$5)),Y$7-SQRT((1-NORMSDIST(Y$9*SQRT($C$11)*NORMSINV($B529)+SQRT(1-Y$9^2*$C$11)*NORMSINV(X529)))*(Y$7-Y$5)*(Y$7-Y$6))))</f>
        <v>0.73357154900424</v>
      </c>
      <c r="Z529" s="2" t="n">
        <v>0.809628616</v>
      </c>
      <c r="AA529" s="2" t="n">
        <f aca="false">IF(AA$7=AA$5,AA$6,IF(NORMSDIST(AA$9*SQRT($C$11)*NORMSINV($B529)+SQRT(1-AA$9^2*$C$11)*NORMSINV(Z529))&lt;AA$8,AA$5+SQRT(NORMSDIST(AA$9*SQRT($C$11)*NORMSINV($B529)+SQRT(1-AA$9^2*$C$11)*NORMSINV(Z529))*(AA$7-AA$5)*(AA$6-AA$5)),AA$7-SQRT((1-NORMSDIST(AA$9*SQRT($C$11)*NORMSINV($B529)+SQRT(1-AA$9^2*$C$11)*NORMSINV(Z529)))*(AA$7-AA$5)*(AA$7-AA$6))))</f>
        <v>0.741781375869008</v>
      </c>
      <c r="AB529" s="2" t="n">
        <v>0.158200178</v>
      </c>
      <c r="AC529" s="2" t="n">
        <f aca="false">IF(AC$7=AC$5,AC$6,IF(NORMSDIST(AC$9*SQRT($C$11)*NORMSINV($B529)+SQRT(1-AC$9^2*$C$11)*NORMSINV(AB529))&lt;AC$8,AC$5+SQRT(NORMSDIST(AC$9*SQRT($C$11)*NORMSINV($B529)+SQRT(1-AC$9^2*$C$11)*NORMSINV(AB529))*(AC$7-AC$5)*(AC$6-AC$5)),AC$7-SQRT((1-NORMSDIST(AC$9*SQRT($C$11)*NORMSINV($B529)+SQRT(1-AC$9^2*$C$11)*NORMSINV(AB529)))*(AC$7-AC$5)*(AC$7-AC$6))))</f>
        <v>9.26385923366687</v>
      </c>
      <c r="AD529" s="2" t="n">
        <f aca="false">Entrées!$C$8*(1+E529)</f>
        <v>7444.73989980301</v>
      </c>
      <c r="AE529" s="2" t="n">
        <f aca="false">I529*Hypothèses!$J$24/12/Hypothèses!$J$19</f>
        <v>95.8789500870906</v>
      </c>
      <c r="AF529" s="2" t="n">
        <f aca="false">Entrées!$C$36*S529*1000</f>
        <v>394.460377390346</v>
      </c>
      <c r="AG529" s="2" t="n">
        <f aca="false">-AF529/W529</f>
        <v>-40.3849145293755</v>
      </c>
      <c r="AH529" s="2" t="n">
        <f aca="false">AD529+AE529+AG529</f>
        <v>7500.23393536073</v>
      </c>
      <c r="AI529" s="2" t="n">
        <f aca="false">Entrées!$C$16-M529+Hypothèses!$J$22*1000-AF529+Hypothèses!$J$23</f>
        <v>22556.7749671128</v>
      </c>
      <c r="AJ529" s="2" t="n">
        <f aca="false">AI529/AH529</f>
        <v>3.00747618827811</v>
      </c>
      <c r="AK529" s="2" t="n">
        <f aca="false">AI529/(AH529+I529*(12-Hypothèses!$J$24)/12/Hypothèses!$J$19)</f>
        <v>2.98026327387864</v>
      </c>
      <c r="AL529" s="2" t="n">
        <f aca="false">(AD529+AG529+I529/Hypothèses!$J$19)*(1+G529)</f>
        <v>7918.51836852287</v>
      </c>
      <c r="AM529" s="2" t="n">
        <f aca="false">Entrées!$C$54*K529/Hypothèses!$J$19</f>
        <v>22.6523190560434</v>
      </c>
      <c r="AN529" s="2" t="n">
        <f aca="false">Y529*1000/AC529</f>
        <v>79.1863877139112</v>
      </c>
      <c r="AO529" s="2" t="n">
        <f aca="false">(Entrées!$C$36*(1-S529)+MAX(0,Entrées!$C$30-Entrées!$C$35-Entrées!$C$36)*U529)*1000</f>
        <v>897.154752591201</v>
      </c>
      <c r="AP529" s="2" t="n">
        <f aca="false">-AO529/W529</f>
        <v>-91.8508425173589</v>
      </c>
      <c r="AQ529" s="2" t="n">
        <f aca="false">AL529+AM529+AN529+AP529</f>
        <v>7928.50623277546</v>
      </c>
      <c r="AR529" s="2" t="n">
        <f aca="false">O529*AQ529-Hypothèses!$J$25/Hypothèses!$J$19</f>
        <v>1255.33535343377</v>
      </c>
      <c r="AS529" s="2" t="n">
        <f aca="false">Entrées!$C$79*(1+Q529)+Hypothèses!$J$20</f>
        <v>1483.74953970875</v>
      </c>
      <c r="AT529" s="2" t="n">
        <f aca="false">AI529-AR529+AS529+Y529*1000-AO529+Hypothèses!$J$23</f>
        <v>22621.6059498008</v>
      </c>
      <c r="AU529" s="2" t="n">
        <f aca="false">AT529/AQ529</f>
        <v>2.85319898675061</v>
      </c>
      <c r="AV529" s="2" t="n">
        <f aca="false">Hypothèses!$J$26*AQ529-AT529</f>
        <v>1163.91274852556</v>
      </c>
      <c r="AW529" s="2" t="n">
        <f aca="false">IF(AC529&gt;Hypothèses!$J$26,MAX(0,AV529)/(1-Hypothèses!$J$26/AC529),0)</f>
        <v>1721.35475277899</v>
      </c>
      <c r="AX529" s="2" t="n">
        <f aca="false">AQ529-Entrées!$C$17*1000</f>
        <v>-71.493767224536</v>
      </c>
      <c r="AY529" s="2" t="n">
        <f aca="false">AI529+(Entrées!$C$244-Entrées!$C$13)</f>
        <v>28303.7749671128</v>
      </c>
      <c r="AZ529" s="2" t="n">
        <f aca="false">AA529*AH529</f>
        <v>5563.53384791131</v>
      </c>
      <c r="BA529" s="2" t="n">
        <f aca="false">AZ529/AY529</f>
        <v>0.196565082020889</v>
      </c>
      <c r="BB529" s="2" t="n">
        <f aca="false">AZ529/(Entrées!$C$151/100)-AY529</f>
        <v>2604.74641017223</v>
      </c>
      <c r="BC529" s="2" t="n">
        <f aca="false">AT529+(Entrées!$C$244-Entrées!$C$13)</f>
        <v>28368.6059498008</v>
      </c>
      <c r="BD529" s="2" t="n">
        <f aca="false">AA529*AQ529</f>
        <v>5881.21826193419</v>
      </c>
      <c r="BE529" s="2" t="n">
        <f aca="false">BD529/BC529</f>
        <v>0.207314320356143</v>
      </c>
      <c r="BF529" s="2" t="n">
        <f aca="false">BD529/(Entrées!$C$151/100)-BC529</f>
        <v>4304.82883872245</v>
      </c>
      <c r="BG529" s="2" t="n">
        <f aca="false">MIN(AV529,BF529)</f>
        <v>1163.91274852556</v>
      </c>
      <c r="BH529" s="2" t="n">
        <f aca="false">IF(AC529&gt;Hypothèses!$J$26,MAX(0,BG529)/(1-Hypothèses!$J$26/AC529),0)</f>
        <v>1721.35475277899</v>
      </c>
    </row>
    <row r="530" customFormat="false" ht="15" hidden="false" customHeight="false" outlineLevel="0" collapsed="false">
      <c r="A530" s="2" t="n">
        <v>515</v>
      </c>
      <c r="B530" s="2" t="n">
        <v>0.620899293</v>
      </c>
      <c r="C530" s="2"/>
      <c r="D530" s="2" t="n">
        <v>0.408882718</v>
      </c>
      <c r="E530" s="2" t="n">
        <f aca="false">IF(E$7=E$5,E$6,IF(NORMSDIST(E$9*SQRT($C$11)*NORMSINV($B530)+SQRT(1-E$9^2*$C$11)*NORMSINV(D530))&lt;E$8,E$5+SQRT(NORMSDIST(E$9*SQRT($C$11)*NORMSINV($B530)+SQRT(1-E$9^2*$C$11)*NORMSINV(D530))*(E$7-E$5)*(E$6-E$5)),E$7-SQRT((1-NORMSDIST(E$9*SQRT($C$11)*NORMSINV($B530)+SQRT(1-E$9^2*$C$11)*NORMSINV(D530)))*(E$7-E$5)*(E$7-E$6))))</f>
        <v>0.0550324476728658</v>
      </c>
      <c r="F530" s="2" t="n">
        <v>0.073199739</v>
      </c>
      <c r="G530" s="2" t="n">
        <f aca="false">IF(G$7=G$5,G$6,IF(NORMSDIST(G$9*SQRT($C$11)*NORMSINV($B530)+SQRT(1-G$9^2*$C$11)*NORMSINV(F530))&lt;G$8,G$5+SQRT(NORMSDIST(G$9*SQRT($C$11)*NORMSINV($B530)+SQRT(1-G$9^2*$C$11)*NORMSINV(F530))*(G$7-G$5)*(G$6-G$5)),G$7-SQRT((1-NORMSDIST(G$9*SQRT($C$11)*NORMSINV($B530)+SQRT(1-G$9^2*$C$11)*NORMSINV(F530)))*(G$7-G$5)*(G$7-G$6))))</f>
        <v>0.0489021549023208</v>
      </c>
      <c r="H530" s="2" t="n">
        <v>0.934155644</v>
      </c>
      <c r="I530" s="2" t="n">
        <f aca="false">IF(I$7=I$5,I$6,IF(NORMSDIST(I$9*SQRT($C$11)*NORMSINV($B530)+SQRT(1-I$9^2*$C$11)*NORMSINV(H530))&lt;I$8,I$5+SQRT(NORMSDIST(I$9*SQRT($C$11)*NORMSINV($B530)+SQRT(1-I$9^2*$C$11)*NORMSINV(H530))*(I$7-I$5)*(I$6-I$5)),I$7-SQRT((1-NORMSDIST(I$9*SQRT($C$11)*NORMSINV($B530)+SQRT(1-I$9^2*$C$11)*NORMSINV(H530)))*(I$7-I$5)*(I$7-I$6))))</f>
        <v>211.679495275896</v>
      </c>
      <c r="J530" s="2" t="n">
        <v>0.964059087</v>
      </c>
      <c r="K530" s="2" t="n">
        <f aca="false">IF(K$7=K$5,K$6,IF(NORMSDIST(K$9*SQRT($C$11)*NORMSINV($B530)+SQRT(1-K$9^2*$C$11)*NORMSINV(J530))&lt;K$8,K$5+SQRT(NORMSDIST(K$9*SQRT($C$11)*NORMSINV($B530)+SQRT(1-K$9^2*$C$11)*NORMSINV(J530))*(K$7-K$5)*(K$6-K$5)),K$7-SQRT((1-NORMSDIST(K$9*SQRT($C$11)*NORMSINV($B530)+SQRT(1-K$9^2*$C$11)*NORMSINV(J530)))*(K$7-K$5)*(K$7-K$6))))</f>
        <v>0.416300264764996</v>
      </c>
      <c r="L530" s="2" t="n">
        <v>0.001131817</v>
      </c>
      <c r="M530" s="2" t="n">
        <f aca="false">IF(M$7=M$5,M$6,IF(NORMSDIST(M$9*SQRT($C$11)*NORMSINV($B530)+SQRT(1-M$9^2*$C$11)*NORMSINV(L530))&lt;M$8,M$5+SQRT(NORMSDIST(M$9*SQRT($C$11)*NORMSINV($B530)+SQRT(1-M$9^2*$C$11)*NORMSINV(L530))*(M$7-M$5)*(M$6-M$5)),M$7-SQRT((1-NORMSDIST(M$9*SQRT($C$11)*NORMSINV($B530)+SQRT(1-M$9^2*$C$11)*NORMSINV(L530)))*(M$7-M$5)*(M$7-M$6))))</f>
        <v>1352.05372773194</v>
      </c>
      <c r="N530" s="2" t="n">
        <v>0.21583653</v>
      </c>
      <c r="O530" s="2" t="n">
        <f aca="false">IF(O$7=O$5,O$6,IF(NORMSDIST(O$9*SQRT($C$11)*NORMSINV($B530)+SQRT(1-O$9^2*$C$11)*NORMSINV(N530))&lt;O$8,O$5+SQRT(NORMSDIST(O$9*SQRT($C$11)*NORMSINV($B530)+SQRT(1-O$9^2*$C$11)*NORMSINV(N530))*(O$7-O$5)*(O$6-O$5)),O$7-SQRT((1-NORMSDIST(O$9*SQRT($C$11)*NORMSINV($B530)+SQRT(1-O$9^2*$C$11)*NORMSINV(N530)))*(O$7-O$5)*(O$7-O$6))))</f>
        <v>0.162064091530236</v>
      </c>
      <c r="P530" s="2" t="n">
        <v>0.782834853</v>
      </c>
      <c r="Q530" s="2" t="n">
        <f aca="false">IF(Q$7=Q$5,Q$6,IF(NORMSDIST(Q$9*SQRT($C$11)*NORMSINV($B530)+SQRT(1-Q$9^2*$C$11)*NORMSINV(P530))&lt;Q$8,Q$5+SQRT(NORMSDIST(Q$9*SQRT($C$11)*NORMSINV($B530)+SQRT(1-Q$9^2*$C$11)*NORMSINV(P530))*(Q$7-Q$5)*(Q$6-Q$5)),Q$7-SQRT((1-NORMSDIST(Q$9*SQRT($C$11)*NORMSINV($B530)+SQRT(1-Q$9^2*$C$11)*NORMSINV(P530)))*(Q$7-Q$5)*(Q$7-Q$6))))</f>
        <v>0.0936385040181707</v>
      </c>
      <c r="R530" s="2" t="n">
        <v>0.096443561</v>
      </c>
      <c r="S530" s="2" t="n">
        <f aca="false">IF(S$7=S$5,S$6,IF(NORMSDIST(S$9*SQRT($C$11)*NORMSINV($B530)+SQRT(1-S$9^2*$C$11)*NORMSINV(R530))&lt;S$8,S$5+SQRT(NORMSDIST(S$9*SQRT($C$11)*NORMSINV($B530)+SQRT(1-S$9^2*$C$11)*NORMSINV(R530))*(S$7-S$5)*(S$6-S$5)),S$7-SQRT((1-NORMSDIST(S$9*SQRT($C$11)*NORMSINV($B530)+SQRT(1-S$9^2*$C$11)*NORMSINV(R530)))*(S$7-S$5)*(S$7-S$6))))</f>
        <v>0.322376242158091</v>
      </c>
      <c r="T530" s="2" t="n">
        <v>0.956646148</v>
      </c>
      <c r="U530" s="2" t="n">
        <f aca="false">IF(U$7=U$5,U$6,IF(NORMSDIST(U$9*SQRT($C$11)*NORMSINV($B530)+SQRT(1-U$9^2*$C$11)*NORMSINV(T530))&lt;U$8,U$5+SQRT(NORMSDIST(U$9*SQRT($C$11)*NORMSINV($B530)+SQRT(1-U$9^2*$C$11)*NORMSINV(T530))*(U$7-U$5)*(U$6-U$5)),U$7-SQRT((1-NORMSDIST(U$9*SQRT($C$11)*NORMSINV($B530)+SQRT(1-U$9^2*$C$11)*NORMSINV(T530)))*(U$7-U$5)*(U$7-U$6))))</f>
        <v>0.821038488581012</v>
      </c>
      <c r="V530" s="2" t="n">
        <v>0.042512939</v>
      </c>
      <c r="W530" s="2" t="n">
        <f aca="false">IF(W$7=W$5,W$6,IF(NORMSDIST(W$9*SQRT($C$11)*NORMSINV($B530)+SQRT(1-W$9^2*$C$11)*NORMSINV(V530))&lt;W$8,W$5+SQRT(NORMSDIST(W$9*SQRT($C$11)*NORMSINV($B530)+SQRT(1-W$9^2*$C$11)*NORMSINV(V530))*(W$7-W$5)*(W$6-W$5)),W$7-SQRT((1-NORMSDIST(W$9*SQRT($C$11)*NORMSINV($B530)+SQRT(1-W$9^2*$C$11)*NORMSINV(V530)))*(W$7-W$5)*(W$7-W$6))))</f>
        <v>9.00907755394877</v>
      </c>
      <c r="X530" s="2" t="n">
        <v>0.517676925</v>
      </c>
      <c r="Y530" s="2" t="n">
        <f aca="false">IF(Y$7=Y$5,Y$6,IF(NORMSDIST(Y$9*SQRT($C$11)*NORMSINV($B530)+SQRT(1-Y$9^2*$C$11)*NORMSINV(X530))&lt;Y$8,Y$5+SQRT(NORMSDIST(Y$9*SQRT($C$11)*NORMSINV($B530)+SQRT(1-Y$9^2*$C$11)*NORMSINV(X530))*(Y$7-Y$5)*(Y$6-Y$5)),Y$7-SQRT((1-NORMSDIST(Y$9*SQRT($C$11)*NORMSINV($B530)+SQRT(1-Y$9^2*$C$11)*NORMSINV(X530)))*(Y$7-Y$5)*(Y$7-Y$6))))</f>
        <v>0.508917993100949</v>
      </c>
      <c r="Z530" s="2" t="n">
        <v>0.447916205</v>
      </c>
      <c r="AA530" s="2" t="n">
        <f aca="false">IF(AA$7=AA$5,AA$6,IF(NORMSDIST(AA$9*SQRT($C$11)*NORMSINV($B530)+SQRT(1-AA$9^2*$C$11)*NORMSINV(Z530))&lt;AA$8,AA$5+SQRT(NORMSDIST(AA$9*SQRT($C$11)*NORMSINV($B530)+SQRT(1-AA$9^2*$C$11)*NORMSINV(Z530))*(AA$7-AA$5)*(AA$6-AA$5)),AA$7-SQRT((1-NORMSDIST(AA$9*SQRT($C$11)*NORMSINV($B530)+SQRT(1-AA$9^2*$C$11)*NORMSINV(Z530)))*(AA$7-AA$5)*(AA$7-AA$6))))</f>
        <v>0.72924590683304</v>
      </c>
      <c r="AB530" s="2" t="n">
        <v>0.254163533</v>
      </c>
      <c r="AC530" s="2" t="n">
        <f aca="false">IF(AC$7=AC$5,AC$6,IF(NORMSDIST(AC$9*SQRT($C$11)*NORMSINV($B530)+SQRT(1-AC$9^2*$C$11)*NORMSINV(AB530))&lt;AC$8,AC$5+SQRT(NORMSDIST(AC$9*SQRT($C$11)*NORMSINV($B530)+SQRT(1-AC$9^2*$C$11)*NORMSINV(AB530))*(AC$7-AC$5)*(AC$6-AC$5)),AC$7-SQRT((1-NORMSDIST(AC$9*SQRT($C$11)*NORMSINV($B530)+SQRT(1-AC$9^2*$C$11)*NORMSINV(AB530)))*(AC$7-AC$5)*(AC$7-AC$6))))</f>
        <v>9.2008951601531</v>
      </c>
      <c r="AD530" s="2" t="n">
        <f aca="false">Entrées!$C$8*(1+E530)</f>
        <v>7437.9787560937</v>
      </c>
      <c r="AE530" s="2" t="n">
        <f aca="false">I530*Hypothèses!$J$24/12/Hypothèses!$J$19</f>
        <v>105.013520099791</v>
      </c>
      <c r="AF530" s="2" t="n">
        <f aca="false">Entrées!$C$36*S530*1000</f>
        <v>161.188121079046</v>
      </c>
      <c r="AG530" s="2" t="n">
        <f aca="false">-AF530/W530</f>
        <v>-17.8917453106389</v>
      </c>
      <c r="AH530" s="2" t="n">
        <f aca="false">AD530+AE530+AG530</f>
        <v>7525.10053088286</v>
      </c>
      <c r="AI530" s="2" t="n">
        <f aca="false">Entrées!$C$16-M530+Hypothèses!$J$22*1000-AF530+Hypothèses!$J$23</f>
        <v>23034.758151189</v>
      </c>
      <c r="AJ530" s="2" t="n">
        <f aca="false">AI530/AH530</f>
        <v>3.06105653428215</v>
      </c>
      <c r="AK530" s="2" t="n">
        <f aca="false">AI530/(AH530+I530*(12-Hypothèses!$J$24)/12/Hypothèses!$J$19)</f>
        <v>3.0308452879098</v>
      </c>
      <c r="AL530" s="2" t="n">
        <f aca="false">(AD530+AG530+I530/Hypothèses!$J$19)*(1+G530)</f>
        <v>7971.77195379002</v>
      </c>
      <c r="AM530" s="2" t="n">
        <f aca="false">Entrées!$C$54*K530/Hypothèses!$J$19</f>
        <v>42.4851899511255</v>
      </c>
      <c r="AN530" s="2" t="n">
        <f aca="false">Y530*1000/AC530</f>
        <v>55.3117913249302</v>
      </c>
      <c r="AO530" s="2" t="n">
        <f aca="false">(Entrées!$C$36*(1-S530)+MAX(0,Entrées!$C$30-Entrées!$C$35-Entrées!$C$36)*U530)*1000</f>
        <v>1488.26576293437</v>
      </c>
      <c r="AP530" s="2" t="n">
        <f aca="false">-AO530/W530</f>
        <v>-165.196242792032</v>
      </c>
      <c r="AQ530" s="2" t="n">
        <f aca="false">AL530+AM530+AN530+AP530</f>
        <v>7904.37269227404</v>
      </c>
      <c r="AR530" s="2" t="n">
        <f aca="false">O530*AQ530-Hypothèses!$J$25/Hypothèses!$J$19</f>
        <v>1261.87981722817</v>
      </c>
      <c r="AS530" s="2" t="n">
        <f aca="false">Entrées!$C$79*(1+Q530)+Hypothèses!$J$20</f>
        <v>1496.90871591597</v>
      </c>
      <c r="AT530" s="2" t="n">
        <f aca="false">AI530-AR530+AS530+Y530*1000-AO530+Hypothèses!$J$23</f>
        <v>22290.4392800434</v>
      </c>
      <c r="AU530" s="2" t="n">
        <f aca="false">AT530/AQ530</f>
        <v>2.82001369973745</v>
      </c>
      <c r="AV530" s="2" t="n">
        <f aca="false">Hypothèses!$J$26*AQ530-AT530</f>
        <v>1422.67879677874</v>
      </c>
      <c r="AW530" s="2" t="n">
        <f aca="false">IF(AC530&gt;Hypothèses!$J$26,MAX(0,AV530)/(1-Hypothèses!$J$26/AC530),0)</f>
        <v>2110.97238667243</v>
      </c>
      <c r="AX530" s="2" t="n">
        <f aca="false">AQ530-Entrées!$C$17*1000</f>
        <v>-95.6273077259593</v>
      </c>
      <c r="AY530" s="2" t="n">
        <f aca="false">AI530+(Entrées!$C$244-Entrées!$C$13)</f>
        <v>28781.758151189</v>
      </c>
      <c r="AZ530" s="2" t="n">
        <f aca="false">AA530*AH530</f>
        <v>5487.64876065346</v>
      </c>
      <c r="BA530" s="2" t="n">
        <f aca="false">AZ530/AY530</f>
        <v>0.190664125930985</v>
      </c>
      <c r="BB530" s="2" t="n">
        <f aca="false">AZ530/(Entrées!$C$151/100)-AY530</f>
        <v>1705.17940799687</v>
      </c>
      <c r="BC530" s="2" t="n">
        <f aca="false">AT530+(Entrées!$C$244-Entrées!$C$13)</f>
        <v>28037.4392800434</v>
      </c>
      <c r="BD530" s="2" t="n">
        <f aca="false">AA530*AQ530</f>
        <v>5764.2314319237</v>
      </c>
      <c r="BE530" s="2" t="n">
        <f aca="false">BD530/BC530</f>
        <v>0.205590509687758</v>
      </c>
      <c r="BF530" s="2" t="n">
        <f aca="false">BD530/(Entrées!$C$151/100)-BC530</f>
        <v>3986.06867508828</v>
      </c>
      <c r="BG530" s="2" t="n">
        <f aca="false">MIN(AV530,BF530)</f>
        <v>1422.67879677874</v>
      </c>
      <c r="BH530" s="2" t="n">
        <f aca="false">IF(AC530&gt;Hypothèses!$J$26,MAX(0,BG530)/(1-Hypothèses!$J$26/AC530),0)</f>
        <v>2110.97238667243</v>
      </c>
    </row>
    <row r="531" customFormat="false" ht="15" hidden="false" customHeight="false" outlineLevel="0" collapsed="false">
      <c r="A531" s="2" t="n">
        <v>516</v>
      </c>
      <c r="B531" s="2" t="n">
        <v>0.922289477</v>
      </c>
      <c r="C531" s="2"/>
      <c r="D531" s="2" t="n">
        <v>0.898281785</v>
      </c>
      <c r="E531" s="2" t="n">
        <f aca="false">IF(E$7=E$5,E$6,IF(NORMSDIST(E$9*SQRT($C$11)*NORMSINV($B531)+SQRT(1-E$9^2*$C$11)*NORMSINV(D531))&lt;E$8,E$5+SQRT(NORMSDIST(E$9*SQRT($C$11)*NORMSINV($B531)+SQRT(1-E$9^2*$C$11)*NORMSINV(D531))*(E$7-E$5)*(E$6-E$5)),E$7-SQRT((1-NORMSDIST(E$9*SQRT($C$11)*NORMSINV($B531)+SQRT(1-E$9^2*$C$11)*NORMSINV(D531)))*(E$7-E$5)*(E$7-E$6))))</f>
        <v>0.0587792062873624</v>
      </c>
      <c r="F531" s="2" t="n">
        <v>0.938580673</v>
      </c>
      <c r="G531" s="2" t="n">
        <f aca="false">IF(G$7=G$5,G$6,IF(NORMSDIST(G$9*SQRT($C$11)*NORMSINV($B531)+SQRT(1-G$9^2*$C$11)*NORMSINV(F531))&lt;G$8,G$5+SQRT(NORMSDIST(G$9*SQRT($C$11)*NORMSINV($B531)+SQRT(1-G$9^2*$C$11)*NORMSINV(F531))*(G$7-G$5)*(G$6-G$5)),G$7-SQRT((1-NORMSDIST(G$9*SQRT($C$11)*NORMSINV($B531)+SQRT(1-G$9^2*$C$11)*NORMSINV(F531)))*(G$7-G$5)*(G$7-G$6))))</f>
        <v>0.0671425339787891</v>
      </c>
      <c r="H531" s="2" t="n">
        <v>0.788506283</v>
      </c>
      <c r="I531" s="2" t="n">
        <f aca="false">IF(I$7=I$5,I$6,IF(NORMSDIST(I$9*SQRT($C$11)*NORMSINV($B531)+SQRT(1-I$9^2*$C$11)*NORMSINV(H531))&lt;I$8,I$5+SQRT(NORMSDIST(I$9*SQRT($C$11)*NORMSINV($B531)+SQRT(1-I$9^2*$C$11)*NORMSINV(H531))*(I$7-I$5)*(I$6-I$5)),I$7-SQRT((1-NORMSDIST(I$9*SQRT($C$11)*NORMSINV($B531)+SQRT(1-I$9^2*$C$11)*NORMSINV(H531)))*(I$7-I$5)*(I$7-I$6))))</f>
        <v>212.824265481829</v>
      </c>
      <c r="J531" s="2" t="n">
        <v>0.871175812</v>
      </c>
      <c r="K531" s="2" t="n">
        <f aca="false">IF(K$7=K$5,K$6,IF(NORMSDIST(K$9*SQRT($C$11)*NORMSINV($B531)+SQRT(1-K$9^2*$C$11)*NORMSINV(J531))&lt;K$8,K$5+SQRT(NORMSDIST(K$9*SQRT($C$11)*NORMSINV($B531)+SQRT(1-K$9^2*$C$11)*NORMSINV(J531))*(K$7-K$5)*(K$6-K$5)),K$7-SQRT((1-NORMSDIST(K$9*SQRT($C$11)*NORMSINV($B531)+SQRT(1-K$9^2*$C$11)*NORMSINV(J531)))*(K$7-K$5)*(K$7-K$6))))</f>
        <v>0.431149311758952</v>
      </c>
      <c r="L531" s="2" t="n">
        <v>0.559676803</v>
      </c>
      <c r="M531" s="2" t="n">
        <f aca="false">IF(M$7=M$5,M$6,IF(NORMSDIST(M$9*SQRT($C$11)*NORMSINV($B531)+SQRT(1-M$9^2*$C$11)*NORMSINV(L531))&lt;M$8,M$5+SQRT(NORMSDIST(M$9*SQRT($C$11)*NORMSINV($B531)+SQRT(1-M$9^2*$C$11)*NORMSINV(L531))*(M$7-M$5)*(M$6-M$5)),M$7-SQRT((1-NORMSDIST(M$9*SQRT($C$11)*NORMSINV($B531)+SQRT(1-M$9^2*$C$11)*NORMSINV(L531)))*(M$7-M$5)*(M$7-M$6))))</f>
        <v>1680.78080695061</v>
      </c>
      <c r="N531" s="2" t="n">
        <v>0.133052282</v>
      </c>
      <c r="O531" s="2" t="n">
        <f aca="false">IF(O$7=O$5,O$6,IF(NORMSDIST(O$9*SQRT($C$11)*NORMSINV($B531)+SQRT(1-O$9^2*$C$11)*NORMSINV(N531))&lt;O$8,O$5+SQRT(NORMSDIST(O$9*SQRT($C$11)*NORMSINV($B531)+SQRT(1-O$9^2*$C$11)*NORMSINV(N531))*(O$7-O$5)*(O$6-O$5)),O$7-SQRT((1-NORMSDIST(O$9*SQRT($C$11)*NORMSINV($B531)+SQRT(1-O$9^2*$C$11)*NORMSINV(N531)))*(O$7-O$5)*(O$7-O$6))))</f>
        <v>0.167177738616334</v>
      </c>
      <c r="P531" s="2" t="n">
        <v>0.994293279</v>
      </c>
      <c r="Q531" s="2" t="n">
        <f aca="false">IF(Q$7=Q$5,Q$6,IF(NORMSDIST(Q$9*SQRT($C$11)*NORMSINV($B531)+SQRT(1-Q$9^2*$C$11)*NORMSINV(P531))&lt;Q$8,Q$5+SQRT(NORMSDIST(Q$9*SQRT($C$11)*NORMSINV($B531)+SQRT(1-Q$9^2*$C$11)*NORMSINV(P531))*(Q$7-Q$5)*(Q$6-Q$5)),Q$7-SQRT((1-NORMSDIST(Q$9*SQRT($C$11)*NORMSINV($B531)+SQRT(1-Q$9^2*$C$11)*NORMSINV(P531)))*(Q$7-Q$5)*(Q$7-Q$6))))</f>
        <v>0.115726651523688</v>
      </c>
      <c r="R531" s="2" t="n">
        <v>0.02629976</v>
      </c>
      <c r="S531" s="2" t="n">
        <f aca="false">IF(S$7=S$5,S$6,IF(NORMSDIST(S$9*SQRT($C$11)*NORMSINV($B531)+SQRT(1-S$9^2*$C$11)*NORMSINV(R531))&lt;S$8,S$5+SQRT(NORMSDIST(S$9*SQRT($C$11)*NORMSINV($B531)+SQRT(1-S$9^2*$C$11)*NORMSINV(R531))*(S$7-S$5)*(S$6-S$5)),S$7-SQRT((1-NORMSDIST(S$9*SQRT($C$11)*NORMSINV($B531)+SQRT(1-S$9^2*$C$11)*NORMSINV(R531)))*(S$7-S$5)*(S$7-S$6))))</f>
        <v>0.369670191674698</v>
      </c>
      <c r="T531" s="2" t="n">
        <v>0.487201843</v>
      </c>
      <c r="U531" s="2" t="n">
        <f aca="false">IF(U$7=U$5,U$6,IF(NORMSDIST(U$9*SQRT($C$11)*NORMSINV($B531)+SQRT(1-U$9^2*$C$11)*NORMSINV(T531))&lt;U$8,U$5+SQRT(NORMSDIST(U$9*SQRT($C$11)*NORMSINV($B531)+SQRT(1-U$9^2*$C$11)*NORMSINV(T531))*(U$7-U$5)*(U$6-U$5)),U$7-SQRT((1-NORMSDIST(U$9*SQRT($C$11)*NORMSINV($B531)+SQRT(1-U$9^2*$C$11)*NORMSINV(T531)))*(U$7-U$5)*(U$7-U$6))))</f>
        <v>0.69084191614668</v>
      </c>
      <c r="V531" s="2" t="n">
        <v>0.879091937</v>
      </c>
      <c r="W531" s="2" t="n">
        <f aca="false">IF(W$7=W$5,W$6,IF(NORMSDIST(W$9*SQRT($C$11)*NORMSINV($B531)+SQRT(1-W$9^2*$C$11)*NORMSINV(V531))&lt;W$8,W$5+SQRT(NORMSDIST(W$9*SQRT($C$11)*NORMSINV($B531)+SQRT(1-W$9^2*$C$11)*NORMSINV(V531))*(W$7-W$5)*(W$6-W$5)),W$7-SQRT((1-NORMSDIST(W$9*SQRT($C$11)*NORMSINV($B531)+SQRT(1-W$9^2*$C$11)*NORMSINV(V531)))*(W$7-W$5)*(W$7-W$6))))</f>
        <v>11.4668775279815</v>
      </c>
      <c r="X531" s="2" t="n">
        <v>0.955318015</v>
      </c>
      <c r="Y531" s="2" t="n">
        <f aca="false">IF(Y$7=Y$5,Y$6,IF(NORMSDIST(Y$9*SQRT($C$11)*NORMSINV($B531)+SQRT(1-Y$9^2*$C$11)*NORMSINV(X531))&lt;Y$8,Y$5+SQRT(NORMSDIST(Y$9*SQRT($C$11)*NORMSINV($B531)+SQRT(1-Y$9^2*$C$11)*NORMSINV(X531))*(Y$7-Y$5)*(Y$6-Y$5)),Y$7-SQRT((1-NORMSDIST(Y$9*SQRT($C$11)*NORMSINV($B531)+SQRT(1-Y$9^2*$C$11)*NORMSINV(X531)))*(Y$7-Y$5)*(Y$7-Y$6))))</f>
        <v>0.850530964745202</v>
      </c>
      <c r="Z531" s="2" t="n">
        <v>0.881501877</v>
      </c>
      <c r="AA531" s="2" t="n">
        <f aca="false">IF(AA$7=AA$5,AA$6,IF(NORMSDIST(AA$9*SQRT($C$11)*NORMSINV($B531)+SQRT(1-AA$9^2*$C$11)*NORMSINV(Z531))&lt;AA$8,AA$5+SQRT(NORMSDIST(AA$9*SQRT($C$11)*NORMSINV($B531)+SQRT(1-AA$9^2*$C$11)*NORMSINV(Z531))*(AA$7-AA$5)*(AA$6-AA$5)),AA$7-SQRT((1-NORMSDIST(AA$9*SQRT($C$11)*NORMSINV($B531)+SQRT(1-AA$9^2*$C$11)*NORMSINV(Z531)))*(AA$7-AA$5)*(AA$7-AA$6))))</f>
        <v>0.747183199040504</v>
      </c>
      <c r="AB531" s="2" t="n">
        <v>0.356811244</v>
      </c>
      <c r="AC531" s="2" t="n">
        <f aca="false">IF(AC$7=AC$5,AC$6,IF(NORMSDIST(AC$9*SQRT($C$11)*NORMSINV($B531)+SQRT(1-AC$9^2*$C$11)*NORMSINV(AB531))&lt;AC$8,AC$5+SQRT(NORMSDIST(AC$9*SQRT($C$11)*NORMSINV($B531)+SQRT(1-AC$9^2*$C$11)*NORMSINV(AB531))*(AC$7-AC$5)*(AC$6-AC$5)),AC$7-SQRT((1-NORMSDIST(AC$9*SQRT($C$11)*NORMSINV($B531)+SQRT(1-AC$9^2*$C$11)*NORMSINV(AB531)))*(AC$7-AC$5)*(AC$7-AC$6))))</f>
        <v>9.92092985825076</v>
      </c>
      <c r="AD531" s="2" t="n">
        <f aca="false">Entrées!$C$8*(1+E531)</f>
        <v>7464.39340432591</v>
      </c>
      <c r="AE531" s="2" t="n">
        <f aca="false">I531*Hypothèses!$J$24/12/Hypothèses!$J$19</f>
        <v>105.581436934974</v>
      </c>
      <c r="AF531" s="2" t="n">
        <f aca="false">Entrées!$C$36*S531*1000</f>
        <v>184.835095837349</v>
      </c>
      <c r="AG531" s="2" t="n">
        <f aca="false">-AF531/W531</f>
        <v>-16.1190433390706</v>
      </c>
      <c r="AH531" s="2" t="n">
        <f aca="false">AD531+AE531+AG531</f>
        <v>7553.85579792181</v>
      </c>
      <c r="AI531" s="2" t="n">
        <f aca="false">Entrées!$C$16-M531+Hypothèses!$J$22*1000-AF531+Hypothèses!$J$23</f>
        <v>22682.384097212</v>
      </c>
      <c r="AJ531" s="2" t="n">
        <f aca="false">AI531/AH531</f>
        <v>3.00275577188703</v>
      </c>
      <c r="AK531" s="2" t="n">
        <f aca="false">AI531/(AH531+I531*(12-Hypothèses!$J$24)/12/Hypothèses!$J$19)</f>
        <v>2.97307354400175</v>
      </c>
      <c r="AL531" s="2" t="n">
        <f aca="false">(AD531+AG531+I531/Hypothèses!$J$19)*(1+G531)</f>
        <v>8141.51970475601</v>
      </c>
      <c r="AM531" s="2" t="n">
        <f aca="false">Entrées!$C$54*K531/Hypothèses!$J$19</f>
        <v>44.0005975439782</v>
      </c>
      <c r="AN531" s="2" t="n">
        <f aca="false">Y531*1000/AC531</f>
        <v>85.7309724892225</v>
      </c>
      <c r="AO531" s="2" t="n">
        <f aca="false">(Entrées!$C$36*(1-S531)+MAX(0,Entrées!$C$30-Entrées!$C$35-Entrées!$C$36)*U531)*1000</f>
        <v>1282.343586768</v>
      </c>
      <c r="AP531" s="2" t="n">
        <f aca="false">-AO531/W531</f>
        <v>-111.830233089943</v>
      </c>
      <c r="AQ531" s="2" t="n">
        <f aca="false">AL531+AM531+AN531+AP531</f>
        <v>8159.42104169927</v>
      </c>
      <c r="AR531" s="2" t="n">
        <f aca="false">O531*AQ531-Hypothèses!$J$25/Hypothèses!$J$19</f>
        <v>1344.93839590819</v>
      </c>
      <c r="AS531" s="2" t="n">
        <f aca="false">Entrées!$C$79*(1+Q531)+Hypothèses!$J$20</f>
        <v>1521.18359002453</v>
      </c>
      <c r="AT531" s="2" t="n">
        <f aca="false">AI531-AR531+AS531+Y531*1000-AO531+Hypothèses!$J$23</f>
        <v>22426.8166693056</v>
      </c>
      <c r="AU531" s="2" t="n">
        <f aca="false">AT531/AQ531</f>
        <v>2.74857940957965</v>
      </c>
      <c r="AV531" s="2" t="n">
        <f aca="false">Hypothèses!$J$26*AQ531-AT531</f>
        <v>2051.44645579223</v>
      </c>
      <c r="AW531" s="2" t="n">
        <f aca="false">IF(AC531&gt;Hypothèses!$J$26,MAX(0,AV531)/(1-Hypothèses!$J$26/AC531),0)</f>
        <v>2940.68236677893</v>
      </c>
      <c r="AX531" s="2" t="n">
        <f aca="false">AQ531-Entrées!$C$17*1000</f>
        <v>159.421041699271</v>
      </c>
      <c r="AY531" s="2" t="n">
        <f aca="false">AI531+(Entrées!$C$244-Entrées!$C$13)</f>
        <v>28429.384097212</v>
      </c>
      <c r="AZ531" s="2" t="n">
        <f aca="false">AA531*AH531</f>
        <v>5644.11414018188</v>
      </c>
      <c r="BA531" s="2" t="n">
        <f aca="false">AZ531/AY531</f>
        <v>0.198531003024275</v>
      </c>
      <c r="BB531" s="2" t="n">
        <f aca="false">AZ531/(Entrées!$C$151/100)-AY531</f>
        <v>2926.80557046507</v>
      </c>
      <c r="BC531" s="2" t="n">
        <f aca="false">AT531+(Entrées!$C$244-Entrées!$C$13)</f>
        <v>28173.8166693056</v>
      </c>
      <c r="BD531" s="2" t="n">
        <f aca="false">AA531*AQ531</f>
        <v>6096.58231625527</v>
      </c>
      <c r="BE531" s="2" t="n">
        <f aca="false">BD531/BC531</f>
        <v>0.216391779211699</v>
      </c>
      <c r="BF531" s="2" t="n">
        <f aca="false">BD531/(Entrées!$C$151/100)-BC531</f>
        <v>5696.08508766812</v>
      </c>
      <c r="BG531" s="2" t="n">
        <f aca="false">MIN(AV531,BF531)</f>
        <v>2051.44645579223</v>
      </c>
      <c r="BH531" s="2" t="n">
        <f aca="false">IF(AC531&gt;Hypothèses!$J$26,MAX(0,BG531)/(1-Hypothèses!$J$26/AC531),0)</f>
        <v>2940.68236677893</v>
      </c>
    </row>
    <row r="532" customFormat="false" ht="15" hidden="false" customHeight="false" outlineLevel="0" collapsed="false">
      <c r="A532" s="2" t="n">
        <v>517</v>
      </c>
      <c r="B532" s="2" t="n">
        <v>0.951205353</v>
      </c>
      <c r="C532" s="2"/>
      <c r="D532" s="2" t="n">
        <v>0.987138249</v>
      </c>
      <c r="E532" s="2" t="n">
        <f aca="false">IF(E$7=E$5,E$6,IF(NORMSDIST(E$9*SQRT($C$11)*NORMSINV($B532)+SQRT(1-E$9^2*$C$11)*NORMSINV(D532))&lt;E$8,E$5+SQRT(NORMSDIST(E$9*SQRT($C$11)*NORMSINV($B532)+SQRT(1-E$9^2*$C$11)*NORMSINV(D532))*(E$7-E$5)*(E$6-E$5)),E$7-SQRT((1-NORMSDIST(E$9*SQRT($C$11)*NORMSINV($B532)+SQRT(1-E$9^2*$C$11)*NORMSINV(D532)))*(E$7-E$5)*(E$7-E$6))))</f>
        <v>0.0596287337071584</v>
      </c>
      <c r="F532" s="2" t="n">
        <v>0.645162944</v>
      </c>
      <c r="G532" s="2" t="n">
        <f aca="false">IF(G$7=G$5,G$6,IF(NORMSDIST(G$9*SQRT($C$11)*NORMSINV($B532)+SQRT(1-G$9^2*$C$11)*NORMSINV(F532))&lt;G$8,G$5+SQRT(NORMSDIST(G$9*SQRT($C$11)*NORMSINV($B532)+SQRT(1-G$9^2*$C$11)*NORMSINV(F532))*(G$7-G$5)*(G$6-G$5)),G$7-SQRT((1-NORMSDIST(G$9*SQRT($C$11)*NORMSINV($B532)+SQRT(1-G$9^2*$C$11)*NORMSINV(F532)))*(G$7-G$5)*(G$7-G$6))))</f>
        <v>0.063609504091489</v>
      </c>
      <c r="H532" s="2" t="n">
        <v>0.359733893</v>
      </c>
      <c r="I532" s="2" t="n">
        <f aca="false">IF(I$7=I$5,I$6,IF(NORMSDIST(I$9*SQRT($C$11)*NORMSINV($B532)+SQRT(1-I$9^2*$C$11)*NORMSINV(H532))&lt;I$8,I$5+SQRT(NORMSDIST(I$9*SQRT($C$11)*NORMSINV($B532)+SQRT(1-I$9^2*$C$11)*NORMSINV(H532))*(I$7-I$5)*(I$6-I$5)),I$7-SQRT((1-NORMSDIST(I$9*SQRT($C$11)*NORMSINV($B532)+SQRT(1-I$9^2*$C$11)*NORMSINV(H532)))*(I$7-I$5)*(I$7-I$6))))</f>
        <v>206.709886441139</v>
      </c>
      <c r="J532" s="2" t="n">
        <v>0.646510095</v>
      </c>
      <c r="K532" s="2" t="n">
        <f aca="false">IF(K$7=K$5,K$6,IF(NORMSDIST(K$9*SQRT($C$11)*NORMSINV($B532)+SQRT(1-K$9^2*$C$11)*NORMSINV(J532))&lt;K$8,K$5+SQRT(NORMSDIST(K$9*SQRT($C$11)*NORMSINV($B532)+SQRT(1-K$9^2*$C$11)*NORMSINV(J532))*(K$7-K$5)*(K$6-K$5)),K$7-SQRT((1-NORMSDIST(K$9*SQRT($C$11)*NORMSINV($B532)+SQRT(1-K$9^2*$C$11)*NORMSINV(J532)))*(K$7-K$5)*(K$7-K$6))))</f>
        <v>0.393760546663208</v>
      </c>
      <c r="L532" s="2" t="n">
        <v>0.516111435</v>
      </c>
      <c r="M532" s="2" t="n">
        <f aca="false">IF(M$7=M$5,M$6,IF(NORMSDIST(M$9*SQRT($C$11)*NORMSINV($B532)+SQRT(1-M$9^2*$C$11)*NORMSINV(L532))&lt;M$8,M$5+SQRT(NORMSDIST(M$9*SQRT($C$11)*NORMSINV($B532)+SQRT(1-M$9^2*$C$11)*NORMSINV(L532))*(M$7-M$5)*(M$6-M$5)),M$7-SQRT((1-NORMSDIST(M$9*SQRT($C$11)*NORMSINV($B532)+SQRT(1-M$9^2*$C$11)*NORMSINV(L532)))*(M$7-M$5)*(M$7-M$6))))</f>
        <v>1686.22230508776</v>
      </c>
      <c r="N532" s="2" t="n">
        <v>0.182016447</v>
      </c>
      <c r="O532" s="2" t="n">
        <f aca="false">IF(O$7=O$5,O$6,IF(NORMSDIST(O$9*SQRT($C$11)*NORMSINV($B532)+SQRT(1-O$9^2*$C$11)*NORMSINV(N532))&lt;O$8,O$5+SQRT(NORMSDIST(O$9*SQRT($C$11)*NORMSINV($B532)+SQRT(1-O$9^2*$C$11)*NORMSINV(N532))*(O$7-O$5)*(O$6-O$5)),O$7-SQRT((1-NORMSDIST(O$9*SQRT($C$11)*NORMSINV($B532)+SQRT(1-O$9^2*$C$11)*NORMSINV(N532)))*(O$7-O$5)*(O$7-O$6))))</f>
        <v>0.170277414399119</v>
      </c>
      <c r="P532" s="2" t="n">
        <v>0.468603927</v>
      </c>
      <c r="Q532" s="2" t="n">
        <f aca="false">IF(Q$7=Q$5,Q$6,IF(NORMSDIST(Q$9*SQRT($C$11)*NORMSINV($B532)+SQRT(1-Q$9^2*$C$11)*NORMSINV(P532))&lt;Q$8,Q$5+SQRT(NORMSDIST(Q$9*SQRT($C$11)*NORMSINV($B532)+SQRT(1-Q$9^2*$C$11)*NORMSINV(P532))*(Q$7-Q$5)*(Q$6-Q$5)),Q$7-SQRT((1-NORMSDIST(Q$9*SQRT($C$11)*NORMSINV($B532)+SQRT(1-Q$9^2*$C$11)*NORMSINV(P532)))*(Q$7-Q$5)*(Q$7-Q$6))))</f>
        <v>0.0787237984500488</v>
      </c>
      <c r="R532" s="2" t="n">
        <v>0.294920373</v>
      </c>
      <c r="S532" s="2" t="n">
        <f aca="false">IF(S$7=S$5,S$6,IF(NORMSDIST(S$9*SQRT($C$11)*NORMSINV($B532)+SQRT(1-S$9^2*$C$11)*NORMSINV(R532))&lt;S$8,S$5+SQRT(NORMSDIST(S$9*SQRT($C$11)*NORMSINV($B532)+SQRT(1-S$9^2*$C$11)*NORMSINV(R532))*(S$7-S$5)*(S$6-S$5)),S$7-SQRT((1-NORMSDIST(S$9*SQRT($C$11)*NORMSINV($B532)+SQRT(1-S$9^2*$C$11)*NORMSINV(R532)))*(S$7-S$5)*(S$7-S$6))))</f>
        <v>0.636488302001946</v>
      </c>
      <c r="T532" s="2" t="n">
        <v>0.4881839</v>
      </c>
      <c r="U532" s="2" t="n">
        <f aca="false">IF(U$7=U$5,U$6,IF(NORMSDIST(U$9*SQRT($C$11)*NORMSINV($B532)+SQRT(1-U$9^2*$C$11)*NORMSINV(T532))&lt;U$8,U$5+SQRT(NORMSDIST(U$9*SQRT($C$11)*NORMSINV($B532)+SQRT(1-U$9^2*$C$11)*NORMSINV(T532))*(U$7-U$5)*(U$6-U$5)),U$7-SQRT((1-NORMSDIST(U$9*SQRT($C$11)*NORMSINV($B532)+SQRT(1-U$9^2*$C$11)*NORMSINV(T532)))*(U$7-U$5)*(U$7-U$6))))</f>
        <v>0.723662052766318</v>
      </c>
      <c r="V532" s="2" t="n">
        <v>0.339450134</v>
      </c>
      <c r="W532" s="2" t="n">
        <f aca="false">IF(W$7=W$5,W$6,IF(NORMSDIST(W$9*SQRT($C$11)*NORMSINV($B532)+SQRT(1-W$9^2*$C$11)*NORMSINV(V532))&lt;W$8,W$5+SQRT(NORMSDIST(W$9*SQRT($C$11)*NORMSINV($B532)+SQRT(1-W$9^2*$C$11)*NORMSINV(V532))*(W$7-W$5)*(W$6-W$5)),W$7-SQRT((1-NORMSDIST(W$9*SQRT($C$11)*NORMSINV($B532)+SQRT(1-W$9^2*$C$11)*NORMSINV(V532)))*(W$7-W$5)*(W$7-W$6))))</f>
        <v>10.6330156343399</v>
      </c>
      <c r="X532" s="2" t="n">
        <v>0.888894155</v>
      </c>
      <c r="Y532" s="2" t="n">
        <f aca="false">IF(Y$7=Y$5,Y$6,IF(NORMSDIST(Y$9*SQRT($C$11)*NORMSINV($B532)+SQRT(1-Y$9^2*$C$11)*NORMSINV(X532))&lt;Y$8,Y$5+SQRT(NORMSDIST(Y$9*SQRT($C$11)*NORMSINV($B532)+SQRT(1-Y$9^2*$C$11)*NORMSINV(X532))*(Y$7-Y$5)*(Y$6-Y$5)),Y$7-SQRT((1-NORMSDIST(Y$9*SQRT($C$11)*NORMSINV($B532)+SQRT(1-Y$9^2*$C$11)*NORMSINV(X532)))*(Y$7-Y$5)*(Y$7-Y$6))))</f>
        <v>0.764303325224983</v>
      </c>
      <c r="Z532" s="2" t="n">
        <v>0.367994958</v>
      </c>
      <c r="AA532" s="2" t="n">
        <f aca="false">IF(AA$7=AA$5,AA$6,IF(NORMSDIST(AA$9*SQRT($C$11)*NORMSINV($B532)+SQRT(1-AA$9^2*$C$11)*NORMSINV(Z532))&lt;AA$8,AA$5+SQRT(NORMSDIST(AA$9*SQRT($C$11)*NORMSINV($B532)+SQRT(1-AA$9^2*$C$11)*NORMSINV(Z532))*(AA$7-AA$5)*(AA$6-AA$5)),AA$7-SQRT((1-NORMSDIST(AA$9*SQRT($C$11)*NORMSINV($B532)+SQRT(1-AA$9^2*$C$11)*NORMSINV(Z532)))*(AA$7-AA$5)*(AA$7-AA$6))))</f>
        <v>0.737217043917976</v>
      </c>
      <c r="AB532" s="2" t="n">
        <v>0.782165834</v>
      </c>
      <c r="AC532" s="2" t="n">
        <f aca="false">IF(AC$7=AC$5,AC$6,IF(NORMSDIST(AC$9*SQRT($C$11)*NORMSINV($B532)+SQRT(1-AC$9^2*$C$11)*NORMSINV(AB532))&lt;AC$8,AC$5+SQRT(NORMSDIST(AC$9*SQRT($C$11)*NORMSINV($B532)+SQRT(1-AC$9^2*$C$11)*NORMSINV(AB532))*(AC$7-AC$5)*(AC$6-AC$5)),AC$7-SQRT((1-NORMSDIST(AC$9*SQRT($C$11)*NORMSINV($B532)+SQRT(1-AC$9^2*$C$11)*NORMSINV(AB532)))*(AC$7-AC$5)*(AC$7-AC$6))))</f>
        <v>10.5384598887472</v>
      </c>
      <c r="AD532" s="2" t="n">
        <f aca="false">Entrées!$C$8*(1+E532)</f>
        <v>7470.38257263547</v>
      </c>
      <c r="AE532" s="2" t="n">
        <f aca="false">I532*Hypothèses!$J$24/12/Hypothèses!$J$19</f>
        <v>102.548113062719</v>
      </c>
      <c r="AF532" s="2" t="n">
        <f aca="false">Entrées!$C$36*S532*1000</f>
        <v>318.244151000973</v>
      </c>
      <c r="AG532" s="2" t="n">
        <f aca="false">-AF532/W532</f>
        <v>-29.9298112544091</v>
      </c>
      <c r="AH532" s="2" t="n">
        <f aca="false">AD532+AE532+AG532</f>
        <v>7543.00087444378</v>
      </c>
      <c r="AI532" s="2" t="n">
        <f aca="false">Entrées!$C$16-M532+Hypothèses!$J$22*1000-AF532+Hypothèses!$J$23</f>
        <v>22543.5335439113</v>
      </c>
      <c r="AJ532" s="2" t="n">
        <f aca="false">AI532/AH532</f>
        <v>2.98866908796078</v>
      </c>
      <c r="AK532" s="2" t="n">
        <f aca="false">AI532/(AH532+I532*(12-Hypothèses!$J$24)/12/Hypothèses!$J$19)</f>
        <v>2.95992580929553</v>
      </c>
      <c r="AL532" s="2" t="n">
        <f aca="false">(AD532+AG532+I532/Hypothèses!$J$19)*(1+G532)</f>
        <v>8100.7153820575</v>
      </c>
      <c r="AM532" s="2" t="n">
        <f aca="false">Entrées!$C$54*K532/Hypothèses!$J$19</f>
        <v>40.1849170806774</v>
      </c>
      <c r="AN532" s="2" t="n">
        <f aca="false">Y532*1000/AC532</f>
        <v>72.5251444037943</v>
      </c>
      <c r="AO532" s="2" t="n">
        <f aca="false">(Entrées!$C$36*(1-S532)+MAX(0,Entrées!$C$30-Entrées!$C$35-Entrées!$C$36)*U532)*1000</f>
        <v>1194.88272287187</v>
      </c>
      <c r="AP532" s="2" t="n">
        <f aca="false">-AO532/W532</f>
        <v>-112.37477343802</v>
      </c>
      <c r="AQ532" s="2" t="n">
        <f aca="false">AL532+AM532+AN532+AP532</f>
        <v>8101.05067010395</v>
      </c>
      <c r="AR532" s="2" t="n">
        <f aca="false">O532*AQ532-Hypothèses!$J$25/Hypothèses!$J$19</f>
        <v>1360.29079975993</v>
      </c>
      <c r="AS532" s="2" t="n">
        <f aca="false">Entrées!$C$79*(1+Q532)+Hypothèses!$J$20</f>
        <v>1480.5174544966</v>
      </c>
      <c r="AT532" s="2" t="n">
        <f aca="false">AI532-AR532+AS532+Y532*1000-AO532+Hypothèses!$J$23</f>
        <v>22233.1808010011</v>
      </c>
      <c r="AU532" s="2" t="n">
        <f aca="false">AT532/AQ532</f>
        <v>2.74448114280413</v>
      </c>
      <c r="AV532" s="2" t="n">
        <f aca="false">Hypothèses!$J$26*AQ532-AT532</f>
        <v>2069.97120931078</v>
      </c>
      <c r="AW532" s="2" t="n">
        <f aca="false">IF(AC532&gt;Hypothèses!$J$26,MAX(0,AV532)/(1-Hypothèses!$J$26/AC532),0)</f>
        <v>2893.73544226797</v>
      </c>
      <c r="AX532" s="2" t="n">
        <f aca="false">AQ532-Entrées!$C$17*1000</f>
        <v>101.050670103948</v>
      </c>
      <c r="AY532" s="2" t="n">
        <f aca="false">AI532+(Entrées!$C$244-Entrées!$C$13)</f>
        <v>28290.5335439113</v>
      </c>
      <c r="AZ532" s="2" t="n">
        <f aca="false">AA532*AH532</f>
        <v>5560.82880692815</v>
      </c>
      <c r="BA532" s="2" t="n">
        <f aca="false">AZ532/AY532</f>
        <v>0.196561468107234</v>
      </c>
      <c r="BB532" s="2" t="n">
        <f aca="false">AZ532/(Entrées!$C$151/100)-AY532</f>
        <v>2602.95982791178</v>
      </c>
      <c r="BC532" s="2" t="n">
        <f aca="false">AT532+(Entrées!$C$244-Entrées!$C$13)</f>
        <v>27980.1808010011</v>
      </c>
      <c r="BD532" s="2" t="n">
        <f aca="false">AA532*AQ532</f>
        <v>5972.23262764377</v>
      </c>
      <c r="BE532" s="2" t="n">
        <f aca="false">BD532/BC532</f>
        <v>0.213445104951934</v>
      </c>
      <c r="BF532" s="2" t="n">
        <f aca="false">BD532/(Entrées!$C$151/100)-BC532</f>
        <v>5198.88935257545</v>
      </c>
      <c r="BG532" s="2" t="n">
        <f aca="false">MIN(AV532,BF532)</f>
        <v>2069.97120931078</v>
      </c>
      <c r="BH532" s="2" t="n">
        <f aca="false">IF(AC532&gt;Hypothèses!$J$26,MAX(0,BG532)/(1-Hypothèses!$J$26/AC532),0)</f>
        <v>2893.73544226797</v>
      </c>
    </row>
    <row r="533" customFormat="false" ht="15" hidden="false" customHeight="false" outlineLevel="0" collapsed="false">
      <c r="A533" s="2" t="n">
        <v>518</v>
      </c>
      <c r="B533" s="2" t="n">
        <v>0.005896697</v>
      </c>
      <c r="C533" s="2"/>
      <c r="D533" s="2" t="n">
        <v>0.839731757</v>
      </c>
      <c r="E533" s="2" t="n">
        <f aca="false">IF(E$7=E$5,E$6,IF(NORMSDIST(E$9*SQRT($C$11)*NORMSINV($B533)+SQRT(1-E$9^2*$C$11)*NORMSINV(D533))&lt;E$8,E$5+SQRT(NORMSDIST(E$9*SQRT($C$11)*NORMSINV($B533)+SQRT(1-E$9^2*$C$11)*NORMSINV(D533))*(E$7-E$5)*(E$6-E$5)),E$7-SQRT((1-NORMSDIST(E$9*SQRT($C$11)*NORMSINV($B533)+SQRT(1-E$9^2*$C$11)*NORMSINV(D533)))*(E$7-E$5)*(E$7-E$6))))</f>
        <v>0.0532030089769728</v>
      </c>
      <c r="F533" s="2" t="n">
        <v>0.801378306</v>
      </c>
      <c r="G533" s="2" t="n">
        <f aca="false">IF(G$7=G$5,G$6,IF(NORMSDIST(G$9*SQRT($C$11)*NORMSINV($B533)+SQRT(1-G$9^2*$C$11)*NORMSINV(F533))&lt;G$8,G$5+SQRT(NORMSDIST(G$9*SQRT($C$11)*NORMSINV($B533)+SQRT(1-G$9^2*$C$11)*NORMSINV(F533))*(G$7-G$5)*(G$6-G$5)),G$7-SQRT((1-NORMSDIST(G$9*SQRT($C$11)*NORMSINV($B533)+SQRT(1-G$9^2*$C$11)*NORMSINV(F533)))*(G$7-G$5)*(G$7-G$6))))</f>
        <v>0.0488586722383243</v>
      </c>
      <c r="H533" s="2" t="n">
        <v>0.545468468</v>
      </c>
      <c r="I533" s="2" t="n">
        <f aca="false">IF(I$7=I$5,I$6,IF(NORMSDIST(I$9*SQRT($C$11)*NORMSINV($B533)+SQRT(1-I$9^2*$C$11)*NORMSINV(H533))&lt;I$8,I$5+SQRT(NORMSDIST(I$9*SQRT($C$11)*NORMSINV($B533)+SQRT(1-I$9^2*$C$11)*NORMSINV(H533))*(I$7-I$5)*(I$6-I$5)),I$7-SQRT((1-NORMSDIST(I$9*SQRT($C$11)*NORMSINV($B533)+SQRT(1-I$9^2*$C$11)*NORMSINV(H533)))*(I$7-I$5)*(I$7-I$6))))</f>
        <v>187.280810234343</v>
      </c>
      <c r="J533" s="2" t="n">
        <v>0.068187652</v>
      </c>
      <c r="K533" s="2" t="n">
        <f aca="false">IF(K$7=K$5,K$6,IF(NORMSDIST(K$9*SQRT($C$11)*NORMSINV($B533)+SQRT(1-K$9^2*$C$11)*NORMSINV(J533))&lt;K$8,K$5+SQRT(NORMSDIST(K$9*SQRT($C$11)*NORMSINV($B533)+SQRT(1-K$9^2*$C$11)*NORMSINV(J533))*(K$7-K$5)*(K$6-K$5)),K$7-SQRT((1-NORMSDIST(K$9*SQRT($C$11)*NORMSINV($B533)+SQRT(1-K$9^2*$C$11)*NORMSINV(J533)))*(K$7-K$5)*(K$7-K$6))))</f>
        <v>0.019405860945211</v>
      </c>
      <c r="L533" s="2" t="n">
        <v>0.584675735</v>
      </c>
      <c r="M533" s="2" t="n">
        <f aca="false">IF(M$7=M$5,M$6,IF(NORMSDIST(M$9*SQRT($C$11)*NORMSINV($B533)+SQRT(1-M$9^2*$C$11)*NORMSINV(L533))&lt;M$8,M$5+SQRT(NORMSDIST(M$9*SQRT($C$11)*NORMSINV($B533)+SQRT(1-M$9^2*$C$11)*NORMSINV(L533))*(M$7-M$5)*(M$6-M$5)),M$7-SQRT((1-NORMSDIST(M$9*SQRT($C$11)*NORMSINV($B533)+SQRT(1-M$9^2*$C$11)*NORMSINV(L533)))*(M$7-M$5)*(M$7-M$6))))</f>
        <v>1413.76995155605</v>
      </c>
      <c r="N533" s="2" t="n">
        <v>0.805774251</v>
      </c>
      <c r="O533" s="2" t="n">
        <f aca="false">IF(O$7=O$5,O$6,IF(NORMSDIST(O$9*SQRT($C$11)*NORMSINV($B533)+SQRT(1-O$9^2*$C$11)*NORMSINV(N533))&lt;O$8,O$5+SQRT(NORMSDIST(O$9*SQRT($C$11)*NORMSINV($B533)+SQRT(1-O$9^2*$C$11)*NORMSINV(N533))*(O$7-O$5)*(O$6-O$5)),O$7-SQRT((1-NORMSDIST(O$9*SQRT($C$11)*NORMSINV($B533)+SQRT(1-O$9^2*$C$11)*NORMSINV(N533)))*(O$7-O$5)*(O$7-O$6))))</f>
        <v>0.155961946342115</v>
      </c>
      <c r="P533" s="2" t="n">
        <v>0.686777517</v>
      </c>
      <c r="Q533" s="2" t="n">
        <f aca="false">IF(Q$7=Q$5,Q$6,IF(NORMSDIST(Q$9*SQRT($C$11)*NORMSINV($B533)+SQRT(1-Q$9^2*$C$11)*NORMSINV(P533))&lt;Q$8,Q$5+SQRT(NORMSDIST(Q$9*SQRT($C$11)*NORMSINV($B533)+SQRT(1-Q$9^2*$C$11)*NORMSINV(P533))*(Q$7-Q$5)*(Q$6-Q$5)),Q$7-SQRT((1-NORMSDIST(Q$9*SQRT($C$11)*NORMSINV($B533)+SQRT(1-Q$9^2*$C$11)*NORMSINV(P533)))*(Q$7-Q$5)*(Q$7-Q$6))))</f>
        <v>0.0883406894326487</v>
      </c>
      <c r="R533" s="2" t="n">
        <v>6.4571E-005</v>
      </c>
      <c r="S533" s="2" t="n">
        <f aca="false">IF(S$7=S$5,S$6,IF(NORMSDIST(S$9*SQRT($C$11)*NORMSINV($B533)+SQRT(1-S$9^2*$C$11)*NORMSINV(R533))&lt;S$8,S$5+SQRT(NORMSDIST(S$9*SQRT($C$11)*NORMSINV($B533)+SQRT(1-S$9^2*$C$11)*NORMSINV(R533))*(S$7-S$5)*(S$6-S$5)),S$7-SQRT((1-NORMSDIST(S$9*SQRT($C$11)*NORMSINV($B533)+SQRT(1-S$9^2*$C$11)*NORMSINV(R533)))*(S$7-S$5)*(S$7-S$6))))</f>
        <v>0.00113648006364512</v>
      </c>
      <c r="T533" s="2" t="n">
        <v>0.497387387</v>
      </c>
      <c r="U533" s="2" t="n">
        <f aca="false">IF(U$7=U$5,U$6,IF(NORMSDIST(U$9*SQRT($C$11)*NORMSINV($B533)+SQRT(1-U$9^2*$C$11)*NORMSINV(T533))&lt;U$8,U$5+SQRT(NORMSDIST(U$9*SQRT($C$11)*NORMSINV($B533)+SQRT(1-U$9^2*$C$11)*NORMSINV(T533))*(U$7-U$5)*(U$6-U$5)),U$7-SQRT((1-NORMSDIST(U$9*SQRT($C$11)*NORMSINV($B533)+SQRT(1-U$9^2*$C$11)*NORMSINV(T533)))*(U$7-U$5)*(U$7-U$6))))</f>
        <v>0.165903125953427</v>
      </c>
      <c r="V533" s="2" t="n">
        <v>0.988188668</v>
      </c>
      <c r="W533" s="2" t="n">
        <f aca="false">IF(W$7=W$5,W$6,IF(NORMSDIST(W$9*SQRT($C$11)*NORMSINV($B533)+SQRT(1-W$9^2*$C$11)*NORMSINV(V533))&lt;W$8,W$5+SQRT(NORMSDIST(W$9*SQRT($C$11)*NORMSINV($B533)+SQRT(1-W$9^2*$C$11)*NORMSINV(V533))*(W$7-W$5)*(W$6-W$5)),W$7-SQRT((1-NORMSDIST(W$9*SQRT($C$11)*NORMSINV($B533)+SQRT(1-W$9^2*$C$11)*NORMSINV(V533)))*(W$7-W$5)*(W$7-W$6))))</f>
        <v>10.1317618486786</v>
      </c>
      <c r="X533" s="2" t="n">
        <v>0.446175211</v>
      </c>
      <c r="Y533" s="2" t="n">
        <f aca="false">IF(Y$7=Y$5,Y$6,IF(NORMSDIST(Y$9*SQRT($C$11)*NORMSINV($B533)+SQRT(1-Y$9^2*$C$11)*NORMSINV(X533))&lt;Y$8,Y$5+SQRT(NORMSDIST(Y$9*SQRT($C$11)*NORMSINV($B533)+SQRT(1-Y$9^2*$C$11)*NORMSINV(X533))*(Y$7-Y$5)*(Y$6-Y$5)),Y$7-SQRT((1-NORMSDIST(Y$9*SQRT($C$11)*NORMSINV($B533)+SQRT(1-Y$9^2*$C$11)*NORMSINV(X533)))*(Y$7-Y$5)*(Y$7-Y$6))))</f>
        <v>0.472321506497428</v>
      </c>
      <c r="Z533" s="2" t="n">
        <v>0.019818047</v>
      </c>
      <c r="AA533" s="2" t="n">
        <f aca="false">IF(AA$7=AA$5,AA$6,IF(NORMSDIST(AA$9*SQRT($C$11)*NORMSINV($B533)+SQRT(1-AA$9^2*$C$11)*NORMSINV(Z533))&lt;AA$8,AA$5+SQRT(NORMSDIST(AA$9*SQRT($C$11)*NORMSINV($B533)+SQRT(1-AA$9^2*$C$11)*NORMSINV(Z533))*(AA$7-AA$5)*(AA$6-AA$5)),AA$7-SQRT((1-NORMSDIST(AA$9*SQRT($C$11)*NORMSINV($B533)+SQRT(1-AA$9^2*$C$11)*NORMSINV(Z533)))*(AA$7-AA$5)*(AA$7-AA$6))))</f>
        <v>0.696561399940983</v>
      </c>
      <c r="AB533" s="2" t="n">
        <v>0.18530764</v>
      </c>
      <c r="AC533" s="2" t="n">
        <f aca="false">IF(AC$7=AC$5,AC$6,IF(NORMSDIST(AC$9*SQRT($C$11)*NORMSINV($B533)+SQRT(1-AC$9^2*$C$11)*NORMSINV(AB533))&lt;AC$8,AC$5+SQRT(NORMSDIST(AC$9*SQRT($C$11)*NORMSINV($B533)+SQRT(1-AC$9^2*$C$11)*NORMSINV(AB533))*(AC$7-AC$5)*(AC$6-AC$5)),AC$7-SQRT((1-NORMSDIST(AC$9*SQRT($C$11)*NORMSINV($B533)+SQRT(1-AC$9^2*$C$11)*NORMSINV(AB533)))*(AC$7-AC$5)*(AC$7-AC$6))))</f>
        <v>7.7099784682822</v>
      </c>
      <c r="AD533" s="2" t="n">
        <f aca="false">Entrées!$C$8*(1+E533)</f>
        <v>7425.08121328766</v>
      </c>
      <c r="AE533" s="2" t="n">
        <f aca="false">I533*Hypothèses!$J$24/12/Hypothèses!$J$19</f>
        <v>92.9094105417054</v>
      </c>
      <c r="AF533" s="2" t="n">
        <f aca="false">Entrées!$C$36*S533*1000</f>
        <v>0.568240031822562</v>
      </c>
      <c r="AG533" s="2" t="n">
        <f aca="false">-AF533/W533</f>
        <v>-0.0560850166347598</v>
      </c>
      <c r="AH533" s="2" t="n">
        <f aca="false">AD533+AE533+AG533</f>
        <v>7517.93453881273</v>
      </c>
      <c r="AI533" s="2" t="n">
        <f aca="false">Entrées!$C$16-M533+Hypothèses!$J$22*1000-AF533+Hypothèses!$J$23</f>
        <v>23133.6618084121</v>
      </c>
      <c r="AJ533" s="2" t="n">
        <f aca="false">AI533/AH533</f>
        <v>3.07712998683087</v>
      </c>
      <c r="AK533" s="2" t="n">
        <f aca="false">AI533/(AH533+I533*(12-Hypothèses!$J$24)/12/Hypothèses!$J$19)</f>
        <v>3.0502045908137</v>
      </c>
      <c r="AL533" s="2" t="n">
        <f aca="false">(AD533+AG533+I533/Hypothèses!$J$19)*(1+G533)</f>
        <v>7954.85715333891</v>
      </c>
      <c r="AM533" s="2" t="n">
        <f aca="false">Entrées!$C$54*K533/Hypothèses!$J$19</f>
        <v>1.98044958940353</v>
      </c>
      <c r="AN533" s="2" t="n">
        <f aca="false">Y533*1000/AC533</f>
        <v>61.2610668681494</v>
      </c>
      <c r="AO533" s="2" t="n">
        <f aca="false">(Entrées!$C$36*(1-S533)+MAX(0,Entrées!$C$30-Entrées!$C$35-Entrées!$C$36)*U533)*1000</f>
        <v>731.696136302975</v>
      </c>
      <c r="AP533" s="2" t="n">
        <f aca="false">-AO533/W533</f>
        <v>-72.2180551843909</v>
      </c>
      <c r="AQ533" s="2" t="n">
        <f aca="false">AL533+AM533+AN533+AP533</f>
        <v>7945.88061461208</v>
      </c>
      <c r="AR533" s="2" t="n">
        <f aca="false">O533*AQ533-Hypothèses!$J$25/Hypothèses!$J$19</f>
        <v>1220.11984379536</v>
      </c>
      <c r="AS533" s="2" t="n">
        <f aca="false">Entrées!$C$79*(1+Q533)+Hypothèses!$J$20</f>
        <v>1491.08641768648</v>
      </c>
      <c r="AT533" s="2" t="n">
        <f aca="false">AI533-AR533+AS533+Y533*1000-AO533+Hypothèses!$J$23</f>
        <v>23145.2537524977</v>
      </c>
      <c r="AU533" s="2" t="n">
        <f aca="false">AT533/AQ533</f>
        <v>2.91286200675288</v>
      </c>
      <c r="AV533" s="2" t="n">
        <f aca="false">Hypothèses!$J$26*AQ533-AT533</f>
        <v>692.388091338515</v>
      </c>
      <c r="AW533" s="2" t="n">
        <f aca="false">IF(AC533&gt;Hypothèses!$J$26,MAX(0,AV533)/(1-Hypothèses!$J$26/AC533),0)</f>
        <v>1133.40163057304</v>
      </c>
      <c r="AX533" s="2" t="n">
        <f aca="false">AQ533-Entrées!$C$17*1000</f>
        <v>-54.1193853879249</v>
      </c>
      <c r="AY533" s="2" t="n">
        <f aca="false">AI533+(Entrées!$C$244-Entrées!$C$13)</f>
        <v>28880.6618084121</v>
      </c>
      <c r="AZ533" s="2" t="n">
        <f aca="false">AA533*AH533</f>
        <v>5236.70300702006</v>
      </c>
      <c r="BA533" s="2" t="n">
        <f aca="false">AZ533/AY533</f>
        <v>0.181322126264252</v>
      </c>
      <c r="BB533" s="2" t="n">
        <f aca="false">AZ533/(Entrées!$C$151/100)-AY533</f>
        <v>212.132675032644</v>
      </c>
      <c r="BC533" s="2" t="n">
        <f aca="false">AT533+(Entrées!$C$244-Entrées!$C$13)</f>
        <v>28892.2537524977</v>
      </c>
      <c r="BD533" s="2" t="n">
        <f aca="false">AA533*AQ533</f>
        <v>5534.7937246781</v>
      </c>
      <c r="BE533" s="2" t="n">
        <f aca="false">BD533/BC533</f>
        <v>0.191566700614334</v>
      </c>
      <c r="BF533" s="2" t="n">
        <f aca="false">BD533/(Entrées!$C$151/100)-BC533</f>
        <v>1856.60027349175</v>
      </c>
      <c r="BG533" s="2" t="n">
        <f aca="false">MIN(AV533,BF533)</f>
        <v>692.388091338515</v>
      </c>
      <c r="BH533" s="2" t="n">
        <f aca="false">IF(AC533&gt;Hypothèses!$J$26,MAX(0,BG533)/(1-Hypothèses!$J$26/AC533),0)</f>
        <v>1133.40163057304</v>
      </c>
    </row>
    <row r="534" customFormat="false" ht="15" hidden="false" customHeight="false" outlineLevel="0" collapsed="false">
      <c r="A534" s="2" t="n">
        <v>519</v>
      </c>
      <c r="B534" s="2" t="n">
        <v>0.637841655</v>
      </c>
      <c r="C534" s="2"/>
      <c r="D534" s="2" t="n">
        <v>0.470342945</v>
      </c>
      <c r="E534" s="2" t="n">
        <f aca="false">IF(E$7=E$5,E$6,IF(NORMSDIST(E$9*SQRT($C$11)*NORMSINV($B534)+SQRT(1-E$9^2*$C$11)*NORMSINV(D534))&lt;E$8,E$5+SQRT(NORMSDIST(E$9*SQRT($C$11)*NORMSINV($B534)+SQRT(1-E$9^2*$C$11)*NORMSINV(D534))*(E$7-E$5)*(E$6-E$5)),E$7-SQRT((1-NORMSDIST(E$9*SQRT($C$11)*NORMSINV($B534)+SQRT(1-E$9^2*$C$11)*NORMSINV(D534)))*(E$7-E$5)*(E$7-E$6))))</f>
        <v>0.0553400457329016</v>
      </c>
      <c r="F534" s="2" t="n">
        <v>0.501334274</v>
      </c>
      <c r="G534" s="2" t="n">
        <f aca="false">IF(G$7=G$5,G$6,IF(NORMSDIST(G$9*SQRT($C$11)*NORMSINV($B534)+SQRT(1-G$9^2*$C$11)*NORMSINV(F534))&lt;G$8,G$5+SQRT(NORMSDIST(G$9*SQRT($C$11)*NORMSINV($B534)+SQRT(1-G$9^2*$C$11)*NORMSINV(F534))*(G$7-G$5)*(G$6-G$5)),G$7-SQRT((1-NORMSDIST(G$9*SQRT($C$11)*NORMSINV($B534)+SQRT(1-G$9^2*$C$11)*NORMSINV(F534)))*(G$7-G$5)*(G$7-G$6))))</f>
        <v>0.0564047541545534</v>
      </c>
      <c r="H534" s="2" t="n">
        <v>0.732234273</v>
      </c>
      <c r="I534" s="2" t="n">
        <f aca="false">IF(I$7=I$5,I$6,IF(NORMSDIST(I$9*SQRT($C$11)*NORMSINV($B534)+SQRT(1-I$9^2*$C$11)*NORMSINV(H534))&lt;I$8,I$5+SQRT(NORMSDIST(I$9*SQRT($C$11)*NORMSINV($B534)+SQRT(1-I$9^2*$C$11)*NORMSINV(H534))*(I$7-I$5)*(I$6-I$5)),I$7-SQRT((1-NORMSDIST(I$9*SQRT($C$11)*NORMSINV($B534)+SQRT(1-I$9^2*$C$11)*NORMSINV(H534)))*(I$7-I$5)*(I$7-I$6))))</f>
        <v>206.113883514436</v>
      </c>
      <c r="J534" s="2" t="n">
        <v>0.949881892</v>
      </c>
      <c r="K534" s="2" t="n">
        <f aca="false">IF(K$7=K$5,K$6,IF(NORMSDIST(K$9*SQRT($C$11)*NORMSINV($B534)+SQRT(1-K$9^2*$C$11)*NORMSINV(J534))&lt;K$8,K$5+SQRT(NORMSDIST(K$9*SQRT($C$11)*NORMSINV($B534)+SQRT(1-K$9^2*$C$11)*NORMSINV(J534))*(K$7-K$5)*(K$6-K$5)),K$7-SQRT((1-NORMSDIST(K$9*SQRT($C$11)*NORMSINV($B534)+SQRT(1-K$9^2*$C$11)*NORMSINV(J534)))*(K$7-K$5)*(K$7-K$6))))</f>
        <v>0.4082865541869</v>
      </c>
      <c r="L534" s="2" t="n">
        <v>0.47159231</v>
      </c>
      <c r="M534" s="2" t="n">
        <f aca="false">IF(M$7=M$5,M$6,IF(NORMSDIST(M$9*SQRT($C$11)*NORMSINV($B534)+SQRT(1-M$9^2*$C$11)*NORMSINV(L534))&lt;M$8,M$5+SQRT(NORMSDIST(M$9*SQRT($C$11)*NORMSINV($B534)+SQRT(1-M$9^2*$C$11)*NORMSINV(L534))*(M$7-M$5)*(M$6-M$5)),M$7-SQRT((1-NORMSDIST(M$9*SQRT($C$11)*NORMSINV($B534)+SQRT(1-M$9^2*$C$11)*NORMSINV(L534)))*(M$7-M$5)*(M$7-M$6))))</f>
        <v>1603.56926061909</v>
      </c>
      <c r="N534" s="2" t="n">
        <v>0.188137163</v>
      </c>
      <c r="O534" s="2" t="n">
        <f aca="false">IF(O$7=O$5,O$6,IF(NORMSDIST(O$9*SQRT($C$11)*NORMSINV($B534)+SQRT(1-O$9^2*$C$11)*NORMSINV(N534))&lt;O$8,O$5+SQRT(NORMSDIST(O$9*SQRT($C$11)*NORMSINV($B534)+SQRT(1-O$9^2*$C$11)*NORMSINV(N534))*(O$7-O$5)*(O$6-O$5)),O$7-SQRT((1-NORMSDIST(O$9*SQRT($C$11)*NORMSINV($B534)+SQRT(1-O$9^2*$C$11)*NORMSINV(N534)))*(O$7-O$5)*(O$7-O$6))))</f>
        <v>0.161492401148644</v>
      </c>
      <c r="P534" s="2" t="n">
        <v>0.84949535</v>
      </c>
      <c r="Q534" s="2" t="n">
        <f aca="false">IF(Q$7=Q$5,Q$6,IF(NORMSDIST(Q$9*SQRT($C$11)*NORMSINV($B534)+SQRT(1-Q$9^2*$C$11)*NORMSINV(P534))&lt;Q$8,Q$5+SQRT(NORMSDIST(Q$9*SQRT($C$11)*NORMSINV($B534)+SQRT(1-Q$9^2*$C$11)*NORMSINV(P534))*(Q$7-Q$5)*(Q$6-Q$5)),Q$7-SQRT((1-NORMSDIST(Q$9*SQRT($C$11)*NORMSINV($B534)+SQRT(1-Q$9^2*$C$11)*NORMSINV(P534)))*(Q$7-Q$5)*(Q$7-Q$6))))</f>
        <v>0.0980542742202496</v>
      </c>
      <c r="R534" s="2" t="n">
        <v>0.226634596</v>
      </c>
      <c r="S534" s="2" t="n">
        <f aca="false">IF(S$7=S$5,S$6,IF(NORMSDIST(S$9*SQRT($C$11)*NORMSINV($B534)+SQRT(1-S$9^2*$C$11)*NORMSINV(R534))&lt;S$8,S$5+SQRT(NORMSDIST(S$9*SQRT($C$11)*NORMSINV($B534)+SQRT(1-S$9^2*$C$11)*NORMSINV(R534))*(S$7-S$5)*(S$6-S$5)),S$7-SQRT((1-NORMSDIST(S$9*SQRT($C$11)*NORMSINV($B534)+SQRT(1-S$9^2*$C$11)*NORMSINV(R534)))*(S$7-S$5)*(S$7-S$6))))</f>
        <v>0.424395050008109</v>
      </c>
      <c r="T534" s="2" t="n">
        <v>0.591256822</v>
      </c>
      <c r="U534" s="2" t="n">
        <f aca="false">IF(U$7=U$5,U$6,IF(NORMSDIST(U$9*SQRT($C$11)*NORMSINV($B534)+SQRT(1-U$9^2*$C$11)*NORMSINV(T534))&lt;U$8,U$5+SQRT(NORMSDIST(U$9*SQRT($C$11)*NORMSINV($B534)+SQRT(1-U$9^2*$C$11)*NORMSINV(T534))*(U$7-U$5)*(U$6-U$5)),U$7-SQRT((1-NORMSDIST(U$9*SQRT($C$11)*NORMSINV($B534)+SQRT(1-U$9^2*$C$11)*NORMSINV(T534)))*(U$7-U$5)*(U$7-U$6))))</f>
        <v>0.58532760173365</v>
      </c>
      <c r="V534" s="2" t="n">
        <v>0.019120938</v>
      </c>
      <c r="W534" s="2" t="n">
        <f aca="false">IF(W$7=W$5,W$6,IF(NORMSDIST(W$9*SQRT($C$11)*NORMSINV($B534)+SQRT(1-W$9^2*$C$11)*NORMSINV(V534))&lt;W$8,W$5+SQRT(NORMSDIST(W$9*SQRT($C$11)*NORMSINV($B534)+SQRT(1-W$9^2*$C$11)*NORMSINV(V534))*(W$7-W$5)*(W$6-W$5)),W$7-SQRT((1-NORMSDIST(W$9*SQRT($C$11)*NORMSINV($B534)+SQRT(1-W$9^2*$C$11)*NORMSINV(V534)))*(W$7-W$5)*(W$7-W$6))))</f>
        <v>8.81717141520079</v>
      </c>
      <c r="X534" s="2" t="n">
        <v>0.457317029</v>
      </c>
      <c r="Y534" s="2" t="n">
        <f aca="false">IF(Y$7=Y$5,Y$6,IF(NORMSDIST(Y$9*SQRT($C$11)*NORMSINV($B534)+SQRT(1-Y$9^2*$C$11)*NORMSINV(X534))&lt;Y$8,Y$5+SQRT(NORMSDIST(Y$9*SQRT($C$11)*NORMSINV($B534)+SQRT(1-Y$9^2*$C$11)*NORMSINV(X534))*(Y$7-Y$5)*(Y$6-Y$5)),Y$7-SQRT((1-NORMSDIST(Y$9*SQRT($C$11)*NORMSINV($B534)+SQRT(1-Y$9^2*$C$11)*NORMSINV(X534)))*(Y$7-Y$5)*(Y$7-Y$6))))</f>
        <v>0.478182511704475</v>
      </c>
      <c r="Z534" s="2" t="n">
        <v>0.944476007</v>
      </c>
      <c r="AA534" s="2" t="n">
        <f aca="false">IF(AA$7=AA$5,AA$6,IF(NORMSDIST(AA$9*SQRT($C$11)*NORMSINV($B534)+SQRT(1-AA$9^2*$C$11)*NORMSINV(Z534))&lt;AA$8,AA$5+SQRT(NORMSDIST(AA$9*SQRT($C$11)*NORMSINV($B534)+SQRT(1-AA$9^2*$C$11)*NORMSINV(Z534))*(AA$7-AA$5)*(AA$6-AA$5)),AA$7-SQRT((1-NORMSDIST(AA$9*SQRT($C$11)*NORMSINV($B534)+SQRT(1-AA$9^2*$C$11)*NORMSINV(Z534)))*(AA$7-AA$5)*(AA$7-AA$6))))</f>
        <v>0.744217376357246</v>
      </c>
      <c r="AB534" s="2" t="n">
        <v>0.763969483</v>
      </c>
      <c r="AC534" s="2" t="n">
        <f aca="false">IF(AC$7=AC$5,AC$6,IF(NORMSDIST(AC$9*SQRT($C$11)*NORMSINV($B534)+SQRT(1-AC$9^2*$C$11)*NORMSINV(AB534))&lt;AC$8,AC$5+SQRT(NORMSDIST(AC$9*SQRT($C$11)*NORMSINV($B534)+SQRT(1-AC$9^2*$C$11)*NORMSINV(AB534))*(AC$7-AC$5)*(AC$6-AC$5)),AC$7-SQRT((1-NORMSDIST(AC$9*SQRT($C$11)*NORMSINV($B534)+SQRT(1-AC$9^2*$C$11)*NORMSINV(AB534)))*(AC$7-AC$5)*(AC$7-AC$6))))</f>
        <v>10.0303002825322</v>
      </c>
      <c r="AD534" s="2" t="n">
        <f aca="false">Entrées!$C$8*(1+E534)</f>
        <v>7440.14732241696</v>
      </c>
      <c r="AE534" s="2" t="n">
        <f aca="false">I534*Hypothèses!$J$24/12/Hypothèses!$J$19</f>
        <v>102.252437918364</v>
      </c>
      <c r="AF534" s="2" t="n">
        <f aca="false">Entrées!$C$36*S534*1000</f>
        <v>212.197525004054</v>
      </c>
      <c r="AG534" s="2" t="n">
        <f aca="false">-AF534/W534</f>
        <v>-24.066394426474</v>
      </c>
      <c r="AH534" s="2" t="n">
        <f aca="false">AD534+AE534+AG534</f>
        <v>7518.33336590885</v>
      </c>
      <c r="AI534" s="2" t="n">
        <f aca="false">Entrées!$C$16-M534+Hypothèses!$J$22*1000-AF534+Hypothèses!$J$23</f>
        <v>22732.2332143769</v>
      </c>
      <c r="AJ534" s="2" t="n">
        <f aca="false">AI534/AH534</f>
        <v>3.02357345810894</v>
      </c>
      <c r="AK534" s="2" t="n">
        <f aca="false">AI534/(AH534+I534*(12-Hypothèses!$J$24)/12/Hypothèses!$J$19)</f>
        <v>2.9944833085747</v>
      </c>
      <c r="AL534" s="2" t="n">
        <f aca="false">(AD534+AG534+I534/Hypothèses!$J$19)*(1+G534)</f>
        <v>8019.56022645123</v>
      </c>
      <c r="AM534" s="2" t="n">
        <f aca="false">Entrées!$C$54*K534/Hypothèses!$J$19</f>
        <v>41.6673571392346</v>
      </c>
      <c r="AN534" s="2" t="n">
        <f aca="false">Y534*1000/AC534</f>
        <v>47.6737982149179</v>
      </c>
      <c r="AO534" s="2" t="n">
        <f aca="false">(Entrées!$C$36*(1-S534)+MAX(0,Entrées!$C$30-Entrées!$C$35-Entrées!$C$36)*U534)*1000</f>
        <v>1107.26111742306</v>
      </c>
      <c r="AP534" s="2" t="n">
        <f aca="false">-AO534/W534</f>
        <v>-125.580082917991</v>
      </c>
      <c r="AQ534" s="2" t="n">
        <f aca="false">AL534+AM534+AN534+AP534</f>
        <v>7983.3212988874</v>
      </c>
      <c r="AR534" s="2" t="n">
        <f aca="false">O534*AQ534-Hypothèses!$J$25/Hypothèses!$J$19</f>
        <v>1270.11056343681</v>
      </c>
      <c r="AS534" s="2" t="n">
        <f aca="false">Entrées!$C$79*(1+Q534)+Hypothèses!$J$20</f>
        <v>1501.76164736805</v>
      </c>
      <c r="AT534" s="2" t="n">
        <f aca="false">AI534-AR534+AS534+Y534*1000-AO534+Hypothèses!$J$23</f>
        <v>22334.8056925895</v>
      </c>
      <c r="AU534" s="2" t="n">
        <f aca="false">AT534/AQ534</f>
        <v>2.79768342728511</v>
      </c>
      <c r="AV534" s="2" t="n">
        <f aca="false">Hypothèses!$J$26*AQ534-AT534</f>
        <v>1615.15820407267</v>
      </c>
      <c r="AW534" s="2" t="n">
        <f aca="false">IF(AC534&gt;Hypothèses!$J$26,MAX(0,AV534)/(1-Hypothèses!$J$26/AC534),0)</f>
        <v>2304.38546571003</v>
      </c>
      <c r="AX534" s="2" t="n">
        <f aca="false">AQ534-Entrées!$C$17*1000</f>
        <v>-16.6787011126044</v>
      </c>
      <c r="AY534" s="2" t="n">
        <f aca="false">AI534+(Entrées!$C$244-Entrées!$C$13)</f>
        <v>28479.2332143769</v>
      </c>
      <c r="AZ534" s="2" t="n">
        <f aca="false">AA534*AH534</f>
        <v>5595.27433215583</v>
      </c>
      <c r="BA534" s="2" t="n">
        <f aca="false">AZ534/AY534</f>
        <v>0.196468573786292</v>
      </c>
      <c r="BB534" s="2" t="n">
        <f aca="false">AZ534/(Entrées!$C$151/100)-AY534</f>
        <v>2605.62418648884</v>
      </c>
      <c r="BC534" s="2" t="n">
        <f aca="false">AT534+(Entrées!$C$244-Entrées!$C$13)</f>
        <v>28081.8056925895</v>
      </c>
      <c r="BD534" s="2" t="n">
        <f aca="false">AA534*AQ534</f>
        <v>5941.3264316749</v>
      </c>
      <c r="BE534" s="2" t="n">
        <f aca="false">BD534/BC534</f>
        <v>0.211572093928517</v>
      </c>
      <c r="BF534" s="2" t="n">
        <f aca="false">BD534/(Entrées!$C$151/100)-BC534</f>
        <v>4925.56337227104</v>
      </c>
      <c r="BG534" s="2" t="n">
        <f aca="false">MIN(AV534,BF534)</f>
        <v>1615.15820407267</v>
      </c>
      <c r="BH534" s="2" t="n">
        <f aca="false">IF(AC534&gt;Hypothèses!$J$26,MAX(0,BG534)/(1-Hypothèses!$J$26/AC534),0)</f>
        <v>2304.38546571003</v>
      </c>
    </row>
    <row r="535" customFormat="false" ht="15" hidden="false" customHeight="false" outlineLevel="0" collapsed="false">
      <c r="A535" s="2" t="n">
        <v>520</v>
      </c>
      <c r="B535" s="2" t="n">
        <v>0.506543393</v>
      </c>
      <c r="C535" s="2"/>
      <c r="D535" s="2" t="n">
        <v>0.202283911</v>
      </c>
      <c r="E535" s="2" t="n">
        <f aca="false">IF(E$7=E$5,E$6,IF(NORMSDIST(E$9*SQRT($C$11)*NORMSINV($B535)+SQRT(1-E$9^2*$C$11)*NORMSINV(D535))&lt;E$8,E$5+SQRT(NORMSDIST(E$9*SQRT($C$11)*NORMSINV($B535)+SQRT(1-E$9^2*$C$11)*NORMSINV(D535))*(E$7-E$5)*(E$6-E$5)),E$7-SQRT((1-NORMSDIST(E$9*SQRT($C$11)*NORMSINV($B535)+SQRT(1-E$9^2*$C$11)*NORMSINV(D535)))*(E$7-E$5)*(E$7-E$6))))</f>
        <v>0.0536237698065607</v>
      </c>
      <c r="F535" s="2" t="n">
        <v>0.652927665</v>
      </c>
      <c r="G535" s="2" t="n">
        <f aca="false">IF(G$7=G$5,G$6,IF(NORMSDIST(G$9*SQRT($C$11)*NORMSINV($B535)+SQRT(1-G$9^2*$C$11)*NORMSINV(F535))&lt;G$8,G$5+SQRT(NORMSDIST(G$9*SQRT($C$11)*NORMSINV($B535)+SQRT(1-G$9^2*$C$11)*NORMSINV(F535))*(G$7-G$5)*(G$6-G$5)),G$7-SQRT((1-NORMSDIST(G$9*SQRT($C$11)*NORMSINV($B535)+SQRT(1-G$9^2*$C$11)*NORMSINV(F535)))*(G$7-G$5)*(G$7-G$6))))</f>
        <v>0.0569855519557809</v>
      </c>
      <c r="H535" s="2" t="n">
        <v>0.311317726</v>
      </c>
      <c r="I535" s="2" t="n">
        <f aca="false">IF(I$7=I$5,I$6,IF(NORMSDIST(I$9*SQRT($C$11)*NORMSINV($B535)+SQRT(1-I$9^2*$C$11)*NORMSINV(H535))&lt;I$8,I$5+SQRT(NORMSDIST(I$9*SQRT($C$11)*NORMSINV($B535)+SQRT(1-I$9^2*$C$11)*NORMSINV(H535))*(I$7-I$5)*(I$6-I$5)),I$7-SQRT((1-NORMSDIST(I$9*SQRT($C$11)*NORMSINV($B535)+SQRT(1-I$9^2*$C$11)*NORMSINV(H535)))*(I$7-I$5)*(I$7-I$6))))</f>
        <v>196.861458049789</v>
      </c>
      <c r="J535" s="2" t="n">
        <v>0.756881507</v>
      </c>
      <c r="K535" s="2" t="n">
        <f aca="false">IF(K$7=K$5,K$6,IF(NORMSDIST(K$9*SQRT($C$11)*NORMSINV($B535)+SQRT(1-K$9^2*$C$11)*NORMSINV(J535))&lt;K$8,K$5+SQRT(NORMSDIST(K$9*SQRT($C$11)*NORMSINV($B535)+SQRT(1-K$9^2*$C$11)*NORMSINV(J535))*(K$7-K$5)*(K$6-K$5)),K$7-SQRT((1-NORMSDIST(K$9*SQRT($C$11)*NORMSINV($B535)+SQRT(1-K$9^2*$C$11)*NORMSINV(J535)))*(K$7-K$5)*(K$7-K$6))))</f>
        <v>0.309195087732015</v>
      </c>
      <c r="L535" s="2" t="n">
        <v>0.936028716</v>
      </c>
      <c r="M535" s="2" t="n">
        <f aca="false">IF(M$7=M$5,M$6,IF(NORMSDIST(M$9*SQRT($C$11)*NORMSINV($B535)+SQRT(1-M$9^2*$C$11)*NORMSINV(L535))&lt;M$8,M$5+SQRT(NORMSDIST(M$9*SQRT($C$11)*NORMSINV($B535)+SQRT(1-M$9^2*$C$11)*NORMSINV(L535))*(M$7-M$5)*(M$6-M$5)),M$7-SQRT((1-NORMSDIST(M$9*SQRT($C$11)*NORMSINV($B535)+SQRT(1-M$9^2*$C$11)*NORMSINV(L535)))*(M$7-M$5)*(M$7-M$6))))</f>
        <v>1695.34066303856</v>
      </c>
      <c r="N535" s="2" t="n">
        <v>0.322093078</v>
      </c>
      <c r="O535" s="2" t="n">
        <f aca="false">IF(O$7=O$5,O$6,IF(NORMSDIST(O$9*SQRT($C$11)*NORMSINV($B535)+SQRT(1-O$9^2*$C$11)*NORMSINV(N535))&lt;O$8,O$5+SQRT(NORMSDIST(O$9*SQRT($C$11)*NORMSINV($B535)+SQRT(1-O$9^2*$C$11)*NORMSINV(N535))*(O$7-O$5)*(O$6-O$5)),O$7-SQRT((1-NORMSDIST(O$9*SQRT($C$11)*NORMSINV($B535)+SQRT(1-O$9^2*$C$11)*NORMSINV(N535)))*(O$7-O$5)*(O$7-O$6))))</f>
        <v>0.162858152457747</v>
      </c>
      <c r="P535" s="2" t="n">
        <v>0.959156905</v>
      </c>
      <c r="Q535" s="2" t="n">
        <f aca="false">IF(Q$7=Q$5,Q$6,IF(NORMSDIST(Q$9*SQRT($C$11)*NORMSINV($B535)+SQRT(1-Q$9^2*$C$11)*NORMSINV(P535))&lt;Q$8,Q$5+SQRT(NORMSDIST(Q$9*SQRT($C$11)*NORMSINV($B535)+SQRT(1-Q$9^2*$C$11)*NORMSINV(P535))*(Q$7-Q$5)*(Q$6-Q$5)),Q$7-SQRT((1-NORMSDIST(Q$9*SQRT($C$11)*NORMSINV($B535)+SQRT(1-Q$9^2*$C$11)*NORMSINV(P535)))*(Q$7-Q$5)*(Q$7-Q$6))))</f>
        <v>0.108567681599955</v>
      </c>
      <c r="R535" s="2" t="n">
        <v>0.460271449</v>
      </c>
      <c r="S535" s="2" t="n">
        <f aca="false">IF(S$7=S$5,S$6,IF(NORMSDIST(S$9*SQRT($C$11)*NORMSINV($B535)+SQRT(1-S$9^2*$C$11)*NORMSINV(R535))&lt;S$8,S$5+SQRT(NORMSDIST(S$9*SQRT($C$11)*NORMSINV($B535)+SQRT(1-S$9^2*$C$11)*NORMSINV(R535))*(S$7-S$5)*(S$6-S$5)),S$7-SQRT((1-NORMSDIST(S$9*SQRT($C$11)*NORMSINV($B535)+SQRT(1-S$9^2*$C$11)*NORMSINV(R535)))*(S$7-S$5)*(S$7-S$6))))</f>
        <v>0.486484241174337</v>
      </c>
      <c r="T535" s="2" t="n">
        <v>0.348556009</v>
      </c>
      <c r="U535" s="2" t="n">
        <f aca="false">IF(U$7=U$5,U$6,IF(NORMSDIST(U$9*SQRT($C$11)*NORMSINV($B535)+SQRT(1-U$9^2*$C$11)*NORMSINV(T535))&lt;U$8,U$5+SQRT(NORMSDIST(U$9*SQRT($C$11)*NORMSINV($B535)+SQRT(1-U$9^2*$C$11)*NORMSINV(T535))*(U$7-U$5)*(U$6-U$5)),U$7-SQRT((1-NORMSDIST(U$9*SQRT($C$11)*NORMSINV($B535)+SQRT(1-U$9^2*$C$11)*NORMSINV(T535)))*(U$7-U$5)*(U$7-U$6))))</f>
        <v>0.439022366718947</v>
      </c>
      <c r="V535" s="2" t="n">
        <v>0.828924438</v>
      </c>
      <c r="W535" s="2" t="n">
        <f aca="false">IF(W$7=W$5,W$6,IF(NORMSDIST(W$9*SQRT($C$11)*NORMSINV($B535)+SQRT(1-W$9^2*$C$11)*NORMSINV(V535))&lt;W$8,W$5+SQRT(NORMSDIST(W$9*SQRT($C$11)*NORMSINV($B535)+SQRT(1-W$9^2*$C$11)*NORMSINV(V535))*(W$7-W$5)*(W$6-W$5)),W$7-SQRT((1-NORMSDIST(W$9*SQRT($C$11)*NORMSINV($B535)+SQRT(1-W$9^2*$C$11)*NORMSINV(V535)))*(W$7-W$5)*(W$7-W$6))))</f>
        <v>10.6500995761597</v>
      </c>
      <c r="X535" s="2" t="n">
        <v>0.952953875</v>
      </c>
      <c r="Y535" s="2" t="n">
        <f aca="false">IF(Y$7=Y$5,Y$6,IF(NORMSDIST(Y$9*SQRT($C$11)*NORMSINV($B535)+SQRT(1-Y$9^2*$C$11)*NORMSINV(X535))&lt;Y$8,Y$5+SQRT(NORMSDIST(Y$9*SQRT($C$11)*NORMSINV($B535)+SQRT(1-Y$9^2*$C$11)*NORMSINV(X535))*(Y$7-Y$5)*(Y$6-Y$5)),Y$7-SQRT((1-NORMSDIST(Y$9*SQRT($C$11)*NORMSINV($B535)+SQRT(1-Y$9^2*$C$11)*NORMSINV(X535)))*(Y$7-Y$5)*(Y$7-Y$6))))</f>
        <v>0.846627699697762</v>
      </c>
      <c r="Z535" s="2" t="n">
        <v>0.672178307</v>
      </c>
      <c r="AA535" s="2" t="n">
        <f aca="false">IF(AA$7=AA$5,AA$6,IF(NORMSDIST(AA$9*SQRT($C$11)*NORMSINV($B535)+SQRT(1-AA$9^2*$C$11)*NORMSINV(Z535))&lt;AA$8,AA$5+SQRT(NORMSDIST(AA$9*SQRT($C$11)*NORMSINV($B535)+SQRT(1-AA$9^2*$C$11)*NORMSINV(Z535))*(AA$7-AA$5)*(AA$6-AA$5)),AA$7-SQRT((1-NORMSDIST(AA$9*SQRT($C$11)*NORMSINV($B535)+SQRT(1-AA$9^2*$C$11)*NORMSINV(Z535)))*(AA$7-AA$5)*(AA$7-AA$6))))</f>
        <v>0.732328747597362</v>
      </c>
      <c r="AB535" s="2" t="n">
        <v>0.215105351</v>
      </c>
      <c r="AC535" s="2" t="n">
        <f aca="false">IF(AC$7=AC$5,AC$6,IF(NORMSDIST(AC$9*SQRT($C$11)*NORMSINV($B535)+SQRT(1-AC$9^2*$C$11)*NORMSINV(AB535))&lt;AC$8,AC$5+SQRT(NORMSDIST(AC$9*SQRT($C$11)*NORMSINV($B535)+SQRT(1-AC$9^2*$C$11)*NORMSINV(AB535))*(AC$7-AC$5)*(AC$6-AC$5)),AC$7-SQRT((1-NORMSDIST(AC$9*SQRT($C$11)*NORMSINV($B535)+SQRT(1-AC$9^2*$C$11)*NORMSINV(AB535)))*(AC$7-AC$5)*(AC$7-AC$6))))</f>
        <v>8.93872348138118</v>
      </c>
      <c r="AD535" s="2" t="n">
        <f aca="false">Entrées!$C$8*(1+E535)</f>
        <v>7428.04757713625</v>
      </c>
      <c r="AE535" s="2" t="n">
        <f aca="false">I535*Hypothèses!$J$24/12/Hypothèses!$J$19</f>
        <v>97.6623392588924</v>
      </c>
      <c r="AF535" s="2" t="n">
        <f aca="false">Entrées!$C$36*S535*1000</f>
        <v>243.242120587169</v>
      </c>
      <c r="AG535" s="2" t="n">
        <f aca="false">-AF535/W535</f>
        <v>-22.8394221901613</v>
      </c>
      <c r="AH535" s="2" t="n">
        <f aca="false">AD535+AE535+AG535</f>
        <v>7502.87049420498</v>
      </c>
      <c r="AI535" s="2" t="n">
        <f aca="false">Entrées!$C$16-M535+Hypothèses!$J$22*1000-AF535+Hypothèses!$J$23</f>
        <v>22609.4172163743</v>
      </c>
      <c r="AJ535" s="2" t="n">
        <f aca="false">AI535/AH535</f>
        <v>3.01343562225113</v>
      </c>
      <c r="AK535" s="2" t="n">
        <f aca="false">AI535/(AH535+I535*(12-Hypothèses!$J$24)/12/Hypothèses!$J$19)</f>
        <v>2.98567595176015</v>
      </c>
      <c r="AL535" s="2" t="n">
        <f aca="false">(AD535+AG535+I535/Hypothèses!$J$19)*(1+G535)</f>
        <v>8004.15976883204</v>
      </c>
      <c r="AM535" s="2" t="n">
        <f aca="false">Entrées!$C$54*K535/Hypothèses!$J$19</f>
        <v>31.5546569293321</v>
      </c>
      <c r="AN535" s="2" t="n">
        <f aca="false">Y535*1000/AC535</f>
        <v>94.7146090223326</v>
      </c>
      <c r="AO535" s="2" t="n">
        <f aca="false">(Entrées!$C$36*(1-S535)+MAX(0,Entrées!$C$30-Entrées!$C$35-Entrées!$C$36)*U535)*1000</f>
        <v>871.389192819357</v>
      </c>
      <c r="AP535" s="2" t="n">
        <f aca="false">-AO535/W535</f>
        <v>-81.8198164803989</v>
      </c>
      <c r="AQ535" s="2" t="n">
        <f aca="false">AL535+AM535+AN535+AP535</f>
        <v>8048.6092183033</v>
      </c>
      <c r="AR535" s="2" t="n">
        <f aca="false">O535*AQ535-Hypothèses!$J$25/Hypothèses!$J$19</f>
        <v>1291.64646488564</v>
      </c>
      <c r="AS535" s="2" t="n">
        <f aca="false">Entrées!$C$79*(1+Q535)+Hypothèses!$J$20</f>
        <v>1513.31588207835</v>
      </c>
      <c r="AT535" s="2" t="n">
        <f aca="false">AI535-AR535+AS535+Y535*1000-AO535+Hypothèses!$J$23</f>
        <v>22806.3251404454</v>
      </c>
      <c r="AU535" s="2" t="n">
        <f aca="false">AT535/AQ535</f>
        <v>2.83357341894319</v>
      </c>
      <c r="AV535" s="2" t="n">
        <f aca="false">Hypothèses!$J$26*AQ535-AT535</f>
        <v>1339.50251446452</v>
      </c>
      <c r="AW535" s="2" t="n">
        <f aca="false">IF(AC535&gt;Hypothèses!$J$26,MAX(0,AV535)/(1-Hypothèses!$J$26/AC535),0)</f>
        <v>2016.16435197761</v>
      </c>
      <c r="AX535" s="2" t="n">
        <f aca="false">AQ535-Entrées!$C$17*1000</f>
        <v>48.6092183033006</v>
      </c>
      <c r="AY535" s="2" t="n">
        <f aca="false">AI535+(Entrées!$C$244-Entrées!$C$13)</f>
        <v>28356.4172163743</v>
      </c>
      <c r="AZ535" s="2" t="n">
        <f aca="false">AA535*AH535</f>
        <v>5494.56775240634</v>
      </c>
      <c r="BA535" s="2" t="n">
        <f aca="false">AZ535/AY535</f>
        <v>0.193768052941241</v>
      </c>
      <c r="BB535" s="2" t="n">
        <f aca="false">AZ535/(Entrées!$C$151/100)-AY535</f>
        <v>2168.95918588317</v>
      </c>
      <c r="BC535" s="2" t="n">
        <f aca="false">AT535+(Entrées!$C$244-Entrées!$C$13)</f>
        <v>28553.3251404454</v>
      </c>
      <c r="BD535" s="2" t="n">
        <f aca="false">AA535*AQ535</f>
        <v>5894.22790874064</v>
      </c>
      <c r="BE535" s="2" t="n">
        <f aca="false">BD535/BC535</f>
        <v>0.206428774223271</v>
      </c>
      <c r="BF535" s="2" t="n">
        <f aca="false">BD535/(Entrées!$C$151/100)-BC535</f>
        <v>4192.38546366929</v>
      </c>
      <c r="BG535" s="2" t="n">
        <f aca="false">MIN(AV535,BF535)</f>
        <v>1339.50251446452</v>
      </c>
      <c r="BH535" s="2" t="n">
        <f aca="false">IF(AC535&gt;Hypothèses!$J$26,MAX(0,BG535)/(1-Hypothèses!$J$26/AC535),0)</f>
        <v>2016.16435197761</v>
      </c>
    </row>
    <row r="536" customFormat="false" ht="15" hidden="false" customHeight="false" outlineLevel="0" collapsed="false">
      <c r="A536" s="2" t="n">
        <v>521</v>
      </c>
      <c r="B536" s="2" t="n">
        <v>0.106574792</v>
      </c>
      <c r="C536" s="2"/>
      <c r="D536" s="2" t="n">
        <v>0.72843126</v>
      </c>
      <c r="E536" s="2" t="n">
        <f aca="false">IF(E$7=E$5,E$6,IF(NORMSDIST(E$9*SQRT($C$11)*NORMSINV($B536)+SQRT(1-E$9^2*$C$11)*NORMSINV(D536))&lt;E$8,E$5+SQRT(NORMSDIST(E$9*SQRT($C$11)*NORMSINV($B536)+SQRT(1-E$9^2*$C$11)*NORMSINV(D536))*(E$7-E$5)*(E$6-E$5)),E$7-SQRT((1-NORMSDIST(E$9*SQRT($C$11)*NORMSINV($B536)+SQRT(1-E$9^2*$C$11)*NORMSINV(D536)))*(E$7-E$5)*(E$7-E$6))))</f>
        <v>0.0543351089308167</v>
      </c>
      <c r="F536" s="2" t="n">
        <v>0.963973343</v>
      </c>
      <c r="G536" s="2" t="n">
        <f aca="false">IF(G$7=G$5,G$6,IF(NORMSDIST(G$9*SQRT($C$11)*NORMSINV($B536)+SQRT(1-G$9^2*$C$11)*NORMSINV(F536))&lt;G$8,G$5+SQRT(NORMSDIST(G$9*SQRT($C$11)*NORMSINV($B536)+SQRT(1-G$9^2*$C$11)*NORMSINV(F536))*(G$7-G$5)*(G$6-G$5)),G$7-SQRT((1-NORMSDIST(G$9*SQRT($C$11)*NORMSINV($B536)+SQRT(1-G$9^2*$C$11)*NORMSINV(F536)))*(G$7-G$5)*(G$7-G$6))))</f>
        <v>0.0589309990190454</v>
      </c>
      <c r="H536" s="2" t="n">
        <v>0.283370571</v>
      </c>
      <c r="I536" s="2" t="n">
        <f aca="false">IF(I$7=I$5,I$6,IF(NORMSDIST(I$9*SQRT($C$11)*NORMSINV($B536)+SQRT(1-I$9^2*$C$11)*NORMSINV(H536))&lt;I$8,I$5+SQRT(NORMSDIST(I$9*SQRT($C$11)*NORMSINV($B536)+SQRT(1-I$9^2*$C$11)*NORMSINV(H536))*(I$7-I$5)*(I$6-I$5)),I$7-SQRT((1-NORMSDIST(I$9*SQRT($C$11)*NORMSINV($B536)+SQRT(1-I$9^2*$C$11)*NORMSINV(H536)))*(I$7-I$5)*(I$7-I$6))))</f>
        <v>189.344125885574</v>
      </c>
      <c r="J536" s="2" t="n">
        <v>0.676698355</v>
      </c>
      <c r="K536" s="2" t="n">
        <f aca="false">IF(K$7=K$5,K$6,IF(NORMSDIST(K$9*SQRT($C$11)*NORMSINV($B536)+SQRT(1-K$9^2*$C$11)*NORMSINV(J536))&lt;K$8,K$5+SQRT(NORMSDIST(K$9*SQRT($C$11)*NORMSINV($B536)+SQRT(1-K$9^2*$C$11)*NORMSINV(J536))*(K$7-K$5)*(K$6-K$5)),K$7-SQRT((1-NORMSDIST(K$9*SQRT($C$11)*NORMSINV($B536)+SQRT(1-K$9^2*$C$11)*NORMSINV(J536)))*(K$7-K$5)*(K$7-K$6))))</f>
        <v>0.203956313564378</v>
      </c>
      <c r="L536" s="2" t="n">
        <v>0.234343914</v>
      </c>
      <c r="M536" s="2" t="n">
        <f aca="false">IF(M$7=M$5,M$6,IF(NORMSDIST(M$9*SQRT($C$11)*NORMSINV($B536)+SQRT(1-M$9^2*$C$11)*NORMSINV(L536))&lt;M$8,M$5+SQRT(NORMSDIST(M$9*SQRT($C$11)*NORMSINV($B536)+SQRT(1-M$9^2*$C$11)*NORMSINV(L536))*(M$7-M$5)*(M$6-M$5)),M$7-SQRT((1-NORMSDIST(M$9*SQRT($C$11)*NORMSINV($B536)+SQRT(1-M$9^2*$C$11)*NORMSINV(L536)))*(M$7-M$5)*(M$7-M$6))))</f>
        <v>1422.05419871687</v>
      </c>
      <c r="N536" s="2" t="n">
        <v>0.50640096</v>
      </c>
      <c r="O536" s="2" t="n">
        <f aca="false">IF(O$7=O$5,O$6,IF(NORMSDIST(O$9*SQRT($C$11)*NORMSINV($B536)+SQRT(1-O$9^2*$C$11)*NORMSINV(N536))&lt;O$8,O$5+SQRT(NORMSDIST(O$9*SQRT($C$11)*NORMSINV($B536)+SQRT(1-O$9^2*$C$11)*NORMSINV(N536))*(O$7-O$5)*(O$6-O$5)),O$7-SQRT((1-NORMSDIST(O$9*SQRT($C$11)*NORMSINV($B536)+SQRT(1-O$9^2*$C$11)*NORMSINV(N536)))*(O$7-O$5)*(O$7-O$6))))</f>
        <v>0.157733895736861</v>
      </c>
      <c r="P536" s="2" t="n">
        <v>0.94786215</v>
      </c>
      <c r="Q536" s="2" t="n">
        <f aca="false">IF(Q$7=Q$5,Q$6,IF(NORMSDIST(Q$9*SQRT($C$11)*NORMSINV($B536)+SQRT(1-Q$9^2*$C$11)*NORMSINV(P536))&lt;Q$8,Q$5+SQRT(NORMSDIST(Q$9*SQRT($C$11)*NORMSINV($B536)+SQRT(1-Q$9^2*$C$11)*NORMSINV(P536))*(Q$7-Q$5)*(Q$6-Q$5)),Q$7-SQRT((1-NORMSDIST(Q$9*SQRT($C$11)*NORMSINV($B536)+SQRT(1-Q$9^2*$C$11)*NORMSINV(P536)))*(Q$7-Q$5)*(Q$7-Q$6))))</f>
        <v>0.107083300731224</v>
      </c>
      <c r="R536" s="2" t="n">
        <v>0.713507833</v>
      </c>
      <c r="S536" s="2" t="n">
        <f aca="false">IF(S$7=S$5,S$6,IF(NORMSDIST(S$9*SQRT($C$11)*NORMSINV($B536)+SQRT(1-S$9^2*$C$11)*NORMSINV(R536))&lt;S$8,S$5+SQRT(NORMSDIST(S$9*SQRT($C$11)*NORMSINV($B536)+SQRT(1-S$9^2*$C$11)*NORMSINV(R536))*(S$7-S$5)*(S$6-S$5)),S$7-SQRT((1-NORMSDIST(S$9*SQRT($C$11)*NORMSINV($B536)+SQRT(1-S$9^2*$C$11)*NORMSINV(R536)))*(S$7-S$5)*(S$7-S$6))))</f>
        <v>0.425958908912348</v>
      </c>
      <c r="T536" s="2" t="n">
        <v>0.813521643</v>
      </c>
      <c r="U536" s="2" t="n">
        <f aca="false">IF(U$7=U$5,U$6,IF(NORMSDIST(U$9*SQRT($C$11)*NORMSINV($B536)+SQRT(1-U$9^2*$C$11)*NORMSINV(T536))&lt;U$8,U$5+SQRT(NORMSDIST(U$9*SQRT($C$11)*NORMSINV($B536)+SQRT(1-U$9^2*$C$11)*NORMSINV(T536))*(U$7-U$5)*(U$6-U$5)),U$7-SQRT((1-NORMSDIST(U$9*SQRT($C$11)*NORMSINV($B536)+SQRT(1-U$9^2*$C$11)*NORMSINV(T536)))*(U$7-U$5)*(U$7-U$6))))</f>
        <v>0.480241447954973</v>
      </c>
      <c r="V536" s="2" t="n">
        <v>0.875745933</v>
      </c>
      <c r="W536" s="2" t="n">
        <f aca="false">IF(W$7=W$5,W$6,IF(NORMSDIST(W$9*SQRT($C$11)*NORMSINV($B536)+SQRT(1-W$9^2*$C$11)*NORMSINV(V536))&lt;W$8,W$5+SQRT(NORMSDIST(W$9*SQRT($C$11)*NORMSINV($B536)+SQRT(1-W$9^2*$C$11)*NORMSINV(V536))*(W$7-W$5)*(W$6-W$5)),W$7-SQRT((1-NORMSDIST(W$9*SQRT($C$11)*NORMSINV($B536)+SQRT(1-W$9^2*$C$11)*NORMSINV(V536)))*(W$7-W$5)*(W$7-W$6))))</f>
        <v>10.0866875148335</v>
      </c>
      <c r="X536" s="2" t="n">
        <v>0.677615493</v>
      </c>
      <c r="Y536" s="2" t="n">
        <f aca="false">IF(Y$7=Y$5,Y$6,IF(NORMSDIST(Y$9*SQRT($C$11)*NORMSINV($B536)+SQRT(1-Y$9^2*$C$11)*NORMSINV(X536))&lt;Y$8,Y$5+SQRT(NORMSDIST(Y$9*SQRT($C$11)*NORMSINV($B536)+SQRT(1-Y$9^2*$C$11)*NORMSINV(X536))*(Y$7-Y$5)*(Y$6-Y$5)),Y$7-SQRT((1-NORMSDIST(Y$9*SQRT($C$11)*NORMSINV($B536)+SQRT(1-Y$9^2*$C$11)*NORMSINV(X536)))*(Y$7-Y$5)*(Y$7-Y$6))))</f>
        <v>0.598512449134472</v>
      </c>
      <c r="Z536" s="2" t="n">
        <v>0.287681215</v>
      </c>
      <c r="AA536" s="2" t="n">
        <f aca="false">IF(AA$7=AA$5,AA$6,IF(NORMSDIST(AA$9*SQRT($C$11)*NORMSINV($B536)+SQRT(1-AA$9^2*$C$11)*NORMSINV(Z536))&lt;AA$8,AA$5+SQRT(NORMSDIST(AA$9*SQRT($C$11)*NORMSINV($B536)+SQRT(1-AA$9^2*$C$11)*NORMSINV(Z536))*(AA$7-AA$5)*(AA$6-AA$5)),AA$7-SQRT((1-NORMSDIST(AA$9*SQRT($C$11)*NORMSINV($B536)+SQRT(1-AA$9^2*$C$11)*NORMSINV(Z536)))*(AA$7-AA$5)*(AA$7-AA$6))))</f>
        <v>0.710740813174815</v>
      </c>
      <c r="AB536" s="2" t="n">
        <v>0.245175216</v>
      </c>
      <c r="AC536" s="2" t="n">
        <f aca="false">IF(AC$7=AC$5,AC$6,IF(NORMSDIST(AC$9*SQRT($C$11)*NORMSINV($B536)+SQRT(1-AC$9^2*$C$11)*NORMSINV(AB536))&lt;AC$8,AC$5+SQRT(NORMSDIST(AC$9*SQRT($C$11)*NORMSINV($B536)+SQRT(1-AC$9^2*$C$11)*NORMSINV(AB536))*(AC$7-AC$5)*(AC$6-AC$5)),AC$7-SQRT((1-NORMSDIST(AC$9*SQRT($C$11)*NORMSINV($B536)+SQRT(1-AC$9^2*$C$11)*NORMSINV(AB536)))*(AC$7-AC$5)*(AC$7-AC$6))))</f>
        <v>8.29707401194241</v>
      </c>
      <c r="AD536" s="2" t="n">
        <f aca="false">Entrées!$C$8*(1+E536)</f>
        <v>7433.06251796226</v>
      </c>
      <c r="AE536" s="2" t="n">
        <f aca="false">I536*Hypothèses!$J$24/12/Hypothèses!$J$19</f>
        <v>93.9330148323827</v>
      </c>
      <c r="AF536" s="2" t="n">
        <f aca="false">Entrées!$C$36*S536*1000</f>
        <v>212.979454456174</v>
      </c>
      <c r="AG536" s="2" t="n">
        <f aca="false">-AF536/W536</f>
        <v>-21.1149055765796</v>
      </c>
      <c r="AH536" s="2" t="n">
        <f aca="false">AD536+AE536+AG536</f>
        <v>7505.88062721806</v>
      </c>
      <c r="AI536" s="2" t="n">
        <f aca="false">Entrées!$C$16-M536+Hypothèses!$J$22*1000-AF536+Hypothèses!$J$23</f>
        <v>22912.966346827</v>
      </c>
      <c r="AJ536" s="2" t="n">
        <f aca="false">AI536/AH536</f>
        <v>3.05266863207752</v>
      </c>
      <c r="AK536" s="2" t="n">
        <f aca="false">AI536/(AH536+I536*(12-Hypothèses!$J$24)/12/Hypothèses!$J$19)</f>
        <v>3.02562261423637</v>
      </c>
      <c r="AL536" s="2" t="n">
        <f aca="false">(AD536+AG536+I536/Hypothèses!$J$19)*(1+G536)</f>
        <v>8019.25865769581</v>
      </c>
      <c r="AM536" s="2" t="n">
        <f aca="false">Entrées!$C$54*K536/Hypothèses!$J$19</f>
        <v>20.8145981564663</v>
      </c>
      <c r="AN536" s="2" t="n">
        <f aca="false">Y536*1000/AC536</f>
        <v>72.1353634152235</v>
      </c>
      <c r="AO536" s="2" t="n">
        <f aca="false">(Entrées!$C$36*(1-S536)+MAX(0,Entrées!$C$30-Entrées!$C$35-Entrées!$C$36)*U536)*1000</f>
        <v>959.358572680788</v>
      </c>
      <c r="AP536" s="2" t="n">
        <f aca="false">-AO536/W536</f>
        <v>-95.1113605204833</v>
      </c>
      <c r="AQ536" s="2" t="n">
        <f aca="false">AL536+AM536+AN536+AP536</f>
        <v>8017.09725874702</v>
      </c>
      <c r="AR536" s="2" t="n">
        <f aca="false">O536*AQ536-Hypothèses!$J$25/Hypothèses!$J$19</f>
        <v>1245.43282086185</v>
      </c>
      <c r="AS536" s="2" t="n">
        <f aca="false">Entrées!$C$79*(1+Q536)+Hypothèses!$J$20</f>
        <v>1511.68454750362</v>
      </c>
      <c r="AT536" s="2" t="n">
        <f aca="false">AI536-AR536+AS536+Y536*1000-AO536+Hypothèses!$J$23</f>
        <v>22818.3719499224</v>
      </c>
      <c r="AU536" s="2" t="n">
        <f aca="false">AT536/AQ536</f>
        <v>2.84621368725776</v>
      </c>
      <c r="AV536" s="2" t="n">
        <f aca="false">Hypothèses!$J$26*AQ536-AT536</f>
        <v>1232.91982631866</v>
      </c>
      <c r="AW536" s="2" t="n">
        <f aca="false">IF(AC536&gt;Hypothèses!$J$26,MAX(0,AV536)/(1-Hypothèses!$J$26/AC536),0)</f>
        <v>1931.18446649869</v>
      </c>
      <c r="AX536" s="2" t="n">
        <f aca="false">AQ536-Entrées!$C$17*1000</f>
        <v>17.0972587470178</v>
      </c>
      <c r="AY536" s="2" t="n">
        <f aca="false">AI536+(Entrées!$C$244-Entrées!$C$13)</f>
        <v>28659.966346827</v>
      </c>
      <c r="AZ536" s="2" t="n">
        <f aca="false">AA536*AH536</f>
        <v>5334.73570058205</v>
      </c>
      <c r="BA536" s="2" t="n">
        <f aca="false">AZ536/AY536</f>
        <v>0.186138938058198</v>
      </c>
      <c r="BB536" s="2" t="n">
        <f aca="false">AZ536/(Entrées!$C$151/100)-AY536</f>
        <v>977.454211962231</v>
      </c>
      <c r="BC536" s="2" t="n">
        <f aca="false">AT536+(Entrées!$C$244-Entrées!$C$13)</f>
        <v>28565.3719499224</v>
      </c>
      <c r="BD536" s="2" t="n">
        <f aca="false">AA536*AQ536</f>
        <v>5698.07822498343</v>
      </c>
      <c r="BE536" s="2" t="n">
        <f aca="false">BD536/BC536</f>
        <v>0.199475022939406</v>
      </c>
      <c r="BF536" s="2" t="n">
        <f aca="false">BD536/(Entrées!$C$151/100)-BC536</f>
        <v>3090.61818887445</v>
      </c>
      <c r="BG536" s="2" t="n">
        <f aca="false">MIN(AV536,BF536)</f>
        <v>1232.91982631866</v>
      </c>
      <c r="BH536" s="2" t="n">
        <f aca="false">IF(AC536&gt;Hypothèses!$J$26,MAX(0,BG536)/(1-Hypothèses!$J$26/AC536),0)</f>
        <v>1931.18446649869</v>
      </c>
    </row>
    <row r="537" customFormat="false" ht="15" hidden="false" customHeight="false" outlineLevel="0" collapsed="false">
      <c r="A537" s="2" t="n">
        <v>522</v>
      </c>
      <c r="B537" s="2" t="n">
        <v>0.548042821</v>
      </c>
      <c r="C537" s="2"/>
      <c r="D537" s="2" t="n">
        <v>0.704867395</v>
      </c>
      <c r="E537" s="2" t="n">
        <f aca="false">IF(E$7=E$5,E$6,IF(NORMSDIST(E$9*SQRT($C$11)*NORMSINV($B537)+SQRT(1-E$9^2*$C$11)*NORMSINV(D537))&lt;E$8,E$5+SQRT(NORMSDIST(E$9*SQRT($C$11)*NORMSINV($B537)+SQRT(1-E$9^2*$C$11)*NORMSINV(D537))*(E$7-E$5)*(E$6-E$5)),E$7-SQRT((1-NORMSDIST(E$9*SQRT($C$11)*NORMSINV($B537)+SQRT(1-E$9^2*$C$11)*NORMSINV(D537)))*(E$7-E$5)*(E$7-E$6))))</f>
        <v>0.0560575782613362</v>
      </c>
      <c r="F537" s="2" t="n">
        <v>0.321100782</v>
      </c>
      <c r="G537" s="2" t="n">
        <f aca="false">IF(G$7=G$5,G$6,IF(NORMSDIST(G$9*SQRT($C$11)*NORMSINV($B537)+SQRT(1-G$9^2*$C$11)*NORMSINV(F537))&lt;G$8,G$5+SQRT(NORMSDIST(G$9*SQRT($C$11)*NORMSINV($B537)+SQRT(1-G$9^2*$C$11)*NORMSINV(F537))*(G$7-G$5)*(G$6-G$5)),G$7-SQRT((1-NORMSDIST(G$9*SQRT($C$11)*NORMSINV($B537)+SQRT(1-G$9^2*$C$11)*NORMSINV(F537)))*(G$7-G$5)*(G$7-G$6))))</f>
        <v>0.0532200807372004</v>
      </c>
      <c r="H537" s="2" t="n">
        <v>0.451396376</v>
      </c>
      <c r="I537" s="2" t="n">
        <f aca="false">IF(I$7=I$5,I$6,IF(NORMSDIST(I$9*SQRT($C$11)*NORMSINV($B537)+SQRT(1-I$9^2*$C$11)*NORMSINV(H537))&lt;I$8,I$5+SQRT(NORMSDIST(I$9*SQRT($C$11)*NORMSINV($B537)+SQRT(1-I$9^2*$C$11)*NORMSINV(H537))*(I$7-I$5)*(I$6-I$5)),I$7-SQRT((1-NORMSDIST(I$9*SQRT($C$11)*NORMSINV($B537)+SQRT(1-I$9^2*$C$11)*NORMSINV(H537)))*(I$7-I$5)*(I$7-I$6))))</f>
        <v>199.853812588431</v>
      </c>
      <c r="J537" s="2" t="n">
        <v>0.939119539</v>
      </c>
      <c r="K537" s="2" t="n">
        <f aca="false">IF(K$7=K$5,K$6,IF(NORMSDIST(K$9*SQRT($C$11)*NORMSINV($B537)+SQRT(1-K$9^2*$C$11)*NORMSINV(J537))&lt;K$8,K$5+SQRT(NORMSDIST(K$9*SQRT($C$11)*NORMSINV($B537)+SQRT(1-K$9^2*$C$11)*NORMSINV(J537))*(K$7-K$5)*(K$6-K$5)),K$7-SQRT((1-NORMSDIST(K$9*SQRT($C$11)*NORMSINV($B537)+SQRT(1-K$9^2*$C$11)*NORMSINV(J537)))*(K$7-K$5)*(K$7-K$6))))</f>
        <v>0.387550900677501</v>
      </c>
      <c r="L537" s="2" t="n">
        <v>0.780823192</v>
      </c>
      <c r="M537" s="2" t="n">
        <f aca="false">IF(M$7=M$5,M$6,IF(NORMSDIST(M$9*SQRT($C$11)*NORMSINV($B537)+SQRT(1-M$9^2*$C$11)*NORMSINV(L537))&lt;M$8,M$5+SQRT(NORMSDIST(M$9*SQRT($C$11)*NORMSINV($B537)+SQRT(1-M$9^2*$C$11)*NORMSINV(L537))*(M$7-M$5)*(M$6-M$5)),M$7-SQRT((1-NORMSDIST(M$9*SQRT($C$11)*NORMSINV($B537)+SQRT(1-M$9^2*$C$11)*NORMSINV(L537)))*(M$7-M$5)*(M$7-M$6))))</f>
        <v>1651.01750937562</v>
      </c>
      <c r="N537" s="2" t="n">
        <v>0.307106724</v>
      </c>
      <c r="O537" s="2" t="n">
        <f aca="false">IF(O$7=O$5,O$6,IF(NORMSDIST(O$9*SQRT($C$11)*NORMSINV($B537)+SQRT(1-O$9^2*$C$11)*NORMSINV(N537))&lt;O$8,O$5+SQRT(NORMSDIST(O$9*SQRT($C$11)*NORMSINV($B537)+SQRT(1-O$9^2*$C$11)*NORMSINV(N537))*(O$7-O$5)*(O$6-O$5)),O$7-SQRT((1-NORMSDIST(O$9*SQRT($C$11)*NORMSINV($B537)+SQRT(1-O$9^2*$C$11)*NORMSINV(N537)))*(O$7-O$5)*(O$7-O$6))))</f>
        <v>0.163249257246445</v>
      </c>
      <c r="P537" s="2" t="n">
        <v>0.312515675</v>
      </c>
      <c r="Q537" s="2" t="n">
        <f aca="false">IF(Q$7=Q$5,Q$6,IF(NORMSDIST(Q$9*SQRT($C$11)*NORMSINV($B537)+SQRT(1-Q$9^2*$C$11)*NORMSINV(P537))&lt;Q$8,Q$5+SQRT(NORMSDIST(Q$9*SQRT($C$11)*NORMSINV($B537)+SQRT(1-Q$9^2*$C$11)*NORMSINV(P537))*(Q$7-Q$5)*(Q$6-Q$5)),Q$7-SQRT((1-NORMSDIST(Q$9*SQRT($C$11)*NORMSINV($B537)+SQRT(1-Q$9^2*$C$11)*NORMSINV(P537)))*(Q$7-Q$5)*(Q$7-Q$6))))</f>
        <v>0.0716235696909758</v>
      </c>
      <c r="R537" s="2" t="n">
        <v>0.668951125</v>
      </c>
      <c r="S537" s="2" t="n">
        <f aca="false">IF(S$7=S$5,S$6,IF(NORMSDIST(S$9*SQRT($C$11)*NORMSINV($B537)+SQRT(1-S$9^2*$C$11)*NORMSINV(R537))&lt;S$8,S$5+SQRT(NORMSDIST(S$9*SQRT($C$11)*NORMSINV($B537)+SQRT(1-S$9^2*$C$11)*NORMSINV(R537))*(S$7-S$5)*(S$6-S$5)),S$7-SQRT((1-NORMSDIST(S$9*SQRT($C$11)*NORMSINV($B537)+SQRT(1-S$9^2*$C$11)*NORMSINV(R537)))*(S$7-S$5)*(S$7-S$6))))</f>
        <v>0.588222487846872</v>
      </c>
      <c r="T537" s="2" t="n">
        <v>0.699055287</v>
      </c>
      <c r="U537" s="2" t="n">
        <f aca="false">IF(U$7=U$5,U$6,IF(NORMSDIST(U$9*SQRT($C$11)*NORMSINV($B537)+SQRT(1-U$9^2*$C$11)*NORMSINV(T537))&lt;U$8,U$5+SQRT(NORMSDIST(U$9*SQRT($C$11)*NORMSINV($B537)+SQRT(1-U$9^2*$C$11)*NORMSINV(T537))*(U$7-U$5)*(U$6-U$5)),U$7-SQRT((1-NORMSDIST(U$9*SQRT($C$11)*NORMSINV($B537)+SQRT(1-U$9^2*$C$11)*NORMSINV(T537)))*(U$7-U$5)*(U$7-U$6))))</f>
        <v>0.602850364367132</v>
      </c>
      <c r="V537" s="2" t="n">
        <v>0.326295478</v>
      </c>
      <c r="W537" s="2" t="n">
        <f aca="false">IF(W$7=W$5,W$6,IF(NORMSDIST(W$9*SQRT($C$11)*NORMSINV($B537)+SQRT(1-W$9^2*$C$11)*NORMSINV(V537))&lt;W$8,W$5+SQRT(NORMSDIST(W$9*SQRT($C$11)*NORMSINV($B537)+SQRT(1-W$9^2*$C$11)*NORMSINV(V537))*(W$7-W$5)*(W$6-W$5)),W$7-SQRT((1-NORMSDIST(W$9*SQRT($C$11)*NORMSINV($B537)+SQRT(1-W$9^2*$C$11)*NORMSINV(V537)))*(W$7-W$5)*(W$7-W$6))))</f>
        <v>9.77240447369961</v>
      </c>
      <c r="X537" s="2" t="n">
        <v>0.021005633</v>
      </c>
      <c r="Y537" s="2" t="n">
        <f aca="false">IF(Y$7=Y$5,Y$6,IF(NORMSDIST(Y$9*SQRT($C$11)*NORMSINV($B537)+SQRT(1-Y$9^2*$C$11)*NORMSINV(X537))&lt;Y$8,Y$5+SQRT(NORMSDIST(Y$9*SQRT($C$11)*NORMSINV($B537)+SQRT(1-Y$9^2*$C$11)*NORMSINV(X537))*(Y$7-Y$5)*(Y$6-Y$5)),Y$7-SQRT((1-NORMSDIST(Y$9*SQRT($C$11)*NORMSINV($B537)+SQRT(1-Y$9^2*$C$11)*NORMSINV(X537)))*(Y$7-Y$5)*(Y$7-Y$6))))</f>
        <v>0.10248324985089</v>
      </c>
      <c r="Z537" s="2" t="n">
        <v>0.688978082</v>
      </c>
      <c r="AA537" s="2" t="n">
        <f aca="false">IF(AA$7=AA$5,AA$6,IF(NORMSDIST(AA$9*SQRT($C$11)*NORMSINV($B537)+SQRT(1-AA$9^2*$C$11)*NORMSINV(Z537))&lt;AA$8,AA$5+SQRT(NORMSDIST(AA$9*SQRT($C$11)*NORMSINV($B537)+SQRT(1-AA$9^2*$C$11)*NORMSINV(Z537))*(AA$7-AA$5)*(AA$6-AA$5)),AA$7-SQRT((1-NORMSDIST(AA$9*SQRT($C$11)*NORMSINV($B537)+SQRT(1-AA$9^2*$C$11)*NORMSINV(Z537)))*(AA$7-AA$5)*(AA$7-AA$6))))</f>
        <v>0.733481205594768</v>
      </c>
      <c r="AB537" s="2" t="n">
        <v>0.964535447</v>
      </c>
      <c r="AC537" s="2" t="n">
        <f aca="false">IF(AC$7=AC$5,AC$6,IF(NORMSDIST(AC$9*SQRT($C$11)*NORMSINV($B537)+SQRT(1-AC$9^2*$C$11)*NORMSINV(AB537))&lt;AC$8,AC$5+SQRT(NORMSDIST(AC$9*SQRT($C$11)*NORMSINV($B537)+SQRT(1-AC$9^2*$C$11)*NORMSINV(AB537))*(AC$7-AC$5)*(AC$6-AC$5)),AC$7-SQRT((1-NORMSDIST(AC$9*SQRT($C$11)*NORMSINV($B537)+SQRT(1-AC$9^2*$C$11)*NORMSINV(AB537)))*(AC$7-AC$5)*(AC$7-AC$6))))</f>
        <v>10.4497881323014</v>
      </c>
      <c r="AD537" s="2" t="n">
        <f aca="false">Entrées!$C$8*(1+E537)</f>
        <v>7445.20592674242</v>
      </c>
      <c r="AE537" s="2" t="n">
        <f aca="false">I537*Hypothèses!$J$24/12/Hypothèses!$J$19</f>
        <v>99.1468367681094</v>
      </c>
      <c r="AF537" s="2" t="n">
        <f aca="false">Entrées!$C$36*S537*1000</f>
        <v>294.111243923436</v>
      </c>
      <c r="AG537" s="2" t="n">
        <f aca="false">-AF537/W537</f>
        <v>-30.0960981214987</v>
      </c>
      <c r="AH537" s="2" t="n">
        <f aca="false">AD537+AE537+AG537</f>
        <v>7514.25666538903</v>
      </c>
      <c r="AI537" s="2" t="n">
        <f aca="false">Entrées!$C$16-M537+Hypothèses!$J$22*1000-AF537+Hypothèses!$J$23</f>
        <v>22602.8712467009</v>
      </c>
      <c r="AJ537" s="2" t="n">
        <f aca="false">AI537/AH537</f>
        <v>3.00799829620017</v>
      </c>
      <c r="AK537" s="2" t="n">
        <f aca="false">AI537/(AH537+I537*(12-Hypothèses!$J$24)/12/Hypothèses!$J$19)</f>
        <v>2.97991368047591</v>
      </c>
      <c r="AL537" s="2" t="n">
        <f aca="false">(AD537+AG537+I537/Hypothèses!$J$19)*(1+G537)</f>
        <v>7988.75418281947</v>
      </c>
      <c r="AM537" s="2" t="n">
        <f aca="false">Entrées!$C$54*K537/Hypothèses!$J$19</f>
        <v>39.5511966352174</v>
      </c>
      <c r="AN537" s="2" t="n">
        <f aca="false">Y537*1000/AC537</f>
        <v>9.8072083905801</v>
      </c>
      <c r="AO537" s="2" t="n">
        <f aca="false">(Entrées!$C$36*(1-S537)+MAX(0,Entrées!$C$30-Entrées!$C$35-Entrées!$C$36)*U537)*1000</f>
        <v>1049.87926619055</v>
      </c>
      <c r="AP537" s="2" t="n">
        <f aca="false">-AO537/W537</f>
        <v>-107.433054885937</v>
      </c>
      <c r="AQ537" s="2" t="n">
        <f aca="false">AL537+AM537+AN537+AP537</f>
        <v>7930.67953295933</v>
      </c>
      <c r="AR537" s="2" t="n">
        <f aca="false">O537*AQ537-Hypothèses!$J$25/Hypothèses!$J$19</f>
        <v>1275.54238095357</v>
      </c>
      <c r="AS537" s="2" t="n">
        <f aca="false">Entrées!$C$79*(1+Q537)+Hypothèses!$J$20</f>
        <v>1472.71430309038</v>
      </c>
      <c r="AT537" s="2" t="n">
        <f aca="false">AI537-AR537+AS537+Y537*1000-AO537+Hypothèses!$J$23</f>
        <v>21852.6471524981</v>
      </c>
      <c r="AU537" s="2" t="n">
        <f aca="false">AT537/AQ537</f>
        <v>2.75545709061627</v>
      </c>
      <c r="AV537" s="2" t="n">
        <f aca="false">Hypothèses!$J$26*AQ537-AT537</f>
        <v>1939.39144637989</v>
      </c>
      <c r="AW537" s="2" t="n">
        <f aca="false">IF(AC537&gt;Hypothèses!$J$26,MAX(0,AV537)/(1-Hypothèses!$J$26/AC537),0)</f>
        <v>2720.37665506157</v>
      </c>
      <c r="AX537" s="2" t="n">
        <f aca="false">AQ537-Entrées!$C$17*1000</f>
        <v>-69.3204670406685</v>
      </c>
      <c r="AY537" s="2" t="n">
        <f aca="false">AI537+(Entrées!$C$244-Entrées!$C$13)</f>
        <v>28349.8712467009</v>
      </c>
      <c r="AZ537" s="2" t="n">
        <f aca="false">AA537*AH537</f>
        <v>5511.56603807807</v>
      </c>
      <c r="BA537" s="2" t="n">
        <f aca="false">AZ537/AY537</f>
        <v>0.194412383397312</v>
      </c>
      <c r="BB537" s="2" t="n">
        <f aca="false">AZ537/(Entrées!$C$151/100)-AY537</f>
        <v>2269.94007595498</v>
      </c>
      <c r="BC537" s="2" t="n">
        <f aca="false">AT537+(Entrées!$C$244-Entrées!$C$13)</f>
        <v>27599.6471524981</v>
      </c>
      <c r="BD537" s="2" t="n">
        <f aca="false">AA537*AQ537</f>
        <v>5817.00438502076</v>
      </c>
      <c r="BE537" s="2" t="n">
        <f aca="false">BD537/BC537</f>
        <v>0.21076372291572</v>
      </c>
      <c r="BF537" s="2" t="n">
        <f aca="false">BD537/(Entrées!$C$151/100)-BC537</f>
        <v>4717.04387539501</v>
      </c>
      <c r="BG537" s="2" t="n">
        <f aca="false">MIN(AV537,BF537)</f>
        <v>1939.39144637989</v>
      </c>
      <c r="BH537" s="2" t="n">
        <f aca="false">IF(AC537&gt;Hypothèses!$J$26,MAX(0,BG537)/(1-Hypothèses!$J$26/AC537),0)</f>
        <v>2720.37665506157</v>
      </c>
    </row>
    <row r="538" customFormat="false" ht="15" hidden="false" customHeight="false" outlineLevel="0" collapsed="false">
      <c r="A538" s="2" t="n">
        <v>523</v>
      </c>
      <c r="B538" s="2" t="n">
        <v>0.129066136</v>
      </c>
      <c r="C538" s="2"/>
      <c r="D538" s="2" t="n">
        <v>0.402257958</v>
      </c>
      <c r="E538" s="2" t="n">
        <f aca="false">IF(E$7=E$5,E$6,IF(NORMSDIST(E$9*SQRT($C$11)*NORMSINV($B538)+SQRT(1-E$9^2*$C$11)*NORMSINV(D538))&lt;E$8,E$5+SQRT(NORMSDIST(E$9*SQRT($C$11)*NORMSINV($B538)+SQRT(1-E$9^2*$C$11)*NORMSINV(D538))*(E$7-E$5)*(E$6-E$5)),E$7-SQRT((1-NORMSDIST(E$9*SQRT($C$11)*NORMSINV($B538)+SQRT(1-E$9^2*$C$11)*NORMSINV(D538)))*(E$7-E$5)*(E$7-E$6))))</f>
        <v>0.0530185044416481</v>
      </c>
      <c r="F538" s="2" t="n">
        <v>0.441943021</v>
      </c>
      <c r="G538" s="2" t="n">
        <f aca="false">IF(G$7=G$5,G$6,IF(NORMSDIST(G$9*SQRT($C$11)*NORMSINV($B538)+SQRT(1-G$9^2*$C$11)*NORMSINV(F538))&lt;G$8,G$5+SQRT(NORMSDIST(G$9*SQRT($C$11)*NORMSINV($B538)+SQRT(1-G$9^2*$C$11)*NORMSINV(F538))*(G$7-G$5)*(G$6-G$5)),G$7-SQRT((1-NORMSDIST(G$9*SQRT($C$11)*NORMSINV($B538)+SQRT(1-G$9^2*$C$11)*NORMSINV(F538)))*(G$7-G$5)*(G$7-G$6))))</f>
        <v>0.049575252967278</v>
      </c>
      <c r="H538" s="2" t="n">
        <v>0.361452173</v>
      </c>
      <c r="I538" s="2" t="n">
        <f aca="false">IF(I$7=I$5,I$6,IF(NORMSDIST(I$9*SQRT($C$11)*NORMSINV($B538)+SQRT(1-I$9^2*$C$11)*NORMSINV(H538))&lt;I$8,I$5+SQRT(NORMSDIST(I$9*SQRT($C$11)*NORMSINV($B538)+SQRT(1-I$9^2*$C$11)*NORMSINV(H538))*(I$7-I$5)*(I$6-I$5)),I$7-SQRT((1-NORMSDIST(I$9*SQRT($C$11)*NORMSINV($B538)+SQRT(1-I$9^2*$C$11)*NORMSINV(H538)))*(I$7-I$5)*(I$7-I$6))))</f>
        <v>191.35338880828</v>
      </c>
      <c r="J538" s="2" t="n">
        <v>0.163524518</v>
      </c>
      <c r="K538" s="2" t="n">
        <f aca="false">IF(K$7=K$5,K$6,IF(NORMSDIST(K$9*SQRT($C$11)*NORMSINV($B538)+SQRT(1-K$9^2*$C$11)*NORMSINV(J538))&lt;K$8,K$5+SQRT(NORMSDIST(K$9*SQRT($C$11)*NORMSINV($B538)+SQRT(1-K$9^2*$C$11)*NORMSINV(J538))*(K$7-K$5)*(K$6-K$5)),K$7-SQRT((1-NORMSDIST(K$9*SQRT($C$11)*NORMSINV($B538)+SQRT(1-K$9^2*$C$11)*NORMSINV(J538)))*(K$7-K$5)*(K$7-K$6))))</f>
        <v>0.0936703850090378</v>
      </c>
      <c r="L538" s="2" t="n">
        <v>0.350380001</v>
      </c>
      <c r="M538" s="2" t="n">
        <f aca="false">IF(M$7=M$5,M$6,IF(NORMSDIST(M$9*SQRT($C$11)*NORMSINV($B538)+SQRT(1-M$9^2*$C$11)*NORMSINV(L538))&lt;M$8,M$5+SQRT(NORMSDIST(M$9*SQRT($C$11)*NORMSINV($B538)+SQRT(1-M$9^2*$C$11)*NORMSINV(L538))*(M$7-M$5)*(M$6-M$5)),M$7-SQRT((1-NORMSDIST(M$9*SQRT($C$11)*NORMSINV($B538)+SQRT(1-M$9^2*$C$11)*NORMSINV(L538)))*(M$7-M$5)*(M$7-M$6))))</f>
        <v>1460.57981472416</v>
      </c>
      <c r="N538" s="2" t="n">
        <v>0.458455036</v>
      </c>
      <c r="O538" s="2" t="n">
        <f aca="false">IF(O$7=O$5,O$6,IF(NORMSDIST(O$9*SQRT($C$11)*NORMSINV($B538)+SQRT(1-O$9^2*$C$11)*NORMSINV(N538))&lt;O$8,O$5+SQRT(NORMSDIST(O$9*SQRT($C$11)*NORMSINV($B538)+SQRT(1-O$9^2*$C$11)*NORMSINV(N538))*(O$7-O$5)*(O$6-O$5)),O$7-SQRT((1-NORMSDIST(O$9*SQRT($C$11)*NORMSINV($B538)+SQRT(1-O$9^2*$C$11)*NORMSINV(N538)))*(O$7-O$5)*(O$7-O$6))))</f>
        <v>0.157482513360895</v>
      </c>
      <c r="P538" s="2" t="n">
        <v>0.926785469</v>
      </c>
      <c r="Q538" s="2" t="n">
        <f aca="false">IF(Q$7=Q$5,Q$6,IF(NORMSDIST(Q$9*SQRT($C$11)*NORMSINV($B538)+SQRT(1-Q$9^2*$C$11)*NORMSINV(P538))&lt;Q$8,Q$5+SQRT(NORMSDIST(Q$9*SQRT($C$11)*NORMSINV($B538)+SQRT(1-Q$9^2*$C$11)*NORMSINV(P538))*(Q$7-Q$5)*(Q$6-Q$5)),Q$7-SQRT((1-NORMSDIST(Q$9*SQRT($C$11)*NORMSINV($B538)+SQRT(1-Q$9^2*$C$11)*NORMSINV(P538)))*(Q$7-Q$5)*(Q$7-Q$6))))</f>
        <v>0.10469357980454</v>
      </c>
      <c r="R538" s="2" t="n">
        <v>0.850663711</v>
      </c>
      <c r="S538" s="2" t="n">
        <f aca="false">IF(S$7=S$5,S$6,IF(NORMSDIST(S$9*SQRT($C$11)*NORMSINV($B538)+SQRT(1-S$9^2*$C$11)*NORMSINV(R538))&lt;S$8,S$5+SQRT(NORMSDIST(S$9*SQRT($C$11)*NORMSINV($B538)+SQRT(1-S$9^2*$C$11)*NORMSINV(R538))*(S$7-S$5)*(S$6-S$5)),S$7-SQRT((1-NORMSDIST(S$9*SQRT($C$11)*NORMSINV($B538)+SQRT(1-S$9^2*$C$11)*NORMSINV(R538)))*(S$7-S$5)*(S$7-S$6))))</f>
        <v>0.518227631218267</v>
      </c>
      <c r="T538" s="2" t="n">
        <v>0.514301618</v>
      </c>
      <c r="U538" s="2" t="n">
        <f aca="false">IF(U$7=U$5,U$6,IF(NORMSDIST(U$9*SQRT($C$11)*NORMSINV($B538)+SQRT(1-U$9^2*$C$11)*NORMSINV(T538))&lt;U$8,U$5+SQRT(NORMSDIST(U$9*SQRT($C$11)*NORMSINV($B538)+SQRT(1-U$9^2*$C$11)*NORMSINV(T538))*(U$7-U$5)*(U$6-U$5)),U$7-SQRT((1-NORMSDIST(U$9*SQRT($C$11)*NORMSINV($B538)+SQRT(1-U$9^2*$C$11)*NORMSINV(T538)))*(U$7-U$5)*(U$7-U$6))))</f>
        <v>0.350649415380225</v>
      </c>
      <c r="V538" s="2" t="n">
        <v>0.751774001</v>
      </c>
      <c r="W538" s="2" t="n">
        <f aca="false">IF(W$7=W$5,W$6,IF(NORMSDIST(W$9*SQRT($C$11)*NORMSINV($B538)+SQRT(1-W$9^2*$C$11)*NORMSINV(V538))&lt;W$8,W$5+SQRT(NORMSDIST(W$9*SQRT($C$11)*NORMSINV($B538)+SQRT(1-W$9^2*$C$11)*NORMSINV(V538))*(W$7-W$5)*(W$6-W$5)),W$7-SQRT((1-NORMSDIST(W$9*SQRT($C$11)*NORMSINV($B538)+SQRT(1-W$9^2*$C$11)*NORMSINV(V538)))*(W$7-W$5)*(W$7-W$6))))</f>
        <v>9.84451842957417</v>
      </c>
      <c r="X538" s="2" t="n">
        <v>0.296971374</v>
      </c>
      <c r="Y538" s="2" t="n">
        <f aca="false">IF(Y$7=Y$5,Y$6,IF(NORMSDIST(Y$9*SQRT($C$11)*NORMSINV($B538)+SQRT(1-Y$9^2*$C$11)*NORMSINV(X538))&lt;Y$8,Y$5+SQRT(NORMSDIST(Y$9*SQRT($C$11)*NORMSINV($B538)+SQRT(1-Y$9^2*$C$11)*NORMSINV(X538))*(Y$7-Y$5)*(Y$6-Y$5)),Y$7-SQRT((1-NORMSDIST(Y$9*SQRT($C$11)*NORMSINV($B538)+SQRT(1-Y$9^2*$C$11)*NORMSINV(X538)))*(Y$7-Y$5)*(Y$7-Y$6))))</f>
        <v>0.385338405820131</v>
      </c>
      <c r="Z538" s="2" t="n">
        <v>0.283890485</v>
      </c>
      <c r="AA538" s="2" t="n">
        <f aca="false">IF(AA$7=AA$5,AA$6,IF(NORMSDIST(AA$9*SQRT($C$11)*NORMSINV($B538)+SQRT(1-AA$9^2*$C$11)*NORMSINV(Z538))&lt;AA$8,AA$5+SQRT(NORMSDIST(AA$9*SQRT($C$11)*NORMSINV($B538)+SQRT(1-AA$9^2*$C$11)*NORMSINV(Z538))*(AA$7-AA$5)*(AA$6-AA$5)),AA$7-SQRT((1-NORMSDIST(AA$9*SQRT($C$11)*NORMSINV($B538)+SQRT(1-AA$9^2*$C$11)*NORMSINV(Z538)))*(AA$7-AA$5)*(AA$7-AA$6))))</f>
        <v>0.711585843478969</v>
      </c>
      <c r="AB538" s="2" t="n">
        <v>0.084364788</v>
      </c>
      <c r="AC538" s="2" t="n">
        <f aca="false">IF(AC$7=AC$5,AC$6,IF(NORMSDIST(AC$9*SQRT($C$11)*NORMSINV($B538)+SQRT(1-AC$9^2*$C$11)*NORMSINV(AB538))&lt;AC$8,AC$5+SQRT(NORMSDIST(AC$9*SQRT($C$11)*NORMSINV($B538)+SQRT(1-AC$9^2*$C$11)*NORMSINV(AB538))*(AC$7-AC$5)*(AC$6-AC$5)),AC$7-SQRT((1-NORMSDIST(AC$9*SQRT($C$11)*NORMSINV($B538)+SQRT(1-AC$9^2*$C$11)*NORMSINV(AB538)))*(AC$7-AC$5)*(AC$7-AC$6))))</f>
        <v>7.96871228420935</v>
      </c>
      <c r="AD538" s="2" t="n">
        <f aca="false">Entrées!$C$8*(1+E538)</f>
        <v>7423.78045631362</v>
      </c>
      <c r="AE538" s="2" t="n">
        <f aca="false">I538*Hypothèses!$J$24/12/Hypothèses!$J$19</f>
        <v>94.9298037374411</v>
      </c>
      <c r="AF538" s="2" t="n">
        <f aca="false">Entrées!$C$36*S538*1000</f>
        <v>259.113815609134</v>
      </c>
      <c r="AG538" s="2" t="n">
        <f aca="false">-AF538/W538</f>
        <v>-26.320618673507</v>
      </c>
      <c r="AH538" s="2" t="n">
        <f aca="false">AD538+AE538+AG538</f>
        <v>7492.38964137755</v>
      </c>
      <c r="AI538" s="2" t="n">
        <f aca="false">Entrées!$C$16-M538+Hypothèses!$J$22*1000-AF538+Hypothèses!$J$23</f>
        <v>22828.3063696667</v>
      </c>
      <c r="AJ538" s="2" t="n">
        <f aca="false">AI538/AH538</f>
        <v>3.04686588155998</v>
      </c>
      <c r="AK538" s="2" t="n">
        <f aca="false">AI538/(AH538+I538*(12-Hypothèses!$J$24)/12/Hypothèses!$J$19)</f>
        <v>3.01953870308936</v>
      </c>
      <c r="AL538" s="2" t="n">
        <f aca="false">(AD538+AG538+I538/Hypothèses!$J$19)*(1+G538)</f>
        <v>7934.99530515816</v>
      </c>
      <c r="AM538" s="2" t="n">
        <f aca="false">Entrées!$C$54*K538/Hypothèses!$J$19</f>
        <v>9.55945608670354</v>
      </c>
      <c r="AN538" s="2" t="n">
        <f aca="false">Y538*1000/AC538</f>
        <v>48.3564209720196</v>
      </c>
      <c r="AO538" s="2" t="n">
        <f aca="false">(Entrées!$C$36*(1-S538)+MAX(0,Entrées!$C$30-Entrées!$C$35-Entrées!$C$36)*U538)*1000</f>
        <v>731.795365923181</v>
      </c>
      <c r="AP538" s="2" t="n">
        <f aca="false">-AO538/W538</f>
        <v>-74.3353137239071</v>
      </c>
      <c r="AQ538" s="2" t="n">
        <f aca="false">AL538+AM538+AN538+AP538</f>
        <v>7918.57586849297</v>
      </c>
      <c r="AR538" s="2" t="n">
        <f aca="false">O538*AQ538-Hypothèses!$J$25/Hypothèses!$J$19</f>
        <v>1227.90206774758</v>
      </c>
      <c r="AS538" s="2" t="n">
        <f aca="false">Entrées!$C$79*(1+Q538)+Hypothèses!$J$20</f>
        <v>1509.05824420519</v>
      </c>
      <c r="AT538" s="2" t="n">
        <f aca="false">AI538-AR538+AS538+Y538*1000-AO538+Hypothèses!$J$23</f>
        <v>22763.0055860213</v>
      </c>
      <c r="AU538" s="2" t="n">
        <f aca="false">AT538/AQ538</f>
        <v>2.87463376799766</v>
      </c>
      <c r="AV538" s="2" t="n">
        <f aca="false">Hypothèses!$J$26*AQ538-AT538</f>
        <v>992.722019457659</v>
      </c>
      <c r="AW538" s="2" t="n">
        <f aca="false">IF(AC538&gt;Hypothèses!$J$26,MAX(0,AV538)/(1-Hypothèses!$J$26/AC538),0)</f>
        <v>1592.10590164332</v>
      </c>
      <c r="AX538" s="2" t="n">
        <f aca="false">AQ538-Entrées!$C$17*1000</f>
        <v>-81.4241315070267</v>
      </c>
      <c r="AY538" s="2" t="n">
        <f aca="false">AI538+(Entrées!$C$244-Entrées!$C$13)</f>
        <v>28575.3063696667</v>
      </c>
      <c r="AZ538" s="2" t="n">
        <f aca="false">AA538*AH538</f>
        <v>5331.47840263274</v>
      </c>
      <c r="BA538" s="2" t="n">
        <f aca="false">AZ538/AY538</f>
        <v>0.186576421392011</v>
      </c>
      <c r="BB538" s="2" t="n">
        <f aca="false">AZ538/(Entrées!$C$151/100)-AY538</f>
        <v>1044.01808940407</v>
      </c>
      <c r="BC538" s="2" t="n">
        <f aca="false">AT538+(Entrées!$C$244-Entrées!$C$13)</f>
        <v>28510.0055860213</v>
      </c>
      <c r="BD538" s="2" t="n">
        <f aca="false">AA538*AQ538</f>
        <v>5634.74648853379</v>
      </c>
      <c r="BE538" s="2" t="n">
        <f aca="false">BD538/BC538</f>
        <v>0.197641016643524</v>
      </c>
      <c r="BF538" s="2" t="n">
        <f aca="false">BD538/(Entrées!$C$151/100)-BC538</f>
        <v>2794.14157249977</v>
      </c>
      <c r="BG538" s="2" t="n">
        <f aca="false">MIN(AV538,BF538)</f>
        <v>992.722019457659</v>
      </c>
      <c r="BH538" s="2" t="n">
        <f aca="false">IF(AC538&gt;Hypothèses!$J$26,MAX(0,BG538)/(1-Hypothèses!$J$26/AC538),0)</f>
        <v>1592.10590164332</v>
      </c>
    </row>
    <row r="539" customFormat="false" ht="15" hidden="false" customHeight="false" outlineLevel="0" collapsed="false">
      <c r="A539" s="2" t="n">
        <v>524</v>
      </c>
      <c r="B539" s="2" t="n">
        <v>0.448508285</v>
      </c>
      <c r="C539" s="2"/>
      <c r="D539" s="2" t="n">
        <v>0.876702423</v>
      </c>
      <c r="E539" s="2" t="n">
        <f aca="false">IF(E$7=E$5,E$6,IF(NORMSDIST(E$9*SQRT($C$11)*NORMSINV($B539)+SQRT(1-E$9^2*$C$11)*NORMSINV(D539))&lt;E$8,E$5+SQRT(NORMSDIST(E$9*SQRT($C$11)*NORMSINV($B539)+SQRT(1-E$9^2*$C$11)*NORMSINV(D539))*(E$7-E$5)*(E$6-E$5)),E$7-SQRT((1-NORMSDIST(E$9*SQRT($C$11)*NORMSINV($B539)+SQRT(1-E$9^2*$C$11)*NORMSINV(D539)))*(E$7-E$5)*(E$7-E$6))))</f>
        <v>0.0567801031412399</v>
      </c>
      <c r="F539" s="2" t="n">
        <v>0.776948274</v>
      </c>
      <c r="G539" s="2" t="n">
        <f aca="false">IF(G$7=G$5,G$6,IF(NORMSDIST(G$9*SQRT($C$11)*NORMSINV($B539)+SQRT(1-G$9^2*$C$11)*NORMSINV(F539))&lt;G$8,G$5+SQRT(NORMSDIST(G$9*SQRT($C$11)*NORMSINV($B539)+SQRT(1-G$9^2*$C$11)*NORMSINV(F539))*(G$7-G$5)*(G$6-G$5)),G$7-SQRT((1-NORMSDIST(G$9*SQRT($C$11)*NORMSINV($B539)+SQRT(1-G$9^2*$C$11)*NORMSINV(F539)))*(G$7-G$5)*(G$7-G$6))))</f>
        <v>0.0582728764433984</v>
      </c>
      <c r="H539" s="2" t="n">
        <v>0.13835816</v>
      </c>
      <c r="I539" s="2" t="n">
        <f aca="false">IF(I$7=I$5,I$6,IF(NORMSDIST(I$9*SQRT($C$11)*NORMSINV($B539)+SQRT(1-I$9^2*$C$11)*NORMSINV(H539))&lt;I$8,I$5+SQRT(NORMSDIST(I$9*SQRT($C$11)*NORMSINV($B539)+SQRT(1-I$9^2*$C$11)*NORMSINV(H539))*(I$7-I$5)*(I$6-I$5)),I$7-SQRT((1-NORMSDIST(I$9*SQRT($C$11)*NORMSINV($B539)+SQRT(1-I$9^2*$C$11)*NORMSINV(H539)))*(I$7-I$5)*(I$7-I$6))))</f>
        <v>191.920972674428</v>
      </c>
      <c r="J539" s="2" t="n">
        <v>0.624592372</v>
      </c>
      <c r="K539" s="2" t="n">
        <f aca="false">IF(K$7=K$5,K$6,IF(NORMSDIST(K$9*SQRT($C$11)*NORMSINV($B539)+SQRT(1-K$9^2*$C$11)*NORMSINV(J539))&lt;K$8,K$5+SQRT(NORMSDIST(K$9*SQRT($C$11)*NORMSINV($B539)+SQRT(1-K$9^2*$C$11)*NORMSINV(J539))*(K$7-K$5)*(K$6-K$5)),K$7-SQRT((1-NORMSDIST(K$9*SQRT($C$11)*NORMSINV($B539)+SQRT(1-K$9^2*$C$11)*NORMSINV(J539)))*(K$7-K$5)*(K$7-K$6))))</f>
        <v>0.266864753374146</v>
      </c>
      <c r="L539" s="2" t="n">
        <v>0.762012076</v>
      </c>
      <c r="M539" s="2" t="n">
        <f aca="false">IF(M$7=M$5,M$6,IF(NORMSDIST(M$9*SQRT($C$11)*NORMSINV($B539)+SQRT(1-M$9^2*$C$11)*NORMSINV(L539))&lt;M$8,M$5+SQRT(NORMSDIST(M$9*SQRT($C$11)*NORMSINV($B539)+SQRT(1-M$9^2*$C$11)*NORMSINV(L539))*(M$7-M$5)*(M$6-M$5)),M$7-SQRT((1-NORMSDIST(M$9*SQRT($C$11)*NORMSINV($B539)+SQRT(1-M$9^2*$C$11)*NORMSINV(L539)))*(M$7-M$5)*(M$7-M$6))))</f>
        <v>1632.52015726661</v>
      </c>
      <c r="N539" s="2" t="n">
        <v>0.832420727</v>
      </c>
      <c r="O539" s="2" t="n">
        <f aca="false">IF(O$7=O$5,O$6,IF(NORMSDIST(O$9*SQRT($C$11)*NORMSINV($B539)+SQRT(1-O$9^2*$C$11)*NORMSINV(N539))&lt;O$8,O$5+SQRT(NORMSDIST(O$9*SQRT($C$11)*NORMSINV($B539)+SQRT(1-O$9^2*$C$11)*NORMSINV(N539))*(O$7-O$5)*(O$6-O$5)),O$7-SQRT((1-NORMSDIST(O$9*SQRT($C$11)*NORMSINV($B539)+SQRT(1-O$9^2*$C$11)*NORMSINV(N539)))*(O$7-O$5)*(O$7-O$6))))</f>
        <v>0.173579657612279</v>
      </c>
      <c r="P539" s="2" t="n">
        <v>0.230270135</v>
      </c>
      <c r="Q539" s="2" t="n">
        <f aca="false">IF(Q$7=Q$5,Q$6,IF(NORMSDIST(Q$9*SQRT($C$11)*NORMSINV($B539)+SQRT(1-Q$9^2*$C$11)*NORMSINV(P539))&lt;Q$8,Q$5+SQRT(NORMSDIST(Q$9*SQRT($C$11)*NORMSINV($B539)+SQRT(1-Q$9^2*$C$11)*NORMSINV(P539))*(Q$7-Q$5)*(Q$6-Q$5)),Q$7-SQRT((1-NORMSDIST(Q$9*SQRT($C$11)*NORMSINV($B539)+SQRT(1-Q$9^2*$C$11)*NORMSINV(P539)))*(Q$7-Q$5)*(Q$7-Q$6))))</f>
        <v>0.0671452469504331</v>
      </c>
      <c r="R539" s="2" t="n">
        <v>0.138340667</v>
      </c>
      <c r="S539" s="2" t="n">
        <f aca="false">IF(S$7=S$5,S$6,IF(NORMSDIST(S$9*SQRT($C$11)*NORMSINV($B539)+SQRT(1-S$9^2*$C$11)*NORMSINV(R539))&lt;S$8,S$5+SQRT(NORMSDIST(S$9*SQRT($C$11)*NORMSINV($B539)+SQRT(1-S$9^2*$C$11)*NORMSINV(R539))*(S$7-S$5)*(S$6-S$5)),S$7-SQRT((1-NORMSDIST(S$9*SQRT($C$11)*NORMSINV($B539)+SQRT(1-S$9^2*$C$11)*NORMSINV(R539)))*(S$7-S$5)*(S$7-S$6))))</f>
        <v>0.298010920013789</v>
      </c>
      <c r="T539" s="2" t="n">
        <v>0.676193637</v>
      </c>
      <c r="U539" s="2" t="n">
        <f aca="false">IF(U$7=U$5,U$6,IF(NORMSDIST(U$9*SQRT($C$11)*NORMSINV($B539)+SQRT(1-U$9^2*$C$11)*NORMSINV(T539))&lt;U$8,U$5+SQRT(NORMSDIST(U$9*SQRT($C$11)*NORMSINV($B539)+SQRT(1-U$9^2*$C$11)*NORMSINV(T539))*(U$7-U$5)*(U$6-U$5)),U$7-SQRT((1-NORMSDIST(U$9*SQRT($C$11)*NORMSINV($B539)+SQRT(1-U$9^2*$C$11)*NORMSINV(T539)))*(U$7-U$5)*(U$7-U$6))))</f>
        <v>0.55686549730837</v>
      </c>
      <c r="V539" s="2" t="n">
        <v>0.987229068</v>
      </c>
      <c r="W539" s="2" t="n">
        <f aca="false">IF(W$7=W$5,W$6,IF(NORMSDIST(W$9*SQRT($C$11)*NORMSINV($B539)+SQRT(1-W$9^2*$C$11)*NORMSINV(V539))&lt;W$8,W$5+SQRT(NORMSDIST(W$9*SQRT($C$11)*NORMSINV($B539)+SQRT(1-W$9^2*$C$11)*NORMSINV(V539))*(W$7-W$5)*(W$6-W$5)),W$7-SQRT((1-NORMSDIST(W$9*SQRT($C$11)*NORMSINV($B539)+SQRT(1-W$9^2*$C$11)*NORMSINV(V539)))*(W$7-W$5)*(W$7-W$6))))</f>
        <v>11.369528514242</v>
      </c>
      <c r="X539" s="2" t="n">
        <v>0.813126885</v>
      </c>
      <c r="Y539" s="2" t="n">
        <f aca="false">IF(Y$7=Y$5,Y$6,IF(NORMSDIST(Y$9*SQRT($C$11)*NORMSINV($B539)+SQRT(1-Y$9^2*$C$11)*NORMSINV(X539))&lt;Y$8,Y$5+SQRT(NORMSDIST(Y$9*SQRT($C$11)*NORMSINV($B539)+SQRT(1-Y$9^2*$C$11)*NORMSINV(X539))*(Y$7-Y$5)*(Y$6-Y$5)),Y$7-SQRT((1-NORMSDIST(Y$9*SQRT($C$11)*NORMSINV($B539)+SQRT(1-Y$9^2*$C$11)*NORMSINV(X539)))*(Y$7-Y$5)*(Y$7-Y$6))))</f>
        <v>0.694326060155597</v>
      </c>
      <c r="Z539" s="2" t="n">
        <v>0.955757909</v>
      </c>
      <c r="AA539" s="2" t="n">
        <f aca="false">IF(AA$7=AA$5,AA$6,IF(NORMSDIST(AA$9*SQRT($C$11)*NORMSINV($B539)+SQRT(1-AA$9^2*$C$11)*NORMSINV(Z539))&lt;AA$8,AA$5+SQRT(NORMSDIST(AA$9*SQRT($C$11)*NORMSINV($B539)+SQRT(1-AA$9^2*$C$11)*NORMSINV(Z539))*(AA$7-AA$5)*(AA$6-AA$5)),AA$7-SQRT((1-NORMSDIST(AA$9*SQRT($C$11)*NORMSINV($B539)+SQRT(1-AA$9^2*$C$11)*NORMSINV(Z539)))*(AA$7-AA$5)*(AA$7-AA$6))))</f>
        <v>0.742092700904694</v>
      </c>
      <c r="AB539" s="2" t="n">
        <v>0.098850223</v>
      </c>
      <c r="AC539" s="2" t="n">
        <f aca="false">IF(AC$7=AC$5,AC$6,IF(NORMSDIST(AC$9*SQRT($C$11)*NORMSINV($B539)+SQRT(1-AC$9^2*$C$11)*NORMSINV(AB539))&lt;AC$8,AC$5+SQRT(NORMSDIST(AC$9*SQRT($C$11)*NORMSINV($B539)+SQRT(1-AC$9^2*$C$11)*NORMSINV(AB539))*(AC$7-AC$5)*(AC$6-AC$5)),AC$7-SQRT((1-NORMSDIST(AC$9*SQRT($C$11)*NORMSINV($B539)+SQRT(1-AC$9^2*$C$11)*NORMSINV(AB539)))*(AC$7-AC$5)*(AC$7-AC$6))))</f>
        <v>8.50041110234196</v>
      </c>
      <c r="AD539" s="2" t="n">
        <f aca="false">Entrées!$C$8*(1+E539)</f>
        <v>7450.29972714574</v>
      </c>
      <c r="AE539" s="2" t="n">
        <f aca="false">I539*Hypothèses!$J$24/12/Hypothèses!$J$19</f>
        <v>95.2113802768143</v>
      </c>
      <c r="AF539" s="2" t="n">
        <f aca="false">Entrées!$C$36*S539*1000</f>
        <v>149.005460006895</v>
      </c>
      <c r="AG539" s="2" t="n">
        <f aca="false">-AF539/W539</f>
        <v>-13.1056850616315</v>
      </c>
      <c r="AH539" s="2" t="n">
        <f aca="false">AD539+AE539+AG539</f>
        <v>7532.40542236092</v>
      </c>
      <c r="AI539" s="2" t="n">
        <f aca="false">Entrées!$C$16-M539+Hypothèses!$J$22*1000-AF539+Hypothèses!$J$23</f>
        <v>22766.4743827265</v>
      </c>
      <c r="AJ539" s="2" t="n">
        <f aca="false">AI539/AH539</f>
        <v>3.02247065925863</v>
      </c>
      <c r="AK539" s="2" t="n">
        <f aca="false">AI539/(AH539+I539*(12-Hypothèses!$J$24)/12/Hypothèses!$J$19)</f>
        <v>2.99542573960879</v>
      </c>
      <c r="AL539" s="2" t="n">
        <f aca="false">(AD539+AG539+I539/Hypothèses!$J$19)*(1+G539)</f>
        <v>8043.31151091381</v>
      </c>
      <c r="AM539" s="2" t="n">
        <f aca="false">Entrées!$C$54*K539/Hypothèses!$J$19</f>
        <v>27.234668574523</v>
      </c>
      <c r="AN539" s="2" t="n">
        <f aca="false">Y539*1000/AC539</f>
        <v>81.6814683191383</v>
      </c>
      <c r="AO539" s="2" t="n">
        <f aca="false">(Entrées!$C$36*(1-S539)+MAX(0,Entrées!$C$30-Entrées!$C$35-Entrées!$C$36)*U539)*1000</f>
        <v>1130.60623622482</v>
      </c>
      <c r="AP539" s="2" t="n">
        <f aca="false">-AO539/W539</f>
        <v>-99.4417873009048</v>
      </c>
      <c r="AQ539" s="2" t="n">
        <f aca="false">AL539+AM539+AN539+AP539</f>
        <v>8052.78586050657</v>
      </c>
      <c r="AR539" s="2" t="n">
        <f aca="false">O539*AQ539-Hypothèses!$J$25/Hypothèses!$J$19</f>
        <v>1378.6646502301</v>
      </c>
      <c r="AS539" s="2" t="n">
        <f aca="false">Entrées!$C$79*(1+Q539)+Hypothèses!$J$20</f>
        <v>1467.79262639853</v>
      </c>
      <c r="AT539" s="2" t="n">
        <f aca="false">AI539-AR539+AS539+Y539*1000-AO539+Hypothèses!$J$23</f>
        <v>22419.3221828257</v>
      </c>
      <c r="AU539" s="2" t="n">
        <f aca="false">AT539/AQ539</f>
        <v>2.78404549322207</v>
      </c>
      <c r="AV539" s="2" t="n">
        <f aca="false">Hypothèses!$J$26*AQ539-AT539</f>
        <v>1739.03539869402</v>
      </c>
      <c r="AW539" s="2" t="n">
        <f aca="false">IF(AC539&gt;Hypothèses!$J$26,MAX(0,AV539)/(1-Hypothèses!$J$26/AC539),0)</f>
        <v>2687.52926560893</v>
      </c>
      <c r="AX539" s="2" t="n">
        <f aca="false">AQ539-Entrées!$C$17*1000</f>
        <v>52.7858605065676</v>
      </c>
      <c r="AY539" s="2" t="n">
        <f aca="false">AI539+(Entrées!$C$244-Entrées!$C$13)</f>
        <v>28513.4743827265</v>
      </c>
      <c r="AZ539" s="2" t="n">
        <f aca="false">AA539*AH539</f>
        <v>5589.74308418898</v>
      </c>
      <c r="BA539" s="2" t="n">
        <f aca="false">AZ539/AY539</f>
        <v>0.196038652082864</v>
      </c>
      <c r="BB539" s="2" t="n">
        <f aca="false">AZ539/(Entrées!$C$151/100)-AY539</f>
        <v>2540.65386276786</v>
      </c>
      <c r="BC539" s="2" t="n">
        <f aca="false">AT539+(Entrées!$C$244-Entrées!$C$13)</f>
        <v>28166.3221828257</v>
      </c>
      <c r="BD539" s="2" t="n">
        <f aca="false">AA539*AQ539</f>
        <v>5975.91360903045</v>
      </c>
      <c r="BE539" s="2" t="n">
        <f aca="false">BD539/BC539</f>
        <v>0.212165208160341</v>
      </c>
      <c r="BF539" s="2" t="n">
        <f aca="false">BD539/(Entrées!$C$151/100)-BC539</f>
        <v>5033.19786734349</v>
      </c>
      <c r="BG539" s="2" t="n">
        <f aca="false">MIN(AV539,BF539)</f>
        <v>1739.03539869402</v>
      </c>
      <c r="BH539" s="2" t="n">
        <f aca="false">IF(AC539&gt;Hypothèses!$J$26,MAX(0,BG539)/(1-Hypothèses!$J$26/AC539),0)</f>
        <v>2687.52926560893</v>
      </c>
    </row>
    <row r="540" customFormat="false" ht="15" hidden="false" customHeight="false" outlineLevel="0" collapsed="false">
      <c r="A540" s="2" t="n">
        <v>525</v>
      </c>
      <c r="B540" s="2" t="n">
        <v>0.007142012</v>
      </c>
      <c r="C540" s="2"/>
      <c r="D540" s="2" t="n">
        <v>0.291845506</v>
      </c>
      <c r="E540" s="2" t="n">
        <f aca="false">IF(E$7=E$5,E$6,IF(NORMSDIST(E$9*SQRT($C$11)*NORMSINV($B540)+SQRT(1-E$9^2*$C$11)*NORMSINV(D540))&lt;E$8,E$5+SQRT(NORMSDIST(E$9*SQRT($C$11)*NORMSINV($B540)+SQRT(1-E$9^2*$C$11)*NORMSINV(D540))*(E$7-E$5)*(E$6-E$5)),E$7-SQRT((1-NORMSDIST(E$9*SQRT($C$11)*NORMSINV($B540)+SQRT(1-E$9^2*$C$11)*NORMSINV(D540)))*(E$7-E$5)*(E$7-E$6))))</f>
        <v>0.0510997647285045</v>
      </c>
      <c r="F540" s="2" t="n">
        <v>0.567706076</v>
      </c>
      <c r="G540" s="2" t="n">
        <f aca="false">IF(G$7=G$5,G$6,IF(NORMSDIST(G$9*SQRT($C$11)*NORMSINV($B540)+SQRT(1-G$9^2*$C$11)*NORMSINV(F540))&lt;G$8,G$5+SQRT(NORMSDIST(G$9*SQRT($C$11)*NORMSINV($B540)+SQRT(1-G$9^2*$C$11)*NORMSINV(F540))*(G$7-G$5)*(G$6-G$5)),G$7-SQRT((1-NORMSDIST(G$9*SQRT($C$11)*NORMSINV($B540)+SQRT(1-G$9^2*$C$11)*NORMSINV(F540)))*(G$7-G$5)*(G$7-G$6))))</f>
        <v>0.0459312267802273</v>
      </c>
      <c r="H540" s="2" t="n">
        <v>0.472860198</v>
      </c>
      <c r="I540" s="2" t="n">
        <f aca="false">IF(I$7=I$5,I$6,IF(NORMSDIST(I$9*SQRT($C$11)*NORMSINV($B540)+SQRT(1-I$9^2*$C$11)*NORMSINV(H540))&lt;I$8,I$5+SQRT(NORMSDIST(I$9*SQRT($C$11)*NORMSINV($B540)+SQRT(1-I$9^2*$C$11)*NORMSINV(H540))*(I$7-I$5)*(I$6-I$5)),I$7-SQRT((1-NORMSDIST(I$9*SQRT($C$11)*NORMSINV($B540)+SQRT(1-I$9^2*$C$11)*NORMSINV(H540)))*(I$7-I$5)*(I$7-I$6))))</f>
        <v>186.605883510958</v>
      </c>
      <c r="J540" s="2" t="n">
        <v>0.02442979</v>
      </c>
      <c r="K540" s="2" t="n">
        <f aca="false">IF(K$7=K$5,K$6,IF(NORMSDIST(K$9*SQRT($C$11)*NORMSINV($B540)+SQRT(1-K$9^2*$C$11)*NORMSINV(J540))&lt;K$8,K$5+SQRT(NORMSDIST(K$9*SQRT($C$11)*NORMSINV($B540)+SQRT(1-K$9^2*$C$11)*NORMSINV(J540))*(K$7-K$5)*(K$6-K$5)),K$7-SQRT((1-NORMSDIST(K$9*SQRT($C$11)*NORMSINV($B540)+SQRT(1-K$9^2*$C$11)*NORMSINV(J540)))*(K$7-K$5)*(K$7-K$6))))</f>
        <v>0.011463340895333</v>
      </c>
      <c r="L540" s="2" t="n">
        <v>0.32926798</v>
      </c>
      <c r="M540" s="2" t="n">
        <f aca="false">IF(M$7=M$5,M$6,IF(NORMSDIST(M$9*SQRT($C$11)*NORMSINV($B540)+SQRT(1-M$9^2*$C$11)*NORMSINV(L540))&lt;M$8,M$5+SQRT(NORMSDIST(M$9*SQRT($C$11)*NORMSINV($B540)+SQRT(1-M$9^2*$C$11)*NORMSINV(L540))*(M$7-M$5)*(M$6-M$5)),M$7-SQRT((1-NORMSDIST(M$9*SQRT($C$11)*NORMSINV($B540)+SQRT(1-M$9^2*$C$11)*NORMSINV(L540)))*(M$7-M$5)*(M$7-M$6))))</f>
        <v>1371.44861274287</v>
      </c>
      <c r="N540" s="2" t="n">
        <v>0.681308934</v>
      </c>
      <c r="O540" s="2" t="n">
        <f aca="false">IF(O$7=O$5,O$6,IF(NORMSDIST(O$9*SQRT($C$11)*NORMSINV($B540)+SQRT(1-O$9^2*$C$11)*NORMSINV(N540))&lt;O$8,O$5+SQRT(NORMSDIST(O$9*SQRT($C$11)*NORMSINV($B540)+SQRT(1-O$9^2*$C$11)*NORMSINV(N540))*(O$7-O$5)*(O$6-O$5)),O$7-SQRT((1-NORMSDIST(O$9*SQRT($C$11)*NORMSINV($B540)+SQRT(1-O$9^2*$C$11)*NORMSINV(N540)))*(O$7-O$5)*(O$7-O$6))))</f>
        <v>0.153018600119715</v>
      </c>
      <c r="P540" s="2" t="n">
        <v>0.036541098</v>
      </c>
      <c r="Q540" s="2" t="n">
        <f aca="false">IF(Q$7=Q$5,Q$6,IF(NORMSDIST(Q$9*SQRT($C$11)*NORMSINV($B540)+SQRT(1-Q$9^2*$C$11)*NORMSINV(P540))&lt;Q$8,Q$5+SQRT(NORMSDIST(Q$9*SQRT($C$11)*NORMSINV($B540)+SQRT(1-Q$9^2*$C$11)*NORMSINV(P540))*(Q$7-Q$5)*(Q$6-Q$5)),Q$7-SQRT((1-NORMSDIST(Q$9*SQRT($C$11)*NORMSINV($B540)+SQRT(1-Q$9^2*$C$11)*NORMSINV(P540)))*(Q$7-Q$5)*(Q$7-Q$6))))</f>
        <v>0.0508134875780203</v>
      </c>
      <c r="R540" s="2" t="n">
        <v>0.269431156</v>
      </c>
      <c r="S540" s="2" t="n">
        <f aca="false">IF(S$7=S$5,S$6,IF(NORMSDIST(S$9*SQRT($C$11)*NORMSINV($B540)+SQRT(1-S$9^2*$C$11)*NORMSINV(R540))&lt;S$8,S$5+SQRT(NORMSDIST(S$9*SQRT($C$11)*NORMSINV($B540)+SQRT(1-S$9^2*$C$11)*NORMSINV(R540))*(S$7-S$5)*(S$6-S$5)),S$7-SQRT((1-NORMSDIST(S$9*SQRT($C$11)*NORMSINV($B540)+SQRT(1-S$9^2*$C$11)*NORMSINV(R540)))*(S$7-S$5)*(S$7-S$6))))</f>
        <v>0.103453039302226</v>
      </c>
      <c r="T540" s="2" t="n">
        <v>0.195596724</v>
      </c>
      <c r="U540" s="2" t="n">
        <f aca="false">IF(U$7=U$5,U$6,IF(NORMSDIST(U$9*SQRT($C$11)*NORMSINV($B540)+SQRT(1-U$9^2*$C$11)*NORMSINV(T540))&lt;U$8,U$5+SQRT(NORMSDIST(U$9*SQRT($C$11)*NORMSINV($B540)+SQRT(1-U$9^2*$C$11)*NORMSINV(T540))*(U$7-U$5)*(U$6-U$5)),U$7-SQRT((1-NORMSDIST(U$9*SQRT($C$11)*NORMSINV($B540)+SQRT(1-U$9^2*$C$11)*NORMSINV(T540)))*(U$7-U$5)*(U$7-U$6))))</f>
        <v>0.0819265159785421</v>
      </c>
      <c r="V540" s="2" t="n">
        <v>0.417626941</v>
      </c>
      <c r="W540" s="2" t="n">
        <f aca="false">IF(W$7=W$5,W$6,IF(NORMSDIST(W$9*SQRT($C$11)*NORMSINV($B540)+SQRT(1-W$9^2*$C$11)*NORMSINV(V540))&lt;W$8,W$5+SQRT(NORMSDIST(W$9*SQRT($C$11)*NORMSINV($B540)+SQRT(1-W$9^2*$C$11)*NORMSINV(V540))*(W$7-W$5)*(W$6-W$5)),W$7-SQRT((1-NORMSDIST(W$9*SQRT($C$11)*NORMSINV($B540)+SQRT(1-W$9^2*$C$11)*NORMSINV(V540)))*(W$7-W$5)*(W$7-W$6))))</f>
        <v>8.59041984915538</v>
      </c>
      <c r="X540" s="2" t="n">
        <v>0.432903338</v>
      </c>
      <c r="Y540" s="2" t="n">
        <f aca="false">IF(Y$7=Y$5,Y$6,IF(NORMSDIST(Y$9*SQRT($C$11)*NORMSINV($B540)+SQRT(1-Y$9^2*$C$11)*NORMSINV(X540))&lt;Y$8,Y$5+SQRT(NORMSDIST(Y$9*SQRT($C$11)*NORMSINV($B540)+SQRT(1-Y$9^2*$C$11)*NORMSINV(X540))*(Y$7-Y$5)*(Y$6-Y$5)),Y$7-SQRT((1-NORMSDIST(Y$9*SQRT($C$11)*NORMSINV($B540)+SQRT(1-Y$9^2*$C$11)*NORMSINV(X540)))*(Y$7-Y$5)*(Y$7-Y$6))))</f>
        <v>0.465243666265324</v>
      </c>
      <c r="Z540" s="2" t="n">
        <v>0.36347476</v>
      </c>
      <c r="AA540" s="2" t="n">
        <f aca="false">IF(AA$7=AA$5,AA$6,IF(NORMSDIST(AA$9*SQRT($C$11)*NORMSINV($B540)+SQRT(1-AA$9^2*$C$11)*NORMSINV(Z540))&lt;AA$8,AA$5+SQRT(NORMSDIST(AA$9*SQRT($C$11)*NORMSINV($B540)+SQRT(1-AA$9^2*$C$11)*NORMSINV(Z540))*(AA$7-AA$5)*(AA$6-AA$5)),AA$7-SQRT((1-NORMSDIST(AA$9*SQRT($C$11)*NORMSINV($B540)+SQRT(1-AA$9^2*$C$11)*NORMSINV(Z540)))*(AA$7-AA$5)*(AA$7-AA$6))))</f>
        <v>0.703901983831763</v>
      </c>
      <c r="AB540" s="2" t="n">
        <v>0.806347834</v>
      </c>
      <c r="AC540" s="2" t="n">
        <f aca="false">IF(AC$7=AC$5,AC$6,IF(NORMSDIST(AC$9*SQRT($C$11)*NORMSINV($B540)+SQRT(1-AC$9^2*$C$11)*NORMSINV(AB540))&lt;AC$8,AC$5+SQRT(NORMSDIST(AC$9*SQRT($C$11)*NORMSINV($B540)+SQRT(1-AC$9^2*$C$11)*NORMSINV(AB540))*(AC$7-AC$5)*(AC$6-AC$5)),AC$7-SQRT((1-NORMSDIST(AC$9*SQRT($C$11)*NORMSINV($B540)+SQRT(1-AC$9^2*$C$11)*NORMSINV(AB540)))*(AC$7-AC$5)*(AC$7-AC$6))))</f>
        <v>8.67942544924407</v>
      </c>
      <c r="AD540" s="2" t="n">
        <f aca="false">Entrées!$C$8*(1+E540)</f>
        <v>7410.25334133596</v>
      </c>
      <c r="AE540" s="2" t="n">
        <f aca="false">I540*Hypothèses!$J$24/12/Hypothèses!$J$19</f>
        <v>92.5745815544216</v>
      </c>
      <c r="AF540" s="2" t="n">
        <f aca="false">Entrées!$C$36*S540*1000</f>
        <v>51.7265196511128</v>
      </c>
      <c r="AG540" s="2" t="n">
        <f aca="false">-AF540/W540</f>
        <v>-6.02141927396001</v>
      </c>
      <c r="AH540" s="2" t="n">
        <f aca="false">AD540+AE540+AG540</f>
        <v>7496.80650361642</v>
      </c>
      <c r="AI540" s="2" t="n">
        <f aca="false">Entrées!$C$16-M540+Hypothèses!$J$22*1000-AF540+Hypothèses!$J$23</f>
        <v>23124.824867606</v>
      </c>
      <c r="AJ540" s="2" t="n">
        <f aca="false">AI540/AH540</f>
        <v>3.08462341350957</v>
      </c>
      <c r="AK540" s="2" t="n">
        <f aca="false">AI540/(AH540+I540*(12-Hypothèses!$J$24)/12/Hypothèses!$J$19)</f>
        <v>3.05765373789905</v>
      </c>
      <c r="AL540" s="2" t="n">
        <f aca="false">(AD540+AG540+I540/Hypothèses!$J$19)*(1+G540)</f>
        <v>7910.30591301428</v>
      </c>
      <c r="AM540" s="2" t="n">
        <f aca="false">Entrées!$C$54*K540/Hypothèses!$J$19</f>
        <v>1.16988206982683</v>
      </c>
      <c r="AN540" s="2" t="n">
        <f aca="false">Y540*1000/AC540</f>
        <v>53.6030488407322</v>
      </c>
      <c r="AO540" s="2" t="n">
        <f aca="false">(Entrées!$C$36*(1-S540)+MAX(0,Entrées!$C$30-Entrées!$C$35-Entrées!$C$36)*U540)*1000</f>
        <v>562.970602718846</v>
      </c>
      <c r="AP540" s="2" t="n">
        <f aca="false">-AO540/W540</f>
        <v>-65.5347017496704</v>
      </c>
      <c r="AQ540" s="2" t="n">
        <f aca="false">AL540+AM540+AN540+AP540</f>
        <v>7899.54414217517</v>
      </c>
      <c r="AR540" s="2" t="n">
        <f aca="false">O540*AQ540-Hypothèses!$J$25/Hypothèses!$J$19</f>
        <v>1189.64202395791</v>
      </c>
      <c r="AS540" s="2" t="n">
        <f aca="false">Entrées!$C$79*(1+Q540)+Hypothèses!$J$20</f>
        <v>1449.84402284824</v>
      </c>
      <c r="AT540" s="2" t="n">
        <f aca="false">AI540-AR540+AS540+Y540*1000-AO540+Hypothèses!$J$23</f>
        <v>23287.2999300428</v>
      </c>
      <c r="AU540" s="2" t="n">
        <f aca="false">AT540/AQ540</f>
        <v>2.94792959073593</v>
      </c>
      <c r="AV540" s="2" t="n">
        <f aca="false">Hypothèses!$J$26*AQ540-AT540</f>
        <v>411.332496482675</v>
      </c>
      <c r="AW540" s="2" t="n">
        <f aca="false">IF(AC540&gt;Hypothèses!$J$26,MAX(0,AV540)/(1-Hypothèses!$J$26/AC540),0)</f>
        <v>628.60755370035</v>
      </c>
      <c r="AX540" s="2" t="n">
        <f aca="false">AQ540-Entrées!$C$17*1000</f>
        <v>-100.455857824832</v>
      </c>
      <c r="AY540" s="2" t="n">
        <f aca="false">AI540+(Entrées!$C$244-Entrées!$C$13)</f>
        <v>28871.824867606</v>
      </c>
      <c r="AZ540" s="2" t="n">
        <f aca="false">AA540*AH540</f>
        <v>5277.01697029846</v>
      </c>
      <c r="BA540" s="2" t="n">
        <f aca="false">AZ540/AY540</f>
        <v>0.182773932527529</v>
      </c>
      <c r="BB540" s="2" t="n">
        <f aca="false">AZ540/(Entrées!$C$151/100)-AY540</f>
        <v>444.936078496517</v>
      </c>
      <c r="BC540" s="2" t="n">
        <f aca="false">AT540+(Entrées!$C$244-Entrées!$C$13)</f>
        <v>29034.2999300428</v>
      </c>
      <c r="BD540" s="2" t="n">
        <f aca="false">AA540*AQ540</f>
        <v>5560.50479304368</v>
      </c>
      <c r="BE540" s="2" t="n">
        <f aca="false">BD540/BC540</f>
        <v>0.191515028998169</v>
      </c>
      <c r="BF540" s="2" t="n">
        <f aca="false">BD540/(Entrées!$C$151/100)-BC540</f>
        <v>1857.39336464428</v>
      </c>
      <c r="BG540" s="2" t="n">
        <f aca="false">MIN(AV540,BF540)</f>
        <v>411.332496482675</v>
      </c>
      <c r="BH540" s="2" t="n">
        <f aca="false">IF(AC540&gt;Hypothèses!$J$26,MAX(0,BG540)/(1-Hypothèses!$J$26/AC540),0)</f>
        <v>628.60755370035</v>
      </c>
    </row>
    <row r="541" customFormat="false" ht="15" hidden="false" customHeight="false" outlineLevel="0" collapsed="false">
      <c r="A541" s="2" t="n">
        <v>526</v>
      </c>
      <c r="B541" s="2" t="n">
        <v>0.415598723</v>
      </c>
      <c r="C541" s="2"/>
      <c r="D541" s="2" t="n">
        <v>0.910234851</v>
      </c>
      <c r="E541" s="2" t="n">
        <f aca="false">IF(E$7=E$5,E$6,IF(NORMSDIST(E$9*SQRT($C$11)*NORMSINV($B541)+SQRT(1-E$9^2*$C$11)*NORMSINV(D541))&lt;E$8,E$5+SQRT(NORMSDIST(E$9*SQRT($C$11)*NORMSINV($B541)+SQRT(1-E$9^2*$C$11)*NORMSINV(D541))*(E$7-E$5)*(E$6-E$5)),E$7-SQRT((1-NORMSDIST(E$9*SQRT($C$11)*NORMSINV($B541)+SQRT(1-E$9^2*$C$11)*NORMSINV(D541)))*(E$7-E$5)*(E$7-E$6))))</f>
        <v>0.056976979561284</v>
      </c>
      <c r="F541" s="2" t="n">
        <v>0.215762815</v>
      </c>
      <c r="G541" s="2" t="n">
        <f aca="false">IF(G$7=G$5,G$6,IF(NORMSDIST(G$9*SQRT($C$11)*NORMSINV($B541)+SQRT(1-G$9^2*$C$11)*NORMSINV(F541))&lt;G$8,G$5+SQRT(NORMSDIST(G$9*SQRT($C$11)*NORMSINV($B541)+SQRT(1-G$9^2*$C$11)*NORMSINV(F541))*(G$7-G$5)*(G$6-G$5)),G$7-SQRT((1-NORMSDIST(G$9*SQRT($C$11)*NORMSINV($B541)+SQRT(1-G$9^2*$C$11)*NORMSINV(F541)))*(G$7-G$5)*(G$7-G$6))))</f>
        <v>0.0501382034627255</v>
      </c>
      <c r="H541" s="2" t="n">
        <v>0.42742487</v>
      </c>
      <c r="I541" s="2" t="n">
        <f aca="false">IF(I$7=I$5,I$6,IF(NORMSDIST(I$9*SQRT($C$11)*NORMSINV($B541)+SQRT(1-I$9^2*$C$11)*NORMSINV(H541))&lt;I$8,I$5+SQRT(NORMSDIST(I$9*SQRT($C$11)*NORMSINV($B541)+SQRT(1-I$9^2*$C$11)*NORMSINV(H541))*(I$7-I$5)*(I$6-I$5)),I$7-SQRT((1-NORMSDIST(I$9*SQRT($C$11)*NORMSINV($B541)+SQRT(1-I$9^2*$C$11)*NORMSINV(H541)))*(I$7-I$5)*(I$7-I$6))))</f>
        <v>197.687850044691</v>
      </c>
      <c r="J541" s="2" t="n">
        <v>0.790709783</v>
      </c>
      <c r="K541" s="2" t="n">
        <f aca="false">IF(K$7=K$5,K$6,IF(NORMSDIST(K$9*SQRT($C$11)*NORMSINV($B541)+SQRT(1-K$9^2*$C$11)*NORMSINV(J541))&lt;K$8,K$5+SQRT(NORMSDIST(K$9*SQRT($C$11)*NORMSINV($B541)+SQRT(1-K$9^2*$C$11)*NORMSINV(J541))*(K$7-K$5)*(K$6-K$5)),K$7-SQRT((1-NORMSDIST(K$9*SQRT($C$11)*NORMSINV($B541)+SQRT(1-K$9^2*$C$11)*NORMSINV(J541)))*(K$7-K$5)*(K$7-K$6))))</f>
        <v>0.302689771651318</v>
      </c>
      <c r="L541" s="2" t="n">
        <v>0.29786825</v>
      </c>
      <c r="M541" s="2" t="n">
        <f aca="false">IF(M$7=M$5,M$6,IF(NORMSDIST(M$9*SQRT($C$11)*NORMSINV($B541)+SQRT(1-M$9^2*$C$11)*NORMSINV(L541))&lt;M$8,M$5+SQRT(NORMSDIST(M$9*SQRT($C$11)*NORMSINV($B541)+SQRT(1-M$9^2*$C$11)*NORMSINV(L541))*(M$7-M$5)*(M$6-M$5)),M$7-SQRT((1-NORMSDIST(M$9*SQRT($C$11)*NORMSINV($B541)+SQRT(1-M$9^2*$C$11)*NORMSINV(L541)))*(M$7-M$5)*(M$7-M$6))))</f>
        <v>1519.04491912177</v>
      </c>
      <c r="N541" s="2" t="n">
        <v>0.495147613</v>
      </c>
      <c r="O541" s="2" t="n">
        <f aca="false">IF(O$7=O$5,O$6,IF(NORMSDIST(O$9*SQRT($C$11)*NORMSINV($B541)+SQRT(1-O$9^2*$C$11)*NORMSINV(N541))&lt;O$8,O$5+SQRT(NORMSDIST(O$9*SQRT($C$11)*NORMSINV($B541)+SQRT(1-O$9^2*$C$11)*NORMSINV(N541))*(O$7-O$5)*(O$6-O$5)),O$7-SQRT((1-NORMSDIST(O$9*SQRT($C$11)*NORMSINV($B541)+SQRT(1-O$9^2*$C$11)*NORMSINV(N541)))*(O$7-O$5)*(O$7-O$6))))</f>
        <v>0.165201790781483</v>
      </c>
      <c r="P541" s="2" t="n">
        <v>0.796948468</v>
      </c>
      <c r="Q541" s="2" t="n">
        <f aca="false">IF(Q$7=Q$5,Q$6,IF(NORMSDIST(Q$9*SQRT($C$11)*NORMSINV($B541)+SQRT(1-Q$9^2*$C$11)*NORMSINV(P541))&lt;Q$8,Q$5+SQRT(NORMSDIST(Q$9*SQRT($C$11)*NORMSINV($B541)+SQRT(1-Q$9^2*$C$11)*NORMSINV(P541))*(Q$7-Q$5)*(Q$6-Q$5)),Q$7-SQRT((1-NORMSDIST(Q$9*SQRT($C$11)*NORMSINV($B541)+SQRT(1-Q$9^2*$C$11)*NORMSINV(P541)))*(Q$7-Q$5)*(Q$7-Q$6))))</f>
        <v>0.094509513492285</v>
      </c>
      <c r="R541" s="2" t="n">
        <v>0.874355271</v>
      </c>
      <c r="S541" s="2" t="n">
        <f aca="false">IF(S$7=S$5,S$6,IF(NORMSDIST(S$9*SQRT($C$11)*NORMSINV($B541)+SQRT(1-S$9^2*$C$11)*NORMSINV(R541))&lt;S$8,S$5+SQRT(NORMSDIST(S$9*SQRT($C$11)*NORMSINV($B541)+SQRT(1-S$9^2*$C$11)*NORMSINV(R541))*(S$7-S$5)*(S$6-S$5)),S$7-SQRT((1-NORMSDIST(S$9*SQRT($C$11)*NORMSINV($B541)+SQRT(1-S$9^2*$C$11)*NORMSINV(R541)))*(S$7-S$5)*(S$7-S$6))))</f>
        <v>0.664232571640323</v>
      </c>
      <c r="T541" s="2" t="n">
        <v>0.262931932</v>
      </c>
      <c r="U541" s="2" t="n">
        <f aca="false">IF(U$7=U$5,U$6,IF(NORMSDIST(U$9*SQRT($C$11)*NORMSINV($B541)+SQRT(1-U$9^2*$C$11)*NORMSINV(T541))&lt;U$8,U$5+SQRT(NORMSDIST(U$9*SQRT($C$11)*NORMSINV($B541)+SQRT(1-U$9^2*$C$11)*NORMSINV(T541))*(U$7-U$5)*(U$6-U$5)),U$7-SQRT((1-NORMSDIST(U$9*SQRT($C$11)*NORMSINV($B541)+SQRT(1-U$9^2*$C$11)*NORMSINV(T541)))*(U$7-U$5)*(U$7-U$6))))</f>
        <v>0.364418552016013</v>
      </c>
      <c r="V541" s="2" t="n">
        <v>0.554250404</v>
      </c>
      <c r="W541" s="2" t="n">
        <f aca="false">IF(W$7=W$5,W$6,IF(NORMSDIST(W$9*SQRT($C$11)*NORMSINV($B541)+SQRT(1-W$9^2*$C$11)*NORMSINV(V541))&lt;W$8,W$5+SQRT(NORMSDIST(W$9*SQRT($C$11)*NORMSINV($B541)+SQRT(1-W$9^2*$C$11)*NORMSINV(V541))*(W$7-W$5)*(W$6-W$5)),W$7-SQRT((1-NORMSDIST(W$9*SQRT($C$11)*NORMSINV($B541)+SQRT(1-W$9^2*$C$11)*NORMSINV(V541)))*(W$7-W$5)*(W$7-W$6))))</f>
        <v>9.97660227299584</v>
      </c>
      <c r="X541" s="2" t="n">
        <v>0.05788015</v>
      </c>
      <c r="Y541" s="2" t="n">
        <f aca="false">IF(Y$7=Y$5,Y$6,IF(NORMSDIST(Y$9*SQRT($C$11)*NORMSINV($B541)+SQRT(1-Y$9^2*$C$11)*NORMSINV(X541))&lt;Y$8,Y$5+SQRT(NORMSDIST(Y$9*SQRT($C$11)*NORMSINV($B541)+SQRT(1-Y$9^2*$C$11)*NORMSINV(X541))*(Y$7-Y$5)*(Y$6-Y$5)),Y$7-SQRT((1-NORMSDIST(Y$9*SQRT($C$11)*NORMSINV($B541)+SQRT(1-Y$9^2*$C$11)*NORMSINV(X541)))*(Y$7-Y$5)*(Y$7-Y$6))))</f>
        <v>0.170117826814241</v>
      </c>
      <c r="Z541" s="2" t="n">
        <v>0.501551018</v>
      </c>
      <c r="AA541" s="2" t="n">
        <f aca="false">IF(AA$7=AA$5,AA$6,IF(NORMSDIST(AA$9*SQRT($C$11)*NORMSINV($B541)+SQRT(1-AA$9^2*$C$11)*NORMSINV(Z541))&lt;AA$8,AA$5+SQRT(NORMSDIST(AA$9*SQRT($C$11)*NORMSINV($B541)+SQRT(1-AA$9^2*$C$11)*NORMSINV(Z541))*(AA$7-AA$5)*(AA$6-AA$5)),AA$7-SQRT((1-NORMSDIST(AA$9*SQRT($C$11)*NORMSINV($B541)+SQRT(1-AA$9^2*$C$11)*NORMSINV(Z541)))*(AA$7-AA$5)*(AA$7-AA$6))))</f>
        <v>0.726287666177169</v>
      </c>
      <c r="AB541" s="2" t="n">
        <v>0.647959617</v>
      </c>
      <c r="AC541" s="2" t="n">
        <f aca="false">IF(AC$7=AC$5,AC$6,IF(NORMSDIST(AC$9*SQRT($C$11)*NORMSINV($B541)+SQRT(1-AC$9^2*$C$11)*NORMSINV(AB541))&lt;AC$8,AC$5+SQRT(NORMSDIST(AC$9*SQRT($C$11)*NORMSINV($B541)+SQRT(1-AC$9^2*$C$11)*NORMSINV(AB541))*(AC$7-AC$5)*(AC$6-AC$5)),AC$7-SQRT((1-NORMSDIST(AC$9*SQRT($C$11)*NORMSINV($B541)+SQRT(1-AC$9^2*$C$11)*NORMSINV(AB541)))*(AC$7-AC$5)*(AC$7-AC$6))))</f>
        <v>9.60614349985622</v>
      </c>
      <c r="AD541" s="2" t="n">
        <f aca="false">Entrées!$C$8*(1+E541)</f>
        <v>7451.68770590705</v>
      </c>
      <c r="AE541" s="2" t="n">
        <f aca="false">I541*Hypothèses!$J$24/12/Hypothèses!$J$19</f>
        <v>98.0723096825928</v>
      </c>
      <c r="AF541" s="2" t="n">
        <f aca="false">Entrées!$C$36*S541*1000</f>
        <v>332.116285820162</v>
      </c>
      <c r="AG541" s="2" t="n">
        <f aca="false">-AF541/W541</f>
        <v>-33.2895184885858</v>
      </c>
      <c r="AH541" s="2" t="n">
        <f aca="false">AD541+AE541+AG541</f>
        <v>7516.47049710106</v>
      </c>
      <c r="AI541" s="2" t="n">
        <f aca="false">Entrées!$C$16-M541+Hypothèses!$J$22*1000-AF541+Hypothèses!$J$23</f>
        <v>22696.8387950581</v>
      </c>
      <c r="AJ541" s="2" t="n">
        <f aca="false">AI541/AH541</f>
        <v>3.01961390040868</v>
      </c>
      <c r="AK541" s="2" t="n">
        <f aca="false">AI541/(AH541+I541*(12-Hypothèses!$J$24)/12/Hypothèses!$J$19)</f>
        <v>2.99173169940711</v>
      </c>
      <c r="AL541" s="2" t="n">
        <f aca="false">(AD541+AG541+I541/Hypothèses!$J$19)*(1+G541)</f>
        <v>7966.8967378488</v>
      </c>
      <c r="AM541" s="2" t="n">
        <f aca="false">Entrées!$C$54*K541/Hypothèses!$J$19</f>
        <v>30.8907621092398</v>
      </c>
      <c r="AN541" s="2" t="n">
        <f aca="false">Y541*1000/AC541</f>
        <v>17.7092739471138</v>
      </c>
      <c r="AO541" s="2" t="n">
        <f aca="false">(Entrées!$C$36*(1-S541)+MAX(0,Entrées!$C$30-Entrées!$C$35-Entrées!$C$36)*U541)*1000</f>
        <v>678.069687002257</v>
      </c>
      <c r="AP541" s="2" t="n">
        <f aca="false">-AO541/W541</f>
        <v>-67.9659936767873</v>
      </c>
      <c r="AQ541" s="2" t="n">
        <f aca="false">AL541+AM541+AN541+AP541</f>
        <v>7947.53078022837</v>
      </c>
      <c r="AR541" s="2" t="n">
        <f aca="false">O541*AQ541-Hypothèses!$J$25/Hypothèses!$J$19</f>
        <v>1293.81115492305</v>
      </c>
      <c r="AS541" s="2" t="n">
        <f aca="false">Entrées!$C$79*(1+Q541)+Hypothèses!$J$20</f>
        <v>1497.86595532802</v>
      </c>
      <c r="AT541" s="2" t="n">
        <f aca="false">AI541-AR541+AS541+Y541*1000-AO541+Hypothèses!$J$23</f>
        <v>22392.941735275</v>
      </c>
      <c r="AU541" s="2" t="n">
        <f aca="false">AT541/AQ541</f>
        <v>2.81759735879017</v>
      </c>
      <c r="AV541" s="2" t="n">
        <f aca="false">Hypothèses!$J$26*AQ541-AT541</f>
        <v>1449.65060541008</v>
      </c>
      <c r="AW541" s="2" t="n">
        <f aca="false">IF(AC541&gt;Hypothèses!$J$26,MAX(0,AV541)/(1-Hypothèses!$J$26/AC541),0)</f>
        <v>2107.96991323694</v>
      </c>
      <c r="AX541" s="2" t="n">
        <f aca="false">AQ541-Entrées!$C$17*1000</f>
        <v>-52.4692197716349</v>
      </c>
      <c r="AY541" s="2" t="n">
        <f aca="false">AI541+(Entrées!$C$244-Entrées!$C$13)</f>
        <v>28443.8387950581</v>
      </c>
      <c r="AZ541" s="2" t="n">
        <f aca="false">AA541*AH541</f>
        <v>5459.11981522907</v>
      </c>
      <c r="BA541" s="2" t="n">
        <f aca="false">AZ541/AY541</f>
        <v>0.191926267567568</v>
      </c>
      <c r="BB541" s="2" t="n">
        <f aca="false">AZ541/(Entrées!$C$151/100)-AY541</f>
        <v>1884.60462288123</v>
      </c>
      <c r="BC541" s="2" t="n">
        <f aca="false">AT541+(Entrées!$C$244-Entrées!$C$13)</f>
        <v>28139.941735275</v>
      </c>
      <c r="BD541" s="2" t="n">
        <f aca="false">AA541*AQ541</f>
        <v>5772.19358224327</v>
      </c>
      <c r="BE541" s="2" t="n">
        <f aca="false">BD541/BC541</f>
        <v>0.205124574760846</v>
      </c>
      <c r="BF541" s="2" t="n">
        <f aca="false">BD541/(Entrées!$C$151/100)-BC541</f>
        <v>3927.80038829873</v>
      </c>
      <c r="BG541" s="2" t="n">
        <f aca="false">MIN(AV541,BF541)</f>
        <v>1449.65060541008</v>
      </c>
      <c r="BH541" s="2" t="n">
        <f aca="false">IF(AC541&gt;Hypothèses!$J$26,MAX(0,BG541)/(1-Hypothèses!$J$26/AC541),0)</f>
        <v>2107.96991323694</v>
      </c>
    </row>
    <row r="542" customFormat="false" ht="15" hidden="false" customHeight="false" outlineLevel="0" collapsed="false">
      <c r="A542" s="2" t="n">
        <v>527</v>
      </c>
      <c r="B542" s="2" t="n">
        <v>0.99755803</v>
      </c>
      <c r="C542" s="2"/>
      <c r="D542" s="2" t="n">
        <v>0.907094188</v>
      </c>
      <c r="E542" s="2" t="n">
        <f aca="false">IF(E$7=E$5,E$6,IF(NORMSDIST(E$9*SQRT($C$11)*NORMSINV($B542)+SQRT(1-E$9^2*$C$11)*NORMSINV(D542))&lt;E$8,E$5+SQRT(NORMSDIST(E$9*SQRT($C$11)*NORMSINV($B542)+SQRT(1-E$9^2*$C$11)*NORMSINV(D542))*(E$7-E$5)*(E$6-E$5)),E$7-SQRT((1-NORMSDIST(E$9*SQRT($C$11)*NORMSINV($B542)+SQRT(1-E$9^2*$C$11)*NORMSINV(D542)))*(E$7-E$5)*(E$7-E$6))))</f>
        <v>0.0596453016730846</v>
      </c>
      <c r="F542" s="2" t="n">
        <v>0.575180171</v>
      </c>
      <c r="G542" s="2" t="n">
        <f aca="false">IF(G$7=G$5,G$6,IF(NORMSDIST(G$9*SQRT($C$11)*NORMSINV($B542)+SQRT(1-G$9^2*$C$11)*NORMSINV(F542))&lt;G$8,G$5+SQRT(NORMSDIST(G$9*SQRT($C$11)*NORMSINV($B542)+SQRT(1-G$9^2*$C$11)*NORMSINV(F542))*(G$7-G$5)*(G$6-G$5)),G$7-SQRT((1-NORMSDIST(G$9*SQRT($C$11)*NORMSINV($B542)+SQRT(1-G$9^2*$C$11)*NORMSINV(F542)))*(G$7-G$5)*(G$7-G$6))))</f>
        <v>0.0665147716891516</v>
      </c>
      <c r="H542" s="2" t="n">
        <v>0.205485721</v>
      </c>
      <c r="I542" s="2" t="n">
        <f aca="false">IF(I$7=I$5,I$6,IF(NORMSDIST(I$9*SQRT($C$11)*NORMSINV($B542)+SQRT(1-I$9^2*$C$11)*NORMSINV(H542))&lt;I$8,I$5+SQRT(NORMSDIST(I$9*SQRT($C$11)*NORMSINV($B542)+SQRT(1-I$9^2*$C$11)*NORMSINV(H542))*(I$7-I$5)*(I$6-I$5)),I$7-SQRT((1-NORMSDIST(I$9*SQRT($C$11)*NORMSINV($B542)+SQRT(1-I$9^2*$C$11)*NORMSINV(H542)))*(I$7-I$5)*(I$7-I$6))))</f>
        <v>209.941404403506</v>
      </c>
      <c r="J542" s="2" t="n">
        <v>0.578232529</v>
      </c>
      <c r="K542" s="2" t="n">
        <f aca="false">IF(K$7=K$5,K$6,IF(NORMSDIST(K$9*SQRT($C$11)*NORMSINV($B542)+SQRT(1-K$9^2*$C$11)*NORMSINV(J542))&lt;K$8,K$5+SQRT(NORMSDIST(K$9*SQRT($C$11)*NORMSINV($B542)+SQRT(1-K$9^2*$C$11)*NORMSINV(J542))*(K$7-K$5)*(K$6-K$5)),K$7-SQRT((1-NORMSDIST(K$9*SQRT($C$11)*NORMSINV($B542)+SQRT(1-K$9^2*$C$11)*NORMSINV(J542)))*(K$7-K$5)*(K$7-K$6))))</f>
        <v>0.44231681288206</v>
      </c>
      <c r="L542" s="2" t="n">
        <v>0.772411914</v>
      </c>
      <c r="M542" s="2" t="n">
        <f aca="false">IF(M$7=M$5,M$6,IF(NORMSDIST(M$9*SQRT($C$11)*NORMSINV($B542)+SQRT(1-M$9^2*$C$11)*NORMSINV(L542))&lt;M$8,M$5+SQRT(NORMSDIST(M$9*SQRT($C$11)*NORMSINV($B542)+SQRT(1-M$9^2*$C$11)*NORMSINV(L542))*(M$7-M$5)*(M$6-M$5)),M$7-SQRT((1-NORMSDIST(M$9*SQRT($C$11)*NORMSINV($B542)+SQRT(1-M$9^2*$C$11)*NORMSINV(L542)))*(M$7-M$5)*(M$7-M$6))))</f>
        <v>1764.87758966509</v>
      </c>
      <c r="N542" s="2" t="n">
        <v>0.917820623</v>
      </c>
      <c r="O542" s="2" t="n">
        <f aca="false">IF(O$7=O$5,O$6,IF(NORMSDIST(O$9*SQRT($C$11)*NORMSINV($B542)+SQRT(1-O$9^2*$C$11)*NORMSINV(N542))&lt;O$8,O$5+SQRT(NORMSDIST(O$9*SQRT($C$11)*NORMSINV($B542)+SQRT(1-O$9^2*$C$11)*NORMSINV(N542))*(O$7-O$5)*(O$6-O$5)),O$7-SQRT((1-NORMSDIST(O$9*SQRT($C$11)*NORMSINV($B542)+SQRT(1-O$9^2*$C$11)*NORMSINV(N542)))*(O$7-O$5)*(O$7-O$6))))</f>
        <v>0.188491331260709</v>
      </c>
      <c r="P542" s="2" t="n">
        <v>0.937235554</v>
      </c>
      <c r="Q542" s="2" t="n">
        <f aca="false">IF(Q$7=Q$5,Q$6,IF(NORMSDIST(Q$9*SQRT($C$11)*NORMSINV($B542)+SQRT(1-Q$9^2*$C$11)*NORMSINV(P542))&lt;Q$8,Q$5+SQRT(NORMSDIST(Q$9*SQRT($C$11)*NORMSINV($B542)+SQRT(1-Q$9^2*$C$11)*NORMSINV(P542))*(Q$7-Q$5)*(Q$6-Q$5)),Q$7-SQRT((1-NORMSDIST(Q$9*SQRT($C$11)*NORMSINV($B542)+SQRT(1-Q$9^2*$C$11)*NORMSINV(P542)))*(Q$7-Q$5)*(Q$7-Q$6))))</f>
        <v>0.105827977307385</v>
      </c>
      <c r="R542" s="2" t="n">
        <v>0.955386962</v>
      </c>
      <c r="S542" s="2" t="n">
        <f aca="false">IF(S$7=S$5,S$6,IF(NORMSDIST(S$9*SQRT($C$11)*NORMSINV($B542)+SQRT(1-S$9^2*$C$11)*NORMSINV(R542))&lt;S$8,S$5+SQRT(NORMSDIST(S$9*SQRT($C$11)*NORMSINV($B542)+SQRT(1-S$9^2*$C$11)*NORMSINV(R542))*(S$7-S$5)*(S$6-S$5)),S$7-SQRT((1-NORMSDIST(S$9*SQRT($C$11)*NORMSINV($B542)+SQRT(1-S$9^2*$C$11)*NORMSINV(R542)))*(S$7-S$5)*(S$7-S$6))))</f>
        <v>0.977875205001001</v>
      </c>
      <c r="T542" s="2" t="n">
        <v>0.448054088</v>
      </c>
      <c r="U542" s="2" t="n">
        <f aca="false">IF(U$7=U$5,U$6,IF(NORMSDIST(U$9*SQRT($C$11)*NORMSINV($B542)+SQRT(1-U$9^2*$C$11)*NORMSINV(T542))&lt;U$8,U$5+SQRT(NORMSDIST(U$9*SQRT($C$11)*NORMSINV($B542)+SQRT(1-U$9^2*$C$11)*NORMSINV(T542))*(U$7-U$5)*(U$6-U$5)),U$7-SQRT((1-NORMSDIST(U$9*SQRT($C$11)*NORMSINV($B542)+SQRT(1-U$9^2*$C$11)*NORMSINV(T542)))*(U$7-U$5)*(U$7-U$6))))</f>
        <v>0.847389068198473</v>
      </c>
      <c r="V542" s="2" t="n">
        <v>0.051671299</v>
      </c>
      <c r="W542" s="2" t="n">
        <f aca="false">IF(W$7=W$5,W$6,IF(NORMSDIST(W$9*SQRT($C$11)*NORMSINV($B542)+SQRT(1-W$9^2*$C$11)*NORMSINV(V542))&lt;W$8,W$5+SQRT(NORMSDIST(W$9*SQRT($C$11)*NORMSINV($B542)+SQRT(1-W$9^2*$C$11)*NORMSINV(V542))*(W$7-W$5)*(W$6-W$5)),W$7-SQRT((1-NORMSDIST(W$9*SQRT($C$11)*NORMSINV($B542)+SQRT(1-W$9^2*$C$11)*NORMSINV(V542)))*(W$7-W$5)*(W$7-W$6))))</f>
        <v>10.4454150056264</v>
      </c>
      <c r="X542" s="2" t="n">
        <v>0.79237152</v>
      </c>
      <c r="Y542" s="2" t="n">
        <f aca="false">IF(Y$7=Y$5,Y$6,IF(NORMSDIST(Y$9*SQRT($C$11)*NORMSINV($B542)+SQRT(1-Y$9^2*$C$11)*NORMSINV(X542))&lt;Y$8,Y$5+SQRT(NORMSDIST(Y$9*SQRT($C$11)*NORMSINV($B542)+SQRT(1-Y$9^2*$C$11)*NORMSINV(X542))*(Y$7-Y$5)*(Y$6-Y$5)),Y$7-SQRT((1-NORMSDIST(Y$9*SQRT($C$11)*NORMSINV($B542)+SQRT(1-Y$9^2*$C$11)*NORMSINV(X542)))*(Y$7-Y$5)*(Y$7-Y$6))))</f>
        <v>0.6777978274437</v>
      </c>
      <c r="Z542" s="2" t="n">
        <v>0.305892508</v>
      </c>
      <c r="AA542" s="2" t="n">
        <f aca="false">IF(AA$7=AA$5,AA$6,IF(NORMSDIST(AA$9*SQRT($C$11)*NORMSINV($B542)+SQRT(1-AA$9^2*$C$11)*NORMSINV(Z542))&lt;AA$8,AA$5+SQRT(NORMSDIST(AA$9*SQRT($C$11)*NORMSINV($B542)+SQRT(1-AA$9^2*$C$11)*NORMSINV(Z542))*(AA$7-AA$5)*(AA$6-AA$5)),AA$7-SQRT((1-NORMSDIST(AA$9*SQRT($C$11)*NORMSINV($B542)+SQRT(1-AA$9^2*$C$11)*NORMSINV(Z542)))*(AA$7-AA$5)*(AA$7-AA$6))))</f>
        <v>0.743559366009625</v>
      </c>
      <c r="AB542" s="2" t="n">
        <v>0.374685198</v>
      </c>
      <c r="AC542" s="2" t="n">
        <f aca="false">IF(AC$7=AC$5,AC$6,IF(NORMSDIST(AC$9*SQRT($C$11)*NORMSINV($B542)+SQRT(1-AC$9^2*$C$11)*NORMSINV(AB542))&lt;AC$8,AC$5+SQRT(NORMSDIST(AC$9*SQRT($C$11)*NORMSINV($B542)+SQRT(1-AC$9^2*$C$11)*NORMSINV(AB542))*(AC$7-AC$5)*(AC$6-AC$5)),AC$7-SQRT((1-NORMSDIST(AC$9*SQRT($C$11)*NORMSINV($B542)+SQRT(1-AC$9^2*$C$11)*NORMSINV(AB542)))*(AC$7-AC$5)*(AC$7-AC$6))))</f>
        <v>10.4796292315183</v>
      </c>
      <c r="AD542" s="2" t="n">
        <f aca="false">Entrées!$C$8*(1+E542)</f>
        <v>7470.49937679525</v>
      </c>
      <c r="AE542" s="2" t="n">
        <f aca="false">I542*Hypothèses!$J$24/12/Hypothèses!$J$19</f>
        <v>104.151258780974</v>
      </c>
      <c r="AF542" s="2" t="n">
        <f aca="false">Entrées!$C$36*S542*1000</f>
        <v>488.9376025005</v>
      </c>
      <c r="AG542" s="2" t="n">
        <f aca="false">-AF542/W542</f>
        <v>-46.8088249473222</v>
      </c>
      <c r="AH542" s="2" t="n">
        <f aca="false">AD542+AE542+AG542</f>
        <v>7527.8418106289</v>
      </c>
      <c r="AI542" s="2" t="n">
        <f aca="false">Entrées!$C$16-M542+Hypothèses!$J$22*1000-AF542+Hypothèses!$J$23</f>
        <v>22294.1848078344</v>
      </c>
      <c r="AJ542" s="2" t="n">
        <f aca="false">AI542/AH542</f>
        <v>2.96156393408217</v>
      </c>
      <c r="AK542" s="2" t="n">
        <f aca="false">AI542/(AH542+I542*(12-Hypothèses!$J$24)/12/Hypothèses!$J$19)</f>
        <v>2.93258273985877</v>
      </c>
      <c r="AL542" s="2" t="n">
        <f aca="false">(AD542+AG542+I542/Hypothèses!$J$19)*(1+G542)</f>
        <v>8107.89652996059</v>
      </c>
      <c r="AM542" s="2" t="n">
        <f aca="false">Entrées!$C$54*K542/Hypothèses!$J$19</f>
        <v>45.1402879228985</v>
      </c>
      <c r="AN542" s="2" t="n">
        <f aca="false">Y542*1000/AC542</f>
        <v>64.6776534235745</v>
      </c>
      <c r="AO542" s="2" t="n">
        <f aca="false">(Entrées!$C$36*(1-S542)+MAX(0,Entrées!$C$30-Entrées!$C$35-Entrées!$C$36)*U542)*1000</f>
        <v>1197.40709297736</v>
      </c>
      <c r="AP542" s="2" t="n">
        <f aca="false">-AO542/W542</f>
        <v>-114.634707413001</v>
      </c>
      <c r="AQ542" s="2" t="n">
        <f aca="false">AL542+AM542+AN542+AP542</f>
        <v>8103.07976389407</v>
      </c>
      <c r="AR542" s="2" t="n">
        <f aca="false">O542*AQ542-Hypothèses!$J$25/Hypothèses!$J$19</f>
        <v>1508.22512974648</v>
      </c>
      <c r="AS542" s="2" t="n">
        <f aca="false">Entrées!$C$79*(1+Q542)+Hypothèses!$J$20</f>
        <v>1510.30494706082</v>
      </c>
      <c r="AT542" s="2" t="n">
        <f aca="false">AI542-AR542+AS542+Y542*1000-AO542+Hypothèses!$J$23</f>
        <v>21776.6553596151</v>
      </c>
      <c r="AU542" s="2" t="n">
        <f aca="false">AT542/AQ542</f>
        <v>2.68745415251225</v>
      </c>
      <c r="AV542" s="2" t="n">
        <f aca="false">Hypothèses!$J$26*AQ542-AT542</f>
        <v>2532.58393206712</v>
      </c>
      <c r="AW542" s="2" t="n">
        <f aca="false">IF(AC542&gt;Hypothèses!$J$26,MAX(0,AV542)/(1-Hypothèses!$J$26/AC542),0)</f>
        <v>3548.3765015952</v>
      </c>
      <c r="AX542" s="2" t="n">
        <f aca="false">AQ542-Entrées!$C$17*1000</f>
        <v>103.079763894065</v>
      </c>
      <c r="AY542" s="2" t="n">
        <f aca="false">AI542+(Entrées!$C$244-Entrées!$C$13)</f>
        <v>28041.1848078344</v>
      </c>
      <c r="AZ542" s="2" t="n">
        <f aca="false">AA542*AH542</f>
        <v>5597.39728413197</v>
      </c>
      <c r="BA542" s="2" t="n">
        <f aca="false">AZ542/AY542</f>
        <v>0.19961343725277</v>
      </c>
      <c r="BB542" s="2" t="n">
        <f aca="false">AZ542/(Entrées!$C$151/100)-AY542</f>
        <v>3055.46677067656</v>
      </c>
      <c r="BC542" s="2" t="n">
        <f aca="false">AT542+(Entrées!$C$244-Entrées!$C$13)</f>
        <v>27523.6553596151</v>
      </c>
      <c r="BD542" s="2" t="n">
        <f aca="false">AA542*AQ542</f>
        <v>6025.12085196649</v>
      </c>
      <c r="BE542" s="2" t="n">
        <f aca="false">BD542/BC542</f>
        <v>0.218907001023092</v>
      </c>
      <c r="BF542" s="2" t="n">
        <f aca="false">BD542/(Entrées!$C$151/100)-BC542</f>
        <v>5949.238262421</v>
      </c>
      <c r="BG542" s="2" t="n">
        <f aca="false">MIN(AV542,BF542)</f>
        <v>2532.58393206712</v>
      </c>
      <c r="BH542" s="2" t="n">
        <f aca="false">IF(AC542&gt;Hypothèses!$J$26,MAX(0,BG542)/(1-Hypothèses!$J$26/AC542),0)</f>
        <v>3548.3765015952</v>
      </c>
    </row>
    <row r="543" customFormat="false" ht="15" hidden="false" customHeight="false" outlineLevel="0" collapsed="false">
      <c r="A543" s="2" t="n">
        <v>528</v>
      </c>
      <c r="B543" s="2" t="n">
        <v>0.702302035</v>
      </c>
      <c r="C543" s="2"/>
      <c r="D543" s="2" t="n">
        <v>0.049104874</v>
      </c>
      <c r="E543" s="2" t="n">
        <f aca="false">IF(E$7=E$5,E$6,IF(NORMSDIST(E$9*SQRT($C$11)*NORMSINV($B543)+SQRT(1-E$9^2*$C$11)*NORMSINV(D543))&lt;E$8,E$5+SQRT(NORMSDIST(E$9*SQRT($C$11)*NORMSINV($B543)+SQRT(1-E$9^2*$C$11)*NORMSINV(D543))*(E$7-E$5)*(E$6-E$5)),E$7-SQRT((1-NORMSDIST(E$9*SQRT($C$11)*NORMSINV($B543)+SQRT(1-E$9^2*$C$11)*NORMSINV(D543)))*(E$7-E$5)*(E$7-E$6))))</f>
        <v>0.0529353506906219</v>
      </c>
      <c r="F543" s="2" t="n">
        <v>0.469985705</v>
      </c>
      <c r="G543" s="2" t="n">
        <f aca="false">IF(G$7=G$5,G$6,IF(NORMSDIST(G$9*SQRT($C$11)*NORMSINV($B543)+SQRT(1-G$9^2*$C$11)*NORMSINV(F543))&lt;G$8,G$5+SQRT(NORMSDIST(G$9*SQRT($C$11)*NORMSINV($B543)+SQRT(1-G$9^2*$C$11)*NORMSINV(F543))*(G$7-G$5)*(G$6-G$5)),G$7-SQRT((1-NORMSDIST(G$9*SQRT($C$11)*NORMSINV($B543)+SQRT(1-G$9^2*$C$11)*NORMSINV(F543)))*(G$7-G$5)*(G$7-G$6))))</f>
        <v>0.0567406579342668</v>
      </c>
      <c r="H543" s="2" t="n">
        <v>0.801441443</v>
      </c>
      <c r="I543" s="2" t="n">
        <f aca="false">IF(I$7=I$5,I$6,IF(NORMSDIST(I$9*SQRT($C$11)*NORMSINV($B543)+SQRT(1-I$9^2*$C$11)*NORMSINV(H543))&lt;I$8,I$5+SQRT(NORMSDIST(I$9*SQRT($C$11)*NORMSINV($B543)+SQRT(1-I$9^2*$C$11)*NORMSINV(H543))*(I$7-I$5)*(I$6-I$5)),I$7-SQRT((1-NORMSDIST(I$9*SQRT($C$11)*NORMSINV($B543)+SQRT(1-I$9^2*$C$11)*NORMSINV(H543)))*(I$7-I$5)*(I$7-I$6))))</f>
        <v>208.663150060782</v>
      </c>
      <c r="J543" s="2" t="n">
        <v>0.221199947</v>
      </c>
      <c r="K543" s="2" t="n">
        <f aca="false">IF(K$7=K$5,K$6,IF(NORMSDIST(K$9*SQRT($C$11)*NORMSINV($B543)+SQRT(1-K$9^2*$C$11)*NORMSINV(J543))&lt;K$8,K$5+SQRT(NORMSDIST(K$9*SQRT($C$11)*NORMSINV($B543)+SQRT(1-K$9^2*$C$11)*NORMSINV(J543))*(K$7-K$5)*(K$6-K$5)),K$7-SQRT((1-NORMSDIST(K$9*SQRT($C$11)*NORMSINV($B543)+SQRT(1-K$9^2*$C$11)*NORMSINV(J543)))*(K$7-K$5)*(K$7-K$6))))</f>
        <v>0.222979824515673</v>
      </c>
      <c r="L543" s="2" t="n">
        <v>0.74569715</v>
      </c>
      <c r="M543" s="2" t="n">
        <f aca="false">IF(M$7=M$5,M$6,IF(NORMSDIST(M$9*SQRT($C$11)*NORMSINV($B543)+SQRT(1-M$9^2*$C$11)*NORMSINV(L543))&lt;M$8,M$5+SQRT(NORMSDIST(M$9*SQRT($C$11)*NORMSINV($B543)+SQRT(1-M$9^2*$C$11)*NORMSINV(L543))*(M$7-M$5)*(M$6-M$5)),M$7-SQRT((1-NORMSDIST(M$9*SQRT($C$11)*NORMSINV($B543)+SQRT(1-M$9^2*$C$11)*NORMSINV(L543)))*(M$7-M$5)*(M$7-M$6))))</f>
        <v>1666.26991700247</v>
      </c>
      <c r="N543" s="2" t="n">
        <v>0.539065232</v>
      </c>
      <c r="O543" s="2" t="n">
        <f aca="false">IF(O$7=O$5,O$6,IF(NORMSDIST(O$9*SQRT($C$11)*NORMSINV($B543)+SQRT(1-O$9^2*$C$11)*NORMSINV(N543))&lt;O$8,O$5+SQRT(NORMSDIST(O$9*SQRT($C$11)*NORMSINV($B543)+SQRT(1-O$9^2*$C$11)*NORMSINV(N543))*(O$7-O$5)*(O$6-O$5)),O$7-SQRT((1-NORMSDIST(O$9*SQRT($C$11)*NORMSINV($B543)+SQRT(1-O$9^2*$C$11)*NORMSINV(N543)))*(O$7-O$5)*(O$7-O$6))))</f>
        <v>0.170962922106039</v>
      </c>
      <c r="P543" s="2" t="n">
        <v>0.422801478</v>
      </c>
      <c r="Q543" s="2" t="n">
        <f aca="false">IF(Q$7=Q$5,Q$6,IF(NORMSDIST(Q$9*SQRT($C$11)*NORMSINV($B543)+SQRT(1-Q$9^2*$C$11)*NORMSINV(P543))&lt;Q$8,Q$5+SQRT(NORMSDIST(Q$9*SQRT($C$11)*NORMSINV($B543)+SQRT(1-Q$9^2*$C$11)*NORMSINV(P543))*(Q$7-Q$5)*(Q$6-Q$5)),Q$7-SQRT((1-NORMSDIST(Q$9*SQRT($C$11)*NORMSINV($B543)+SQRT(1-Q$9^2*$C$11)*NORMSINV(P543)))*(Q$7-Q$5)*(Q$7-Q$6))))</f>
        <v>0.0767826688754364</v>
      </c>
      <c r="R543" s="2" t="n">
        <v>0.766044242</v>
      </c>
      <c r="S543" s="2" t="n">
        <f aca="false">IF(S$7=S$5,S$6,IF(NORMSDIST(S$9*SQRT($C$11)*NORMSINV($B543)+SQRT(1-S$9^2*$C$11)*NORMSINV(R543))&lt;S$8,S$5+SQRT(NORMSDIST(S$9*SQRT($C$11)*NORMSINV($B543)+SQRT(1-S$9^2*$C$11)*NORMSINV(R543))*(S$7-S$5)*(S$6-S$5)),S$7-SQRT((1-NORMSDIST(S$9*SQRT($C$11)*NORMSINV($B543)+SQRT(1-S$9^2*$C$11)*NORMSINV(R543)))*(S$7-S$5)*(S$7-S$6))))</f>
        <v>0.696223119782698</v>
      </c>
      <c r="T543" s="2" t="n">
        <v>0.283000142</v>
      </c>
      <c r="U543" s="2" t="n">
        <f aca="false">IF(U$7=U$5,U$6,IF(NORMSDIST(U$9*SQRT($C$11)*NORMSINV($B543)+SQRT(1-U$9^2*$C$11)*NORMSINV(T543))&lt;U$8,U$5+SQRT(NORMSDIST(U$9*SQRT($C$11)*NORMSINV($B543)+SQRT(1-U$9^2*$C$11)*NORMSINV(T543))*(U$7-U$5)*(U$6-U$5)),U$7-SQRT((1-NORMSDIST(U$9*SQRT($C$11)*NORMSINV($B543)+SQRT(1-U$9^2*$C$11)*NORMSINV(T543)))*(U$7-U$5)*(U$7-U$6))))</f>
        <v>0.477864879147722</v>
      </c>
      <c r="V543" s="2" t="n">
        <v>0.554305159</v>
      </c>
      <c r="W543" s="2" t="n">
        <f aca="false">IF(W$7=W$5,W$6,IF(NORMSDIST(W$9*SQRT($C$11)*NORMSINV($B543)+SQRT(1-W$9^2*$C$11)*NORMSINV(V543))&lt;W$8,W$5+SQRT(NORMSDIST(W$9*SQRT($C$11)*NORMSINV($B543)+SQRT(1-W$9^2*$C$11)*NORMSINV(V543))*(W$7-W$5)*(W$6-W$5)),W$7-SQRT((1-NORMSDIST(W$9*SQRT($C$11)*NORMSINV($B543)+SQRT(1-W$9^2*$C$11)*NORMSINV(V543)))*(W$7-W$5)*(W$7-W$6))))</f>
        <v>10.3767166814998</v>
      </c>
      <c r="X543" s="2" t="n">
        <v>0.182120037</v>
      </c>
      <c r="Y543" s="2" t="n">
        <f aca="false">IF(Y$7=Y$5,Y$6,IF(NORMSDIST(Y$9*SQRT($C$11)*NORMSINV($B543)+SQRT(1-Y$9^2*$C$11)*NORMSINV(X543))&lt;Y$8,Y$5+SQRT(NORMSDIST(Y$9*SQRT($C$11)*NORMSINV($B543)+SQRT(1-Y$9^2*$C$11)*NORMSINV(X543))*(Y$7-Y$5)*(Y$6-Y$5)),Y$7-SQRT((1-NORMSDIST(Y$9*SQRT($C$11)*NORMSINV($B543)+SQRT(1-Y$9^2*$C$11)*NORMSINV(X543)))*(Y$7-Y$5)*(Y$7-Y$6))))</f>
        <v>0.301761525877637</v>
      </c>
      <c r="Z543" s="2" t="n">
        <v>0.767999469</v>
      </c>
      <c r="AA543" s="2" t="n">
        <f aca="false">IF(AA$7=AA$5,AA$6,IF(NORMSDIST(AA$9*SQRT($C$11)*NORMSINV($B543)+SQRT(1-AA$9^2*$C$11)*NORMSINV(Z543))&lt;AA$8,AA$5+SQRT(NORMSDIST(AA$9*SQRT($C$11)*NORMSINV($B543)+SQRT(1-AA$9^2*$C$11)*NORMSINV(Z543))*(AA$7-AA$5)*(AA$6-AA$5)),AA$7-SQRT((1-NORMSDIST(AA$9*SQRT($C$11)*NORMSINV($B543)+SQRT(1-AA$9^2*$C$11)*NORMSINV(Z543)))*(AA$7-AA$5)*(AA$7-AA$6))))</f>
        <v>0.738523312816677</v>
      </c>
      <c r="AB543" s="2" t="n">
        <v>0.805846544</v>
      </c>
      <c r="AC543" s="2" t="n">
        <f aca="false">IF(AC$7=AC$5,AC$6,IF(NORMSDIST(AC$9*SQRT($C$11)*NORMSINV($B543)+SQRT(1-AC$9^2*$C$11)*NORMSINV(AB543))&lt;AC$8,AC$5+SQRT(NORMSDIST(AC$9*SQRT($C$11)*NORMSINV($B543)+SQRT(1-AC$9^2*$C$11)*NORMSINV(AB543))*(AC$7-AC$5)*(AC$6-AC$5)),AC$7-SQRT((1-NORMSDIST(AC$9*SQRT($C$11)*NORMSINV($B543)+SQRT(1-AC$9^2*$C$11)*NORMSINV(AB543)))*(AC$7-AC$5)*(AC$7-AC$6))))</f>
        <v>10.174699444655</v>
      </c>
      <c r="AD543" s="2" t="n">
        <f aca="false">Entrées!$C$8*(1+E543)</f>
        <v>7423.19422236888</v>
      </c>
      <c r="AE543" s="2" t="n">
        <f aca="false">I543*Hypothèses!$J$24/12/Hypothèses!$J$19</f>
        <v>103.517120892761</v>
      </c>
      <c r="AF543" s="2" t="n">
        <f aca="false">Entrées!$C$36*S543*1000</f>
        <v>348.111559891349</v>
      </c>
      <c r="AG543" s="2" t="n">
        <f aca="false">-AF543/W543</f>
        <v>-33.5473705774372</v>
      </c>
      <c r="AH543" s="2" t="n">
        <f aca="false">AD543+AE543+AG543</f>
        <v>7493.16397268421</v>
      </c>
      <c r="AI543" s="2" t="n">
        <f aca="false">Entrées!$C$16-M543+Hypothèses!$J$22*1000-AF543+Hypothèses!$J$23</f>
        <v>22533.6185231062</v>
      </c>
      <c r="AJ543" s="2" t="n">
        <f aca="false">AI543/AH543</f>
        <v>3.00722346464736</v>
      </c>
      <c r="AK543" s="2" t="n">
        <f aca="false">AI543/(AH543+I543*(12-Hypothèses!$J$24)/12/Hypothèses!$J$19)</f>
        <v>2.9778388430076</v>
      </c>
      <c r="AL543" s="2" t="n">
        <f aca="false">(AD543+AG543+I543/Hypothèses!$J$19)*(1+G543)</f>
        <v>7996.46727681771</v>
      </c>
      <c r="AM543" s="2" t="n">
        <f aca="false">Entrées!$C$54*K543/Hypothèses!$J$19</f>
        <v>22.7560273236069</v>
      </c>
      <c r="AN543" s="2" t="n">
        <f aca="false">Y543*1000/AC543</f>
        <v>29.6580284773089</v>
      </c>
      <c r="AO543" s="2" t="n">
        <f aca="false">(Entrées!$C$36*(1-S543)+MAX(0,Entrées!$C$30-Entrées!$C$35-Entrées!$C$36)*U543)*1000</f>
        <v>820.899270915462</v>
      </c>
      <c r="AP543" s="2" t="n">
        <f aca="false">-AO543/W543</f>
        <v>-79.1097315376266</v>
      </c>
      <c r="AQ543" s="2" t="n">
        <f aca="false">AL543+AM543+AN543+AP543</f>
        <v>7969.771601081</v>
      </c>
      <c r="AR543" s="2" t="n">
        <f aca="false">O543*AQ543-Hypothèses!$J$25/Hypothèses!$J$19</f>
        <v>1343.40027917691</v>
      </c>
      <c r="AS543" s="2" t="n">
        <f aca="false">Entrées!$C$79*(1+Q543)+Hypothèses!$J$20</f>
        <v>1478.3841530941</v>
      </c>
      <c r="AT543" s="2" t="n">
        <f aca="false">AI543-AR543+AS543+Y543*1000-AO543+Hypothèses!$J$23</f>
        <v>22149.4646519856</v>
      </c>
      <c r="AU543" s="2" t="n">
        <f aca="false">AT543/AQ543</f>
        <v>2.77918436821719</v>
      </c>
      <c r="AV543" s="2" t="n">
        <f aca="false">Hypothèses!$J$26*AQ543-AT543</f>
        <v>1759.85015125743</v>
      </c>
      <c r="AW543" s="2" t="n">
        <f aca="false">IF(AC543&gt;Hypothèses!$J$26,MAX(0,AV543)/(1-Hypothèses!$J$26/AC543),0)</f>
        <v>2495.70682295473</v>
      </c>
      <c r="AX543" s="2" t="n">
        <f aca="false">AQ543-Entrées!$C$17*1000</f>
        <v>-30.2283989190009</v>
      </c>
      <c r="AY543" s="2" t="n">
        <f aca="false">AI543+(Entrées!$C$244-Entrées!$C$13)</f>
        <v>28280.6185231062</v>
      </c>
      <c r="AZ543" s="2" t="n">
        <f aca="false">AA543*AH543</f>
        <v>5533.87628058531</v>
      </c>
      <c r="BA543" s="2" t="n">
        <f aca="false">AZ543/AY543</f>
        <v>0.195677342631808</v>
      </c>
      <c r="BB543" s="2" t="n">
        <f aca="false">AZ543/(Entrées!$C$151/100)-AY543</f>
        <v>2463.13859125667</v>
      </c>
      <c r="BC543" s="2" t="n">
        <f aca="false">AT543+(Entrées!$C$244-Entrées!$C$13)</f>
        <v>27896.4646519856</v>
      </c>
      <c r="BD543" s="2" t="n">
        <f aca="false">AA543*AQ543</f>
        <v>5885.86212522261</v>
      </c>
      <c r="BE543" s="2" t="n">
        <f aca="false">BD543/BC543</f>
        <v>0.210989535722537</v>
      </c>
      <c r="BF543" s="2" t="n">
        <f aca="false">BD543/(Entrées!$C$151/100)-BC543</f>
        <v>4802.76937702894</v>
      </c>
      <c r="BG543" s="2" t="n">
        <f aca="false">MIN(AV543,BF543)</f>
        <v>1759.85015125743</v>
      </c>
      <c r="BH543" s="2" t="n">
        <f aca="false">IF(AC543&gt;Hypothèses!$J$26,MAX(0,BG543)/(1-Hypothèses!$J$26/AC543),0)</f>
        <v>2495.70682295473</v>
      </c>
    </row>
    <row r="544" customFormat="false" ht="15" hidden="false" customHeight="false" outlineLevel="0" collapsed="false">
      <c r="A544" s="2" t="n">
        <v>529</v>
      </c>
      <c r="B544" s="2" t="n">
        <v>0.309488839</v>
      </c>
      <c r="C544" s="2"/>
      <c r="D544" s="2" t="n">
        <v>0.584060875</v>
      </c>
      <c r="E544" s="2" t="n">
        <f aca="false">IF(E$7=E$5,E$6,IF(NORMSDIST(E$9*SQRT($C$11)*NORMSINV($B544)+SQRT(1-E$9^2*$C$11)*NORMSINV(D544))&lt;E$8,E$5+SQRT(NORMSDIST(E$9*SQRT($C$11)*NORMSINV($B544)+SQRT(1-E$9^2*$C$11)*NORMSINV(D544))*(E$7-E$5)*(E$6-E$5)),E$7-SQRT((1-NORMSDIST(E$9*SQRT($C$11)*NORMSINV($B544)+SQRT(1-E$9^2*$C$11)*NORMSINV(D544)))*(E$7-E$5)*(E$7-E$6))))</f>
        <v>0.0546922883949876</v>
      </c>
      <c r="F544" s="2" t="n">
        <v>0.376798333</v>
      </c>
      <c r="G544" s="2" t="n">
        <f aca="false">IF(G$7=G$5,G$6,IF(NORMSDIST(G$9*SQRT($C$11)*NORMSINV($B544)+SQRT(1-G$9^2*$C$11)*NORMSINV(F544))&lt;G$8,G$5+SQRT(NORMSDIST(G$9*SQRT($C$11)*NORMSINV($B544)+SQRT(1-G$9^2*$C$11)*NORMSINV(F544))*(G$7-G$5)*(G$6-G$5)),G$7-SQRT((1-NORMSDIST(G$9*SQRT($C$11)*NORMSINV($B544)+SQRT(1-G$9^2*$C$11)*NORMSINV(F544)))*(G$7-G$5)*(G$7-G$6))))</f>
        <v>0.0513947915787756</v>
      </c>
      <c r="H544" s="2" t="n">
        <v>0.807857876</v>
      </c>
      <c r="I544" s="2" t="n">
        <f aca="false">IF(I$7=I$5,I$6,IF(NORMSDIST(I$9*SQRT($C$11)*NORMSINV($B544)+SQRT(1-I$9^2*$C$11)*NORMSINV(H544))&lt;I$8,I$5+SQRT(NORMSDIST(I$9*SQRT($C$11)*NORMSINV($B544)+SQRT(1-I$9^2*$C$11)*NORMSINV(H544))*(I$7-I$5)*(I$6-I$5)),I$7-SQRT((1-NORMSDIST(I$9*SQRT($C$11)*NORMSINV($B544)+SQRT(1-I$9^2*$C$11)*NORMSINV(H544)))*(I$7-I$5)*(I$7-I$6))))</f>
        <v>203.037755252524</v>
      </c>
      <c r="J544" s="2" t="n">
        <v>0.434259865</v>
      </c>
      <c r="K544" s="2" t="n">
        <f aca="false">IF(K$7=K$5,K$6,IF(NORMSDIST(K$9*SQRT($C$11)*NORMSINV($B544)+SQRT(1-K$9^2*$C$11)*NORMSINV(J544))&lt;K$8,K$5+SQRT(NORMSDIST(K$9*SQRT($C$11)*NORMSINV($B544)+SQRT(1-K$9^2*$C$11)*NORMSINV(J544))*(K$7-K$5)*(K$6-K$5)),K$7-SQRT((1-NORMSDIST(K$9*SQRT($C$11)*NORMSINV($B544)+SQRT(1-K$9^2*$C$11)*NORMSINV(J544)))*(K$7-K$5)*(K$7-K$6))))</f>
        <v>0.202785213890977</v>
      </c>
      <c r="L544" s="2" t="n">
        <v>0.71795215</v>
      </c>
      <c r="M544" s="2" t="n">
        <f aca="false">IF(M$7=M$5,M$6,IF(NORMSDIST(M$9*SQRT($C$11)*NORMSINV($B544)+SQRT(1-M$9^2*$C$11)*NORMSINV(L544))&lt;M$8,M$5+SQRT(NORMSDIST(M$9*SQRT($C$11)*NORMSINV($B544)+SQRT(1-M$9^2*$C$11)*NORMSINV(L544))*(M$7-M$5)*(M$6-M$5)),M$7-SQRT((1-NORMSDIST(M$9*SQRT($C$11)*NORMSINV($B544)+SQRT(1-M$9^2*$C$11)*NORMSINV(L544)))*(M$7-M$5)*(M$7-M$6))))</f>
        <v>1599.82225106134</v>
      </c>
      <c r="N544" s="2" t="n">
        <v>0.713476218</v>
      </c>
      <c r="O544" s="2" t="n">
        <f aca="false">IF(O$7=O$5,O$6,IF(NORMSDIST(O$9*SQRT($C$11)*NORMSINV($B544)+SQRT(1-O$9^2*$C$11)*NORMSINV(N544))&lt;O$8,O$5+SQRT(NORMSDIST(O$9*SQRT($C$11)*NORMSINV($B544)+SQRT(1-O$9^2*$C$11)*NORMSINV(N544))*(O$7-O$5)*(O$6-O$5)),O$7-SQRT((1-NORMSDIST(O$9*SQRT($C$11)*NORMSINV($B544)+SQRT(1-O$9^2*$C$11)*NORMSINV(N544)))*(O$7-O$5)*(O$7-O$6))))</f>
        <v>0.168054960478663</v>
      </c>
      <c r="P544" s="2" t="n">
        <v>0.900626666</v>
      </c>
      <c r="Q544" s="2" t="n">
        <f aca="false">IF(Q$7=Q$5,Q$6,IF(NORMSDIST(Q$9*SQRT($C$11)*NORMSINV($B544)+SQRT(1-Q$9^2*$C$11)*NORMSINV(P544))&lt;Q$8,Q$5+SQRT(NORMSDIST(Q$9*SQRT($C$11)*NORMSINV($B544)+SQRT(1-Q$9^2*$C$11)*NORMSINV(P544))*(Q$7-Q$5)*(Q$6-Q$5)),Q$7-SQRT((1-NORMSDIST(Q$9*SQRT($C$11)*NORMSINV($B544)+SQRT(1-Q$9^2*$C$11)*NORMSINV(P544)))*(Q$7-Q$5)*(Q$7-Q$6))))</f>
        <v>0.102167594979925</v>
      </c>
      <c r="R544" s="2" t="n">
        <v>0.645858143</v>
      </c>
      <c r="S544" s="2" t="n">
        <f aca="false">IF(S$7=S$5,S$6,IF(NORMSDIST(S$9*SQRT($C$11)*NORMSINV($B544)+SQRT(1-S$9^2*$C$11)*NORMSINV(R544))&lt;S$8,S$5+SQRT(NORMSDIST(S$9*SQRT($C$11)*NORMSINV($B544)+SQRT(1-S$9^2*$C$11)*NORMSINV(R544))*(S$7-S$5)*(S$6-S$5)),S$7-SQRT((1-NORMSDIST(S$9*SQRT($C$11)*NORMSINV($B544)+SQRT(1-S$9^2*$C$11)*NORMSINV(R544)))*(S$7-S$5)*(S$7-S$6))))</f>
        <v>0.495050005518802</v>
      </c>
      <c r="T544" s="2" t="n">
        <v>0.596905722</v>
      </c>
      <c r="U544" s="2" t="n">
        <f aca="false">IF(U$7=U$5,U$6,IF(NORMSDIST(U$9*SQRT($C$11)*NORMSINV($B544)+SQRT(1-U$9^2*$C$11)*NORMSINV(T544))&lt;U$8,U$5+SQRT(NORMSDIST(U$9*SQRT($C$11)*NORMSINV($B544)+SQRT(1-U$9^2*$C$11)*NORMSINV(T544))*(U$7-U$5)*(U$6-U$5)),U$7-SQRT((1-NORMSDIST(U$9*SQRT($C$11)*NORMSINV($B544)+SQRT(1-U$9^2*$C$11)*NORMSINV(T544)))*(U$7-U$5)*(U$7-U$6))))</f>
        <v>0.474588914492957</v>
      </c>
      <c r="V544" s="2" t="n">
        <v>0.12535464</v>
      </c>
      <c r="W544" s="2" t="n">
        <f aca="false">IF(W$7=W$5,W$6,IF(NORMSDIST(W$9*SQRT($C$11)*NORMSINV($B544)+SQRT(1-W$9^2*$C$11)*NORMSINV(V544))&lt;W$8,W$5+SQRT(NORMSDIST(W$9*SQRT($C$11)*NORMSINV($B544)+SQRT(1-W$9^2*$C$11)*NORMSINV(V544))*(W$7-W$5)*(W$6-W$5)),W$7-SQRT((1-NORMSDIST(W$9*SQRT($C$11)*NORMSINV($B544)+SQRT(1-W$9^2*$C$11)*NORMSINV(V544)))*(W$7-W$5)*(W$7-W$6))))</f>
        <v>8.95602389199667</v>
      </c>
      <c r="X544" s="2" t="n">
        <v>0.643992055</v>
      </c>
      <c r="Y544" s="2" t="n">
        <f aca="false">IF(Y$7=Y$5,Y$6,IF(NORMSDIST(Y$9*SQRT($C$11)*NORMSINV($B544)+SQRT(1-Y$9^2*$C$11)*NORMSINV(X544))&lt;Y$8,Y$5+SQRT(NORMSDIST(Y$9*SQRT($C$11)*NORMSINV($B544)+SQRT(1-Y$9^2*$C$11)*NORMSINV(X544))*(Y$7-Y$5)*(Y$6-Y$5)),Y$7-SQRT((1-NORMSDIST(Y$9*SQRT($C$11)*NORMSINV($B544)+SQRT(1-Y$9^2*$C$11)*NORMSINV(X544)))*(Y$7-Y$5)*(Y$7-Y$6))))</f>
        <v>0.578094829967681</v>
      </c>
      <c r="Z544" s="2" t="n">
        <v>0.317175591</v>
      </c>
      <c r="AA544" s="2" t="n">
        <f aca="false">IF(AA$7=AA$5,AA$6,IF(NORMSDIST(AA$9*SQRT($C$11)*NORMSINV($B544)+SQRT(1-AA$9^2*$C$11)*NORMSINV(Z544))&lt;AA$8,AA$5+SQRT(NORMSDIST(AA$9*SQRT($C$11)*NORMSINV($B544)+SQRT(1-AA$9^2*$C$11)*NORMSINV(Z544))*(AA$7-AA$5)*(AA$6-AA$5)),AA$7-SQRT((1-NORMSDIST(AA$9*SQRT($C$11)*NORMSINV($B544)+SQRT(1-AA$9^2*$C$11)*NORMSINV(Z544)))*(AA$7-AA$5)*(AA$7-AA$6))))</f>
        <v>0.718340238500265</v>
      </c>
      <c r="AB544" s="2" t="n">
        <v>0.617140585</v>
      </c>
      <c r="AC544" s="2" t="n">
        <f aca="false">IF(AC$7=AC$5,AC$6,IF(NORMSDIST(AC$9*SQRT($C$11)*NORMSINV($B544)+SQRT(1-AC$9^2*$C$11)*NORMSINV(AB544))&lt;AC$8,AC$5+SQRT(NORMSDIST(AC$9*SQRT($C$11)*NORMSINV($B544)+SQRT(1-AC$9^2*$C$11)*NORMSINV(AB544))*(AC$7-AC$5)*(AC$6-AC$5)),AC$7-SQRT((1-NORMSDIST(AC$9*SQRT($C$11)*NORMSINV($B544)+SQRT(1-AC$9^2*$C$11)*NORMSINV(AB544)))*(AC$7-AC$5)*(AC$7-AC$6))))</f>
        <v>9.40793758225095</v>
      </c>
      <c r="AD544" s="2" t="n">
        <f aca="false">Entrées!$C$8*(1+E544)</f>
        <v>7435.58063318466</v>
      </c>
      <c r="AE544" s="2" t="n">
        <f aca="false">I544*Hypothèses!$J$24/12/Hypothèses!$J$19</f>
        <v>100.726380533161</v>
      </c>
      <c r="AF544" s="2" t="n">
        <f aca="false">Entrées!$C$36*S544*1000</f>
        <v>247.525002759401</v>
      </c>
      <c r="AG544" s="2" t="n">
        <f aca="false">-AF544/W544</f>
        <v>-27.6378229607667</v>
      </c>
      <c r="AH544" s="2" t="n">
        <f aca="false">AD544+AE544+AG544</f>
        <v>7508.66919075706</v>
      </c>
      <c r="AI544" s="2" t="n">
        <f aca="false">Entrées!$C$16-M544+Hypothèses!$J$22*1000-AF544+Hypothèses!$J$23</f>
        <v>22700.6527461793</v>
      </c>
      <c r="AJ544" s="2" t="n">
        <f aca="false">AI544/AH544</f>
        <v>3.0232591381337</v>
      </c>
      <c r="AK544" s="2" t="n">
        <f aca="false">AI544/(AH544+I544*(12-Hypothèses!$J$24)/12/Hypothèses!$J$19)</f>
        <v>2.99456547240998</v>
      </c>
      <c r="AL544" s="2" t="n">
        <f aca="false">(AD544+AG544+I544/Hypothèses!$J$19)*(1+G544)</f>
        <v>7970.22081589795</v>
      </c>
      <c r="AM544" s="2" t="n">
        <f aca="false">Entrées!$C$54*K544/Hypothèses!$J$19</f>
        <v>20.695082517666</v>
      </c>
      <c r="AN544" s="2" t="n">
        <f aca="false">Y544*1000/AC544</f>
        <v>61.4475622221726</v>
      </c>
      <c r="AO544" s="2" t="n">
        <f aca="false">(Entrées!$C$36*(1-S544)+MAX(0,Entrées!$C$30-Entrées!$C$35-Entrées!$C$36)*U544)*1000</f>
        <v>916.899477530738</v>
      </c>
      <c r="AP544" s="2" t="n">
        <f aca="false">-AO544/W544</f>
        <v>-102.377962429299</v>
      </c>
      <c r="AQ544" s="2" t="n">
        <f aca="false">AL544+AM544+AN544+AP544</f>
        <v>7949.98549820849</v>
      </c>
      <c r="AR544" s="2" t="n">
        <f aca="false">O544*AQ544-Hypothèses!$J$25/Hypothèses!$J$19</f>
        <v>1316.89933644575</v>
      </c>
      <c r="AS544" s="2" t="n">
        <f aca="false">Entrées!$C$79*(1+Q544)+Hypothèses!$J$20</f>
        <v>1506.28218688294</v>
      </c>
      <c r="AT544" s="2" t="n">
        <f aca="false">AI544-AR544+AS544+Y544*1000-AO544+Hypothèses!$J$23</f>
        <v>22551.2309490534</v>
      </c>
      <c r="AU544" s="2" t="n">
        <f aca="false">AT544/AQ544</f>
        <v>2.83663799816179</v>
      </c>
      <c r="AV544" s="2" t="n">
        <f aca="false">Hypothèses!$J$26*AQ544-AT544</f>
        <v>1298.72554557208</v>
      </c>
      <c r="AW544" s="2" t="n">
        <f aca="false">IF(AC544&gt;Hypothèses!$J$26,MAX(0,AV544)/(1-Hypothèses!$J$26/AC544),0)</f>
        <v>1906.74904559931</v>
      </c>
      <c r="AX544" s="2" t="n">
        <f aca="false">AQ544-Entrées!$C$17*1000</f>
        <v>-50.0145017915093</v>
      </c>
      <c r="AY544" s="2" t="n">
        <f aca="false">AI544+(Entrées!$C$244-Entrées!$C$13)</f>
        <v>28447.6527461793</v>
      </c>
      <c r="AZ544" s="2" t="n">
        <f aca="false">AA544*AH544</f>
        <v>5393.77921730802</v>
      </c>
      <c r="BA544" s="2" t="n">
        <f aca="false">AZ544/AY544</f>
        <v>0.189603664858868</v>
      </c>
      <c r="BB544" s="2" t="n">
        <f aca="false">AZ544/(Entrées!$C$151/100)-AY544</f>
        <v>1517.78734997638</v>
      </c>
      <c r="BC544" s="2" t="n">
        <f aca="false">AT544+(Entrées!$C$244-Entrées!$C$13)</f>
        <v>28298.2309490534</v>
      </c>
      <c r="BD544" s="2" t="n">
        <f aca="false">AA544*AQ544</f>
        <v>5710.79447885674</v>
      </c>
      <c r="BE544" s="2" t="n">
        <f aca="false">BD544/BC544</f>
        <v>0.201807473023248</v>
      </c>
      <c r="BF544" s="2" t="n">
        <f aca="false">BD544/(Entrées!$C$151/100)-BC544</f>
        <v>3428.40504459514</v>
      </c>
      <c r="BG544" s="2" t="n">
        <f aca="false">MIN(AV544,BF544)</f>
        <v>1298.72554557208</v>
      </c>
      <c r="BH544" s="2" t="n">
        <f aca="false">IF(AC544&gt;Hypothèses!$J$26,MAX(0,BG544)/(1-Hypothèses!$J$26/AC544),0)</f>
        <v>1906.74904559931</v>
      </c>
    </row>
    <row r="545" customFormat="false" ht="15" hidden="false" customHeight="false" outlineLevel="0" collapsed="false">
      <c r="A545" s="2" t="n">
        <v>530</v>
      </c>
      <c r="B545" s="2" t="n">
        <v>0.217885823</v>
      </c>
      <c r="C545" s="2"/>
      <c r="D545" s="2" t="n">
        <v>0.545502711</v>
      </c>
      <c r="E545" s="2" t="n">
        <f aca="false">IF(E$7=E$5,E$6,IF(NORMSDIST(E$9*SQRT($C$11)*NORMSINV($B545)+SQRT(1-E$9^2*$C$11)*NORMSINV(D545))&lt;E$8,E$5+SQRT(NORMSDIST(E$9*SQRT($C$11)*NORMSINV($B545)+SQRT(1-E$9^2*$C$11)*NORMSINV(D545))*(E$7-E$5)*(E$6-E$5)),E$7-SQRT((1-NORMSDIST(E$9*SQRT($C$11)*NORMSINV($B545)+SQRT(1-E$9^2*$C$11)*NORMSINV(D545)))*(E$7-E$5)*(E$7-E$6))))</f>
        <v>0.0541410887015783</v>
      </c>
      <c r="F545" s="2" t="n">
        <v>0.797584306</v>
      </c>
      <c r="G545" s="2" t="n">
        <f aca="false">IF(G$7=G$5,G$6,IF(NORMSDIST(G$9*SQRT($C$11)*NORMSINV($B545)+SQRT(1-G$9^2*$C$11)*NORMSINV(F545))&lt;G$8,G$5+SQRT(NORMSDIST(G$9*SQRT($C$11)*NORMSINV($B545)+SQRT(1-G$9^2*$C$11)*NORMSINV(F545))*(G$7-G$5)*(G$6-G$5)),G$7-SQRT((1-NORMSDIST(G$9*SQRT($C$11)*NORMSINV($B545)+SQRT(1-G$9^2*$C$11)*NORMSINV(F545)))*(G$7-G$5)*(G$7-G$6))))</f>
        <v>0.055937469595515</v>
      </c>
      <c r="H545" s="2" t="n">
        <v>0.24339341</v>
      </c>
      <c r="I545" s="2" t="n">
        <f aca="false">IF(I$7=I$5,I$6,IF(NORMSDIST(I$9*SQRT($C$11)*NORMSINV($B545)+SQRT(1-I$9^2*$C$11)*NORMSINV(H545))&lt;I$8,I$5+SQRT(NORMSDIST(I$9*SQRT($C$11)*NORMSINV($B545)+SQRT(1-I$9^2*$C$11)*NORMSINV(H545))*(I$7-I$5)*(I$6-I$5)),I$7-SQRT((1-NORMSDIST(I$9*SQRT($C$11)*NORMSINV($B545)+SQRT(1-I$9^2*$C$11)*NORMSINV(H545)))*(I$7-I$5)*(I$7-I$6))))</f>
        <v>190.995773203138</v>
      </c>
      <c r="J545" s="2" t="n">
        <v>0.292257768</v>
      </c>
      <c r="K545" s="2" t="n">
        <f aca="false">IF(K$7=K$5,K$6,IF(NORMSDIST(K$9*SQRT($C$11)*NORMSINV($B545)+SQRT(1-K$9^2*$C$11)*NORMSINV(J545))&lt;K$8,K$5+SQRT(NORMSDIST(K$9*SQRT($C$11)*NORMSINV($B545)+SQRT(1-K$9^2*$C$11)*NORMSINV(J545))*(K$7-K$5)*(K$6-K$5)),K$7-SQRT((1-NORMSDIST(K$9*SQRT($C$11)*NORMSINV($B545)+SQRT(1-K$9^2*$C$11)*NORMSINV(J545)))*(K$7-K$5)*(K$7-K$6))))</f>
        <v>0.149880692409535</v>
      </c>
      <c r="L545" s="2" t="n">
        <v>0.783477289</v>
      </c>
      <c r="M545" s="2" t="n">
        <f aca="false">IF(M$7=M$5,M$6,IF(NORMSDIST(M$9*SQRT($C$11)*NORMSINV($B545)+SQRT(1-M$9^2*$C$11)*NORMSINV(L545))&lt;M$8,M$5+SQRT(NORMSDIST(M$9*SQRT($C$11)*NORMSINV($B545)+SQRT(1-M$9^2*$C$11)*NORMSINV(L545))*(M$7-M$5)*(M$6-M$5)),M$7-SQRT((1-NORMSDIST(M$9*SQRT($C$11)*NORMSINV($B545)+SQRT(1-M$9^2*$C$11)*NORMSINV(L545)))*(M$7-M$5)*(M$7-M$6))))</f>
        <v>1597.91701646557</v>
      </c>
      <c r="N545" s="2" t="n">
        <v>0.180101427</v>
      </c>
      <c r="O545" s="2" t="n">
        <f aca="false">IF(O$7=O$5,O$6,IF(NORMSDIST(O$9*SQRT($C$11)*NORMSINV($B545)+SQRT(1-O$9^2*$C$11)*NORMSINV(N545))&lt;O$8,O$5+SQRT(NORMSDIST(O$9*SQRT($C$11)*NORMSINV($B545)+SQRT(1-O$9^2*$C$11)*NORMSINV(N545))*(O$7-O$5)*(O$6-O$5)),O$7-SQRT((1-NORMSDIST(O$9*SQRT($C$11)*NORMSINV($B545)+SQRT(1-O$9^2*$C$11)*NORMSINV(N545)))*(O$7-O$5)*(O$7-O$6))))</f>
        <v>0.152831445418491</v>
      </c>
      <c r="P545" s="2" t="n">
        <v>0.819535665</v>
      </c>
      <c r="Q545" s="2" t="n">
        <f aca="false">IF(Q$7=Q$5,Q$6,IF(NORMSDIST(Q$9*SQRT($C$11)*NORMSINV($B545)+SQRT(1-Q$9^2*$C$11)*NORMSINV(P545))&lt;Q$8,Q$5+SQRT(NORMSDIST(Q$9*SQRT($C$11)*NORMSINV($B545)+SQRT(1-Q$9^2*$C$11)*NORMSINV(P545))*(Q$7-Q$5)*(Q$6-Q$5)),Q$7-SQRT((1-NORMSDIST(Q$9*SQRT($C$11)*NORMSINV($B545)+SQRT(1-Q$9^2*$C$11)*NORMSINV(P545)))*(Q$7-Q$5)*(Q$7-Q$6))))</f>
        <v>0.0959690642712357</v>
      </c>
      <c r="R545" s="2" t="n">
        <v>0.83376369</v>
      </c>
      <c r="S545" s="2" t="n">
        <f aca="false">IF(S$7=S$5,S$6,IF(NORMSDIST(S$9*SQRT($C$11)*NORMSINV($B545)+SQRT(1-S$9^2*$C$11)*NORMSINV(R545))&lt;S$8,S$5+SQRT(NORMSDIST(S$9*SQRT($C$11)*NORMSINV($B545)+SQRT(1-S$9^2*$C$11)*NORMSINV(R545))*(S$7-S$5)*(S$6-S$5)),S$7-SQRT((1-NORMSDIST(S$9*SQRT($C$11)*NORMSINV($B545)+SQRT(1-S$9^2*$C$11)*NORMSINV(R545)))*(S$7-S$5)*(S$7-S$6))))</f>
        <v>0.553746554426439</v>
      </c>
      <c r="T545" s="2" t="n">
        <v>0.926658556</v>
      </c>
      <c r="U545" s="2" t="n">
        <f aca="false">IF(U$7=U$5,U$6,IF(NORMSDIST(U$9*SQRT($C$11)*NORMSINV($B545)+SQRT(1-U$9^2*$C$11)*NORMSINV(T545))&lt;U$8,U$5+SQRT(NORMSDIST(U$9*SQRT($C$11)*NORMSINV($B545)+SQRT(1-U$9^2*$C$11)*NORMSINV(T545))*(U$7-U$5)*(U$6-U$5)),U$7-SQRT((1-NORMSDIST(U$9*SQRT($C$11)*NORMSINV($B545)+SQRT(1-U$9^2*$C$11)*NORMSINV(T545)))*(U$7-U$5)*(U$7-U$6))))</f>
        <v>0.636736243460463</v>
      </c>
      <c r="V545" s="2" t="n">
        <v>0.032886771</v>
      </c>
      <c r="W545" s="2" t="n">
        <f aca="false">IF(W$7=W$5,W$6,IF(NORMSDIST(W$9*SQRT($C$11)*NORMSINV($B545)+SQRT(1-W$9^2*$C$11)*NORMSINV(V545))&lt;W$8,W$5+SQRT(NORMSDIST(W$9*SQRT($C$11)*NORMSINV($B545)+SQRT(1-W$9^2*$C$11)*NORMSINV(V545))*(W$7-W$5)*(W$6-W$5)),W$7-SQRT((1-NORMSDIST(W$9*SQRT($C$11)*NORMSINV($B545)+SQRT(1-W$9^2*$C$11)*NORMSINV(V545)))*(W$7-W$5)*(W$7-W$6))))</f>
        <v>8.46944114612917</v>
      </c>
      <c r="X545" s="2" t="n">
        <v>0.280412286</v>
      </c>
      <c r="Y545" s="2" t="n">
        <f aca="false">IF(Y$7=Y$5,Y$6,IF(NORMSDIST(Y$9*SQRT($C$11)*NORMSINV($B545)+SQRT(1-Y$9^2*$C$11)*NORMSINV(X545))&lt;Y$8,Y$5+SQRT(NORMSDIST(Y$9*SQRT($C$11)*NORMSINV($B545)+SQRT(1-Y$9^2*$C$11)*NORMSINV(X545))*(Y$7-Y$5)*(Y$6-Y$5)),Y$7-SQRT((1-NORMSDIST(Y$9*SQRT($C$11)*NORMSINV($B545)+SQRT(1-Y$9^2*$C$11)*NORMSINV(X545)))*(Y$7-Y$5)*(Y$7-Y$6))))</f>
        <v>0.374441107518926</v>
      </c>
      <c r="Z545" s="2" t="n">
        <v>0.581027547</v>
      </c>
      <c r="AA545" s="2" t="n">
        <f aca="false">IF(AA$7=AA$5,AA$6,IF(NORMSDIST(AA$9*SQRT($C$11)*NORMSINV($B545)+SQRT(1-AA$9^2*$C$11)*NORMSINV(Z545))&lt;AA$8,AA$5+SQRT(NORMSDIST(AA$9*SQRT($C$11)*NORMSINV($B545)+SQRT(1-AA$9^2*$C$11)*NORMSINV(Z545))*(AA$7-AA$5)*(AA$6-AA$5)),AA$7-SQRT((1-NORMSDIST(AA$9*SQRT($C$11)*NORMSINV($B545)+SQRT(1-AA$9^2*$C$11)*NORMSINV(Z545)))*(AA$7-AA$5)*(AA$7-AA$6))))</f>
        <v>0.7234386812228</v>
      </c>
      <c r="AB545" s="2" t="n">
        <v>0.436127726</v>
      </c>
      <c r="AC545" s="2" t="n">
        <f aca="false">IF(AC$7=AC$5,AC$6,IF(NORMSDIST(AC$9*SQRT($C$11)*NORMSINV($B545)+SQRT(1-AC$9^2*$C$11)*NORMSINV(AB545))&lt;AC$8,AC$5+SQRT(NORMSDIST(AC$9*SQRT($C$11)*NORMSINV($B545)+SQRT(1-AC$9^2*$C$11)*NORMSINV(AB545))*(AC$7-AC$5)*(AC$6-AC$5)),AC$7-SQRT((1-NORMSDIST(AC$9*SQRT($C$11)*NORMSINV($B545)+SQRT(1-AC$9^2*$C$11)*NORMSINV(AB545)))*(AC$7-AC$5)*(AC$7-AC$6))))</f>
        <v>8.92300757577131</v>
      </c>
      <c r="AD545" s="2" t="n">
        <f aca="false">Entrées!$C$8*(1+E545)</f>
        <v>7431.69467534613</v>
      </c>
      <c r="AE545" s="2" t="n">
        <f aca="false">I545*Hypothèses!$J$24/12/Hypothèses!$J$19</f>
        <v>94.7523917803232</v>
      </c>
      <c r="AF545" s="2" t="n">
        <f aca="false">Entrées!$C$36*S545*1000</f>
        <v>276.873277213219</v>
      </c>
      <c r="AG545" s="2" t="n">
        <f aca="false">-AF545/W545</f>
        <v>-32.6908555636826</v>
      </c>
      <c r="AH545" s="2" t="n">
        <f aca="false">AD545+AE545+AG545</f>
        <v>7493.75621156277</v>
      </c>
      <c r="AI545" s="2" t="n">
        <f aca="false">Entrées!$C$16-M545+Hypothèses!$J$22*1000-AF545+Hypothèses!$J$23</f>
        <v>22673.2097063212</v>
      </c>
      <c r="AJ545" s="2" t="n">
        <f aca="false">AI545/AH545</f>
        <v>3.02561346622629</v>
      </c>
      <c r="AK545" s="2" t="n">
        <f aca="false">AI545/(AH545+I545*(12-Hypothèses!$J$24)/12/Hypothèses!$J$19)</f>
        <v>2.99853205566046</v>
      </c>
      <c r="AL545" s="2" t="n">
        <f aca="false">(AD545+AG545+I545/Hypothèses!$J$19)*(1+G545)</f>
        <v>7984.40411524229</v>
      </c>
      <c r="AM545" s="2" t="n">
        <f aca="false">Entrées!$C$54*K545/Hypothèses!$J$19</f>
        <v>15.2959539687536</v>
      </c>
      <c r="AN545" s="2" t="n">
        <f aca="false">Y545*1000/AC545</f>
        <v>41.9635536941208</v>
      </c>
      <c r="AO545" s="2" t="n">
        <f aca="false">(Entrées!$C$36*(1-S545)+MAX(0,Entrées!$C$30-Entrées!$C$35-Entrées!$C$36)*U545)*1000</f>
        <v>1114.55746363143</v>
      </c>
      <c r="AP545" s="2" t="n">
        <f aca="false">-AO545/W545</f>
        <v>-131.597521536686</v>
      </c>
      <c r="AQ545" s="2" t="n">
        <f aca="false">AL545+AM545+AN545+AP545</f>
        <v>7910.06610136848</v>
      </c>
      <c r="AR545" s="2" t="n">
        <f aca="false">O545*AQ545-Hypothèses!$J$25/Hypothèses!$J$19</f>
        <v>1189.77167336633</v>
      </c>
      <c r="AS545" s="2" t="n">
        <f aca="false">Entrées!$C$79*(1+Q545)+Hypothèses!$J$20</f>
        <v>1499.47000163409</v>
      </c>
      <c r="AT545" s="2" t="n">
        <f aca="false">AI545-AR545+AS545+Y545*1000-AO545+Hypothèses!$J$23</f>
        <v>22242.7916784765</v>
      </c>
      <c r="AU545" s="2" t="n">
        <f aca="false">AT545/AQ545</f>
        <v>2.81196027864146</v>
      </c>
      <c r="AV545" s="2" t="n">
        <f aca="false">Hypothèses!$J$26*AQ545-AT545</f>
        <v>1487.40662562896</v>
      </c>
      <c r="AW545" s="2" t="n">
        <f aca="false">IF(AC545&gt;Hypothèses!$J$26,MAX(0,AV545)/(1-Hypothèses!$J$26/AC545),0)</f>
        <v>2240.77724347859</v>
      </c>
      <c r="AX545" s="2" t="n">
        <f aca="false">AQ545-Entrées!$C$17*1000</f>
        <v>-89.9338986315242</v>
      </c>
      <c r="AY545" s="2" t="n">
        <f aca="false">AI545+(Entrées!$C$244-Entrées!$C$13)</f>
        <v>28420.2097063212</v>
      </c>
      <c r="AZ545" s="2" t="n">
        <f aca="false">AA545*AH545</f>
        <v>5421.27311109813</v>
      </c>
      <c r="BA545" s="2" t="n">
        <f aca="false">AZ545/AY545</f>
        <v>0.190754155832015</v>
      </c>
      <c r="BB545" s="2" t="n">
        <f aca="false">AZ545/(Entrées!$C$151/100)-AY545</f>
        <v>1697.97424422397</v>
      </c>
      <c r="BC545" s="2" t="n">
        <f aca="false">AT545+(Entrées!$C$244-Entrées!$C$13)</f>
        <v>27989.7916784765</v>
      </c>
      <c r="BD545" s="2" t="n">
        <f aca="false">AA545*AQ545</f>
        <v>5722.44778875918</v>
      </c>
      <c r="BE545" s="2" t="n">
        <f aca="false">BD545/BC545</f>
        <v>0.204447673440872</v>
      </c>
      <c r="BF545" s="2" t="n">
        <f aca="false">BD545/(Entrées!$C$151/100)-BC545</f>
        <v>3801.58492574121</v>
      </c>
      <c r="BG545" s="2" t="n">
        <f aca="false">MIN(AV545,BF545)</f>
        <v>1487.40662562896</v>
      </c>
      <c r="BH545" s="2" t="n">
        <f aca="false">IF(AC545&gt;Hypothèses!$J$26,MAX(0,BG545)/(1-Hypothèses!$J$26/AC545),0)</f>
        <v>2240.77724347859</v>
      </c>
    </row>
    <row r="546" customFormat="false" ht="15" hidden="false" customHeight="false" outlineLevel="0" collapsed="false">
      <c r="A546" s="2" t="n">
        <v>531</v>
      </c>
      <c r="B546" s="2" t="n">
        <v>0.953209211</v>
      </c>
      <c r="C546" s="2"/>
      <c r="D546" s="2" t="n">
        <v>0.808962616</v>
      </c>
      <c r="E546" s="2" t="n">
        <f aca="false">IF(E$7=E$5,E$6,IF(NORMSDIST(E$9*SQRT($C$11)*NORMSINV($B546)+SQRT(1-E$9^2*$C$11)*NORMSINV(D546))&lt;E$8,E$5+SQRT(NORMSDIST(E$9*SQRT($C$11)*NORMSINV($B546)+SQRT(1-E$9^2*$C$11)*NORMSINV(D546))*(E$7-E$5)*(E$6-E$5)),E$7-SQRT((1-NORMSDIST(E$9*SQRT($C$11)*NORMSINV($B546)+SQRT(1-E$9^2*$C$11)*NORMSINV(D546)))*(E$7-E$5)*(E$7-E$6))))</f>
        <v>0.0585657037925366</v>
      </c>
      <c r="F546" s="2" t="n">
        <v>0.326693914</v>
      </c>
      <c r="G546" s="2" t="n">
        <f aca="false">IF(G$7=G$5,G$6,IF(NORMSDIST(G$9*SQRT($C$11)*NORMSINV($B546)+SQRT(1-G$9^2*$C$11)*NORMSINV(F546))&lt;G$8,G$5+SQRT(NORMSDIST(G$9*SQRT($C$11)*NORMSINV($B546)+SQRT(1-G$9^2*$C$11)*NORMSINV(F546))*(G$7-G$5)*(G$6-G$5)),G$7-SQRT((1-NORMSDIST(G$9*SQRT($C$11)*NORMSINV($B546)+SQRT(1-G$9^2*$C$11)*NORMSINV(F546)))*(G$7-G$5)*(G$7-G$6))))</f>
        <v>0.059650479964578</v>
      </c>
      <c r="H546" s="2" t="n">
        <v>0.494089217</v>
      </c>
      <c r="I546" s="2" t="n">
        <f aca="false">IF(I$7=I$5,I$6,IF(NORMSDIST(I$9*SQRT($C$11)*NORMSINV($B546)+SQRT(1-I$9^2*$C$11)*NORMSINV(H546))&lt;I$8,I$5+SQRT(NORMSDIST(I$9*SQRT($C$11)*NORMSINV($B546)+SQRT(1-I$9^2*$C$11)*NORMSINV(H546))*(I$7-I$5)*(I$6-I$5)),I$7-SQRT((1-NORMSDIST(I$9*SQRT($C$11)*NORMSINV($B546)+SQRT(1-I$9^2*$C$11)*NORMSINV(H546)))*(I$7-I$5)*(I$7-I$6))))</f>
        <v>209.152570457334</v>
      </c>
      <c r="J546" s="2" t="n">
        <v>0.799599991</v>
      </c>
      <c r="K546" s="2" t="n">
        <f aca="false">IF(K$7=K$5,K$6,IF(NORMSDIST(K$9*SQRT($C$11)*NORMSINV($B546)+SQRT(1-K$9^2*$C$11)*NORMSINV(J546))&lt;K$8,K$5+SQRT(NORMSDIST(K$9*SQRT($C$11)*NORMSINV($B546)+SQRT(1-K$9^2*$C$11)*NORMSINV(J546))*(K$7-K$5)*(K$6-K$5)),K$7-SQRT((1-NORMSDIST(K$9*SQRT($C$11)*NORMSINV($B546)+SQRT(1-K$9^2*$C$11)*NORMSINV(J546)))*(K$7-K$5)*(K$7-K$6))))</f>
        <v>0.426250655269119</v>
      </c>
      <c r="L546" s="2" t="n">
        <v>0.616154308</v>
      </c>
      <c r="M546" s="2" t="n">
        <f aca="false">IF(M$7=M$5,M$6,IF(NORMSDIST(M$9*SQRT($C$11)*NORMSINV($B546)+SQRT(1-M$9^2*$C$11)*NORMSINV(L546))&lt;M$8,M$5+SQRT(NORMSDIST(M$9*SQRT($C$11)*NORMSINV($B546)+SQRT(1-M$9^2*$C$11)*NORMSINV(L546))*(M$7-M$5)*(M$6-M$5)),M$7-SQRT((1-NORMSDIST(M$9*SQRT($C$11)*NORMSINV($B546)+SQRT(1-M$9^2*$C$11)*NORMSINV(L546)))*(M$7-M$5)*(M$7-M$6))))</f>
        <v>1703.28280696266</v>
      </c>
      <c r="N546" s="2" t="n">
        <v>0.470802427</v>
      </c>
      <c r="O546" s="2" t="n">
        <f aca="false">IF(O$7=O$5,O$6,IF(NORMSDIST(O$9*SQRT($C$11)*NORMSINV($B546)+SQRT(1-O$9^2*$C$11)*NORMSINV(N546))&lt;O$8,O$5+SQRT(NORMSDIST(O$9*SQRT($C$11)*NORMSINV($B546)+SQRT(1-O$9^2*$C$11)*NORMSINV(N546))*(O$7-O$5)*(O$6-O$5)),O$7-SQRT((1-NORMSDIST(O$9*SQRT($C$11)*NORMSINV($B546)+SQRT(1-O$9^2*$C$11)*NORMSINV(N546)))*(O$7-O$5)*(O$7-O$6))))</f>
        <v>0.177037385049736</v>
      </c>
      <c r="P546" s="2" t="n">
        <v>0.28133421</v>
      </c>
      <c r="Q546" s="2" t="n">
        <f aca="false">IF(Q$7=Q$5,Q$6,IF(NORMSDIST(Q$9*SQRT($C$11)*NORMSINV($B546)+SQRT(1-Q$9^2*$C$11)*NORMSINV(P546))&lt;Q$8,Q$5+SQRT(NORMSDIST(Q$9*SQRT($C$11)*NORMSINV($B546)+SQRT(1-Q$9^2*$C$11)*NORMSINV(P546))*(Q$7-Q$5)*(Q$6-Q$5)),Q$7-SQRT((1-NORMSDIST(Q$9*SQRT($C$11)*NORMSINV($B546)+SQRT(1-Q$9^2*$C$11)*NORMSINV(P546)))*(Q$7-Q$5)*(Q$7-Q$6))))</f>
        <v>0.070004490863869</v>
      </c>
      <c r="R546" s="2" t="n">
        <v>0.545472661</v>
      </c>
      <c r="S546" s="2" t="n">
        <f aca="false">IF(S$7=S$5,S$6,IF(NORMSDIST(S$9*SQRT($C$11)*NORMSINV($B546)+SQRT(1-S$9^2*$C$11)*NORMSINV(R546))&lt;S$8,S$5+SQRT(NORMSDIST(S$9*SQRT($C$11)*NORMSINV($B546)+SQRT(1-S$9^2*$C$11)*NORMSINV(R546))*(S$7-S$5)*(S$6-S$5)),S$7-SQRT((1-NORMSDIST(S$9*SQRT($C$11)*NORMSINV($B546)+SQRT(1-S$9^2*$C$11)*NORMSINV(R546)))*(S$7-S$5)*(S$7-S$6))))</f>
        <v>0.749718962107376</v>
      </c>
      <c r="T546" s="2" t="n">
        <v>0.74762347</v>
      </c>
      <c r="U546" s="2" t="n">
        <f aca="false">IF(U$7=U$5,U$6,IF(NORMSDIST(U$9*SQRT($C$11)*NORMSINV($B546)+SQRT(1-U$9^2*$C$11)*NORMSINV(T546))&lt;U$8,U$5+SQRT(NORMSDIST(U$9*SQRT($C$11)*NORMSINV($B546)+SQRT(1-U$9^2*$C$11)*NORMSINV(T546))*(U$7-U$5)*(U$6-U$5)),U$7-SQRT((1-NORMSDIST(U$9*SQRT($C$11)*NORMSINV($B546)+SQRT(1-U$9^2*$C$11)*NORMSINV(T546)))*(U$7-U$5)*(U$7-U$6))))</f>
        <v>0.830623220582127</v>
      </c>
      <c r="V546" s="2" t="n">
        <v>0.658693065</v>
      </c>
      <c r="W546" s="2" t="n">
        <f aca="false">IF(W$7=W$5,W$6,IF(NORMSDIST(W$9*SQRT($C$11)*NORMSINV($B546)+SQRT(1-W$9^2*$C$11)*NORMSINV(V546))&lt;W$8,W$5+SQRT(NORMSDIST(W$9*SQRT($C$11)*NORMSINV($B546)+SQRT(1-W$9^2*$C$11)*NORMSINV(V546))*(W$7-W$5)*(W$6-W$5)),W$7-SQRT((1-NORMSDIST(W$9*SQRT($C$11)*NORMSINV($B546)+SQRT(1-W$9^2*$C$11)*NORMSINV(V546)))*(W$7-W$5)*(W$7-W$6))))</f>
        <v>11.1791707685003</v>
      </c>
      <c r="X546" s="2" t="n">
        <v>0.073007794</v>
      </c>
      <c r="Y546" s="2" t="n">
        <f aca="false">IF(Y$7=Y$5,Y$6,IF(NORMSDIST(Y$9*SQRT($C$11)*NORMSINV($B546)+SQRT(1-Y$9^2*$C$11)*NORMSINV(X546))&lt;Y$8,Y$5+SQRT(NORMSDIST(Y$9*SQRT($C$11)*NORMSINV($B546)+SQRT(1-Y$9^2*$C$11)*NORMSINV(X546))*(Y$7-Y$5)*(Y$6-Y$5)),Y$7-SQRT((1-NORMSDIST(Y$9*SQRT($C$11)*NORMSINV($B546)+SQRT(1-Y$9^2*$C$11)*NORMSINV(X546)))*(Y$7-Y$5)*(Y$7-Y$6))))</f>
        <v>0.191059930388347</v>
      </c>
      <c r="Z546" s="2" t="n">
        <v>0.179377953</v>
      </c>
      <c r="AA546" s="2" t="n">
        <f aca="false">IF(AA$7=AA$5,AA$6,IF(NORMSDIST(AA$9*SQRT($C$11)*NORMSINV($B546)+SQRT(1-AA$9^2*$C$11)*NORMSINV(Z546))&lt;AA$8,AA$5+SQRT(NORMSDIST(AA$9*SQRT($C$11)*NORMSINV($B546)+SQRT(1-AA$9^2*$C$11)*NORMSINV(Z546))*(AA$7-AA$5)*(AA$6-AA$5)),AA$7-SQRT((1-NORMSDIST(AA$9*SQRT($C$11)*NORMSINV($B546)+SQRT(1-AA$9^2*$C$11)*NORMSINV(Z546)))*(AA$7-AA$5)*(AA$7-AA$6))))</f>
        <v>0.732259838786541</v>
      </c>
      <c r="AB546" s="2" t="n">
        <v>0.906512048</v>
      </c>
      <c r="AC546" s="2" t="n">
        <f aca="false">IF(AC$7=AC$5,AC$6,IF(NORMSDIST(AC$9*SQRT($C$11)*NORMSINV($B546)+SQRT(1-AC$9^2*$C$11)*NORMSINV(AB546))&lt;AC$8,AC$5+SQRT(NORMSDIST(AC$9*SQRT($C$11)*NORMSINV($B546)+SQRT(1-AC$9^2*$C$11)*NORMSINV(AB546))*(AC$7-AC$5)*(AC$6-AC$5)),AC$7-SQRT((1-NORMSDIST(AC$9*SQRT($C$11)*NORMSINV($B546)+SQRT(1-AC$9^2*$C$11)*NORMSINV(AB546)))*(AC$7-AC$5)*(AC$7-AC$6))))</f>
        <v>10.7162164759357</v>
      </c>
      <c r="AD546" s="2" t="n">
        <f aca="false">Entrées!$C$8*(1+E546)</f>
        <v>7462.88821173738</v>
      </c>
      <c r="AE546" s="2" t="n">
        <f aca="false">I546*Hypothèses!$J$24/12/Hypothèses!$J$19</f>
        <v>103.759920785039</v>
      </c>
      <c r="AF546" s="2" t="n">
        <f aca="false">Entrées!$C$36*S546*1000</f>
        <v>374.859481053688</v>
      </c>
      <c r="AG546" s="2" t="n">
        <f aca="false">-AF546/W546</f>
        <v>-33.5319576752449</v>
      </c>
      <c r="AH546" s="2" t="n">
        <f aca="false">AD546+AE546+AG546</f>
        <v>7533.11617484718</v>
      </c>
      <c r="AI546" s="2" t="n">
        <f aca="false">Entrées!$C$16-M546+Hypothèses!$J$22*1000-AF546+Hypothèses!$J$23</f>
        <v>22469.8577119837</v>
      </c>
      <c r="AJ546" s="2" t="n">
        <f aca="false">AI546/AH546</f>
        <v>2.98281045857354</v>
      </c>
      <c r="AK546" s="2" t="n">
        <f aca="false">AI546/(AH546+I546*(12-Hypothèses!$J$24)/12/Hypothèses!$J$19)</f>
        <v>2.95375011912741</v>
      </c>
      <c r="AL546" s="2" t="n">
        <f aca="false">(AD546+AG546+I546/Hypothèses!$J$19)*(1+G546)</f>
        <v>8061.00534877785</v>
      </c>
      <c r="AM546" s="2" t="n">
        <f aca="false">Entrées!$C$54*K546/Hypothèses!$J$19</f>
        <v>43.5006690810612</v>
      </c>
      <c r="AN546" s="2" t="n">
        <f aca="false">Y546*1000/AC546</f>
        <v>17.82904729644</v>
      </c>
      <c r="AO546" s="2" t="n">
        <f aca="false">(Entrées!$C$36*(1-S546)+MAX(0,Entrées!$C$30-Entrées!$C$35-Entrées!$C$36)*U546)*1000</f>
        <v>1288.01302776129</v>
      </c>
      <c r="AP546" s="2" t="n">
        <f aca="false">-AO546/W546</f>
        <v>-115.21543542304</v>
      </c>
      <c r="AQ546" s="2" t="n">
        <f aca="false">AL546+AM546+AN546+AP546</f>
        <v>8007.11962973231</v>
      </c>
      <c r="AR546" s="2" t="n">
        <f aca="false">O546*AQ546-Hypothèses!$J$25/Hypothèses!$J$19</f>
        <v>1398.42435876659</v>
      </c>
      <c r="AS546" s="2" t="n">
        <f aca="false">Entrées!$C$79*(1+Q546)+Hypothèses!$J$20</f>
        <v>1470.93493545939</v>
      </c>
      <c r="AT546" s="2" t="n">
        <f aca="false">AI546-AR546+AS546+Y546*1000-AO546+Hypothèses!$J$23</f>
        <v>21445.4151913035</v>
      </c>
      <c r="AU546" s="2" t="n">
        <f aca="false">AT546/AQ546</f>
        <v>2.67829334179942</v>
      </c>
      <c r="AV546" s="2" t="n">
        <f aca="false">Hypothèses!$J$26*AQ546-AT546</f>
        <v>2575.94369789341</v>
      </c>
      <c r="AW546" s="2" t="n">
        <f aca="false">IF(AC546&gt;Hypothèses!$J$26,MAX(0,AV546)/(1-Hypothèses!$J$26/AC546),0)</f>
        <v>3577.4489197571</v>
      </c>
      <c r="AX546" s="2" t="n">
        <f aca="false">AQ546-Entrées!$C$17*1000</f>
        <v>7.11962973230766</v>
      </c>
      <c r="AY546" s="2" t="n">
        <f aca="false">AI546+(Entrées!$C$244-Entrées!$C$13)</f>
        <v>28216.8577119837</v>
      </c>
      <c r="AZ546" s="2" t="n">
        <f aca="false">AA546*AH546</f>
        <v>5516.19843575388</v>
      </c>
      <c r="BA546" s="2" t="n">
        <f aca="false">AZ546/AY546</f>
        <v>0.195493009606494</v>
      </c>
      <c r="BB546" s="2" t="n">
        <f aca="false">AZ546/(Entrées!$C$151/100)-AY546</f>
        <v>2428.68915331569</v>
      </c>
      <c r="BC546" s="2" t="n">
        <f aca="false">AT546+(Entrées!$C$244-Entrées!$C$13)</f>
        <v>27192.4151913035</v>
      </c>
      <c r="BD546" s="2" t="n">
        <f aca="false">AA546*AQ546</f>
        <v>5863.29212921233</v>
      </c>
      <c r="BE546" s="2" t="n">
        <f aca="false">BD546/BC546</f>
        <v>0.215622337624776</v>
      </c>
      <c r="BF546" s="2" t="n">
        <f aca="false">BD546/(Entrées!$C$151/100)-BC546</f>
        <v>5381.42997098721</v>
      </c>
      <c r="BG546" s="2" t="n">
        <f aca="false">MIN(AV546,BF546)</f>
        <v>2575.94369789341</v>
      </c>
      <c r="BH546" s="2" t="n">
        <f aca="false">IF(AC546&gt;Hypothèses!$J$26,MAX(0,BG546)/(1-Hypothèses!$J$26/AC546),0)</f>
        <v>3577.4489197571</v>
      </c>
    </row>
    <row r="547" customFormat="false" ht="15" hidden="false" customHeight="false" outlineLevel="0" collapsed="false">
      <c r="A547" s="2" t="n">
        <v>532</v>
      </c>
      <c r="B547" s="2" t="n">
        <v>0.551628065</v>
      </c>
      <c r="C547" s="2"/>
      <c r="D547" s="2" t="n">
        <v>0.646253717</v>
      </c>
      <c r="E547" s="2" t="n">
        <f aca="false">IF(E$7=E$5,E$6,IF(NORMSDIST(E$9*SQRT($C$11)*NORMSINV($B547)+SQRT(1-E$9^2*$C$11)*NORMSINV(D547))&lt;E$8,E$5+SQRT(NORMSDIST(E$9*SQRT($C$11)*NORMSINV($B547)+SQRT(1-E$9^2*$C$11)*NORMSINV(D547))*(E$7-E$5)*(E$6-E$5)),E$7-SQRT((1-NORMSDIST(E$9*SQRT($C$11)*NORMSINV($B547)+SQRT(1-E$9^2*$C$11)*NORMSINV(D547)))*(E$7-E$5)*(E$7-E$6))))</f>
        <v>0.0557888470146793</v>
      </c>
      <c r="F547" s="2" t="n">
        <v>0.656127769</v>
      </c>
      <c r="G547" s="2" t="n">
        <f aca="false">IF(G$7=G$5,G$6,IF(NORMSDIST(G$9*SQRT($C$11)*NORMSINV($B547)+SQRT(1-G$9^2*$C$11)*NORMSINV(F547))&lt;G$8,G$5+SQRT(NORMSDIST(G$9*SQRT($C$11)*NORMSINV($B547)+SQRT(1-G$9^2*$C$11)*NORMSINV(F547))*(G$7-G$5)*(G$6-G$5)),G$7-SQRT((1-NORMSDIST(G$9*SQRT($C$11)*NORMSINV($B547)+SQRT(1-G$9^2*$C$11)*NORMSINV(F547)))*(G$7-G$5)*(G$7-G$6))))</f>
        <v>0.057503794763828</v>
      </c>
      <c r="H547" s="2" t="n">
        <v>0.080354247</v>
      </c>
      <c r="I547" s="2" t="n">
        <f aca="false">IF(I$7=I$5,I$6,IF(NORMSDIST(I$9*SQRT($C$11)*NORMSINV($B547)+SQRT(1-I$9^2*$C$11)*NORMSINV(H547))&lt;I$8,I$5+SQRT(NORMSDIST(I$9*SQRT($C$11)*NORMSINV($B547)+SQRT(1-I$9^2*$C$11)*NORMSINV(H547))*(I$7-I$5)*(I$6-I$5)),I$7-SQRT((1-NORMSDIST(I$9*SQRT($C$11)*NORMSINV($B547)+SQRT(1-I$9^2*$C$11)*NORMSINV(H547)))*(I$7-I$5)*(I$7-I$6))))</f>
        <v>191.22790781602</v>
      </c>
      <c r="J547" s="2" t="n">
        <v>0.155734275</v>
      </c>
      <c r="K547" s="2" t="n">
        <f aca="false">IF(K$7=K$5,K$6,IF(NORMSDIST(K$9*SQRT($C$11)*NORMSINV($B547)+SQRT(1-K$9^2*$C$11)*NORMSINV(J547))&lt;K$8,K$5+SQRT(NORMSDIST(K$9*SQRT($C$11)*NORMSINV($B547)+SQRT(1-K$9^2*$C$11)*NORMSINV(J547))*(K$7-K$5)*(K$6-K$5)),K$7-SQRT((1-NORMSDIST(K$9*SQRT($C$11)*NORMSINV($B547)+SQRT(1-K$9^2*$C$11)*NORMSINV(J547)))*(K$7-K$5)*(K$7-K$6))))</f>
        <v>0.173695972094861</v>
      </c>
      <c r="L547" s="2" t="n">
        <v>0.500393555</v>
      </c>
      <c r="M547" s="2" t="n">
        <f aca="false">IF(M$7=M$5,M$6,IF(NORMSDIST(M$9*SQRT($C$11)*NORMSINV($B547)+SQRT(1-M$9^2*$C$11)*NORMSINV(L547))&lt;M$8,M$5+SQRT(NORMSDIST(M$9*SQRT($C$11)*NORMSINV($B547)+SQRT(1-M$9^2*$C$11)*NORMSINV(L547))*(M$7-M$5)*(M$6-M$5)),M$7-SQRT((1-NORMSDIST(M$9*SQRT($C$11)*NORMSINV($B547)+SQRT(1-M$9^2*$C$11)*NORMSINV(L547)))*(M$7-M$5)*(M$7-M$6))))</f>
        <v>1594.51636668972</v>
      </c>
      <c r="N547" s="2" t="n">
        <v>0.975320217</v>
      </c>
      <c r="O547" s="2" t="n">
        <f aca="false">IF(O$7=O$5,O$6,IF(NORMSDIST(O$9*SQRT($C$11)*NORMSINV($B547)+SQRT(1-O$9^2*$C$11)*NORMSINV(N547))&lt;O$8,O$5+SQRT(NORMSDIST(O$9*SQRT($C$11)*NORMSINV($B547)+SQRT(1-O$9^2*$C$11)*NORMSINV(N547))*(O$7-O$5)*(O$6-O$5)),O$7-SQRT((1-NORMSDIST(O$9*SQRT($C$11)*NORMSINV($B547)+SQRT(1-O$9^2*$C$11)*NORMSINV(N547)))*(O$7-O$5)*(O$7-O$6))))</f>
        <v>0.182394843695821</v>
      </c>
      <c r="P547" s="2" t="n">
        <v>0.297730201</v>
      </c>
      <c r="Q547" s="2" t="n">
        <f aca="false">IF(Q$7=Q$5,Q$6,IF(NORMSDIST(Q$9*SQRT($C$11)*NORMSINV($B547)+SQRT(1-Q$9^2*$C$11)*NORMSINV(P547))&lt;Q$8,Q$5+SQRT(NORMSDIST(Q$9*SQRT($C$11)*NORMSINV($B547)+SQRT(1-Q$9^2*$C$11)*NORMSINV(P547))*(Q$7-Q$5)*(Q$6-Q$5)),Q$7-SQRT((1-NORMSDIST(Q$9*SQRT($C$11)*NORMSINV($B547)+SQRT(1-Q$9^2*$C$11)*NORMSINV(P547)))*(Q$7-Q$5)*(Q$7-Q$6))))</f>
        <v>0.0708664323043659</v>
      </c>
      <c r="R547" s="2" t="n">
        <v>0.661944217</v>
      </c>
      <c r="S547" s="2" t="n">
        <f aca="false">IF(S$7=S$5,S$6,IF(NORMSDIST(S$9*SQRT($C$11)*NORMSINV($B547)+SQRT(1-S$9^2*$C$11)*NORMSINV(R547))&lt;S$8,S$5+SQRT(NORMSDIST(S$9*SQRT($C$11)*NORMSINV($B547)+SQRT(1-S$9^2*$C$11)*NORMSINV(R547))*(S$7-S$5)*(S$6-S$5)),S$7-SQRT((1-NORMSDIST(S$9*SQRT($C$11)*NORMSINV($B547)+SQRT(1-S$9^2*$C$11)*NORMSINV(R547)))*(S$7-S$5)*(S$7-S$6))))</f>
        <v>0.586184103914088</v>
      </c>
      <c r="T547" s="2" t="n">
        <v>0.610545884</v>
      </c>
      <c r="U547" s="2" t="n">
        <f aca="false">IF(U$7=U$5,U$6,IF(NORMSDIST(U$9*SQRT($C$11)*NORMSINV($B547)+SQRT(1-U$9^2*$C$11)*NORMSINV(T547))&lt;U$8,U$5+SQRT(NORMSDIST(U$9*SQRT($C$11)*NORMSINV($B547)+SQRT(1-U$9^2*$C$11)*NORMSINV(T547))*(U$7-U$5)*(U$6-U$5)),U$7-SQRT((1-NORMSDIST(U$9*SQRT($C$11)*NORMSINV($B547)+SQRT(1-U$9^2*$C$11)*NORMSINV(T547)))*(U$7-U$5)*(U$7-U$6))))</f>
        <v>0.562813361917092</v>
      </c>
      <c r="V547" s="2" t="n">
        <v>0.460627296</v>
      </c>
      <c r="W547" s="2" t="n">
        <f aca="false">IF(W$7=W$5,W$6,IF(NORMSDIST(W$9*SQRT($C$11)*NORMSINV($B547)+SQRT(1-W$9^2*$C$11)*NORMSINV(V547))&lt;W$8,W$5+SQRT(NORMSDIST(W$9*SQRT($C$11)*NORMSINV($B547)+SQRT(1-W$9^2*$C$11)*NORMSINV(V547))*(W$7-W$5)*(W$6-W$5)),W$7-SQRT((1-NORMSDIST(W$9*SQRT($C$11)*NORMSINV($B547)+SQRT(1-W$9^2*$C$11)*NORMSINV(V547)))*(W$7-W$5)*(W$7-W$6))))</f>
        <v>10.0043977937797</v>
      </c>
      <c r="X547" s="2" t="n">
        <v>0.177188458</v>
      </c>
      <c r="Y547" s="2" t="n">
        <f aca="false">IF(Y$7=Y$5,Y$6,IF(NORMSDIST(Y$9*SQRT($C$11)*NORMSINV($B547)+SQRT(1-Y$9^2*$C$11)*NORMSINV(X547))&lt;Y$8,Y$5+SQRT(NORMSDIST(Y$9*SQRT($C$11)*NORMSINV($B547)+SQRT(1-Y$9^2*$C$11)*NORMSINV(X547))*(Y$7-Y$5)*(Y$6-Y$5)),Y$7-SQRT((1-NORMSDIST(Y$9*SQRT($C$11)*NORMSINV($B547)+SQRT(1-Y$9^2*$C$11)*NORMSINV(X547)))*(Y$7-Y$5)*(Y$7-Y$6))))</f>
        <v>0.297647827138046</v>
      </c>
      <c r="Z547" s="2" t="n">
        <v>0.110155682</v>
      </c>
      <c r="AA547" s="2" t="n">
        <f aca="false">IF(AA$7=AA$5,AA$6,IF(NORMSDIST(AA$9*SQRT($C$11)*NORMSINV($B547)+SQRT(1-AA$9^2*$C$11)*NORMSINV(Z547))&lt;AA$8,AA$5+SQRT(NORMSDIST(AA$9*SQRT($C$11)*NORMSINV($B547)+SQRT(1-AA$9^2*$C$11)*NORMSINV(Z547))*(AA$7-AA$5)*(AA$6-AA$5)),AA$7-SQRT((1-NORMSDIST(AA$9*SQRT($C$11)*NORMSINV($B547)+SQRT(1-AA$9^2*$C$11)*NORMSINV(Z547)))*(AA$7-AA$5)*(AA$7-AA$6))))</f>
        <v>0.715648797166985</v>
      </c>
      <c r="AB547" s="2" t="n">
        <v>0.535099907</v>
      </c>
      <c r="AC547" s="2" t="n">
        <f aca="false">IF(AC$7=AC$5,AC$6,IF(NORMSDIST(AC$9*SQRT($C$11)*NORMSINV($B547)+SQRT(1-AC$9^2*$C$11)*NORMSINV(AB547))&lt;AC$8,AC$5+SQRT(NORMSDIST(AC$9*SQRT($C$11)*NORMSINV($B547)+SQRT(1-AC$9^2*$C$11)*NORMSINV(AB547))*(AC$7-AC$5)*(AC$6-AC$5)),AC$7-SQRT((1-NORMSDIST(AC$9*SQRT($C$11)*NORMSINV($B547)+SQRT(1-AC$9^2*$C$11)*NORMSINV(AB547)))*(AC$7-AC$5)*(AC$7-AC$6))))</f>
        <v>9.59913058194618</v>
      </c>
      <c r="AD547" s="2" t="n">
        <f aca="false">Entrées!$C$8*(1+E547)</f>
        <v>7443.31137145349</v>
      </c>
      <c r="AE547" s="2" t="n">
        <f aca="false">I547*Hypothèses!$J$24/12/Hypothèses!$J$19</f>
        <v>94.8675530187986</v>
      </c>
      <c r="AF547" s="2" t="n">
        <f aca="false">Entrées!$C$36*S547*1000</f>
        <v>293.092051957044</v>
      </c>
      <c r="AG547" s="2" t="n">
        <f aca="false">-AF547/W547</f>
        <v>-29.2963212777561</v>
      </c>
      <c r="AH547" s="2" t="n">
        <f aca="false">AD547+AE547+AG547</f>
        <v>7508.88260319453</v>
      </c>
      <c r="AI547" s="2" t="n">
        <f aca="false">Entrées!$C$16-M547+Hypothèses!$J$22*1000-AF547+Hypothèses!$J$23</f>
        <v>22660.3915813532</v>
      </c>
      <c r="AJ547" s="2" t="n">
        <f aca="false">AI547/AH547</f>
        <v>3.01781140801332</v>
      </c>
      <c r="AK547" s="2" t="n">
        <f aca="false">AI547/(AH547+I547*(12-Hypothèses!$J$24)/12/Hypothèses!$J$19)</f>
        <v>2.99082128824206</v>
      </c>
      <c r="AL547" s="2" t="n">
        <f aca="false">(AD547+AG547+I547/Hypothèses!$J$19)*(1+G547)</f>
        <v>8012.33098825526</v>
      </c>
      <c r="AM547" s="2" t="n">
        <f aca="false">Entrées!$C$54*K547/Hypothèses!$J$19</f>
        <v>17.7264032545388</v>
      </c>
      <c r="AN547" s="2" t="n">
        <f aca="false">Y547*1000/AC547</f>
        <v>31.0077901948594</v>
      </c>
      <c r="AO547" s="2" t="n">
        <f aca="false">(Entrées!$C$36*(1-S547)+MAX(0,Entrées!$C$30-Entrées!$C$35-Entrées!$C$36)*U547)*1000</f>
        <v>994.846654726885</v>
      </c>
      <c r="AP547" s="2" t="n">
        <f aca="false">-AO547/W547</f>
        <v>-99.4409334008529</v>
      </c>
      <c r="AQ547" s="2" t="n">
        <f aca="false">AL547+AM547+AN547+AP547</f>
        <v>7961.62424830381</v>
      </c>
      <c r="AR547" s="2" t="n">
        <f aca="false">O547*AQ547-Hypothèses!$J$25/Hypothèses!$J$19</f>
        <v>1433.02404807261</v>
      </c>
      <c r="AS547" s="2" t="n">
        <f aca="false">Entrées!$C$79*(1+Q547)+Hypothèses!$J$20</f>
        <v>1471.8822091025</v>
      </c>
      <c r="AT547" s="2" t="n">
        <f aca="false">AI547-AR547+AS547+Y547*1000-AO547+Hypothèses!$J$23</f>
        <v>22002.0509147943</v>
      </c>
      <c r="AU547" s="2" t="n">
        <f aca="false">AT547/AQ547</f>
        <v>2.76351284971553</v>
      </c>
      <c r="AV547" s="2" t="n">
        <f aca="false">Hypothèses!$J$26*AQ547-AT547</f>
        <v>1882.82183011713</v>
      </c>
      <c r="AW547" s="2" t="n">
        <f aca="false">IF(AC547&gt;Hypothèses!$J$26,MAX(0,AV547)/(1-Hypothèses!$J$26/AC547),0)</f>
        <v>2738.76268781199</v>
      </c>
      <c r="AX547" s="2" t="n">
        <f aca="false">AQ547-Entrées!$C$17*1000</f>
        <v>-38.3757516961914</v>
      </c>
      <c r="AY547" s="2" t="n">
        <f aca="false">AI547+(Entrées!$C$244-Entrées!$C$13)</f>
        <v>28407.3915813532</v>
      </c>
      <c r="AZ547" s="2" t="n">
        <f aca="false">AA547*AH547</f>
        <v>5373.72280304426</v>
      </c>
      <c r="BA547" s="2" t="n">
        <f aca="false">AZ547/AY547</f>
        <v>0.189166357905652</v>
      </c>
      <c r="BB547" s="2" t="n">
        <f aca="false">AZ547/(Entrées!$C$151/100)-AY547</f>
        <v>1446.62399111488</v>
      </c>
      <c r="BC547" s="2" t="n">
        <f aca="false">AT547+(Entrées!$C$244-Entrées!$C$13)</f>
        <v>27749.0509147943</v>
      </c>
      <c r="BD547" s="2" t="n">
        <f aca="false">AA547*AQ547</f>
        <v>5697.72681679412</v>
      </c>
      <c r="BE547" s="2" t="n">
        <f aca="false">BD547/BC547</f>
        <v>0.205330511457471</v>
      </c>
      <c r="BF547" s="2" t="n">
        <f aca="false">BD547/(Entrées!$C$151/100)-BC547</f>
        <v>3904.98695628414</v>
      </c>
      <c r="BG547" s="2" t="n">
        <f aca="false">MIN(AV547,BF547)</f>
        <v>1882.82183011713</v>
      </c>
      <c r="BH547" s="2" t="n">
        <f aca="false">IF(AC547&gt;Hypothèses!$J$26,MAX(0,BG547)/(1-Hypothèses!$J$26/AC547),0)</f>
        <v>2738.76268781199</v>
      </c>
    </row>
    <row r="548" customFormat="false" ht="15" hidden="false" customHeight="false" outlineLevel="0" collapsed="false">
      <c r="A548" s="2" t="n">
        <v>533</v>
      </c>
      <c r="B548" s="2" t="n">
        <v>0.71925409</v>
      </c>
      <c r="C548" s="2"/>
      <c r="D548" s="2" t="n">
        <v>0.553745637</v>
      </c>
      <c r="E548" s="2" t="n">
        <f aca="false">IF(E$7=E$5,E$6,IF(NORMSDIST(E$9*SQRT($C$11)*NORMSINV($B548)+SQRT(1-E$9^2*$C$11)*NORMSINV(D548))&lt;E$8,E$5+SQRT(NORMSDIST(E$9*SQRT($C$11)*NORMSINV($B548)+SQRT(1-E$9^2*$C$11)*NORMSINV(D548))*(E$7-E$5)*(E$6-E$5)),E$7-SQRT((1-NORMSDIST(E$9*SQRT($C$11)*NORMSINV($B548)+SQRT(1-E$9^2*$C$11)*NORMSINV(D548)))*(E$7-E$5)*(E$7-E$6))))</f>
        <v>0.0560093747837381</v>
      </c>
      <c r="F548" s="2" t="n">
        <v>0.354976072</v>
      </c>
      <c r="G548" s="2" t="n">
        <f aca="false">IF(G$7=G$5,G$6,IF(NORMSDIST(G$9*SQRT($C$11)*NORMSINV($B548)+SQRT(1-G$9^2*$C$11)*NORMSINV(F548))&lt;G$8,G$5+SQRT(NORMSDIST(G$9*SQRT($C$11)*NORMSINV($B548)+SQRT(1-G$9^2*$C$11)*NORMSINV(F548))*(G$7-G$5)*(G$6-G$5)),G$7-SQRT((1-NORMSDIST(G$9*SQRT($C$11)*NORMSINV($B548)+SQRT(1-G$9^2*$C$11)*NORMSINV(F548)))*(G$7-G$5)*(G$7-G$6))))</f>
        <v>0.0554807499600249</v>
      </c>
      <c r="H548" s="2" t="n">
        <v>0.160854532</v>
      </c>
      <c r="I548" s="2" t="n">
        <f aca="false">IF(I$7=I$5,I$6,IF(NORMSDIST(I$9*SQRT($C$11)*NORMSINV($B548)+SQRT(1-I$9^2*$C$11)*NORMSINV(H548))&lt;I$8,I$5+SQRT(NORMSDIST(I$9*SQRT($C$11)*NORMSINV($B548)+SQRT(1-I$9^2*$C$11)*NORMSINV(H548))*(I$7-I$5)*(I$6-I$5)),I$7-SQRT((1-NORMSDIST(I$9*SQRT($C$11)*NORMSINV($B548)+SQRT(1-I$9^2*$C$11)*NORMSINV(H548)))*(I$7-I$5)*(I$7-I$6))))</f>
        <v>196.599831911201</v>
      </c>
      <c r="J548" s="2" t="n">
        <v>0.34743537</v>
      </c>
      <c r="K548" s="2" t="n">
        <f aca="false">IF(K$7=K$5,K$6,IF(NORMSDIST(K$9*SQRT($C$11)*NORMSINV($B548)+SQRT(1-K$9^2*$C$11)*NORMSINV(J548))&lt;K$8,K$5+SQRT(NORMSDIST(K$9*SQRT($C$11)*NORMSINV($B548)+SQRT(1-K$9^2*$C$11)*NORMSINV(J548))*(K$7-K$5)*(K$6-K$5)),K$7-SQRT((1-NORMSDIST(K$9*SQRT($C$11)*NORMSINV($B548)+SQRT(1-K$9^2*$C$11)*NORMSINV(J548)))*(K$7-K$5)*(K$7-K$6))))</f>
        <v>0.256399144402975</v>
      </c>
      <c r="L548" s="2" t="n">
        <v>0.21945841</v>
      </c>
      <c r="M548" s="2" t="n">
        <f aca="false">IF(M$7=M$5,M$6,IF(NORMSDIST(M$9*SQRT($C$11)*NORMSINV($B548)+SQRT(1-M$9^2*$C$11)*NORMSINV(L548))&lt;M$8,M$5+SQRT(NORMSDIST(M$9*SQRT($C$11)*NORMSINV($B548)+SQRT(1-M$9^2*$C$11)*NORMSINV(L548))*(M$7-M$5)*(M$6-M$5)),M$7-SQRT((1-NORMSDIST(M$9*SQRT($C$11)*NORMSINV($B548)+SQRT(1-M$9^2*$C$11)*NORMSINV(L548)))*(M$7-M$5)*(M$7-M$6))))</f>
        <v>1558.11808478589</v>
      </c>
      <c r="N548" s="2" t="n">
        <v>0.475486268</v>
      </c>
      <c r="O548" s="2" t="n">
        <f aca="false">IF(O$7=O$5,O$6,IF(NORMSDIST(O$9*SQRT($C$11)*NORMSINV($B548)+SQRT(1-O$9^2*$C$11)*NORMSINV(N548))&lt;O$8,O$5+SQRT(NORMSDIST(O$9*SQRT($C$11)*NORMSINV($B548)+SQRT(1-O$9^2*$C$11)*NORMSINV(N548))*(O$7-O$5)*(O$6-O$5)),O$7-SQRT((1-NORMSDIST(O$9*SQRT($C$11)*NORMSINV($B548)+SQRT(1-O$9^2*$C$11)*NORMSINV(N548)))*(O$7-O$5)*(O$7-O$6))))</f>
        <v>0.170023576195921</v>
      </c>
      <c r="P548" s="2" t="n">
        <v>0.365796198</v>
      </c>
      <c r="Q548" s="2" t="n">
        <f aca="false">IF(Q$7=Q$5,Q$6,IF(NORMSDIST(Q$9*SQRT($C$11)*NORMSINV($B548)+SQRT(1-Q$9^2*$C$11)*NORMSINV(P548))&lt;Q$8,Q$5+SQRT(NORMSDIST(Q$9*SQRT($C$11)*NORMSINV($B548)+SQRT(1-Q$9^2*$C$11)*NORMSINV(P548))*(Q$7-Q$5)*(Q$6-Q$5)),Q$7-SQRT((1-NORMSDIST(Q$9*SQRT($C$11)*NORMSINV($B548)+SQRT(1-Q$9^2*$C$11)*NORMSINV(P548)))*(Q$7-Q$5)*(Q$7-Q$6))))</f>
        <v>0.0742132698466545</v>
      </c>
      <c r="R548" s="2" t="n">
        <v>0.866639847</v>
      </c>
      <c r="S548" s="2" t="n">
        <f aca="false">IF(S$7=S$5,S$6,IF(NORMSDIST(S$9*SQRT($C$11)*NORMSINV($B548)+SQRT(1-S$9^2*$C$11)*NORMSINV(R548))&lt;S$8,S$5+SQRT(NORMSDIST(S$9*SQRT($C$11)*NORMSINV($B548)+SQRT(1-S$9^2*$C$11)*NORMSINV(R548))*(S$7-S$5)*(S$6-S$5)),S$7-SQRT((1-NORMSDIST(S$9*SQRT($C$11)*NORMSINV($B548)+SQRT(1-S$9^2*$C$11)*NORMSINV(R548)))*(S$7-S$5)*(S$7-S$6))))</f>
        <v>0.765678856868391</v>
      </c>
      <c r="T548" s="2" t="n">
        <v>0.837100316</v>
      </c>
      <c r="U548" s="2" t="n">
        <f aca="false">IF(U$7=U$5,U$6,IF(NORMSDIST(U$9*SQRT($C$11)*NORMSINV($B548)+SQRT(1-U$9^2*$C$11)*NORMSINV(T548))&lt;U$8,U$5+SQRT(NORMSDIST(U$9*SQRT($C$11)*NORMSINV($B548)+SQRT(1-U$9^2*$C$11)*NORMSINV(T548))*(U$7-U$5)*(U$6-U$5)),U$7-SQRT((1-NORMSDIST(U$9*SQRT($C$11)*NORMSINV($B548)+SQRT(1-U$9^2*$C$11)*NORMSINV(T548)))*(U$7-U$5)*(U$7-U$6))))</f>
        <v>0.745454687027852</v>
      </c>
      <c r="V548" s="2" t="n">
        <v>0.000150003</v>
      </c>
      <c r="W548" s="2" t="n">
        <f aca="false">IF(W$7=W$5,W$6,IF(NORMSDIST(W$9*SQRT($C$11)*NORMSINV($B548)+SQRT(1-W$9^2*$C$11)*NORMSINV(V548))&lt;W$8,W$5+SQRT(NORMSDIST(W$9*SQRT($C$11)*NORMSINV($B548)+SQRT(1-W$9^2*$C$11)*NORMSINV(V548))*(W$7-W$5)*(W$6-W$5)),W$7-SQRT((1-NORMSDIST(W$9*SQRT($C$11)*NORMSINV($B548)+SQRT(1-W$9^2*$C$11)*NORMSINV(V548)))*(W$7-W$5)*(W$7-W$6))))</f>
        <v>8.24468007501048</v>
      </c>
      <c r="X548" s="2" t="n">
        <v>0.545384754</v>
      </c>
      <c r="Y548" s="2" t="n">
        <f aca="false">IF(Y$7=Y$5,Y$6,IF(NORMSDIST(Y$9*SQRT($C$11)*NORMSINV($B548)+SQRT(1-Y$9^2*$C$11)*NORMSINV(X548))&lt;Y$8,Y$5+SQRT(NORMSDIST(Y$9*SQRT($C$11)*NORMSINV($B548)+SQRT(1-Y$9^2*$C$11)*NORMSINV(X548))*(Y$7-Y$5)*(Y$6-Y$5)),Y$7-SQRT((1-NORMSDIST(Y$9*SQRT($C$11)*NORMSINV($B548)+SQRT(1-Y$9^2*$C$11)*NORMSINV(X548)))*(Y$7-Y$5)*(Y$7-Y$6))))</f>
        <v>0.523232107834431</v>
      </c>
      <c r="Z548" s="2" t="n">
        <v>0.315545142</v>
      </c>
      <c r="AA548" s="2" t="n">
        <f aca="false">IF(AA$7=AA$5,AA$6,IF(NORMSDIST(AA$9*SQRT($C$11)*NORMSINV($B548)+SQRT(1-AA$9^2*$C$11)*NORMSINV(Z548))&lt;AA$8,AA$5+SQRT(NORMSDIST(AA$9*SQRT($C$11)*NORMSINV($B548)+SQRT(1-AA$9^2*$C$11)*NORMSINV(Z548))*(AA$7-AA$5)*(AA$6-AA$5)),AA$7-SQRT((1-NORMSDIST(AA$9*SQRT($C$11)*NORMSINV($B548)+SQRT(1-AA$9^2*$C$11)*NORMSINV(Z548)))*(AA$7-AA$5)*(AA$7-AA$6))))</f>
        <v>0.727989489371601</v>
      </c>
      <c r="AB548" s="2" t="n">
        <v>0.121666031</v>
      </c>
      <c r="AC548" s="2" t="n">
        <f aca="false">IF(AC$7=AC$5,AC$6,IF(NORMSDIST(AC$9*SQRT($C$11)*NORMSINV($B548)+SQRT(1-AC$9^2*$C$11)*NORMSINV(AB548))&lt;AC$8,AC$5+SQRT(NORMSDIST(AC$9*SQRT($C$11)*NORMSINV($B548)+SQRT(1-AC$9^2*$C$11)*NORMSINV(AB548))*(AC$7-AC$5)*(AC$6-AC$5)),AC$7-SQRT((1-NORMSDIST(AC$9*SQRT($C$11)*NORMSINV($B548)+SQRT(1-AC$9^2*$C$11)*NORMSINV(AB548)))*(AC$7-AC$5)*(AC$7-AC$6))))</f>
        <v>8.99867692789704</v>
      </c>
      <c r="AD548" s="2" t="n">
        <f aca="false">Entrées!$C$8*(1+E548)</f>
        <v>7444.86609222535</v>
      </c>
      <c r="AE548" s="2" t="n">
        <f aca="false">I548*Hypothèses!$J$24/12/Hypothèses!$J$19</f>
        <v>97.5325473689057</v>
      </c>
      <c r="AF548" s="2" t="n">
        <f aca="false">Entrées!$C$36*S548*1000</f>
        <v>382.839428434196</v>
      </c>
      <c r="AG548" s="2" t="n">
        <f aca="false">-AF548/W548</f>
        <v>-46.4347221421698</v>
      </c>
      <c r="AH548" s="2" t="n">
        <f aca="false">AD548+AE548+AG548</f>
        <v>7495.96391745209</v>
      </c>
      <c r="AI548" s="2" t="n">
        <f aca="false">Entrées!$C$16-M548+Hypothèses!$J$22*1000-AF548+Hypothèses!$J$23</f>
        <v>22607.0424867799</v>
      </c>
      <c r="AJ548" s="2" t="n">
        <f aca="false">AI548/AH548</f>
        <v>3.01589531856553</v>
      </c>
      <c r="AK548" s="2" t="n">
        <f aca="false">AI548/(AH548+I548*(12-Hypothèses!$J$24)/12/Hypothèses!$J$19)</f>
        <v>2.98812424330861</v>
      </c>
      <c r="AL548" s="2" t="n">
        <f aca="false">(AD548+AG548+I548/Hypothèses!$J$19)*(1+G548)</f>
        <v>7985.37685029594</v>
      </c>
      <c r="AM548" s="2" t="n">
        <f aca="false">Entrées!$C$54*K548/Hypothèses!$J$19</f>
        <v>26.1666092367626</v>
      </c>
      <c r="AN548" s="2" t="n">
        <f aca="false">Y548*1000/AC548</f>
        <v>58.1454487172825</v>
      </c>
      <c r="AO548" s="2" t="n">
        <f aca="false">(Entrées!$C$36*(1-S548)+MAX(0,Entrées!$C$30-Entrées!$C$35-Entrées!$C$36)*U548)*1000</f>
        <v>1160.7971334048</v>
      </c>
      <c r="AP548" s="2" t="n">
        <f aca="false">-AO548/W548</f>
        <v>-140.79347201393</v>
      </c>
      <c r="AQ548" s="2" t="n">
        <f aca="false">AL548+AM548+AN548+AP548</f>
        <v>7928.89543623605</v>
      </c>
      <c r="AR548" s="2" t="n">
        <f aca="false">O548*AQ548-Hypothèses!$J$25/Hypothèses!$J$19</f>
        <v>1328.96399509074</v>
      </c>
      <c r="AS548" s="2" t="n">
        <f aca="false">Entrées!$C$79*(1+Q548)+Hypothèses!$J$20</f>
        <v>1475.56038356147</v>
      </c>
      <c r="AT548" s="2" t="n">
        <f aca="false">AI548-AR548+AS548+Y548*1000-AO548+Hypothèses!$J$23</f>
        <v>22116.0738496803</v>
      </c>
      <c r="AU548" s="2" t="n">
        <f aca="false">AT548/AQ548</f>
        <v>2.78930073268554</v>
      </c>
      <c r="AV548" s="2" t="n">
        <f aca="false">Hypothèses!$J$26*AQ548-AT548</f>
        <v>1670.61245902787</v>
      </c>
      <c r="AW548" s="2" t="n">
        <f aca="false">IF(AC548&gt;Hypothèses!$J$26,MAX(0,AV548)/(1-Hypothèses!$J$26/AC548),0)</f>
        <v>2506.10292422961</v>
      </c>
      <c r="AX548" s="2" t="n">
        <f aca="false">AQ548-Entrées!$C$17*1000</f>
        <v>-71.1045637639509</v>
      </c>
      <c r="AY548" s="2" t="n">
        <f aca="false">AI548+(Entrées!$C$244-Entrées!$C$13)</f>
        <v>28354.0424867799</v>
      </c>
      <c r="AZ548" s="2" t="n">
        <f aca="false">AA548*AH548</f>
        <v>5456.98294461389</v>
      </c>
      <c r="BA548" s="2" t="n">
        <f aca="false">AZ548/AY548</f>
        <v>0.192458727786636</v>
      </c>
      <c r="BB548" s="2" t="n">
        <f aca="false">AZ548/(Entrées!$C$151/100)-AY548</f>
        <v>1962.52942774172</v>
      </c>
      <c r="BC548" s="2" t="n">
        <f aca="false">AT548+(Entrées!$C$244-Entrées!$C$13)</f>
        <v>27863.0738496803</v>
      </c>
      <c r="BD548" s="2" t="n">
        <f aca="false">AA548*AQ548</f>
        <v>5772.1525399063</v>
      </c>
      <c r="BE548" s="2" t="n">
        <f aca="false">BD548/BC548</f>
        <v>0.207161369597868</v>
      </c>
      <c r="BF548" s="2" t="n">
        <f aca="false">BD548/(Entrées!$C$151/100)-BC548</f>
        <v>4204.44026091029</v>
      </c>
      <c r="BG548" s="2" t="n">
        <f aca="false">MIN(AV548,BF548)</f>
        <v>1670.61245902787</v>
      </c>
      <c r="BH548" s="2" t="n">
        <f aca="false">IF(AC548&gt;Hypothèses!$J$26,MAX(0,BG548)/(1-Hypothèses!$J$26/AC548),0)</f>
        <v>2506.10292422961</v>
      </c>
    </row>
    <row r="549" customFormat="false" ht="15" hidden="false" customHeight="false" outlineLevel="0" collapsed="false">
      <c r="A549" s="2" t="n">
        <v>534</v>
      </c>
      <c r="B549" s="2" t="n">
        <v>0.45886181</v>
      </c>
      <c r="C549" s="2"/>
      <c r="D549" s="2" t="n">
        <v>0.822503605</v>
      </c>
      <c r="E549" s="2" t="n">
        <f aca="false">IF(E$7=E$5,E$6,IF(NORMSDIST(E$9*SQRT($C$11)*NORMSINV($B549)+SQRT(1-E$9^2*$C$11)*NORMSINV(D549))&lt;E$8,E$5+SQRT(NORMSDIST(E$9*SQRT($C$11)*NORMSINV($B549)+SQRT(1-E$9^2*$C$11)*NORMSINV(D549))*(E$7-E$5)*(E$6-E$5)),E$7-SQRT((1-NORMSDIST(E$9*SQRT($C$11)*NORMSINV($B549)+SQRT(1-E$9^2*$C$11)*NORMSINV(D549)))*(E$7-E$5)*(E$7-E$6))))</f>
        <v>0.0564119513874652</v>
      </c>
      <c r="F549" s="2" t="n">
        <v>0.124487425</v>
      </c>
      <c r="G549" s="2" t="n">
        <f aca="false">IF(G$7=G$5,G$6,IF(NORMSDIST(G$9*SQRT($C$11)*NORMSINV($B549)+SQRT(1-G$9^2*$C$11)*NORMSINV(F549))&lt;G$8,G$5+SQRT(NORMSDIST(G$9*SQRT($C$11)*NORMSINV($B549)+SQRT(1-G$9^2*$C$11)*NORMSINV(F549))*(G$7-G$5)*(G$6-G$5)),G$7-SQRT((1-NORMSDIST(G$9*SQRT($C$11)*NORMSINV($B549)+SQRT(1-G$9^2*$C$11)*NORMSINV(F549)))*(G$7-G$5)*(G$7-G$6))))</f>
        <v>0.0487193805094096</v>
      </c>
      <c r="H549" s="2" t="n">
        <v>0.870971784</v>
      </c>
      <c r="I549" s="2" t="n">
        <f aca="false">IF(I$7=I$5,I$6,IF(NORMSDIST(I$9*SQRT($C$11)*NORMSINV($B549)+SQRT(1-I$9^2*$C$11)*NORMSINV(H549))&lt;I$8,I$5+SQRT(NORMSDIST(I$9*SQRT($C$11)*NORMSINV($B549)+SQRT(1-I$9^2*$C$11)*NORMSINV(H549))*(I$7-I$5)*(I$6-I$5)),I$7-SQRT((1-NORMSDIST(I$9*SQRT($C$11)*NORMSINV($B549)+SQRT(1-I$9^2*$C$11)*NORMSINV(H549)))*(I$7-I$5)*(I$7-I$6))))</f>
        <v>207.076855099077</v>
      </c>
      <c r="J549" s="2" t="n">
        <v>0.236930155</v>
      </c>
      <c r="K549" s="2" t="n">
        <f aca="false">IF(K$7=K$5,K$6,IF(NORMSDIST(K$9*SQRT($C$11)*NORMSINV($B549)+SQRT(1-K$9^2*$C$11)*NORMSINV(J549))&lt;K$8,K$5+SQRT(NORMSDIST(K$9*SQRT($C$11)*NORMSINV($B549)+SQRT(1-K$9^2*$C$11)*NORMSINV(J549))*(K$7-K$5)*(K$6-K$5)),K$7-SQRT((1-NORMSDIST(K$9*SQRT($C$11)*NORMSINV($B549)+SQRT(1-K$9^2*$C$11)*NORMSINV(J549)))*(K$7-K$5)*(K$7-K$6))))</f>
        <v>0.182890993970045</v>
      </c>
      <c r="L549" s="2" t="n">
        <v>0.338725004</v>
      </c>
      <c r="M549" s="2" t="n">
        <f aca="false">IF(M$7=M$5,M$6,IF(NORMSDIST(M$9*SQRT($C$11)*NORMSINV($B549)+SQRT(1-M$9^2*$C$11)*NORMSINV(L549))&lt;M$8,M$5+SQRT(NORMSDIST(M$9*SQRT($C$11)*NORMSINV($B549)+SQRT(1-M$9^2*$C$11)*NORMSINV(L549))*(M$7-M$5)*(M$6-M$5)),M$7-SQRT((1-NORMSDIST(M$9*SQRT($C$11)*NORMSINV($B549)+SQRT(1-M$9^2*$C$11)*NORMSINV(L549)))*(M$7-M$5)*(M$7-M$6))))</f>
        <v>1538.98929638277</v>
      </c>
      <c r="N549" s="2" t="n">
        <v>0.407461575</v>
      </c>
      <c r="O549" s="2" t="n">
        <f aca="false">IF(O$7=O$5,O$6,IF(NORMSDIST(O$9*SQRT($C$11)*NORMSINV($B549)+SQRT(1-O$9^2*$C$11)*NORMSINV(N549))&lt;O$8,O$5+SQRT(NORMSDIST(O$9*SQRT($C$11)*NORMSINV($B549)+SQRT(1-O$9^2*$C$11)*NORMSINV(N549))*(O$7-O$5)*(O$6-O$5)),O$7-SQRT((1-NORMSDIST(O$9*SQRT($C$11)*NORMSINV($B549)+SQRT(1-O$9^2*$C$11)*NORMSINV(N549)))*(O$7-O$5)*(O$7-O$6))))</f>
        <v>0.164034189999807</v>
      </c>
      <c r="P549" s="2" t="n">
        <v>0.768207653</v>
      </c>
      <c r="Q549" s="2" t="n">
        <f aca="false">IF(Q$7=Q$5,Q$6,IF(NORMSDIST(Q$9*SQRT($C$11)*NORMSINV($B549)+SQRT(1-Q$9^2*$C$11)*NORMSINV(P549))&lt;Q$8,Q$5+SQRT(NORMSDIST(Q$9*SQRT($C$11)*NORMSINV($B549)+SQRT(1-Q$9^2*$C$11)*NORMSINV(P549))*(Q$7-Q$5)*(Q$6-Q$5)),Q$7-SQRT((1-NORMSDIST(Q$9*SQRT($C$11)*NORMSINV($B549)+SQRT(1-Q$9^2*$C$11)*NORMSINV(P549)))*(Q$7-Q$5)*(Q$7-Q$6))))</f>
        <v>0.0927651783482983</v>
      </c>
      <c r="R549" s="2" t="n">
        <v>0.630669539</v>
      </c>
      <c r="S549" s="2" t="n">
        <f aca="false">IF(S$7=S$5,S$6,IF(NORMSDIST(S$9*SQRT($C$11)*NORMSINV($B549)+SQRT(1-S$9^2*$C$11)*NORMSINV(R549))&lt;S$8,S$5+SQRT(NORMSDIST(S$9*SQRT($C$11)*NORMSINV($B549)+SQRT(1-S$9^2*$C$11)*NORMSINV(R549))*(S$7-S$5)*(S$6-S$5)),S$7-SQRT((1-NORMSDIST(S$9*SQRT($C$11)*NORMSINV($B549)+SQRT(1-S$9^2*$C$11)*NORMSINV(R549)))*(S$7-S$5)*(S$7-S$6))))</f>
        <v>0.539867880662173</v>
      </c>
      <c r="T549" s="2" t="n">
        <v>0.360994941</v>
      </c>
      <c r="U549" s="2" t="n">
        <f aca="false">IF(U$7=U$5,U$6,IF(NORMSDIST(U$9*SQRT($C$11)*NORMSINV($B549)+SQRT(1-U$9^2*$C$11)*NORMSINV(T549))&lt;U$8,U$5+SQRT(NORMSDIST(U$9*SQRT($C$11)*NORMSINV($B549)+SQRT(1-U$9^2*$C$11)*NORMSINV(T549))*(U$7-U$5)*(U$6-U$5)),U$7-SQRT((1-NORMSDIST(U$9*SQRT($C$11)*NORMSINV($B549)+SQRT(1-U$9^2*$C$11)*NORMSINV(T549)))*(U$7-U$5)*(U$7-U$6))))</f>
        <v>0.428121488991714</v>
      </c>
      <c r="V549" s="2" t="n">
        <v>0.02857843</v>
      </c>
      <c r="W549" s="2" t="n">
        <f aca="false">IF(W$7=W$5,W$6,IF(NORMSDIST(W$9*SQRT($C$11)*NORMSINV($B549)+SQRT(1-W$9^2*$C$11)*NORMSINV(V549))&lt;W$8,W$5+SQRT(NORMSDIST(W$9*SQRT($C$11)*NORMSINV($B549)+SQRT(1-W$9^2*$C$11)*NORMSINV(V549))*(W$7-W$5)*(W$6-W$5)),W$7-SQRT((1-NORMSDIST(W$9*SQRT($C$11)*NORMSINV($B549)+SQRT(1-W$9^2*$C$11)*NORMSINV(V549)))*(W$7-W$5)*(W$7-W$6))))</f>
        <v>8.70392400964343</v>
      </c>
      <c r="X549" s="2" t="n">
        <v>0.005065816</v>
      </c>
      <c r="Y549" s="2" t="n">
        <f aca="false">IF(Y$7=Y$5,Y$6,IF(NORMSDIST(Y$9*SQRT($C$11)*NORMSINV($B549)+SQRT(1-Y$9^2*$C$11)*NORMSINV(X549))&lt;Y$8,Y$5+SQRT(NORMSDIST(Y$9*SQRT($C$11)*NORMSINV($B549)+SQRT(1-Y$9^2*$C$11)*NORMSINV(X549))*(Y$7-Y$5)*(Y$6-Y$5)),Y$7-SQRT((1-NORMSDIST(Y$9*SQRT($C$11)*NORMSINV($B549)+SQRT(1-Y$9^2*$C$11)*NORMSINV(X549)))*(Y$7-Y$5)*(Y$7-Y$6))))</f>
        <v>0.0503280041328881</v>
      </c>
      <c r="Z549" s="2" t="n">
        <v>0.519810321</v>
      </c>
      <c r="AA549" s="2" t="n">
        <f aca="false">IF(AA$7=AA$5,AA$6,IF(NORMSDIST(AA$9*SQRT($C$11)*NORMSINV($B549)+SQRT(1-AA$9^2*$C$11)*NORMSINV(Z549))&lt;AA$8,AA$5+SQRT(NORMSDIST(AA$9*SQRT($C$11)*NORMSINV($B549)+SQRT(1-AA$9^2*$C$11)*NORMSINV(Z549))*(AA$7-AA$5)*(AA$6-AA$5)),AA$7-SQRT((1-NORMSDIST(AA$9*SQRT($C$11)*NORMSINV($B549)+SQRT(1-AA$9^2*$C$11)*NORMSINV(Z549)))*(AA$7-AA$5)*(AA$7-AA$6))))</f>
        <v>0.727698860327398</v>
      </c>
      <c r="AB549" s="2" t="n">
        <v>0.732754035</v>
      </c>
      <c r="AC549" s="2" t="n">
        <f aca="false">IF(AC$7=AC$5,AC$6,IF(NORMSDIST(AC$9*SQRT($C$11)*NORMSINV($B549)+SQRT(1-AC$9^2*$C$11)*NORMSINV(AB549))&lt;AC$8,AC$5+SQRT(NORMSDIST(AC$9*SQRT($C$11)*NORMSINV($B549)+SQRT(1-AC$9^2*$C$11)*NORMSINV(AB549))*(AC$7-AC$5)*(AC$6-AC$5)),AC$7-SQRT((1-NORMSDIST(AC$9*SQRT($C$11)*NORMSINV($B549)+SQRT(1-AC$9^2*$C$11)*NORMSINV(AB549)))*(AC$7-AC$5)*(AC$7-AC$6))))</f>
        <v>9.79019086600994</v>
      </c>
      <c r="AD549" s="2" t="n">
        <f aca="false">Entrées!$C$8*(1+E549)</f>
        <v>7447.70425728163</v>
      </c>
      <c r="AE549" s="2" t="n">
        <f aca="false">I549*Hypothèses!$J$24/12/Hypothèses!$J$19</f>
        <v>102.730165039394</v>
      </c>
      <c r="AF549" s="2" t="n">
        <f aca="false">Entrées!$C$36*S549*1000</f>
        <v>269.933940331086</v>
      </c>
      <c r="AG549" s="2" t="n">
        <f aca="false">-AF549/W549</f>
        <v>-31.0129017707433</v>
      </c>
      <c r="AH549" s="2" t="n">
        <f aca="false">AD549+AE549+AG549</f>
        <v>7519.42152055028</v>
      </c>
      <c r="AI549" s="2" t="n">
        <f aca="false">Entrées!$C$16-M549+Hypothèses!$J$22*1000-AF549+Hypothèses!$J$23</f>
        <v>22739.0767632861</v>
      </c>
      <c r="AJ549" s="2" t="n">
        <f aca="false">AI549/AH549</f>
        <v>3.02404602550092</v>
      </c>
      <c r="AK549" s="2" t="n">
        <f aca="false">AI549/(AH549+I549*(12-Hypothèses!$J$24)/12/Hypothèses!$J$19)</f>
        <v>2.99482090069285</v>
      </c>
      <c r="AL549" s="2" t="n">
        <f aca="false">(AD549+AG549+I549/Hypothèses!$J$19)*(1+G549)</f>
        <v>7962.71673242043</v>
      </c>
      <c r="AM549" s="2" t="n">
        <f aca="false">Entrées!$C$54*K549/Hypothèses!$J$19</f>
        <v>18.6647938443033</v>
      </c>
      <c r="AN549" s="2" t="n">
        <f aca="false">Y549*1000/AC549</f>
        <v>5.14065607317415</v>
      </c>
      <c r="AO549" s="2" t="n">
        <f aca="false">(Entrées!$C$36*(1-S549)+MAX(0,Entrées!$C$30-Entrées!$C$35-Entrées!$C$36)*U549)*1000</f>
        <v>829.436144257314</v>
      </c>
      <c r="AP549" s="2" t="n">
        <f aca="false">-AO549/W549</f>
        <v>-95.2945066315316</v>
      </c>
      <c r="AQ549" s="2" t="n">
        <f aca="false">AL549+AM549+AN549+AP549</f>
        <v>7891.22767570637</v>
      </c>
      <c r="AR549" s="2" t="n">
        <f aca="false">O549*AQ549-Hypothèses!$J$25/Hypothèses!$J$19</f>
        <v>1275.29597762693</v>
      </c>
      <c r="AS549" s="2" t="n">
        <f aca="false">Entrées!$C$79*(1+Q549)+Hypothèses!$J$20</f>
        <v>1495.94893100478</v>
      </c>
      <c r="AT549" s="2" t="n">
        <f aca="false">AI549-AR549+AS549+Y549*1000-AO549+Hypothèses!$J$23</f>
        <v>22180.6215765396</v>
      </c>
      <c r="AU549" s="2" t="n">
        <f aca="false">AT549/AQ549</f>
        <v>2.81079478226486</v>
      </c>
      <c r="AV549" s="2" t="n">
        <f aca="false">Hypothèses!$J$26*AQ549-AT549</f>
        <v>1493.06145057955</v>
      </c>
      <c r="AW549" s="2" t="n">
        <f aca="false">IF(AC549&gt;Hypothèses!$J$26,MAX(0,AV549)/(1-Hypothèses!$J$26/AC549),0)</f>
        <v>2152.71659726481</v>
      </c>
      <c r="AX549" s="2" t="n">
        <f aca="false">AQ549-Entrées!$C$17*1000</f>
        <v>-108.772324293627</v>
      </c>
      <c r="AY549" s="2" t="n">
        <f aca="false">AI549+(Entrées!$C$244-Entrées!$C$13)</f>
        <v>28486.0767632861</v>
      </c>
      <c r="AZ549" s="2" t="n">
        <f aca="false">AA549*AH549</f>
        <v>5471.87447082575</v>
      </c>
      <c r="BA549" s="2" t="n">
        <f aca="false">AZ549/AY549</f>
        <v>0.192089437808372</v>
      </c>
      <c r="BB549" s="2" t="n">
        <f aca="false">AZ549/(Entrées!$C$151/100)-AY549</f>
        <v>1913.22585241248</v>
      </c>
      <c r="BC549" s="2" t="n">
        <f aca="false">AT549+(Entrées!$C$244-Entrées!$C$13)</f>
        <v>27927.6215765396</v>
      </c>
      <c r="BD549" s="2" t="n">
        <f aca="false">AA549*AQ549</f>
        <v>5742.43738619555</v>
      </c>
      <c r="BE549" s="2" t="n">
        <f aca="false">BD549/BC549</f>
        <v>0.205618561912177</v>
      </c>
      <c r="BF549" s="2" t="n">
        <f aca="false">BD549/(Entrées!$C$151/100)-BC549</f>
        <v>3974.80834676906</v>
      </c>
      <c r="BG549" s="2" t="n">
        <f aca="false">MIN(AV549,BF549)</f>
        <v>1493.06145057955</v>
      </c>
      <c r="BH549" s="2" t="n">
        <f aca="false">IF(AC549&gt;Hypothèses!$J$26,MAX(0,BG549)/(1-Hypothèses!$J$26/AC549),0)</f>
        <v>2152.71659726481</v>
      </c>
    </row>
    <row r="550" customFormat="false" ht="15" hidden="false" customHeight="false" outlineLevel="0" collapsed="false">
      <c r="A550" s="2" t="n">
        <v>535</v>
      </c>
      <c r="B550" s="2" t="n">
        <v>0.492399016</v>
      </c>
      <c r="C550" s="2"/>
      <c r="D550" s="2" t="n">
        <v>0.454575266</v>
      </c>
      <c r="E550" s="2" t="n">
        <f aca="false">IF(E$7=E$5,E$6,IF(NORMSDIST(E$9*SQRT($C$11)*NORMSINV($B550)+SQRT(1-E$9^2*$C$11)*NORMSINV(D550))&lt;E$8,E$5+SQRT(NORMSDIST(E$9*SQRT($C$11)*NORMSINV($B550)+SQRT(1-E$9^2*$C$11)*NORMSINV(D550))*(E$7-E$5)*(E$6-E$5)),E$7-SQRT((1-NORMSDIST(E$9*SQRT($C$11)*NORMSINV($B550)+SQRT(1-E$9^2*$C$11)*NORMSINV(D550)))*(E$7-E$5)*(E$7-E$6))))</f>
        <v>0.054795818340173</v>
      </c>
      <c r="F550" s="2" t="n">
        <v>0.805254187</v>
      </c>
      <c r="G550" s="2" t="n">
        <f aca="false">IF(G$7=G$5,G$6,IF(NORMSDIST(G$9*SQRT($C$11)*NORMSINV($B550)+SQRT(1-G$9^2*$C$11)*NORMSINV(F550))&lt;G$8,G$5+SQRT(NORMSDIST(G$9*SQRT($C$11)*NORMSINV($B550)+SQRT(1-G$9^2*$C$11)*NORMSINV(F550))*(G$7-G$5)*(G$6-G$5)),G$7-SQRT((1-NORMSDIST(G$9*SQRT($C$11)*NORMSINV($B550)+SQRT(1-G$9^2*$C$11)*NORMSINV(F550)))*(G$7-G$5)*(G$7-G$6))))</f>
        <v>0.0592587366402323</v>
      </c>
      <c r="H550" s="2" t="n">
        <v>0.639067944</v>
      </c>
      <c r="I550" s="2" t="n">
        <f aca="false">IF(I$7=I$5,I$6,IF(NORMSDIST(I$9*SQRT($C$11)*NORMSINV($B550)+SQRT(1-I$9^2*$C$11)*NORMSINV(H550))&lt;I$8,I$5+SQRT(NORMSDIST(I$9*SQRT($C$11)*NORMSINV($B550)+SQRT(1-I$9^2*$C$11)*NORMSINV(H550))*(I$7-I$5)*(I$6-I$5)),I$7-SQRT((1-NORMSDIST(I$9*SQRT($C$11)*NORMSINV($B550)+SQRT(1-I$9^2*$C$11)*NORMSINV(H550)))*(I$7-I$5)*(I$7-I$6))))</f>
        <v>202.200836641985</v>
      </c>
      <c r="J550" s="2" t="n">
        <v>0.02041217</v>
      </c>
      <c r="K550" s="2" t="n">
        <f aca="false">IF(K$7=K$5,K$6,IF(NORMSDIST(K$9*SQRT($C$11)*NORMSINV($B550)+SQRT(1-K$9^2*$C$11)*NORMSINV(J550))&lt;K$8,K$5+SQRT(NORMSDIST(K$9*SQRT($C$11)*NORMSINV($B550)+SQRT(1-K$9^2*$C$11)*NORMSINV(J550))*(K$7-K$5)*(K$6-K$5)),K$7-SQRT((1-NORMSDIST(K$9*SQRT($C$11)*NORMSINV($B550)+SQRT(1-K$9^2*$C$11)*NORMSINV(J550)))*(K$7-K$5)*(K$7-K$6))))</f>
        <v>0.0830710220627332</v>
      </c>
      <c r="L550" s="2" t="n">
        <v>0.009666182</v>
      </c>
      <c r="M550" s="2" t="n">
        <f aca="false">IF(M$7=M$5,M$6,IF(NORMSDIST(M$9*SQRT($C$11)*NORMSINV($B550)+SQRT(1-M$9^2*$C$11)*NORMSINV(L550))&lt;M$8,M$5+SQRT(NORMSDIST(M$9*SQRT($C$11)*NORMSINV($B550)+SQRT(1-M$9^2*$C$11)*NORMSINV(L550))*(M$7-M$5)*(M$6-M$5)),M$7-SQRT((1-NORMSDIST(M$9*SQRT($C$11)*NORMSINV($B550)+SQRT(1-M$9^2*$C$11)*NORMSINV(L550)))*(M$7-M$5)*(M$7-M$6))))</f>
        <v>1376.86816254242</v>
      </c>
      <c r="N550" s="2" t="n">
        <v>0.099399069</v>
      </c>
      <c r="O550" s="2" t="n">
        <f aca="false">IF(O$7=O$5,O$6,IF(NORMSDIST(O$9*SQRT($C$11)*NORMSINV($B550)+SQRT(1-O$9^2*$C$11)*NORMSINV(N550))&lt;O$8,O$5+SQRT(NORMSDIST(O$9*SQRT($C$11)*NORMSINV($B550)+SQRT(1-O$9^2*$C$11)*NORMSINV(N550))*(O$7-O$5)*(O$6-O$5)),O$7-SQRT((1-NORMSDIST(O$9*SQRT($C$11)*NORMSINV($B550)+SQRT(1-O$9^2*$C$11)*NORMSINV(N550)))*(O$7-O$5)*(O$7-O$6))))</f>
        <v>0.155002788825504</v>
      </c>
      <c r="P550" s="2" t="n">
        <v>0.901725404</v>
      </c>
      <c r="Q550" s="2" t="n">
        <f aca="false">IF(Q$7=Q$5,Q$6,IF(NORMSDIST(Q$9*SQRT($C$11)*NORMSINV($B550)+SQRT(1-Q$9^2*$C$11)*NORMSINV(P550))&lt;Q$8,Q$5+SQRT(NORMSDIST(Q$9*SQRT($C$11)*NORMSINV($B550)+SQRT(1-Q$9^2*$C$11)*NORMSINV(P550))*(Q$7-Q$5)*(Q$6-Q$5)),Q$7-SQRT((1-NORMSDIST(Q$9*SQRT($C$11)*NORMSINV($B550)+SQRT(1-Q$9^2*$C$11)*NORMSINV(P550)))*(Q$7-Q$5)*(Q$7-Q$6))))</f>
        <v>0.102266452492521</v>
      </c>
      <c r="R550" s="2" t="n">
        <v>0.716488584</v>
      </c>
      <c r="S550" s="2" t="n">
        <f aca="false">IF(S$7=S$5,S$6,IF(NORMSDIST(S$9*SQRT($C$11)*NORMSINV($B550)+SQRT(1-S$9^2*$C$11)*NORMSINV(R550))&lt;S$8,S$5+SQRT(NORMSDIST(S$9*SQRT($C$11)*NORMSINV($B550)+SQRT(1-S$9^2*$C$11)*NORMSINV(R550))*(S$7-S$5)*(S$6-S$5)),S$7-SQRT((1-NORMSDIST(S$9*SQRT($C$11)*NORMSINV($B550)+SQRT(1-S$9^2*$C$11)*NORMSINV(R550)))*(S$7-S$5)*(S$7-S$6))))</f>
        <v>0.591892715829198</v>
      </c>
      <c r="T550" s="2" t="n">
        <v>0.181685734</v>
      </c>
      <c r="U550" s="2" t="n">
        <f aca="false">IF(U$7=U$5,U$6,IF(NORMSDIST(U$9*SQRT($C$11)*NORMSINV($B550)+SQRT(1-U$9^2*$C$11)*NORMSINV(T550))&lt;U$8,U$5+SQRT(NORMSDIST(U$9*SQRT($C$11)*NORMSINV($B550)+SQRT(1-U$9^2*$C$11)*NORMSINV(T550))*(U$7-U$5)*(U$6-U$5)),U$7-SQRT((1-NORMSDIST(U$9*SQRT($C$11)*NORMSINV($B550)+SQRT(1-U$9^2*$C$11)*NORMSINV(T550)))*(U$7-U$5)*(U$7-U$6))))</f>
        <v>0.344206479902138</v>
      </c>
      <c r="V550" s="2" t="n">
        <v>0.741276753</v>
      </c>
      <c r="W550" s="2" t="n">
        <f aca="false">IF(W$7=W$5,W$6,IF(NORMSDIST(W$9*SQRT($C$11)*NORMSINV($B550)+SQRT(1-W$9^2*$C$11)*NORMSINV(V550))&lt;W$8,W$5+SQRT(NORMSDIST(W$9*SQRT($C$11)*NORMSINV($B550)+SQRT(1-W$9^2*$C$11)*NORMSINV(V550))*(W$7-W$5)*(W$6-W$5)),W$7-SQRT((1-NORMSDIST(W$9*SQRT($C$11)*NORMSINV($B550)+SQRT(1-W$9^2*$C$11)*NORMSINV(V550)))*(W$7-W$5)*(W$7-W$6))))</f>
        <v>10.4193616553745</v>
      </c>
      <c r="X550" s="2" t="n">
        <v>0.538200757</v>
      </c>
      <c r="Y550" s="2" t="n">
        <f aca="false">IF(Y$7=Y$5,Y$6,IF(NORMSDIST(Y$9*SQRT($C$11)*NORMSINV($B550)+SQRT(1-Y$9^2*$C$11)*NORMSINV(X550))&lt;Y$8,Y$5+SQRT(NORMSDIST(Y$9*SQRT($C$11)*NORMSINV($B550)+SQRT(1-Y$9^2*$C$11)*NORMSINV(X550))*(Y$7-Y$5)*(Y$6-Y$5)),Y$7-SQRT((1-NORMSDIST(Y$9*SQRT($C$11)*NORMSINV($B550)+SQRT(1-Y$9^2*$C$11)*NORMSINV(X550)))*(Y$7-Y$5)*(Y$7-Y$6))))</f>
        <v>0.51947984277452</v>
      </c>
      <c r="Z550" s="2" t="n">
        <v>0.706368355</v>
      </c>
      <c r="AA550" s="2" t="n">
        <f aca="false">IF(AA$7=AA$5,AA$6,IF(NORMSDIST(AA$9*SQRT($C$11)*NORMSINV($B550)+SQRT(1-AA$9^2*$C$11)*NORMSINV(Z550))&lt;AA$8,AA$5+SQRT(NORMSDIST(AA$9*SQRT($C$11)*NORMSINV($B550)+SQRT(1-AA$9^2*$C$11)*NORMSINV(Z550))*(AA$7-AA$5)*(AA$6-AA$5)),AA$7-SQRT((1-NORMSDIST(AA$9*SQRT($C$11)*NORMSINV($B550)+SQRT(1-AA$9^2*$C$11)*NORMSINV(Z550)))*(AA$7-AA$5)*(AA$7-AA$6))))</f>
        <v>0.732918962793633</v>
      </c>
      <c r="AB550" s="2" t="n">
        <v>0.565237656</v>
      </c>
      <c r="AC550" s="2" t="n">
        <f aca="false">IF(AC$7=AC$5,AC$6,IF(NORMSDIST(AC$9*SQRT($C$11)*NORMSINV($B550)+SQRT(1-AC$9^2*$C$11)*NORMSINV(AB550))&lt;AC$8,AC$5+SQRT(NORMSDIST(AC$9*SQRT($C$11)*NORMSINV($B550)+SQRT(1-AC$9^2*$C$11)*NORMSINV(AB550))*(AC$7-AC$5)*(AC$6-AC$5)),AC$7-SQRT((1-NORMSDIST(AC$9*SQRT($C$11)*NORMSINV($B550)+SQRT(1-AC$9^2*$C$11)*NORMSINV(AB550)))*(AC$7-AC$5)*(AC$7-AC$6))))</f>
        <v>9.57167093118271</v>
      </c>
      <c r="AD550" s="2" t="n">
        <f aca="false">Entrées!$C$8*(1+E550)</f>
        <v>7436.31051929822</v>
      </c>
      <c r="AE550" s="2" t="n">
        <f aca="false">I550*Hypothèses!$J$24/12/Hypothèses!$J$19</f>
        <v>100.311187889135</v>
      </c>
      <c r="AF550" s="2" t="n">
        <f aca="false">Entrées!$C$36*S550*1000</f>
        <v>295.946357914599</v>
      </c>
      <c r="AG550" s="2" t="n">
        <f aca="false">-AF550/W550</f>
        <v>-28.4035018365972</v>
      </c>
      <c r="AH550" s="2" t="n">
        <f aca="false">AD550+AE550+AG550</f>
        <v>7508.21820535076</v>
      </c>
      <c r="AI550" s="2" t="n">
        <f aca="false">Entrées!$C$16-M550+Hypothèses!$J$22*1000-AF550+Hypothèses!$J$23</f>
        <v>22875.185479543</v>
      </c>
      <c r="AJ550" s="2" t="n">
        <f aca="false">AI550/AH550</f>
        <v>3.04668629146139</v>
      </c>
      <c r="AK550" s="2" t="n">
        <f aca="false">AI550/(AH550+I550*(12-Hypothèses!$J$24)/12/Hypothèses!$J$19)</f>
        <v>3.01788663063318</v>
      </c>
      <c r="AL550" s="2" t="n">
        <f aca="false">(AD550+AG550+I550/Hypothèses!$J$19)*(1+G550)</f>
        <v>8029.04251787212</v>
      </c>
      <c r="AM550" s="2" t="n">
        <f aca="false">Entrées!$C$54*K550/Hypothèses!$J$19</f>
        <v>8.47774659418405</v>
      </c>
      <c r="AN550" s="2" t="n">
        <f aca="false">Y550*1000/AC550</f>
        <v>54.2726391775706</v>
      </c>
      <c r="AO550" s="2" t="n">
        <f aca="false">(Entrées!$C$36*(1-S550)+MAX(0,Entrées!$C$30-Entrées!$C$35-Entrées!$C$36)*U550)*1000</f>
        <v>685.942713948393</v>
      </c>
      <c r="AP550" s="2" t="n">
        <f aca="false">-AO550/W550</f>
        <v>-65.8334681755264</v>
      </c>
      <c r="AQ550" s="2" t="n">
        <f aca="false">AL550+AM550+AN550+AP550</f>
        <v>8025.95943546835</v>
      </c>
      <c r="AR550" s="2" t="n">
        <f aca="false">O550*AQ550-Hypothèses!$J$25/Hypothèses!$J$19</f>
        <v>1224.91093323633</v>
      </c>
      <c r="AS550" s="2" t="n">
        <f aca="false">Entrées!$C$79*(1+Q550)+Hypothèses!$J$20</f>
        <v>1506.39083128928</v>
      </c>
      <c r="AT550" s="2" t="n">
        <f aca="false">AI550-AR550+AS550+Y550*1000-AO550+Hypothèses!$J$23</f>
        <v>22990.2025064221</v>
      </c>
      <c r="AU550" s="2" t="n">
        <f aca="false">AT550/AQ550</f>
        <v>2.86448027694031</v>
      </c>
      <c r="AV550" s="2" t="n">
        <f aca="false">Hypothèses!$J$26*AQ550-AT550</f>
        <v>1087.675799983</v>
      </c>
      <c r="AW550" s="2" t="n">
        <f aca="false">IF(AC550&gt;Hypothèses!$J$26,MAX(0,AV550)/(1-Hypothèses!$J$26/AC550),0)</f>
        <v>1584.20513538626</v>
      </c>
      <c r="AX550" s="2" t="n">
        <f aca="false">AQ550-Entrées!$C$17*1000</f>
        <v>25.9594354683532</v>
      </c>
      <c r="AY550" s="2" t="n">
        <f aca="false">AI550+(Entrées!$C$244-Entrées!$C$13)</f>
        <v>28622.185479543</v>
      </c>
      <c r="AZ550" s="2" t="n">
        <f aca="false">AA550*AH550</f>
        <v>5502.91549949395</v>
      </c>
      <c r="BA550" s="2" t="n">
        <f aca="false">AZ550/AY550</f>
        <v>0.19226049329556</v>
      </c>
      <c r="BB550" s="2" t="n">
        <f aca="false">AZ550/(Entrées!$C$151/100)-AY550</f>
        <v>1949.56729542339</v>
      </c>
      <c r="BC550" s="2" t="n">
        <f aca="false">AT550+(Entrées!$C$244-Entrées!$C$13)</f>
        <v>28737.2025064221</v>
      </c>
      <c r="BD550" s="2" t="n">
        <f aca="false">AA550*AQ550</f>
        <v>5882.37786486723</v>
      </c>
      <c r="BE550" s="2" t="n">
        <f aca="false">BD550/BC550</f>
        <v>0.204695563653166</v>
      </c>
      <c r="BF550" s="2" t="n">
        <f aca="false">BD550/(Entrées!$C$151/100)-BC550</f>
        <v>3942.67452061814</v>
      </c>
      <c r="BG550" s="2" t="n">
        <f aca="false">MIN(AV550,BF550)</f>
        <v>1087.675799983</v>
      </c>
      <c r="BH550" s="2" t="n">
        <f aca="false">IF(AC550&gt;Hypothèses!$J$26,MAX(0,BG550)/(1-Hypothèses!$J$26/AC550),0)</f>
        <v>1584.20513538626</v>
      </c>
    </row>
    <row r="551" customFormat="false" ht="15" hidden="false" customHeight="false" outlineLevel="0" collapsed="false">
      <c r="A551" s="2" t="n">
        <v>536</v>
      </c>
      <c r="B551" s="2" t="n">
        <v>0.012022873</v>
      </c>
      <c r="C551" s="2"/>
      <c r="D551" s="2" t="n">
        <v>0.147390702</v>
      </c>
      <c r="E551" s="2" t="n">
        <f aca="false">IF(E$7=E$5,E$6,IF(NORMSDIST(E$9*SQRT($C$11)*NORMSINV($B551)+SQRT(1-E$9^2*$C$11)*NORMSINV(D551))&lt;E$8,E$5+SQRT(NORMSDIST(E$9*SQRT($C$11)*NORMSINV($B551)+SQRT(1-E$9^2*$C$11)*NORMSINV(D551))*(E$7-E$5)*(E$6-E$5)),E$7-SQRT((1-NORMSDIST(E$9*SQRT($C$11)*NORMSINV($B551)+SQRT(1-E$9^2*$C$11)*NORMSINV(D551)))*(E$7-E$5)*(E$7-E$6))))</f>
        <v>0.0507934325563426</v>
      </c>
      <c r="F551" s="2" t="n">
        <v>0.778899653</v>
      </c>
      <c r="G551" s="2" t="n">
        <f aca="false">IF(G$7=G$5,G$6,IF(NORMSDIST(G$9*SQRT($C$11)*NORMSINV($B551)+SQRT(1-G$9^2*$C$11)*NORMSINV(F551))&lt;G$8,G$5+SQRT(NORMSDIST(G$9*SQRT($C$11)*NORMSINV($B551)+SQRT(1-G$9^2*$C$11)*NORMSINV(F551))*(G$7-G$5)*(G$6-G$5)),G$7-SQRT((1-NORMSDIST(G$9*SQRT($C$11)*NORMSINV($B551)+SQRT(1-G$9^2*$C$11)*NORMSINV(F551)))*(G$7-G$5)*(G$7-G$6))))</f>
        <v>0.0495520412745045</v>
      </c>
      <c r="H551" s="2" t="n">
        <v>0.93449379</v>
      </c>
      <c r="I551" s="2" t="n">
        <f aca="false">IF(I$7=I$5,I$6,IF(NORMSDIST(I$9*SQRT($C$11)*NORMSINV($B551)+SQRT(1-I$9^2*$C$11)*NORMSINV(H551))&lt;I$8,I$5+SQRT(NORMSDIST(I$9*SQRT($C$11)*NORMSINV($B551)+SQRT(1-I$9^2*$C$11)*NORMSINV(H551))*(I$7-I$5)*(I$6-I$5)),I$7-SQRT((1-NORMSDIST(I$9*SQRT($C$11)*NORMSINV($B551)+SQRT(1-I$9^2*$C$11)*NORMSINV(H551)))*(I$7-I$5)*(I$7-I$6))))</f>
        <v>197.854068445327</v>
      </c>
      <c r="J551" s="2" t="n">
        <v>0.212251358</v>
      </c>
      <c r="K551" s="2" t="n">
        <f aca="false">IF(K$7=K$5,K$6,IF(NORMSDIST(K$9*SQRT($C$11)*NORMSINV($B551)+SQRT(1-K$9^2*$C$11)*NORMSINV(J551))&lt;K$8,K$5+SQRT(NORMSDIST(K$9*SQRT($C$11)*NORMSINV($B551)+SQRT(1-K$9^2*$C$11)*NORMSINV(J551))*(K$7-K$5)*(K$6-K$5)),K$7-SQRT((1-NORMSDIST(K$9*SQRT($C$11)*NORMSINV($B551)+SQRT(1-K$9^2*$C$11)*NORMSINV(J551)))*(K$7-K$5)*(K$7-K$6))))</f>
        <v>0.0504893883397642</v>
      </c>
      <c r="L551" s="2" t="n">
        <v>0.930659182</v>
      </c>
      <c r="M551" s="2" t="n">
        <f aca="false">IF(M$7=M$5,M$6,IF(NORMSDIST(M$9*SQRT($C$11)*NORMSINV($B551)+SQRT(1-M$9^2*$C$11)*NORMSINV(L551))&lt;M$8,M$5+SQRT(NORMSDIST(M$9*SQRT($C$11)*NORMSINV($B551)+SQRT(1-M$9^2*$C$11)*NORMSINV(L551))*(M$7-M$5)*(M$6-M$5)),M$7-SQRT((1-NORMSDIST(M$9*SQRT($C$11)*NORMSINV($B551)+SQRT(1-M$9^2*$C$11)*NORMSINV(L551)))*(M$7-M$5)*(M$7-M$6))))</f>
        <v>1552.29192863871</v>
      </c>
      <c r="N551" s="2" t="n">
        <v>0.962675261</v>
      </c>
      <c r="O551" s="2" t="n">
        <f aca="false">IF(O$7=O$5,O$6,IF(NORMSDIST(O$9*SQRT($C$11)*NORMSINV($B551)+SQRT(1-O$9^2*$C$11)*NORMSINV(N551))&lt;O$8,O$5+SQRT(NORMSDIST(O$9*SQRT($C$11)*NORMSINV($B551)+SQRT(1-O$9^2*$C$11)*NORMSINV(N551))*(O$7-O$5)*(O$6-O$5)),O$7-SQRT((1-NORMSDIST(O$9*SQRT($C$11)*NORMSINV($B551)+SQRT(1-O$9^2*$C$11)*NORMSINV(N551)))*(O$7-O$5)*(O$7-O$6))))</f>
        <v>0.166285653767506</v>
      </c>
      <c r="P551" s="2" t="n">
        <v>0.105407918</v>
      </c>
      <c r="Q551" s="2" t="n">
        <f aca="false">IF(Q$7=Q$5,Q$6,IF(NORMSDIST(Q$9*SQRT($C$11)*NORMSINV($B551)+SQRT(1-Q$9^2*$C$11)*NORMSINV(P551))&lt;Q$8,Q$5+SQRT(NORMSDIST(Q$9*SQRT($C$11)*NORMSINV($B551)+SQRT(1-Q$9^2*$C$11)*NORMSINV(P551))*(Q$7-Q$5)*(Q$6-Q$5)),Q$7-SQRT((1-NORMSDIST(Q$9*SQRT($C$11)*NORMSINV($B551)+SQRT(1-Q$9^2*$C$11)*NORMSINV(P551)))*(Q$7-Q$5)*(Q$7-Q$6))))</f>
        <v>0.0583658742672381</v>
      </c>
      <c r="R551" s="2" t="n">
        <v>0.423244538</v>
      </c>
      <c r="S551" s="2" t="n">
        <f aca="false">IF(S$7=S$5,S$6,IF(NORMSDIST(S$9*SQRT($C$11)*NORMSINV($B551)+SQRT(1-S$9^2*$C$11)*NORMSINV(R551))&lt;S$8,S$5+SQRT(NORMSDIST(S$9*SQRT($C$11)*NORMSINV($B551)+SQRT(1-S$9^2*$C$11)*NORMSINV(R551))*(S$7-S$5)*(S$6-S$5)),S$7-SQRT((1-NORMSDIST(S$9*SQRT($C$11)*NORMSINV($B551)+SQRT(1-S$9^2*$C$11)*NORMSINV(R551)))*(S$7-S$5)*(S$7-S$6))))</f>
        <v>0.169401832204569</v>
      </c>
      <c r="T551" s="2" t="n">
        <v>0.356460414</v>
      </c>
      <c r="U551" s="2" t="n">
        <f aca="false">IF(U$7=U$5,U$6,IF(NORMSDIST(U$9*SQRT($C$11)*NORMSINV($B551)+SQRT(1-U$9^2*$C$11)*NORMSINV(T551))&lt;U$8,U$5+SQRT(NORMSDIST(U$9*SQRT($C$11)*NORMSINV($B551)+SQRT(1-U$9^2*$C$11)*NORMSINV(T551))*(U$7-U$5)*(U$6-U$5)),U$7-SQRT((1-NORMSDIST(U$9*SQRT($C$11)*NORMSINV($B551)+SQRT(1-U$9^2*$C$11)*NORMSINV(T551)))*(U$7-U$5)*(U$7-U$6))))</f>
        <v>0.147379758606603</v>
      </c>
      <c r="V551" s="2" t="n">
        <v>0.735121436</v>
      </c>
      <c r="W551" s="2" t="n">
        <f aca="false">IF(W$7=W$5,W$6,IF(NORMSDIST(W$9*SQRT($C$11)*NORMSINV($B551)+SQRT(1-W$9^2*$C$11)*NORMSINV(V551))&lt;W$8,W$5+SQRT(NORMSDIST(W$9*SQRT($C$11)*NORMSINV($B551)+SQRT(1-W$9^2*$C$11)*NORMSINV(V551))*(W$7-W$5)*(W$6-W$5)),W$7-SQRT((1-NORMSDIST(W$9*SQRT($C$11)*NORMSINV($B551)+SQRT(1-W$9^2*$C$11)*NORMSINV(V551)))*(W$7-W$5)*(W$7-W$6))))</f>
        <v>9.1782139409999</v>
      </c>
      <c r="X551" s="2" t="n">
        <v>0.714419549</v>
      </c>
      <c r="Y551" s="2" t="n">
        <f aca="false">IF(Y$7=Y$5,Y$6,IF(NORMSDIST(Y$9*SQRT($C$11)*NORMSINV($B551)+SQRT(1-Y$9^2*$C$11)*NORMSINV(X551))&lt;Y$8,Y$5+SQRT(NORMSDIST(Y$9*SQRT($C$11)*NORMSINV($B551)+SQRT(1-Y$9^2*$C$11)*NORMSINV(X551))*(Y$7-Y$5)*(Y$6-Y$5)),Y$7-SQRT((1-NORMSDIST(Y$9*SQRT($C$11)*NORMSINV($B551)+SQRT(1-Y$9^2*$C$11)*NORMSINV(X551)))*(Y$7-Y$5)*(Y$7-Y$6))))</f>
        <v>0.622124060702458</v>
      </c>
      <c r="Z551" s="2" t="n">
        <v>0.586459657</v>
      </c>
      <c r="AA551" s="2" t="n">
        <f aca="false">IF(AA$7=AA$5,AA$6,IF(NORMSDIST(AA$9*SQRT($C$11)*NORMSINV($B551)+SQRT(1-AA$9^2*$C$11)*NORMSINV(Z551))&lt;AA$8,AA$5+SQRT(NORMSDIST(AA$9*SQRT($C$11)*NORMSINV($B551)+SQRT(1-AA$9^2*$C$11)*NORMSINV(Z551))*(AA$7-AA$5)*(AA$6-AA$5)),AA$7-SQRT((1-NORMSDIST(AA$9*SQRT($C$11)*NORMSINV($B551)+SQRT(1-AA$9^2*$C$11)*NORMSINV(Z551)))*(AA$7-AA$5)*(AA$7-AA$6))))</f>
        <v>0.710263175080328</v>
      </c>
      <c r="AB551" s="2" t="n">
        <v>0.928100893</v>
      </c>
      <c r="AC551" s="2" t="n">
        <f aca="false">IF(AC$7=AC$5,AC$6,IF(NORMSDIST(AC$9*SQRT($C$11)*NORMSINV($B551)+SQRT(1-AC$9^2*$C$11)*NORMSINV(AB551))&lt;AC$8,AC$5+SQRT(NORMSDIST(AC$9*SQRT($C$11)*NORMSINV($B551)+SQRT(1-AC$9^2*$C$11)*NORMSINV(AB551))*(AC$7-AC$5)*(AC$6-AC$5)),AC$7-SQRT((1-NORMSDIST(AC$9*SQRT($C$11)*NORMSINV($B551)+SQRT(1-AC$9^2*$C$11)*NORMSINV(AB551)))*(AC$7-AC$5)*(AC$7-AC$6))))</f>
        <v>9.22167132201974</v>
      </c>
      <c r="AD551" s="2" t="n">
        <f aca="false">Entrées!$C$8*(1+E551)</f>
        <v>7408.09369952222</v>
      </c>
      <c r="AE551" s="2" t="n">
        <f aca="false">I551*Hypothèses!$J$24/12/Hypothèses!$J$19</f>
        <v>98.1547700991456</v>
      </c>
      <c r="AF551" s="2" t="n">
        <f aca="false">Entrées!$C$36*S551*1000</f>
        <v>84.7009161022844</v>
      </c>
      <c r="AG551" s="2" t="n">
        <f aca="false">-AF551/W551</f>
        <v>-9.22847480422284</v>
      </c>
      <c r="AH551" s="2" t="n">
        <f aca="false">AD551+AE551+AG551</f>
        <v>7497.01999481714</v>
      </c>
      <c r="AI551" s="2" t="n">
        <f aca="false">Entrées!$C$16-M551+Hypothèses!$J$22*1000-AF551+Hypothèses!$J$23</f>
        <v>22911.007155259</v>
      </c>
      <c r="AJ551" s="2" t="n">
        <f aca="false">AI551/AH551</f>
        <v>3.05601521285763</v>
      </c>
      <c r="AK551" s="2" t="n">
        <f aca="false">AI551/(AH551+I551*(12-Hypothèses!$J$24)/12/Hypothèses!$J$19)</f>
        <v>3.02770079349784</v>
      </c>
      <c r="AL551" s="2" t="n">
        <f aca="false">(AD551+AG551+I551/Hypothèses!$J$19)*(1+G551)</f>
        <v>7942.09730997781</v>
      </c>
      <c r="AM551" s="2" t="n">
        <f aca="false">Entrées!$C$54*K551/Hypothèses!$J$19</f>
        <v>5.15265407131538</v>
      </c>
      <c r="AN551" s="2" t="n">
        <f aca="false">Y551*1000/AC551</f>
        <v>67.4632654947194</v>
      </c>
      <c r="AO551" s="2" t="n">
        <f aca="false">(Entrées!$C$36*(1-S551)+MAX(0,Entrées!$C$30-Entrées!$C$35-Entrées!$C$36)*U551)*1000</f>
        <v>621.63074594696</v>
      </c>
      <c r="AP551" s="2" t="n">
        <f aca="false">-AO551/W551</f>
        <v>-67.7289448625816</v>
      </c>
      <c r="AQ551" s="2" t="n">
        <f aca="false">AL551+AM551+AN551+AP551</f>
        <v>7946.98428468126</v>
      </c>
      <c r="AR551" s="2" t="n">
        <f aca="false">O551*AQ551-Hypothèses!$J$25/Hypothèses!$J$19</f>
        <v>1302.33431499669</v>
      </c>
      <c r="AS551" s="2" t="n">
        <f aca="false">Entrées!$C$79*(1+Q551)+Hypothèses!$J$20</f>
        <v>1458.14409581969</v>
      </c>
      <c r="AT551" s="2" t="n">
        <f aca="false">AI551-AR551+AS551+Y551*1000-AO551+Hypothèses!$J$23</f>
        <v>23067.3102508375</v>
      </c>
      <c r="AU551" s="2" t="n">
        <f aca="false">AT551/AQ551</f>
        <v>2.90264953654211</v>
      </c>
      <c r="AV551" s="2" t="n">
        <f aca="false">Hypothèses!$J$26*AQ551-AT551</f>
        <v>773.642603206277</v>
      </c>
      <c r="AW551" s="2" t="n">
        <f aca="false">IF(AC551&gt;Hypothèses!$J$26,MAX(0,AV551)/(1-Hypothèses!$J$26/AC551),0)</f>
        <v>1146.68188630126</v>
      </c>
      <c r="AX551" s="2" t="n">
        <f aca="false">AQ551-Entrées!$C$17*1000</f>
        <v>-53.0157153187383</v>
      </c>
      <c r="AY551" s="2" t="n">
        <f aca="false">AI551+(Entrées!$C$244-Entrées!$C$13)</f>
        <v>28658.007155259</v>
      </c>
      <c r="AZ551" s="2" t="n">
        <f aca="false">AA551*AH551</f>
        <v>5324.85722515952</v>
      </c>
      <c r="BA551" s="2" t="n">
        <f aca="false">AZ551/AY551</f>
        <v>0.185806961255586</v>
      </c>
      <c r="BB551" s="2" t="n">
        <f aca="false">AZ551/(Entrées!$C$151/100)-AY551</f>
        <v>924.532984516118</v>
      </c>
      <c r="BC551" s="2" t="n">
        <f aca="false">AT551+(Entrées!$C$244-Entrées!$C$13)</f>
        <v>28814.3102508375</v>
      </c>
      <c r="BD551" s="2" t="n">
        <f aca="false">AA551*AQ551</f>
        <v>5644.45029035118</v>
      </c>
      <c r="BE551" s="2" t="n">
        <f aca="false">BD551/BC551</f>
        <v>0.195890522494361</v>
      </c>
      <c r="BF551" s="2" t="n">
        <f aca="false">BD551/(Entrées!$C$151/100)-BC551</f>
        <v>2543.74691778015</v>
      </c>
      <c r="BG551" s="2" t="n">
        <f aca="false">MIN(AV551,BF551)</f>
        <v>773.642603206277</v>
      </c>
      <c r="BH551" s="2" t="n">
        <f aca="false">IF(AC551&gt;Hypothèses!$J$26,MAX(0,BG551)/(1-Hypothèses!$J$26/AC551),0)</f>
        <v>1146.68188630126</v>
      </c>
    </row>
    <row r="552" customFormat="false" ht="15" hidden="false" customHeight="false" outlineLevel="0" collapsed="false">
      <c r="A552" s="2" t="n">
        <v>537</v>
      </c>
      <c r="B552" s="2" t="n">
        <v>0.890704048</v>
      </c>
      <c r="C552" s="2"/>
      <c r="D552" s="2" t="n">
        <v>0.781134277</v>
      </c>
      <c r="E552" s="2" t="n">
        <f aca="false">IF(E$7=E$5,E$6,IF(NORMSDIST(E$9*SQRT($C$11)*NORMSINV($B552)+SQRT(1-E$9^2*$C$11)*NORMSINV(D552))&lt;E$8,E$5+SQRT(NORMSDIST(E$9*SQRT($C$11)*NORMSINV($B552)+SQRT(1-E$9^2*$C$11)*NORMSINV(D552))*(E$7-E$5)*(E$6-E$5)),E$7-SQRT((1-NORMSDIST(E$9*SQRT($C$11)*NORMSINV($B552)+SQRT(1-E$9^2*$C$11)*NORMSINV(D552)))*(E$7-E$5)*(E$7-E$6))))</f>
        <v>0.0579516432166565</v>
      </c>
      <c r="F552" s="2" t="n">
        <v>0.289270671</v>
      </c>
      <c r="G552" s="2" t="n">
        <f aca="false">IF(G$7=G$5,G$6,IF(NORMSDIST(G$9*SQRT($C$11)*NORMSINV($B552)+SQRT(1-G$9^2*$C$11)*NORMSINV(F552))&lt;G$8,G$5+SQRT(NORMSDIST(G$9*SQRT($C$11)*NORMSINV($B552)+SQRT(1-G$9^2*$C$11)*NORMSINV(F552))*(G$7-G$5)*(G$6-G$5)),G$7-SQRT((1-NORMSDIST(G$9*SQRT($C$11)*NORMSINV($B552)+SQRT(1-G$9^2*$C$11)*NORMSINV(F552)))*(G$7-G$5)*(G$7-G$6))))</f>
        <v>0.0572016251850433</v>
      </c>
      <c r="H552" s="2" t="n">
        <v>0.295288362</v>
      </c>
      <c r="I552" s="2" t="n">
        <f aca="false">IF(I$7=I$5,I$6,IF(NORMSDIST(I$9*SQRT($C$11)*NORMSINV($B552)+SQRT(1-I$9^2*$C$11)*NORMSINV(H552))&lt;I$8,I$5+SQRT(NORMSDIST(I$9*SQRT($C$11)*NORMSINV($B552)+SQRT(1-I$9^2*$C$11)*NORMSINV(H552))*(I$7-I$5)*(I$6-I$5)),I$7-SQRT((1-NORMSDIST(I$9*SQRT($C$11)*NORMSINV($B552)+SQRT(1-I$9^2*$C$11)*NORMSINV(H552)))*(I$7-I$5)*(I$7-I$6))))</f>
        <v>203.055067095304</v>
      </c>
      <c r="J552" s="2" t="n">
        <v>0.820801146</v>
      </c>
      <c r="K552" s="2" t="n">
        <f aca="false">IF(K$7=K$5,K$6,IF(NORMSDIST(K$9*SQRT($C$11)*NORMSINV($B552)+SQRT(1-K$9^2*$C$11)*NORMSINV(J552))&lt;K$8,K$5+SQRT(NORMSDIST(K$9*SQRT($C$11)*NORMSINV($B552)+SQRT(1-K$9^2*$C$11)*NORMSINV(J552))*(K$7-K$5)*(K$6-K$5)),K$7-SQRT((1-NORMSDIST(K$9*SQRT($C$11)*NORMSINV($B552)+SQRT(1-K$9^2*$C$11)*NORMSINV(J552)))*(K$7-K$5)*(K$7-K$6))))</f>
        <v>0.407684498517194</v>
      </c>
      <c r="L552" s="2" t="n">
        <v>0.799761137</v>
      </c>
      <c r="M552" s="2" t="n">
        <f aca="false">IF(M$7=M$5,M$6,IF(NORMSDIST(M$9*SQRT($C$11)*NORMSINV($B552)+SQRT(1-M$9^2*$C$11)*NORMSINV(L552))&lt;M$8,M$5+SQRT(NORMSDIST(M$9*SQRT($C$11)*NORMSINV($B552)+SQRT(1-M$9^2*$C$11)*NORMSINV(L552))*(M$7-M$5)*(M$6-M$5)),M$7-SQRT((1-NORMSDIST(M$9*SQRT($C$11)*NORMSINV($B552)+SQRT(1-M$9^2*$C$11)*NORMSINV(L552)))*(M$7-M$5)*(M$7-M$6))))</f>
        <v>1713.88576138352</v>
      </c>
      <c r="N552" s="2" t="n">
        <v>0.89224338</v>
      </c>
      <c r="O552" s="2" t="n">
        <f aca="false">IF(O$7=O$5,O$6,IF(NORMSDIST(O$9*SQRT($C$11)*NORMSINV($B552)+SQRT(1-O$9^2*$C$11)*NORMSINV(N552))&lt;O$8,O$5+SQRT(NORMSDIST(O$9*SQRT($C$11)*NORMSINV($B552)+SQRT(1-O$9^2*$C$11)*NORMSINV(N552))*(O$7-O$5)*(O$6-O$5)),O$7-SQRT((1-NORMSDIST(O$9*SQRT($C$11)*NORMSINV($B552)+SQRT(1-O$9^2*$C$11)*NORMSINV(N552)))*(O$7-O$5)*(O$7-O$6))))</f>
        <v>0.183379255847846</v>
      </c>
      <c r="P552" s="2" t="n">
        <v>0.675432234</v>
      </c>
      <c r="Q552" s="2" t="n">
        <f aca="false">IF(Q$7=Q$5,Q$6,IF(NORMSDIST(Q$9*SQRT($C$11)*NORMSINV($B552)+SQRT(1-Q$9^2*$C$11)*NORMSINV(P552))&lt;Q$8,Q$5+SQRT(NORMSDIST(Q$9*SQRT($C$11)*NORMSINV($B552)+SQRT(1-Q$9^2*$C$11)*NORMSINV(P552))*(Q$7-Q$5)*(Q$6-Q$5)),Q$7-SQRT((1-NORMSDIST(Q$9*SQRT($C$11)*NORMSINV($B552)+SQRT(1-Q$9^2*$C$11)*NORMSINV(P552)))*(Q$7-Q$5)*(Q$7-Q$6))))</f>
        <v>0.0877724209534753</v>
      </c>
      <c r="R552" s="2" t="n">
        <v>0.474917526</v>
      </c>
      <c r="S552" s="2" t="n">
        <f aca="false">IF(S$7=S$5,S$6,IF(NORMSDIST(S$9*SQRT($C$11)*NORMSINV($B552)+SQRT(1-S$9^2*$C$11)*NORMSINV(R552))&lt;S$8,S$5+SQRT(NORMSDIST(S$9*SQRT($C$11)*NORMSINV($B552)+SQRT(1-S$9^2*$C$11)*NORMSINV(R552))*(S$7-S$5)*(S$6-S$5)),S$7-SQRT((1-NORMSDIST(S$9*SQRT($C$11)*NORMSINV($B552)+SQRT(1-S$9^2*$C$11)*NORMSINV(R552)))*(S$7-S$5)*(S$7-S$6))))</f>
        <v>0.658760216405781</v>
      </c>
      <c r="T552" s="2" t="n">
        <v>0.52293431</v>
      </c>
      <c r="U552" s="2" t="n">
        <f aca="false">IF(U$7=U$5,U$6,IF(NORMSDIST(U$9*SQRT($C$11)*NORMSINV($B552)+SQRT(1-U$9^2*$C$11)*NORMSINV(T552))&lt;U$8,U$5+SQRT(NORMSDIST(U$9*SQRT($C$11)*NORMSINV($B552)+SQRT(1-U$9^2*$C$11)*NORMSINV(T552))*(U$7-U$5)*(U$6-U$5)),U$7-SQRT((1-NORMSDIST(U$9*SQRT($C$11)*NORMSINV($B552)+SQRT(1-U$9^2*$C$11)*NORMSINV(T552)))*(U$7-U$5)*(U$7-U$6))))</f>
        <v>0.679568384560001</v>
      </c>
      <c r="V552" s="2" t="n">
        <v>0.989169772</v>
      </c>
      <c r="W552" s="2" t="n">
        <f aca="false">IF(W$7=W$5,W$6,IF(NORMSDIST(W$9*SQRT($C$11)*NORMSINV($B552)+SQRT(1-W$9^2*$C$11)*NORMSINV(V552))&lt;W$8,W$5+SQRT(NORMSDIST(W$9*SQRT($C$11)*NORMSINV($B552)+SQRT(1-W$9^2*$C$11)*NORMSINV(V552))*(W$7-W$5)*(W$6-W$5)),W$7-SQRT((1-NORMSDIST(W$9*SQRT($C$11)*NORMSINV($B552)+SQRT(1-W$9^2*$C$11)*NORMSINV(V552)))*(W$7-W$5)*(W$7-W$6))))</f>
        <v>11.7944318069017</v>
      </c>
      <c r="X552" s="2" t="n">
        <v>0.930335381</v>
      </c>
      <c r="Y552" s="2" t="n">
        <f aca="false">IF(Y$7=Y$5,Y$6,IF(NORMSDIST(Y$9*SQRT($C$11)*NORMSINV($B552)+SQRT(1-Y$9^2*$C$11)*NORMSINV(X552))&lt;Y$8,Y$5+SQRT(NORMSDIST(Y$9*SQRT($C$11)*NORMSINV($B552)+SQRT(1-Y$9^2*$C$11)*NORMSINV(X552))*(Y$7-Y$5)*(Y$6-Y$5)),Y$7-SQRT((1-NORMSDIST(Y$9*SQRT($C$11)*NORMSINV($B552)+SQRT(1-Y$9^2*$C$11)*NORMSINV(X552)))*(Y$7-Y$5)*(Y$7-Y$6))))</f>
        <v>0.813365840479295</v>
      </c>
      <c r="Z552" s="2" t="n">
        <v>0.899219304</v>
      </c>
      <c r="AA552" s="2" t="n">
        <f aca="false">IF(AA$7=AA$5,AA$6,IF(NORMSDIST(AA$9*SQRT($C$11)*NORMSINV($B552)+SQRT(1-AA$9^2*$C$11)*NORMSINV(Z552))&lt;AA$8,AA$5+SQRT(NORMSDIST(AA$9*SQRT($C$11)*NORMSINV($B552)+SQRT(1-AA$9^2*$C$11)*NORMSINV(Z552))*(AA$7-AA$5)*(AA$6-AA$5)),AA$7-SQRT((1-NORMSDIST(AA$9*SQRT($C$11)*NORMSINV($B552)+SQRT(1-AA$9^2*$C$11)*NORMSINV(Z552)))*(AA$7-AA$5)*(AA$7-AA$6))))</f>
        <v>0.746829050783589</v>
      </c>
      <c r="AB552" s="2" t="n">
        <v>0.201336999</v>
      </c>
      <c r="AC552" s="2" t="n">
        <f aca="false">IF(AC$7=AC$5,AC$6,IF(NORMSDIST(AC$9*SQRT($C$11)*NORMSINV($B552)+SQRT(1-AC$9^2*$C$11)*NORMSINV(AB552))&lt;AC$8,AC$5+SQRT(NORMSDIST(AC$9*SQRT($C$11)*NORMSINV($B552)+SQRT(1-AC$9^2*$C$11)*NORMSINV(AB552))*(AC$7-AC$5)*(AC$6-AC$5)),AC$7-SQRT((1-NORMSDIST(AC$9*SQRT($C$11)*NORMSINV($B552)+SQRT(1-AC$9^2*$C$11)*NORMSINV(AB552)))*(AC$7-AC$5)*(AC$7-AC$6))))</f>
        <v>9.58320825976383</v>
      </c>
      <c r="AD552" s="2" t="n">
        <f aca="false">Entrées!$C$8*(1+E552)</f>
        <v>7458.55908467743</v>
      </c>
      <c r="AE552" s="2" t="n">
        <f aca="false">I552*Hypothèses!$J$24/12/Hypothèses!$J$19</f>
        <v>100.734968882955</v>
      </c>
      <c r="AF552" s="2" t="n">
        <f aca="false">Entrées!$C$36*S552*1000</f>
        <v>329.38010820289</v>
      </c>
      <c r="AG552" s="2" t="n">
        <f aca="false">-AF552/W552</f>
        <v>-27.9267465864823</v>
      </c>
      <c r="AH552" s="2" t="n">
        <f aca="false">AD552+AE552+AG552</f>
        <v>7531.3673069739</v>
      </c>
      <c r="AI552" s="2" t="n">
        <f aca="false">Entrées!$C$16-M552+Hypothèses!$J$22*1000-AF552+Hypothèses!$J$23</f>
        <v>22504.7341304136</v>
      </c>
      <c r="AJ552" s="2" t="n">
        <f aca="false">AI552/AH552</f>
        <v>2.9881339221863</v>
      </c>
      <c r="AK552" s="2" t="n">
        <f aca="false">AI552/(AH552+I552*(12-Hypothèses!$J$24)/12/Hypothèses!$J$19)</f>
        <v>2.95985590455958</v>
      </c>
      <c r="AL552" s="2" t="n">
        <f aca="false">(AD552+AG552+I552/Hypothèses!$J$19)*(1+G552)</f>
        <v>8038.24316595262</v>
      </c>
      <c r="AM552" s="2" t="n">
        <f aca="false">Entrées!$C$54*K552/Hypothèses!$J$19</f>
        <v>41.6059148302727</v>
      </c>
      <c r="AN552" s="2" t="n">
        <f aca="false">Y552*1000/AC552</f>
        <v>84.8740649719888</v>
      </c>
      <c r="AO552" s="2" t="n">
        <f aca="false">(Entrées!$C$36*(1-S552)+MAX(0,Entrées!$C$30-Entrées!$C$35-Entrées!$C$36)*U552)*1000</f>
        <v>1122.01563018111</v>
      </c>
      <c r="AP552" s="2" t="n">
        <f aca="false">-AO552/W552</f>
        <v>-95.1309608254759</v>
      </c>
      <c r="AQ552" s="2" t="n">
        <f aca="false">AL552+AM552+AN552+AP552</f>
        <v>8069.5921849294</v>
      </c>
      <c r="AR552" s="2" t="n">
        <f aca="false">O552*AQ552-Hypothèses!$J$25/Hypothèses!$J$19</f>
        <v>1460.66064760632</v>
      </c>
      <c r="AS552" s="2" t="n">
        <f aca="false">Entrées!$C$79*(1+Q552)+Hypothèses!$J$20</f>
        <v>1490.46189062787</v>
      </c>
      <c r="AT552" s="2" t="n">
        <f aca="false">AI552-AR552+AS552+Y552*1000-AO552+Hypothèses!$J$23</f>
        <v>22225.8855837333</v>
      </c>
      <c r="AU552" s="2" t="n">
        <f aca="false">AT552/AQ552</f>
        <v>2.75427618575842</v>
      </c>
      <c r="AV552" s="2" t="n">
        <f aca="false">Hypothèses!$J$26*AQ552-AT552</f>
        <v>1982.89097105488</v>
      </c>
      <c r="AW552" s="2" t="n">
        <f aca="false">IF(AC552&gt;Hypothèses!$J$26,MAX(0,AV552)/(1-Hypothèses!$J$26/AC552),0)</f>
        <v>2886.50402390672</v>
      </c>
      <c r="AX552" s="2" t="n">
        <f aca="false">AQ552-Entrées!$C$17*1000</f>
        <v>69.5921849294009</v>
      </c>
      <c r="AY552" s="2" t="n">
        <f aca="false">AI552+(Entrées!$C$244-Entrées!$C$13)</f>
        <v>28251.7341304136</v>
      </c>
      <c r="AZ552" s="2" t="n">
        <f aca="false">AA552*AH552</f>
        <v>5624.64389696987</v>
      </c>
      <c r="BA552" s="2" t="n">
        <f aca="false">AZ552/AY552</f>
        <v>0.199090217648439</v>
      </c>
      <c r="BB552" s="2" t="n">
        <f aca="false">AZ552/(Entrées!$C$151/100)-AY552</f>
        <v>2996.28751941903</v>
      </c>
      <c r="BC552" s="2" t="n">
        <f aca="false">AT552+(Entrées!$C$244-Entrées!$C$13)</f>
        <v>27972.8855837333</v>
      </c>
      <c r="BD552" s="2" t="n">
        <f aca="false">AA552*AQ552</f>
        <v>6026.60587168149</v>
      </c>
      <c r="BE552" s="2" t="n">
        <f aca="false">BD552/BC552</f>
        <v>0.215444554464773</v>
      </c>
      <c r="BF552" s="2" t="n">
        <f aca="false">BD552/(Entrées!$C$151/100)-BC552</f>
        <v>5508.25814783051</v>
      </c>
      <c r="BG552" s="2" t="n">
        <f aca="false">MIN(AV552,BF552)</f>
        <v>1982.89097105488</v>
      </c>
      <c r="BH552" s="2" t="n">
        <f aca="false">IF(AC552&gt;Hypothèses!$J$26,MAX(0,BG552)/(1-Hypothèses!$J$26/AC552),0)</f>
        <v>2886.50402390672</v>
      </c>
    </row>
    <row r="553" customFormat="false" ht="15" hidden="false" customHeight="false" outlineLevel="0" collapsed="false">
      <c r="A553" s="2" t="n">
        <v>538</v>
      </c>
      <c r="B553" s="2" t="n">
        <v>0.908677994</v>
      </c>
      <c r="C553" s="2"/>
      <c r="D553" s="2" t="n">
        <v>0.978767894</v>
      </c>
      <c r="E553" s="2" t="n">
        <f aca="false">IF(E$7=E$5,E$6,IF(NORMSDIST(E$9*SQRT($C$11)*NORMSINV($B553)+SQRT(1-E$9^2*$C$11)*NORMSINV(D553))&lt;E$8,E$5+SQRT(NORMSDIST(E$9*SQRT($C$11)*NORMSINV($B553)+SQRT(1-E$9^2*$C$11)*NORMSINV(D553))*(E$7-E$5)*(E$6-E$5)),E$7-SQRT((1-NORMSDIST(E$9*SQRT($C$11)*NORMSINV($B553)+SQRT(1-E$9^2*$C$11)*NORMSINV(D553)))*(E$7-E$5)*(E$7-E$6))))</f>
        <v>0.0593723334412065</v>
      </c>
      <c r="F553" s="2" t="n">
        <v>0.114045964</v>
      </c>
      <c r="G553" s="2" t="n">
        <f aca="false">IF(G$7=G$5,G$6,IF(NORMSDIST(G$9*SQRT($C$11)*NORMSINV($B553)+SQRT(1-G$9^2*$C$11)*NORMSINV(F553))&lt;G$8,G$5+SQRT(NORMSDIST(G$9*SQRT($C$11)*NORMSINV($B553)+SQRT(1-G$9^2*$C$11)*NORMSINV(F553))*(G$7-G$5)*(G$6-G$5)),G$7-SQRT((1-NORMSDIST(G$9*SQRT($C$11)*NORMSINV($B553)+SQRT(1-G$9^2*$C$11)*NORMSINV(F553)))*(G$7-G$5)*(G$7-G$6))))</f>
        <v>0.0544474136852753</v>
      </c>
      <c r="H553" s="2" t="n">
        <v>0.082440571</v>
      </c>
      <c r="I553" s="2" t="n">
        <f aca="false">IF(I$7=I$5,I$6,IF(NORMSDIST(I$9*SQRT($C$11)*NORMSINV($B553)+SQRT(1-I$9^2*$C$11)*NORMSINV(H553))&lt;I$8,I$5+SQRT(NORMSDIST(I$9*SQRT($C$11)*NORMSINV($B553)+SQRT(1-I$9^2*$C$11)*NORMSINV(H553))*(I$7-I$5)*(I$6-I$5)),I$7-SQRT((1-NORMSDIST(I$9*SQRT($C$11)*NORMSINV($B553)+SQRT(1-I$9^2*$C$11)*NORMSINV(H553)))*(I$7-I$5)*(I$7-I$6))))</f>
        <v>198.064379372642</v>
      </c>
      <c r="J553" s="2" t="n">
        <v>0.662957</v>
      </c>
      <c r="K553" s="2" t="n">
        <f aca="false">IF(K$7=K$5,K$6,IF(NORMSDIST(K$9*SQRT($C$11)*NORMSINV($B553)+SQRT(1-K$9^2*$C$11)*NORMSINV(J553))&lt;K$8,K$5+SQRT(NORMSDIST(K$9*SQRT($C$11)*NORMSINV($B553)+SQRT(1-K$9^2*$C$11)*NORMSINV(J553))*(K$7-K$5)*(K$6-K$5)),K$7-SQRT((1-NORMSDIST(K$9*SQRT($C$11)*NORMSINV($B553)+SQRT(1-K$9^2*$C$11)*NORMSINV(J553)))*(K$7-K$5)*(K$7-K$6))))</f>
        <v>0.376872947894262</v>
      </c>
      <c r="L553" s="2" t="n">
        <v>0.207619234</v>
      </c>
      <c r="M553" s="2" t="n">
        <f aca="false">IF(M$7=M$5,M$6,IF(NORMSDIST(M$9*SQRT($C$11)*NORMSINV($B553)+SQRT(1-M$9^2*$C$11)*NORMSINV(L553))&lt;M$8,M$5+SQRT(NORMSDIST(M$9*SQRT($C$11)*NORMSINV($B553)+SQRT(1-M$9^2*$C$11)*NORMSINV(L553))*(M$7-M$5)*(M$6-M$5)),M$7-SQRT((1-NORMSDIST(M$9*SQRT($C$11)*NORMSINV($B553)+SQRT(1-M$9^2*$C$11)*NORMSINV(L553)))*(M$7-M$5)*(M$7-M$6))))</f>
        <v>1608.09526048308</v>
      </c>
      <c r="N553" s="2" t="n">
        <v>0.282673601</v>
      </c>
      <c r="O553" s="2" t="n">
        <f aca="false">IF(O$7=O$5,O$6,IF(NORMSDIST(O$9*SQRT($C$11)*NORMSINV($B553)+SQRT(1-O$9^2*$C$11)*NORMSINV(N553))&lt;O$8,O$5+SQRT(NORMSDIST(O$9*SQRT($C$11)*NORMSINV($B553)+SQRT(1-O$9^2*$C$11)*NORMSINV(N553))*(O$7-O$5)*(O$6-O$5)),O$7-SQRT((1-NORMSDIST(O$9*SQRT($C$11)*NORMSINV($B553)+SQRT(1-O$9^2*$C$11)*NORMSINV(N553)))*(O$7-O$5)*(O$7-O$6))))</f>
        <v>0.170816345403358</v>
      </c>
      <c r="P553" s="2" t="n">
        <v>0.233222792</v>
      </c>
      <c r="Q553" s="2" t="n">
        <f aca="false">IF(Q$7=Q$5,Q$6,IF(NORMSDIST(Q$9*SQRT($C$11)*NORMSINV($B553)+SQRT(1-Q$9^2*$C$11)*NORMSINV(P553))&lt;Q$8,Q$5+SQRT(NORMSDIST(Q$9*SQRT($C$11)*NORMSINV($B553)+SQRT(1-Q$9^2*$C$11)*NORMSINV(P553))*(Q$7-Q$5)*(Q$6-Q$5)),Q$7-SQRT((1-NORMSDIST(Q$9*SQRT($C$11)*NORMSINV($B553)+SQRT(1-Q$9^2*$C$11)*NORMSINV(P553)))*(Q$7-Q$5)*(Q$7-Q$6))))</f>
        <v>0.0673187286380607</v>
      </c>
      <c r="R553" s="2" t="n">
        <v>0.023535194</v>
      </c>
      <c r="S553" s="2" t="n">
        <f aca="false">IF(S$7=S$5,S$6,IF(NORMSDIST(S$9*SQRT($C$11)*NORMSINV($B553)+SQRT(1-S$9^2*$C$11)*NORMSINV(R553))&lt;S$8,S$5+SQRT(NORMSDIST(S$9*SQRT($C$11)*NORMSINV($B553)+SQRT(1-S$9^2*$C$11)*NORMSINV(R553))*(S$7-S$5)*(S$6-S$5)),S$7-SQRT((1-NORMSDIST(S$9*SQRT($C$11)*NORMSINV($B553)+SQRT(1-S$9^2*$C$11)*NORMSINV(R553)))*(S$7-S$5)*(S$7-S$6))))</f>
        <v>0.348892075544804</v>
      </c>
      <c r="T553" s="2" t="n">
        <v>0.440687254</v>
      </c>
      <c r="U553" s="2" t="n">
        <f aca="false">IF(U$7=U$5,U$6,IF(NORMSDIST(U$9*SQRT($C$11)*NORMSINV($B553)+SQRT(1-U$9^2*$C$11)*NORMSINV(T553))&lt;U$8,U$5+SQRT(NORMSDIST(U$9*SQRT($C$11)*NORMSINV($B553)+SQRT(1-U$9^2*$C$11)*NORMSINV(T553))*(U$7-U$5)*(U$6-U$5)),U$7-SQRT((1-NORMSDIST(U$9*SQRT($C$11)*NORMSINV($B553)+SQRT(1-U$9^2*$C$11)*NORMSINV(T553)))*(U$7-U$5)*(U$7-U$6))))</f>
        <v>0.658287775507807</v>
      </c>
      <c r="V553" s="2" t="n">
        <v>0.047330416</v>
      </c>
      <c r="W553" s="2" t="n">
        <f aca="false">IF(W$7=W$5,W$6,IF(NORMSDIST(W$9*SQRT($C$11)*NORMSINV($B553)+SQRT(1-W$9^2*$C$11)*NORMSINV(V553))&lt;W$8,W$5+SQRT(NORMSDIST(W$9*SQRT($C$11)*NORMSINV($B553)+SQRT(1-W$9^2*$C$11)*NORMSINV(V553))*(W$7-W$5)*(W$6-W$5)),W$7-SQRT((1-NORMSDIST(W$9*SQRT($C$11)*NORMSINV($B553)+SQRT(1-W$9^2*$C$11)*NORMSINV(V553)))*(W$7-W$5)*(W$7-W$6))))</f>
        <v>9.61425445592894</v>
      </c>
      <c r="X553" s="2" t="n">
        <v>0.237003646</v>
      </c>
      <c r="Y553" s="2" t="n">
        <f aca="false">IF(Y$7=Y$5,Y$6,IF(NORMSDIST(Y$9*SQRT($C$11)*NORMSINV($B553)+SQRT(1-Y$9^2*$C$11)*NORMSINV(X553))&lt;Y$8,Y$5+SQRT(NORMSDIST(Y$9*SQRT($C$11)*NORMSINV($B553)+SQRT(1-Y$9^2*$C$11)*NORMSINV(X553))*(Y$7-Y$5)*(Y$6-Y$5)),Y$7-SQRT((1-NORMSDIST(Y$9*SQRT($C$11)*NORMSINV($B553)+SQRT(1-Y$9^2*$C$11)*NORMSINV(X553)))*(Y$7-Y$5)*(Y$7-Y$6))))</f>
        <v>0.3442409374261</v>
      </c>
      <c r="Z553" s="2" t="n">
        <v>0.203737379</v>
      </c>
      <c r="AA553" s="2" t="n">
        <f aca="false">IF(AA$7=AA$5,AA$6,IF(NORMSDIST(AA$9*SQRT($C$11)*NORMSINV($B553)+SQRT(1-AA$9^2*$C$11)*NORMSINV(Z553))&lt;AA$8,AA$5+SQRT(NORMSDIST(AA$9*SQRT($C$11)*NORMSINV($B553)+SQRT(1-AA$9^2*$C$11)*NORMSINV(Z553))*(AA$7-AA$5)*(AA$6-AA$5)),AA$7-SQRT((1-NORMSDIST(AA$9*SQRT($C$11)*NORMSINV($B553)+SQRT(1-AA$9^2*$C$11)*NORMSINV(Z553)))*(AA$7-AA$5)*(AA$7-AA$6))))</f>
        <v>0.730564755764649</v>
      </c>
      <c r="AB553" s="2" t="n">
        <v>0.479991442</v>
      </c>
      <c r="AC553" s="2" t="n">
        <f aca="false">IF(AC$7=AC$5,AC$6,IF(NORMSDIST(AC$9*SQRT($C$11)*NORMSINV($B553)+SQRT(1-AC$9^2*$C$11)*NORMSINV(AB553))&lt;AC$8,AC$5+SQRT(NORMSDIST(AC$9*SQRT($C$11)*NORMSINV($B553)+SQRT(1-AC$9^2*$C$11)*NORMSINV(AB553))*(AC$7-AC$5)*(AC$6-AC$5)),AC$7-SQRT((1-NORMSDIST(AC$9*SQRT($C$11)*NORMSINV($B553)+SQRT(1-AC$9^2*$C$11)*NORMSINV(AB553)))*(AC$7-AC$5)*(AC$7-AC$6))))</f>
        <v>10.0459347830323</v>
      </c>
      <c r="AD553" s="2" t="n">
        <f aca="false">Entrées!$C$8*(1+E553)</f>
        <v>7468.57495076051</v>
      </c>
      <c r="AE553" s="2" t="n">
        <f aca="false">I553*Hypothèses!$J$24/12/Hypothèses!$J$19</f>
        <v>98.2591046770603</v>
      </c>
      <c r="AF553" s="2" t="n">
        <f aca="false">Entrées!$C$36*S553*1000</f>
        <v>174.446037772402</v>
      </c>
      <c r="AG553" s="2" t="n">
        <f aca="false">-AF553/W553</f>
        <v>-18.1445205732852</v>
      </c>
      <c r="AH553" s="2" t="n">
        <f aca="false">AD553+AE553+AG553</f>
        <v>7548.68953486428</v>
      </c>
      <c r="AI553" s="2" t="n">
        <f aca="false">Entrées!$C$16-M553+Hypothèses!$J$22*1000-AF553+Hypothèses!$J$23</f>
        <v>22765.4587017445</v>
      </c>
      <c r="AJ553" s="2" t="n">
        <f aca="false">AI553/AH553</f>
        <v>3.01581600310892</v>
      </c>
      <c r="AK553" s="2" t="n">
        <f aca="false">AI553/(AH553+I553*(12-Hypothèses!$J$24)/12/Hypothèses!$J$19)</f>
        <v>2.9880343053499</v>
      </c>
      <c r="AL553" s="2" t="n">
        <f aca="false">(AD553+AG553+I553/Hypothèses!$J$19)*(1+G553)</f>
        <v>8033.70262732057</v>
      </c>
      <c r="AM553" s="2" t="n">
        <f aca="false">Entrées!$C$54*K553/Hypothèses!$J$19</f>
        <v>38.4614667198614</v>
      </c>
      <c r="AN553" s="2" t="n">
        <f aca="false">Y553*1000/AC553</f>
        <v>34.2666904435342</v>
      </c>
      <c r="AO553" s="2" t="n">
        <f aca="false">(Entrées!$C$36*(1-S553)+MAX(0,Entrées!$C$30-Entrées!$C$35-Entrées!$C$36)*U553)*1000</f>
        <v>1247.15684793853</v>
      </c>
      <c r="AP553" s="2" t="n">
        <f aca="false">-AO553/W553</f>
        <v>-129.719558979368</v>
      </c>
      <c r="AQ553" s="2" t="n">
        <f aca="false">AL553+AM553+AN553+AP553</f>
        <v>7976.7112255046</v>
      </c>
      <c r="AR553" s="2" t="n">
        <f aca="false">O553*AQ553-Hypothèses!$J$25/Hypothèses!$J$19</f>
        <v>1343.41749761701</v>
      </c>
      <c r="AS553" s="2" t="n">
        <f aca="false">Entrées!$C$79*(1+Q553)+Hypothèses!$J$20</f>
        <v>1467.98328277323</v>
      </c>
      <c r="AT553" s="2" t="n">
        <f aca="false">AI553-AR553+AS553+Y553*1000-AO553+Hypothèses!$J$23</f>
        <v>21987.1085763883</v>
      </c>
      <c r="AU553" s="2" t="n">
        <f aca="false">AT553/AQ553</f>
        <v>2.75641275643615</v>
      </c>
      <c r="AV553" s="2" t="n">
        <f aca="false">Hypothèses!$J$26*AQ553-AT553</f>
        <v>1943.02510012549</v>
      </c>
      <c r="AW553" s="2" t="n">
        <f aca="false">IF(AC553&gt;Hypothèses!$J$26,MAX(0,AV553)/(1-Hypothèses!$J$26/AC553),0)</f>
        <v>2770.321332616</v>
      </c>
      <c r="AX553" s="2" t="n">
        <f aca="false">AQ553-Entrées!$C$17*1000</f>
        <v>-23.2887744954023</v>
      </c>
      <c r="AY553" s="2" t="n">
        <f aca="false">AI553+(Entrées!$C$244-Entrées!$C$13)</f>
        <v>28512.4587017445</v>
      </c>
      <c r="AZ553" s="2" t="n">
        <f aca="false">AA553*AH553</f>
        <v>5514.80652638128</v>
      </c>
      <c r="BA553" s="2" t="n">
        <f aca="false">AZ553/AY553</f>
        <v>0.193417431448796</v>
      </c>
      <c r="BB553" s="2" t="n">
        <f aca="false">AZ553/(Entrées!$C$151/100)-AY553</f>
        <v>2125.35533370706</v>
      </c>
      <c r="BC553" s="2" t="n">
        <f aca="false">AT553+(Entrées!$C$244-Entrées!$C$13)</f>
        <v>27734.1085763883</v>
      </c>
      <c r="BD553" s="2" t="n">
        <f aca="false">AA553*AQ553</f>
        <v>5827.5040882659</v>
      </c>
      <c r="BE553" s="2" t="n">
        <f aca="false">BD553/BC553</f>
        <v>0.210120475738932</v>
      </c>
      <c r="BF553" s="2" t="n">
        <f aca="false">BD553/(Entrées!$C$151/100)-BC553</f>
        <v>4640.91413620002</v>
      </c>
      <c r="BG553" s="2" t="n">
        <f aca="false">MIN(AV553,BF553)</f>
        <v>1943.02510012549</v>
      </c>
      <c r="BH553" s="2" t="n">
        <f aca="false">IF(AC553&gt;Hypothèses!$J$26,MAX(0,BG553)/(1-Hypothèses!$J$26/AC553),0)</f>
        <v>2770.321332616</v>
      </c>
    </row>
    <row r="554" customFormat="false" ht="15" hidden="false" customHeight="false" outlineLevel="0" collapsed="false">
      <c r="A554" s="2" t="n">
        <v>539</v>
      </c>
      <c r="B554" s="2" t="n">
        <v>0.808547757</v>
      </c>
      <c r="C554" s="2"/>
      <c r="D554" s="2" t="n">
        <v>0.455229591</v>
      </c>
      <c r="E554" s="2" t="n">
        <f aca="false">IF(E$7=E$5,E$6,IF(NORMSDIST(E$9*SQRT($C$11)*NORMSINV($B554)+SQRT(1-E$9^2*$C$11)*NORMSINV(D554))&lt;E$8,E$5+SQRT(NORMSDIST(E$9*SQRT($C$11)*NORMSINV($B554)+SQRT(1-E$9^2*$C$11)*NORMSINV(D554))*(E$7-E$5)*(E$6-E$5)),E$7-SQRT((1-NORMSDIST(E$9*SQRT($C$11)*NORMSINV($B554)+SQRT(1-E$9^2*$C$11)*NORMSINV(D554)))*(E$7-E$5)*(E$7-E$6))))</f>
        <v>0.0559933944011717</v>
      </c>
      <c r="F554" s="2" t="n">
        <v>0.804025518</v>
      </c>
      <c r="G554" s="2" t="n">
        <f aca="false">IF(G$7=G$5,G$6,IF(NORMSDIST(G$9*SQRT($C$11)*NORMSINV($B554)+SQRT(1-G$9^2*$C$11)*NORMSINV(F554))&lt;G$8,G$5+SQRT(NORMSDIST(G$9*SQRT($C$11)*NORMSINV($B554)+SQRT(1-G$9^2*$C$11)*NORMSINV(F554))*(G$7-G$5)*(G$6-G$5)),G$7-SQRT((1-NORMSDIST(G$9*SQRT($C$11)*NORMSINV($B554)+SQRT(1-G$9^2*$C$11)*NORMSINV(F554)))*(G$7-G$5)*(G$7-G$6))))</f>
        <v>0.0628947647843199</v>
      </c>
      <c r="H554" s="2" t="n">
        <v>0.653048487</v>
      </c>
      <c r="I554" s="2" t="n">
        <f aca="false">IF(I$7=I$5,I$6,IF(NORMSDIST(I$9*SQRT($C$11)*NORMSINV($B554)+SQRT(1-I$9^2*$C$11)*NORMSINV(H554))&lt;I$8,I$5+SQRT(NORMSDIST(I$9*SQRT($C$11)*NORMSINV($B554)+SQRT(1-I$9^2*$C$11)*NORMSINV(H554))*(I$7-I$5)*(I$6-I$5)),I$7-SQRT((1-NORMSDIST(I$9*SQRT($C$11)*NORMSINV($B554)+SQRT(1-I$9^2*$C$11)*NORMSINV(H554)))*(I$7-I$5)*(I$7-I$6))))</f>
        <v>207.484299789456</v>
      </c>
      <c r="J554" s="2" t="n">
        <v>0.468561939</v>
      </c>
      <c r="K554" s="2" t="n">
        <f aca="false">IF(K$7=K$5,K$6,IF(NORMSDIST(K$9*SQRT($C$11)*NORMSINV($B554)+SQRT(1-K$9^2*$C$11)*NORMSINV(J554))&lt;K$8,K$5+SQRT(NORMSDIST(K$9*SQRT($C$11)*NORMSINV($B554)+SQRT(1-K$9^2*$C$11)*NORMSINV(J554))*(K$7-K$5)*(K$6-K$5)),K$7-SQRT((1-NORMSDIST(K$9*SQRT($C$11)*NORMSINV($B554)+SQRT(1-K$9^2*$C$11)*NORMSINV(J554)))*(K$7-K$5)*(K$7-K$6))))</f>
        <v>0.302578538112085</v>
      </c>
      <c r="L554" s="2" t="n">
        <v>0.404452768</v>
      </c>
      <c r="M554" s="2" t="n">
        <f aca="false">IF(M$7=M$5,M$6,IF(NORMSDIST(M$9*SQRT($C$11)*NORMSINV($B554)+SQRT(1-M$9^2*$C$11)*NORMSINV(L554))&lt;M$8,M$5+SQRT(NORMSDIST(M$9*SQRT($C$11)*NORMSINV($B554)+SQRT(1-M$9^2*$C$11)*NORMSINV(L554))*(M$7-M$5)*(M$6-M$5)),M$7-SQRT((1-NORMSDIST(M$9*SQRT($C$11)*NORMSINV($B554)+SQRT(1-M$9^2*$C$11)*NORMSINV(L554)))*(M$7-M$5)*(M$7-M$6))))</f>
        <v>1622.9825108086</v>
      </c>
      <c r="N554" s="2" t="n">
        <v>0.218012604</v>
      </c>
      <c r="O554" s="2" t="n">
        <f aca="false">IF(O$7=O$5,O$6,IF(NORMSDIST(O$9*SQRT($C$11)*NORMSINV($B554)+SQRT(1-O$9^2*$C$11)*NORMSINV(N554))&lt;O$8,O$5+SQRT(NORMSDIST(O$9*SQRT($C$11)*NORMSINV($B554)+SQRT(1-O$9^2*$C$11)*NORMSINV(N554))*(O$7-O$5)*(O$6-O$5)),O$7-SQRT((1-NORMSDIST(O$9*SQRT($C$11)*NORMSINV($B554)+SQRT(1-O$9^2*$C$11)*NORMSINV(N554)))*(O$7-O$5)*(O$7-O$6))))</f>
        <v>0.166228696981106</v>
      </c>
      <c r="P554" s="2" t="n">
        <v>0.463013476</v>
      </c>
      <c r="Q554" s="2" t="n">
        <f aca="false">IF(Q$7=Q$5,Q$6,IF(NORMSDIST(Q$9*SQRT($C$11)*NORMSINV($B554)+SQRT(1-Q$9^2*$C$11)*NORMSINV(P554))&lt;Q$8,Q$5+SQRT(NORMSDIST(Q$9*SQRT($C$11)*NORMSINV($B554)+SQRT(1-Q$9^2*$C$11)*NORMSINV(P554))*(Q$7-Q$5)*(Q$6-Q$5)),Q$7-SQRT((1-NORMSDIST(Q$9*SQRT($C$11)*NORMSINV($B554)+SQRT(1-Q$9^2*$C$11)*NORMSINV(P554)))*(Q$7-Q$5)*(Q$7-Q$6))))</f>
        <v>0.0784921176762204</v>
      </c>
      <c r="R554" s="2" t="n">
        <v>0.292518812</v>
      </c>
      <c r="S554" s="2" t="n">
        <f aca="false">IF(S$7=S$5,S$6,IF(NORMSDIST(S$9*SQRT($C$11)*NORMSINV($B554)+SQRT(1-S$9^2*$C$11)*NORMSINV(R554))&lt;S$8,S$5+SQRT(NORMSDIST(S$9*SQRT($C$11)*NORMSINV($B554)+SQRT(1-S$9^2*$C$11)*NORMSINV(R554))*(S$7-S$5)*(S$6-S$5)),S$7-SQRT((1-NORMSDIST(S$9*SQRT($C$11)*NORMSINV($B554)+SQRT(1-S$9^2*$C$11)*NORMSINV(R554)))*(S$7-S$5)*(S$7-S$6))))</f>
        <v>0.52633261646285</v>
      </c>
      <c r="T554" s="2" t="n">
        <v>0.631228062</v>
      </c>
      <c r="U554" s="2" t="n">
        <f aca="false">IF(U$7=U$5,U$6,IF(NORMSDIST(U$9*SQRT($C$11)*NORMSINV($B554)+SQRT(1-U$9^2*$C$11)*NORMSINV(T554))&lt;U$8,U$5+SQRT(NORMSDIST(U$9*SQRT($C$11)*NORMSINV($B554)+SQRT(1-U$9^2*$C$11)*NORMSINV(T554))*(U$7-U$5)*(U$6-U$5)),U$7-SQRT((1-NORMSDIST(U$9*SQRT($C$11)*NORMSINV($B554)+SQRT(1-U$9^2*$C$11)*NORMSINV(T554)))*(U$7-U$5)*(U$7-U$6))))</f>
        <v>0.677075643732787</v>
      </c>
      <c r="V554" s="2" t="n">
        <v>0.618220353</v>
      </c>
      <c r="W554" s="2" t="n">
        <f aca="false">IF(W$7=W$5,W$6,IF(NORMSDIST(W$9*SQRT($C$11)*NORMSINV($B554)+SQRT(1-W$9^2*$C$11)*NORMSINV(V554))&lt;W$8,W$5+SQRT(NORMSDIST(W$9*SQRT($C$11)*NORMSINV($B554)+SQRT(1-W$9^2*$C$11)*NORMSINV(V554))*(W$7-W$5)*(W$6-W$5)),W$7-SQRT((1-NORMSDIST(W$9*SQRT($C$11)*NORMSINV($B554)+SQRT(1-W$9^2*$C$11)*NORMSINV(V554)))*(W$7-W$5)*(W$7-W$6))))</f>
        <v>10.6846512569166</v>
      </c>
      <c r="X554" s="2" t="n">
        <v>0.727298932</v>
      </c>
      <c r="Y554" s="2" t="n">
        <f aca="false">IF(Y$7=Y$5,Y$6,IF(NORMSDIST(Y$9*SQRT($C$11)*NORMSINV($B554)+SQRT(1-Y$9^2*$C$11)*NORMSINV(X554))&lt;Y$8,Y$5+SQRT(NORMSDIST(Y$9*SQRT($C$11)*NORMSINV($B554)+SQRT(1-Y$9^2*$C$11)*NORMSINV(X554))*(Y$7-Y$5)*(Y$6-Y$5)),Y$7-SQRT((1-NORMSDIST(Y$9*SQRT($C$11)*NORMSINV($B554)+SQRT(1-Y$9^2*$C$11)*NORMSINV(X554)))*(Y$7-Y$5)*(Y$7-Y$6))))</f>
        <v>0.6307432681724</v>
      </c>
      <c r="Z554" s="2" t="n">
        <v>0.882779345</v>
      </c>
      <c r="AA554" s="2" t="n">
        <f aca="false">IF(AA$7=AA$5,AA$6,IF(NORMSDIST(AA$9*SQRT($C$11)*NORMSINV($B554)+SQRT(1-AA$9^2*$C$11)*NORMSINV(Z554))&lt;AA$8,AA$5+SQRT(NORMSDIST(AA$9*SQRT($C$11)*NORMSINV($B554)+SQRT(1-AA$9^2*$C$11)*NORMSINV(Z554))*(AA$7-AA$5)*(AA$6-AA$5)),AA$7-SQRT((1-NORMSDIST(AA$9*SQRT($C$11)*NORMSINV($B554)+SQRT(1-AA$9^2*$C$11)*NORMSINV(Z554)))*(AA$7-AA$5)*(AA$7-AA$6))))</f>
        <v>0.744358822469595</v>
      </c>
      <c r="AB554" s="2" t="n">
        <v>0.135470466</v>
      </c>
      <c r="AC554" s="2" t="n">
        <f aca="false">IF(AC$7=AC$5,AC$6,IF(NORMSDIST(AC$9*SQRT($C$11)*NORMSINV($B554)+SQRT(1-AC$9^2*$C$11)*NORMSINV(AB554))&lt;AC$8,AC$5+SQRT(NORMSDIST(AC$9*SQRT($C$11)*NORMSINV($B554)+SQRT(1-AC$9^2*$C$11)*NORMSINV(AB554))*(AC$7-AC$5)*(AC$6-AC$5)),AC$7-SQRT((1-NORMSDIST(AC$9*SQRT($C$11)*NORMSINV($B554)+SQRT(1-AC$9^2*$C$11)*NORMSINV(AB554)))*(AC$7-AC$5)*(AC$7-AC$6))))</f>
        <v>9.21611809004332</v>
      </c>
      <c r="AD554" s="2" t="n">
        <f aca="false">Entrées!$C$8*(1+E554)</f>
        <v>7444.75343052826</v>
      </c>
      <c r="AE554" s="2" t="n">
        <f aca="false">I554*Hypothèses!$J$24/12/Hypothèses!$J$19</f>
        <v>102.932297046213</v>
      </c>
      <c r="AF554" s="2" t="n">
        <f aca="false">Entrées!$C$36*S554*1000</f>
        <v>263.166308231425</v>
      </c>
      <c r="AG554" s="2" t="n">
        <f aca="false">-AF554/W554</f>
        <v>-24.6303133254881</v>
      </c>
      <c r="AH554" s="2" t="n">
        <f aca="false">AD554+AE554+AG554</f>
        <v>7523.05541424899</v>
      </c>
      <c r="AI554" s="2" t="n">
        <f aca="false">Entrées!$C$16-M554+Hypothèses!$J$22*1000-AF554+Hypothèses!$J$23</f>
        <v>22661.85118096</v>
      </c>
      <c r="AJ554" s="2" t="n">
        <f aca="false">AI554/AH554</f>
        <v>3.01232011903534</v>
      </c>
      <c r="AK554" s="2" t="n">
        <f aca="false">AI554/(AH554+I554*(12-Hypothèses!$J$24)/12/Hypothèses!$J$19)</f>
        <v>2.98316554353782</v>
      </c>
      <c r="AL554" s="2" t="n">
        <f aca="false">(AD554+AG554+I554/Hypothèses!$J$19)*(1+G554)</f>
        <v>8074.36350045733</v>
      </c>
      <c r="AM554" s="2" t="n">
        <f aca="false">Entrées!$C$54*K554/Hypothèses!$J$19</f>
        <v>30.8794102595218</v>
      </c>
      <c r="AN554" s="2" t="n">
        <f aca="false">Y554*1000/AC554</f>
        <v>68.4391478071257</v>
      </c>
      <c r="AO554" s="2" t="n">
        <f aca="false">(Entrées!$C$36*(1-S554)+MAX(0,Entrées!$C$30-Entrées!$C$35-Entrées!$C$36)*U554)*1000</f>
        <v>1184.73959299448</v>
      </c>
      <c r="AP554" s="2" t="n">
        <f aca="false">-AO554/W554</f>
        <v>-110.882383009698</v>
      </c>
      <c r="AQ554" s="2" t="n">
        <f aca="false">AL554+AM554+AN554+AP554</f>
        <v>8062.79967551428</v>
      </c>
      <c r="AR554" s="2" t="n">
        <f aca="false">O554*AQ554-Hypothèses!$J$25/Hypothèses!$J$19</f>
        <v>1321.13352181879</v>
      </c>
      <c r="AS554" s="2" t="n">
        <f aca="false">Entrées!$C$79*(1+Q554)+Hypothèses!$J$20</f>
        <v>1480.26283732617</v>
      </c>
      <c r="AT554" s="2" t="n">
        <f aca="false">AI554-AR554+AS554+Y554*1000-AO554+Hypothèses!$J$23</f>
        <v>22266.9841716453</v>
      </c>
      <c r="AU554" s="2" t="n">
        <f aca="false">AT554/AQ554</f>
        <v>2.76169383685264</v>
      </c>
      <c r="AV554" s="2" t="n">
        <f aca="false">Hypothèses!$J$26*AQ554-AT554</f>
        <v>1921.41485489756</v>
      </c>
      <c r="AW554" s="2" t="n">
        <f aca="false">IF(AC554&gt;Hypothèses!$J$26,MAX(0,AV554)/(1-Hypothèses!$J$26/AC554),0)</f>
        <v>2848.72100983139</v>
      </c>
      <c r="AX554" s="2" t="n">
        <f aca="false">AQ554-Entrées!$C$17*1000</f>
        <v>62.7996755142758</v>
      </c>
      <c r="AY554" s="2" t="n">
        <f aca="false">AI554+(Entrées!$C$244-Entrées!$C$13)</f>
        <v>28408.85118096</v>
      </c>
      <c r="AZ554" s="2" t="n">
        <f aca="false">AA554*AH554</f>
        <v>5599.85266952389</v>
      </c>
      <c r="BA554" s="2" t="n">
        <f aca="false">AZ554/AY554</f>
        <v>0.197116477320878</v>
      </c>
      <c r="BB554" s="2" t="n">
        <f aca="false">AZ554/(Entrées!$C$151/100)-AY554</f>
        <v>2701.44142750608</v>
      </c>
      <c r="BC554" s="2" t="n">
        <f aca="false">AT554+(Entrées!$C$244-Entrées!$C$13)</f>
        <v>28013.9841716453</v>
      </c>
      <c r="BD554" s="2" t="n">
        <f aca="false">AA554*AQ554</f>
        <v>6001.61607227404</v>
      </c>
      <c r="BE554" s="2" t="n">
        <f aca="false">BD554/BC554</f>
        <v>0.214236434043133</v>
      </c>
      <c r="BF554" s="2" t="n">
        <f aca="false">BD554/(Entrées!$C$151/100)-BC554</f>
        <v>5328.32734098829</v>
      </c>
      <c r="BG554" s="2" t="n">
        <f aca="false">MIN(AV554,BF554)</f>
        <v>1921.41485489756</v>
      </c>
      <c r="BH554" s="2" t="n">
        <f aca="false">IF(AC554&gt;Hypothèses!$J$26,MAX(0,BG554)/(1-Hypothèses!$J$26/AC554),0)</f>
        <v>2848.72100983139</v>
      </c>
    </row>
    <row r="555" customFormat="false" ht="15" hidden="false" customHeight="false" outlineLevel="0" collapsed="false">
      <c r="A555" s="2" t="n">
        <v>540</v>
      </c>
      <c r="B555" s="2" t="n">
        <v>0.318462999</v>
      </c>
      <c r="C555" s="2"/>
      <c r="D555" s="2" t="n">
        <v>0.23477642</v>
      </c>
      <c r="E555" s="2" t="n">
        <f aca="false">IF(E$7=E$5,E$6,IF(NORMSDIST(E$9*SQRT($C$11)*NORMSINV($B555)+SQRT(1-E$9^2*$C$11)*NORMSINV(D555))&lt;E$8,E$5+SQRT(NORMSDIST(E$9*SQRT($C$11)*NORMSINV($B555)+SQRT(1-E$9^2*$C$11)*NORMSINV(D555))*(E$7-E$5)*(E$6-E$5)),E$7-SQRT((1-NORMSDIST(E$9*SQRT($C$11)*NORMSINV($B555)+SQRT(1-E$9^2*$C$11)*NORMSINV(D555)))*(E$7-E$5)*(E$7-E$6))))</f>
        <v>0.053124494819768</v>
      </c>
      <c r="F555" s="2" t="n">
        <v>0.805621582</v>
      </c>
      <c r="G555" s="2" t="n">
        <f aca="false">IF(G$7=G$5,G$6,IF(NORMSDIST(G$9*SQRT($C$11)*NORMSINV($B555)+SQRT(1-G$9^2*$C$11)*NORMSINV(F555))&lt;G$8,G$5+SQRT(NORMSDIST(G$9*SQRT($C$11)*NORMSINV($B555)+SQRT(1-G$9^2*$C$11)*NORMSINV(F555))*(G$7-G$5)*(G$6-G$5)),G$7-SQRT((1-NORMSDIST(G$9*SQRT($C$11)*NORMSINV($B555)+SQRT(1-G$9^2*$C$11)*NORMSINV(F555)))*(G$7-G$5)*(G$7-G$6))))</f>
        <v>0.0573424143352971</v>
      </c>
      <c r="H555" s="2" t="n">
        <v>0.409677844</v>
      </c>
      <c r="I555" s="2" t="n">
        <f aca="false">IF(I$7=I$5,I$6,IF(NORMSDIST(I$9*SQRT($C$11)*NORMSINV($B555)+SQRT(1-I$9^2*$C$11)*NORMSINV(H555))&lt;I$8,I$5+SQRT(NORMSDIST(I$9*SQRT($C$11)*NORMSINV($B555)+SQRT(1-I$9^2*$C$11)*NORMSINV(H555))*(I$7-I$5)*(I$6-I$5)),I$7-SQRT((1-NORMSDIST(I$9*SQRT($C$11)*NORMSINV($B555)+SQRT(1-I$9^2*$C$11)*NORMSINV(H555)))*(I$7-I$5)*(I$7-I$6))))</f>
        <v>195.930970985729</v>
      </c>
      <c r="J555" s="2" t="n">
        <v>0.634643614</v>
      </c>
      <c r="K555" s="2" t="n">
        <f aca="false">IF(K$7=K$5,K$6,IF(NORMSDIST(K$9*SQRT($C$11)*NORMSINV($B555)+SQRT(1-K$9^2*$C$11)*NORMSINV(J555))&lt;K$8,K$5+SQRT(NORMSDIST(K$9*SQRT($C$11)*NORMSINV($B555)+SQRT(1-K$9^2*$C$11)*NORMSINV(J555))*(K$7-K$5)*(K$6-K$5)),K$7-SQRT((1-NORMSDIST(K$9*SQRT($C$11)*NORMSINV($B555)+SQRT(1-K$9^2*$C$11)*NORMSINV(J555)))*(K$7-K$5)*(K$7-K$6))))</f>
        <v>0.24679636128806</v>
      </c>
      <c r="L555" s="2" t="n">
        <v>0.310445724</v>
      </c>
      <c r="M555" s="2" t="n">
        <f aca="false">IF(M$7=M$5,M$6,IF(NORMSDIST(M$9*SQRT($C$11)*NORMSINV($B555)+SQRT(1-M$9^2*$C$11)*NORMSINV(L555))&lt;M$8,M$5+SQRT(NORMSDIST(M$9*SQRT($C$11)*NORMSINV($B555)+SQRT(1-M$9^2*$C$11)*NORMSINV(L555))*(M$7-M$5)*(M$6-M$5)),M$7-SQRT((1-NORMSDIST(M$9*SQRT($C$11)*NORMSINV($B555)+SQRT(1-M$9^2*$C$11)*NORMSINV(L555)))*(M$7-M$5)*(M$7-M$6))))</f>
        <v>1501.80626977331</v>
      </c>
      <c r="N555" s="2" t="n">
        <v>0.880828945</v>
      </c>
      <c r="O555" s="2" t="n">
        <f aca="false">IF(O$7=O$5,O$6,IF(NORMSDIST(O$9*SQRT($C$11)*NORMSINV($B555)+SQRT(1-O$9^2*$C$11)*NORMSINV(N555))&lt;O$8,O$5+SQRT(NORMSDIST(O$9*SQRT($C$11)*NORMSINV($B555)+SQRT(1-O$9^2*$C$11)*NORMSINV(N555))*(O$7-O$5)*(O$6-O$5)),O$7-SQRT((1-NORMSDIST(O$9*SQRT($C$11)*NORMSINV($B555)+SQRT(1-O$9^2*$C$11)*NORMSINV(N555)))*(O$7-O$5)*(O$7-O$6))))</f>
        <v>0.17306228982078</v>
      </c>
      <c r="P555" s="2" t="n">
        <v>0.661736028</v>
      </c>
      <c r="Q555" s="2" t="n">
        <f aca="false">IF(Q$7=Q$5,Q$6,IF(NORMSDIST(Q$9*SQRT($C$11)*NORMSINV($B555)+SQRT(1-Q$9^2*$C$11)*NORMSINV(P555))&lt;Q$8,Q$5+SQRT(NORMSDIST(Q$9*SQRT($C$11)*NORMSINV($B555)+SQRT(1-Q$9^2*$C$11)*NORMSINV(P555))*(Q$7-Q$5)*(Q$6-Q$5)),Q$7-SQRT((1-NORMSDIST(Q$9*SQRT($C$11)*NORMSINV($B555)+SQRT(1-Q$9^2*$C$11)*NORMSINV(P555)))*(Q$7-Q$5)*(Q$7-Q$6))))</f>
        <v>0.0870994724905512</v>
      </c>
      <c r="R555" s="2" t="n">
        <v>0.334191958</v>
      </c>
      <c r="S555" s="2" t="n">
        <f aca="false">IF(S$7=S$5,S$6,IF(NORMSDIST(S$9*SQRT($C$11)*NORMSINV($B555)+SQRT(1-S$9^2*$C$11)*NORMSINV(R555))&lt;S$8,S$5+SQRT(NORMSDIST(S$9*SQRT($C$11)*NORMSINV($B555)+SQRT(1-S$9^2*$C$11)*NORMSINV(R555))*(S$7-S$5)*(S$6-S$5)),S$7-SQRT((1-NORMSDIST(S$9*SQRT($C$11)*NORMSINV($B555)+SQRT(1-S$9^2*$C$11)*NORMSINV(R555)))*(S$7-S$5)*(S$7-S$6))))</f>
        <v>0.363482388195544</v>
      </c>
      <c r="T555" s="2" t="n">
        <v>0.782276493</v>
      </c>
      <c r="U555" s="2" t="n">
        <f aca="false">IF(U$7=U$5,U$6,IF(NORMSDIST(U$9*SQRT($C$11)*NORMSINV($B555)+SQRT(1-U$9^2*$C$11)*NORMSINV(T555))&lt;U$8,U$5+SQRT(NORMSDIST(U$9*SQRT($C$11)*NORMSINV($B555)+SQRT(1-U$9^2*$C$11)*NORMSINV(T555))*(U$7-U$5)*(U$6-U$5)),U$7-SQRT((1-NORMSDIST(U$9*SQRT($C$11)*NORMSINV($B555)+SQRT(1-U$9^2*$C$11)*NORMSINV(T555)))*(U$7-U$5)*(U$7-U$6))))</f>
        <v>0.564134351940177</v>
      </c>
      <c r="V555" s="2" t="n">
        <v>0.050463194</v>
      </c>
      <c r="W555" s="2" t="n">
        <f aca="false">IF(W$7=W$5,W$6,IF(NORMSDIST(W$9*SQRT($C$11)*NORMSINV($B555)+SQRT(1-W$9^2*$C$11)*NORMSINV(V555))&lt;W$8,W$5+SQRT(NORMSDIST(W$9*SQRT($C$11)*NORMSINV($B555)+SQRT(1-W$9^2*$C$11)*NORMSINV(V555))*(W$7-W$5)*(W$6-W$5)),W$7-SQRT((1-NORMSDIST(W$9*SQRT($C$11)*NORMSINV($B555)+SQRT(1-W$9^2*$C$11)*NORMSINV(V555)))*(W$7-W$5)*(W$7-W$6))))</f>
        <v>8.68297164352653</v>
      </c>
      <c r="X555" s="2" t="n">
        <v>0.326580546</v>
      </c>
      <c r="Y555" s="2" t="n">
        <f aca="false">IF(Y$7=Y$5,Y$6,IF(NORMSDIST(Y$9*SQRT($C$11)*NORMSINV($B555)+SQRT(1-Y$9^2*$C$11)*NORMSINV(X555))&lt;Y$8,Y$5+SQRT(NORMSDIST(Y$9*SQRT($C$11)*NORMSINV($B555)+SQRT(1-Y$9^2*$C$11)*NORMSINV(X555))*(Y$7-Y$5)*(Y$6-Y$5)),Y$7-SQRT((1-NORMSDIST(Y$9*SQRT($C$11)*NORMSINV($B555)+SQRT(1-Y$9^2*$C$11)*NORMSINV(X555)))*(Y$7-Y$5)*(Y$7-Y$6))))</f>
        <v>0.404091911574582</v>
      </c>
      <c r="Z555" s="2" t="n">
        <v>0.619709869</v>
      </c>
      <c r="AA555" s="2" t="n">
        <f aca="false">IF(AA$7=AA$5,AA$6,IF(NORMSDIST(AA$9*SQRT($C$11)*NORMSINV($B555)+SQRT(1-AA$9^2*$C$11)*NORMSINV(Z555))&lt;AA$8,AA$5+SQRT(NORMSDIST(AA$9*SQRT($C$11)*NORMSINV($B555)+SQRT(1-AA$9^2*$C$11)*NORMSINV(Z555))*(AA$7-AA$5)*(AA$6-AA$5)),AA$7-SQRT((1-NORMSDIST(AA$9*SQRT($C$11)*NORMSINV($B555)+SQRT(1-AA$9^2*$C$11)*NORMSINV(Z555)))*(AA$7-AA$5)*(AA$7-AA$6))))</f>
        <v>0.727225538466626</v>
      </c>
      <c r="AB555" s="2" t="n">
        <v>0.944459975</v>
      </c>
      <c r="AC555" s="2" t="n">
        <f aca="false">IF(AC$7=AC$5,AC$6,IF(NORMSDIST(AC$9*SQRT($C$11)*NORMSINV($B555)+SQRT(1-AC$9^2*$C$11)*NORMSINV(AB555))&lt;AC$8,AC$5+SQRT(NORMSDIST(AC$9*SQRT($C$11)*NORMSINV($B555)+SQRT(1-AC$9^2*$C$11)*NORMSINV(AB555))*(AC$7-AC$5)*(AC$6-AC$5)),AC$7-SQRT((1-NORMSDIST(AC$9*SQRT($C$11)*NORMSINV($B555)+SQRT(1-AC$9^2*$C$11)*NORMSINV(AB555)))*(AC$7-AC$5)*(AC$7-AC$6))))</f>
        <v>10.1312219136072</v>
      </c>
      <c r="AD555" s="2" t="n">
        <f aca="false">Entrées!$C$8*(1+E555)</f>
        <v>7424.52768847937</v>
      </c>
      <c r="AE555" s="2" t="n">
        <f aca="false">I555*Hypothèses!$J$24/12/Hypothèses!$J$19</f>
        <v>97.2007276045518</v>
      </c>
      <c r="AF555" s="2" t="n">
        <f aca="false">Entrées!$C$36*S555*1000</f>
        <v>181.741194097772</v>
      </c>
      <c r="AG555" s="2" t="n">
        <f aca="false">-AF555/W555</f>
        <v>-20.9307598318908</v>
      </c>
      <c r="AH555" s="2" t="n">
        <f aca="false">AD555+AE555+AG555</f>
        <v>7500.79765625203</v>
      </c>
      <c r="AI555" s="2" t="n">
        <f aca="false">Entrées!$C$16-M555+Hypothèses!$J$22*1000-AF555+Hypothèses!$J$23</f>
        <v>22864.4525361289</v>
      </c>
      <c r="AJ555" s="2" t="n">
        <f aca="false">AI555/AH555</f>
        <v>3.04826947532321</v>
      </c>
      <c r="AK555" s="2" t="n">
        <f aca="false">AI555/(AH555+I555*(12-Hypothèses!$J$24)/12/Hypothèses!$J$19)</f>
        <v>3.02031277253186</v>
      </c>
      <c r="AL555" s="2" t="n">
        <f aca="false">(AD555+AG555+I555/Hypothèses!$J$19)*(1+G555)</f>
        <v>8004.32182615959</v>
      </c>
      <c r="AM555" s="2" t="n">
        <f aca="false">Entrées!$C$54*K555/Hypothèses!$J$19</f>
        <v>25.1866049004047</v>
      </c>
      <c r="AN555" s="2" t="n">
        <f aca="false">Y555*1000/AC555</f>
        <v>39.8858020306364</v>
      </c>
      <c r="AO555" s="2" t="n">
        <f aca="false">(Entrées!$C$36*(1-S555)+MAX(0,Entrées!$C$30-Entrées!$C$35-Entrées!$C$36)*U555)*1000</f>
        <v>1108.04689861848</v>
      </c>
      <c r="AP555" s="2" t="n">
        <f aca="false">-AO555/W555</f>
        <v>-127.611484190964</v>
      </c>
      <c r="AQ555" s="2" t="n">
        <f aca="false">AL555+AM555+AN555+AP555</f>
        <v>7941.78274889966</v>
      </c>
      <c r="AR555" s="2" t="n">
        <f aca="false">O555*AQ555-Hypothèses!$J$25/Hypothèses!$J$19</f>
        <v>1355.28794552212</v>
      </c>
      <c r="AS555" s="2" t="n">
        <f aca="false">Entrées!$C$79*(1+Q555)+Hypothèses!$J$20</f>
        <v>1489.72232026712</v>
      </c>
      <c r="AT555" s="2" t="n">
        <f aca="false">AI555-AR555+AS555+Y555*1000-AO555+Hypothèses!$J$23</f>
        <v>22294.93192383</v>
      </c>
      <c r="AU555" s="2" t="n">
        <f aca="false">AT555/AQ555</f>
        <v>2.80729561972959</v>
      </c>
      <c r="AV555" s="2" t="n">
        <f aca="false">Hypothèses!$J$26*AQ555-AT555</f>
        <v>1530.41632286898</v>
      </c>
      <c r="AW555" s="2" t="n">
        <f aca="false">IF(AC555&gt;Hypothèses!$J$26,MAX(0,AV555)/(1-Hypothèses!$J$26/AC555),0)</f>
        <v>2174.23992340036</v>
      </c>
      <c r="AX555" s="2" t="n">
        <f aca="false">AQ555-Entrées!$C$17*1000</f>
        <v>-58.2172511003364</v>
      </c>
      <c r="AY555" s="2" t="n">
        <f aca="false">AI555+(Entrées!$C$244-Entrées!$C$13)</f>
        <v>28611.4525361289</v>
      </c>
      <c r="AZ555" s="2" t="n">
        <f aca="false">AA555*AH555</f>
        <v>5454.77161449709</v>
      </c>
      <c r="BA555" s="2" t="n">
        <f aca="false">AZ555/AY555</f>
        <v>0.190649936685637</v>
      </c>
      <c r="BB555" s="2" t="n">
        <f aca="false">AZ555/(Entrées!$C$151/100)-AY555</f>
        <v>1692.83421107712</v>
      </c>
      <c r="BC555" s="2" t="n">
        <f aca="false">AT555+(Entrées!$C$244-Entrées!$C$13)</f>
        <v>28041.93192383</v>
      </c>
      <c r="BD555" s="2" t="n">
        <f aca="false">AA555*AQ555</f>
        <v>5775.46723595352</v>
      </c>
      <c r="BE555" s="2" t="n">
        <f aca="false">BD555/BC555</f>
        <v>0.205958250367391</v>
      </c>
      <c r="BF555" s="2" t="n">
        <f aca="false">BD555/(Entrées!$C$151/100)-BC555</f>
        <v>4043.99716480065</v>
      </c>
      <c r="BG555" s="2" t="n">
        <f aca="false">MIN(AV555,BF555)</f>
        <v>1530.41632286898</v>
      </c>
      <c r="BH555" s="2" t="n">
        <f aca="false">IF(AC555&gt;Hypothèses!$J$26,MAX(0,BG555)/(1-Hypothèses!$J$26/AC555),0)</f>
        <v>2174.23992340036</v>
      </c>
    </row>
    <row r="556" customFormat="false" ht="15" hidden="false" customHeight="false" outlineLevel="0" collapsed="false">
      <c r="A556" s="2" t="n">
        <v>541</v>
      </c>
      <c r="B556" s="2" t="n">
        <v>0.703973138</v>
      </c>
      <c r="C556" s="2"/>
      <c r="D556" s="2" t="n">
        <v>0.451080597</v>
      </c>
      <c r="E556" s="2" t="n">
        <f aca="false">IF(E$7=E$5,E$6,IF(NORMSDIST(E$9*SQRT($C$11)*NORMSINV($B556)+SQRT(1-E$9^2*$C$11)*NORMSINV(D556))&lt;E$8,E$5+SQRT(NORMSDIST(E$9*SQRT($C$11)*NORMSINV($B556)+SQRT(1-E$9^2*$C$11)*NORMSINV(D556))*(E$7-E$5)*(E$6-E$5)),E$7-SQRT((1-NORMSDIST(E$9*SQRT($C$11)*NORMSINV($B556)+SQRT(1-E$9^2*$C$11)*NORMSINV(D556)))*(E$7-E$5)*(E$7-E$6))))</f>
        <v>0.0555070233893319</v>
      </c>
      <c r="F556" s="2" t="n">
        <v>0.80220205</v>
      </c>
      <c r="G556" s="2" t="n">
        <f aca="false">IF(G$7=G$5,G$6,IF(NORMSDIST(G$9*SQRT($C$11)*NORMSINV($B556)+SQRT(1-G$9^2*$C$11)*NORMSINV(F556))&lt;G$8,G$5+SQRT(NORMSDIST(G$9*SQRT($C$11)*NORMSINV($B556)+SQRT(1-G$9^2*$C$11)*NORMSINV(F556))*(G$7-G$5)*(G$6-G$5)),G$7-SQRT((1-NORMSDIST(G$9*SQRT($C$11)*NORMSINV($B556)+SQRT(1-G$9^2*$C$11)*NORMSINV(F556)))*(G$7-G$5)*(G$7-G$6))))</f>
        <v>0.0615307216656537</v>
      </c>
      <c r="H556" s="2" t="n">
        <v>0.785643947</v>
      </c>
      <c r="I556" s="2" t="n">
        <f aca="false">IF(I$7=I$5,I$6,IF(NORMSDIST(I$9*SQRT($C$11)*NORMSINV($B556)+SQRT(1-I$9^2*$C$11)*NORMSINV(H556))&lt;I$8,I$5+SQRT(NORMSDIST(I$9*SQRT($C$11)*NORMSINV($B556)+SQRT(1-I$9^2*$C$11)*NORMSINV(H556))*(I$7-I$5)*(I$6-I$5)),I$7-SQRT((1-NORMSDIST(I$9*SQRT($C$11)*NORMSINV($B556)+SQRT(1-I$9^2*$C$11)*NORMSINV(H556)))*(I$7-I$5)*(I$7-I$6))))</f>
        <v>208.318628690083</v>
      </c>
      <c r="J556" s="2" t="n">
        <v>0.376533987</v>
      </c>
      <c r="K556" s="2" t="n">
        <f aca="false">IF(K$7=K$5,K$6,IF(NORMSDIST(K$9*SQRT($C$11)*NORMSINV($B556)+SQRT(1-K$9^2*$C$11)*NORMSINV(J556))&lt;K$8,K$5+SQRT(NORMSDIST(K$9*SQRT($C$11)*NORMSINV($B556)+SQRT(1-K$9^2*$C$11)*NORMSINV(J556))*(K$7-K$5)*(K$6-K$5)),K$7-SQRT((1-NORMSDIST(K$9*SQRT($C$11)*NORMSINV($B556)+SQRT(1-K$9^2*$C$11)*NORMSINV(J556)))*(K$7-K$5)*(K$7-K$6))))</f>
        <v>0.259669860092168</v>
      </c>
      <c r="L556" s="2" t="n">
        <v>0.80245488</v>
      </c>
      <c r="M556" s="2" t="n">
        <f aca="false">IF(M$7=M$5,M$6,IF(NORMSDIST(M$9*SQRT($C$11)*NORMSINV($B556)+SQRT(1-M$9^2*$C$11)*NORMSINV(L556))&lt;M$8,M$5+SQRT(NORMSDIST(M$9*SQRT($C$11)*NORMSINV($B556)+SQRT(1-M$9^2*$C$11)*NORMSINV(L556))*(M$7-M$5)*(M$6-M$5)),M$7-SQRT((1-NORMSDIST(M$9*SQRT($C$11)*NORMSINV($B556)+SQRT(1-M$9^2*$C$11)*NORMSINV(L556)))*(M$7-M$5)*(M$7-M$6))))</f>
        <v>1679.31283537135</v>
      </c>
      <c r="N556" s="2" t="n">
        <v>0.092448588</v>
      </c>
      <c r="O556" s="2" t="n">
        <f aca="false">IF(O$7=O$5,O$6,IF(NORMSDIST(O$9*SQRT($C$11)*NORMSINV($B556)+SQRT(1-O$9^2*$C$11)*NORMSINV(N556))&lt;O$8,O$5+SQRT(NORMSDIST(O$9*SQRT($C$11)*NORMSINV($B556)+SQRT(1-O$9^2*$C$11)*NORMSINV(N556))*(O$7-O$5)*(O$6-O$5)),O$7-SQRT((1-NORMSDIST(O$9*SQRT($C$11)*NORMSINV($B556)+SQRT(1-O$9^2*$C$11)*NORMSINV(N556)))*(O$7-O$5)*(O$7-O$6))))</f>
        <v>0.158776056750632</v>
      </c>
      <c r="P556" s="2" t="n">
        <v>0.994337529</v>
      </c>
      <c r="Q556" s="2" t="n">
        <f aca="false">IF(Q$7=Q$5,Q$6,IF(NORMSDIST(Q$9*SQRT($C$11)*NORMSINV($B556)+SQRT(1-Q$9^2*$C$11)*NORMSINV(P556))&lt;Q$8,Q$5+SQRT(NORMSDIST(Q$9*SQRT($C$11)*NORMSINV($B556)+SQRT(1-Q$9^2*$C$11)*NORMSINV(P556))*(Q$7-Q$5)*(Q$6-Q$5)),Q$7-SQRT((1-NORMSDIST(Q$9*SQRT($C$11)*NORMSINV($B556)+SQRT(1-Q$9^2*$C$11)*NORMSINV(P556)))*(Q$7-Q$5)*(Q$7-Q$6))))</f>
        <v>0.115743251569566</v>
      </c>
      <c r="R556" s="2" t="n">
        <v>0.791649518</v>
      </c>
      <c r="S556" s="2" t="n">
        <f aca="false">IF(S$7=S$5,S$6,IF(NORMSDIST(S$9*SQRT($C$11)*NORMSINV($B556)+SQRT(1-S$9^2*$C$11)*NORMSINV(R556))&lt;S$8,S$5+SQRT(NORMSDIST(S$9*SQRT($C$11)*NORMSINV($B556)+SQRT(1-S$9^2*$C$11)*NORMSINV(R556))*(S$7-S$5)*(S$6-S$5)),S$7-SQRT((1-NORMSDIST(S$9*SQRT($C$11)*NORMSINV($B556)+SQRT(1-S$9^2*$C$11)*NORMSINV(R556)))*(S$7-S$5)*(S$7-S$6))))</f>
        <v>0.711450876682305</v>
      </c>
      <c r="T556" s="2" t="n">
        <v>0.089916428</v>
      </c>
      <c r="U556" s="2" t="n">
        <f aca="false">IF(U$7=U$5,U$6,IF(NORMSDIST(U$9*SQRT($C$11)*NORMSINV($B556)+SQRT(1-U$9^2*$C$11)*NORMSINV(T556))&lt;U$8,U$5+SQRT(NORMSDIST(U$9*SQRT($C$11)*NORMSINV($B556)+SQRT(1-U$9^2*$C$11)*NORMSINV(T556))*(U$7-U$5)*(U$6-U$5)),U$7-SQRT((1-NORMSDIST(U$9*SQRT($C$11)*NORMSINV($B556)+SQRT(1-U$9^2*$C$11)*NORMSINV(T556)))*(U$7-U$5)*(U$7-U$6))))</f>
        <v>0.347816769298193</v>
      </c>
      <c r="V556" s="2" t="n">
        <v>0.927672215</v>
      </c>
      <c r="W556" s="2" t="n">
        <f aca="false">IF(W$7=W$5,W$6,IF(NORMSDIST(W$9*SQRT($C$11)*NORMSINV($B556)+SQRT(1-W$9^2*$C$11)*NORMSINV(V556))&lt;W$8,W$5+SQRT(NORMSDIST(W$9*SQRT($C$11)*NORMSINV($B556)+SQRT(1-W$9^2*$C$11)*NORMSINV(V556))*(W$7-W$5)*(W$6-W$5)),W$7-SQRT((1-NORMSDIST(W$9*SQRT($C$11)*NORMSINV($B556)+SQRT(1-W$9^2*$C$11)*NORMSINV(V556)))*(W$7-W$5)*(W$7-W$6))))</f>
        <v>11.2466356454425</v>
      </c>
      <c r="X556" s="2" t="n">
        <v>0.941813711</v>
      </c>
      <c r="Y556" s="2" t="n">
        <f aca="false">IF(Y$7=Y$5,Y$6,IF(NORMSDIST(Y$9*SQRT($C$11)*NORMSINV($B556)+SQRT(1-Y$9^2*$C$11)*NORMSINV(X556))&lt;Y$8,Y$5+SQRT(NORMSDIST(Y$9*SQRT($C$11)*NORMSINV($B556)+SQRT(1-Y$9^2*$C$11)*NORMSINV(X556))*(Y$7-Y$5)*(Y$6-Y$5)),Y$7-SQRT((1-NORMSDIST(Y$9*SQRT($C$11)*NORMSINV($B556)+SQRT(1-Y$9^2*$C$11)*NORMSINV(X556)))*(Y$7-Y$5)*(Y$7-Y$6))))</f>
        <v>0.829432873917627</v>
      </c>
      <c r="Z556" s="2" t="n">
        <v>0.1113547</v>
      </c>
      <c r="AA556" s="2" t="n">
        <f aca="false">IF(AA$7=AA$5,AA$6,IF(NORMSDIST(AA$9*SQRT($C$11)*NORMSINV($B556)+SQRT(1-AA$9^2*$C$11)*NORMSINV(Z556))&lt;AA$8,AA$5+SQRT(NORMSDIST(AA$9*SQRT($C$11)*NORMSINV($B556)+SQRT(1-AA$9^2*$C$11)*NORMSINV(Z556))*(AA$7-AA$5)*(AA$6-AA$5)),AA$7-SQRT((1-NORMSDIST(AA$9*SQRT($C$11)*NORMSINV($B556)+SQRT(1-AA$9^2*$C$11)*NORMSINV(Z556)))*(AA$7-AA$5)*(AA$7-AA$6))))</f>
        <v>0.719478567352676</v>
      </c>
      <c r="AB556" s="2" t="n">
        <v>0.63778126</v>
      </c>
      <c r="AC556" s="2" t="n">
        <f aca="false">IF(AC$7=AC$5,AC$6,IF(NORMSDIST(AC$9*SQRT($C$11)*NORMSINV($B556)+SQRT(1-AC$9^2*$C$11)*NORMSINV(AB556))&lt;AC$8,AC$5+SQRT(NORMSDIST(AC$9*SQRT($C$11)*NORMSINV($B556)+SQRT(1-AC$9^2*$C$11)*NORMSINV(AB556))*(AC$7-AC$5)*(AC$6-AC$5)),AC$7-SQRT((1-NORMSDIST(AC$9*SQRT($C$11)*NORMSINV($B556)+SQRT(1-AC$9^2*$C$11)*NORMSINV(AB556)))*(AC$7-AC$5)*(AC$7-AC$6))))</f>
        <v>9.91944987251817</v>
      </c>
      <c r="AD556" s="2" t="n">
        <f aca="false">Entrées!$C$8*(1+E556)</f>
        <v>7441.32451489479</v>
      </c>
      <c r="AE556" s="2" t="n">
        <f aca="false">I556*Hypothèses!$J$24/12/Hypothèses!$J$19</f>
        <v>103.346204943441</v>
      </c>
      <c r="AF556" s="2" t="n">
        <f aca="false">Entrées!$C$36*S556*1000</f>
        <v>355.725438341152</v>
      </c>
      <c r="AG556" s="2" t="n">
        <f aca="false">-AF556/W556</f>
        <v>-31.6294978832452</v>
      </c>
      <c r="AH556" s="2" t="n">
        <f aca="false">AD556+AE556+AG556</f>
        <v>7513.04122195499</v>
      </c>
      <c r="AI556" s="2" t="n">
        <f aca="false">Entrées!$C$16-M556+Hypothèses!$J$22*1000-AF556+Hypothèses!$J$23</f>
        <v>22512.9617262875</v>
      </c>
      <c r="AJ556" s="2" t="n">
        <f aca="false">AI556/AH556</f>
        <v>2.99651779634843</v>
      </c>
      <c r="AK556" s="2" t="n">
        <f aca="false">AI556/(AH556+I556*(12-Hypothèses!$J$24)/12/Hypothèses!$J$19)</f>
        <v>2.96736224274688</v>
      </c>
      <c r="AL556" s="2" t="n">
        <f aca="false">(AD556+AG556+I556/Hypothèses!$J$19)*(1+G556)</f>
        <v>8053.68490704212</v>
      </c>
      <c r="AM556" s="2" t="n">
        <f aca="false">Entrées!$C$54*K556/Hypothèses!$J$19</f>
        <v>26.5003995056926</v>
      </c>
      <c r="AN556" s="2" t="n">
        <f aca="false">Y556*1000/AC556</f>
        <v>83.6168219586018</v>
      </c>
      <c r="AO556" s="2" t="n">
        <f aca="false">(Entrées!$C$36*(1-S556)+MAX(0,Entrées!$C$30-Entrées!$C$35-Entrées!$C$36)*U556)*1000</f>
        <v>631.218038676317</v>
      </c>
      <c r="AP556" s="2" t="n">
        <f aca="false">-AO556/W556</f>
        <v>-56.1250545119339</v>
      </c>
      <c r="AQ556" s="2" t="n">
        <f aca="false">AL556+AM556+AN556+AP556</f>
        <v>8107.67707399448</v>
      </c>
      <c r="AR556" s="2" t="n">
        <f aca="false">O556*AQ556-Hypothèses!$J$25/Hypothèses!$J$19</f>
        <v>1268.16983295472</v>
      </c>
      <c r="AS556" s="2" t="n">
        <f aca="false">Entrées!$C$79*(1+Q556)+Hypothèses!$J$20</f>
        <v>1521.20183347495</v>
      </c>
      <c r="AT556" s="2" t="n">
        <f aca="false">AI556-AR556+AS556+Y556*1000-AO556+Hypothèses!$J$23</f>
        <v>22964.208562049</v>
      </c>
      <c r="AU556" s="2" t="n">
        <f aca="false">AT556/AQ556</f>
        <v>2.83240296233642</v>
      </c>
      <c r="AV556" s="2" t="n">
        <f aca="false">Hypothèses!$J$26*AQ556-AT556</f>
        <v>1358.82265993441</v>
      </c>
      <c r="AW556" s="2" t="n">
        <f aca="false">IF(AC556&gt;Hypothèses!$J$26,MAX(0,AV556)/(1-Hypothèses!$J$26/AC556),0)</f>
        <v>1947.95446302668</v>
      </c>
      <c r="AX556" s="2" t="n">
        <f aca="false">AQ556-Entrées!$C$17*1000</f>
        <v>107.677073994483</v>
      </c>
      <c r="AY556" s="2" t="n">
        <f aca="false">AI556+(Entrées!$C$244-Entrées!$C$13)</f>
        <v>28259.9617262875</v>
      </c>
      <c r="AZ556" s="2" t="n">
        <f aca="false">AA556*AH556</f>
        <v>5405.47213483378</v>
      </c>
      <c r="BA556" s="2" t="n">
        <f aca="false">AZ556/AY556</f>
        <v>0.191276696946323</v>
      </c>
      <c r="BB556" s="2" t="n">
        <f aca="false">AZ556/(Entrées!$C$151/100)-AY556</f>
        <v>1770.43902278903</v>
      </c>
      <c r="BC556" s="2" t="n">
        <f aca="false">AT556+(Entrées!$C$244-Entrées!$C$13)</f>
        <v>28711.208562049</v>
      </c>
      <c r="BD556" s="2" t="n">
        <f aca="false">AA556*AQ556</f>
        <v>5833.29988575569</v>
      </c>
      <c r="BE556" s="2" t="n">
        <f aca="false">BD556/BC556</f>
        <v>0.203171520040652</v>
      </c>
      <c r="BF556" s="2" t="n">
        <f aca="false">BD556/(Entrées!$C$151/100)-BC556</f>
        <v>3696.01302548257</v>
      </c>
      <c r="BG556" s="2" t="n">
        <f aca="false">MIN(AV556,BF556)</f>
        <v>1358.82265993441</v>
      </c>
      <c r="BH556" s="2" t="n">
        <f aca="false">IF(AC556&gt;Hypothèses!$J$26,MAX(0,BG556)/(1-Hypothèses!$J$26/AC556),0)</f>
        <v>1947.95446302668</v>
      </c>
    </row>
    <row r="557" customFormat="false" ht="15" hidden="false" customHeight="false" outlineLevel="0" collapsed="false">
      <c r="A557" s="2" t="n">
        <v>542</v>
      </c>
      <c r="B557" s="2" t="n">
        <v>0.681409352</v>
      </c>
      <c r="C557" s="2"/>
      <c r="D557" s="2" t="n">
        <v>0.424027293</v>
      </c>
      <c r="E557" s="2" t="n">
        <f aca="false">IF(E$7=E$5,E$6,IF(NORMSDIST(E$9*SQRT($C$11)*NORMSINV($B557)+SQRT(1-E$9^2*$C$11)*NORMSINV(D557))&lt;E$8,E$5+SQRT(NORMSDIST(E$9*SQRT($C$11)*NORMSINV($B557)+SQRT(1-E$9^2*$C$11)*NORMSINV(D557))*(E$7-E$5)*(E$6-E$5)),E$7-SQRT((1-NORMSDIST(E$9*SQRT($C$11)*NORMSINV($B557)+SQRT(1-E$9^2*$C$11)*NORMSINV(D557)))*(E$7-E$5)*(E$7-E$6))))</f>
        <v>0.055307294468639</v>
      </c>
      <c r="F557" s="2" t="n">
        <v>0.861154402</v>
      </c>
      <c r="G557" s="2" t="n">
        <f aca="false">IF(G$7=G$5,G$6,IF(NORMSDIST(G$9*SQRT($C$11)*NORMSINV($B557)+SQRT(1-G$9^2*$C$11)*NORMSINV(F557))&lt;G$8,G$5+SQRT(NORMSDIST(G$9*SQRT($C$11)*NORMSINV($B557)+SQRT(1-G$9^2*$C$11)*NORMSINV(F557))*(G$7-G$5)*(G$6-G$5)),G$7-SQRT((1-NORMSDIST(G$9*SQRT($C$11)*NORMSINV($B557)+SQRT(1-G$9^2*$C$11)*NORMSINV(F557)))*(G$7-G$5)*(G$7-G$6))))</f>
        <v>0.0624306123959438</v>
      </c>
      <c r="H557" s="2" t="n">
        <v>0.239669149</v>
      </c>
      <c r="I557" s="2" t="n">
        <f aca="false">IF(I$7=I$5,I$6,IF(NORMSDIST(I$9*SQRT($C$11)*NORMSINV($B557)+SQRT(1-I$9^2*$C$11)*NORMSINV(H557))&lt;I$8,I$5+SQRT(NORMSDIST(I$9*SQRT($C$11)*NORMSINV($B557)+SQRT(1-I$9^2*$C$11)*NORMSINV(H557))*(I$7-I$5)*(I$6-I$5)),I$7-SQRT((1-NORMSDIST(I$9*SQRT($C$11)*NORMSINV($B557)+SQRT(1-I$9^2*$C$11)*NORMSINV(H557)))*(I$7-I$5)*(I$7-I$6))))</f>
        <v>197.92063496861</v>
      </c>
      <c r="J557" s="2" t="n">
        <v>0.338333451</v>
      </c>
      <c r="K557" s="2" t="n">
        <f aca="false">IF(K$7=K$5,K$6,IF(NORMSDIST(K$9*SQRT($C$11)*NORMSINV($B557)+SQRT(1-K$9^2*$C$11)*NORMSINV(J557))&lt;K$8,K$5+SQRT(NORMSDIST(K$9*SQRT($C$11)*NORMSINV($B557)+SQRT(1-K$9^2*$C$11)*NORMSINV(J557))*(K$7-K$5)*(K$6-K$5)),K$7-SQRT((1-NORMSDIST(K$9*SQRT($C$11)*NORMSINV($B557)+SQRT(1-K$9^2*$C$11)*NORMSINV(J557)))*(K$7-K$5)*(K$7-K$6))))</f>
        <v>0.247521960404548</v>
      </c>
      <c r="L557" s="2" t="n">
        <v>0.31285752</v>
      </c>
      <c r="M557" s="2" t="n">
        <f aca="false">IF(M$7=M$5,M$6,IF(NORMSDIST(M$9*SQRT($C$11)*NORMSINV($B557)+SQRT(1-M$9^2*$C$11)*NORMSINV(L557))&lt;M$8,M$5+SQRT(NORMSDIST(M$9*SQRT($C$11)*NORMSINV($B557)+SQRT(1-M$9^2*$C$11)*NORMSINV(L557))*(M$7-M$5)*(M$6-M$5)),M$7-SQRT((1-NORMSDIST(M$9*SQRT($C$11)*NORMSINV($B557)+SQRT(1-M$9^2*$C$11)*NORMSINV(L557)))*(M$7-M$5)*(M$7-M$6))))</f>
        <v>1576.26217044328</v>
      </c>
      <c r="N557" s="2" t="n">
        <v>0.293961949</v>
      </c>
      <c r="O557" s="2" t="n">
        <f aca="false">IF(O$7=O$5,O$6,IF(NORMSDIST(O$9*SQRT($C$11)*NORMSINV($B557)+SQRT(1-O$9^2*$C$11)*NORMSINV(N557))&lt;O$8,O$5+SQRT(NORMSDIST(O$9*SQRT($C$11)*NORMSINV($B557)+SQRT(1-O$9^2*$C$11)*NORMSINV(N557))*(O$7-O$5)*(O$6-O$5)),O$7-SQRT((1-NORMSDIST(O$9*SQRT($C$11)*NORMSINV($B557)+SQRT(1-O$9^2*$C$11)*NORMSINV(N557)))*(O$7-O$5)*(O$7-O$6))))</f>
        <v>0.165457373877675</v>
      </c>
      <c r="P557" s="2" t="n">
        <v>0.981483783</v>
      </c>
      <c r="Q557" s="2" t="n">
        <f aca="false">IF(Q$7=Q$5,Q$6,IF(NORMSDIST(Q$9*SQRT($C$11)*NORMSINV($B557)+SQRT(1-Q$9^2*$C$11)*NORMSINV(P557))&lt;Q$8,Q$5+SQRT(NORMSDIST(Q$9*SQRT($C$11)*NORMSINV($B557)+SQRT(1-Q$9^2*$C$11)*NORMSINV(P557))*(Q$7-Q$5)*(Q$6-Q$5)),Q$7-SQRT((1-NORMSDIST(Q$9*SQRT($C$11)*NORMSINV($B557)+SQRT(1-Q$9^2*$C$11)*NORMSINV(P557)))*(Q$7-Q$5)*(Q$7-Q$6))))</f>
        <v>0.11230247478731</v>
      </c>
      <c r="R557" s="2" t="n">
        <v>0.829183364</v>
      </c>
      <c r="S557" s="2" t="n">
        <f aca="false">IF(S$7=S$5,S$6,IF(NORMSDIST(S$9*SQRT($C$11)*NORMSINV($B557)+SQRT(1-S$9^2*$C$11)*NORMSINV(R557))&lt;S$8,S$5+SQRT(NORMSDIST(S$9*SQRT($C$11)*NORMSINV($B557)+SQRT(1-S$9^2*$C$11)*NORMSINV(R557))*(S$7-S$5)*(S$6-S$5)),S$7-SQRT((1-NORMSDIST(S$9*SQRT($C$11)*NORMSINV($B557)+SQRT(1-S$9^2*$C$11)*NORMSINV(R557)))*(S$7-S$5)*(S$7-S$6))))</f>
        <v>0.725810337853352</v>
      </c>
      <c r="T557" s="2" t="n">
        <v>0.058011537</v>
      </c>
      <c r="U557" s="2" t="n">
        <f aca="false">IF(U$7=U$5,U$6,IF(NORMSDIST(U$9*SQRT($C$11)*NORMSINV($B557)+SQRT(1-U$9^2*$C$11)*NORMSINV(T557))&lt;U$8,U$5+SQRT(NORMSDIST(U$9*SQRT($C$11)*NORMSINV($B557)+SQRT(1-U$9^2*$C$11)*NORMSINV(T557))*(U$7-U$5)*(U$6-U$5)),U$7-SQRT((1-NORMSDIST(U$9*SQRT($C$11)*NORMSINV($B557)+SQRT(1-U$9^2*$C$11)*NORMSINV(T557)))*(U$7-U$5)*(U$7-U$6))))</f>
        <v>0.299176968459596</v>
      </c>
      <c r="V557" s="2" t="n">
        <v>0.833300408</v>
      </c>
      <c r="W557" s="2" t="n">
        <f aca="false">IF(W$7=W$5,W$6,IF(NORMSDIST(W$9*SQRT($C$11)*NORMSINV($B557)+SQRT(1-W$9^2*$C$11)*NORMSINV(V557))&lt;W$8,W$5+SQRT(NORMSDIST(W$9*SQRT($C$11)*NORMSINV($B557)+SQRT(1-W$9^2*$C$11)*NORMSINV(V557))*(W$7-W$5)*(W$6-W$5)),W$7-SQRT((1-NORMSDIST(W$9*SQRT($C$11)*NORMSINV($B557)+SQRT(1-W$9^2*$C$11)*NORMSINV(V557)))*(W$7-W$5)*(W$7-W$6))))</f>
        <v>10.9140080771952</v>
      </c>
      <c r="X557" s="2" t="n">
        <v>0.713130646</v>
      </c>
      <c r="Y557" s="2" t="n">
        <f aca="false">IF(Y$7=Y$5,Y$6,IF(NORMSDIST(Y$9*SQRT($C$11)*NORMSINV($B557)+SQRT(1-Y$9^2*$C$11)*NORMSINV(X557))&lt;Y$8,Y$5+SQRT(NORMSDIST(Y$9*SQRT($C$11)*NORMSINV($B557)+SQRT(1-Y$9^2*$C$11)*NORMSINV(X557))*(Y$7-Y$5)*(Y$6-Y$5)),Y$7-SQRT((1-NORMSDIST(Y$9*SQRT($C$11)*NORMSINV($B557)+SQRT(1-Y$9^2*$C$11)*NORMSINV(X557)))*(Y$7-Y$5)*(Y$7-Y$6))))</f>
        <v>0.621272291745111</v>
      </c>
      <c r="Z557" s="2" t="n">
        <v>0.616246519</v>
      </c>
      <c r="AA557" s="2" t="n">
        <f aca="false">IF(AA$7=AA$5,AA$6,IF(NORMSDIST(AA$9*SQRT($C$11)*NORMSINV($B557)+SQRT(1-AA$9^2*$C$11)*NORMSINV(Z557))&lt;AA$8,AA$5+SQRT(NORMSDIST(AA$9*SQRT($C$11)*NORMSINV($B557)+SQRT(1-AA$9^2*$C$11)*NORMSINV(Z557))*(AA$7-AA$5)*(AA$6-AA$5)),AA$7-SQRT((1-NORMSDIST(AA$9*SQRT($C$11)*NORMSINV($B557)+SQRT(1-AA$9^2*$C$11)*NORMSINV(Z557)))*(AA$7-AA$5)*(AA$7-AA$6))))</f>
        <v>0.734265927786178</v>
      </c>
      <c r="AB557" s="2" t="n">
        <v>0.447443325</v>
      </c>
      <c r="AC557" s="2" t="n">
        <f aca="false">IF(AC$7=AC$5,AC$6,IF(NORMSDIST(AC$9*SQRT($C$11)*NORMSINV($B557)+SQRT(1-AC$9^2*$C$11)*NORMSINV(AB557))&lt;AC$8,AC$5+SQRT(NORMSDIST(AC$9*SQRT($C$11)*NORMSINV($B557)+SQRT(1-AC$9^2*$C$11)*NORMSINV(AB557))*(AC$7-AC$5)*(AC$6-AC$5)),AC$7-SQRT((1-NORMSDIST(AC$9*SQRT($C$11)*NORMSINV($B557)+SQRT(1-AC$9^2*$C$11)*NORMSINV(AB557)))*(AC$7-AC$5)*(AC$7-AC$6))))</f>
        <v>9.63408121203087</v>
      </c>
      <c r="AD557" s="2" t="n">
        <f aca="false">Entrées!$C$8*(1+E557)</f>
        <v>7439.91642600391</v>
      </c>
      <c r="AE557" s="2" t="n">
        <f aca="false">I557*Hypothèses!$J$24/12/Hypothèses!$J$19</f>
        <v>98.1877935382915</v>
      </c>
      <c r="AF557" s="2" t="n">
        <f aca="false">Entrées!$C$36*S557*1000</f>
        <v>362.905168926676</v>
      </c>
      <c r="AG557" s="2" t="n">
        <f aca="false">-AF557/W557</f>
        <v>-33.2513194382701</v>
      </c>
      <c r="AH557" s="2" t="n">
        <f aca="false">AD557+AE557+AG557</f>
        <v>7504.85290010393</v>
      </c>
      <c r="AI557" s="2" t="n">
        <f aca="false">Entrées!$C$16-M557+Hypothèses!$J$22*1000-AF557+Hypothèses!$J$23</f>
        <v>22608.83266063</v>
      </c>
      <c r="AJ557" s="2" t="n">
        <f aca="false">AI557/AH557</f>
        <v>3.01256173326421</v>
      </c>
      <c r="AK557" s="2" t="n">
        <f aca="false">AI557/(AH557+I557*(12-Hypothèses!$J$24)/12/Hypothèses!$J$19)</f>
        <v>2.98466948473723</v>
      </c>
      <c r="AL557" s="2" t="n">
        <f aca="false">(AD557+AG557+I557/Hypothèses!$J$19)*(1+G557)</f>
        <v>8047.89811804081</v>
      </c>
      <c r="AM557" s="2" t="n">
        <f aca="false">Entrées!$C$54*K557/Hypothèses!$J$19</f>
        <v>25.2606553368361</v>
      </c>
      <c r="AN557" s="2" t="n">
        <f aca="false">Y557*1000/AC557</f>
        <v>64.4869269909494</v>
      </c>
      <c r="AO557" s="2" t="n">
        <f aca="false">(Entrées!$C$36*(1-S557)+MAX(0,Entrées!$C$30-Entrées!$C$35-Entrées!$C$36)*U557)*1000</f>
        <v>555.942586916758</v>
      </c>
      <c r="AP557" s="2" t="n">
        <f aca="false">-AO557/W557</f>
        <v>-50.9384437856888</v>
      </c>
      <c r="AQ557" s="2" t="n">
        <f aca="false">AL557+AM557+AN557+AP557</f>
        <v>8086.70725658291</v>
      </c>
      <c r="AR557" s="2" t="n">
        <f aca="false">O557*AQ557-Hypothèses!$J$25/Hypothèses!$J$19</f>
        <v>1318.87018373012</v>
      </c>
      <c r="AS557" s="2" t="n">
        <f aca="false">Entrées!$C$79*(1+Q557)+Hypothèses!$J$20</f>
        <v>1517.42041979125</v>
      </c>
      <c r="AT557" s="2" t="n">
        <f aca="false">AI557-AR557+AS557+Y557*1000-AO557+Hypothèses!$J$23</f>
        <v>22872.7126015195</v>
      </c>
      <c r="AU557" s="2" t="n">
        <f aca="false">AT557/AQ557</f>
        <v>2.82843336302303</v>
      </c>
      <c r="AV557" s="2" t="n">
        <f aca="false">Hypothèses!$J$26*AQ557-AT557</f>
        <v>1387.4091682292</v>
      </c>
      <c r="AW557" s="2" t="n">
        <f aca="false">IF(AC557&gt;Hypothèses!$J$26,MAX(0,AV557)/(1-Hypothèses!$J$26/AC557),0)</f>
        <v>2014.80991471681</v>
      </c>
      <c r="AX557" s="2" t="n">
        <f aca="false">AQ557-Entrées!$C$17*1000</f>
        <v>86.7072565829094</v>
      </c>
      <c r="AY557" s="2" t="n">
        <f aca="false">AI557+(Entrées!$C$244-Entrées!$C$13)</f>
        <v>28355.83266063</v>
      </c>
      <c r="AZ557" s="2" t="n">
        <f aca="false">AA557*AH557</f>
        <v>5510.5577775936</v>
      </c>
      <c r="BA557" s="2" t="n">
        <f aca="false">AZ557/AY557</f>
        <v>0.194335953507181</v>
      </c>
      <c r="BB557" s="2" t="n">
        <f aca="false">AZ557/(Entrées!$C$151/100)-AY557</f>
        <v>2258.37721488995</v>
      </c>
      <c r="BC557" s="2" t="n">
        <f aca="false">AT557+(Entrées!$C$244-Entrées!$C$13)</f>
        <v>28619.7126015195</v>
      </c>
      <c r="BD557" s="2" t="n">
        <f aca="false">AA557*AQ557</f>
        <v>5937.79360649007</v>
      </c>
      <c r="BE557" s="2" t="n">
        <f aca="false">BD557/BC557</f>
        <v>0.207472160505721</v>
      </c>
      <c r="BF557" s="2" t="n">
        <f aca="false">BD557/(Entrées!$C$151/100)-BC557</f>
        <v>4368.02965675863</v>
      </c>
      <c r="BG557" s="2" t="n">
        <f aca="false">MIN(AV557,BF557)</f>
        <v>1387.4091682292</v>
      </c>
      <c r="BH557" s="2" t="n">
        <f aca="false">IF(AC557&gt;Hypothèses!$J$26,MAX(0,BG557)/(1-Hypothèses!$J$26/AC557),0)</f>
        <v>2014.80991471681</v>
      </c>
    </row>
    <row r="558" customFormat="false" ht="15" hidden="false" customHeight="false" outlineLevel="0" collapsed="false">
      <c r="A558" s="2" t="n">
        <v>543</v>
      </c>
      <c r="B558" s="2" t="n">
        <v>0.723459639</v>
      </c>
      <c r="C558" s="2"/>
      <c r="D558" s="2" t="n">
        <v>0.989765078</v>
      </c>
      <c r="E558" s="2" t="n">
        <f aca="false">IF(E$7=E$5,E$6,IF(NORMSDIST(E$9*SQRT($C$11)*NORMSINV($B558)+SQRT(1-E$9^2*$C$11)*NORMSINV(D558))&lt;E$8,E$5+SQRT(NORMSDIST(E$9*SQRT($C$11)*NORMSINV($B558)+SQRT(1-E$9^2*$C$11)*NORMSINV(D558))*(E$7-E$5)*(E$6-E$5)),E$7-SQRT((1-NORMSDIST(E$9*SQRT($C$11)*NORMSINV($B558)+SQRT(1-E$9^2*$C$11)*NORMSINV(D558)))*(E$7-E$5)*(E$7-E$6))))</f>
        <v>0.0591342734132428</v>
      </c>
      <c r="F558" s="2" t="n">
        <v>0.761956731</v>
      </c>
      <c r="G558" s="2" t="n">
        <f aca="false">IF(G$7=G$5,G$6,IF(NORMSDIST(G$9*SQRT($C$11)*NORMSINV($B558)+SQRT(1-G$9^2*$C$11)*NORMSINV(F558))&lt;G$8,G$5+SQRT(NORMSDIST(G$9*SQRT($C$11)*NORMSINV($B558)+SQRT(1-G$9^2*$C$11)*NORMSINV(F558))*(G$7-G$5)*(G$6-G$5)),G$7-SQRT((1-NORMSDIST(G$9*SQRT($C$11)*NORMSINV($B558)+SQRT(1-G$9^2*$C$11)*NORMSINV(F558)))*(G$7-G$5)*(G$7-G$6))))</f>
        <v>0.0610770732314441</v>
      </c>
      <c r="H558" s="2" t="n">
        <v>0.029322577</v>
      </c>
      <c r="I558" s="2" t="n">
        <f aca="false">IF(I$7=I$5,I$6,IF(NORMSDIST(I$9*SQRT($C$11)*NORMSINV($B558)+SQRT(1-I$9^2*$C$11)*NORMSINV(H558))&lt;I$8,I$5+SQRT(NORMSDIST(I$9*SQRT($C$11)*NORMSINV($B558)+SQRT(1-I$9^2*$C$11)*NORMSINV(H558))*(I$7-I$5)*(I$6-I$5)),I$7-SQRT((1-NORMSDIST(I$9*SQRT($C$11)*NORMSINV($B558)+SQRT(1-I$9^2*$C$11)*NORMSINV(H558)))*(I$7-I$5)*(I$7-I$6))))</f>
        <v>190.505869309522</v>
      </c>
      <c r="J558" s="2" t="n">
        <v>0.697835144</v>
      </c>
      <c r="K558" s="2" t="n">
        <f aca="false">IF(K$7=K$5,K$6,IF(NORMSDIST(K$9*SQRT($C$11)*NORMSINV($B558)+SQRT(1-K$9^2*$C$11)*NORMSINV(J558))&lt;K$8,K$5+SQRT(NORMSDIST(K$9*SQRT($C$11)*NORMSINV($B558)+SQRT(1-K$9^2*$C$11)*NORMSINV(J558))*(K$7-K$5)*(K$6-K$5)),K$7-SQRT((1-NORMSDIST(K$9*SQRT($C$11)*NORMSINV($B558)+SQRT(1-K$9^2*$C$11)*NORMSINV(J558)))*(K$7-K$5)*(K$7-K$6))))</f>
        <v>0.334652042372305</v>
      </c>
      <c r="L558" s="2" t="n">
        <v>0.89659591</v>
      </c>
      <c r="M558" s="2" t="n">
        <f aca="false">IF(M$7=M$5,M$6,IF(NORMSDIST(M$9*SQRT($C$11)*NORMSINV($B558)+SQRT(1-M$9^2*$C$11)*NORMSINV(L558))&lt;M$8,M$5+SQRT(NORMSDIST(M$9*SQRT($C$11)*NORMSINV($B558)+SQRT(1-M$9^2*$C$11)*NORMSINV(L558))*(M$7-M$5)*(M$6-M$5)),M$7-SQRT((1-NORMSDIST(M$9*SQRT($C$11)*NORMSINV($B558)+SQRT(1-M$9^2*$C$11)*NORMSINV(L558)))*(M$7-M$5)*(M$7-M$6))))</f>
        <v>1708.18608261004</v>
      </c>
      <c r="N558" s="2" t="n">
        <v>0.088118418</v>
      </c>
      <c r="O558" s="2" t="n">
        <f aca="false">IF(O$7=O$5,O$6,IF(NORMSDIST(O$9*SQRT($C$11)*NORMSINV($B558)+SQRT(1-O$9^2*$C$11)*NORMSINV(N558))&lt;O$8,O$5+SQRT(NORMSDIST(O$9*SQRT($C$11)*NORMSINV($B558)+SQRT(1-O$9^2*$C$11)*NORMSINV(N558))*(O$7-O$5)*(O$6-O$5)),O$7-SQRT((1-NORMSDIST(O$9*SQRT($C$11)*NORMSINV($B558)+SQRT(1-O$9^2*$C$11)*NORMSINV(N558)))*(O$7-O$5)*(O$7-O$6))))</f>
        <v>0.158964062131771</v>
      </c>
      <c r="P558" s="2" t="n">
        <v>0.933066259</v>
      </c>
      <c r="Q558" s="2" t="n">
        <f aca="false">IF(Q$7=Q$5,Q$6,IF(NORMSDIST(Q$9*SQRT($C$11)*NORMSINV($B558)+SQRT(1-Q$9^2*$C$11)*NORMSINV(P558))&lt;Q$8,Q$5+SQRT(NORMSDIST(Q$9*SQRT($C$11)*NORMSINV($B558)+SQRT(1-Q$9^2*$C$11)*NORMSINV(P558))*(Q$7-Q$5)*(Q$6-Q$5)),Q$7-SQRT((1-NORMSDIST(Q$9*SQRT($C$11)*NORMSINV($B558)+SQRT(1-Q$9^2*$C$11)*NORMSINV(P558)))*(Q$7-Q$5)*(Q$7-Q$6))))</f>
        <v>0.105364837848524</v>
      </c>
      <c r="R558" s="2" t="n">
        <v>0.817661165</v>
      </c>
      <c r="S558" s="2" t="n">
        <f aca="false">IF(S$7=S$5,S$6,IF(NORMSDIST(S$9*SQRT($C$11)*NORMSINV($B558)+SQRT(1-S$9^2*$C$11)*NORMSINV(R558))&lt;S$8,S$5+SQRT(NORMSDIST(S$9*SQRT($C$11)*NORMSINV($B558)+SQRT(1-S$9^2*$C$11)*NORMSINV(R558))*(S$7-S$5)*(S$6-S$5)),S$7-SQRT((1-NORMSDIST(S$9*SQRT($C$11)*NORMSINV($B558)+SQRT(1-S$9^2*$C$11)*NORMSINV(R558)))*(S$7-S$5)*(S$7-S$6))))</f>
        <v>0.734790329309652</v>
      </c>
      <c r="T558" s="2" t="n">
        <v>0.78438766</v>
      </c>
      <c r="U558" s="2" t="n">
        <f aca="false">IF(U$7=U$5,U$6,IF(NORMSDIST(U$9*SQRT($C$11)*NORMSINV($B558)+SQRT(1-U$9^2*$C$11)*NORMSINV(T558))&lt;U$8,U$5+SQRT(NORMSDIST(U$9*SQRT($C$11)*NORMSINV($B558)+SQRT(1-U$9^2*$C$11)*NORMSINV(T558))*(U$7-U$5)*(U$6-U$5)),U$7-SQRT((1-NORMSDIST(U$9*SQRT($C$11)*NORMSINV($B558)+SQRT(1-U$9^2*$C$11)*NORMSINV(T558)))*(U$7-U$5)*(U$7-U$6))))</f>
        <v>0.715083177002587</v>
      </c>
      <c r="V558" s="2" t="n">
        <v>0.111160916</v>
      </c>
      <c r="W558" s="2" t="n">
        <f aca="false">IF(W$7=W$5,W$6,IF(NORMSDIST(W$9*SQRT($C$11)*NORMSINV($B558)+SQRT(1-W$9^2*$C$11)*NORMSINV(V558))&lt;W$8,W$5+SQRT(NORMSDIST(W$9*SQRT($C$11)*NORMSINV($B558)+SQRT(1-W$9^2*$C$11)*NORMSINV(V558))*(W$7-W$5)*(W$6-W$5)),W$7-SQRT((1-NORMSDIST(W$9*SQRT($C$11)*NORMSINV($B558)+SQRT(1-W$9^2*$C$11)*NORMSINV(V558)))*(W$7-W$5)*(W$7-W$6))))</f>
        <v>9.50807121514587</v>
      </c>
      <c r="X558" s="2" t="n">
        <v>0.99114574</v>
      </c>
      <c r="Y558" s="2" t="n">
        <f aca="false">IF(Y$7=Y$5,Y$6,IF(NORMSDIST(Y$9*SQRT($C$11)*NORMSINV($B558)+SQRT(1-Y$9^2*$C$11)*NORMSINV(X558))&lt;Y$8,Y$5+SQRT(NORMSDIST(Y$9*SQRT($C$11)*NORMSINV($B558)+SQRT(1-Y$9^2*$C$11)*NORMSINV(X558))*(Y$7-Y$5)*(Y$6-Y$5)),Y$7-SQRT((1-NORMSDIST(Y$9*SQRT($C$11)*NORMSINV($B558)+SQRT(1-Y$9^2*$C$11)*NORMSINV(X558)))*(Y$7-Y$5)*(Y$7-Y$6))))</f>
        <v>0.933463318387524</v>
      </c>
      <c r="Z558" s="2" t="n">
        <v>0.989575338</v>
      </c>
      <c r="AA558" s="2" t="n">
        <f aca="false">IF(AA$7=AA$5,AA$6,IF(NORMSDIST(AA$9*SQRT($C$11)*NORMSINV($B558)+SQRT(1-AA$9^2*$C$11)*NORMSINV(Z558))&lt;AA$8,AA$5+SQRT(NORMSDIST(AA$9*SQRT($C$11)*NORMSINV($B558)+SQRT(1-AA$9^2*$C$11)*NORMSINV(Z558))*(AA$7-AA$5)*(AA$6-AA$5)),AA$7-SQRT((1-NORMSDIST(AA$9*SQRT($C$11)*NORMSINV($B558)+SQRT(1-AA$9^2*$C$11)*NORMSINV(Z558)))*(AA$7-AA$5)*(AA$7-AA$6))))</f>
        <v>0.749452583993414</v>
      </c>
      <c r="AB558" s="2" t="n">
        <v>0.029001185</v>
      </c>
      <c r="AC558" s="2" t="n">
        <f aca="false">IF(AC$7=AC$5,AC$6,IF(NORMSDIST(AC$9*SQRT($C$11)*NORMSINV($B558)+SQRT(1-AC$9^2*$C$11)*NORMSINV(AB558))&lt;AC$8,AC$5+SQRT(NORMSDIST(AC$9*SQRT($C$11)*NORMSINV($B558)+SQRT(1-AC$9^2*$C$11)*NORMSINV(AB558))*(AC$7-AC$5)*(AC$6-AC$5)),AC$7-SQRT((1-NORMSDIST(AC$9*SQRT($C$11)*NORMSINV($B558)+SQRT(1-AC$9^2*$C$11)*NORMSINV(AB558)))*(AC$7-AC$5)*(AC$7-AC$6))))</f>
        <v>8.48853753362953</v>
      </c>
      <c r="AD558" s="2" t="n">
        <f aca="false">Entrées!$C$8*(1+E558)</f>
        <v>7466.89662756336</v>
      </c>
      <c r="AE558" s="2" t="n">
        <f aca="false">I558*Hypothèses!$J$24/12/Hypothèses!$J$19</f>
        <v>94.5093520266989</v>
      </c>
      <c r="AF558" s="2" t="n">
        <f aca="false">Entrées!$C$36*S558*1000</f>
        <v>367.395164654826</v>
      </c>
      <c r="AG558" s="2" t="n">
        <f aca="false">-AF558/W558</f>
        <v>-38.64034632698</v>
      </c>
      <c r="AH558" s="2" t="n">
        <f aca="false">AD558+AE558+AG558</f>
        <v>7522.76563326308</v>
      </c>
      <c r="AI558" s="2" t="n">
        <f aca="false">Entrées!$C$16-M558+Hypothèses!$J$22*1000-AF558+Hypothèses!$J$23</f>
        <v>22472.4187527351</v>
      </c>
      <c r="AJ558" s="2" t="n">
        <f aca="false">AI558/AH558</f>
        <v>2.98725493366028</v>
      </c>
      <c r="AK558" s="2" t="n">
        <f aca="false">AI558/(AH558+I558*(12-Hypothèses!$J$24)/12/Hypothèses!$J$19)</f>
        <v>2.96068676131828</v>
      </c>
      <c r="AL558" s="2" t="n">
        <f aca="false">(AD558+AG558+I558/Hypothèses!$J$19)*(1+G558)</f>
        <v>8053.86393120709</v>
      </c>
      <c r="AM558" s="2" t="n">
        <f aca="false">Entrées!$C$54*K558/Hypothèses!$J$19</f>
        <v>34.1526460372191</v>
      </c>
      <c r="AN558" s="2" t="n">
        <f aca="false">Y558*1000/AC558</f>
        <v>109.967507911624</v>
      </c>
      <c r="AO558" s="2" t="n">
        <f aca="false">(Entrées!$C$36*(1-S558)+MAX(0,Entrées!$C$30-Entrées!$C$35-Entrées!$C$36)*U558)*1000</f>
        <v>1133.7212831488</v>
      </c>
      <c r="AP558" s="2" t="n">
        <f aca="false">-AO558/W558</f>
        <v>-119.237777830569</v>
      </c>
      <c r="AQ558" s="2" t="n">
        <f aca="false">AL558+AM558+AN558+AP558</f>
        <v>8078.74630732536</v>
      </c>
      <c r="AR558" s="2" t="n">
        <f aca="false">O558*AQ558-Hypothèses!$J$25/Hypothèses!$J$19</f>
        <v>1265.09516768286</v>
      </c>
      <c r="AS558" s="2" t="n">
        <f aca="false">Entrées!$C$79*(1+Q558)+Hypothèses!$J$20</f>
        <v>1509.79595679553</v>
      </c>
      <c r="AT558" s="2" t="n">
        <f aca="false">AI558-AR558+AS558+Y558*1000-AO558+Hypothèses!$J$23</f>
        <v>22516.8615770865</v>
      </c>
      <c r="AU558" s="2" t="n">
        <f aca="false">AT558/AQ558</f>
        <v>2.78717275187482</v>
      </c>
      <c r="AV558" s="2" t="n">
        <f aca="false">Hypothèses!$J$26*AQ558-AT558</f>
        <v>1719.37734488956</v>
      </c>
      <c r="AW558" s="2" t="n">
        <f aca="false">IF(AC558&gt;Hypothèses!$J$26,MAX(0,AV558)/(1-Hypothèses!$J$26/AC558),0)</f>
        <v>2659.17815759488</v>
      </c>
      <c r="AX558" s="2" t="n">
        <f aca="false">AQ558-Entrées!$C$17*1000</f>
        <v>78.7463073253621</v>
      </c>
      <c r="AY558" s="2" t="n">
        <f aca="false">AI558+(Entrées!$C$244-Entrées!$C$13)</f>
        <v>28219.4187527351</v>
      </c>
      <c r="AZ558" s="2" t="n">
        <f aca="false">AA558*AH558</f>
        <v>5637.95614262587</v>
      </c>
      <c r="BA558" s="2" t="n">
        <f aca="false">AZ558/AY558</f>
        <v>0.199789945782615</v>
      </c>
      <c r="BB558" s="2" t="n">
        <f aca="false">AZ558/(Entrées!$C$151/100)-AY558</f>
        <v>3102.55981740859</v>
      </c>
      <c r="BC558" s="2" t="n">
        <f aca="false">AT558+(Entrées!$C$244-Entrées!$C$13)</f>
        <v>28263.8615770865</v>
      </c>
      <c r="BD558" s="2" t="n">
        <f aca="false">AA558*AQ558</f>
        <v>6054.63729545225</v>
      </c>
      <c r="BE558" s="2" t="n">
        <f aca="false">BD558/BC558</f>
        <v>0.214218332443318</v>
      </c>
      <c r="BF558" s="2" t="n">
        <f aca="false">BD558/(Entrées!$C$151/100)-BC558</f>
        <v>5373.01228653707</v>
      </c>
      <c r="BG558" s="2" t="n">
        <f aca="false">MIN(AV558,BF558)</f>
        <v>1719.37734488956</v>
      </c>
      <c r="BH558" s="2" t="n">
        <f aca="false">IF(AC558&gt;Hypothèses!$J$26,MAX(0,BG558)/(1-Hypothèses!$J$26/AC558),0)</f>
        <v>2659.17815759488</v>
      </c>
    </row>
    <row r="559" customFormat="false" ht="15" hidden="false" customHeight="false" outlineLevel="0" collapsed="false">
      <c r="A559" s="2" t="n">
        <v>544</v>
      </c>
      <c r="B559" s="2" t="n">
        <v>0.029278419</v>
      </c>
      <c r="C559" s="2"/>
      <c r="D559" s="2" t="n">
        <v>0.595593843</v>
      </c>
      <c r="E559" s="2" t="n">
        <f aca="false">IF(E$7=E$5,E$6,IF(NORMSDIST(E$9*SQRT($C$11)*NORMSINV($B559)+SQRT(1-E$9^2*$C$11)*NORMSINV(D559))&lt;E$8,E$5+SQRT(NORMSDIST(E$9*SQRT($C$11)*NORMSINV($B559)+SQRT(1-E$9^2*$C$11)*NORMSINV(D559))*(E$7-E$5)*(E$6-E$5)),E$7-SQRT((1-NORMSDIST(E$9*SQRT($C$11)*NORMSINV($B559)+SQRT(1-E$9^2*$C$11)*NORMSINV(D559)))*(E$7-E$5)*(E$7-E$6))))</f>
        <v>0.0527974786677999</v>
      </c>
      <c r="F559" s="2" t="n">
        <v>0.454847658</v>
      </c>
      <c r="G559" s="2" t="n">
        <f aca="false">IF(G$7=G$5,G$6,IF(NORMSDIST(G$9*SQRT($C$11)*NORMSINV($B559)+SQRT(1-G$9^2*$C$11)*NORMSINV(F559))&lt;G$8,G$5+SQRT(NORMSDIST(G$9*SQRT($C$11)*NORMSINV($B559)+SQRT(1-G$9^2*$C$11)*NORMSINV(F559))*(G$7-G$5)*(G$6-G$5)),G$7-SQRT((1-NORMSDIST(G$9*SQRT($C$11)*NORMSINV($B559)+SQRT(1-G$9^2*$C$11)*NORMSINV(F559)))*(G$7-G$5)*(G$7-G$6))))</f>
        <v>0.0466929143870809</v>
      </c>
      <c r="H559" s="2" t="n">
        <v>0.644994217</v>
      </c>
      <c r="I559" s="2" t="n">
        <f aca="false">IF(I$7=I$5,I$6,IF(NORMSDIST(I$9*SQRT($C$11)*NORMSINV($B559)+SQRT(1-I$9^2*$C$11)*NORMSINV(H559))&lt;I$8,I$5+SQRT(NORMSDIST(I$9*SQRT($C$11)*NORMSINV($B559)+SQRT(1-I$9^2*$C$11)*NORMSINV(H559))*(I$7-I$5)*(I$6-I$5)),I$7-SQRT((1-NORMSDIST(I$9*SQRT($C$11)*NORMSINV($B559)+SQRT(1-I$9^2*$C$11)*NORMSINV(H559)))*(I$7-I$5)*(I$7-I$6))))</f>
        <v>192.062125899365</v>
      </c>
      <c r="J559" s="2" t="n">
        <v>0.98021222</v>
      </c>
      <c r="K559" s="2" t="n">
        <f aca="false">IF(K$7=K$5,K$6,IF(NORMSDIST(K$9*SQRT($C$11)*NORMSINV($B559)+SQRT(1-K$9^2*$C$11)*NORMSINV(J559))&lt;K$8,K$5+SQRT(NORMSDIST(K$9*SQRT($C$11)*NORMSINV($B559)+SQRT(1-K$9^2*$C$11)*NORMSINV(J559))*(K$7-K$5)*(K$6-K$5)),K$7-SQRT((1-NORMSDIST(K$9*SQRT($C$11)*NORMSINV($B559)+SQRT(1-K$9^2*$C$11)*NORMSINV(J559)))*(K$7-K$5)*(K$7-K$6))))</f>
        <v>0.292233402137879</v>
      </c>
      <c r="L559" s="2" t="n">
        <v>0.746348736</v>
      </c>
      <c r="M559" s="2" t="n">
        <f aca="false">IF(M$7=M$5,M$6,IF(NORMSDIST(M$9*SQRT($C$11)*NORMSINV($B559)+SQRT(1-M$9^2*$C$11)*NORMSINV(L559))&lt;M$8,M$5+SQRT(NORMSDIST(M$9*SQRT($C$11)*NORMSINV($B559)+SQRT(1-M$9^2*$C$11)*NORMSINV(L559))*(M$7-M$5)*(M$6-M$5)),M$7-SQRT((1-NORMSDIST(M$9*SQRT($C$11)*NORMSINV($B559)+SQRT(1-M$9^2*$C$11)*NORMSINV(L559)))*(M$7-M$5)*(M$7-M$6))))</f>
        <v>1501.66981285604</v>
      </c>
      <c r="N559" s="2" t="n">
        <v>0.327079492</v>
      </c>
      <c r="O559" s="2" t="n">
        <f aca="false">IF(O$7=O$5,O$6,IF(NORMSDIST(O$9*SQRT($C$11)*NORMSINV($B559)+SQRT(1-O$9^2*$C$11)*NORMSINV(N559))&lt;O$8,O$5+SQRT(NORMSDIST(O$9*SQRT($C$11)*NORMSINV($B559)+SQRT(1-O$9^2*$C$11)*NORMSINV(N559))*(O$7-O$5)*(O$6-O$5)),O$7-SQRT((1-NORMSDIST(O$9*SQRT($C$11)*NORMSINV($B559)+SQRT(1-O$9^2*$C$11)*NORMSINV(N559)))*(O$7-O$5)*(O$7-O$6))))</f>
        <v>0.149384379584052</v>
      </c>
      <c r="P559" s="2" t="n">
        <v>0.48562435</v>
      </c>
      <c r="Q559" s="2" t="n">
        <f aca="false">IF(Q$7=Q$5,Q$6,IF(NORMSDIST(Q$9*SQRT($C$11)*NORMSINV($B559)+SQRT(1-Q$9^2*$C$11)*NORMSINV(P559))&lt;Q$8,Q$5+SQRT(NORMSDIST(Q$9*SQRT($C$11)*NORMSINV($B559)+SQRT(1-Q$9^2*$C$11)*NORMSINV(P559))*(Q$7-Q$5)*(Q$6-Q$5)),Q$7-SQRT((1-NORMSDIST(Q$9*SQRT($C$11)*NORMSINV($B559)+SQRT(1-Q$9^2*$C$11)*NORMSINV(P559)))*(Q$7-Q$5)*(Q$7-Q$6))))</f>
        <v>0.0794207803068382</v>
      </c>
      <c r="R559" s="2" t="n">
        <v>0.047571039</v>
      </c>
      <c r="S559" s="2" t="n">
        <f aca="false">IF(S$7=S$5,S$6,IF(NORMSDIST(S$9*SQRT($C$11)*NORMSINV($B559)+SQRT(1-S$9^2*$C$11)*NORMSINV(R559))&lt;S$8,S$5+SQRT(NORMSDIST(S$9*SQRT($C$11)*NORMSINV($B559)+SQRT(1-S$9^2*$C$11)*NORMSINV(R559))*(S$7-S$5)*(S$6-S$5)),S$7-SQRT((1-NORMSDIST(S$9*SQRT($C$11)*NORMSINV($B559)+SQRT(1-S$9^2*$C$11)*NORMSINV(R559)))*(S$7-S$5)*(S$7-S$6))))</f>
        <v>0.0565913924570436</v>
      </c>
      <c r="T559" s="2" t="n">
        <v>0.401470618</v>
      </c>
      <c r="U559" s="2" t="n">
        <f aca="false">IF(U$7=U$5,U$6,IF(NORMSDIST(U$9*SQRT($C$11)*NORMSINV($B559)+SQRT(1-U$9^2*$C$11)*NORMSINV(T559))&lt;U$8,U$5+SQRT(NORMSDIST(U$9*SQRT($C$11)*NORMSINV($B559)+SQRT(1-U$9^2*$C$11)*NORMSINV(T559))*(U$7-U$5)*(U$6-U$5)),U$7-SQRT((1-NORMSDIST(U$9*SQRT($C$11)*NORMSINV($B559)+SQRT(1-U$9^2*$C$11)*NORMSINV(T559)))*(U$7-U$5)*(U$7-U$6))))</f>
        <v>0.202887890486299</v>
      </c>
      <c r="V559" s="2" t="n">
        <v>0.757004878</v>
      </c>
      <c r="W559" s="2" t="n">
        <f aca="false">IF(W$7=W$5,W$6,IF(NORMSDIST(W$9*SQRT($C$11)*NORMSINV($B559)+SQRT(1-W$9^2*$C$11)*NORMSINV(V559))&lt;W$8,W$5+SQRT(NORMSDIST(W$9*SQRT($C$11)*NORMSINV($B559)+SQRT(1-W$9^2*$C$11)*NORMSINV(V559))*(W$7-W$5)*(W$6-W$5)),W$7-SQRT((1-NORMSDIST(W$9*SQRT($C$11)*NORMSINV($B559)+SQRT(1-W$9^2*$C$11)*NORMSINV(V559)))*(W$7-W$5)*(W$7-W$6))))</f>
        <v>9.4302697405286</v>
      </c>
      <c r="X559" s="2" t="n">
        <v>0.404510936</v>
      </c>
      <c r="Y559" s="2" t="n">
        <f aca="false">IF(Y$7=Y$5,Y$6,IF(NORMSDIST(Y$9*SQRT($C$11)*NORMSINV($B559)+SQRT(1-Y$9^2*$C$11)*NORMSINV(X559))&lt;Y$8,Y$5+SQRT(NORMSDIST(Y$9*SQRT($C$11)*NORMSINV($B559)+SQRT(1-Y$9^2*$C$11)*NORMSINV(X559))*(Y$7-Y$5)*(Y$6-Y$5)),Y$7-SQRT((1-NORMSDIST(Y$9*SQRT($C$11)*NORMSINV($B559)+SQRT(1-Y$9^2*$C$11)*NORMSINV(X559)))*(Y$7-Y$5)*(Y$7-Y$6))))</f>
        <v>0.449728215703663</v>
      </c>
      <c r="Z559" s="2" t="n">
        <v>0.892131192</v>
      </c>
      <c r="AA559" s="2" t="n">
        <f aca="false">IF(AA$7=AA$5,AA$6,IF(NORMSDIST(AA$9*SQRT($C$11)*NORMSINV($B559)+SQRT(1-AA$9^2*$C$11)*NORMSINV(Z559))&lt;AA$8,AA$5+SQRT(NORMSDIST(AA$9*SQRT($C$11)*NORMSINV($B559)+SQRT(1-AA$9^2*$C$11)*NORMSINV(Z559))*(AA$7-AA$5)*(AA$6-AA$5)),AA$7-SQRT((1-NORMSDIST(AA$9*SQRT($C$11)*NORMSINV($B559)+SQRT(1-AA$9^2*$C$11)*NORMSINV(Z559)))*(AA$7-AA$5)*(AA$7-AA$6))))</f>
        <v>0.724820966732914</v>
      </c>
      <c r="AB559" s="2" t="n">
        <v>0.093182721</v>
      </c>
      <c r="AC559" s="2" t="n">
        <f aca="false">IF(AC$7=AC$5,AC$6,IF(NORMSDIST(AC$9*SQRT($C$11)*NORMSINV($B559)+SQRT(1-AC$9^2*$C$11)*NORMSINV(AB559))&lt;AC$8,AC$5+SQRT(NORMSDIST(AC$9*SQRT($C$11)*NORMSINV($B559)+SQRT(1-AC$9^2*$C$11)*NORMSINV(AB559))*(AC$7-AC$5)*(AC$6-AC$5)),AC$7-SQRT((1-NORMSDIST(AC$9*SQRT($C$11)*NORMSINV($B559)+SQRT(1-AC$9^2*$C$11)*NORMSINV(AB559)))*(AC$7-AC$5)*(AC$7-AC$6))))</f>
        <v>7.73789443164531</v>
      </c>
      <c r="AD559" s="2" t="n">
        <f aca="false">Entrées!$C$8*(1+E559)</f>
        <v>7422.22222460799</v>
      </c>
      <c r="AE559" s="2" t="n">
        <f aca="false">I559*Hypothèses!$J$24/12/Hypothèses!$J$19</f>
        <v>95.2814059399269</v>
      </c>
      <c r="AF559" s="2" t="n">
        <f aca="false">Entrées!$C$36*S559*1000</f>
        <v>28.2956962285218</v>
      </c>
      <c r="AG559" s="2" t="n">
        <f aca="false">-AF559/W559</f>
        <v>-3.00051822557259</v>
      </c>
      <c r="AH559" s="2" t="n">
        <f aca="false">AD559+AE559+AG559</f>
        <v>7514.50311232234</v>
      </c>
      <c r="AI559" s="2" t="n">
        <f aca="false">Entrées!$C$16-M559+Hypothèses!$J$22*1000-AF559+Hypothèses!$J$23</f>
        <v>23018.0344909154</v>
      </c>
      <c r="AJ559" s="2" t="n">
        <f aca="false">AI559/AH559</f>
        <v>3.0631479083654</v>
      </c>
      <c r="AK559" s="2" t="n">
        <f aca="false">AI559/(AH559+I559*(12-Hypothèses!$J$24)/12/Hypothèses!$J$19)</f>
        <v>3.03565427345709</v>
      </c>
      <c r="AL559" s="2" t="n">
        <f aca="false">(AD559+AG559+I559/Hypothèses!$J$19)*(1+G559)</f>
        <v>7936.61314314329</v>
      </c>
      <c r="AM559" s="2" t="n">
        <f aca="false">Entrées!$C$54*K559/Hypothèses!$J$19</f>
        <v>29.823645696935</v>
      </c>
      <c r="AN559" s="2" t="n">
        <f aca="false">Y559*1000/AC559</f>
        <v>58.1202315017933</v>
      </c>
      <c r="AO559" s="2" t="n">
        <f aca="false">(Entrées!$C$36*(1-S559)+MAX(0,Entrées!$C$30-Entrées!$C$35-Entrées!$C$36)*U559)*1000</f>
        <v>755.747350452297</v>
      </c>
      <c r="AP559" s="2" t="n">
        <f aca="false">-AO559/W559</f>
        <v>-80.1405867749796</v>
      </c>
      <c r="AQ559" s="2" t="n">
        <f aca="false">AL559+AM559+AN559+AP559</f>
        <v>7944.41643356704</v>
      </c>
      <c r="AR559" s="2" t="n">
        <f aca="false">O559*AQ559-Hypothèses!$J$25/Hypothèses!$J$19</f>
        <v>1167.63655782414</v>
      </c>
      <c r="AS559" s="2" t="n">
        <f aca="false">Entrées!$C$79*(1+Q559)+Hypothèses!$J$20</f>
        <v>1481.28343755722</v>
      </c>
      <c r="AT559" s="2" t="n">
        <f aca="false">AI559-AR559+AS559+Y559*1000-AO559+Hypothèses!$J$23</f>
        <v>23025.6622358999</v>
      </c>
      <c r="AU559" s="2" t="n">
        <f aca="false">AT559/AQ559</f>
        <v>2.8983453257323</v>
      </c>
      <c r="AV559" s="2" t="n">
        <f aca="false">Hypothèses!$J$26*AQ559-AT559</f>
        <v>807.587064801239</v>
      </c>
      <c r="AW559" s="2" t="n">
        <f aca="false">IF(AC559&gt;Hypothèses!$J$26,MAX(0,AV559)/(1-Hypothèses!$J$26/AC559),0)</f>
        <v>1318.94527029894</v>
      </c>
      <c r="AX559" s="2" t="n">
        <f aca="false">AQ559-Entrées!$C$17*1000</f>
        <v>-55.5835664329588</v>
      </c>
      <c r="AY559" s="2" t="n">
        <f aca="false">AI559+(Entrées!$C$244-Entrées!$C$13)</f>
        <v>28765.0344909154</v>
      </c>
      <c r="AZ559" s="2" t="n">
        <f aca="false">AA559*AH559</f>
        <v>5446.66941039097</v>
      </c>
      <c r="BA559" s="2" t="n">
        <f aca="false">AZ559/AY559</f>
        <v>0.18935035214754</v>
      </c>
      <c r="BB559" s="2" t="n">
        <f aca="false">AZ559/(Entrées!$C$151/100)-AY559</f>
        <v>1494.24001125662</v>
      </c>
      <c r="BC559" s="2" t="n">
        <f aca="false">AT559+(Entrées!$C$244-Entrées!$C$13)</f>
        <v>28772.6622358999</v>
      </c>
      <c r="BD559" s="2" t="n">
        <f aca="false">AA559*AQ559</f>
        <v>5758.27959950691</v>
      </c>
      <c r="BE559" s="2" t="n">
        <f aca="false">BD559/BC559</f>
        <v>0.200130233076669</v>
      </c>
      <c r="BF559" s="2" t="n">
        <f aca="false">BD559/(Entrées!$C$151/100)-BC559</f>
        <v>3217.77998358295</v>
      </c>
      <c r="BG559" s="2" t="n">
        <f aca="false">MIN(AV559,BF559)</f>
        <v>807.587064801239</v>
      </c>
      <c r="BH559" s="2" t="n">
        <f aca="false">IF(AC559&gt;Hypothèses!$J$26,MAX(0,BG559)/(1-Hypothèses!$J$26/AC559),0)</f>
        <v>1318.94527029894</v>
      </c>
    </row>
    <row r="560" customFormat="false" ht="15" hidden="false" customHeight="false" outlineLevel="0" collapsed="false">
      <c r="A560" s="2" t="n">
        <v>545</v>
      </c>
      <c r="B560" s="2" t="n">
        <v>0.259963663</v>
      </c>
      <c r="C560" s="2"/>
      <c r="D560" s="2" t="n">
        <v>0.497656534</v>
      </c>
      <c r="E560" s="2" t="n">
        <f aca="false">IF(E$7=E$5,E$6,IF(NORMSDIST(E$9*SQRT($C$11)*NORMSINV($B560)+SQRT(1-E$9^2*$C$11)*NORMSINV(D560))&lt;E$8,E$5+SQRT(NORMSDIST(E$9*SQRT($C$11)*NORMSINV($B560)+SQRT(1-E$9^2*$C$11)*NORMSINV(D560))*(E$7-E$5)*(E$6-E$5)),E$7-SQRT((1-NORMSDIST(E$9*SQRT($C$11)*NORMSINV($B560)+SQRT(1-E$9^2*$C$11)*NORMSINV(D560)))*(E$7-E$5)*(E$7-E$6))))</f>
        <v>0.0541252266659984</v>
      </c>
      <c r="F560" s="2" t="n">
        <v>0.026753941</v>
      </c>
      <c r="G560" s="2" t="n">
        <f aca="false">IF(G$7=G$5,G$6,IF(NORMSDIST(G$9*SQRT($C$11)*NORMSINV($B560)+SQRT(1-G$9^2*$C$11)*NORMSINV(F560))&lt;G$8,G$5+SQRT(NORMSDIST(G$9*SQRT($C$11)*NORMSINV($B560)+SQRT(1-G$9^2*$C$11)*NORMSINV(F560))*(G$7-G$5)*(G$6-G$5)),G$7-SQRT((1-NORMSDIST(G$9*SQRT($C$11)*NORMSINV($B560)+SQRT(1-G$9^2*$C$11)*NORMSINV(F560)))*(G$7-G$5)*(G$7-G$6))))</f>
        <v>0.0435843231711439</v>
      </c>
      <c r="H560" s="2" t="n">
        <v>0.373490414</v>
      </c>
      <c r="I560" s="2" t="n">
        <f aca="false">IF(I$7=I$5,I$6,IF(NORMSDIST(I$9*SQRT($C$11)*NORMSINV($B560)+SQRT(1-I$9^2*$C$11)*NORMSINV(H560))&lt;I$8,I$5+SQRT(NORMSDIST(I$9*SQRT($C$11)*NORMSINV($B560)+SQRT(1-I$9^2*$C$11)*NORMSINV(H560))*(I$7-I$5)*(I$6-I$5)),I$7-SQRT((1-NORMSDIST(I$9*SQRT($C$11)*NORMSINV($B560)+SQRT(1-I$9^2*$C$11)*NORMSINV(H560)))*(I$7-I$5)*(I$7-I$6))))</f>
        <v>194.300634780142</v>
      </c>
      <c r="J560" s="2" t="n">
        <v>0.580473657</v>
      </c>
      <c r="K560" s="2" t="n">
        <f aca="false">IF(K$7=K$5,K$6,IF(NORMSDIST(K$9*SQRT($C$11)*NORMSINV($B560)+SQRT(1-K$9^2*$C$11)*NORMSINV(J560))&lt;K$8,K$5+SQRT(NORMSDIST(K$9*SQRT($C$11)*NORMSINV($B560)+SQRT(1-K$9^2*$C$11)*NORMSINV(J560))*(K$7-K$5)*(K$6-K$5)),K$7-SQRT((1-NORMSDIST(K$9*SQRT($C$11)*NORMSINV($B560)+SQRT(1-K$9^2*$C$11)*NORMSINV(J560)))*(K$7-K$5)*(K$7-K$6))))</f>
        <v>0.224007645388033</v>
      </c>
      <c r="L560" s="2" t="n">
        <v>0.617994777</v>
      </c>
      <c r="M560" s="2" t="n">
        <f aca="false">IF(M$7=M$5,M$6,IF(NORMSDIST(M$9*SQRT($C$11)*NORMSINV($B560)+SQRT(1-M$9^2*$C$11)*NORMSINV(L560))&lt;M$8,M$5+SQRT(NORMSDIST(M$9*SQRT($C$11)*NORMSINV($B560)+SQRT(1-M$9^2*$C$11)*NORMSINV(L560))*(M$7-M$5)*(M$6-M$5)),M$7-SQRT((1-NORMSDIST(M$9*SQRT($C$11)*NORMSINV($B560)+SQRT(1-M$9^2*$C$11)*NORMSINV(L560)))*(M$7-M$5)*(M$7-M$6))))</f>
        <v>1565.09081802018</v>
      </c>
      <c r="N560" s="2" t="n">
        <v>0.044919502</v>
      </c>
      <c r="O560" s="2" t="n">
        <f aca="false">IF(O$7=O$5,O$6,IF(NORMSDIST(O$9*SQRT($C$11)*NORMSINV($B560)+SQRT(1-O$9^2*$C$11)*NORMSINV(N560))&lt;O$8,O$5+SQRT(NORMSDIST(O$9*SQRT($C$11)*NORMSINV($B560)+SQRT(1-O$9^2*$C$11)*NORMSINV(N560))*(O$7-O$5)*(O$6-O$5)),O$7-SQRT((1-NORMSDIST(O$9*SQRT($C$11)*NORMSINV($B560)+SQRT(1-O$9^2*$C$11)*NORMSINV(N560)))*(O$7-O$5)*(O$7-O$6))))</f>
        <v>0.147821583761237</v>
      </c>
      <c r="P560" s="2" t="n">
        <v>0.694217811</v>
      </c>
      <c r="Q560" s="2" t="n">
        <f aca="false">IF(Q$7=Q$5,Q$6,IF(NORMSDIST(Q$9*SQRT($C$11)*NORMSINV($B560)+SQRT(1-Q$9^2*$C$11)*NORMSINV(P560))&lt;Q$8,Q$5+SQRT(NORMSDIST(Q$9*SQRT($C$11)*NORMSINV($B560)+SQRT(1-Q$9^2*$C$11)*NORMSINV(P560))*(Q$7-Q$5)*(Q$6-Q$5)),Q$7-SQRT((1-NORMSDIST(Q$9*SQRT($C$11)*NORMSINV($B560)+SQRT(1-Q$9^2*$C$11)*NORMSINV(P560)))*(Q$7-Q$5)*(Q$7-Q$6))))</f>
        <v>0.0887189673316241</v>
      </c>
      <c r="R560" s="2" t="n">
        <v>0.122724951</v>
      </c>
      <c r="S560" s="2" t="n">
        <f aca="false">IF(S$7=S$5,S$6,IF(NORMSDIST(S$9*SQRT($C$11)*NORMSINV($B560)+SQRT(1-S$9^2*$C$11)*NORMSINV(R560))&lt;S$8,S$5+SQRT(NORMSDIST(S$9*SQRT($C$11)*NORMSINV($B560)+SQRT(1-S$9^2*$C$11)*NORMSINV(R560))*(S$7-S$5)*(S$6-S$5)),S$7-SQRT((1-NORMSDIST(S$9*SQRT($C$11)*NORMSINV($B560)+SQRT(1-S$9^2*$C$11)*NORMSINV(R560)))*(S$7-S$5)*(S$7-S$6))))</f>
        <v>0.218711081056031</v>
      </c>
      <c r="T560" s="2" t="n">
        <v>0.185834812</v>
      </c>
      <c r="U560" s="2" t="n">
        <f aca="false">IF(U$7=U$5,U$6,IF(NORMSDIST(U$9*SQRT($C$11)*NORMSINV($B560)+SQRT(1-U$9^2*$C$11)*NORMSINV(T560))&lt;U$8,U$5+SQRT(NORMSDIST(U$9*SQRT($C$11)*NORMSINV($B560)+SQRT(1-U$9^2*$C$11)*NORMSINV(T560))*(U$7-U$5)*(U$6-U$5)),U$7-SQRT((1-NORMSDIST(U$9*SQRT($C$11)*NORMSINV($B560)+SQRT(1-U$9^2*$C$11)*NORMSINV(T560)))*(U$7-U$5)*(U$7-U$6))))</f>
        <v>0.260668532906352</v>
      </c>
      <c r="V560" s="2" t="n">
        <v>0.437874641</v>
      </c>
      <c r="W560" s="2" t="n">
        <f aca="false">IF(W$7=W$5,W$6,IF(NORMSDIST(W$9*SQRT($C$11)*NORMSINV($B560)+SQRT(1-W$9^2*$C$11)*NORMSINV(V560))&lt;W$8,W$5+SQRT(NORMSDIST(W$9*SQRT($C$11)*NORMSINV($B560)+SQRT(1-W$9^2*$C$11)*NORMSINV(V560))*(W$7-W$5)*(W$6-W$5)),W$7-SQRT((1-NORMSDIST(W$9*SQRT($C$11)*NORMSINV($B560)+SQRT(1-W$9^2*$C$11)*NORMSINV(V560)))*(W$7-W$5)*(W$7-W$6))))</f>
        <v>9.54589505990709</v>
      </c>
      <c r="X560" s="2" t="n">
        <v>0.681986534</v>
      </c>
      <c r="Y560" s="2" t="n">
        <f aca="false">IF(Y$7=Y$5,Y$6,IF(NORMSDIST(Y$9*SQRT($C$11)*NORMSINV($B560)+SQRT(1-Y$9^2*$C$11)*NORMSINV(X560))&lt;Y$8,Y$5+SQRT(NORMSDIST(Y$9*SQRT($C$11)*NORMSINV($B560)+SQRT(1-Y$9^2*$C$11)*NORMSINV(X560))*(Y$7-Y$5)*(Y$6-Y$5)),Y$7-SQRT((1-NORMSDIST(Y$9*SQRT($C$11)*NORMSINV($B560)+SQRT(1-Y$9^2*$C$11)*NORMSINV(X560)))*(Y$7-Y$5)*(Y$7-Y$6))))</f>
        <v>0.601243516667127</v>
      </c>
      <c r="Z560" s="2" t="n">
        <v>0.746913469</v>
      </c>
      <c r="AA560" s="2" t="n">
        <f aca="false">IF(AA$7=AA$5,AA$6,IF(NORMSDIST(AA$9*SQRT($C$11)*NORMSINV($B560)+SQRT(1-AA$9^2*$C$11)*NORMSINV(Z560))&lt;AA$8,AA$5+SQRT(NORMSDIST(AA$9*SQRT($C$11)*NORMSINV($B560)+SQRT(1-AA$9^2*$C$11)*NORMSINV(Z560))*(AA$7-AA$5)*(AA$6-AA$5)),AA$7-SQRT((1-NORMSDIST(AA$9*SQRT($C$11)*NORMSINV($B560)+SQRT(1-AA$9^2*$C$11)*NORMSINV(Z560)))*(AA$7-AA$5)*(AA$7-AA$6))))</f>
        <v>0.729429907628866</v>
      </c>
      <c r="AB560" s="2" t="n">
        <v>0.545790786</v>
      </c>
      <c r="AC560" s="2" t="n">
        <f aca="false">IF(AC$7=AC$5,AC$6,IF(NORMSDIST(AC$9*SQRT($C$11)*NORMSINV($B560)+SQRT(1-AC$9^2*$C$11)*NORMSINV(AB560))&lt;AC$8,AC$5+SQRT(NORMSDIST(AC$9*SQRT($C$11)*NORMSINV($B560)+SQRT(1-AC$9^2*$C$11)*NORMSINV(AB560))*(AC$7-AC$5)*(AC$6-AC$5)),AC$7-SQRT((1-NORMSDIST(AC$9*SQRT($C$11)*NORMSINV($B560)+SQRT(1-AC$9^2*$C$11)*NORMSINV(AB560)))*(AC$7-AC$5)*(AC$7-AC$6))))</f>
        <v>9.2007151282933</v>
      </c>
      <c r="AD560" s="2" t="n">
        <f aca="false">Entrées!$C$8*(1+E560)</f>
        <v>7431.58284799529</v>
      </c>
      <c r="AE560" s="2" t="n">
        <f aca="false">I560*Hypothèses!$J$24/12/Hypothèses!$J$19</f>
        <v>96.3919230310539</v>
      </c>
      <c r="AF560" s="2" t="n">
        <f aca="false">Entrées!$C$36*S560*1000</f>
        <v>109.355540528016</v>
      </c>
      <c r="AG560" s="2" t="n">
        <f aca="false">-AF560/W560</f>
        <v>-11.4557660483102</v>
      </c>
      <c r="AH560" s="2" t="n">
        <f aca="false">AD560+AE560+AG560</f>
        <v>7516.51900497803</v>
      </c>
      <c r="AI560" s="2" t="n">
        <f aca="false">Entrées!$C$16-M560+Hypothèses!$J$22*1000-AF560+Hypothèses!$J$23</f>
        <v>22873.5536414518</v>
      </c>
      <c r="AJ560" s="2" t="n">
        <f aca="false">AI560/AH560</f>
        <v>3.04310461083157</v>
      </c>
      <c r="AK560" s="2" t="n">
        <f aca="false">AI560/(AH560+I560*(12-Hypothèses!$J$24)/12/Hypothèses!$J$19)</f>
        <v>3.01548276483224</v>
      </c>
      <c r="AL560" s="2" t="n">
        <f aca="false">(AD560+AG560+I560/Hypothèses!$J$19)*(1+G560)</f>
        <v>7915.97361252413</v>
      </c>
      <c r="AM560" s="2" t="n">
        <f aca="false">Entrées!$C$54*K560/Hypothèses!$J$19</f>
        <v>22.8609207591721</v>
      </c>
      <c r="AN560" s="2" t="n">
        <f aca="false">Y560*1000/AC560</f>
        <v>65.3474766127941</v>
      </c>
      <c r="AO560" s="2" t="n">
        <f aca="false">(Entrées!$C$36*(1-S560)+MAX(0,Entrées!$C$30-Entrées!$C$35-Entrées!$C$36)*U560)*1000</f>
        <v>755.580405540877</v>
      </c>
      <c r="AP560" s="2" t="n">
        <f aca="false">-AO560/W560</f>
        <v>-79.1523896710667</v>
      </c>
      <c r="AQ560" s="2" t="n">
        <f aca="false">AL560+AM560+AN560+AP560</f>
        <v>7925.02962022503</v>
      </c>
      <c r="AR560" s="2" t="n">
        <f aca="false">O560*AQ560-Hypothèses!$J$25/Hypothèses!$J$19</f>
        <v>1152.35526755475</v>
      </c>
      <c r="AS560" s="2" t="n">
        <f aca="false">Entrées!$C$79*(1+Q560)+Hypothèses!$J$20</f>
        <v>1491.50214509746</v>
      </c>
      <c r="AT560" s="2" t="n">
        <f aca="false">AI560-AR560+AS560+Y560*1000-AO560+Hypothèses!$J$23</f>
        <v>23058.3636301208</v>
      </c>
      <c r="AU560" s="2" t="n">
        <f aca="false">AT560/AQ560</f>
        <v>2.90956182312237</v>
      </c>
      <c r="AV560" s="2" t="n">
        <f aca="false">Hypothèses!$J$26*AQ560-AT560</f>
        <v>716.725230554337</v>
      </c>
      <c r="AW560" s="2" t="n">
        <f aca="false">IF(AC560&gt;Hypothèses!$J$26,MAX(0,AV560)/(1-Hypothèses!$J$26/AC560),0)</f>
        <v>1063.48776474204</v>
      </c>
      <c r="AX560" s="2" t="n">
        <f aca="false">AQ560-Entrées!$C$17*1000</f>
        <v>-74.9703797749698</v>
      </c>
      <c r="AY560" s="2" t="n">
        <f aca="false">AI560+(Entrées!$C$244-Entrées!$C$13)</f>
        <v>28620.5536414518</v>
      </c>
      <c r="AZ560" s="2" t="n">
        <f aca="false">AA560*AH560</f>
        <v>5482.77376349174</v>
      </c>
      <c r="BA560" s="2" t="n">
        <f aca="false">AZ560/AY560</f>
        <v>0.191567704530737</v>
      </c>
      <c r="BB560" s="2" t="n">
        <f aca="false">AZ560/(Entrées!$C$151/100)-AY560</f>
        <v>1839.300600169</v>
      </c>
      <c r="BC560" s="2" t="n">
        <f aca="false">AT560+(Entrées!$C$244-Entrées!$C$13)</f>
        <v>28805.3636301208</v>
      </c>
      <c r="BD560" s="2" t="n">
        <f aca="false">AA560*AQ560</f>
        <v>5780.75362383677</v>
      </c>
      <c r="BE560" s="2" t="n">
        <f aca="false">BD560/BC560</f>
        <v>0.200683237263217</v>
      </c>
      <c r="BF560" s="2" t="n">
        <f aca="false">BD560/(Entrées!$C$151/100)-BC560</f>
        <v>3309.93428008354</v>
      </c>
      <c r="BG560" s="2" t="n">
        <f aca="false">MIN(AV560,BF560)</f>
        <v>716.725230554337</v>
      </c>
      <c r="BH560" s="2" t="n">
        <f aca="false">IF(AC560&gt;Hypothèses!$J$26,MAX(0,BG560)/(1-Hypothèses!$J$26/AC560),0)</f>
        <v>1063.48776474204</v>
      </c>
    </row>
    <row r="561" customFormat="false" ht="15" hidden="false" customHeight="false" outlineLevel="0" collapsed="false">
      <c r="A561" s="2" t="n">
        <v>546</v>
      </c>
      <c r="B561" s="2" t="n">
        <v>0.500753512</v>
      </c>
      <c r="C561" s="2"/>
      <c r="D561" s="2" t="n">
        <v>0.227539679</v>
      </c>
      <c r="E561" s="2" t="n">
        <f aca="false">IF(E$7=E$5,E$6,IF(NORMSDIST(E$9*SQRT($C$11)*NORMSINV($B561)+SQRT(1-E$9^2*$C$11)*NORMSINV(D561))&lt;E$8,E$5+SQRT(NORMSDIST(E$9*SQRT($C$11)*NORMSINV($B561)+SQRT(1-E$9^2*$C$11)*NORMSINV(D561))*(E$7-E$5)*(E$6-E$5)),E$7-SQRT((1-NORMSDIST(E$9*SQRT($C$11)*NORMSINV($B561)+SQRT(1-E$9^2*$C$11)*NORMSINV(D561)))*(E$7-E$5)*(E$7-E$6))))</f>
        <v>0.0537538756002369</v>
      </c>
      <c r="F561" s="2" t="n">
        <v>0.965970289</v>
      </c>
      <c r="G561" s="2" t="n">
        <f aca="false">IF(G$7=G$5,G$6,IF(NORMSDIST(G$9*SQRT($C$11)*NORMSINV($B561)+SQRT(1-G$9^2*$C$11)*NORMSINV(F561))&lt;G$8,G$5+SQRT(NORMSDIST(G$9*SQRT($C$11)*NORMSINV($B561)+SQRT(1-G$9^2*$C$11)*NORMSINV(F561))*(G$7-G$5)*(G$6-G$5)),G$7-SQRT((1-NORMSDIST(G$9*SQRT($C$11)*NORMSINV($B561)+SQRT(1-G$9^2*$C$11)*NORMSINV(F561)))*(G$7-G$5)*(G$7-G$6))))</f>
        <v>0.0640526331343095</v>
      </c>
      <c r="H561" s="2" t="n">
        <v>0.035019034</v>
      </c>
      <c r="I561" s="2" t="n">
        <f aca="false">IF(I$7=I$5,I$6,IF(NORMSDIST(I$9*SQRT($C$11)*NORMSINV($B561)+SQRT(1-I$9^2*$C$11)*NORMSINV(H561))&lt;I$8,I$5+SQRT(NORMSDIST(I$9*SQRT($C$11)*NORMSINV($B561)+SQRT(1-I$9^2*$C$11)*NORMSINV(H561))*(I$7-I$5)*(I$6-I$5)),I$7-SQRT((1-NORMSDIST(I$9*SQRT($C$11)*NORMSINV($B561)+SQRT(1-I$9^2*$C$11)*NORMSINV(H561)))*(I$7-I$5)*(I$7-I$6))))</f>
        <v>188.021995154365</v>
      </c>
      <c r="J561" s="2" t="n">
        <v>0.098079572</v>
      </c>
      <c r="K561" s="2" t="n">
        <f aca="false">IF(K$7=K$5,K$6,IF(NORMSDIST(K$9*SQRT($C$11)*NORMSINV($B561)+SQRT(1-K$9^2*$C$11)*NORMSINV(J561))&lt;K$8,K$5+SQRT(NORMSDIST(K$9*SQRT($C$11)*NORMSINV($B561)+SQRT(1-K$9^2*$C$11)*NORMSINV(J561))*(K$7-K$5)*(K$6-K$5)),K$7-SQRT((1-NORMSDIST(K$9*SQRT($C$11)*NORMSINV($B561)+SQRT(1-K$9^2*$C$11)*NORMSINV(J561)))*(K$7-K$5)*(K$7-K$6))))</f>
        <v>0.140822864059325</v>
      </c>
      <c r="L561" s="2" t="n">
        <v>0.706946533</v>
      </c>
      <c r="M561" s="2" t="n">
        <f aca="false">IF(M$7=M$5,M$6,IF(NORMSDIST(M$9*SQRT($C$11)*NORMSINV($B561)+SQRT(1-M$9^2*$C$11)*NORMSINV(L561))&lt;M$8,M$5+SQRT(NORMSDIST(M$9*SQRT($C$11)*NORMSINV($B561)+SQRT(1-M$9^2*$C$11)*NORMSINV(L561))*(M$7-M$5)*(M$6-M$5)),M$7-SQRT((1-NORMSDIST(M$9*SQRT($C$11)*NORMSINV($B561)+SQRT(1-M$9^2*$C$11)*NORMSINV(L561)))*(M$7-M$5)*(M$7-M$6))))</f>
        <v>1628.30729109442</v>
      </c>
      <c r="N561" s="2" t="n">
        <v>0.005409264</v>
      </c>
      <c r="O561" s="2" t="n">
        <f aca="false">IF(O$7=O$5,O$6,IF(NORMSDIST(O$9*SQRT($C$11)*NORMSINV($B561)+SQRT(1-O$9^2*$C$11)*NORMSINV(N561))&lt;O$8,O$5+SQRT(NORMSDIST(O$9*SQRT($C$11)*NORMSINV($B561)+SQRT(1-O$9^2*$C$11)*NORMSINV(N561))*(O$7-O$5)*(O$6-O$5)),O$7-SQRT((1-NORMSDIST(O$9*SQRT($C$11)*NORMSINV($B561)+SQRT(1-O$9^2*$C$11)*NORMSINV(N561)))*(O$7-O$5)*(O$7-O$6))))</f>
        <v>0.145899303403758</v>
      </c>
      <c r="P561" s="2" t="n">
        <v>0.020542342</v>
      </c>
      <c r="Q561" s="2" t="n">
        <f aca="false">IF(Q$7=Q$5,Q$6,IF(NORMSDIST(Q$9*SQRT($C$11)*NORMSINV($B561)+SQRT(1-Q$9^2*$C$11)*NORMSINV(P561))&lt;Q$8,Q$5+SQRT(NORMSDIST(Q$9*SQRT($C$11)*NORMSINV($B561)+SQRT(1-Q$9^2*$C$11)*NORMSINV(P561))*(Q$7-Q$5)*(Q$6-Q$5)),Q$7-SQRT((1-NORMSDIST(Q$9*SQRT($C$11)*NORMSINV($B561)+SQRT(1-Q$9^2*$C$11)*NORMSINV(P561)))*(Q$7-Q$5)*(Q$7-Q$6))))</f>
        <v>0.048107742867161</v>
      </c>
      <c r="R561" s="2" t="n">
        <v>0.137041588</v>
      </c>
      <c r="S561" s="2" t="n">
        <f aca="false">IF(S$7=S$5,S$6,IF(NORMSDIST(S$9*SQRT($C$11)*NORMSINV($B561)+SQRT(1-S$9^2*$C$11)*NORMSINV(R561))&lt;S$8,S$5+SQRT(NORMSDIST(S$9*SQRT($C$11)*NORMSINV($B561)+SQRT(1-S$9^2*$C$11)*NORMSINV(R561))*(S$7-S$5)*(S$6-S$5)),S$7-SQRT((1-NORMSDIST(S$9*SQRT($C$11)*NORMSINV($B561)+SQRT(1-S$9^2*$C$11)*NORMSINV(R561)))*(S$7-S$5)*(S$7-S$6))))</f>
        <v>0.315261615305182</v>
      </c>
      <c r="T561" s="2" t="n">
        <v>0.878275765</v>
      </c>
      <c r="U561" s="2" t="n">
        <f aca="false">IF(U$7=U$5,U$6,IF(NORMSDIST(U$9*SQRT($C$11)*NORMSINV($B561)+SQRT(1-U$9^2*$C$11)*NORMSINV(T561))&lt;U$8,U$5+SQRT(NORMSDIST(U$9*SQRT($C$11)*NORMSINV($B561)+SQRT(1-U$9^2*$C$11)*NORMSINV(T561))*(U$7-U$5)*(U$6-U$5)),U$7-SQRT((1-NORMSDIST(U$9*SQRT($C$11)*NORMSINV($B561)+SQRT(1-U$9^2*$C$11)*NORMSINV(T561)))*(U$7-U$5)*(U$7-U$6))))</f>
        <v>0.697663928947073</v>
      </c>
      <c r="V561" s="2" t="n">
        <v>0.291721638</v>
      </c>
      <c r="W561" s="2" t="n">
        <f aca="false">IF(W$7=W$5,W$6,IF(NORMSDIST(W$9*SQRT($C$11)*NORMSINV($B561)+SQRT(1-W$9^2*$C$11)*NORMSINV(V561))&lt;W$8,W$5+SQRT(NORMSDIST(W$9*SQRT($C$11)*NORMSINV($B561)+SQRT(1-W$9^2*$C$11)*NORMSINV(V561))*(W$7-W$5)*(W$6-W$5)),W$7-SQRT((1-NORMSDIST(W$9*SQRT($C$11)*NORMSINV($B561)+SQRT(1-W$9^2*$C$11)*NORMSINV(V561)))*(W$7-W$5)*(W$7-W$6))))</f>
        <v>9.6393695742156</v>
      </c>
      <c r="X561" s="2" t="n">
        <v>0.920200951</v>
      </c>
      <c r="Y561" s="2" t="n">
        <f aca="false">IF(Y$7=Y$5,Y$6,IF(NORMSDIST(Y$9*SQRT($C$11)*NORMSINV($B561)+SQRT(1-Y$9^2*$C$11)*NORMSINV(X561))&lt;Y$8,Y$5+SQRT(NORMSDIST(Y$9*SQRT($C$11)*NORMSINV($B561)+SQRT(1-Y$9^2*$C$11)*NORMSINV(X561))*(Y$7-Y$5)*(Y$6-Y$5)),Y$7-SQRT((1-NORMSDIST(Y$9*SQRT($C$11)*NORMSINV($B561)+SQRT(1-Y$9^2*$C$11)*NORMSINV(X561)))*(Y$7-Y$5)*(Y$7-Y$6))))</f>
        <v>0.800251346687894</v>
      </c>
      <c r="Z561" s="2" t="n">
        <v>0.878720042</v>
      </c>
      <c r="AA561" s="2" t="n">
        <f aca="false">IF(AA$7=AA$5,AA$6,IF(NORMSDIST(AA$9*SQRT($C$11)*NORMSINV($B561)+SQRT(1-AA$9^2*$C$11)*NORMSINV(Z561))&lt;AA$8,AA$5+SQRT(NORMSDIST(AA$9*SQRT($C$11)*NORMSINV($B561)+SQRT(1-AA$9^2*$C$11)*NORMSINV(Z561))*(AA$7-AA$5)*(AA$6-AA$5)),AA$7-SQRT((1-NORMSDIST(AA$9*SQRT($C$11)*NORMSINV($B561)+SQRT(1-AA$9^2*$C$11)*NORMSINV(Z561)))*(AA$7-AA$5)*(AA$7-AA$6))))</f>
        <v>0.738560259547711</v>
      </c>
      <c r="AB561" s="2" t="n">
        <v>0.370833613</v>
      </c>
      <c r="AC561" s="2" t="n">
        <f aca="false">IF(AC$7=AC$5,AC$6,IF(NORMSDIST(AC$9*SQRT($C$11)*NORMSINV($B561)+SQRT(1-AC$9^2*$C$11)*NORMSINV(AB561))&lt;AC$8,AC$5+SQRT(NORMSDIST(AC$9*SQRT($C$11)*NORMSINV($B561)+SQRT(1-AC$9^2*$C$11)*NORMSINV(AB561))*(AC$7-AC$5)*(AC$6-AC$5)),AC$7-SQRT((1-NORMSDIST(AC$9*SQRT($C$11)*NORMSINV($B561)+SQRT(1-AC$9^2*$C$11)*NORMSINV(AB561)))*(AC$7-AC$5)*(AC$7-AC$6))))</f>
        <v>9.2583125817765</v>
      </c>
      <c r="AD561" s="2" t="n">
        <f aca="false">Entrées!$C$8*(1+E561)</f>
        <v>7428.96482298167</v>
      </c>
      <c r="AE561" s="2" t="n">
        <f aca="false">I561*Hypothèses!$J$24/12/Hypothèses!$J$19</f>
        <v>93.2771100082741</v>
      </c>
      <c r="AF561" s="2" t="n">
        <f aca="false">Entrées!$C$36*S561*1000</f>
        <v>157.630807652591</v>
      </c>
      <c r="AG561" s="2" t="n">
        <f aca="false">-AF561/W561</f>
        <v>-16.3528129551375</v>
      </c>
      <c r="AH561" s="2" t="n">
        <f aca="false">AD561+AE561+AG561</f>
        <v>7505.88912003481</v>
      </c>
      <c r="AI561" s="2" t="n">
        <f aca="false">Entrées!$C$16-M561+Hypothèses!$J$22*1000-AF561+Hypothèses!$J$23</f>
        <v>22762.061901253</v>
      </c>
      <c r="AJ561" s="2" t="n">
        <f aca="false">AI561/AH561</f>
        <v>3.03256037189468</v>
      </c>
      <c r="AK561" s="2" t="n">
        <f aca="false">AI561/(AH561+I561*(12-Hypothèses!$J$24)/12/Hypothèses!$J$19)</f>
        <v>3.00587849822884</v>
      </c>
      <c r="AL561" s="2" t="n">
        <f aca="false">(AD561+AG561+I561/Hypothèses!$J$19)*(1+G561)</f>
        <v>8057.55519255539</v>
      </c>
      <c r="AM561" s="2" t="n">
        <f aca="false">Entrées!$C$54*K561/Hypothèses!$J$19</f>
        <v>14.371564554251</v>
      </c>
      <c r="AN561" s="2" t="n">
        <f aca="false">Y561*1000/AC561</f>
        <v>86.4359827581389</v>
      </c>
      <c r="AO561" s="2" t="n">
        <f aca="false">(Entrées!$C$36*(1-S561)+MAX(0,Entrées!$C$30-Entrées!$C$35-Entrées!$C$36)*U561)*1000</f>
        <v>1319.09869287331</v>
      </c>
      <c r="AP561" s="2" t="n">
        <f aca="false">-AO561/W561</f>
        <v>-136.844913219405</v>
      </c>
      <c r="AQ561" s="2" t="n">
        <f aca="false">AL561+AM561+AN561+AP561</f>
        <v>8021.51782664837</v>
      </c>
      <c r="AR561" s="2" t="n">
        <f aca="false">O561*AQ561-Hypothèses!$J$25/Hypothèses!$J$19</f>
        <v>1151.1987008872</v>
      </c>
      <c r="AS561" s="2" t="n">
        <f aca="false">Entrées!$C$79*(1+Q561)+Hypothèses!$J$20</f>
        <v>1446.87040941101</v>
      </c>
      <c r="AT561" s="2" t="n">
        <f aca="false">AI561-AR561+AS561+Y561*1000-AO561+Hypothèses!$J$23</f>
        <v>22538.8862635914</v>
      </c>
      <c r="AU561" s="2" t="n">
        <f aca="false">AT561/AQ561</f>
        <v>2.80980317574246</v>
      </c>
      <c r="AV561" s="2" t="n">
        <f aca="false">Hypothèses!$J$26*AQ561-AT561</f>
        <v>1525.66721635373</v>
      </c>
      <c r="AW561" s="2" t="n">
        <f aca="false">IF(AC561&gt;Hypothèses!$J$26,MAX(0,AV561)/(1-Hypothèses!$J$26/AC561),0)</f>
        <v>2257.01477837691</v>
      </c>
      <c r="AX561" s="2" t="n">
        <f aca="false">AQ561-Entrées!$C$17*1000</f>
        <v>21.5178266483726</v>
      </c>
      <c r="AY561" s="2" t="n">
        <f aca="false">AI561+(Entrées!$C$244-Entrées!$C$13)</f>
        <v>28509.061901253</v>
      </c>
      <c r="AZ561" s="2" t="n">
        <f aca="false">AA561*AH561</f>
        <v>5543.55141662925</v>
      </c>
      <c r="BA561" s="2" t="n">
        <f aca="false">AZ561/AY561</f>
        <v>0.194448748816446</v>
      </c>
      <c r="BB561" s="2" t="n">
        <f aca="false">AZ561/(Entrées!$C$151/100)-AY561</f>
        <v>2288.44596890951</v>
      </c>
      <c r="BC561" s="2" t="n">
        <f aca="false">AT561+(Entrées!$C$244-Entrées!$C$13)</f>
        <v>28285.8862635914</v>
      </c>
      <c r="BD561" s="2" t="n">
        <f aca="false">AA561*AQ561</f>
        <v>5924.37428801602</v>
      </c>
      <c r="BE561" s="2" t="n">
        <f aca="false">BD561/BC561</f>
        <v>0.209446302399995</v>
      </c>
      <c r="BF561" s="2" t="n">
        <f aca="false">BD561/(Entrées!$C$151/100)-BC561</f>
        <v>4627.30422538648</v>
      </c>
      <c r="BG561" s="2" t="n">
        <f aca="false">MIN(AV561,BF561)</f>
        <v>1525.66721635373</v>
      </c>
      <c r="BH561" s="2" t="n">
        <f aca="false">IF(AC561&gt;Hypothèses!$J$26,MAX(0,BG561)/(1-Hypothèses!$J$26/AC561),0)</f>
        <v>2257.01477837691</v>
      </c>
    </row>
    <row r="562" customFormat="false" ht="15" hidden="false" customHeight="false" outlineLevel="0" collapsed="false">
      <c r="A562" s="2" t="n">
        <v>547</v>
      </c>
      <c r="B562" s="2" t="n">
        <v>0.361066269</v>
      </c>
      <c r="C562" s="2"/>
      <c r="D562" s="2" t="n">
        <v>0.035984138</v>
      </c>
      <c r="E562" s="2" t="n">
        <f aca="false">IF(E$7=E$5,E$6,IF(NORMSDIST(E$9*SQRT($C$11)*NORMSINV($B562)+SQRT(1-E$9^2*$C$11)*NORMSINV(D562))&lt;E$8,E$5+SQRT(NORMSDIST(E$9*SQRT($C$11)*NORMSINV($B562)+SQRT(1-E$9^2*$C$11)*NORMSINV(D562))*(E$7-E$5)*(E$6-E$5)),E$7-SQRT((1-NORMSDIST(E$9*SQRT($C$11)*NORMSINV($B562)+SQRT(1-E$9^2*$C$11)*NORMSINV(D562)))*(E$7-E$5)*(E$7-E$6))))</f>
        <v>0.0516242055671887</v>
      </c>
      <c r="F562" s="2" t="n">
        <v>0.621555238</v>
      </c>
      <c r="G562" s="2" t="n">
        <f aca="false">IF(G$7=G$5,G$6,IF(NORMSDIST(G$9*SQRT($C$11)*NORMSINV($B562)+SQRT(1-G$9^2*$C$11)*NORMSINV(F562))&lt;G$8,G$5+SQRT(NORMSDIST(G$9*SQRT($C$11)*NORMSINV($B562)+SQRT(1-G$9^2*$C$11)*NORMSINV(F562))*(G$7-G$5)*(G$6-G$5)),G$7-SQRT((1-NORMSDIST(G$9*SQRT($C$11)*NORMSINV($B562)+SQRT(1-G$9^2*$C$11)*NORMSINV(F562)))*(G$7-G$5)*(G$7-G$6))))</f>
        <v>0.0550893227481789</v>
      </c>
      <c r="H562" s="2" t="n">
        <v>0.413640374</v>
      </c>
      <c r="I562" s="2" t="n">
        <f aca="false">IF(I$7=I$5,I$6,IF(NORMSDIST(I$9*SQRT($C$11)*NORMSINV($B562)+SQRT(1-I$9^2*$C$11)*NORMSINV(H562))&lt;I$8,I$5+SQRT(NORMSDIST(I$9*SQRT($C$11)*NORMSINV($B562)+SQRT(1-I$9^2*$C$11)*NORMSINV(H562))*(I$7-I$5)*(I$6-I$5)),I$7-SQRT((1-NORMSDIST(I$9*SQRT($C$11)*NORMSINV($B562)+SQRT(1-I$9^2*$C$11)*NORMSINV(H562)))*(I$7-I$5)*(I$7-I$6))))</f>
        <v>196.657036756311</v>
      </c>
      <c r="J562" s="2" t="n">
        <v>0.485534215</v>
      </c>
      <c r="K562" s="2" t="n">
        <f aca="false">IF(K$7=K$5,K$6,IF(NORMSDIST(K$9*SQRT($C$11)*NORMSINV($B562)+SQRT(1-K$9^2*$C$11)*NORMSINV(J562))&lt;K$8,K$5+SQRT(NORMSDIST(K$9*SQRT($C$11)*NORMSINV($B562)+SQRT(1-K$9^2*$C$11)*NORMSINV(J562))*(K$7-K$5)*(K$6-K$5)),K$7-SQRT((1-NORMSDIST(K$9*SQRT($C$11)*NORMSINV($B562)+SQRT(1-K$9^2*$C$11)*NORMSINV(J562)))*(K$7-K$5)*(K$7-K$6))))</f>
        <v>0.223644180268217</v>
      </c>
      <c r="L562" s="2" t="n">
        <v>0.322392347</v>
      </c>
      <c r="M562" s="2" t="n">
        <f aca="false">IF(M$7=M$5,M$6,IF(NORMSDIST(M$9*SQRT($C$11)*NORMSINV($B562)+SQRT(1-M$9^2*$C$11)*NORMSINV(L562))&lt;M$8,M$5+SQRT(NORMSDIST(M$9*SQRT($C$11)*NORMSINV($B562)+SQRT(1-M$9^2*$C$11)*NORMSINV(L562))*(M$7-M$5)*(M$6-M$5)),M$7-SQRT((1-NORMSDIST(M$9*SQRT($C$11)*NORMSINV($B562)+SQRT(1-M$9^2*$C$11)*NORMSINV(L562)))*(M$7-M$5)*(M$7-M$6))))</f>
        <v>1514.44785160823</v>
      </c>
      <c r="N562" s="2" t="n">
        <v>0.593445892</v>
      </c>
      <c r="O562" s="2" t="n">
        <f aca="false">IF(O$7=O$5,O$6,IF(NORMSDIST(O$9*SQRT($C$11)*NORMSINV($B562)+SQRT(1-O$9^2*$C$11)*NORMSINV(N562))&lt;O$8,O$5+SQRT(NORMSDIST(O$9*SQRT($C$11)*NORMSINV($B562)+SQRT(1-O$9^2*$C$11)*NORMSINV(N562))*(O$7-O$5)*(O$6-O$5)),O$7-SQRT((1-NORMSDIST(O$9*SQRT($C$11)*NORMSINV($B562)+SQRT(1-O$9^2*$C$11)*NORMSINV(N562)))*(O$7-O$5)*(O$7-O$6))))</f>
        <v>0.166334415145619</v>
      </c>
      <c r="P562" s="2" t="n">
        <v>0.188324268</v>
      </c>
      <c r="Q562" s="2" t="n">
        <f aca="false">IF(Q$7=Q$5,Q$6,IF(NORMSDIST(Q$9*SQRT($C$11)*NORMSINV($B562)+SQRT(1-Q$9^2*$C$11)*NORMSINV(P562))&lt;Q$8,Q$5+SQRT(NORMSDIST(Q$9*SQRT($C$11)*NORMSINV($B562)+SQRT(1-Q$9^2*$C$11)*NORMSINV(P562))*(Q$7-Q$5)*(Q$6-Q$5)),Q$7-SQRT((1-NORMSDIST(Q$9*SQRT($C$11)*NORMSINV($B562)+SQRT(1-Q$9^2*$C$11)*NORMSINV(P562)))*(Q$7-Q$5)*(Q$7-Q$6))))</f>
        <v>0.0645486793453334</v>
      </c>
      <c r="R562" s="2" t="n">
        <v>0.755357413</v>
      </c>
      <c r="S562" s="2" t="n">
        <f aca="false">IF(S$7=S$5,S$6,IF(NORMSDIST(S$9*SQRT($C$11)*NORMSINV($B562)+SQRT(1-S$9^2*$C$11)*NORMSINV(R562))&lt;S$8,S$5+SQRT(NORMSDIST(S$9*SQRT($C$11)*NORMSINV($B562)+SQRT(1-S$9^2*$C$11)*NORMSINV(R562))*(S$7-S$5)*(S$6-S$5)),S$7-SQRT((1-NORMSDIST(S$9*SQRT($C$11)*NORMSINV($B562)+SQRT(1-S$9^2*$C$11)*NORMSINV(R562)))*(S$7-S$5)*(S$7-S$6))))</f>
        <v>0.565247018908747</v>
      </c>
      <c r="T562" s="2" t="n">
        <v>0.661583591</v>
      </c>
      <c r="U562" s="2" t="n">
        <f aca="false">IF(U$7=U$5,U$6,IF(NORMSDIST(U$9*SQRT($C$11)*NORMSINV($B562)+SQRT(1-U$9^2*$C$11)*NORMSINV(T562))&lt;U$8,U$5+SQRT(NORMSDIST(U$9*SQRT($C$11)*NORMSINV($B562)+SQRT(1-U$9^2*$C$11)*NORMSINV(T562))*(U$7-U$5)*(U$6-U$5)),U$7-SQRT((1-NORMSDIST(U$9*SQRT($C$11)*NORMSINV($B562)+SQRT(1-U$9^2*$C$11)*NORMSINV(T562)))*(U$7-U$5)*(U$7-U$6))))</f>
        <v>0.519900176860874</v>
      </c>
      <c r="V562" s="2" t="n">
        <v>0.731296217</v>
      </c>
      <c r="W562" s="2" t="n">
        <f aca="false">IF(W$7=W$5,W$6,IF(NORMSDIST(W$9*SQRT($C$11)*NORMSINV($B562)+SQRT(1-W$9^2*$C$11)*NORMSINV(V562))&lt;W$8,W$5+SQRT(NORMSDIST(W$9*SQRT($C$11)*NORMSINV($B562)+SQRT(1-W$9^2*$C$11)*NORMSINV(V562))*(W$7-W$5)*(W$6-W$5)),W$7-SQRT((1-NORMSDIST(W$9*SQRT($C$11)*NORMSINV($B562)+SQRT(1-W$9^2*$C$11)*NORMSINV(V562)))*(W$7-W$5)*(W$7-W$6))))</f>
        <v>10.210686465387</v>
      </c>
      <c r="X562" s="2" t="n">
        <v>0.820434</v>
      </c>
      <c r="Y562" s="2" t="n">
        <f aca="false">IF(Y$7=Y$5,Y$6,IF(NORMSDIST(Y$9*SQRT($C$11)*NORMSINV($B562)+SQRT(1-Y$9^2*$C$11)*NORMSINV(X562))&lt;Y$8,Y$5+SQRT(NORMSDIST(Y$9*SQRT($C$11)*NORMSINV($B562)+SQRT(1-Y$9^2*$C$11)*NORMSINV(X562))*(Y$7-Y$5)*(Y$6-Y$5)),Y$7-SQRT((1-NORMSDIST(Y$9*SQRT($C$11)*NORMSINV($B562)+SQRT(1-Y$9^2*$C$11)*NORMSINV(X562)))*(Y$7-Y$5)*(Y$7-Y$6))))</f>
        <v>0.70036188493451</v>
      </c>
      <c r="Z562" s="2" t="n">
        <v>0.659292303</v>
      </c>
      <c r="AA562" s="2" t="n">
        <f aca="false">IF(AA$7=AA$5,AA$6,IF(NORMSDIST(AA$9*SQRT($C$11)*NORMSINV($B562)+SQRT(1-AA$9^2*$C$11)*NORMSINV(Z562))&lt;AA$8,AA$5+SQRT(NORMSDIST(AA$9*SQRT($C$11)*NORMSINV($B562)+SQRT(1-AA$9^2*$C$11)*NORMSINV(Z562))*(AA$7-AA$5)*(AA$6-AA$5)),AA$7-SQRT((1-NORMSDIST(AA$9*SQRT($C$11)*NORMSINV($B562)+SQRT(1-AA$9^2*$C$11)*NORMSINV(Z562)))*(AA$7-AA$5)*(AA$7-AA$6))))</f>
        <v>0.729243503219741</v>
      </c>
      <c r="AB562" s="2" t="n">
        <v>0.443581642</v>
      </c>
      <c r="AC562" s="2" t="n">
        <f aca="false">IF(AC$7=AC$5,AC$6,IF(NORMSDIST(AC$9*SQRT($C$11)*NORMSINV($B562)+SQRT(1-AC$9^2*$C$11)*NORMSINV(AB562))&lt;AC$8,AC$5+SQRT(NORMSDIST(AC$9*SQRT($C$11)*NORMSINV($B562)+SQRT(1-AC$9^2*$C$11)*NORMSINV(AB562))*(AC$7-AC$5)*(AC$6-AC$5)),AC$7-SQRT((1-NORMSDIST(AC$9*SQRT($C$11)*NORMSINV($B562)+SQRT(1-AC$9^2*$C$11)*NORMSINV(AB562)))*(AC$7-AC$5)*(AC$7-AC$6))))</f>
        <v>9.18525384852095</v>
      </c>
      <c r="AD562" s="2" t="n">
        <f aca="false">Entrées!$C$8*(1+E562)</f>
        <v>7413.95064924868</v>
      </c>
      <c r="AE562" s="2" t="n">
        <f aca="false">I562*Hypothèses!$J$24/12/Hypothèses!$J$19</f>
        <v>97.5609265094734</v>
      </c>
      <c r="AF562" s="2" t="n">
        <f aca="false">Entrées!$C$36*S562*1000</f>
        <v>282.623509454374</v>
      </c>
      <c r="AG562" s="2" t="n">
        <f aca="false">-AF562/W562</f>
        <v>-27.6791879187001</v>
      </c>
      <c r="AH562" s="2" t="n">
        <f aca="false">AD562+AE562+AG562</f>
        <v>7483.83238783945</v>
      </c>
      <c r="AI562" s="2" t="n">
        <f aca="false">Entrées!$C$16-M562+Hypothèses!$J$22*1000-AF562+Hypothèses!$J$23</f>
        <v>22750.9286389374</v>
      </c>
      <c r="AJ562" s="2" t="n">
        <f aca="false">AI562/AH562</f>
        <v>3.04001044650674</v>
      </c>
      <c r="AK562" s="2" t="n">
        <f aca="false">AI562/(AH562+I562*(12-Hypothèses!$J$24)/12/Hypothèses!$J$19)</f>
        <v>3.01196427122365</v>
      </c>
      <c r="AL562" s="2" t="n">
        <f aca="false">(AD562+AG562+I562/Hypothèses!$J$19)*(1+G562)</f>
        <v>7969.63699698753</v>
      </c>
      <c r="AM562" s="2" t="n">
        <f aca="false">Entrées!$C$54*K562/Hypothèses!$J$19</f>
        <v>22.8238276176036</v>
      </c>
      <c r="AN562" s="2" t="n">
        <f aca="false">Y562*1000/AC562</f>
        <v>76.2485061909623</v>
      </c>
      <c r="AO562" s="2" t="n">
        <f aca="false">(Entrées!$C$36*(1-S562)+MAX(0,Entrées!$C$30-Entrées!$C$35-Entrées!$C$36)*U562)*1000</f>
        <v>945.236738150849</v>
      </c>
      <c r="AP562" s="2" t="n">
        <f aca="false">-AO562/W562</f>
        <v>-92.573280097777</v>
      </c>
      <c r="AQ562" s="2" t="n">
        <f aca="false">AL562+AM562+AN562+AP562</f>
        <v>7976.13605069832</v>
      </c>
      <c r="AR562" s="2" t="n">
        <f aca="false">O562*AQ562-Hypothèses!$J$25/Hypothèses!$J$19</f>
        <v>1307.57076285317</v>
      </c>
      <c r="AS562" s="2" t="n">
        <f aca="false">Entrées!$C$79*(1+Q562)+Hypothèses!$J$20</f>
        <v>1464.93899860052</v>
      </c>
      <c r="AT562" s="2" t="n">
        <f aca="false">AI562-AR562+AS562+Y562*1000-AO562+Hypothèses!$J$23</f>
        <v>22663.4220214684</v>
      </c>
      <c r="AU562" s="2" t="n">
        <f aca="false">AT562/AQ562</f>
        <v>2.84140364174006</v>
      </c>
      <c r="AV562" s="2" t="n">
        <f aca="false">Hypothèses!$J$26*AQ562-AT562</f>
        <v>1264.98613062655</v>
      </c>
      <c r="AW562" s="2" t="n">
        <f aca="false">IF(AC562&gt;Hypothèses!$J$26,MAX(0,AV562)/(1-Hypothèses!$J$26/AC562),0)</f>
        <v>1878.53546664727</v>
      </c>
      <c r="AX562" s="2" t="n">
        <f aca="false">AQ562-Entrées!$C$17*1000</f>
        <v>-23.8639493016781</v>
      </c>
      <c r="AY562" s="2" t="n">
        <f aca="false">AI562+(Entrées!$C$244-Entrées!$C$13)</f>
        <v>28497.9286389374</v>
      </c>
      <c r="AZ562" s="2" t="n">
        <f aca="false">AA562*AH562</f>
        <v>5457.53614801741</v>
      </c>
      <c r="BA562" s="2" t="n">
        <f aca="false">AZ562/AY562</f>
        <v>0.191506414980654</v>
      </c>
      <c r="BB562" s="2" t="n">
        <f aca="false">AZ562/(Entrées!$C$151/100)-AY562</f>
        <v>1821.71662782597</v>
      </c>
      <c r="BC562" s="2" t="n">
        <f aca="false">AT562+(Entrées!$C$244-Entrées!$C$13)</f>
        <v>28410.4220214684</v>
      </c>
      <c r="BD562" s="2" t="n">
        <f aca="false">AA562*AQ562</f>
        <v>5816.54539576852</v>
      </c>
      <c r="BE562" s="2" t="n">
        <f aca="false">BD562/BC562</f>
        <v>0.204732805143592</v>
      </c>
      <c r="BF562" s="2" t="n">
        <f aca="false">BD562/(Entrées!$C$151/100)-BC562</f>
        <v>3903.71906613446</v>
      </c>
      <c r="BG562" s="2" t="n">
        <f aca="false">MIN(AV562,BF562)</f>
        <v>1264.98613062655</v>
      </c>
      <c r="BH562" s="2" t="n">
        <f aca="false">IF(AC562&gt;Hypothèses!$J$26,MAX(0,BG562)/(1-Hypothèses!$J$26/AC562),0)</f>
        <v>1878.53546664727</v>
      </c>
    </row>
    <row r="563" customFormat="false" ht="15" hidden="false" customHeight="false" outlineLevel="0" collapsed="false">
      <c r="A563" s="2" t="n">
        <v>548</v>
      </c>
      <c r="B563" s="2" t="n">
        <v>0.234074017</v>
      </c>
      <c r="C563" s="2"/>
      <c r="D563" s="2" t="n">
        <v>0.822043756</v>
      </c>
      <c r="E563" s="2" t="n">
        <f aca="false">IF(E$7=E$5,E$6,IF(NORMSDIST(E$9*SQRT($C$11)*NORMSINV($B563)+SQRT(1-E$9^2*$C$11)*NORMSINV(D563))&lt;E$8,E$5+SQRT(NORMSDIST(E$9*SQRT($C$11)*NORMSINV($B563)+SQRT(1-E$9^2*$C$11)*NORMSINV(D563))*(E$7-E$5)*(E$6-E$5)),E$7-SQRT((1-NORMSDIST(E$9*SQRT($C$11)*NORMSINV($B563)+SQRT(1-E$9^2*$C$11)*NORMSINV(D563)))*(E$7-E$5)*(E$7-E$6))))</f>
        <v>0.0555341351595917</v>
      </c>
      <c r="F563" s="2" t="n">
        <v>0.436403173</v>
      </c>
      <c r="G563" s="2" t="n">
        <f aca="false">IF(G$7=G$5,G$6,IF(NORMSDIST(G$9*SQRT($C$11)*NORMSINV($B563)+SQRT(1-G$9^2*$C$11)*NORMSINV(F563))&lt;G$8,G$5+SQRT(NORMSDIST(G$9*SQRT($C$11)*NORMSINV($B563)+SQRT(1-G$9^2*$C$11)*NORMSINV(F563))*(G$7-G$5)*(G$6-G$5)),G$7-SQRT((1-NORMSDIST(G$9*SQRT($C$11)*NORMSINV($B563)+SQRT(1-G$9^2*$C$11)*NORMSINV(F563)))*(G$7-G$5)*(G$7-G$6))))</f>
        <v>0.0512248968769821</v>
      </c>
      <c r="H563" s="2" t="n">
        <v>0.342010994</v>
      </c>
      <c r="I563" s="2" t="n">
        <f aca="false">IF(I$7=I$5,I$6,IF(NORMSDIST(I$9*SQRT($C$11)*NORMSINV($B563)+SQRT(1-I$9^2*$C$11)*NORMSINV(H563))&lt;I$8,I$5+SQRT(NORMSDIST(I$9*SQRT($C$11)*NORMSINV($B563)+SQRT(1-I$9^2*$C$11)*NORMSINV(H563))*(I$7-I$5)*(I$6-I$5)),I$7-SQRT((1-NORMSDIST(I$9*SQRT($C$11)*NORMSINV($B563)+SQRT(1-I$9^2*$C$11)*NORMSINV(H563)))*(I$7-I$5)*(I$7-I$6))))</f>
        <v>193.249568928565</v>
      </c>
      <c r="J563" s="2" t="n">
        <v>0.995148193</v>
      </c>
      <c r="K563" s="2" t="n">
        <f aca="false">IF(K$7=K$5,K$6,IF(NORMSDIST(K$9*SQRT($C$11)*NORMSINV($B563)+SQRT(1-K$9^2*$C$11)*NORMSINV(J563))&lt;K$8,K$5+SQRT(NORMSDIST(K$9*SQRT($C$11)*NORMSINV($B563)+SQRT(1-K$9^2*$C$11)*NORMSINV(J563))*(K$7-K$5)*(K$6-K$5)),K$7-SQRT((1-NORMSDIST(K$9*SQRT($C$11)*NORMSINV($B563)+SQRT(1-K$9^2*$C$11)*NORMSINV(J563)))*(K$7-K$5)*(K$7-K$6))))</f>
        <v>0.412505685073764</v>
      </c>
      <c r="L563" s="2" t="n">
        <v>0.177483586</v>
      </c>
      <c r="M563" s="2" t="n">
        <f aca="false">IF(M$7=M$5,M$6,IF(NORMSDIST(M$9*SQRT($C$11)*NORMSINV($B563)+SQRT(1-M$9^2*$C$11)*NORMSINV(L563))&lt;M$8,M$5+SQRT(NORMSDIST(M$9*SQRT($C$11)*NORMSINV($B563)+SQRT(1-M$9^2*$C$11)*NORMSINV(L563))*(M$7-M$5)*(M$6-M$5)),M$7-SQRT((1-NORMSDIST(M$9*SQRT($C$11)*NORMSINV($B563)+SQRT(1-M$9^2*$C$11)*NORMSINV(L563)))*(M$7-M$5)*(M$7-M$6))))</f>
        <v>1441.38411047474</v>
      </c>
      <c r="N563" s="2" t="n">
        <v>0.872873967</v>
      </c>
      <c r="O563" s="2" t="n">
        <f aca="false">IF(O$7=O$5,O$6,IF(NORMSDIST(O$9*SQRT($C$11)*NORMSINV($B563)+SQRT(1-O$9^2*$C$11)*NORMSINV(N563))&lt;O$8,O$5+SQRT(NORMSDIST(O$9*SQRT($C$11)*NORMSINV($B563)+SQRT(1-O$9^2*$C$11)*NORMSINV(N563))*(O$7-O$5)*(O$6-O$5)),O$7-SQRT((1-NORMSDIST(O$9*SQRT($C$11)*NORMSINV($B563)+SQRT(1-O$9^2*$C$11)*NORMSINV(N563)))*(O$7-O$5)*(O$7-O$6))))</f>
        <v>0.171090510441521</v>
      </c>
      <c r="P563" s="2" t="n">
        <v>0.30112258</v>
      </c>
      <c r="Q563" s="2" t="n">
        <f aca="false">IF(Q$7=Q$5,Q$6,IF(NORMSDIST(Q$9*SQRT($C$11)*NORMSINV($B563)+SQRT(1-Q$9^2*$C$11)*NORMSINV(P563))&lt;Q$8,Q$5+SQRT(NORMSDIST(Q$9*SQRT($C$11)*NORMSINV($B563)+SQRT(1-Q$9^2*$C$11)*NORMSINV(P563))*(Q$7-Q$5)*(Q$6-Q$5)),Q$7-SQRT((1-NORMSDIST(Q$9*SQRT($C$11)*NORMSINV($B563)+SQRT(1-Q$9^2*$C$11)*NORMSINV(P563)))*(Q$7-Q$5)*(Q$7-Q$6))))</f>
        <v>0.0710417824230504</v>
      </c>
      <c r="R563" s="2" t="n">
        <v>0.011646731</v>
      </c>
      <c r="S563" s="2" t="n">
        <f aca="false">IF(S$7=S$5,S$6,IF(NORMSDIST(S$9*SQRT($C$11)*NORMSINV($B563)+SQRT(1-S$9^2*$C$11)*NORMSINV(R563))&lt;S$8,S$5+SQRT(NORMSDIST(S$9*SQRT($C$11)*NORMSINV($B563)+SQRT(1-S$9^2*$C$11)*NORMSINV(R563))*(S$7-S$5)*(S$6-S$5)),S$7-SQRT((1-NORMSDIST(S$9*SQRT($C$11)*NORMSINV($B563)+SQRT(1-S$9^2*$C$11)*NORMSINV(R563)))*(S$7-S$5)*(S$7-S$6))))</f>
        <v>0.0816789167398715</v>
      </c>
      <c r="T563" s="2" t="n">
        <v>0.037544618</v>
      </c>
      <c r="U563" s="2" t="n">
        <f aca="false">IF(U$7=U$5,U$6,IF(NORMSDIST(U$9*SQRT($C$11)*NORMSINV($B563)+SQRT(1-U$9^2*$C$11)*NORMSINV(T563))&lt;U$8,U$5+SQRT(NORMSDIST(U$9*SQRT($C$11)*NORMSINV($B563)+SQRT(1-U$9^2*$C$11)*NORMSINV(T563))*(U$7-U$5)*(U$6-U$5)),U$7-SQRT((1-NORMSDIST(U$9*SQRT($C$11)*NORMSINV($B563)+SQRT(1-U$9^2*$C$11)*NORMSINV(T563)))*(U$7-U$5)*(U$7-U$6))))</f>
        <v>0.128575689153093</v>
      </c>
      <c r="V563" s="2" t="n">
        <v>0.393211035</v>
      </c>
      <c r="W563" s="2" t="n">
        <f aca="false">IF(W$7=W$5,W$6,IF(NORMSDIST(W$9*SQRT($C$11)*NORMSINV($B563)+SQRT(1-W$9^2*$C$11)*NORMSINV(V563))&lt;W$8,W$5+SQRT(NORMSDIST(W$9*SQRT($C$11)*NORMSINV($B563)+SQRT(1-W$9^2*$C$11)*NORMSINV(V563))*(W$7-W$5)*(W$6-W$5)),W$7-SQRT((1-NORMSDIST(W$9*SQRT($C$11)*NORMSINV($B563)+SQRT(1-W$9^2*$C$11)*NORMSINV(V563)))*(W$7-W$5)*(W$7-W$6))))</f>
        <v>9.419392693663</v>
      </c>
      <c r="X563" s="2" t="n">
        <v>0.565319435</v>
      </c>
      <c r="Y563" s="2" t="n">
        <f aca="false">IF(Y$7=Y$5,Y$6,IF(NORMSDIST(Y$9*SQRT($C$11)*NORMSINV($B563)+SQRT(1-Y$9^2*$C$11)*NORMSINV(X563))&lt;Y$8,Y$5+SQRT(NORMSDIST(Y$9*SQRT($C$11)*NORMSINV($B563)+SQRT(1-Y$9^2*$C$11)*NORMSINV(X563))*(Y$7-Y$5)*(Y$6-Y$5)),Y$7-SQRT((1-NORMSDIST(Y$9*SQRT($C$11)*NORMSINV($B563)+SQRT(1-Y$9^2*$C$11)*NORMSINV(X563)))*(Y$7-Y$5)*(Y$7-Y$6))))</f>
        <v>0.533802313926806</v>
      </c>
      <c r="Z563" s="2" t="n">
        <v>0.112099752</v>
      </c>
      <c r="AA563" s="2" t="n">
        <f aca="false">IF(AA$7=AA$5,AA$6,IF(NORMSDIST(AA$9*SQRT($C$11)*NORMSINV($B563)+SQRT(1-AA$9^2*$C$11)*NORMSINV(Z563))&lt;AA$8,AA$5+SQRT(NORMSDIST(AA$9*SQRT($C$11)*NORMSINV($B563)+SQRT(1-AA$9^2*$C$11)*NORMSINV(Z563))*(AA$7-AA$5)*(AA$6-AA$5)),AA$7-SQRT((1-NORMSDIST(AA$9*SQRT($C$11)*NORMSINV($B563)+SQRT(1-AA$9^2*$C$11)*NORMSINV(Z563)))*(AA$7-AA$5)*(AA$7-AA$6))))</f>
        <v>0.708469946245233</v>
      </c>
      <c r="AB563" s="2" t="n">
        <v>0.898873913</v>
      </c>
      <c r="AC563" s="2" t="n">
        <f aca="false">IF(AC$7=AC$5,AC$6,IF(NORMSDIST(AC$9*SQRT($C$11)*NORMSINV($B563)+SQRT(1-AC$9^2*$C$11)*NORMSINV(AB563))&lt;AC$8,AC$5+SQRT(NORMSDIST(AC$9*SQRT($C$11)*NORMSINV($B563)+SQRT(1-AC$9^2*$C$11)*NORMSINV(AB563))*(AC$7-AC$5)*(AC$6-AC$5)),AC$7-SQRT((1-NORMSDIST(AC$9*SQRT($C$11)*NORMSINV($B563)+SQRT(1-AC$9^2*$C$11)*NORMSINV(AB563)))*(AC$7-AC$5)*(AC$7-AC$6))))</f>
        <v>9.86454339948727</v>
      </c>
      <c r="AD563" s="2" t="n">
        <f aca="false">Entrées!$C$8*(1+E563)</f>
        <v>7441.51565287512</v>
      </c>
      <c r="AE563" s="2" t="n">
        <f aca="false">I563*Hypothèses!$J$24/12/Hypothèses!$J$19</f>
        <v>95.8704926261537</v>
      </c>
      <c r="AF563" s="2" t="n">
        <f aca="false">Entrées!$C$36*S563*1000</f>
        <v>40.8394583699358</v>
      </c>
      <c r="AG563" s="2" t="n">
        <f aca="false">-AF563/W563</f>
        <v>-4.33567849840372</v>
      </c>
      <c r="AH563" s="2" t="n">
        <f aca="false">AD563+AE563+AG563</f>
        <v>7533.05046700287</v>
      </c>
      <c r="AI563" s="2" t="n">
        <f aca="false">Entrées!$C$16-M563+Hypothèses!$J$22*1000-AF563+Hypothèses!$J$23</f>
        <v>23065.7764311553</v>
      </c>
      <c r="AJ563" s="2" t="n">
        <f aca="false">AI563/AH563</f>
        <v>3.0619437015842</v>
      </c>
      <c r="AK563" s="2" t="n">
        <f aca="false">AI563/(AH563+I563*(12-Hypothèses!$J$24)/12/Hypothèses!$J$19)</f>
        <v>3.03435996190011</v>
      </c>
      <c r="AL563" s="2" t="n">
        <f aca="false">(AD563+AG563+I563/Hypothèses!$J$19)*(1+G563)</f>
        <v>7990.91694943311</v>
      </c>
      <c r="AM563" s="2" t="n">
        <f aca="false">Entrées!$C$54*K563/Hypothèses!$J$19</f>
        <v>42.0979371612248</v>
      </c>
      <c r="AN563" s="2" t="n">
        <f aca="false">Y563*1000/AC563</f>
        <v>54.113230821667</v>
      </c>
      <c r="AO563" s="2" t="n">
        <f aca="false">(Entrées!$C$36*(1-S563)+MAX(0,Entrées!$C$30-Entrées!$C$35-Entrées!$C$36)*U563)*1000</f>
        <v>639.166506444395</v>
      </c>
      <c r="AP563" s="2" t="n">
        <f aca="false">-AO563/W563</f>
        <v>-67.8564454451932</v>
      </c>
      <c r="AQ563" s="2" t="n">
        <f aca="false">AL563+AM563+AN563+AP563</f>
        <v>8019.27167197081</v>
      </c>
      <c r="AR563" s="2" t="n">
        <f aca="false">O563*AQ563-Hypothèses!$J$25/Hypothèses!$J$19</f>
        <v>1352.88612146509</v>
      </c>
      <c r="AS563" s="2" t="n">
        <f aca="false">Entrées!$C$79*(1+Q563)+Hypothèses!$J$20</f>
        <v>1472.07491888293</v>
      </c>
      <c r="AT563" s="2" t="n">
        <f aca="false">AI563-AR563+AS563+Y563*1000-AO563+Hypothèses!$J$23</f>
        <v>23079.6010360556</v>
      </c>
      <c r="AU563" s="2" t="n">
        <f aca="false">AT563/AQ563</f>
        <v>2.87801710431186</v>
      </c>
      <c r="AV563" s="2" t="n">
        <f aca="false">Hypothèses!$J$26*AQ563-AT563</f>
        <v>978.213979856835</v>
      </c>
      <c r="AW563" s="2" t="n">
        <f aca="false">IF(AC563&gt;Hypothèses!$J$26,MAX(0,AV563)/(1-Hypothèses!$J$26/AC563),0)</f>
        <v>1405.72121067858</v>
      </c>
      <c r="AX563" s="2" t="n">
        <f aca="false">AQ563-Entrées!$C$17*1000</f>
        <v>19.2716719708051</v>
      </c>
      <c r="AY563" s="2" t="n">
        <f aca="false">AI563+(Entrées!$C$244-Entrées!$C$13)</f>
        <v>28812.7764311553</v>
      </c>
      <c r="AZ563" s="2" t="n">
        <f aca="false">AA563*AH563</f>
        <v>5336.93985942016</v>
      </c>
      <c r="BA563" s="2" t="n">
        <f aca="false">AZ563/AY563</f>
        <v>0.185228239707205</v>
      </c>
      <c r="BB563" s="2" t="n">
        <f aca="false">AZ563/(Entrées!$C$151/100)-AY563</f>
        <v>836.889454512202</v>
      </c>
      <c r="BC563" s="2" t="n">
        <f aca="false">AT563+(Entrées!$C$244-Entrées!$C$13)</f>
        <v>28826.6010360556</v>
      </c>
      <c r="BD563" s="2" t="n">
        <f aca="false">AA563*AQ563</f>
        <v>5681.41297036708</v>
      </c>
      <c r="BE563" s="2" t="n">
        <f aca="false">BD563/BC563</f>
        <v>0.197089242788663</v>
      </c>
      <c r="BF563" s="2" t="n">
        <f aca="false">BD563/(Entrées!$C$151/100)-BC563</f>
        <v>2736.80435487264</v>
      </c>
      <c r="BG563" s="2" t="n">
        <f aca="false">MIN(AV563,BF563)</f>
        <v>978.213979856835</v>
      </c>
      <c r="BH563" s="2" t="n">
        <f aca="false">IF(AC563&gt;Hypothèses!$J$26,MAX(0,BG563)/(1-Hypothèses!$J$26/AC563),0)</f>
        <v>1405.72121067858</v>
      </c>
    </row>
    <row r="564" customFormat="false" ht="15" hidden="false" customHeight="false" outlineLevel="0" collapsed="false">
      <c r="A564" s="2" t="n">
        <v>549</v>
      </c>
      <c r="B564" s="2" t="n">
        <v>0.826856298</v>
      </c>
      <c r="C564" s="2"/>
      <c r="D564" s="2" t="n">
        <v>0.531889473</v>
      </c>
      <c r="E564" s="2" t="n">
        <f aca="false">IF(E$7=E$5,E$6,IF(NORMSDIST(E$9*SQRT($C$11)*NORMSINV($B564)+SQRT(1-E$9^2*$C$11)*NORMSINV(D564))&lt;E$8,E$5+SQRT(NORMSDIST(E$9*SQRT($C$11)*NORMSINV($B564)+SQRT(1-E$9^2*$C$11)*NORMSINV(D564))*(E$7-E$5)*(E$6-E$5)),E$7-SQRT((1-NORMSDIST(E$9*SQRT($C$11)*NORMSINV($B564)+SQRT(1-E$9^2*$C$11)*NORMSINV(D564)))*(E$7-E$5)*(E$7-E$6))))</f>
        <v>0.0564265920989146</v>
      </c>
      <c r="F564" s="2" t="n">
        <v>0.10633148</v>
      </c>
      <c r="G564" s="2" t="n">
        <f aca="false">IF(G$7=G$5,G$6,IF(NORMSDIST(G$9*SQRT($C$11)*NORMSINV($B564)+SQRT(1-G$9^2*$C$11)*NORMSINV(F564))&lt;G$8,G$5+SQRT(NORMSDIST(G$9*SQRT($C$11)*NORMSINV($B564)+SQRT(1-G$9^2*$C$11)*NORMSINV(F564))*(G$7-G$5)*(G$6-G$5)),G$7-SQRT((1-NORMSDIST(G$9*SQRT($C$11)*NORMSINV($B564)+SQRT(1-G$9^2*$C$11)*NORMSINV(F564)))*(G$7-G$5)*(G$7-G$6))))</f>
        <v>0.0526534755698295</v>
      </c>
      <c r="H564" s="2" t="n">
        <v>0.098822956</v>
      </c>
      <c r="I564" s="2" t="n">
        <f aca="false">IF(I$7=I$5,I$6,IF(NORMSDIST(I$9*SQRT($C$11)*NORMSINV($B564)+SQRT(1-I$9^2*$C$11)*NORMSINV(H564))&lt;I$8,I$5+SQRT(NORMSDIST(I$9*SQRT($C$11)*NORMSINV($B564)+SQRT(1-I$9^2*$C$11)*NORMSINV(H564))*(I$7-I$5)*(I$6-I$5)),I$7-SQRT((1-NORMSDIST(I$9*SQRT($C$11)*NORMSINV($B564)+SQRT(1-I$9^2*$C$11)*NORMSINV(H564)))*(I$7-I$5)*(I$7-I$6))))</f>
        <v>196.583150017972</v>
      </c>
      <c r="J564" s="2" t="n">
        <v>0.547007583</v>
      </c>
      <c r="K564" s="2" t="n">
        <f aca="false">IF(K$7=K$5,K$6,IF(NORMSDIST(K$9*SQRT($C$11)*NORMSINV($B564)+SQRT(1-K$9^2*$C$11)*NORMSINV(J564))&lt;K$8,K$5+SQRT(NORMSDIST(K$9*SQRT($C$11)*NORMSINV($B564)+SQRT(1-K$9^2*$C$11)*NORMSINV(J564))*(K$7-K$5)*(K$6-K$5)),K$7-SQRT((1-NORMSDIST(K$9*SQRT($C$11)*NORMSINV($B564)+SQRT(1-K$9^2*$C$11)*NORMSINV(J564)))*(K$7-K$5)*(K$7-K$6))))</f>
        <v>0.324644135610848</v>
      </c>
      <c r="L564" s="2" t="n">
        <v>0.181689372</v>
      </c>
      <c r="M564" s="2" t="n">
        <f aca="false">IF(M$7=M$5,M$6,IF(NORMSDIST(M$9*SQRT($C$11)*NORMSINV($B564)+SQRT(1-M$9^2*$C$11)*NORMSINV(L564))&lt;M$8,M$5+SQRT(NORMSDIST(M$9*SQRT($C$11)*NORMSINV($B564)+SQRT(1-M$9^2*$C$11)*NORMSINV(L564))*(M$7-M$5)*(M$6-M$5)),M$7-SQRT((1-NORMSDIST(M$9*SQRT($C$11)*NORMSINV($B564)+SQRT(1-M$9^2*$C$11)*NORMSINV(L564)))*(M$7-M$5)*(M$7-M$6))))</f>
        <v>1572.89720482403</v>
      </c>
      <c r="N564" s="2" t="n">
        <v>0.8707817</v>
      </c>
      <c r="O564" s="2" t="n">
        <f aca="false">IF(O$7=O$5,O$6,IF(NORMSDIST(O$9*SQRT($C$11)*NORMSINV($B564)+SQRT(1-O$9^2*$C$11)*NORMSINV(N564))&lt;O$8,O$5+SQRT(NORMSDIST(O$9*SQRT($C$11)*NORMSINV($B564)+SQRT(1-O$9^2*$C$11)*NORMSINV(N564))*(O$7-O$5)*(O$6-O$5)),O$7-SQRT((1-NORMSDIST(O$9*SQRT($C$11)*NORMSINV($B564)+SQRT(1-O$9^2*$C$11)*NORMSINV(N564)))*(O$7-O$5)*(O$7-O$6))))</f>
        <v>0.181325495472065</v>
      </c>
      <c r="P564" s="2" t="n">
        <v>0.923756288</v>
      </c>
      <c r="Q564" s="2" t="n">
        <f aca="false">IF(Q$7=Q$5,Q$6,IF(NORMSDIST(Q$9*SQRT($C$11)*NORMSINV($B564)+SQRT(1-Q$9^2*$C$11)*NORMSINV(P564))&lt;Q$8,Q$5+SQRT(NORMSDIST(Q$9*SQRT($C$11)*NORMSINV($B564)+SQRT(1-Q$9^2*$C$11)*NORMSINV(P564))*(Q$7-Q$5)*(Q$6-Q$5)),Q$7-SQRT((1-NORMSDIST(Q$9*SQRT($C$11)*NORMSINV($B564)+SQRT(1-Q$9^2*$C$11)*NORMSINV(P564)))*(Q$7-Q$5)*(Q$7-Q$6))))</f>
        <v>0.104380144738187</v>
      </c>
      <c r="R564" s="2" t="n">
        <v>0.607056157</v>
      </c>
      <c r="S564" s="2" t="n">
        <f aca="false">IF(S$7=S$5,S$6,IF(NORMSDIST(S$9*SQRT($C$11)*NORMSINV($B564)+SQRT(1-S$9^2*$C$11)*NORMSINV(R564))&lt;S$8,S$5+SQRT(NORMSDIST(S$9*SQRT($C$11)*NORMSINV($B564)+SQRT(1-S$9^2*$C$11)*NORMSINV(R564))*(S$7-S$5)*(S$6-S$5)),S$7-SQRT((1-NORMSDIST(S$9*SQRT($C$11)*NORMSINV($B564)+SQRT(1-S$9^2*$C$11)*NORMSINV(R564)))*(S$7-S$5)*(S$7-S$6))))</f>
        <v>0.675886804629465</v>
      </c>
      <c r="T564" s="2" t="n">
        <v>0.179849744</v>
      </c>
      <c r="U564" s="2" t="n">
        <f aca="false">IF(U$7=U$5,U$6,IF(NORMSDIST(U$9*SQRT($C$11)*NORMSINV($B564)+SQRT(1-U$9^2*$C$11)*NORMSINV(T564))&lt;U$8,U$5+SQRT(NORMSDIST(U$9*SQRT($C$11)*NORMSINV($B564)+SQRT(1-U$9^2*$C$11)*NORMSINV(T564))*(U$7-U$5)*(U$6-U$5)),U$7-SQRT((1-NORMSDIST(U$9*SQRT($C$11)*NORMSINV($B564)+SQRT(1-U$9^2*$C$11)*NORMSINV(T564)))*(U$7-U$5)*(U$7-U$6))))</f>
        <v>0.476805894421865</v>
      </c>
      <c r="V564" s="2" t="n">
        <v>0.736600055</v>
      </c>
      <c r="W564" s="2" t="n">
        <f aca="false">IF(W$7=W$5,W$6,IF(NORMSDIST(W$9*SQRT($C$11)*NORMSINV($B564)+SQRT(1-W$9^2*$C$11)*NORMSINV(V564))&lt;W$8,W$5+SQRT(NORMSDIST(W$9*SQRT($C$11)*NORMSINV($B564)+SQRT(1-W$9^2*$C$11)*NORMSINV(V564))*(W$7-W$5)*(W$6-W$5)),W$7-SQRT((1-NORMSDIST(W$9*SQRT($C$11)*NORMSINV($B564)+SQRT(1-W$9^2*$C$11)*NORMSINV(V564)))*(W$7-W$5)*(W$7-W$6))))</f>
        <v>10.9463881394122</v>
      </c>
      <c r="X564" s="2" t="n">
        <v>0.455107809</v>
      </c>
      <c r="Y564" s="2" t="n">
        <f aca="false">IF(Y$7=Y$5,Y$6,IF(NORMSDIST(Y$9*SQRT($C$11)*NORMSINV($B564)+SQRT(1-Y$9^2*$C$11)*NORMSINV(X564))&lt;Y$8,Y$5+SQRT(NORMSDIST(Y$9*SQRT($C$11)*NORMSINV($B564)+SQRT(1-Y$9^2*$C$11)*NORMSINV(X564))*(Y$7-Y$5)*(Y$6-Y$5)),Y$7-SQRT((1-NORMSDIST(Y$9*SQRT($C$11)*NORMSINV($B564)+SQRT(1-Y$9^2*$C$11)*NORMSINV(X564)))*(Y$7-Y$5)*(Y$7-Y$6))))</f>
        <v>0.477026104631602</v>
      </c>
      <c r="Z564" s="2" t="n">
        <v>0.396541933</v>
      </c>
      <c r="AA564" s="2" t="n">
        <f aca="false">IF(AA$7=AA$5,AA$6,IF(NORMSDIST(AA$9*SQRT($C$11)*NORMSINV($B564)+SQRT(1-AA$9^2*$C$11)*NORMSINV(Z564))&lt;AA$8,AA$5+SQRT(NORMSDIST(AA$9*SQRT($C$11)*NORMSINV($B564)+SQRT(1-AA$9^2*$C$11)*NORMSINV(Z564))*(AA$7-AA$5)*(AA$6-AA$5)),AA$7-SQRT((1-NORMSDIST(AA$9*SQRT($C$11)*NORMSINV($B564)+SQRT(1-AA$9^2*$C$11)*NORMSINV(Z564)))*(AA$7-AA$5)*(AA$7-AA$6))))</f>
        <v>0.732739757171945</v>
      </c>
      <c r="AB564" s="2" t="n">
        <v>0.281923033</v>
      </c>
      <c r="AC564" s="2" t="n">
        <f aca="false">IF(AC$7=AC$5,AC$6,IF(NORMSDIST(AC$9*SQRT($C$11)*NORMSINV($B564)+SQRT(1-AC$9^2*$C$11)*NORMSINV(AB564))&lt;AC$8,AC$5+SQRT(NORMSDIST(AC$9*SQRT($C$11)*NORMSINV($B564)+SQRT(1-AC$9^2*$C$11)*NORMSINV(AB564))*(AC$7-AC$5)*(AC$6-AC$5)),AC$7-SQRT((1-NORMSDIST(AC$9*SQRT($C$11)*NORMSINV($B564)+SQRT(1-AC$9^2*$C$11)*NORMSINV(AB564)))*(AC$7-AC$5)*(AC$7-AC$6))))</f>
        <v>9.59780516604724</v>
      </c>
      <c r="AD564" s="2" t="n">
        <f aca="false">Entrées!$C$8*(1+E564)</f>
        <v>7447.80747429735</v>
      </c>
      <c r="AE564" s="2" t="n">
        <f aca="false">I564*Hypothèses!$J$24/12/Hypothèses!$J$19</f>
        <v>97.5242715350675</v>
      </c>
      <c r="AF564" s="2" t="n">
        <f aca="false">Entrées!$C$36*S564*1000</f>
        <v>337.943402314733</v>
      </c>
      <c r="AG564" s="2" t="n">
        <f aca="false">-AF564/W564</f>
        <v>-30.8725945042983</v>
      </c>
      <c r="AH564" s="2" t="n">
        <f aca="false">AD564+AE564+AG564</f>
        <v>7514.45915132812</v>
      </c>
      <c r="AI564" s="2" t="n">
        <f aca="false">Entrées!$C$16-M564+Hypothèses!$J$22*1000-AF564+Hypothèses!$J$23</f>
        <v>22637.1593928612</v>
      </c>
      <c r="AJ564" s="2" t="n">
        <f aca="false">AI564/AH564</f>
        <v>3.01248019810718</v>
      </c>
      <c r="AK564" s="2" t="n">
        <f aca="false">AI564/(AH564+I564*(12-Hypothèses!$J$24)/12/Hypothèses!$J$19)</f>
        <v>2.98481054454191</v>
      </c>
      <c r="AL564" s="2" t="n">
        <f aca="false">(AD564+AG564+I564/Hypothèses!$J$19)*(1+G564)</f>
        <v>7983.4495879472</v>
      </c>
      <c r="AM564" s="2" t="n">
        <f aca="false">Entrées!$C$54*K564/Hypothèses!$J$19</f>
        <v>33.1312971317274</v>
      </c>
      <c r="AN564" s="2" t="n">
        <f aca="false">Y564*1000/AC564</f>
        <v>49.701582432524</v>
      </c>
      <c r="AO564" s="2" t="n">
        <f aca="false">(Entrées!$C$36*(1-S564)+MAX(0,Entrées!$C$30-Entrées!$C$35-Entrées!$C$36)*U564)*1000</f>
        <v>829.584849875878</v>
      </c>
      <c r="AP564" s="2" t="n">
        <f aca="false">-AO564/W564</f>
        <v>-75.7861715947181</v>
      </c>
      <c r="AQ564" s="2" t="n">
        <f aca="false">AL564+AM564+AN564+AP564</f>
        <v>7990.49629591674</v>
      </c>
      <c r="AR564" s="2" t="n">
        <f aca="false">O564*AQ564-Hypothèses!$J$25/Hypothèses!$J$19</f>
        <v>1429.74553766318</v>
      </c>
      <c r="AS564" s="2" t="n">
        <f aca="false">Entrées!$C$79*(1+Q564)+Hypothèses!$J$20</f>
        <v>1508.71377906727</v>
      </c>
      <c r="AT564" s="2" t="n">
        <f aca="false">AI564-AR564+AS564+Y564*1000-AO564+Hypothèses!$J$23</f>
        <v>22363.568889021</v>
      </c>
      <c r="AU564" s="2" t="n">
        <f aca="false">AT564/AQ564</f>
        <v>2.79877094748785</v>
      </c>
      <c r="AV564" s="2" t="n">
        <f aca="false">Hypothèses!$J$26*AQ564-AT564</f>
        <v>1607.91999872916</v>
      </c>
      <c r="AW564" s="2" t="n">
        <f aca="false">IF(AC564&gt;Hypothèses!$J$26,MAX(0,AV564)/(1-Hypothèses!$J$26/AC564),0)</f>
        <v>2339.03585844124</v>
      </c>
      <c r="AX564" s="2" t="n">
        <f aca="false">AQ564-Entrées!$C$17*1000</f>
        <v>-9.50370408326489</v>
      </c>
      <c r="AY564" s="2" t="n">
        <f aca="false">AI564+(Entrées!$C$244-Entrées!$C$13)</f>
        <v>28384.1593928612</v>
      </c>
      <c r="AZ564" s="2" t="n">
        <f aca="false">AA564*AH564</f>
        <v>5506.14297382267</v>
      </c>
      <c r="BA564" s="2" t="n">
        <f aca="false">AZ564/AY564</f>
        <v>0.193986473145563</v>
      </c>
      <c r="BB564" s="2" t="n">
        <f aca="false">AZ564/(Entrées!$C$151/100)-AY564</f>
        <v>2205.52379504247</v>
      </c>
      <c r="BC564" s="2" t="n">
        <f aca="false">AT564+(Entrées!$C$244-Entrées!$C$13)</f>
        <v>28110.568889021</v>
      </c>
      <c r="BD564" s="2" t="n">
        <f aca="false">AA564*AQ564</f>
        <v>5854.95431555336</v>
      </c>
      <c r="BE564" s="2" t="n">
        <f aca="false">BD564/BC564</f>
        <v>0.208283024746614</v>
      </c>
      <c r="BF564" s="2" t="n">
        <f aca="false">BD564/(Entrées!$C$151/100)-BC564</f>
        <v>4416.95508627538</v>
      </c>
      <c r="BG564" s="2" t="n">
        <f aca="false">MIN(AV564,BF564)</f>
        <v>1607.91999872916</v>
      </c>
      <c r="BH564" s="2" t="n">
        <f aca="false">IF(AC564&gt;Hypothèses!$J$26,MAX(0,BG564)/(1-Hypothèses!$J$26/AC564),0)</f>
        <v>2339.03585844124</v>
      </c>
    </row>
    <row r="565" customFormat="false" ht="15" hidden="false" customHeight="false" outlineLevel="0" collapsed="false">
      <c r="A565" s="2" t="n">
        <v>550</v>
      </c>
      <c r="B565" s="2" t="n">
        <v>0.908127698</v>
      </c>
      <c r="C565" s="2"/>
      <c r="D565" s="2" t="n">
        <v>0.830529178</v>
      </c>
      <c r="E565" s="2" t="n">
        <f aca="false">IF(E$7=E$5,E$6,IF(NORMSDIST(E$9*SQRT($C$11)*NORMSINV($B565)+SQRT(1-E$9^2*$C$11)*NORMSINV(D565))&lt;E$8,E$5+SQRT(NORMSDIST(E$9*SQRT($C$11)*NORMSINV($B565)+SQRT(1-E$9^2*$C$11)*NORMSINV(D565))*(E$7-E$5)*(E$6-E$5)),E$7-SQRT((1-NORMSDIST(E$9*SQRT($C$11)*NORMSINV($B565)+SQRT(1-E$9^2*$C$11)*NORMSINV(D565)))*(E$7-E$5)*(E$7-E$6))))</f>
        <v>0.0583134648084129</v>
      </c>
      <c r="F565" s="2" t="n">
        <v>0.906051826</v>
      </c>
      <c r="G565" s="2" t="n">
        <f aca="false">IF(G$7=G$5,G$6,IF(NORMSDIST(G$9*SQRT($C$11)*NORMSINV($B565)+SQRT(1-G$9^2*$C$11)*NORMSINV(F565))&lt;G$8,G$5+SQRT(NORMSDIST(G$9*SQRT($C$11)*NORMSINV($B565)+SQRT(1-G$9^2*$C$11)*NORMSINV(F565))*(G$7-G$5)*(G$6-G$5)),G$7-SQRT((1-NORMSDIST(G$9*SQRT($C$11)*NORMSINV($B565)+SQRT(1-G$9^2*$C$11)*NORMSINV(F565)))*(G$7-G$5)*(G$7-G$6))))</f>
        <v>0.0662415909833271</v>
      </c>
      <c r="H565" s="2" t="n">
        <v>0.678379593</v>
      </c>
      <c r="I565" s="2" t="n">
        <f aca="false">IF(I$7=I$5,I$6,IF(NORMSDIST(I$9*SQRT($C$11)*NORMSINV($B565)+SQRT(1-I$9^2*$C$11)*NORMSINV(H565))&lt;I$8,I$5+SQRT(NORMSDIST(I$9*SQRT($C$11)*NORMSINV($B565)+SQRT(1-I$9^2*$C$11)*NORMSINV(H565))*(I$7-I$5)*(I$6-I$5)),I$7-SQRT((1-NORMSDIST(I$9*SQRT($C$11)*NORMSINV($B565)+SQRT(1-I$9^2*$C$11)*NORMSINV(H565)))*(I$7-I$5)*(I$7-I$6))))</f>
        <v>210.401411099518</v>
      </c>
      <c r="J565" s="2" t="n">
        <v>0.986032058</v>
      </c>
      <c r="K565" s="2" t="n">
        <f aca="false">IF(K$7=K$5,K$6,IF(NORMSDIST(K$9*SQRT($C$11)*NORMSINV($B565)+SQRT(1-K$9^2*$C$11)*NORMSINV(J565))&lt;K$8,K$5+SQRT(NORMSDIST(K$9*SQRT($C$11)*NORMSINV($B565)+SQRT(1-K$9^2*$C$11)*NORMSINV(J565))*(K$7-K$5)*(K$6-K$5)),K$7-SQRT((1-NORMSDIST(K$9*SQRT($C$11)*NORMSINV($B565)+SQRT(1-K$9^2*$C$11)*NORMSINV(J565)))*(K$7-K$5)*(K$7-K$6))))</f>
        <v>0.473807530107424</v>
      </c>
      <c r="L565" s="2" t="n">
        <v>0.065462786</v>
      </c>
      <c r="M565" s="2" t="n">
        <f aca="false">IF(M$7=M$5,M$6,IF(NORMSDIST(M$9*SQRT($C$11)*NORMSINV($B565)+SQRT(1-M$9^2*$C$11)*NORMSINV(L565))&lt;M$8,M$5+SQRT(NORMSDIST(M$9*SQRT($C$11)*NORMSINV($B565)+SQRT(1-M$9^2*$C$11)*NORMSINV(L565))*(M$7-M$5)*(M$6-M$5)),M$7-SQRT((1-NORMSDIST(M$9*SQRT($C$11)*NORMSINV($B565)+SQRT(1-M$9^2*$C$11)*NORMSINV(L565)))*(M$7-M$5)*(M$7-M$6))))</f>
        <v>1546.23572158136</v>
      </c>
      <c r="N565" s="2" t="n">
        <v>0.709402684</v>
      </c>
      <c r="O565" s="2" t="n">
        <f aca="false">IF(O$7=O$5,O$6,IF(NORMSDIST(O$9*SQRT($C$11)*NORMSINV($B565)+SQRT(1-O$9^2*$C$11)*NORMSINV(N565))&lt;O$8,O$5+SQRT(NORMSDIST(O$9*SQRT($C$11)*NORMSINV($B565)+SQRT(1-O$9^2*$C$11)*NORMSINV(N565))*(O$7-O$5)*(O$6-O$5)),O$7-SQRT((1-NORMSDIST(O$9*SQRT($C$11)*NORMSINV($B565)+SQRT(1-O$9^2*$C$11)*NORMSINV(N565)))*(O$7-O$5)*(O$7-O$6))))</f>
        <v>0.17955645115584</v>
      </c>
      <c r="P565" s="2" t="n">
        <v>0.94396939</v>
      </c>
      <c r="Q565" s="2" t="n">
        <f aca="false">IF(Q$7=Q$5,Q$6,IF(NORMSDIST(Q$9*SQRT($C$11)*NORMSINV($B565)+SQRT(1-Q$9^2*$C$11)*NORMSINV(P565))&lt;Q$8,Q$5+SQRT(NORMSDIST(Q$9*SQRT($C$11)*NORMSINV($B565)+SQRT(1-Q$9^2*$C$11)*NORMSINV(P565))*(Q$7-Q$5)*(Q$6-Q$5)),Q$7-SQRT((1-NORMSDIST(Q$9*SQRT($C$11)*NORMSINV($B565)+SQRT(1-Q$9^2*$C$11)*NORMSINV(P565)))*(Q$7-Q$5)*(Q$7-Q$6))))</f>
        <v>0.106609781480499</v>
      </c>
      <c r="R565" s="2" t="n">
        <v>0.260935202</v>
      </c>
      <c r="S565" s="2" t="n">
        <f aca="false">IF(S$7=S$5,S$6,IF(NORMSDIST(S$9*SQRT($C$11)*NORMSINV($B565)+SQRT(1-S$9^2*$C$11)*NORMSINV(R565))&lt;S$8,S$5+SQRT(NORMSDIST(S$9*SQRT($C$11)*NORMSINV($B565)+SQRT(1-S$9^2*$C$11)*NORMSINV(R565))*(S$7-S$5)*(S$6-S$5)),S$7-SQRT((1-NORMSDIST(S$9*SQRT($C$11)*NORMSINV($B565)+SQRT(1-S$9^2*$C$11)*NORMSINV(R565)))*(S$7-S$5)*(S$7-S$6))))</f>
        <v>0.572690734405261</v>
      </c>
      <c r="T565" s="2" t="n">
        <v>0.997124924</v>
      </c>
      <c r="U565" s="2" t="n">
        <f aca="false">IF(U$7=U$5,U$6,IF(NORMSDIST(U$9*SQRT($C$11)*NORMSINV($B565)+SQRT(1-U$9^2*$C$11)*NORMSINV(T565))&lt;U$8,U$5+SQRT(NORMSDIST(U$9*SQRT($C$11)*NORMSINV($B565)+SQRT(1-U$9^2*$C$11)*NORMSINV(T565))*(U$7-U$5)*(U$6-U$5)),U$7-SQRT((1-NORMSDIST(U$9*SQRT($C$11)*NORMSINV($B565)+SQRT(1-U$9^2*$C$11)*NORMSINV(T565)))*(U$7-U$5)*(U$7-U$6))))</f>
        <v>0.973152732255257</v>
      </c>
      <c r="V565" s="2" t="n">
        <v>0.779187388</v>
      </c>
      <c r="W565" s="2" t="n">
        <f aca="false">IF(W$7=W$5,W$6,IF(NORMSDIST(W$9*SQRT($C$11)*NORMSINV($B565)+SQRT(1-W$9^2*$C$11)*NORMSINV(V565))&lt;W$8,W$5+SQRT(NORMSDIST(W$9*SQRT($C$11)*NORMSINV($B565)+SQRT(1-W$9^2*$C$11)*NORMSINV(V565))*(W$7-W$5)*(W$6-W$5)),W$7-SQRT((1-NORMSDIST(W$9*SQRT($C$11)*NORMSINV($B565)+SQRT(1-W$9^2*$C$11)*NORMSINV(V565)))*(W$7-W$5)*(W$7-W$6))))</f>
        <v>11.2233659954138</v>
      </c>
      <c r="X565" s="2" t="n">
        <v>0.977681704</v>
      </c>
      <c r="Y565" s="2" t="n">
        <f aca="false">IF(Y$7=Y$5,Y$6,IF(NORMSDIST(Y$9*SQRT($C$11)*NORMSINV($B565)+SQRT(1-Y$9^2*$C$11)*NORMSINV(X565))&lt;Y$8,Y$5+SQRT(NORMSDIST(Y$9*SQRT($C$11)*NORMSINV($B565)+SQRT(1-Y$9^2*$C$11)*NORMSINV(X565))*(Y$7-Y$5)*(Y$6-Y$5)),Y$7-SQRT((1-NORMSDIST(Y$9*SQRT($C$11)*NORMSINV($B565)+SQRT(1-Y$9^2*$C$11)*NORMSINV(X565)))*(Y$7-Y$5)*(Y$7-Y$6))))</f>
        <v>0.894363131436037</v>
      </c>
      <c r="Z565" s="2" t="n">
        <v>0.811437015</v>
      </c>
      <c r="AA565" s="2" t="n">
        <f aca="false">IF(AA$7=AA$5,AA$6,IF(NORMSDIST(AA$9*SQRT($C$11)*NORMSINV($B565)+SQRT(1-AA$9^2*$C$11)*NORMSINV(Z565))&lt;AA$8,AA$5+SQRT(NORMSDIST(AA$9*SQRT($C$11)*NORMSINV($B565)+SQRT(1-AA$9^2*$C$11)*NORMSINV(Z565))*(AA$7-AA$5)*(AA$6-AA$5)),AA$7-SQRT((1-NORMSDIST(AA$9*SQRT($C$11)*NORMSINV($B565)+SQRT(1-AA$9^2*$C$11)*NORMSINV(Z565)))*(AA$7-AA$5)*(AA$7-AA$6))))</f>
        <v>0.74482635666007</v>
      </c>
      <c r="AB565" s="2" t="n">
        <v>0.096625111</v>
      </c>
      <c r="AC565" s="2" t="n">
        <f aca="false">IF(AC$7=AC$5,AC$6,IF(NORMSDIST(AC$9*SQRT($C$11)*NORMSINV($B565)+SQRT(1-AC$9^2*$C$11)*NORMSINV(AB565))&lt;AC$8,AC$5+SQRT(NORMSDIST(AC$9*SQRT($C$11)*NORMSINV($B565)+SQRT(1-AC$9^2*$C$11)*NORMSINV(AB565))*(AC$7-AC$5)*(AC$6-AC$5)),AC$7-SQRT((1-NORMSDIST(AC$9*SQRT($C$11)*NORMSINV($B565)+SQRT(1-AC$9^2*$C$11)*NORMSINV(AB565)))*(AC$7-AC$5)*(AC$7-AC$6))))</f>
        <v>9.33569414471345</v>
      </c>
      <c r="AD565" s="2" t="n">
        <f aca="false">Entrées!$C$8*(1+E565)</f>
        <v>7461.10992689931</v>
      </c>
      <c r="AE565" s="2" t="n">
        <f aca="false">I565*Hypothèses!$J$24/12/Hypothèses!$J$19</f>
        <v>104.379466630557</v>
      </c>
      <c r="AF565" s="2" t="n">
        <f aca="false">Entrées!$C$36*S565*1000</f>
        <v>286.34536720263</v>
      </c>
      <c r="AG565" s="2" t="n">
        <f aca="false">-AF565/W565</f>
        <v>-25.5133234824239</v>
      </c>
      <c r="AH565" s="2" t="n">
        <f aca="false">AD565+AE565+AG565</f>
        <v>7539.97607004744</v>
      </c>
      <c r="AI565" s="2" t="n">
        <f aca="false">Entrées!$C$16-M565+Hypothèses!$J$22*1000-AF565+Hypothèses!$J$23</f>
        <v>22715.418911216</v>
      </c>
      <c r="AJ565" s="2" t="n">
        <f aca="false">AI565/AH565</f>
        <v>3.01266458940805</v>
      </c>
      <c r="AK565" s="2" t="n">
        <f aca="false">AI565/(AH565+I565*(12-Hypothèses!$J$24)/12/Hypothèses!$J$19)</f>
        <v>2.98316645454258</v>
      </c>
      <c r="AL565" s="2" t="n">
        <f aca="false">(AD565+AG565+I565/Hypothèses!$J$19)*(1+G565)</f>
        <v>8118.931601308</v>
      </c>
      <c r="AM565" s="2" t="n">
        <f aca="false">Entrées!$C$54*K565/Hypothèses!$J$19</f>
        <v>48.3540478367242</v>
      </c>
      <c r="AN565" s="2" t="n">
        <f aca="false">Y565*1000/AC565</f>
        <v>95.80038908435</v>
      </c>
      <c r="AO565" s="2" t="n">
        <f aca="false">(Entrées!$C$36*(1-S565)+MAX(0,Entrées!$C$30-Entrées!$C$35-Entrées!$C$36)*U565)*1000</f>
        <v>1576.06845795473</v>
      </c>
      <c r="AP565" s="2" t="n">
        <f aca="false">-AO565/W565</f>
        <v>-140.427431360498</v>
      </c>
      <c r="AQ565" s="2" t="n">
        <f aca="false">AL565+AM565+AN565+AP565</f>
        <v>8122.65860686857</v>
      </c>
      <c r="AR565" s="2" t="n">
        <f aca="false">O565*AQ565-Hypothèses!$J$25/Hypothèses!$J$19</f>
        <v>1439.34059113813</v>
      </c>
      <c r="AS565" s="2" t="n">
        <f aca="false">Entrées!$C$79*(1+Q565)+Hypothèses!$J$20</f>
        <v>1511.16414984707</v>
      </c>
      <c r="AT565" s="2" t="n">
        <f aca="false">AI565-AR565+AS565+Y565*1000-AO565+Hypothèses!$J$23</f>
        <v>22105.5371434062</v>
      </c>
      <c r="AU565" s="2" t="n">
        <f aca="false">AT565/AQ565</f>
        <v>2.72146574333601</v>
      </c>
      <c r="AV565" s="2" t="n">
        <f aca="false">Hypothèses!$J$26*AQ565-AT565</f>
        <v>2262.43867719948</v>
      </c>
      <c r="AW565" s="2" t="n">
        <f aca="false">IF(AC565&gt;Hypothèses!$J$26,MAX(0,AV565)/(1-Hypothèses!$J$26/AC565),0)</f>
        <v>3333.72082506986</v>
      </c>
      <c r="AX565" s="2" t="n">
        <f aca="false">AQ565-Entrées!$C$17*1000</f>
        <v>122.658606868574</v>
      </c>
      <c r="AY565" s="2" t="n">
        <f aca="false">AI565+(Entrées!$C$244-Entrées!$C$13)</f>
        <v>28462.418911216</v>
      </c>
      <c r="AZ565" s="2" t="n">
        <f aca="false">AA565*AH565</f>
        <v>5615.97290555755</v>
      </c>
      <c r="BA565" s="2" t="n">
        <f aca="false">AZ565/AY565</f>
        <v>0.197311863165098</v>
      </c>
      <c r="BB565" s="2" t="n">
        <f aca="false">AZ565/(Entrées!$C$151/100)-AY565</f>
        <v>2737.43056410373</v>
      </c>
      <c r="BC565" s="2" t="n">
        <f aca="false">AT565+(Entrées!$C$244-Entrées!$C$13)</f>
        <v>27852.5371434062</v>
      </c>
      <c r="BD565" s="2" t="n">
        <f aca="false">AA565*AQ565</f>
        <v>6049.97021654748</v>
      </c>
      <c r="BE565" s="2" t="n">
        <f aca="false">BD565/BC565</f>
        <v>0.217214330794986</v>
      </c>
      <c r="BF565" s="2" t="n">
        <f aca="false">BD565/(Entrées!$C$151/100)-BC565</f>
        <v>5758.40850407977</v>
      </c>
      <c r="BG565" s="2" t="n">
        <f aca="false">MIN(AV565,BF565)</f>
        <v>2262.43867719948</v>
      </c>
      <c r="BH565" s="2" t="n">
        <f aca="false">IF(AC565&gt;Hypothèses!$J$26,MAX(0,BG565)/(1-Hypothèses!$J$26/AC565),0)</f>
        <v>3333.72082506986</v>
      </c>
    </row>
    <row r="566" customFormat="false" ht="15" hidden="false" customHeight="false" outlineLevel="0" collapsed="false">
      <c r="A566" s="2" t="n">
        <v>551</v>
      </c>
      <c r="B566" s="2" t="n">
        <v>0.38312205</v>
      </c>
      <c r="C566" s="2"/>
      <c r="D566" s="2" t="n">
        <v>0.46577938</v>
      </c>
      <c r="E566" s="2" t="n">
        <f aca="false">IF(E$7=E$5,E$6,IF(NORMSDIST(E$9*SQRT($C$11)*NORMSINV($B566)+SQRT(1-E$9^2*$C$11)*NORMSINV(D566))&lt;E$8,E$5+SQRT(NORMSDIST(E$9*SQRT($C$11)*NORMSINV($B566)+SQRT(1-E$9^2*$C$11)*NORMSINV(D566))*(E$7-E$5)*(E$6-E$5)),E$7-SQRT((1-NORMSDIST(E$9*SQRT($C$11)*NORMSINV($B566)+SQRT(1-E$9^2*$C$11)*NORMSINV(D566)))*(E$7-E$5)*(E$7-E$6))))</f>
        <v>0.0544695400935491</v>
      </c>
      <c r="F566" s="2" t="n">
        <v>0.278614144</v>
      </c>
      <c r="G566" s="2" t="n">
        <f aca="false">IF(G$7=G$5,G$6,IF(NORMSDIST(G$9*SQRT($C$11)*NORMSINV($B566)+SQRT(1-G$9^2*$C$11)*NORMSINV(F566))&lt;G$8,G$5+SQRT(NORMSDIST(G$9*SQRT($C$11)*NORMSINV($B566)+SQRT(1-G$9^2*$C$11)*NORMSINV(F566))*(G$7-G$5)*(G$6-G$5)),G$7-SQRT((1-NORMSDIST(G$9*SQRT($C$11)*NORMSINV($B566)+SQRT(1-G$9^2*$C$11)*NORMSINV(F566)))*(G$7-G$5)*(G$7-G$6))))</f>
        <v>0.0508211202638975</v>
      </c>
      <c r="H566" s="2" t="n">
        <v>0.688308382</v>
      </c>
      <c r="I566" s="2" t="n">
        <f aca="false">IF(I$7=I$5,I$6,IF(NORMSDIST(I$9*SQRT($C$11)*NORMSINV($B566)+SQRT(1-I$9^2*$C$11)*NORMSINV(H566))&lt;I$8,I$5+SQRT(NORMSDIST(I$9*SQRT($C$11)*NORMSINV($B566)+SQRT(1-I$9^2*$C$11)*NORMSINV(H566))*(I$7-I$5)*(I$6-I$5)),I$7-SQRT((1-NORMSDIST(I$9*SQRT($C$11)*NORMSINV($B566)+SQRT(1-I$9^2*$C$11)*NORMSINV(H566)))*(I$7-I$5)*(I$7-I$6))))</f>
        <v>201.58840068818</v>
      </c>
      <c r="J566" s="2" t="n">
        <v>0.907880591</v>
      </c>
      <c r="K566" s="2" t="n">
        <f aca="false">IF(K$7=K$5,K$6,IF(NORMSDIST(K$9*SQRT($C$11)*NORMSINV($B566)+SQRT(1-K$9^2*$C$11)*NORMSINV(J566))&lt;K$8,K$5+SQRT(NORMSDIST(K$9*SQRT($C$11)*NORMSINV($B566)+SQRT(1-K$9^2*$C$11)*NORMSINV(J566))*(K$7-K$5)*(K$6-K$5)),K$7-SQRT((1-NORMSDIST(K$9*SQRT($C$11)*NORMSINV($B566)+SQRT(1-K$9^2*$C$11)*NORMSINV(J566)))*(K$7-K$5)*(K$7-K$6))))</f>
        <v>0.341761859797791</v>
      </c>
      <c r="L566" s="2" t="n">
        <v>0.574856852</v>
      </c>
      <c r="M566" s="2" t="n">
        <f aca="false">IF(M$7=M$5,M$6,IF(NORMSDIST(M$9*SQRT($C$11)*NORMSINV($B566)+SQRT(1-M$9^2*$C$11)*NORMSINV(L566))&lt;M$8,M$5+SQRT(NORMSDIST(M$9*SQRT($C$11)*NORMSINV($B566)+SQRT(1-M$9^2*$C$11)*NORMSINV(L566))*(M$7-M$5)*(M$6-M$5)),M$7-SQRT((1-NORMSDIST(M$9*SQRT($C$11)*NORMSINV($B566)+SQRT(1-M$9^2*$C$11)*NORMSINV(L566)))*(M$7-M$5)*(M$7-M$6))))</f>
        <v>1580.60565082647</v>
      </c>
      <c r="N566" s="2" t="n">
        <v>0.052108515</v>
      </c>
      <c r="O566" s="2" t="n">
        <f aca="false">IF(O$7=O$5,O$6,IF(NORMSDIST(O$9*SQRT($C$11)*NORMSINV($B566)+SQRT(1-O$9^2*$C$11)*NORMSINV(N566))&lt;O$8,O$5+SQRT(NORMSDIST(O$9*SQRT($C$11)*NORMSINV($B566)+SQRT(1-O$9^2*$C$11)*NORMSINV(N566))*(O$7-O$5)*(O$6-O$5)),O$7-SQRT((1-NORMSDIST(O$9*SQRT($C$11)*NORMSINV($B566)+SQRT(1-O$9^2*$C$11)*NORMSINV(N566)))*(O$7-O$5)*(O$7-O$6))))</f>
        <v>0.150305048366063</v>
      </c>
      <c r="P566" s="2" t="n">
        <v>0.040732921</v>
      </c>
      <c r="Q566" s="2" t="n">
        <f aca="false">IF(Q$7=Q$5,Q$6,IF(NORMSDIST(Q$9*SQRT($C$11)*NORMSINV($B566)+SQRT(1-Q$9^2*$C$11)*NORMSINV(P566))&lt;Q$8,Q$5+SQRT(NORMSDIST(Q$9*SQRT($C$11)*NORMSINV($B566)+SQRT(1-Q$9^2*$C$11)*NORMSINV(P566))*(Q$7-Q$5)*(Q$6-Q$5)),Q$7-SQRT((1-NORMSDIST(Q$9*SQRT($C$11)*NORMSINV($B566)+SQRT(1-Q$9^2*$C$11)*NORMSINV(P566)))*(Q$7-Q$5)*(Q$7-Q$6))))</f>
        <v>0.0514168886829994</v>
      </c>
      <c r="R566" s="2" t="n">
        <v>0.037422166</v>
      </c>
      <c r="S566" s="2" t="n">
        <f aca="false">IF(S$7=S$5,S$6,IF(NORMSDIST(S$9*SQRT($C$11)*NORMSINV($B566)+SQRT(1-S$9^2*$C$11)*NORMSINV(R566))&lt;S$8,S$5+SQRT(NORMSDIST(S$9*SQRT($C$11)*NORMSINV($B566)+SQRT(1-S$9^2*$C$11)*NORMSINV(R566))*(S$7-S$5)*(S$6-S$5)),S$7-SQRT((1-NORMSDIST(S$9*SQRT($C$11)*NORMSINV($B566)+SQRT(1-S$9^2*$C$11)*NORMSINV(R566)))*(S$7-S$5)*(S$7-S$6))))</f>
        <v>0.170955912881419</v>
      </c>
      <c r="T566" s="2" t="n">
        <v>0.752805179</v>
      </c>
      <c r="U566" s="2" t="n">
        <f aca="false">IF(U$7=U$5,U$6,IF(NORMSDIST(U$9*SQRT($C$11)*NORMSINV($B566)+SQRT(1-U$9^2*$C$11)*NORMSINV(T566))&lt;U$8,U$5+SQRT(NORMSDIST(U$9*SQRT($C$11)*NORMSINV($B566)+SQRT(1-U$9^2*$C$11)*NORMSINV(T566))*(U$7-U$5)*(U$6-U$5)),U$7-SQRT((1-NORMSDIST(U$9*SQRT($C$11)*NORMSINV($B566)+SQRT(1-U$9^2*$C$11)*NORMSINV(T566)))*(U$7-U$5)*(U$7-U$6))))</f>
        <v>0.571956902709337</v>
      </c>
      <c r="V566" s="2" t="n">
        <v>0.040399807</v>
      </c>
      <c r="W566" s="2" t="n">
        <f aca="false">IF(W$7=W$5,W$6,IF(NORMSDIST(W$9*SQRT($C$11)*NORMSINV($B566)+SQRT(1-W$9^2*$C$11)*NORMSINV(V566))&lt;W$8,W$5+SQRT(NORMSDIST(W$9*SQRT($C$11)*NORMSINV($B566)+SQRT(1-W$9^2*$C$11)*NORMSINV(V566))*(W$7-W$5)*(W$6-W$5)),W$7-SQRT((1-NORMSDIST(W$9*SQRT($C$11)*NORMSINV($B566)+SQRT(1-W$9^2*$C$11)*NORMSINV(V566)))*(W$7-W$5)*(W$7-W$6))))</f>
        <v>8.70266259908546</v>
      </c>
      <c r="X566" s="2" t="n">
        <v>0.514510602</v>
      </c>
      <c r="Y566" s="2" t="n">
        <f aca="false">IF(Y$7=Y$5,Y$6,IF(NORMSDIST(Y$9*SQRT($C$11)*NORMSINV($B566)+SQRT(1-Y$9^2*$C$11)*NORMSINV(X566))&lt;Y$8,Y$5+SQRT(NORMSDIST(Y$9*SQRT($C$11)*NORMSINV($B566)+SQRT(1-Y$9^2*$C$11)*NORMSINV(X566))*(Y$7-Y$5)*(Y$6-Y$5)),Y$7-SQRT((1-NORMSDIST(Y$9*SQRT($C$11)*NORMSINV($B566)+SQRT(1-Y$9^2*$C$11)*NORMSINV(X566)))*(Y$7-Y$5)*(Y$7-Y$6))))</f>
        <v>0.507308718364126</v>
      </c>
      <c r="Z566" s="2" t="n">
        <v>0.694864815</v>
      </c>
      <c r="AA566" s="2" t="n">
        <f aca="false">IF(AA$7=AA$5,AA$6,IF(NORMSDIST(AA$9*SQRT($C$11)*NORMSINV($B566)+SQRT(1-AA$9^2*$C$11)*NORMSINV(Z566))&lt;AA$8,AA$5+SQRT(NORMSDIST(AA$9*SQRT($C$11)*NORMSINV($B566)+SQRT(1-AA$9^2*$C$11)*NORMSINV(Z566))*(AA$7-AA$5)*(AA$6-AA$5)),AA$7-SQRT((1-NORMSDIST(AA$9*SQRT($C$11)*NORMSINV($B566)+SQRT(1-AA$9^2*$C$11)*NORMSINV(Z566)))*(AA$7-AA$5)*(AA$7-AA$6))))</f>
        <v>0.730630797544067</v>
      </c>
      <c r="AB566" s="2" t="n">
        <v>0.228061777</v>
      </c>
      <c r="AC566" s="2" t="n">
        <f aca="false">IF(AC$7=AC$5,AC$6,IF(NORMSDIST(AC$9*SQRT($C$11)*NORMSINV($B566)+SQRT(1-AC$9^2*$C$11)*NORMSINV(AB566))&lt;AC$8,AC$5+SQRT(NORMSDIST(AC$9*SQRT($C$11)*NORMSINV($B566)+SQRT(1-AC$9^2*$C$11)*NORMSINV(AB566))*(AC$7-AC$5)*(AC$6-AC$5)),AC$7-SQRT((1-NORMSDIST(AC$9*SQRT($C$11)*NORMSINV($B566)+SQRT(1-AC$9^2*$C$11)*NORMSINV(AB566)))*(AC$7-AC$5)*(AC$7-AC$6))))</f>
        <v>8.78510377705485</v>
      </c>
      <c r="AD566" s="2" t="n">
        <f aca="false">Entrées!$C$8*(1+E566)</f>
        <v>7434.01025765952</v>
      </c>
      <c r="AE566" s="2" t="n">
        <f aca="false">I566*Hypothèses!$J$24/12/Hypothèses!$J$19</f>
        <v>100.00736037263</v>
      </c>
      <c r="AF566" s="2" t="n">
        <f aca="false">Entrées!$C$36*S566*1000</f>
        <v>85.4779564407096</v>
      </c>
      <c r="AG566" s="2" t="n">
        <f aca="false">-AF566/W566</f>
        <v>-9.82204646767442</v>
      </c>
      <c r="AH566" s="2" t="n">
        <f aca="false">AD566+AE566+AG566</f>
        <v>7524.19557156448</v>
      </c>
      <c r="AI566" s="2" t="n">
        <f aca="false">Entrées!$C$16-M566+Hypothèses!$J$22*1000-AF566+Hypothèses!$J$23</f>
        <v>22881.9163927328</v>
      </c>
      <c r="AJ566" s="2" t="n">
        <f aca="false">AI566/AH566</f>
        <v>3.0411113287922</v>
      </c>
      <c r="AK566" s="2" t="n">
        <f aca="false">AI566/(AH566+I566*(12-Hypothèses!$J$24)/12/Hypothèses!$J$19)</f>
        <v>3.01251090416833</v>
      </c>
      <c r="AL566" s="2" t="n">
        <f aca="false">(AD566+AG566+I566/Hypothèses!$J$19)*(1+G566)</f>
        <v>7981.6477956399</v>
      </c>
      <c r="AM566" s="2" t="n">
        <f aca="false">Entrées!$C$54*K566/Hypothèses!$J$19</f>
        <v>34.8782327576842</v>
      </c>
      <c r="AN566" s="2" t="n">
        <f aca="false">Y566*1000/AC566</f>
        <v>57.746468481013</v>
      </c>
      <c r="AO566" s="2" t="n">
        <f aca="false">(Entrées!$C$36*(1-S566)+MAX(0,Entrées!$C$30-Entrées!$C$35-Entrées!$C$36)*U566)*1000</f>
        <v>1215.26170735236</v>
      </c>
      <c r="AP566" s="2" t="n">
        <f aca="false">-AO566/W566</f>
        <v>-139.642516702885</v>
      </c>
      <c r="AQ566" s="2" t="n">
        <f aca="false">AL566+AM566+AN566+AP566</f>
        <v>7934.62998017571</v>
      </c>
      <c r="AR566" s="2" t="n">
        <f aca="false">O566*AQ566-Hypothèses!$J$25/Hypothèses!$J$19</f>
        <v>1173.4797806755</v>
      </c>
      <c r="AS566" s="2" t="n">
        <f aca="false">Entrées!$C$79*(1+Q566)+Hypothèses!$J$20</f>
        <v>1450.50716066262</v>
      </c>
      <c r="AT566" s="2" t="n">
        <f aca="false">AI566-AR566+AS566+Y566*1000-AO566+Hypothèses!$J$23</f>
        <v>22450.9907837317</v>
      </c>
      <c r="AU566" s="2" t="n">
        <f aca="false">AT566/AQ566</f>
        <v>2.82949436077352</v>
      </c>
      <c r="AV566" s="2" t="n">
        <f aca="false">Hypothèses!$J$26*AQ566-AT566</f>
        <v>1352.89915679543</v>
      </c>
      <c r="AW566" s="2" t="n">
        <f aca="false">IF(AC566&gt;Hypothèses!$J$26,MAX(0,AV566)/(1-Hypothèses!$J$26/AC566),0)</f>
        <v>2054.476453729</v>
      </c>
      <c r="AX566" s="2" t="n">
        <f aca="false">AQ566-Entrées!$C$17*1000</f>
        <v>-65.3700198242887</v>
      </c>
      <c r="AY566" s="2" t="n">
        <f aca="false">AI566+(Entrées!$C$244-Entrées!$C$13)</f>
        <v>28628.9163927328</v>
      </c>
      <c r="AZ566" s="2" t="n">
        <f aca="false">AA566*AH566</f>
        <v>5497.40901132969</v>
      </c>
      <c r="BA566" s="2" t="n">
        <f aca="false">AZ566/AY566</f>
        <v>0.192022951058153</v>
      </c>
      <c r="BB566" s="2" t="n">
        <f aca="false">AZ566/(Entrées!$C$151/100)-AY566</f>
        <v>1912.244781321</v>
      </c>
      <c r="BC566" s="2" t="n">
        <f aca="false">AT566+(Entrées!$C$244-Entrées!$C$13)</f>
        <v>28197.9907837317</v>
      </c>
      <c r="BD566" s="2" t="n">
        <f aca="false">AA566*AQ566</f>
        <v>5797.28503063284</v>
      </c>
      <c r="BE566" s="2" t="n">
        <f aca="false">BD566/BC566</f>
        <v>0.205592131549226</v>
      </c>
      <c r="BF566" s="2" t="n">
        <f aca="false">BD566/(Entrées!$C$151/100)-BC566</f>
        <v>4009.14827533965</v>
      </c>
      <c r="BG566" s="2" t="n">
        <f aca="false">MIN(AV566,BF566)</f>
        <v>1352.89915679543</v>
      </c>
      <c r="BH566" s="2" t="n">
        <f aca="false">IF(AC566&gt;Hypothèses!$J$26,MAX(0,BG566)/(1-Hypothèses!$J$26/AC566),0)</f>
        <v>2054.476453729</v>
      </c>
    </row>
    <row r="567" customFormat="false" ht="15" hidden="false" customHeight="false" outlineLevel="0" collapsed="false">
      <c r="A567" s="2" t="n">
        <v>552</v>
      </c>
      <c r="B567" s="2" t="n">
        <v>0.546193356</v>
      </c>
      <c r="C567" s="2"/>
      <c r="D567" s="2" t="n">
        <v>0.466618617</v>
      </c>
      <c r="E567" s="2" t="n">
        <f aca="false">IF(E$7=E$5,E$6,IF(NORMSDIST(E$9*SQRT($C$11)*NORMSINV($B567)+SQRT(1-E$9^2*$C$11)*NORMSINV(D567))&lt;E$8,E$5+SQRT(NORMSDIST(E$9*SQRT($C$11)*NORMSINV($B567)+SQRT(1-E$9^2*$C$11)*NORMSINV(D567))*(E$7-E$5)*(E$6-E$5)),E$7-SQRT((1-NORMSDIST(E$9*SQRT($C$11)*NORMSINV($B567)+SQRT(1-E$9^2*$C$11)*NORMSINV(D567)))*(E$7-E$5)*(E$7-E$6))))</f>
        <v>0.05501699607739</v>
      </c>
      <c r="F567" s="2" t="n">
        <v>0.317113003</v>
      </c>
      <c r="G567" s="2" t="n">
        <f aca="false">IF(G$7=G$5,G$6,IF(NORMSDIST(G$9*SQRT($C$11)*NORMSINV($B567)+SQRT(1-G$9^2*$C$11)*NORMSINV(F567))&lt;G$8,G$5+SQRT(NORMSDIST(G$9*SQRT($C$11)*NORMSINV($B567)+SQRT(1-G$9^2*$C$11)*NORMSINV(F567))*(G$7-G$5)*(G$6-G$5)),G$7-SQRT((1-NORMSDIST(G$9*SQRT($C$11)*NORMSINV($B567)+SQRT(1-G$9^2*$C$11)*NORMSINV(F567)))*(G$7-G$5)*(G$7-G$6))))</f>
        <v>0.0531443279722667</v>
      </c>
      <c r="H567" s="2" t="n">
        <v>0.235141884</v>
      </c>
      <c r="I567" s="2" t="n">
        <f aca="false">IF(I$7=I$5,I$6,IF(NORMSDIST(I$9*SQRT($C$11)*NORMSINV($B567)+SQRT(1-I$9^2*$C$11)*NORMSINV(H567))&lt;I$8,I$5+SQRT(NORMSDIST(I$9*SQRT($C$11)*NORMSINV($B567)+SQRT(1-I$9^2*$C$11)*NORMSINV(H567))*(I$7-I$5)*(I$6-I$5)),I$7-SQRT((1-NORMSDIST(I$9*SQRT($C$11)*NORMSINV($B567)+SQRT(1-I$9^2*$C$11)*NORMSINV(H567)))*(I$7-I$5)*(I$7-I$6))))</f>
        <v>195.837360887033</v>
      </c>
      <c r="J567" s="2" t="n">
        <v>0.90669782</v>
      </c>
      <c r="K567" s="2" t="n">
        <f aca="false">IF(K$7=K$5,K$6,IF(NORMSDIST(K$9*SQRT($C$11)*NORMSINV($B567)+SQRT(1-K$9^2*$C$11)*NORMSINV(J567))&lt;K$8,K$5+SQRT(NORMSDIST(K$9*SQRT($C$11)*NORMSINV($B567)+SQRT(1-K$9^2*$C$11)*NORMSINV(J567))*(K$7-K$5)*(K$6-K$5)),K$7-SQRT((1-NORMSDIST(K$9*SQRT($C$11)*NORMSINV($B567)+SQRT(1-K$9^2*$C$11)*NORMSINV(J567)))*(K$7-K$5)*(K$7-K$6))))</f>
        <v>0.369399431226523</v>
      </c>
      <c r="L567" s="2" t="n">
        <v>0.247465289</v>
      </c>
      <c r="M567" s="2" t="n">
        <f aca="false">IF(M$7=M$5,M$6,IF(NORMSDIST(M$9*SQRT($C$11)*NORMSINV($B567)+SQRT(1-M$9^2*$C$11)*NORMSINV(L567))&lt;M$8,M$5+SQRT(NORMSDIST(M$9*SQRT($C$11)*NORMSINV($B567)+SQRT(1-M$9^2*$C$11)*NORMSINV(L567))*(M$7-M$5)*(M$6-M$5)),M$7-SQRT((1-NORMSDIST(M$9*SQRT($C$11)*NORMSINV($B567)+SQRT(1-M$9^2*$C$11)*NORMSINV(L567)))*(M$7-M$5)*(M$7-M$6))))</f>
        <v>1530.48922639162</v>
      </c>
      <c r="N567" s="2" t="n">
        <v>0.646483145</v>
      </c>
      <c r="O567" s="2" t="n">
        <f aca="false">IF(O$7=O$5,O$6,IF(NORMSDIST(O$9*SQRT($C$11)*NORMSINV($B567)+SQRT(1-O$9^2*$C$11)*NORMSINV(N567))&lt;O$8,O$5+SQRT(NORMSDIST(O$9*SQRT($C$11)*NORMSINV($B567)+SQRT(1-O$9^2*$C$11)*NORMSINV(N567))*(O$7-O$5)*(O$6-O$5)),O$7-SQRT((1-NORMSDIST(O$9*SQRT($C$11)*NORMSINV($B567)+SQRT(1-O$9^2*$C$11)*NORMSINV(N567)))*(O$7-O$5)*(O$7-O$6))))</f>
        <v>0.17047945827717</v>
      </c>
      <c r="P567" s="2" t="n">
        <v>0.776505646</v>
      </c>
      <c r="Q567" s="2" t="n">
        <f aca="false">IF(Q$7=Q$5,Q$6,IF(NORMSDIST(Q$9*SQRT($C$11)*NORMSINV($B567)+SQRT(1-Q$9^2*$C$11)*NORMSINV(P567))&lt;Q$8,Q$5+SQRT(NORMSDIST(Q$9*SQRT($C$11)*NORMSINV($B567)+SQRT(1-Q$9^2*$C$11)*NORMSINV(P567))*(Q$7-Q$5)*(Q$6-Q$5)),Q$7-SQRT((1-NORMSDIST(Q$9*SQRT($C$11)*NORMSINV($B567)+SQRT(1-Q$9^2*$C$11)*NORMSINV(P567)))*(Q$7-Q$5)*(Q$7-Q$6))))</f>
        <v>0.0932571143516635</v>
      </c>
      <c r="R567" s="2" t="n">
        <v>0.541225875</v>
      </c>
      <c r="S567" s="2" t="n">
        <f aca="false">IF(S$7=S$5,S$6,IF(NORMSDIST(S$9*SQRT($C$11)*NORMSINV($B567)+SQRT(1-S$9^2*$C$11)*NORMSINV(R567))&lt;S$8,S$5+SQRT(NORMSDIST(S$9*SQRT($C$11)*NORMSINV($B567)+SQRT(1-S$9^2*$C$11)*NORMSINV(R567))*(S$7-S$5)*(S$6-S$5)),S$7-SQRT((1-NORMSDIST(S$9*SQRT($C$11)*NORMSINV($B567)+SQRT(1-S$9^2*$C$11)*NORMSINV(R567)))*(S$7-S$5)*(S$7-S$6))))</f>
        <v>0.531508419558912</v>
      </c>
      <c r="T567" s="2" t="n">
        <v>0.278554297</v>
      </c>
      <c r="U567" s="2" t="n">
        <f aca="false">IF(U$7=U$5,U$6,IF(NORMSDIST(U$9*SQRT($C$11)*NORMSINV($B567)+SQRT(1-U$9^2*$C$11)*NORMSINV(T567))&lt;U$8,U$5+SQRT(NORMSDIST(U$9*SQRT($C$11)*NORMSINV($B567)+SQRT(1-U$9^2*$C$11)*NORMSINV(T567))*(U$7-U$5)*(U$6-U$5)),U$7-SQRT((1-NORMSDIST(U$9*SQRT($C$11)*NORMSINV($B567)+SQRT(1-U$9^2*$C$11)*NORMSINV(T567)))*(U$7-U$5)*(U$7-U$6))))</f>
        <v>0.419197191229905</v>
      </c>
      <c r="V567" s="2" t="n">
        <v>0.904116325</v>
      </c>
      <c r="W567" s="2" t="n">
        <f aca="false">IF(W$7=W$5,W$6,IF(NORMSDIST(W$9*SQRT($C$11)*NORMSINV($B567)+SQRT(1-W$9^2*$C$11)*NORMSINV(V567))&lt;W$8,W$5+SQRT(NORMSDIST(W$9*SQRT($C$11)*NORMSINV($B567)+SQRT(1-W$9^2*$C$11)*NORMSINV(V567))*(W$7-W$5)*(W$6-W$5)),W$7-SQRT((1-NORMSDIST(W$9*SQRT($C$11)*NORMSINV($B567)+SQRT(1-W$9^2*$C$11)*NORMSINV(V567)))*(W$7-W$5)*(W$7-W$6))))</f>
        <v>10.9452399164678</v>
      </c>
      <c r="X567" s="2" t="n">
        <v>0.508547677</v>
      </c>
      <c r="Y567" s="2" t="n">
        <f aca="false">IF(Y$7=Y$5,Y$6,IF(NORMSDIST(Y$9*SQRT($C$11)*NORMSINV($B567)+SQRT(1-Y$9^2*$C$11)*NORMSINV(X567))&lt;Y$8,Y$5+SQRT(NORMSDIST(Y$9*SQRT($C$11)*NORMSINV($B567)+SQRT(1-Y$9^2*$C$11)*NORMSINV(X567))*(Y$7-Y$5)*(Y$6-Y$5)),Y$7-SQRT((1-NORMSDIST(Y$9*SQRT($C$11)*NORMSINV($B567)+SQRT(1-Y$9^2*$C$11)*NORMSINV(X567)))*(Y$7-Y$5)*(Y$7-Y$6))))</f>
        <v>0.50429226201319</v>
      </c>
      <c r="Z567" s="2" t="n">
        <v>0.524836981</v>
      </c>
      <c r="AA567" s="2" t="n">
        <f aca="false">IF(AA$7=AA$5,AA$6,IF(NORMSDIST(AA$9*SQRT($C$11)*NORMSINV($B567)+SQRT(1-AA$9^2*$C$11)*NORMSINV(Z567))&lt;AA$8,AA$5+SQRT(NORMSDIST(AA$9*SQRT($C$11)*NORMSINV($B567)+SQRT(1-AA$9^2*$C$11)*NORMSINV(Z567))*(AA$7-AA$5)*(AA$6-AA$5)),AA$7-SQRT((1-NORMSDIST(AA$9*SQRT($C$11)*NORMSINV($B567)+SQRT(1-AA$9^2*$C$11)*NORMSINV(Z567)))*(AA$7-AA$5)*(AA$7-AA$6))))</f>
        <v>0.729599419886453</v>
      </c>
      <c r="AB567" s="2" t="n">
        <v>0.70538495</v>
      </c>
      <c r="AC567" s="2" t="n">
        <f aca="false">IF(AC$7=AC$5,AC$6,IF(NORMSDIST(AC$9*SQRT($C$11)*NORMSINV($B567)+SQRT(1-AC$9^2*$C$11)*NORMSINV(AB567))&lt;AC$8,AC$5+SQRT(NORMSDIST(AC$9*SQRT($C$11)*NORMSINV($B567)+SQRT(1-AC$9^2*$C$11)*NORMSINV(AB567))*(AC$7-AC$5)*(AC$6-AC$5)),AC$7-SQRT((1-NORMSDIST(AC$9*SQRT($C$11)*NORMSINV($B567)+SQRT(1-AC$9^2*$C$11)*NORMSINV(AB567)))*(AC$7-AC$5)*(AC$7-AC$6))))</f>
        <v>9.83999066168152</v>
      </c>
      <c r="AD567" s="2" t="n">
        <f aca="false">Entrées!$C$8*(1+E567)</f>
        <v>7437.8698223456</v>
      </c>
      <c r="AE567" s="2" t="n">
        <f aca="false">I567*Hypothèses!$J$24/12/Hypothèses!$J$19</f>
        <v>97.1542879341996</v>
      </c>
      <c r="AF567" s="2" t="n">
        <f aca="false">Entrées!$C$36*S567*1000</f>
        <v>265.754209779456</v>
      </c>
      <c r="AG567" s="2" t="n">
        <f aca="false">-AF567/W567</f>
        <v>-24.2803457765792</v>
      </c>
      <c r="AH567" s="2" t="n">
        <f aca="false">AD567+AE567+AG567</f>
        <v>7510.74376450322</v>
      </c>
      <c r="AI567" s="2" t="n">
        <f aca="false">Entrées!$C$16-M567+Hypothèses!$J$22*1000-AF567+Hypothèses!$J$23</f>
        <v>22751.7565638289</v>
      </c>
      <c r="AJ567" s="2" t="n">
        <f aca="false">AI567/AH567</f>
        <v>3.02922816663734</v>
      </c>
      <c r="AK567" s="2" t="n">
        <f aca="false">AI567/(AH567+I567*(12-Hypothèses!$J$24)/12/Hypothèses!$J$19)</f>
        <v>3.00149568621849</v>
      </c>
      <c r="AL567" s="2" t="n">
        <f aca="false">(AD567+AG567+I567/Hypothèses!$J$19)*(1+G567)</f>
        <v>7982.98111392256</v>
      </c>
      <c r="AM567" s="2" t="n">
        <f aca="false">Entrées!$C$54*K567/Hypothèses!$J$19</f>
        <v>37.6987629646499</v>
      </c>
      <c r="AN567" s="2" t="n">
        <f aca="false">Y567*1000/AC567</f>
        <v>51.2492622556019</v>
      </c>
      <c r="AO567" s="2" t="n">
        <f aca="false">(Entrées!$C$36*(1-S567)+MAX(0,Entrées!$C$30-Entrées!$C$35-Entrées!$C$36)*U567)*1000</f>
        <v>821.121857942411</v>
      </c>
      <c r="AP567" s="2" t="n">
        <f aca="false">-AO567/W567</f>
        <v>-75.0209099306247</v>
      </c>
      <c r="AQ567" s="2" t="n">
        <f aca="false">AL567+AM567+AN567+AP567</f>
        <v>7996.90822921218</v>
      </c>
      <c r="AR567" s="2" t="n">
        <f aca="false">O567*AQ567-Hypothèses!$J$25/Hypothèses!$J$19</f>
        <v>1344.17342054671</v>
      </c>
      <c r="AS567" s="2" t="n">
        <f aca="false">Entrées!$C$79*(1+Q567)+Hypothèses!$J$20</f>
        <v>1496.48956867248</v>
      </c>
      <c r="AT567" s="2" t="n">
        <f aca="false">AI567-AR567+AS567+Y567*1000-AO567+Hypothèses!$J$23</f>
        <v>22587.2431160255</v>
      </c>
      <c r="AU567" s="2" t="n">
        <f aca="false">AT567/AQ567</f>
        <v>2.82449697665852</v>
      </c>
      <c r="AV567" s="2" t="n">
        <f aca="false">Hypothèses!$J$26*AQ567-AT567</f>
        <v>1403.48157161108</v>
      </c>
      <c r="AW567" s="2" t="n">
        <f aca="false">IF(AC567&gt;Hypothèses!$J$26,MAX(0,AV567)/(1-Hypothèses!$J$26/AC567),0)</f>
        <v>2019.04450482101</v>
      </c>
      <c r="AX567" s="2" t="n">
        <f aca="false">AQ567-Entrées!$C$17*1000</f>
        <v>-3.09177078781613</v>
      </c>
      <c r="AY567" s="2" t="n">
        <f aca="false">AI567+(Entrées!$C$244-Entrées!$C$13)</f>
        <v>28498.7565638289</v>
      </c>
      <c r="AZ567" s="2" t="n">
        <f aca="false">AA567*AH567</f>
        <v>5479.83429349734</v>
      </c>
      <c r="BA567" s="2" t="n">
        <f aca="false">AZ567/AY567</f>
        <v>0.192283276683462</v>
      </c>
      <c r="BB567" s="2" t="n">
        <f aca="false">AZ567/(Entrées!$C$151/100)-AY567</f>
        <v>1944.76728893409</v>
      </c>
      <c r="BC567" s="2" t="n">
        <f aca="false">AT567+(Entrées!$C$244-Entrées!$C$13)</f>
        <v>28334.2431160255</v>
      </c>
      <c r="BD567" s="2" t="n">
        <f aca="false">AA567*AQ567</f>
        <v>5834.53960491841</v>
      </c>
      <c r="BE567" s="2" t="n">
        <f aca="false">BD567/BC567</f>
        <v>0.205918315199973</v>
      </c>
      <c r="BF567" s="2" t="n">
        <f aca="false">BD567/(Entrées!$C$151/100)-BC567</f>
        <v>4079.86580018791</v>
      </c>
      <c r="BG567" s="2" t="n">
        <f aca="false">MIN(AV567,BF567)</f>
        <v>1403.48157161108</v>
      </c>
      <c r="BH567" s="2" t="n">
        <f aca="false">IF(AC567&gt;Hypothèses!$J$26,MAX(0,BG567)/(1-Hypothèses!$J$26/AC567),0)</f>
        <v>2019.04450482101</v>
      </c>
    </row>
    <row r="568" customFormat="false" ht="15" hidden="false" customHeight="false" outlineLevel="0" collapsed="false">
      <c r="A568" s="2" t="n">
        <v>553</v>
      </c>
      <c r="B568" s="2" t="n">
        <v>0.793465503</v>
      </c>
      <c r="C568" s="2"/>
      <c r="D568" s="2" t="n">
        <v>0.459251441</v>
      </c>
      <c r="E568" s="2" t="n">
        <f aca="false">IF(E$7=E$5,E$6,IF(NORMSDIST(E$9*SQRT($C$11)*NORMSINV($B568)+SQRT(1-E$9^2*$C$11)*NORMSINV(D568))&lt;E$8,E$5+SQRT(NORMSDIST(E$9*SQRT($C$11)*NORMSINV($B568)+SQRT(1-E$9^2*$C$11)*NORMSINV(D568))*(E$7-E$5)*(E$6-E$5)),E$7-SQRT((1-NORMSDIST(E$9*SQRT($C$11)*NORMSINV($B568)+SQRT(1-E$9^2*$C$11)*NORMSINV(D568)))*(E$7-E$5)*(E$7-E$6))))</f>
        <v>0.0559346337471403</v>
      </c>
      <c r="F568" s="2" t="n">
        <v>0.435407581</v>
      </c>
      <c r="G568" s="2" t="n">
        <f aca="false">IF(G$7=G$5,G$6,IF(NORMSDIST(G$9*SQRT($C$11)*NORMSINV($B568)+SQRT(1-G$9^2*$C$11)*NORMSINV(F568))&lt;G$8,G$5+SQRT(NORMSDIST(G$9*SQRT($C$11)*NORMSINV($B568)+SQRT(1-G$9^2*$C$11)*NORMSINV(F568))*(G$7-G$5)*(G$6-G$5)),G$7-SQRT((1-NORMSDIST(G$9*SQRT($C$11)*NORMSINV($B568)+SQRT(1-G$9^2*$C$11)*NORMSINV(F568)))*(G$7-G$5)*(G$7-G$6))))</f>
        <v>0.0574924869122374</v>
      </c>
      <c r="H568" s="2" t="n">
        <v>0.849384652</v>
      </c>
      <c r="I568" s="2" t="n">
        <f aca="false">IF(I$7=I$5,I$6,IF(NORMSDIST(I$9*SQRT($C$11)*NORMSINV($B568)+SQRT(1-I$9^2*$C$11)*NORMSINV(H568))&lt;I$8,I$5+SQRT(NORMSDIST(I$9*SQRT($C$11)*NORMSINV($B568)+SQRT(1-I$9^2*$C$11)*NORMSINV(H568))*(I$7-I$5)*(I$6-I$5)),I$7-SQRT((1-NORMSDIST(I$9*SQRT($C$11)*NORMSINV($B568)+SQRT(1-I$9^2*$C$11)*NORMSINV(H568)))*(I$7-I$5)*(I$7-I$6))))</f>
        <v>211.343095698918</v>
      </c>
      <c r="J568" s="2" t="n">
        <v>0.348922498</v>
      </c>
      <c r="K568" s="2" t="n">
        <f aca="false">IF(K$7=K$5,K$6,IF(NORMSDIST(K$9*SQRT($C$11)*NORMSINV($B568)+SQRT(1-K$9^2*$C$11)*NORMSINV(J568))&lt;K$8,K$5+SQRT(NORMSDIST(K$9*SQRT($C$11)*NORMSINV($B568)+SQRT(1-K$9^2*$C$11)*NORMSINV(J568))*(K$7-K$5)*(K$6-K$5)),K$7-SQRT((1-NORMSDIST(K$9*SQRT($C$11)*NORMSINV($B568)+SQRT(1-K$9^2*$C$11)*NORMSINV(J568)))*(K$7-K$5)*(K$7-K$6))))</f>
        <v>0.27247926874124</v>
      </c>
      <c r="L568" s="2" t="n">
        <v>0.578107924</v>
      </c>
      <c r="M568" s="2" t="n">
        <f aca="false">IF(M$7=M$5,M$6,IF(NORMSDIST(M$9*SQRT($C$11)*NORMSINV($B568)+SQRT(1-M$9^2*$C$11)*NORMSINV(L568))&lt;M$8,M$5+SQRT(NORMSDIST(M$9*SQRT($C$11)*NORMSINV($B568)+SQRT(1-M$9^2*$C$11)*NORMSINV(L568))*(M$7-M$5)*(M$6-M$5)),M$7-SQRT((1-NORMSDIST(M$9*SQRT($C$11)*NORMSINV($B568)+SQRT(1-M$9^2*$C$11)*NORMSINV(L568)))*(M$7-M$5)*(M$7-M$6))))</f>
        <v>1650.44934730125</v>
      </c>
      <c r="N568" s="2" t="n">
        <v>0.997568593</v>
      </c>
      <c r="O568" s="2" t="n">
        <f aca="false">IF(O$7=O$5,O$6,IF(NORMSDIST(O$9*SQRT($C$11)*NORMSINV($B568)+SQRT(1-O$9^2*$C$11)*NORMSINV(N568))&lt;O$8,O$5+SQRT(NORMSDIST(O$9*SQRT($C$11)*NORMSINV($B568)+SQRT(1-O$9^2*$C$11)*NORMSINV(N568))*(O$7-O$5)*(O$6-O$5)),O$7-SQRT((1-NORMSDIST(O$9*SQRT($C$11)*NORMSINV($B568)+SQRT(1-O$9^2*$C$11)*NORMSINV(N568)))*(O$7-O$5)*(O$7-O$6))))</f>
        <v>0.188075170393185</v>
      </c>
      <c r="P568" s="2" t="n">
        <v>0.107904227</v>
      </c>
      <c r="Q568" s="2" t="n">
        <f aca="false">IF(Q$7=Q$5,Q$6,IF(NORMSDIST(Q$9*SQRT($C$11)*NORMSINV($B568)+SQRT(1-Q$9^2*$C$11)*NORMSINV(P568))&lt;Q$8,Q$5+SQRT(NORMSDIST(Q$9*SQRT($C$11)*NORMSINV($B568)+SQRT(1-Q$9^2*$C$11)*NORMSINV(P568))*(Q$7-Q$5)*(Q$6-Q$5)),Q$7-SQRT((1-NORMSDIST(Q$9*SQRT($C$11)*NORMSINV($B568)+SQRT(1-Q$9^2*$C$11)*NORMSINV(P568)))*(Q$7-Q$5)*(Q$7-Q$6))))</f>
        <v>0.0585820754061542</v>
      </c>
      <c r="R568" s="2" t="n">
        <v>0.186249702</v>
      </c>
      <c r="S568" s="2" t="n">
        <f aca="false">IF(S$7=S$5,S$6,IF(NORMSDIST(S$9*SQRT($C$11)*NORMSINV($B568)+SQRT(1-S$9^2*$C$11)*NORMSINV(R568))&lt;S$8,S$5+SQRT(NORMSDIST(S$9*SQRT($C$11)*NORMSINV($B568)+SQRT(1-S$9^2*$C$11)*NORMSINV(R568))*(S$7-S$5)*(S$6-S$5)),S$7-SQRT((1-NORMSDIST(S$9*SQRT($C$11)*NORMSINV($B568)+SQRT(1-S$9^2*$C$11)*NORMSINV(R568)))*(S$7-S$5)*(S$7-S$6))))</f>
        <v>0.464370084425758</v>
      </c>
      <c r="T568" s="2" t="n">
        <v>0.505511352</v>
      </c>
      <c r="U568" s="2" t="n">
        <f aca="false">IF(U$7=U$5,U$6,IF(NORMSDIST(U$9*SQRT($C$11)*NORMSINV($B568)+SQRT(1-U$9^2*$C$11)*NORMSINV(T568))&lt;U$8,U$5+SQRT(NORMSDIST(U$9*SQRT($C$11)*NORMSINV($B568)+SQRT(1-U$9^2*$C$11)*NORMSINV(T568))*(U$7-U$5)*(U$6-U$5)),U$7-SQRT((1-NORMSDIST(U$9*SQRT($C$11)*NORMSINV($B568)+SQRT(1-U$9^2*$C$11)*NORMSINV(T568)))*(U$7-U$5)*(U$7-U$6))))</f>
        <v>0.613592477080589</v>
      </c>
      <c r="V568" s="2" t="n">
        <v>0.394835214</v>
      </c>
      <c r="W568" s="2" t="n">
        <f aca="false">IF(W$7=W$5,W$6,IF(NORMSDIST(W$9*SQRT($C$11)*NORMSINV($B568)+SQRT(1-W$9^2*$C$11)*NORMSINV(V568))&lt;W$8,W$5+SQRT(NORMSDIST(W$9*SQRT($C$11)*NORMSINV($B568)+SQRT(1-W$9^2*$C$11)*NORMSINV(V568))*(W$7-W$5)*(W$6-W$5)),W$7-SQRT((1-NORMSDIST(W$9*SQRT($C$11)*NORMSINV($B568)+SQRT(1-W$9^2*$C$11)*NORMSINV(V568)))*(W$7-W$5)*(W$7-W$6))))</f>
        <v>10.2613105135635</v>
      </c>
      <c r="X568" s="2" t="n">
        <v>0.701068934</v>
      </c>
      <c r="Y568" s="2" t="n">
        <f aca="false">IF(Y$7=Y$5,Y$6,IF(NORMSDIST(Y$9*SQRT($C$11)*NORMSINV($B568)+SQRT(1-Y$9^2*$C$11)*NORMSINV(X568))&lt;Y$8,Y$5+SQRT(NORMSDIST(Y$9*SQRT($C$11)*NORMSINV($B568)+SQRT(1-Y$9^2*$C$11)*NORMSINV(X568))*(Y$7-Y$5)*(Y$6-Y$5)),Y$7-SQRT((1-NORMSDIST(Y$9*SQRT($C$11)*NORMSINV($B568)+SQRT(1-Y$9^2*$C$11)*NORMSINV(X568)))*(Y$7-Y$5)*(Y$7-Y$6))))</f>
        <v>0.61339227503838</v>
      </c>
      <c r="Z568" s="2" t="n">
        <v>0.495757089</v>
      </c>
      <c r="AA568" s="2" t="n">
        <f aca="false">IF(AA$7=AA$5,AA$6,IF(NORMSDIST(AA$9*SQRT($C$11)*NORMSINV($B568)+SQRT(1-AA$9^2*$C$11)*NORMSINV(Z568))&lt;AA$8,AA$5+SQRT(NORMSDIST(AA$9*SQRT($C$11)*NORMSINV($B568)+SQRT(1-AA$9^2*$C$11)*NORMSINV(Z568))*(AA$7-AA$5)*(AA$6-AA$5)),AA$7-SQRT((1-NORMSDIST(AA$9*SQRT($C$11)*NORMSINV($B568)+SQRT(1-AA$9^2*$C$11)*NORMSINV(Z568)))*(AA$7-AA$5)*(AA$7-AA$6))))</f>
        <v>0.73406269689941</v>
      </c>
      <c r="AB568" s="2" t="n">
        <v>0.96700154</v>
      </c>
      <c r="AC568" s="2" t="n">
        <f aca="false">IF(AC$7=AC$5,AC$6,IF(NORMSDIST(AC$9*SQRT($C$11)*NORMSINV($B568)+SQRT(1-AC$9^2*$C$11)*NORMSINV(AB568))&lt;AC$8,AC$5+SQRT(NORMSDIST(AC$9*SQRT($C$11)*NORMSINV($B568)+SQRT(1-AC$9^2*$C$11)*NORMSINV(AB568))*(AC$7-AC$5)*(AC$6-AC$5)),AC$7-SQRT((1-NORMSDIST(AC$9*SQRT($C$11)*NORMSINV($B568)+SQRT(1-AC$9^2*$C$11)*NORMSINV(AB568)))*(AC$7-AC$5)*(AC$7-AC$6))))</f>
        <v>10.6643079921252</v>
      </c>
      <c r="AD568" s="2" t="n">
        <f aca="false">Entrées!$C$8*(1+E568)</f>
        <v>7444.33916791734</v>
      </c>
      <c r="AE568" s="2" t="n">
        <f aca="false">I568*Hypothèses!$J$24/12/Hypothèses!$J$19</f>
        <v>104.846633346341</v>
      </c>
      <c r="AF568" s="2" t="n">
        <f aca="false">Entrées!$C$36*S568*1000</f>
        <v>232.185042212879</v>
      </c>
      <c r="AG568" s="2" t="n">
        <f aca="false">-AF568/W568</f>
        <v>-22.6272308888785</v>
      </c>
      <c r="AH568" s="2" t="n">
        <f aca="false">AD568+AE568+AG568</f>
        <v>7526.5585703748</v>
      </c>
      <c r="AI568" s="2" t="n">
        <f aca="false">Entrées!$C$16-M568+Hypothèses!$J$22*1000-AF568+Hypothèses!$J$23</f>
        <v>22665.3656104859</v>
      </c>
      <c r="AJ568" s="2" t="n">
        <f aca="false">AI568/AH568</f>
        <v>3.0113850039909</v>
      </c>
      <c r="AK568" s="2" t="n">
        <f aca="false">AI568/(AH568+I568*(12-Hypothèses!$J$24)/12/Hypothèses!$J$19)</f>
        <v>2.98171645203526</v>
      </c>
      <c r="AL568" s="2" t="n">
        <f aca="false">(AD568+AG568+I568/Hypothèses!$J$19)*(1+G568)</f>
        <v>8038.47523122041</v>
      </c>
      <c r="AM568" s="2" t="n">
        <f aca="false">Entrées!$C$54*K568/Hypothèses!$J$19</f>
        <v>27.8076534415616</v>
      </c>
      <c r="AN568" s="2" t="n">
        <f aca="false">Y568*1000/AC568</f>
        <v>57.5182445491375</v>
      </c>
      <c r="AO568" s="2" t="n">
        <f aca="false">(Entrées!$C$36*(1-S568)+MAX(0,Entrées!$C$30-Entrées!$C$35-Entrées!$C$36)*U568)*1000</f>
        <v>1126.84442569995</v>
      </c>
      <c r="AP568" s="2" t="n">
        <f aca="false">-AO568/W568</f>
        <v>-109.814864700807</v>
      </c>
      <c r="AQ568" s="2" t="n">
        <f aca="false">AL568+AM568+AN568+AP568</f>
        <v>8013.9862645103</v>
      </c>
      <c r="AR568" s="2" t="n">
        <f aca="false">O568*AQ568-Hypothèses!$J$25/Hypothèses!$J$19</f>
        <v>1488.0966699648</v>
      </c>
      <c r="AS568" s="2" t="n">
        <f aca="false">Entrées!$C$79*(1+Q568)+Hypothèses!$J$20</f>
        <v>1458.38170087136</v>
      </c>
      <c r="AT568" s="2" t="n">
        <f aca="false">AI568-AR568+AS568+Y568*1000-AO568+Hypothèses!$J$23</f>
        <v>22122.1984907309</v>
      </c>
      <c r="AU568" s="2" t="n">
        <f aca="false">AT568/AQ568</f>
        <v>2.76044876551615</v>
      </c>
      <c r="AV568" s="2" t="n">
        <f aca="false">Hypothèses!$J$26*AQ568-AT568</f>
        <v>1919.76030280002</v>
      </c>
      <c r="AW568" s="2" t="n">
        <f aca="false">IF(AC568&gt;Hypothèses!$J$26,MAX(0,AV568)/(1-Hypothèses!$J$26/AC568),0)</f>
        <v>2671.20203952531</v>
      </c>
      <c r="AX568" s="2" t="n">
        <f aca="false">AQ568-Entrées!$C$17*1000</f>
        <v>13.9862645102967</v>
      </c>
      <c r="AY568" s="2" t="n">
        <f aca="false">AI568+(Entrées!$C$244-Entrées!$C$13)</f>
        <v>28412.3656104859</v>
      </c>
      <c r="AZ568" s="2" t="n">
        <f aca="false">AA568*AH568</f>
        <v>5524.96588254069</v>
      </c>
      <c r="BA568" s="2" t="n">
        <f aca="false">AZ568/AY568</f>
        <v>0.194456384177376</v>
      </c>
      <c r="BB568" s="2" t="n">
        <f aca="false">AZ568/(Entrées!$C$151/100)-AY568</f>
        <v>2281.88929251799</v>
      </c>
      <c r="BC568" s="2" t="n">
        <f aca="false">AT568+(Entrées!$C$244-Entrées!$C$13)</f>
        <v>27869.1984907309</v>
      </c>
      <c r="BD568" s="2" t="n">
        <f aca="false">AA568*AQ568</f>
        <v>5882.76837024126</v>
      </c>
      <c r="BE568" s="2" t="n">
        <f aca="false">BD568/BC568</f>
        <v>0.211084950010235</v>
      </c>
      <c r="BF568" s="2" t="n">
        <f aca="false">BD568/(Entrées!$C$151/100)-BC568</f>
        <v>4812.84801060944</v>
      </c>
      <c r="BG568" s="2" t="n">
        <f aca="false">MIN(AV568,BF568)</f>
        <v>1919.76030280002</v>
      </c>
      <c r="BH568" s="2" t="n">
        <f aca="false">IF(AC568&gt;Hypothèses!$J$26,MAX(0,BG568)/(1-Hypothèses!$J$26/AC568),0)</f>
        <v>2671.20203952531</v>
      </c>
    </row>
    <row r="569" customFormat="false" ht="15" hidden="false" customHeight="false" outlineLevel="0" collapsed="false">
      <c r="A569" s="2" t="n">
        <v>554</v>
      </c>
      <c r="B569" s="2" t="n">
        <v>0.805644594</v>
      </c>
      <c r="C569" s="2"/>
      <c r="D569" s="2" t="n">
        <v>0.3899475</v>
      </c>
      <c r="E569" s="2" t="n">
        <f aca="false">IF(E$7=E$5,E$6,IF(NORMSDIST(E$9*SQRT($C$11)*NORMSINV($B569)+SQRT(1-E$9^2*$C$11)*NORMSINV(D569))&lt;E$8,E$5+SQRT(NORMSDIST(E$9*SQRT($C$11)*NORMSINV($B569)+SQRT(1-E$9^2*$C$11)*NORMSINV(D569))*(E$7-E$5)*(E$6-E$5)),E$7-SQRT((1-NORMSDIST(E$9*SQRT($C$11)*NORMSINV($B569)+SQRT(1-E$9^2*$C$11)*NORMSINV(D569)))*(E$7-E$5)*(E$7-E$6))))</f>
        <v>0.0556918846510294</v>
      </c>
      <c r="F569" s="2" t="n">
        <v>0.476096055</v>
      </c>
      <c r="G569" s="2" t="n">
        <f aca="false">IF(G$7=G$5,G$6,IF(NORMSDIST(G$9*SQRT($C$11)*NORMSINV($B569)+SQRT(1-G$9^2*$C$11)*NORMSINV(F569))&lt;G$8,G$5+SQRT(NORMSDIST(G$9*SQRT($C$11)*NORMSINV($B569)+SQRT(1-G$9^2*$C$11)*NORMSINV(F569))*(G$7-G$5)*(G$6-G$5)),G$7-SQRT((1-NORMSDIST(G$9*SQRT($C$11)*NORMSINV($B569)+SQRT(1-G$9^2*$C$11)*NORMSINV(F569)))*(G$7-G$5)*(G$7-G$6))))</f>
        <v>0.0582082062337698</v>
      </c>
      <c r="H569" s="2" t="n">
        <v>0.939620153</v>
      </c>
      <c r="I569" s="2" t="n">
        <f aca="false">IF(I$7=I$5,I$6,IF(NORMSDIST(I$9*SQRT($C$11)*NORMSINV($B569)+SQRT(1-I$9^2*$C$11)*NORMSINV(H569))&lt;I$8,I$5+SQRT(NORMSDIST(I$9*SQRT($C$11)*NORMSINV($B569)+SQRT(1-I$9^2*$C$11)*NORMSINV(H569))*(I$7-I$5)*(I$6-I$5)),I$7-SQRT((1-NORMSDIST(I$9*SQRT($C$11)*NORMSINV($B569)+SQRT(1-I$9^2*$C$11)*NORMSINV(H569)))*(I$7-I$5)*(I$7-I$6))))</f>
        <v>214.320709002256</v>
      </c>
      <c r="J569" s="2" t="n">
        <v>0.901059661</v>
      </c>
      <c r="K569" s="2" t="n">
        <f aca="false">IF(K$7=K$5,K$6,IF(NORMSDIST(K$9*SQRT($C$11)*NORMSINV($B569)+SQRT(1-K$9^2*$C$11)*NORMSINV(J569))&lt;K$8,K$5+SQRT(NORMSDIST(K$9*SQRT($C$11)*NORMSINV($B569)+SQRT(1-K$9^2*$C$11)*NORMSINV(J569))*(K$7-K$5)*(K$6-K$5)),K$7-SQRT((1-NORMSDIST(K$9*SQRT($C$11)*NORMSINV($B569)+SQRT(1-K$9^2*$C$11)*NORMSINV(J569)))*(K$7-K$5)*(K$7-K$6))))</f>
        <v>0.412341329402481</v>
      </c>
      <c r="L569" s="2" t="n">
        <v>0.983652915</v>
      </c>
      <c r="M569" s="2" t="n">
        <f aca="false">IF(M$7=M$5,M$6,IF(NORMSDIST(M$9*SQRT($C$11)*NORMSINV($B569)+SQRT(1-M$9^2*$C$11)*NORMSINV(L569))&lt;M$8,M$5+SQRT(NORMSDIST(M$9*SQRT($C$11)*NORMSINV($B569)+SQRT(1-M$9^2*$C$11)*NORMSINV(L569))*(M$7-M$5)*(M$6-M$5)),M$7-SQRT((1-NORMSDIST(M$9*SQRT($C$11)*NORMSINV($B569)+SQRT(1-M$9^2*$C$11)*NORMSINV(L569)))*(M$7-M$5)*(M$7-M$6))))</f>
        <v>1758.61157294002</v>
      </c>
      <c r="N569" s="2" t="n">
        <v>0.258012433</v>
      </c>
      <c r="O569" s="2" t="n">
        <f aca="false">IF(O$7=O$5,O$6,IF(NORMSDIST(O$9*SQRT($C$11)*NORMSINV($B569)+SQRT(1-O$9^2*$C$11)*NORMSINV(N569))&lt;O$8,O$5+SQRT(NORMSDIST(O$9*SQRT($C$11)*NORMSINV($B569)+SQRT(1-O$9^2*$C$11)*NORMSINV(N569))*(O$7-O$5)*(O$6-O$5)),O$7-SQRT((1-NORMSDIST(O$9*SQRT($C$11)*NORMSINV($B569)+SQRT(1-O$9^2*$C$11)*NORMSINV(N569)))*(O$7-O$5)*(O$7-O$6))))</f>
        <v>0.167230095024881</v>
      </c>
      <c r="P569" s="2" t="n">
        <v>0.411189364</v>
      </c>
      <c r="Q569" s="2" t="n">
        <f aca="false">IF(Q$7=Q$5,Q$6,IF(NORMSDIST(Q$9*SQRT($C$11)*NORMSINV($B569)+SQRT(1-Q$9^2*$C$11)*NORMSINV(P569))&lt;Q$8,Q$5+SQRT(NORMSDIST(Q$9*SQRT($C$11)*NORMSINV($B569)+SQRT(1-Q$9^2*$C$11)*NORMSINV(P569))*(Q$7-Q$5)*(Q$6-Q$5)),Q$7-SQRT((1-NORMSDIST(Q$9*SQRT($C$11)*NORMSINV($B569)+SQRT(1-Q$9^2*$C$11)*NORMSINV(P569)))*(Q$7-Q$5)*(Q$7-Q$6))))</f>
        <v>0.0762740398191324</v>
      </c>
      <c r="R569" s="2" t="n">
        <v>0.76485065</v>
      </c>
      <c r="S569" s="2" t="n">
        <f aca="false">IF(S$7=S$5,S$6,IF(NORMSDIST(S$9*SQRT($C$11)*NORMSINV($B569)+SQRT(1-S$9^2*$C$11)*NORMSINV(R569))&lt;S$8,S$5+SQRT(NORMSDIST(S$9*SQRT($C$11)*NORMSINV($B569)+SQRT(1-S$9^2*$C$11)*NORMSINV(R569))*(S$7-S$5)*(S$6-S$5)),S$7-SQRT((1-NORMSDIST(S$9*SQRT($C$11)*NORMSINV($B569)+SQRT(1-S$9^2*$C$11)*NORMSINV(R569)))*(S$7-S$5)*(S$7-S$6))))</f>
        <v>0.740472449111235</v>
      </c>
      <c r="T569" s="2" t="n">
        <v>0.110122518</v>
      </c>
      <c r="U569" s="2" t="n">
        <f aca="false">IF(U$7=U$5,U$6,IF(NORMSDIST(U$9*SQRT($C$11)*NORMSINV($B569)+SQRT(1-U$9^2*$C$11)*NORMSINV(T569))&lt;U$8,U$5+SQRT(NORMSDIST(U$9*SQRT($C$11)*NORMSINV($B569)+SQRT(1-U$9^2*$C$11)*NORMSINV(T569))*(U$7-U$5)*(U$6-U$5)),U$7-SQRT((1-NORMSDIST(U$9*SQRT($C$11)*NORMSINV($B569)+SQRT(1-U$9^2*$C$11)*NORMSINV(T569)))*(U$7-U$5)*(U$7-U$6))))</f>
        <v>0.414098750815115</v>
      </c>
      <c r="V569" s="2" t="n">
        <v>0.062123305</v>
      </c>
      <c r="W569" s="2" t="n">
        <f aca="false">IF(W$7=W$5,W$6,IF(NORMSDIST(W$9*SQRT($C$11)*NORMSINV($B569)+SQRT(1-W$9^2*$C$11)*NORMSINV(V569))&lt;W$8,W$5+SQRT(NORMSDIST(W$9*SQRT($C$11)*NORMSINV($B569)+SQRT(1-W$9^2*$C$11)*NORMSINV(V569))*(W$7-W$5)*(W$6-W$5)),W$7-SQRT((1-NORMSDIST(W$9*SQRT($C$11)*NORMSINV($B569)+SQRT(1-W$9^2*$C$11)*NORMSINV(V569)))*(W$7-W$5)*(W$7-W$6))))</f>
        <v>9.44023461209103</v>
      </c>
      <c r="X569" s="2" t="n">
        <v>0.1442326</v>
      </c>
      <c r="Y569" s="2" t="n">
        <f aca="false">IF(Y$7=Y$5,Y$6,IF(NORMSDIST(Y$9*SQRT($C$11)*NORMSINV($B569)+SQRT(1-Y$9^2*$C$11)*NORMSINV(X569))&lt;Y$8,Y$5+SQRT(NORMSDIST(Y$9*SQRT($C$11)*NORMSINV($B569)+SQRT(1-Y$9^2*$C$11)*NORMSINV(X569))*(Y$7-Y$5)*(Y$6-Y$5)),Y$7-SQRT((1-NORMSDIST(Y$9*SQRT($C$11)*NORMSINV($B569)+SQRT(1-Y$9^2*$C$11)*NORMSINV(X569)))*(Y$7-Y$5)*(Y$7-Y$6))))</f>
        <v>0.268544782112779</v>
      </c>
      <c r="Z569" s="2" t="n">
        <v>0.404683494</v>
      </c>
      <c r="AA569" s="2" t="n">
        <f aca="false">IF(AA$7=AA$5,AA$6,IF(NORMSDIST(AA$9*SQRT($C$11)*NORMSINV($B569)+SQRT(1-AA$9^2*$C$11)*NORMSINV(Z569))&lt;AA$8,AA$5+SQRT(NORMSDIST(AA$9*SQRT($C$11)*NORMSINV($B569)+SQRT(1-AA$9^2*$C$11)*NORMSINV(Z569))*(AA$7-AA$5)*(AA$6-AA$5)),AA$7-SQRT((1-NORMSDIST(AA$9*SQRT($C$11)*NORMSINV($B569)+SQRT(1-AA$9^2*$C$11)*NORMSINV(Z569)))*(AA$7-AA$5)*(AA$7-AA$6))))</f>
        <v>0.732356571023834</v>
      </c>
      <c r="AB569" s="2" t="n">
        <v>0.28466281</v>
      </c>
      <c r="AC569" s="2" t="n">
        <f aca="false">IF(AC$7=AC$5,AC$6,IF(NORMSDIST(AC$9*SQRT($C$11)*NORMSINV($B569)+SQRT(1-AC$9^2*$C$11)*NORMSINV(AB569))&lt;AC$8,AC$5+SQRT(NORMSDIST(AC$9*SQRT($C$11)*NORMSINV($B569)+SQRT(1-AC$9^2*$C$11)*NORMSINV(AB569))*(AC$7-AC$5)*(AC$6-AC$5)),AC$7-SQRT((1-NORMSDIST(AC$9*SQRT($C$11)*NORMSINV($B569)+SQRT(1-AC$9^2*$C$11)*NORMSINV(AB569)))*(AC$7-AC$5)*(AC$7-AC$6))))</f>
        <v>9.56312166267247</v>
      </c>
      <c r="AD569" s="2" t="n">
        <f aca="false">Entrées!$C$8*(1+E569)</f>
        <v>7442.62778678976</v>
      </c>
      <c r="AE569" s="2" t="n">
        <f aca="false">I569*Hypothèses!$J$24/12/Hypothèses!$J$19</f>
        <v>106.323817775905</v>
      </c>
      <c r="AF569" s="2" t="n">
        <f aca="false">Entrées!$C$36*S569*1000</f>
        <v>370.236224555617</v>
      </c>
      <c r="AG569" s="2" t="n">
        <f aca="false">-AF569/W569</f>
        <v>-39.2189643339393</v>
      </c>
      <c r="AH569" s="2" t="n">
        <f aca="false">AD569+AE569+AG569</f>
        <v>7509.73264023172</v>
      </c>
      <c r="AI569" s="2" t="n">
        <f aca="false">Entrées!$C$16-M569+Hypothèses!$J$22*1000-AF569+Hypothèses!$J$23</f>
        <v>22419.1522025044</v>
      </c>
      <c r="AJ569" s="2" t="n">
        <f aca="false">AI569/AH569</f>
        <v>2.98534625352689</v>
      </c>
      <c r="AK569" s="2" t="n">
        <f aca="false">AI569/(AH569+I569*(12-Hypothèses!$J$24)/12/Hypothèses!$J$19)</f>
        <v>2.95545784298063</v>
      </c>
      <c r="AL569" s="2" t="n">
        <f aca="false">(AD569+AG569+I569/Hypothèses!$J$19)*(1+G569)</f>
        <v>8027.22694686378</v>
      </c>
      <c r="AM569" s="2" t="n">
        <f aca="false">Entrées!$C$54*K569/Hypothèses!$J$19</f>
        <v>42.0811639748855</v>
      </c>
      <c r="AN569" s="2" t="n">
        <f aca="false">Y569*1000/AC569</f>
        <v>28.0812888913653</v>
      </c>
      <c r="AO569" s="2" t="n">
        <f aca="false">(Entrées!$C$36*(1-S569)+MAX(0,Entrées!$C$30-Entrées!$C$35-Entrées!$C$36)*U569)*1000</f>
        <v>709.502026585543</v>
      </c>
      <c r="AP569" s="2" t="n">
        <f aca="false">-AO569/W569</f>
        <v>-75.1572451045671</v>
      </c>
      <c r="AQ569" s="2" t="n">
        <f aca="false">AL569+AM569+AN569+AP569</f>
        <v>8022.23215462546</v>
      </c>
      <c r="AR569" s="2" t="n">
        <f aca="false">O569*AQ569-Hypothèses!$J$25/Hypothèses!$J$19</f>
        <v>1322.42348326805</v>
      </c>
      <c r="AS569" s="2" t="n">
        <f aca="false">Entrées!$C$79*(1+Q569)+Hypothèses!$J$20</f>
        <v>1477.82516976123</v>
      </c>
      <c r="AT569" s="2" t="n">
        <f aca="false">AI569-AR569+AS569+Y569*1000-AO569+Hypothèses!$J$23</f>
        <v>22133.5966445248</v>
      </c>
      <c r="AU569" s="2" t="n">
        <f aca="false">AT569/AQ569</f>
        <v>2.75903217681914</v>
      </c>
      <c r="AV569" s="2" t="n">
        <f aca="false">Hypothèses!$J$26*AQ569-AT569</f>
        <v>1933.09981935162</v>
      </c>
      <c r="AW569" s="2" t="n">
        <f aca="false">IF(AC569&gt;Hypothèses!$J$26,MAX(0,AV569)/(1-Hypothèses!$J$26/AC569),0)</f>
        <v>2816.71888907544</v>
      </c>
      <c r="AX569" s="2" t="n">
        <f aca="false">AQ569-Entrées!$C$17*1000</f>
        <v>22.2321546254643</v>
      </c>
      <c r="AY569" s="2" t="n">
        <f aca="false">AI569+(Entrées!$C$244-Entrées!$C$13)</f>
        <v>28166.1522025044</v>
      </c>
      <c r="AZ569" s="2" t="n">
        <f aca="false">AA569*AH569</f>
        <v>5499.80204570587</v>
      </c>
      <c r="BA569" s="2" t="n">
        <f aca="false">AZ569/AY569</f>
        <v>0.195262810701451</v>
      </c>
      <c r="BB569" s="2" t="n">
        <f aca="false">AZ569/(Entrées!$C$151/100)-AY569</f>
        <v>2388.30360697271</v>
      </c>
      <c r="BC569" s="2" t="n">
        <f aca="false">AT569+(Entrées!$C$244-Entrées!$C$13)</f>
        <v>27880.5966445248</v>
      </c>
      <c r="BD569" s="2" t="n">
        <f aca="false">AA569*AQ569</f>
        <v>5875.13443271865</v>
      </c>
      <c r="BE569" s="2" t="n">
        <f aca="false">BD569/BC569</f>
        <v>0.210724845943081</v>
      </c>
      <c r="BF569" s="2" t="n">
        <f aca="false">BD569/(Entrées!$C$151/100)-BC569</f>
        <v>4759.03909280107</v>
      </c>
      <c r="BG569" s="2" t="n">
        <f aca="false">MIN(AV569,BF569)</f>
        <v>1933.09981935162</v>
      </c>
      <c r="BH569" s="2" t="n">
        <f aca="false">IF(AC569&gt;Hypothèses!$J$26,MAX(0,BG569)/(1-Hypothèses!$J$26/AC569),0)</f>
        <v>2816.71888907544</v>
      </c>
    </row>
    <row r="570" customFormat="false" ht="15" hidden="false" customHeight="false" outlineLevel="0" collapsed="false">
      <c r="A570" s="2" t="n">
        <v>555</v>
      </c>
      <c r="B570" s="2" t="n">
        <v>0.323903191</v>
      </c>
      <c r="C570" s="2"/>
      <c r="D570" s="2" t="n">
        <v>0.009110049</v>
      </c>
      <c r="E570" s="2" t="n">
        <f aca="false">IF(E$7=E$5,E$6,IF(NORMSDIST(E$9*SQRT($C$11)*NORMSINV($B570)+SQRT(1-E$9^2*$C$11)*NORMSINV(D570))&lt;E$8,E$5+SQRT(NORMSDIST(E$9*SQRT($C$11)*NORMSINV($B570)+SQRT(1-E$9^2*$C$11)*NORMSINV(D570))*(E$7-E$5)*(E$6-E$5)),E$7-SQRT((1-NORMSDIST(E$9*SQRT($C$11)*NORMSINV($B570)+SQRT(1-E$9^2*$C$11)*NORMSINV(D570)))*(E$7-E$5)*(E$7-E$6))))</f>
        <v>0.0509245258682163</v>
      </c>
      <c r="F570" s="2" t="n">
        <v>0.826648927</v>
      </c>
      <c r="G570" s="2" t="n">
        <f aca="false">IF(G$7=G$5,G$6,IF(NORMSDIST(G$9*SQRT($C$11)*NORMSINV($B570)+SQRT(1-G$9^2*$C$11)*NORMSINV(F570))&lt;G$8,G$5+SQRT(NORMSDIST(G$9*SQRT($C$11)*NORMSINV($B570)+SQRT(1-G$9^2*$C$11)*NORMSINV(F570))*(G$7-G$5)*(G$6-G$5)),G$7-SQRT((1-NORMSDIST(G$9*SQRT($C$11)*NORMSINV($B570)+SQRT(1-G$9^2*$C$11)*NORMSINV(F570)))*(G$7-G$5)*(G$7-G$6))))</f>
        <v>0.0578144325407807</v>
      </c>
      <c r="H570" s="2" t="n">
        <v>0.843480429</v>
      </c>
      <c r="I570" s="2" t="n">
        <f aca="false">IF(I$7=I$5,I$6,IF(NORMSDIST(I$9*SQRT($C$11)*NORMSINV($B570)+SQRT(1-I$9^2*$C$11)*NORMSINV(H570))&lt;I$8,I$5+SQRT(NORMSDIST(I$9*SQRT($C$11)*NORMSINV($B570)+SQRT(1-I$9^2*$C$11)*NORMSINV(H570))*(I$7-I$5)*(I$6-I$5)),I$7-SQRT((1-NORMSDIST(I$9*SQRT($C$11)*NORMSINV($B570)+SQRT(1-I$9^2*$C$11)*NORMSINV(H570)))*(I$7-I$5)*(I$7-I$6))))</f>
        <v>204.222420360022</v>
      </c>
      <c r="J570" s="2" t="n">
        <v>0.827554684</v>
      </c>
      <c r="K570" s="2" t="n">
        <f aca="false">IF(K$7=K$5,K$6,IF(NORMSDIST(K$9*SQRT($C$11)*NORMSINV($B570)+SQRT(1-K$9^2*$C$11)*NORMSINV(J570))&lt;K$8,K$5+SQRT(NORMSDIST(K$9*SQRT($C$11)*NORMSINV($B570)+SQRT(1-K$9^2*$C$11)*NORMSINV(J570))*(K$7-K$5)*(K$6-K$5)),K$7-SQRT((1-NORMSDIST(K$9*SQRT($C$11)*NORMSINV($B570)+SQRT(1-K$9^2*$C$11)*NORMSINV(J570)))*(K$7-K$5)*(K$7-K$6))))</f>
        <v>0.297212916649847</v>
      </c>
      <c r="L570" s="2" t="n">
        <v>0.7990333</v>
      </c>
      <c r="M570" s="2" t="n">
        <f aca="false">IF(M$7=M$5,M$6,IF(NORMSDIST(M$9*SQRT($C$11)*NORMSINV($B570)+SQRT(1-M$9^2*$C$11)*NORMSINV(L570))&lt;M$8,M$5+SQRT(NORMSDIST(M$9*SQRT($C$11)*NORMSINV($B570)+SQRT(1-M$9^2*$C$11)*NORMSINV(L570))*(M$7-M$5)*(M$6-M$5)),M$7-SQRT((1-NORMSDIST(M$9*SQRT($C$11)*NORMSINV($B570)+SQRT(1-M$9^2*$C$11)*NORMSINV(L570)))*(M$7-M$5)*(M$7-M$6))))</f>
        <v>1622.59227267119</v>
      </c>
      <c r="N570" s="2" t="n">
        <v>0.027940683</v>
      </c>
      <c r="O570" s="2" t="n">
        <f aca="false">IF(O$7=O$5,O$6,IF(NORMSDIST(O$9*SQRT($C$11)*NORMSINV($B570)+SQRT(1-O$9^2*$C$11)*NORMSINV(N570))&lt;O$8,O$5+SQRT(NORMSDIST(O$9*SQRT($C$11)*NORMSINV($B570)+SQRT(1-O$9^2*$C$11)*NORMSINV(N570))*(O$7-O$5)*(O$6-O$5)),O$7-SQRT((1-NORMSDIST(O$9*SQRT($C$11)*NORMSINV($B570)+SQRT(1-O$9^2*$C$11)*NORMSINV(N570)))*(O$7-O$5)*(O$7-O$6))))</f>
        <v>0.147419934183497</v>
      </c>
      <c r="P570" s="2" t="n">
        <v>0.85074964</v>
      </c>
      <c r="Q570" s="2" t="n">
        <f aca="false">IF(Q$7=Q$5,Q$6,IF(NORMSDIST(Q$9*SQRT($C$11)*NORMSINV($B570)+SQRT(1-Q$9^2*$C$11)*NORMSINV(P570))&lt;Q$8,Q$5+SQRT(NORMSDIST(Q$9*SQRT($C$11)*NORMSINV($B570)+SQRT(1-Q$9^2*$C$11)*NORMSINV(P570))*(Q$7-Q$5)*(Q$6-Q$5)),Q$7-SQRT((1-NORMSDIST(Q$9*SQRT($C$11)*NORMSINV($B570)+SQRT(1-Q$9^2*$C$11)*NORMSINV(P570)))*(Q$7-Q$5)*(Q$7-Q$6))))</f>
        <v>0.0981459122359226</v>
      </c>
      <c r="R570" s="2" t="n">
        <v>0.226738609</v>
      </c>
      <c r="S570" s="2" t="n">
        <f aca="false">IF(S$7=S$5,S$6,IF(NORMSDIST(S$9*SQRT($C$11)*NORMSINV($B570)+SQRT(1-S$9^2*$C$11)*NORMSINV(R570))&lt;S$8,S$5+SQRT(NORMSDIST(S$9*SQRT($C$11)*NORMSINV($B570)+SQRT(1-S$9^2*$C$11)*NORMSINV(R570))*(S$7-S$5)*(S$6-S$5)),S$7-SQRT((1-NORMSDIST(S$9*SQRT($C$11)*NORMSINV($B570)+SQRT(1-S$9^2*$C$11)*NORMSINV(R570)))*(S$7-S$5)*(S$7-S$6))))</f>
        <v>0.310053624042418</v>
      </c>
      <c r="T570" s="2" t="n">
        <v>0.634213521</v>
      </c>
      <c r="U570" s="2" t="n">
        <f aca="false">IF(U$7=U$5,U$6,IF(NORMSDIST(U$9*SQRT($C$11)*NORMSINV($B570)+SQRT(1-U$9^2*$C$11)*NORMSINV(T570))&lt;U$8,U$5+SQRT(NORMSDIST(U$9*SQRT($C$11)*NORMSINV($B570)+SQRT(1-U$9^2*$C$11)*NORMSINV(T570))*(U$7-U$5)*(U$6-U$5)),U$7-SQRT((1-NORMSDIST(U$9*SQRT($C$11)*NORMSINV($B570)+SQRT(1-U$9^2*$C$11)*NORMSINV(T570)))*(U$7-U$5)*(U$7-U$6))))</f>
        <v>0.49535103528278</v>
      </c>
      <c r="V570" s="2" t="n">
        <v>0.133030184</v>
      </c>
      <c r="W570" s="2" t="n">
        <f aca="false">IF(W$7=W$5,W$6,IF(NORMSDIST(W$9*SQRT($C$11)*NORMSINV($B570)+SQRT(1-W$9^2*$C$11)*NORMSINV(V570))&lt;W$8,W$5+SQRT(NORMSDIST(W$9*SQRT($C$11)*NORMSINV($B570)+SQRT(1-W$9^2*$C$11)*NORMSINV(V570))*(W$7-W$5)*(W$6-W$5)),W$7-SQRT((1-NORMSDIST(W$9*SQRT($C$11)*NORMSINV($B570)+SQRT(1-W$9^2*$C$11)*NORMSINV(V570)))*(W$7-W$5)*(W$7-W$6))))</f>
        <v>8.99995441808107</v>
      </c>
      <c r="X570" s="2" t="n">
        <v>0.367373901</v>
      </c>
      <c r="Y570" s="2" t="n">
        <f aca="false">IF(Y$7=Y$5,Y$6,IF(NORMSDIST(Y$9*SQRT($C$11)*NORMSINV($B570)+SQRT(1-Y$9^2*$C$11)*NORMSINV(X570))&lt;Y$8,Y$5+SQRT(NORMSDIST(Y$9*SQRT($C$11)*NORMSINV($B570)+SQRT(1-Y$9^2*$C$11)*NORMSINV(X570))*(Y$7-Y$5)*(Y$6-Y$5)),Y$7-SQRT((1-NORMSDIST(Y$9*SQRT($C$11)*NORMSINV($B570)+SQRT(1-Y$9^2*$C$11)*NORMSINV(X570)))*(Y$7-Y$5)*(Y$7-Y$6))))</f>
        <v>0.428587156247128</v>
      </c>
      <c r="Z570" s="2" t="n">
        <v>0.888371471</v>
      </c>
      <c r="AA570" s="2" t="n">
        <f aca="false">IF(AA$7=AA$5,AA$6,IF(NORMSDIST(AA$9*SQRT($C$11)*NORMSINV($B570)+SQRT(1-AA$9^2*$C$11)*NORMSINV(Z570))&lt;AA$8,AA$5+SQRT(NORMSDIST(AA$9*SQRT($C$11)*NORMSINV($B570)+SQRT(1-AA$9^2*$C$11)*NORMSINV(Z570))*(AA$7-AA$5)*(AA$6-AA$5)),AA$7-SQRT((1-NORMSDIST(AA$9*SQRT($C$11)*NORMSINV($B570)+SQRT(1-AA$9^2*$C$11)*NORMSINV(Z570)))*(AA$7-AA$5)*(AA$7-AA$6))))</f>
        <v>0.735716063049378</v>
      </c>
      <c r="AB570" s="2" t="n">
        <v>0.068061037</v>
      </c>
      <c r="AC570" s="2" t="n">
        <f aca="false">IF(AC$7=AC$5,AC$6,IF(NORMSDIST(AC$9*SQRT($C$11)*NORMSINV($B570)+SQRT(1-AC$9^2*$C$11)*NORMSINV(AB570))&lt;AC$8,AC$5+SQRT(NORMSDIST(AC$9*SQRT($C$11)*NORMSINV($B570)+SQRT(1-AC$9^2*$C$11)*NORMSINV(AB570))*(AC$7-AC$5)*(AC$6-AC$5)),AC$7-SQRT((1-NORMSDIST(AC$9*SQRT($C$11)*NORMSINV($B570)+SQRT(1-AC$9^2*$C$11)*NORMSINV(AB570)))*(AC$7-AC$5)*(AC$7-AC$6))))</f>
        <v>8.20207641524919</v>
      </c>
      <c r="AD570" s="2" t="n">
        <f aca="false">Entrées!$C$8*(1+E570)</f>
        <v>7409.01790737093</v>
      </c>
      <c r="AE570" s="2" t="n">
        <f aca="false">I570*Hypothèses!$J$24/12/Hypothèses!$J$19</f>
        <v>101.314089101322</v>
      </c>
      <c r="AF570" s="2" t="n">
        <f aca="false">Entrées!$C$36*S570*1000</f>
        <v>155.026812021209</v>
      </c>
      <c r="AG570" s="2" t="n">
        <f aca="false">-AF570/W570</f>
        <v>-17.2252885758796</v>
      </c>
      <c r="AH570" s="2" t="n">
        <f aca="false">AD570+AE570+AG570</f>
        <v>7493.10670789637</v>
      </c>
      <c r="AI570" s="2" t="n">
        <f aca="false">Entrées!$C$16-M570+Hypothèses!$J$22*1000-AF570+Hypothèses!$J$23</f>
        <v>22770.3809153076</v>
      </c>
      <c r="AJ570" s="2" t="n">
        <f aca="false">AI570/AH570</f>
        <v>3.03884380711031</v>
      </c>
      <c r="AK570" s="2" t="n">
        <f aca="false">AI570/(AH570+I570*(12-Hypothèses!$J$24)/12/Hypothèses!$J$19)</f>
        <v>3.00977588092333</v>
      </c>
      <c r="AL570" s="2" t="n">
        <f aca="false">(AD570+AG570+I570/Hypothèses!$J$19)*(1+G570)</f>
        <v>8002.86749566027</v>
      </c>
      <c r="AM570" s="2" t="n">
        <f aca="false">Entrées!$C$54*K570/Hypothèses!$J$19</f>
        <v>30.3318260605117</v>
      </c>
      <c r="AN570" s="2" t="n">
        <f aca="false">Y570*1000/AC570</f>
        <v>52.2534946699965</v>
      </c>
      <c r="AO570" s="2" t="n">
        <f aca="false">(Entrées!$C$36*(1-S570)+MAX(0,Entrées!$C$30-Entrées!$C$35-Entrées!$C$36)*U570)*1000</f>
        <v>1038.46463737468</v>
      </c>
      <c r="AP570" s="2" t="n">
        <f aca="false">-AO570/W570</f>
        <v>-115.385544096578</v>
      </c>
      <c r="AQ570" s="2" t="n">
        <f aca="false">AL570+AM570+AN570+AP570</f>
        <v>7970.0672722942</v>
      </c>
      <c r="AR570" s="2" t="n">
        <f aca="false">O570*AQ570-Hypothèses!$J$25/Hypothèses!$J$19</f>
        <v>1155.81163045803</v>
      </c>
      <c r="AS570" s="2" t="n">
        <f aca="false">Entrées!$C$79*(1+Q570)+Hypothèses!$J$20</f>
        <v>1501.86235754728</v>
      </c>
      <c r="AT570" s="2" t="n">
        <f aca="false">AI570-AR570+AS570+Y570*1000-AO570+Hypothèses!$J$23</f>
        <v>22506.5541612693</v>
      </c>
      <c r="AU570" s="2" t="n">
        <f aca="false">AT570/AQ570</f>
        <v>2.82388509310421</v>
      </c>
      <c r="AV570" s="2" t="n">
        <f aca="false">Hypothèses!$J$26*AQ570-AT570</f>
        <v>1403.64765561331</v>
      </c>
      <c r="AW570" s="2" t="n">
        <f aca="false">IF(AC570&gt;Hypothèses!$J$26,MAX(0,AV570)/(1-Hypothèses!$J$26/AC570),0)</f>
        <v>2213.1211486393</v>
      </c>
      <c r="AX570" s="2" t="n">
        <f aca="false">AQ570-Entrées!$C$17*1000</f>
        <v>-29.9327277057982</v>
      </c>
      <c r="AY570" s="2" t="n">
        <f aca="false">AI570+(Entrées!$C$244-Entrées!$C$13)</f>
        <v>28517.3809153076</v>
      </c>
      <c r="AZ570" s="2" t="n">
        <f aca="false">AA570*AH570</f>
        <v>5512.7989671424</v>
      </c>
      <c r="BA570" s="2" t="n">
        <f aca="false">AZ570/AY570</f>
        <v>0.193313649087011</v>
      </c>
      <c r="BB570" s="2" t="n">
        <f aca="false">AZ570/(Entrées!$C$151/100)-AY570</f>
        <v>2109.28001326128</v>
      </c>
      <c r="BC570" s="2" t="n">
        <f aca="false">AT570+(Entrées!$C$244-Entrées!$C$13)</f>
        <v>28253.5541612693</v>
      </c>
      <c r="BD570" s="2" t="n">
        <f aca="false">AA570*AQ570</f>
        <v>5863.70651581098</v>
      </c>
      <c r="BE570" s="2" t="n">
        <f aca="false">BD570/BC570</f>
        <v>0.20753872176015</v>
      </c>
      <c r="BF570" s="2" t="n">
        <f aca="false">BD570/(Entrées!$C$151/100)-BC570</f>
        <v>4322.59314879173</v>
      </c>
      <c r="BG570" s="2" t="n">
        <f aca="false">MIN(AV570,BF570)</f>
        <v>1403.64765561331</v>
      </c>
      <c r="BH570" s="2" t="n">
        <f aca="false">IF(AC570&gt;Hypothèses!$J$26,MAX(0,BG570)/(1-Hypothèses!$J$26/AC570),0)</f>
        <v>2213.1211486393</v>
      </c>
    </row>
    <row r="571" customFormat="false" ht="15" hidden="false" customHeight="false" outlineLevel="0" collapsed="false">
      <c r="A571" s="2" t="n">
        <v>556</v>
      </c>
      <c r="B571" s="2" t="n">
        <v>0.310056169</v>
      </c>
      <c r="C571" s="2"/>
      <c r="D571" s="2" t="n">
        <v>0.396667144</v>
      </c>
      <c r="E571" s="2" t="n">
        <f aca="false">IF(E$7=E$5,E$6,IF(NORMSDIST(E$9*SQRT($C$11)*NORMSINV($B571)+SQRT(1-E$9^2*$C$11)*NORMSINV(D571))&lt;E$8,E$5+SQRT(NORMSDIST(E$9*SQRT($C$11)*NORMSINV($B571)+SQRT(1-E$9^2*$C$11)*NORMSINV(D571))*(E$7-E$5)*(E$6-E$5)),E$7-SQRT((1-NORMSDIST(E$9*SQRT($C$11)*NORMSINV($B571)+SQRT(1-E$9^2*$C$11)*NORMSINV(D571)))*(E$7-E$5)*(E$7-E$6))))</f>
        <v>0.0538908588586846</v>
      </c>
      <c r="F571" s="2" t="n">
        <v>0.436017981</v>
      </c>
      <c r="G571" s="2" t="n">
        <f aca="false">IF(G$7=G$5,G$6,IF(NORMSDIST(G$9*SQRT($C$11)*NORMSINV($B571)+SQRT(1-G$9^2*$C$11)*NORMSINV(F571))&lt;G$8,G$5+SQRT(NORMSDIST(G$9*SQRT($C$11)*NORMSINV($B571)+SQRT(1-G$9^2*$C$11)*NORMSINV(F571))*(G$7-G$5)*(G$6-G$5)),G$7-SQRT((1-NORMSDIST(G$9*SQRT($C$11)*NORMSINV($B571)+SQRT(1-G$9^2*$C$11)*NORMSINV(F571)))*(G$7-G$5)*(G$7-G$6))))</f>
        <v>0.0521970494631754</v>
      </c>
      <c r="H571" s="2" t="n">
        <v>0.771351714</v>
      </c>
      <c r="I571" s="2" t="n">
        <f aca="false">IF(I$7=I$5,I$6,IF(NORMSDIST(I$9*SQRT($C$11)*NORMSINV($B571)+SQRT(1-I$9^2*$C$11)*NORMSINV(H571))&lt;I$8,I$5+SQRT(NORMSDIST(I$9*SQRT($C$11)*NORMSINV($B571)+SQRT(1-I$9^2*$C$11)*NORMSINV(H571))*(I$7-I$5)*(I$6-I$5)),I$7-SQRT((1-NORMSDIST(I$9*SQRT($C$11)*NORMSINV($B571)+SQRT(1-I$9^2*$C$11)*NORMSINV(H571)))*(I$7-I$5)*(I$7-I$6))))</f>
        <v>202.188528150437</v>
      </c>
      <c r="J571" s="2" t="n">
        <v>0.234440187</v>
      </c>
      <c r="K571" s="2" t="n">
        <f aca="false">IF(K$7=K$5,K$6,IF(NORMSDIST(K$9*SQRT($C$11)*NORMSINV($B571)+SQRT(1-K$9^2*$C$11)*NORMSINV(J571))&lt;K$8,K$5+SQRT(NORMSDIST(K$9*SQRT($C$11)*NORMSINV($B571)+SQRT(1-K$9^2*$C$11)*NORMSINV(J571))*(K$7-K$5)*(K$6-K$5)),K$7-SQRT((1-NORMSDIST(K$9*SQRT($C$11)*NORMSINV($B571)+SQRT(1-K$9^2*$C$11)*NORMSINV(J571)))*(K$7-K$5)*(K$7-K$6))))</f>
        <v>0.154479327593937</v>
      </c>
      <c r="L571" s="2" t="n">
        <v>0.79493692</v>
      </c>
      <c r="M571" s="2" t="n">
        <f aca="false">IF(M$7=M$5,M$6,IF(NORMSDIST(M$9*SQRT($C$11)*NORMSINV($B571)+SQRT(1-M$9^2*$C$11)*NORMSINV(L571))&lt;M$8,M$5+SQRT(NORMSDIST(M$9*SQRT($C$11)*NORMSINV($B571)+SQRT(1-M$9^2*$C$11)*NORMSINV(L571))*(M$7-M$5)*(M$6-M$5)),M$7-SQRT((1-NORMSDIST(M$9*SQRT($C$11)*NORMSINV($B571)+SQRT(1-M$9^2*$C$11)*NORMSINV(L571)))*(M$7-M$5)*(M$7-M$6))))</f>
        <v>1619.21532460368</v>
      </c>
      <c r="N571" s="2" t="n">
        <v>0.807731091</v>
      </c>
      <c r="O571" s="2" t="n">
        <f aca="false">IF(O$7=O$5,O$6,IF(NORMSDIST(O$9*SQRT($C$11)*NORMSINV($B571)+SQRT(1-O$9^2*$C$11)*NORMSINV(N571))&lt;O$8,O$5+SQRT(NORMSDIST(O$9*SQRT($C$11)*NORMSINV($B571)+SQRT(1-O$9^2*$C$11)*NORMSINV(N571))*(O$7-O$5)*(O$6-O$5)),O$7-SQRT((1-NORMSDIST(O$9*SQRT($C$11)*NORMSINV($B571)+SQRT(1-O$9^2*$C$11)*NORMSINV(N571)))*(O$7-O$5)*(O$7-O$6))))</f>
        <v>0.170434021437859</v>
      </c>
      <c r="P571" s="2" t="n">
        <v>0.386047287</v>
      </c>
      <c r="Q571" s="2" t="n">
        <f aca="false">IF(Q$7=Q$5,Q$6,IF(NORMSDIST(Q$9*SQRT($C$11)*NORMSINV($B571)+SQRT(1-Q$9^2*$C$11)*NORMSINV(P571))&lt;Q$8,Q$5+SQRT(NORMSDIST(Q$9*SQRT($C$11)*NORMSINV($B571)+SQRT(1-Q$9^2*$C$11)*NORMSINV(P571))*(Q$7-Q$5)*(Q$6-Q$5)),Q$7-SQRT((1-NORMSDIST(Q$9*SQRT($C$11)*NORMSINV($B571)+SQRT(1-Q$9^2*$C$11)*NORMSINV(P571)))*(Q$7-Q$5)*(Q$7-Q$6))))</f>
        <v>0.0751475649000041</v>
      </c>
      <c r="R571" s="2" t="n">
        <v>0.612249228</v>
      </c>
      <c r="S571" s="2" t="n">
        <f aca="false">IF(S$7=S$5,S$6,IF(NORMSDIST(S$9*SQRT($C$11)*NORMSINV($B571)+SQRT(1-S$9^2*$C$11)*NORMSINV(R571))&lt;S$8,S$5+SQRT(NORMSDIST(S$9*SQRT($C$11)*NORMSINV($B571)+SQRT(1-S$9^2*$C$11)*NORMSINV(R571))*(S$7-S$5)*(S$6-S$5)),S$7-SQRT((1-NORMSDIST(S$9*SQRT($C$11)*NORMSINV($B571)+SQRT(1-S$9^2*$C$11)*NORMSINV(R571)))*(S$7-S$5)*(S$7-S$6))))</f>
        <v>0.48120230511831</v>
      </c>
      <c r="T571" s="2" t="n">
        <v>0.21987767</v>
      </c>
      <c r="U571" s="2" t="n">
        <f aca="false">IF(U$7=U$5,U$6,IF(NORMSDIST(U$9*SQRT($C$11)*NORMSINV($B571)+SQRT(1-U$9^2*$C$11)*NORMSINV(T571))&lt;U$8,U$5+SQRT(NORMSDIST(U$9*SQRT($C$11)*NORMSINV($B571)+SQRT(1-U$9^2*$C$11)*NORMSINV(T571))*(U$7-U$5)*(U$6-U$5)),U$7-SQRT((1-NORMSDIST(U$9*SQRT($C$11)*NORMSINV($B571)+SQRT(1-U$9^2*$C$11)*NORMSINV(T571)))*(U$7-U$5)*(U$7-U$6))))</f>
        <v>0.300744602751444</v>
      </c>
      <c r="V571" s="2" t="n">
        <v>0.873044356</v>
      </c>
      <c r="W571" s="2" t="n">
        <f aca="false">IF(W$7=W$5,W$6,IF(NORMSDIST(W$9*SQRT($C$11)*NORMSINV($B571)+SQRT(1-W$9^2*$C$11)*NORMSINV(V571))&lt;W$8,W$5+SQRT(NORMSDIST(W$9*SQRT($C$11)*NORMSINV($B571)+SQRT(1-W$9^2*$C$11)*NORMSINV(V571))*(W$7-W$5)*(W$6-W$5)),W$7-SQRT((1-NORMSDIST(W$9*SQRT($C$11)*NORMSINV($B571)+SQRT(1-W$9^2*$C$11)*NORMSINV(V571)))*(W$7-W$5)*(W$7-W$6))))</f>
        <v>10.4919971054531</v>
      </c>
      <c r="X571" s="2" t="n">
        <v>0.232625095</v>
      </c>
      <c r="Y571" s="2" t="n">
        <f aca="false">IF(Y$7=Y$5,Y$6,IF(NORMSDIST(Y$9*SQRT($C$11)*NORMSINV($B571)+SQRT(1-Y$9^2*$C$11)*NORMSINV(X571))&lt;Y$8,Y$5+SQRT(NORMSDIST(Y$9*SQRT($C$11)*NORMSINV($B571)+SQRT(1-Y$9^2*$C$11)*NORMSINV(X571))*(Y$7-Y$5)*(Y$6-Y$5)),Y$7-SQRT((1-NORMSDIST(Y$9*SQRT($C$11)*NORMSINV($B571)+SQRT(1-Y$9^2*$C$11)*NORMSINV(X571)))*(Y$7-Y$5)*(Y$7-Y$6))))</f>
        <v>0.341046254194354</v>
      </c>
      <c r="Z571" s="2" t="n">
        <v>0.242087817</v>
      </c>
      <c r="AA571" s="2" t="n">
        <f aca="false">IF(AA$7=AA$5,AA$6,IF(NORMSDIST(AA$9*SQRT($C$11)*NORMSINV($B571)+SQRT(1-AA$9^2*$C$11)*NORMSINV(Z571))&lt;AA$8,AA$5+SQRT(NORMSDIST(AA$9*SQRT($C$11)*NORMSINV($B571)+SQRT(1-AA$9^2*$C$11)*NORMSINV(Z571))*(AA$7-AA$5)*(AA$6-AA$5)),AA$7-SQRT((1-NORMSDIST(AA$9*SQRT($C$11)*NORMSINV($B571)+SQRT(1-AA$9^2*$C$11)*NORMSINV(Z571)))*(AA$7-AA$5)*(AA$7-AA$6))))</f>
        <v>0.71582120565177</v>
      </c>
      <c r="AB571" s="2" t="n">
        <v>0.516183893</v>
      </c>
      <c r="AC571" s="2" t="n">
        <f aca="false">IF(AC$7=AC$5,AC$6,IF(NORMSDIST(AC$9*SQRT($C$11)*NORMSINV($B571)+SQRT(1-AC$9^2*$C$11)*NORMSINV(AB571))&lt;AC$8,AC$5+SQRT(NORMSDIST(AC$9*SQRT($C$11)*NORMSINV($B571)+SQRT(1-AC$9^2*$C$11)*NORMSINV(AB571))*(AC$7-AC$5)*(AC$6-AC$5)),AC$7-SQRT((1-NORMSDIST(AC$9*SQRT($C$11)*NORMSINV($B571)+SQRT(1-AC$9^2*$C$11)*NORMSINV(AB571)))*(AC$7-AC$5)*(AC$7-AC$6))))</f>
        <v>9.23316149354741</v>
      </c>
      <c r="AD571" s="2" t="n">
        <f aca="false">Entrées!$C$8*(1+E571)</f>
        <v>7429.93055495373</v>
      </c>
      <c r="AE571" s="2" t="n">
        <f aca="false">I571*Hypothèses!$J$24/12/Hypothèses!$J$19</f>
        <v>100.305081685873</v>
      </c>
      <c r="AF571" s="2" t="n">
        <f aca="false">Entrées!$C$36*S571*1000</f>
        <v>240.601152559155</v>
      </c>
      <c r="AG571" s="2" t="n">
        <f aca="false">-AF571/W571</f>
        <v>-22.9318737072568</v>
      </c>
      <c r="AH571" s="2" t="n">
        <f aca="false">AD571+AE571+AG571</f>
        <v>7507.30376293234</v>
      </c>
      <c r="AI571" s="2" t="n">
        <f aca="false">Entrées!$C$16-M571+Hypothèses!$J$22*1000-AF571+Hypothèses!$J$23</f>
        <v>22688.1835228372</v>
      </c>
      <c r="AJ571" s="2" t="n">
        <f aca="false">AI571/AH571</f>
        <v>3.02214806264549</v>
      </c>
      <c r="AK571" s="2" t="n">
        <f aca="false">AI571/(AH571+I571*(12-Hypothèses!$J$24)/12/Hypothèses!$J$19)</f>
        <v>2.99357863224973</v>
      </c>
      <c r="AL571" s="2" t="n">
        <f aca="false">(AD571+AG571+I571/Hypothèses!$J$19)*(1+G571)</f>
        <v>7974.54909092123</v>
      </c>
      <c r="AM571" s="2" t="n">
        <f aca="false">Entrées!$C$54*K571/Hypothèses!$J$19</f>
        <v>15.7652639977432</v>
      </c>
      <c r="AN571" s="2" t="n">
        <f aca="false">Y571*1000/AC571</f>
        <v>36.9371048511059</v>
      </c>
      <c r="AO571" s="2" t="n">
        <f aca="false">(Entrées!$C$36*(1-S571)+MAX(0,Entrées!$C$30-Entrées!$C$35-Entrées!$C$36)*U571)*1000</f>
        <v>680.441291292867</v>
      </c>
      <c r="AP571" s="2" t="n">
        <f aca="false">-AO571/W571</f>
        <v>-64.8533624679723</v>
      </c>
      <c r="AQ571" s="2" t="n">
        <f aca="false">AL571+AM571+AN571+AP571</f>
        <v>7962.39809730211</v>
      </c>
      <c r="AR571" s="2" t="n">
        <f aca="false">O571*AQ571-Hypothèses!$J$25/Hypothèses!$J$19</f>
        <v>1337.92836575073</v>
      </c>
      <c r="AS571" s="2" t="n">
        <f aca="false">Entrées!$C$79*(1+Q571)+Hypothèses!$J$20</f>
        <v>1476.5871738251</v>
      </c>
      <c r="AT571" s="2" t="n">
        <f aca="false">AI571-AR571+AS571+Y571*1000-AO571+Hypothèses!$J$23</f>
        <v>22487.447293813</v>
      </c>
      <c r="AU571" s="2" t="n">
        <f aca="false">AT571/AQ571</f>
        <v>2.82420534856608</v>
      </c>
      <c r="AV571" s="2" t="n">
        <f aca="false">Hypothèses!$J$26*AQ571-AT571</f>
        <v>1399.74699809329</v>
      </c>
      <c r="AW571" s="2" t="n">
        <f aca="false">IF(AC571&gt;Hypothèses!$J$26,MAX(0,AV571)/(1-Hypothèses!$J$26/AC571),0)</f>
        <v>2073.44059621793</v>
      </c>
      <c r="AX571" s="2" t="n">
        <f aca="false">AQ571-Entrées!$C$17*1000</f>
        <v>-37.601902697892</v>
      </c>
      <c r="AY571" s="2" t="n">
        <f aca="false">AI571+(Entrées!$C$244-Entrées!$C$13)</f>
        <v>28435.1835228372</v>
      </c>
      <c r="AZ571" s="2" t="n">
        <f aca="false">AA571*AH571</f>
        <v>5373.8872307763</v>
      </c>
      <c r="BA571" s="2" t="n">
        <f aca="false">AZ571/AY571</f>
        <v>0.188987253289938</v>
      </c>
      <c r="BB571" s="2" t="n">
        <f aca="false">AZ571/(Entrées!$C$151/100)-AY571</f>
        <v>1419.74553703118</v>
      </c>
      <c r="BC571" s="2" t="n">
        <f aca="false">AT571+(Entrées!$C$244-Entrées!$C$13)</f>
        <v>28234.447293813</v>
      </c>
      <c r="BD571" s="2" t="n">
        <f aca="false">AA571*AQ571</f>
        <v>5699.65340589016</v>
      </c>
      <c r="BE571" s="2" t="n">
        <f aca="false">BD571/BC571</f>
        <v>0.201868779175256</v>
      </c>
      <c r="BF571" s="2" t="n">
        <f aca="false">BD571/(Entrées!$C$151/100)-BC571</f>
        <v>3430.29385002119</v>
      </c>
      <c r="BG571" s="2" t="n">
        <f aca="false">MIN(AV571,BF571)</f>
        <v>1399.74699809329</v>
      </c>
      <c r="BH571" s="2" t="n">
        <f aca="false">IF(AC571&gt;Hypothèses!$J$26,MAX(0,BG571)/(1-Hypothèses!$J$26/AC571),0)</f>
        <v>2073.44059621793</v>
      </c>
    </row>
    <row r="572" customFormat="false" ht="15" hidden="false" customHeight="false" outlineLevel="0" collapsed="false">
      <c r="A572" s="2" t="n">
        <v>557</v>
      </c>
      <c r="B572" s="2" t="n">
        <v>0.55494855</v>
      </c>
      <c r="C572" s="2"/>
      <c r="D572" s="2" t="n">
        <v>0.329957225</v>
      </c>
      <c r="E572" s="2" t="n">
        <f aca="false">IF(E$7=E$5,E$6,IF(NORMSDIST(E$9*SQRT($C$11)*NORMSINV($B572)+SQRT(1-E$9^2*$C$11)*NORMSINV(D572))&lt;E$8,E$5+SQRT(NORMSDIST(E$9*SQRT($C$11)*NORMSINV($B572)+SQRT(1-E$9^2*$C$11)*NORMSINV(D572))*(E$7-E$5)*(E$6-E$5)),E$7-SQRT((1-NORMSDIST(E$9*SQRT($C$11)*NORMSINV($B572)+SQRT(1-E$9^2*$C$11)*NORMSINV(D572)))*(E$7-E$5)*(E$7-E$6))))</f>
        <v>0.0544718967626312</v>
      </c>
      <c r="F572" s="2" t="n">
        <v>0.925614672</v>
      </c>
      <c r="G572" s="2" t="n">
        <f aca="false">IF(G$7=G$5,G$6,IF(NORMSDIST(G$9*SQRT($C$11)*NORMSINV($B572)+SQRT(1-G$9^2*$C$11)*NORMSINV(F572))&lt;G$8,G$5+SQRT(NORMSDIST(G$9*SQRT($C$11)*NORMSINV($B572)+SQRT(1-G$9^2*$C$11)*NORMSINV(F572))*(G$7-G$5)*(G$6-G$5)),G$7-SQRT((1-NORMSDIST(G$9*SQRT($C$11)*NORMSINV($B572)+SQRT(1-G$9^2*$C$11)*NORMSINV(F572)))*(G$7-G$5)*(G$7-G$6))))</f>
        <v>0.0628393704039896</v>
      </c>
      <c r="H572" s="2" t="n">
        <v>0.551709603</v>
      </c>
      <c r="I572" s="2" t="n">
        <f aca="false">IF(I$7=I$5,I$6,IF(NORMSDIST(I$9*SQRT($C$11)*NORMSINV($B572)+SQRT(1-I$9^2*$C$11)*NORMSINV(H572))&lt;I$8,I$5+SQRT(NORMSDIST(I$9*SQRT($C$11)*NORMSINV($B572)+SQRT(1-I$9^2*$C$11)*NORMSINV(H572))*(I$7-I$5)*(I$6-I$5)),I$7-SQRT((1-NORMSDIST(I$9*SQRT($C$11)*NORMSINV($B572)+SQRT(1-I$9^2*$C$11)*NORMSINV(H572)))*(I$7-I$5)*(I$7-I$6))))</f>
        <v>201.552020318357</v>
      </c>
      <c r="J572" s="2" t="n">
        <v>0.372442257</v>
      </c>
      <c r="K572" s="2" t="n">
        <f aca="false">IF(K$7=K$5,K$6,IF(NORMSDIST(K$9*SQRT($C$11)*NORMSINV($B572)+SQRT(1-K$9^2*$C$11)*NORMSINV(J572))&lt;K$8,K$5+SQRT(NORMSDIST(K$9*SQRT($C$11)*NORMSINV($B572)+SQRT(1-K$9^2*$C$11)*NORMSINV(J572))*(K$7-K$5)*(K$6-K$5)),K$7-SQRT((1-NORMSDIST(K$9*SQRT($C$11)*NORMSINV($B572)+SQRT(1-K$9^2*$C$11)*NORMSINV(J572)))*(K$7-K$5)*(K$7-K$6))))</f>
        <v>0.233078950180918</v>
      </c>
      <c r="L572" s="2" t="n">
        <v>0.168600714</v>
      </c>
      <c r="M572" s="2" t="n">
        <f aca="false">IF(M$7=M$5,M$6,IF(NORMSDIST(M$9*SQRT($C$11)*NORMSINV($B572)+SQRT(1-M$9^2*$C$11)*NORMSINV(L572))&lt;M$8,M$5+SQRT(NORMSDIST(M$9*SQRT($C$11)*NORMSINV($B572)+SQRT(1-M$9^2*$C$11)*NORMSINV(L572))*(M$7-M$5)*(M$6-M$5)),M$7-SQRT((1-NORMSDIST(M$9*SQRT($C$11)*NORMSINV($B572)+SQRT(1-M$9^2*$C$11)*NORMSINV(L572)))*(M$7-M$5)*(M$7-M$6))))</f>
        <v>1505.05633840209</v>
      </c>
      <c r="N572" s="2" t="n">
        <v>0.340277797</v>
      </c>
      <c r="O572" s="2" t="n">
        <f aca="false">IF(O$7=O$5,O$6,IF(NORMSDIST(O$9*SQRT($C$11)*NORMSINV($B572)+SQRT(1-O$9^2*$C$11)*NORMSINV(N572))&lt;O$8,O$5+SQRT(NORMSDIST(O$9*SQRT($C$11)*NORMSINV($B572)+SQRT(1-O$9^2*$C$11)*NORMSINV(N572))*(O$7-O$5)*(O$6-O$5)),O$7-SQRT((1-NORMSDIST(O$9*SQRT($C$11)*NORMSINV($B572)+SQRT(1-O$9^2*$C$11)*NORMSINV(N572)))*(O$7-O$5)*(O$7-O$6))))</f>
        <v>0.164208701939751</v>
      </c>
      <c r="P572" s="2" t="n">
        <v>0.884074951</v>
      </c>
      <c r="Q572" s="2" t="n">
        <f aca="false">IF(Q$7=Q$5,Q$6,IF(NORMSDIST(Q$9*SQRT($C$11)*NORMSINV($B572)+SQRT(1-Q$9^2*$C$11)*NORMSINV(P572))&lt;Q$8,Q$5+SQRT(NORMSDIST(Q$9*SQRT($C$11)*NORMSINV($B572)+SQRT(1-Q$9^2*$C$11)*NORMSINV(P572))*(Q$7-Q$5)*(Q$6-Q$5)),Q$7-SQRT((1-NORMSDIST(Q$9*SQRT($C$11)*NORMSINV($B572)+SQRT(1-Q$9^2*$C$11)*NORMSINV(P572)))*(Q$7-Q$5)*(Q$7-Q$6))))</f>
        <v>0.10073967402145</v>
      </c>
      <c r="R572" s="2" t="n">
        <v>0.730953576</v>
      </c>
      <c r="S572" s="2" t="n">
        <f aca="false">IF(S$7=S$5,S$6,IF(NORMSDIST(S$9*SQRT($C$11)*NORMSINV($B572)+SQRT(1-S$9^2*$C$11)*NORMSINV(R572))&lt;S$8,S$5+SQRT(NORMSDIST(S$9*SQRT($C$11)*NORMSINV($B572)+SQRT(1-S$9^2*$C$11)*NORMSINV(R572))*(S$7-S$5)*(S$6-S$5)),S$7-SQRT((1-NORMSDIST(S$9*SQRT($C$11)*NORMSINV($B572)+SQRT(1-S$9^2*$C$11)*NORMSINV(R572)))*(S$7-S$5)*(S$7-S$6))))</f>
        <v>0.621666572339652</v>
      </c>
      <c r="T572" s="2" t="n">
        <v>0.37177079</v>
      </c>
      <c r="U572" s="2" t="n">
        <f aca="false">IF(U$7=U$5,U$6,IF(NORMSDIST(U$9*SQRT($C$11)*NORMSINV($B572)+SQRT(1-U$9^2*$C$11)*NORMSINV(T572))&lt;U$8,U$5+SQRT(NORMSDIST(U$9*SQRT($C$11)*NORMSINV($B572)+SQRT(1-U$9^2*$C$11)*NORMSINV(T572))*(U$7-U$5)*(U$6-U$5)),U$7-SQRT((1-NORMSDIST(U$9*SQRT($C$11)*NORMSINV($B572)+SQRT(1-U$9^2*$C$11)*NORMSINV(T572)))*(U$7-U$5)*(U$7-U$6))))</f>
        <v>0.465867616441086</v>
      </c>
      <c r="V572" s="2" t="n">
        <v>0.491926242</v>
      </c>
      <c r="W572" s="2" t="n">
        <f aca="false">IF(W$7=W$5,W$6,IF(NORMSDIST(W$9*SQRT($C$11)*NORMSINV($B572)+SQRT(1-W$9^2*$C$11)*NORMSINV(V572))&lt;W$8,W$5+SQRT(NORMSDIST(W$9*SQRT($C$11)*NORMSINV($B572)+SQRT(1-W$9^2*$C$11)*NORMSINV(V572))*(W$7-W$5)*(W$6-W$5)),W$7-SQRT((1-NORMSDIST(W$9*SQRT($C$11)*NORMSINV($B572)+SQRT(1-W$9^2*$C$11)*NORMSINV(V572)))*(W$7-W$5)*(W$7-W$6))))</f>
        <v>10.0580098820884</v>
      </c>
      <c r="X572" s="2" t="n">
        <v>0.370283796</v>
      </c>
      <c r="Y572" s="2" t="n">
        <f aca="false">IF(Y$7=Y$5,Y$6,IF(NORMSDIST(Y$9*SQRT($C$11)*NORMSINV($B572)+SQRT(1-Y$9^2*$C$11)*NORMSINV(X572))&lt;Y$8,Y$5+SQRT(NORMSDIST(Y$9*SQRT($C$11)*NORMSINV($B572)+SQRT(1-Y$9^2*$C$11)*NORMSINV(X572))*(Y$7-Y$5)*(Y$6-Y$5)),Y$7-SQRT((1-NORMSDIST(Y$9*SQRT($C$11)*NORMSINV($B572)+SQRT(1-Y$9^2*$C$11)*NORMSINV(X572)))*(Y$7-Y$5)*(Y$7-Y$6))))</f>
        <v>0.43028118480826</v>
      </c>
      <c r="Z572" s="2" t="n">
        <v>0.213335682</v>
      </c>
      <c r="AA572" s="2" t="n">
        <f aca="false">IF(AA$7=AA$5,AA$6,IF(NORMSDIST(AA$9*SQRT($C$11)*NORMSINV($B572)+SQRT(1-AA$9^2*$C$11)*NORMSINV(Z572))&lt;AA$8,AA$5+SQRT(NORMSDIST(AA$9*SQRT($C$11)*NORMSINV($B572)+SQRT(1-AA$9^2*$C$11)*NORMSINV(Z572))*(AA$7-AA$5)*(AA$6-AA$5)),AA$7-SQRT((1-NORMSDIST(AA$9*SQRT($C$11)*NORMSINV($B572)+SQRT(1-AA$9^2*$C$11)*NORMSINV(Z572)))*(AA$7-AA$5)*(AA$7-AA$6))))</f>
        <v>0.720615561144996</v>
      </c>
      <c r="AB572" s="2" t="n">
        <v>0.733463992</v>
      </c>
      <c r="AC572" s="2" t="n">
        <f aca="false">IF(AC$7=AC$5,AC$6,IF(NORMSDIST(AC$9*SQRT($C$11)*NORMSINV($B572)+SQRT(1-AC$9^2*$C$11)*NORMSINV(AB572))&lt;AC$8,AC$5+SQRT(NORMSDIST(AC$9*SQRT($C$11)*NORMSINV($B572)+SQRT(1-AC$9^2*$C$11)*NORMSINV(AB572))*(AC$7-AC$5)*(AC$6-AC$5)),AC$7-SQRT((1-NORMSDIST(AC$9*SQRT($C$11)*NORMSINV($B572)+SQRT(1-AC$9^2*$C$11)*NORMSINV(AB572)))*(AC$7-AC$5)*(AC$7-AC$6))))</f>
        <v>9.89183413871843</v>
      </c>
      <c r="AD572" s="2" t="n">
        <f aca="false">Entrées!$C$8*(1+E572)</f>
        <v>7434.02687217655</v>
      </c>
      <c r="AE572" s="2" t="n">
        <f aca="false">I572*Hypothèses!$J$24/12/Hypothèses!$J$19</f>
        <v>99.9893121876002</v>
      </c>
      <c r="AF572" s="2" t="n">
        <f aca="false">Entrées!$C$36*S572*1000</f>
        <v>310.833286169826</v>
      </c>
      <c r="AG572" s="2" t="n">
        <f aca="false">-AF572/W572</f>
        <v>-30.9040545608698</v>
      </c>
      <c r="AH572" s="2" t="n">
        <f aca="false">AD572+AE572+AG572</f>
        <v>7503.11212980328</v>
      </c>
      <c r="AI572" s="2" t="n">
        <f aca="false">Entrées!$C$16-M572+Hypothèses!$J$22*1000-AF572+Hypothèses!$J$23</f>
        <v>22732.1103754281</v>
      </c>
      <c r="AJ572" s="2" t="n">
        <f aca="false">AI572/AH572</f>
        <v>3.02969087788697</v>
      </c>
      <c r="AK572" s="2" t="n">
        <f aca="false">AI572/(AH572+I572*(12-Hypothèses!$J$24)/12/Hypothèses!$J$19)</f>
        <v>3.00112365661517</v>
      </c>
      <c r="AL572" s="2" t="n">
        <f aca="false">(AD572+AG572+I572/Hypothèses!$J$19)*(1+G572)</f>
        <v>8050.51195611965</v>
      </c>
      <c r="AM572" s="2" t="n">
        <f aca="false">Entrées!$C$54*K572/Hypothèses!$J$19</f>
        <v>23.7866855012336</v>
      </c>
      <c r="AN572" s="2" t="n">
        <f aca="false">Y572*1000/AC572</f>
        <v>43.4986251057386</v>
      </c>
      <c r="AO572" s="2" t="n">
        <f aca="false">(Entrées!$C$36*(1-S572)+MAX(0,Entrées!$C$30-Entrées!$C$35-Entrées!$C$36)*U572)*1000</f>
        <v>841.381376847695</v>
      </c>
      <c r="AP572" s="2" t="n">
        <f aca="false">-AO572/W572</f>
        <v>-83.6528683816522</v>
      </c>
      <c r="AQ572" s="2" t="n">
        <f aca="false">AL572+AM572+AN572+AP572</f>
        <v>8034.14439834497</v>
      </c>
      <c r="AR572" s="2" t="n">
        <f aca="false">O572*AQ572-Hypothèses!$J$25/Hypothèses!$J$19</f>
        <v>1300.14126058712</v>
      </c>
      <c r="AS572" s="2" t="n">
        <f aca="false">Entrées!$C$79*(1+Q572)+Hypothèses!$J$20</f>
        <v>1504.71290174957</v>
      </c>
      <c r="AT572" s="2" t="n">
        <f aca="false">AI572-AR572+AS572+Y572*1000-AO572+Hypothèses!$J$23</f>
        <v>22525.5818245511</v>
      </c>
      <c r="AU572" s="2" t="n">
        <f aca="false">AT572/AQ572</f>
        <v>2.80373126343004</v>
      </c>
      <c r="AV572" s="2" t="n">
        <f aca="false">Hypothèses!$J$26*AQ572-AT572</f>
        <v>1576.85137048382</v>
      </c>
      <c r="AW572" s="2" t="n">
        <f aca="false">IF(AC572&gt;Hypothèses!$J$26,MAX(0,AV572)/(1-Hypothèses!$J$26/AC572),0)</f>
        <v>2263.2512484024</v>
      </c>
      <c r="AX572" s="2" t="n">
        <f aca="false">AQ572-Entrées!$C$17*1000</f>
        <v>34.1443983449735</v>
      </c>
      <c r="AY572" s="2" t="n">
        <f aca="false">AI572+(Entrées!$C$244-Entrées!$C$13)</f>
        <v>28479.1103754281</v>
      </c>
      <c r="AZ572" s="2" t="n">
        <f aca="false">AA572*AH572</f>
        <v>5406.85935775202</v>
      </c>
      <c r="BA572" s="2" t="n">
        <f aca="false">AZ572/AY572</f>
        <v>0.189853520228535</v>
      </c>
      <c r="BB572" s="2" t="n">
        <f aca="false">AZ572/(Entrées!$C$151/100)-AY572</f>
        <v>1558.99716763867</v>
      </c>
      <c r="BC572" s="2" t="n">
        <f aca="false">AT572+(Entrées!$C$244-Entrées!$C$13)</f>
        <v>28272.5818245511</v>
      </c>
      <c r="BD572" s="2" t="n">
        <f aca="false">AA572*AQ572</f>
        <v>5789.52947393329</v>
      </c>
      <c r="BE572" s="2" t="n">
        <f aca="false">BD572/BC572</f>
        <v>0.204775407844282</v>
      </c>
      <c r="BF572" s="2" t="n">
        <f aca="false">BD572/(Entrées!$C$151/100)-BC572</f>
        <v>3891.4708084116</v>
      </c>
      <c r="BG572" s="2" t="n">
        <f aca="false">MIN(AV572,BF572)</f>
        <v>1576.85137048382</v>
      </c>
      <c r="BH572" s="2" t="n">
        <f aca="false">IF(AC572&gt;Hypothèses!$J$26,MAX(0,BG572)/(1-Hypothèses!$J$26/AC572),0)</f>
        <v>2263.2512484024</v>
      </c>
    </row>
    <row r="573" customFormat="false" ht="15" hidden="false" customHeight="false" outlineLevel="0" collapsed="false">
      <c r="A573" s="2" t="n">
        <v>558</v>
      </c>
      <c r="B573" s="2" t="n">
        <v>0.903393508</v>
      </c>
      <c r="C573" s="2"/>
      <c r="D573" s="2" t="n">
        <v>0.781310284</v>
      </c>
      <c r="E573" s="2" t="n">
        <f aca="false">IF(E$7=E$5,E$6,IF(NORMSDIST(E$9*SQRT($C$11)*NORMSINV($B573)+SQRT(1-E$9^2*$C$11)*NORMSINV(D573))&lt;E$8,E$5+SQRT(NORMSDIST(E$9*SQRT($C$11)*NORMSINV($B573)+SQRT(1-E$9^2*$C$11)*NORMSINV(D573))*(E$7-E$5)*(E$6-E$5)),E$7-SQRT((1-NORMSDIST(E$9*SQRT($C$11)*NORMSINV($B573)+SQRT(1-E$9^2*$C$11)*NORMSINV(D573)))*(E$7-E$5)*(E$7-E$6))))</f>
        <v>0.0580359010204937</v>
      </c>
      <c r="F573" s="2" t="n">
        <v>0.673253391</v>
      </c>
      <c r="G573" s="2" t="n">
        <f aca="false">IF(G$7=G$5,G$6,IF(NORMSDIST(G$9*SQRT($C$11)*NORMSINV($B573)+SQRT(1-G$9^2*$C$11)*NORMSINV(F573))&lt;G$8,G$5+SQRT(NORMSDIST(G$9*SQRT($C$11)*NORMSINV($B573)+SQRT(1-G$9^2*$C$11)*NORMSINV(F573))*(G$7-G$5)*(G$6-G$5)),G$7-SQRT((1-NORMSDIST(G$9*SQRT($C$11)*NORMSINV($B573)+SQRT(1-G$9^2*$C$11)*NORMSINV(F573)))*(G$7-G$5)*(G$7-G$6))))</f>
        <v>0.0626248654778945</v>
      </c>
      <c r="H573" s="2" t="n">
        <v>0.847247733</v>
      </c>
      <c r="I573" s="2" t="n">
        <f aca="false">IF(I$7=I$5,I$6,IF(NORMSDIST(I$9*SQRT($C$11)*NORMSINV($B573)+SQRT(1-I$9^2*$C$11)*NORMSINV(H573))&lt;I$8,I$5+SQRT(NORMSDIST(I$9*SQRT($C$11)*NORMSINV($B573)+SQRT(1-I$9^2*$C$11)*NORMSINV(H573))*(I$7-I$5)*(I$6-I$5)),I$7-SQRT((1-NORMSDIST(I$9*SQRT($C$11)*NORMSINV($B573)+SQRT(1-I$9^2*$C$11)*NORMSINV(H573)))*(I$7-I$5)*(I$7-I$6))))</f>
        <v>213.489811387844</v>
      </c>
      <c r="J573" s="2" t="n">
        <v>0.283610789</v>
      </c>
      <c r="K573" s="2" t="n">
        <f aca="false">IF(K$7=K$5,K$6,IF(NORMSDIST(K$9*SQRT($C$11)*NORMSINV($B573)+SQRT(1-K$9^2*$C$11)*NORMSINV(J573))&lt;K$8,K$5+SQRT(NORMSDIST(K$9*SQRT($C$11)*NORMSINV($B573)+SQRT(1-K$9^2*$C$11)*NORMSINV(J573))*(K$7-K$5)*(K$6-K$5)),K$7-SQRT((1-NORMSDIST(K$9*SQRT($C$11)*NORMSINV($B573)+SQRT(1-K$9^2*$C$11)*NORMSINV(J573)))*(K$7-K$5)*(K$7-K$6))))</f>
        <v>0.290215904028339</v>
      </c>
      <c r="L573" s="2" t="n">
        <v>0.179705288</v>
      </c>
      <c r="M573" s="2" t="n">
        <f aca="false">IF(M$7=M$5,M$6,IF(NORMSDIST(M$9*SQRT($C$11)*NORMSINV($B573)+SQRT(1-M$9^2*$C$11)*NORMSINV(L573))&lt;M$8,M$5+SQRT(NORMSDIST(M$9*SQRT($C$11)*NORMSINV($B573)+SQRT(1-M$9^2*$C$11)*NORMSINV(L573))*(M$7-M$5)*(M$6-M$5)),M$7-SQRT((1-NORMSDIST(M$9*SQRT($C$11)*NORMSINV($B573)+SQRT(1-M$9^2*$C$11)*NORMSINV(L573)))*(M$7-M$5)*(M$7-M$6))))</f>
        <v>1597.77018913049</v>
      </c>
      <c r="N573" s="2" t="n">
        <v>0.604969073</v>
      </c>
      <c r="O573" s="2" t="n">
        <f aca="false">IF(O$7=O$5,O$6,IF(NORMSDIST(O$9*SQRT($C$11)*NORMSINV($B573)+SQRT(1-O$9^2*$C$11)*NORMSINV(N573))&lt;O$8,O$5+SQRT(NORMSDIST(O$9*SQRT($C$11)*NORMSINV($B573)+SQRT(1-O$9^2*$C$11)*NORMSINV(N573))*(O$7-O$5)*(O$6-O$5)),O$7-SQRT((1-NORMSDIST(O$9*SQRT($C$11)*NORMSINV($B573)+SQRT(1-O$9^2*$C$11)*NORMSINV(N573)))*(O$7-O$5)*(O$7-O$6))))</f>
        <v>0.177287878448064</v>
      </c>
      <c r="P573" s="2" t="n">
        <v>0.007082906</v>
      </c>
      <c r="Q573" s="2" t="n">
        <f aca="false">IF(Q$7=Q$5,Q$6,IF(NORMSDIST(Q$9*SQRT($C$11)*NORMSINV($B573)+SQRT(1-Q$9^2*$C$11)*NORMSINV(P573))&lt;Q$8,Q$5+SQRT(NORMSDIST(Q$9*SQRT($C$11)*NORMSINV($B573)+SQRT(1-Q$9^2*$C$11)*NORMSINV(P573))*(Q$7-Q$5)*(Q$6-Q$5)),Q$7-SQRT((1-NORMSDIST(Q$9*SQRT($C$11)*NORMSINV($B573)+SQRT(1-Q$9^2*$C$11)*NORMSINV(P573)))*(Q$7-Q$5)*(Q$7-Q$6))))</f>
        <v>0.0447608086708037</v>
      </c>
      <c r="R573" s="2" t="n">
        <v>0.946923231</v>
      </c>
      <c r="S573" s="2" t="n">
        <f aca="false">IF(S$7=S$5,S$6,IF(NORMSDIST(S$9*SQRT($C$11)*NORMSINV($B573)+SQRT(1-S$9^2*$C$11)*NORMSINV(R573))&lt;S$8,S$5+SQRT(NORMSDIST(S$9*SQRT($C$11)*NORMSINV($B573)+SQRT(1-S$9^2*$C$11)*NORMSINV(R573))*(S$7-S$5)*(S$6-S$5)),S$7-SQRT((1-NORMSDIST(S$9*SQRT($C$11)*NORMSINV($B573)+SQRT(1-S$9^2*$C$11)*NORMSINV(R573)))*(S$7-S$5)*(S$7-S$6))))</f>
        <v>0.902483303158582</v>
      </c>
      <c r="T573" s="2" t="n">
        <v>0.521933539</v>
      </c>
      <c r="U573" s="2" t="n">
        <f aca="false">IF(U$7=U$5,U$6,IF(NORMSDIST(U$9*SQRT($C$11)*NORMSINV($B573)+SQRT(1-U$9^2*$C$11)*NORMSINV(T573))&lt;U$8,U$5+SQRT(NORMSDIST(U$9*SQRT($C$11)*NORMSINV($B573)+SQRT(1-U$9^2*$C$11)*NORMSINV(T573))*(U$7-U$5)*(U$6-U$5)),U$7-SQRT((1-NORMSDIST(U$9*SQRT($C$11)*NORMSINV($B573)+SQRT(1-U$9^2*$C$11)*NORMSINV(T573)))*(U$7-U$5)*(U$7-U$6))))</f>
        <v>0.689051789958099</v>
      </c>
      <c r="V573" s="2" t="n">
        <v>0.313817523</v>
      </c>
      <c r="W573" s="2" t="n">
        <f aca="false">IF(W$7=W$5,W$6,IF(NORMSDIST(W$9*SQRT($C$11)*NORMSINV($B573)+SQRT(1-W$9^2*$C$11)*NORMSINV(V573))&lt;W$8,W$5+SQRT(NORMSDIST(W$9*SQRT($C$11)*NORMSINV($B573)+SQRT(1-W$9^2*$C$11)*NORMSINV(V573))*(W$7-W$5)*(W$6-W$5)),W$7-SQRT((1-NORMSDIST(W$9*SQRT($C$11)*NORMSINV($B573)+SQRT(1-W$9^2*$C$11)*NORMSINV(V573)))*(W$7-W$5)*(W$7-W$6))))</f>
        <v>10.3816773161329</v>
      </c>
      <c r="X573" s="2" t="n">
        <v>0.022429494</v>
      </c>
      <c r="Y573" s="2" t="n">
        <f aca="false">IF(Y$7=Y$5,Y$6,IF(NORMSDIST(Y$9*SQRT($C$11)*NORMSINV($B573)+SQRT(1-Y$9^2*$C$11)*NORMSINV(X573))&lt;Y$8,Y$5+SQRT(NORMSDIST(Y$9*SQRT($C$11)*NORMSINV($B573)+SQRT(1-Y$9^2*$C$11)*NORMSINV(X573))*(Y$7-Y$5)*(Y$6-Y$5)),Y$7-SQRT((1-NORMSDIST(Y$9*SQRT($C$11)*NORMSINV($B573)+SQRT(1-Y$9^2*$C$11)*NORMSINV(X573)))*(Y$7-Y$5)*(Y$7-Y$6))))</f>
        <v>0.105899702549157</v>
      </c>
      <c r="Z573" s="2" t="n">
        <v>0.434948888</v>
      </c>
      <c r="AA573" s="2" t="n">
        <f aca="false">IF(AA$7=AA$5,AA$6,IF(NORMSDIST(AA$9*SQRT($C$11)*NORMSINV($B573)+SQRT(1-AA$9^2*$C$11)*NORMSINV(Z573))&lt;AA$8,AA$5+SQRT(NORMSDIST(AA$9*SQRT($C$11)*NORMSINV($B573)+SQRT(1-AA$9^2*$C$11)*NORMSINV(Z573))*(AA$7-AA$5)*(AA$6-AA$5)),AA$7-SQRT((1-NORMSDIST(AA$9*SQRT($C$11)*NORMSINV($B573)+SQRT(1-AA$9^2*$C$11)*NORMSINV(Z573)))*(AA$7-AA$5)*(AA$7-AA$6))))</f>
        <v>0.73618958169825</v>
      </c>
      <c r="AB573" s="2" t="n">
        <v>0.317317286</v>
      </c>
      <c r="AC573" s="2" t="n">
        <f aca="false">IF(AC$7=AC$5,AC$6,IF(NORMSDIST(AC$9*SQRT($C$11)*NORMSINV($B573)+SQRT(1-AC$9^2*$C$11)*NORMSINV(AB573))&lt;AC$8,AC$5+SQRT(NORMSDIST(AC$9*SQRT($C$11)*NORMSINV($B573)+SQRT(1-AC$9^2*$C$11)*NORMSINV(AB573))*(AC$7-AC$5)*(AC$6-AC$5)),AC$7-SQRT((1-NORMSDIST(AC$9*SQRT($C$11)*NORMSINV($B573)+SQRT(1-AC$9^2*$C$11)*NORMSINV(AB573)))*(AC$7-AC$5)*(AC$7-AC$6))))</f>
        <v>9.81578219629486</v>
      </c>
      <c r="AD573" s="2" t="n">
        <f aca="false">Entrées!$C$8*(1+E573)</f>
        <v>7459.15310219448</v>
      </c>
      <c r="AE573" s="2" t="n">
        <f aca="false">I573*Hypothèses!$J$24/12/Hypothèses!$J$19</f>
        <v>105.911612128786</v>
      </c>
      <c r="AF573" s="2" t="n">
        <f aca="false">Entrées!$C$36*S573*1000</f>
        <v>451.241651579291</v>
      </c>
      <c r="AG573" s="2" t="n">
        <f aca="false">-AF573/W573</f>
        <v>-43.4651971775381</v>
      </c>
      <c r="AH573" s="2" t="n">
        <f aca="false">AD573+AE573+AG573</f>
        <v>7521.59951714573</v>
      </c>
      <c r="AI573" s="2" t="n">
        <f aca="false">Entrées!$C$16-M573+Hypothèses!$J$22*1000-AF573+Hypothèses!$J$23</f>
        <v>22498.9881592902</v>
      </c>
      <c r="AJ573" s="2" t="n">
        <f aca="false">AI573/AH573</f>
        <v>2.99125047910395</v>
      </c>
      <c r="AK573" s="2" t="n">
        <f aca="false">AI573/(AH573+I573*(12-Hypothèses!$J$24)/12/Hypothèses!$J$19)</f>
        <v>2.96146450084685</v>
      </c>
      <c r="AL573" s="2" t="n">
        <f aca="false">(AD573+AG573+I573/Hypothèses!$J$19)*(1+G573)</f>
        <v>8073.02746979336</v>
      </c>
      <c r="AM573" s="2" t="n">
        <f aca="false">Entrées!$C$54*K573/Hypothèses!$J$19</f>
        <v>29.6177515439293</v>
      </c>
      <c r="AN573" s="2" t="n">
        <f aca="false">Y573*1000/AC573</f>
        <v>10.7887176417923</v>
      </c>
      <c r="AO573" s="2" t="n">
        <f aca="false">(Entrées!$C$36*(1-S573)+MAX(0,Entrées!$C$30-Entrées!$C$35-Entrées!$C$36)*U573)*1000</f>
        <v>1013.43085436205</v>
      </c>
      <c r="AP573" s="2" t="n">
        <f aca="false">-AO573/W573</f>
        <v>-97.6172562007103</v>
      </c>
      <c r="AQ573" s="2" t="n">
        <f aca="false">AL573+AM573+AN573+AP573</f>
        <v>8015.81668277837</v>
      </c>
      <c r="AR573" s="2" t="n">
        <f aca="false">O573*AQ573-Hypothèses!$J$25/Hypothèses!$J$19</f>
        <v>1401.97197145675</v>
      </c>
      <c r="AS573" s="2" t="n">
        <f aca="false">Entrées!$C$79*(1+Q573)+Hypothèses!$J$20</f>
        <v>1443.19212872921</v>
      </c>
      <c r="AT573" s="2" t="n">
        <f aca="false">AI573-AR573+AS573+Y573*1000-AO573+Hypothèses!$J$23</f>
        <v>21632.6771647498</v>
      </c>
      <c r="AU573" s="2" t="n">
        <f aca="false">AT573/AQ573</f>
        <v>2.69874898851251</v>
      </c>
      <c r="AV573" s="2" t="n">
        <f aca="false">Hypothèses!$J$26*AQ573-AT573</f>
        <v>2414.77288358532</v>
      </c>
      <c r="AW573" s="2" t="n">
        <f aca="false">IF(AC573&gt;Hypothèses!$J$26,MAX(0,AV573)/(1-Hypothèses!$J$26/AC573),0)</f>
        <v>3477.64702511732</v>
      </c>
      <c r="AX573" s="2" t="n">
        <f aca="false">AQ573-Entrées!$C$17*1000</f>
        <v>15.8166827783716</v>
      </c>
      <c r="AY573" s="2" t="n">
        <f aca="false">AI573+(Entrées!$C$244-Entrées!$C$13)</f>
        <v>28245.9881592902</v>
      </c>
      <c r="AZ573" s="2" t="n">
        <f aca="false">AA573*AH573</f>
        <v>5537.32320222927</v>
      </c>
      <c r="BA573" s="2" t="n">
        <f aca="false">AZ573/AY573</f>
        <v>0.196039280729077</v>
      </c>
      <c r="BB573" s="2" t="n">
        <f aca="false">AZ573/(Entrées!$C$151/100)-AY573</f>
        <v>2516.91851976129</v>
      </c>
      <c r="BC573" s="2" t="n">
        <f aca="false">AT573+(Entrées!$C$244-Entrées!$C$13)</f>
        <v>27379.6771647498</v>
      </c>
      <c r="BD573" s="2" t="n">
        <f aca="false">AA573*AQ573</f>
        <v>5901.16073066446</v>
      </c>
      <c r="BE573" s="2" t="n">
        <f aca="false">BD573/BC573</f>
        <v>0.215530690707411</v>
      </c>
      <c r="BF573" s="2" t="n">
        <f aca="false">BD573/(Entrées!$C$151/100)-BC573</f>
        <v>5404.54911671945</v>
      </c>
      <c r="BG573" s="2" t="n">
        <f aca="false">MIN(AV573,BF573)</f>
        <v>2414.77288358532</v>
      </c>
      <c r="BH573" s="2" t="n">
        <f aca="false">IF(AC573&gt;Hypothèses!$J$26,MAX(0,BG573)/(1-Hypothèses!$J$26/AC573),0)</f>
        <v>3477.64702511732</v>
      </c>
    </row>
    <row r="574" customFormat="false" ht="15" hidden="false" customHeight="false" outlineLevel="0" collapsed="false">
      <c r="A574" s="2" t="n">
        <v>559</v>
      </c>
      <c r="B574" s="2" t="n">
        <v>0.331610005</v>
      </c>
      <c r="C574" s="2"/>
      <c r="D574" s="2" t="n">
        <v>0.445632637</v>
      </c>
      <c r="E574" s="2" t="n">
        <f aca="false">IF(E$7=E$5,E$6,IF(NORMSDIST(E$9*SQRT($C$11)*NORMSINV($B574)+SQRT(1-E$9^2*$C$11)*NORMSINV(D574))&lt;E$8,E$5+SQRT(NORMSDIST(E$9*SQRT($C$11)*NORMSINV($B574)+SQRT(1-E$9^2*$C$11)*NORMSINV(D574))*(E$7-E$5)*(E$6-E$5)),E$7-SQRT((1-NORMSDIST(E$9*SQRT($C$11)*NORMSINV($B574)+SQRT(1-E$9^2*$C$11)*NORMSINV(D574)))*(E$7-E$5)*(E$7-E$6))))</f>
        <v>0.0541921826751676</v>
      </c>
      <c r="F574" s="2" t="n">
        <v>0.82314934</v>
      </c>
      <c r="G574" s="2" t="n">
        <f aca="false">IF(G$7=G$5,G$6,IF(NORMSDIST(G$9*SQRT($C$11)*NORMSINV($B574)+SQRT(1-G$9^2*$C$11)*NORMSINV(F574))&lt;G$8,G$5+SQRT(NORMSDIST(G$9*SQRT($C$11)*NORMSINV($B574)+SQRT(1-G$9^2*$C$11)*NORMSINV(F574))*(G$7-G$5)*(G$6-G$5)),G$7-SQRT((1-NORMSDIST(G$9*SQRT($C$11)*NORMSINV($B574)+SQRT(1-G$9^2*$C$11)*NORMSINV(F574)))*(G$7-G$5)*(G$7-G$6))))</f>
        <v>0.0578343898639981</v>
      </c>
      <c r="H574" s="2" t="n">
        <v>0.578535654</v>
      </c>
      <c r="I574" s="2" t="n">
        <f aca="false">IF(I$7=I$5,I$6,IF(NORMSDIST(I$9*SQRT($C$11)*NORMSINV($B574)+SQRT(1-I$9^2*$C$11)*NORMSINV(H574))&lt;I$8,I$5+SQRT(NORMSDIST(I$9*SQRT($C$11)*NORMSINV($B574)+SQRT(1-I$9^2*$C$11)*NORMSINV(H574))*(I$7-I$5)*(I$6-I$5)),I$7-SQRT((1-NORMSDIST(I$9*SQRT($C$11)*NORMSINV($B574)+SQRT(1-I$9^2*$C$11)*NORMSINV(H574)))*(I$7-I$5)*(I$7-I$6))))</f>
        <v>199.004773232471</v>
      </c>
      <c r="J574" s="2" t="n">
        <v>0.76257728</v>
      </c>
      <c r="K574" s="2" t="n">
        <f aca="false">IF(K$7=K$5,K$6,IF(NORMSDIST(K$9*SQRT($C$11)*NORMSINV($B574)+SQRT(1-K$9^2*$C$11)*NORMSINV(J574))&lt;K$8,K$5+SQRT(NORMSDIST(K$9*SQRT($C$11)*NORMSINV($B574)+SQRT(1-K$9^2*$C$11)*NORMSINV(J574))*(K$7-K$5)*(K$6-K$5)),K$7-SQRT((1-NORMSDIST(K$9*SQRT($C$11)*NORMSINV($B574)+SQRT(1-K$9^2*$C$11)*NORMSINV(J574)))*(K$7-K$5)*(K$7-K$6))))</f>
        <v>0.279076180529218</v>
      </c>
      <c r="L574" s="2" t="n">
        <v>0.305943899</v>
      </c>
      <c r="M574" s="2" t="n">
        <f aca="false">IF(M$7=M$5,M$6,IF(NORMSDIST(M$9*SQRT($C$11)*NORMSINV($B574)+SQRT(1-M$9^2*$C$11)*NORMSINV(L574))&lt;M$8,M$5+SQRT(NORMSDIST(M$9*SQRT($C$11)*NORMSINV($B574)+SQRT(1-M$9^2*$C$11)*NORMSINV(L574))*(M$7-M$5)*(M$6-M$5)),M$7-SQRT((1-NORMSDIST(M$9*SQRT($C$11)*NORMSINV($B574)+SQRT(1-M$9^2*$C$11)*NORMSINV(L574)))*(M$7-M$5)*(M$7-M$6))))</f>
        <v>1503.4791661293</v>
      </c>
      <c r="N574" s="2" t="n">
        <v>0.519793643</v>
      </c>
      <c r="O574" s="2" t="n">
        <f aca="false">IF(O$7=O$5,O$6,IF(NORMSDIST(O$9*SQRT($C$11)*NORMSINV($B574)+SQRT(1-O$9^2*$C$11)*NORMSINV(N574))&lt;O$8,O$5+SQRT(NORMSDIST(O$9*SQRT($C$11)*NORMSINV($B574)+SQRT(1-O$9^2*$C$11)*NORMSINV(N574))*(O$7-O$5)*(O$6-O$5)),O$7-SQRT((1-NORMSDIST(O$9*SQRT($C$11)*NORMSINV($B574)+SQRT(1-O$9^2*$C$11)*NORMSINV(N574)))*(O$7-O$5)*(O$7-O$6))))</f>
        <v>0.164145904171773</v>
      </c>
      <c r="P574" s="2" t="n">
        <v>0.310889056</v>
      </c>
      <c r="Q574" s="2" t="n">
        <f aca="false">IF(Q$7=Q$5,Q$6,IF(NORMSDIST(Q$9*SQRT($C$11)*NORMSINV($B574)+SQRT(1-Q$9^2*$C$11)*NORMSINV(P574))&lt;Q$8,Q$5+SQRT(NORMSDIST(Q$9*SQRT($C$11)*NORMSINV($B574)+SQRT(1-Q$9^2*$C$11)*NORMSINV(P574))*(Q$7-Q$5)*(Q$6-Q$5)),Q$7-SQRT((1-NORMSDIST(Q$9*SQRT($C$11)*NORMSINV($B574)+SQRT(1-Q$9^2*$C$11)*NORMSINV(P574)))*(Q$7-Q$5)*(Q$7-Q$6))))</f>
        <v>0.0715411632505842</v>
      </c>
      <c r="R574" s="2" t="n">
        <v>0.221413799</v>
      </c>
      <c r="S574" s="2" t="n">
        <f aca="false">IF(S$7=S$5,S$6,IF(NORMSDIST(S$9*SQRT($C$11)*NORMSINV($B574)+SQRT(1-S$9^2*$C$11)*NORMSINV(R574))&lt;S$8,S$5+SQRT(NORMSDIST(S$9*SQRT($C$11)*NORMSINV($B574)+SQRT(1-S$9^2*$C$11)*NORMSINV(R574))*(S$7-S$5)*(S$6-S$5)),S$7-SQRT((1-NORMSDIST(S$9*SQRT($C$11)*NORMSINV($B574)+SQRT(1-S$9^2*$C$11)*NORMSINV(R574)))*(S$7-S$5)*(S$7-S$6))))</f>
        <v>0.309990020300537</v>
      </c>
      <c r="T574" s="2" t="n">
        <v>0.814583315</v>
      </c>
      <c r="U574" s="2" t="n">
        <f aca="false">IF(U$7=U$5,U$6,IF(NORMSDIST(U$9*SQRT($C$11)*NORMSINV($B574)+SQRT(1-U$9^2*$C$11)*NORMSINV(T574))&lt;U$8,U$5+SQRT(NORMSDIST(U$9*SQRT($C$11)*NORMSINV($B574)+SQRT(1-U$9^2*$C$11)*NORMSINV(T574))*(U$7-U$5)*(U$6-U$5)),U$7-SQRT((1-NORMSDIST(U$9*SQRT($C$11)*NORMSINV($B574)+SQRT(1-U$9^2*$C$11)*NORMSINV(T574)))*(U$7-U$5)*(U$7-U$6))))</f>
        <v>0.588871166156498</v>
      </c>
      <c r="V574" s="2" t="n">
        <v>0.82125596</v>
      </c>
      <c r="W574" s="2" t="n">
        <f aca="false">IF(W$7=W$5,W$6,IF(NORMSDIST(W$9*SQRT($C$11)*NORMSINV($B574)+SQRT(1-W$9^2*$C$11)*NORMSINV(V574))&lt;W$8,W$5+SQRT(NORMSDIST(W$9*SQRT($C$11)*NORMSINV($B574)+SQRT(1-W$9^2*$C$11)*NORMSINV(V574))*(W$7-W$5)*(W$6-W$5)),W$7-SQRT((1-NORMSDIST(W$9*SQRT($C$11)*NORMSINV($B574)+SQRT(1-W$9^2*$C$11)*NORMSINV(V574)))*(W$7-W$5)*(W$7-W$6))))</f>
        <v>10.3728966853815</v>
      </c>
      <c r="X574" s="2" t="n">
        <v>0.251578521</v>
      </c>
      <c r="Y574" s="2" t="n">
        <f aca="false">IF(Y$7=Y$5,Y$6,IF(NORMSDIST(Y$9*SQRT($C$11)*NORMSINV($B574)+SQRT(1-Y$9^2*$C$11)*NORMSINV(X574))&lt;Y$8,Y$5+SQRT(NORMSDIST(Y$9*SQRT($C$11)*NORMSINV($B574)+SQRT(1-Y$9^2*$C$11)*NORMSINV(X574))*(Y$7-Y$5)*(Y$6-Y$5)),Y$7-SQRT((1-NORMSDIST(Y$9*SQRT($C$11)*NORMSINV($B574)+SQRT(1-Y$9^2*$C$11)*NORMSINV(X574)))*(Y$7-Y$5)*(Y$7-Y$6))))</f>
        <v>0.354667817119061</v>
      </c>
      <c r="Z574" s="2" t="n">
        <v>0.659739249</v>
      </c>
      <c r="AA574" s="2" t="n">
        <f aca="false">IF(AA$7=AA$5,AA$6,IF(NORMSDIST(AA$9*SQRT($C$11)*NORMSINV($B574)+SQRT(1-AA$9^2*$C$11)*NORMSINV(Z574))&lt;AA$8,AA$5+SQRT(NORMSDIST(AA$9*SQRT($C$11)*NORMSINV($B574)+SQRT(1-AA$9^2*$C$11)*NORMSINV(Z574))*(AA$7-AA$5)*(AA$6-AA$5)),AA$7-SQRT((1-NORMSDIST(AA$9*SQRT($C$11)*NORMSINV($B574)+SQRT(1-AA$9^2*$C$11)*NORMSINV(Z574)))*(AA$7-AA$5)*(AA$7-AA$6))))</f>
        <v>0.72861471062097</v>
      </c>
      <c r="AB574" s="2" t="n">
        <v>0.39300585</v>
      </c>
      <c r="AC574" s="2" t="n">
        <f aca="false">IF(AC$7=AC$5,AC$6,IF(NORMSDIST(AC$9*SQRT($C$11)*NORMSINV($B574)+SQRT(1-AC$9^2*$C$11)*NORMSINV(AB574))&lt;AC$8,AC$5+SQRT(NORMSDIST(AC$9*SQRT($C$11)*NORMSINV($B574)+SQRT(1-AC$9^2*$C$11)*NORMSINV(AB574))*(AC$7-AC$5)*(AC$6-AC$5)),AC$7-SQRT((1-NORMSDIST(AC$9*SQRT($C$11)*NORMSINV($B574)+SQRT(1-AC$9^2*$C$11)*NORMSINV(AB574)))*(AC$7-AC$5)*(AC$7-AC$6))))</f>
        <v>9.04601740204583</v>
      </c>
      <c r="AD574" s="2" t="n">
        <f aca="false">Entrées!$C$8*(1+E574)</f>
        <v>7432.05488785993</v>
      </c>
      <c r="AE574" s="2" t="n">
        <f aca="false">I574*Hypothèses!$J$24/12/Hypothèses!$J$19</f>
        <v>98.7256310610736</v>
      </c>
      <c r="AF574" s="2" t="n">
        <f aca="false">Entrées!$C$36*S574*1000</f>
        <v>154.995010150268</v>
      </c>
      <c r="AG574" s="2" t="n">
        <f aca="false">-AF574/W574</f>
        <v>-14.942307327586</v>
      </c>
      <c r="AH574" s="2" t="n">
        <f aca="false">AD574+AE574+AG574</f>
        <v>7515.83821159342</v>
      </c>
      <c r="AI574" s="2" t="n">
        <f aca="false">Entrées!$C$16-M574+Hypothèses!$J$22*1000-AF574+Hypothèses!$J$23</f>
        <v>22889.5258237204</v>
      </c>
      <c r="AJ574" s="2" t="n">
        <f aca="false">AI574/AH574</f>
        <v>3.04550539531474</v>
      </c>
      <c r="AK574" s="2" t="n">
        <f aca="false">AI574/(AH574+I574*(12-Hypothèses!$J$24)/12/Hypothèses!$J$19)</f>
        <v>3.01719616853</v>
      </c>
      <c r="AL574" s="2" t="n">
        <f aca="false">(AD574+AG574+I574/Hypothèses!$J$19)*(1+G574)</f>
        <v>8025.1088200899</v>
      </c>
      <c r="AM574" s="2" t="n">
        <f aca="false">Entrées!$C$54*K574/Hypothèses!$J$19</f>
        <v>28.4808959881675</v>
      </c>
      <c r="AN574" s="2" t="n">
        <f aca="false">Y574*1000/AC574</f>
        <v>39.2070677466141</v>
      </c>
      <c r="AO574" s="2" t="n">
        <f aca="false">(Entrées!$C$36*(1-S574)+MAX(0,Entrées!$C$30-Entrées!$C$35-Entrées!$C$36)*U574)*1000</f>
        <v>1169.42462246883</v>
      </c>
      <c r="AP574" s="2" t="n">
        <f aca="false">-AO574/W574</f>
        <v>-112.738481635212</v>
      </c>
      <c r="AQ574" s="2" t="n">
        <f aca="false">AL574+AM574+AN574+AP574</f>
        <v>7980.05830218947</v>
      </c>
      <c r="AR574" s="2" t="n">
        <f aca="false">O574*AQ574-Hypothèses!$J$25/Hypothèses!$J$19</f>
        <v>1290.75872309473</v>
      </c>
      <c r="AS574" s="2" t="n">
        <f aca="false">Entrées!$C$79*(1+Q574)+Hypothèses!$J$20</f>
        <v>1472.62373841239</v>
      </c>
      <c r="AT574" s="2" t="n">
        <f aca="false">AI574-AR574+AS574+Y574*1000-AO574+Hypothèses!$J$23</f>
        <v>22256.6340336883</v>
      </c>
      <c r="AU574" s="2" t="n">
        <f aca="false">AT574/AQ574</f>
        <v>2.78903150714849</v>
      </c>
      <c r="AV574" s="2" t="n">
        <f aca="false">Hypothèses!$J$26*AQ574-AT574</f>
        <v>1683.54087288008</v>
      </c>
      <c r="AW574" s="2" t="n">
        <f aca="false">IF(AC574&gt;Hypothèses!$J$26,MAX(0,AV574)/(1-Hypothèses!$J$26/AC574),0)</f>
        <v>2518.90443252369</v>
      </c>
      <c r="AX574" s="2" t="n">
        <f aca="false">AQ574-Entrées!$C$17*1000</f>
        <v>-19.9416978105319</v>
      </c>
      <c r="AY574" s="2" t="n">
        <f aca="false">AI574+(Entrées!$C$244-Entrées!$C$13)</f>
        <v>28636.5258237204</v>
      </c>
      <c r="AZ574" s="2" t="n">
        <f aca="false">AA574*AH574</f>
        <v>5476.15028361417</v>
      </c>
      <c r="BA574" s="2" t="n">
        <f aca="false">AZ574/AY574</f>
        <v>0.19122956176053</v>
      </c>
      <c r="BB574" s="2" t="n">
        <f aca="false">AZ574/(Entrées!$C$151/100)-AY574</f>
        <v>1786.53130746941</v>
      </c>
      <c r="BC574" s="2" t="n">
        <f aca="false">AT574+(Entrées!$C$244-Entrées!$C$13)</f>
        <v>28003.6340336883</v>
      </c>
      <c r="BD574" s="2" t="n">
        <f aca="false">AA574*AQ574</f>
        <v>5814.38787058825</v>
      </c>
      <c r="BE574" s="2" t="n">
        <f aca="false">BD574/BC574</f>
        <v>0.207629762037083</v>
      </c>
      <c r="BF574" s="2" t="n">
        <f aca="false">BD574/(Entrées!$C$151/100)-BC574</f>
        <v>4298.52080291307</v>
      </c>
      <c r="BG574" s="2" t="n">
        <f aca="false">MIN(AV574,BF574)</f>
        <v>1683.54087288008</v>
      </c>
      <c r="BH574" s="2" t="n">
        <f aca="false">IF(AC574&gt;Hypothèses!$J$26,MAX(0,BG574)/(1-Hypothèses!$J$26/AC574),0)</f>
        <v>2518.90443252369</v>
      </c>
    </row>
    <row r="575" customFormat="false" ht="15" hidden="false" customHeight="false" outlineLevel="0" collapsed="false">
      <c r="A575" s="2" t="n">
        <v>560</v>
      </c>
      <c r="B575" s="2" t="n">
        <v>0.26228233</v>
      </c>
      <c r="C575" s="2"/>
      <c r="D575" s="2" t="n">
        <v>0.472592192</v>
      </c>
      <c r="E575" s="2" t="n">
        <f aca="false">IF(E$7=E$5,E$6,IF(NORMSDIST(E$9*SQRT($C$11)*NORMSINV($B575)+SQRT(1-E$9^2*$C$11)*NORMSINV(D575))&lt;E$8,E$5+SQRT(NORMSDIST(E$9*SQRT($C$11)*NORMSINV($B575)+SQRT(1-E$9^2*$C$11)*NORMSINV(D575))*(E$7-E$5)*(E$6-E$5)),E$7-SQRT((1-NORMSDIST(E$9*SQRT($C$11)*NORMSINV($B575)+SQRT(1-E$9^2*$C$11)*NORMSINV(D575)))*(E$7-E$5)*(E$7-E$6))))</f>
        <v>0.0540267922247726</v>
      </c>
      <c r="F575" s="2" t="n">
        <v>0.422530647</v>
      </c>
      <c r="G575" s="2" t="n">
        <f aca="false">IF(G$7=G$5,G$6,IF(NORMSDIST(G$9*SQRT($C$11)*NORMSINV($B575)+SQRT(1-G$9^2*$C$11)*NORMSINV(F575))&lt;G$8,G$5+SQRT(NORMSDIST(G$9*SQRT($C$11)*NORMSINV($B575)+SQRT(1-G$9^2*$C$11)*NORMSINV(F575))*(G$7-G$5)*(G$6-G$5)),G$7-SQRT((1-NORMSDIST(G$9*SQRT($C$11)*NORMSINV($B575)+SQRT(1-G$9^2*$C$11)*NORMSINV(F575)))*(G$7-G$5)*(G$7-G$6))))</f>
        <v>0.0514207132453361</v>
      </c>
      <c r="H575" s="2" t="n">
        <v>0.991409082</v>
      </c>
      <c r="I575" s="2" t="n">
        <f aca="false">IF(I$7=I$5,I$6,IF(NORMSDIST(I$9*SQRT($C$11)*NORMSINV($B575)+SQRT(1-I$9^2*$C$11)*NORMSINV(H575))&lt;I$8,I$5+SQRT(NORMSDIST(I$9*SQRT($C$11)*NORMSINV($B575)+SQRT(1-I$9^2*$C$11)*NORMSINV(H575))*(I$7-I$5)*(I$6-I$5)),I$7-SQRT((1-NORMSDIST(I$9*SQRT($C$11)*NORMSINV($B575)+SQRT(1-I$9^2*$C$11)*NORMSINV(H575)))*(I$7-I$5)*(I$7-I$6))))</f>
        <v>212.281238263707</v>
      </c>
      <c r="J575" s="2" t="n">
        <v>0.234178829</v>
      </c>
      <c r="K575" s="2" t="n">
        <f aca="false">IF(K$7=K$5,K$6,IF(NORMSDIST(K$9*SQRT($C$11)*NORMSINV($B575)+SQRT(1-K$9^2*$C$11)*NORMSINV(J575))&lt;K$8,K$5+SQRT(NORMSDIST(K$9*SQRT($C$11)*NORMSINV($B575)+SQRT(1-K$9^2*$C$11)*NORMSINV(J575))*(K$7-K$5)*(K$6-K$5)),K$7-SQRT((1-NORMSDIST(K$9*SQRT($C$11)*NORMSINV($B575)+SQRT(1-K$9^2*$C$11)*NORMSINV(J575)))*(K$7-K$5)*(K$7-K$6))))</f>
        <v>0.144691750864973</v>
      </c>
      <c r="L575" s="2" t="n">
        <v>0.429135244</v>
      </c>
      <c r="M575" s="2" t="n">
        <f aca="false">IF(M$7=M$5,M$6,IF(NORMSDIST(M$9*SQRT($C$11)*NORMSINV($B575)+SQRT(1-M$9^2*$C$11)*NORMSINV(L575))&lt;M$8,M$5+SQRT(NORMSDIST(M$9*SQRT($C$11)*NORMSINV($B575)+SQRT(1-M$9^2*$C$11)*NORMSINV(L575))*(M$7-M$5)*(M$6-M$5)),M$7-SQRT((1-NORMSDIST(M$9*SQRT($C$11)*NORMSINV($B575)+SQRT(1-M$9^2*$C$11)*NORMSINV(L575)))*(M$7-M$5)*(M$7-M$6))))</f>
        <v>1519.6790080505</v>
      </c>
      <c r="N575" s="2" t="n">
        <v>0.114374054</v>
      </c>
      <c r="O575" s="2" t="n">
        <f aca="false">IF(O$7=O$5,O$6,IF(NORMSDIST(O$9*SQRT($C$11)*NORMSINV($B575)+SQRT(1-O$9^2*$C$11)*NORMSINV(N575))&lt;O$8,O$5+SQRT(NORMSDIST(O$9*SQRT($C$11)*NORMSINV($B575)+SQRT(1-O$9^2*$C$11)*NORMSINV(N575))*(O$7-O$5)*(O$6-O$5)),O$7-SQRT((1-NORMSDIST(O$9*SQRT($C$11)*NORMSINV($B575)+SQRT(1-O$9^2*$C$11)*NORMSINV(N575)))*(O$7-O$5)*(O$7-O$6))))</f>
        <v>0.15142540465863</v>
      </c>
      <c r="P575" s="2" t="n">
        <v>0.432400369</v>
      </c>
      <c r="Q575" s="2" t="n">
        <f aca="false">IF(Q$7=Q$5,Q$6,IF(NORMSDIST(Q$9*SQRT($C$11)*NORMSINV($B575)+SQRT(1-Q$9^2*$C$11)*NORMSINV(P575))&lt;Q$8,Q$5+SQRT(NORMSDIST(Q$9*SQRT($C$11)*NORMSINV($B575)+SQRT(1-Q$9^2*$C$11)*NORMSINV(P575))*(Q$7-Q$5)*(Q$6-Q$5)),Q$7-SQRT((1-NORMSDIST(Q$9*SQRT($C$11)*NORMSINV($B575)+SQRT(1-Q$9^2*$C$11)*NORMSINV(P575)))*(Q$7-Q$5)*(Q$7-Q$6))))</f>
        <v>0.0771978652720825</v>
      </c>
      <c r="R575" s="2" t="n">
        <v>0.630364227</v>
      </c>
      <c r="S575" s="2" t="n">
        <f aca="false">IF(S$7=S$5,S$6,IF(NORMSDIST(S$9*SQRT($C$11)*NORMSINV($B575)+SQRT(1-S$9^2*$C$11)*NORMSINV(R575))&lt;S$8,S$5+SQRT(NORMSDIST(S$9*SQRT($C$11)*NORMSINV($B575)+SQRT(1-S$9^2*$C$11)*NORMSINV(R575))*(S$7-S$5)*(S$6-S$5)),S$7-SQRT((1-NORMSDIST(S$9*SQRT($C$11)*NORMSINV($B575)+SQRT(1-S$9^2*$C$11)*NORMSINV(R575)))*(S$7-S$5)*(S$7-S$6))))</f>
        <v>0.470369346082457</v>
      </c>
      <c r="T575" s="2" t="n">
        <v>0.855838429</v>
      </c>
      <c r="U575" s="2" t="n">
        <f aca="false">IF(U$7=U$5,U$6,IF(NORMSDIST(U$9*SQRT($C$11)*NORMSINV($B575)+SQRT(1-U$9^2*$C$11)*NORMSINV(T575))&lt;U$8,U$5+SQRT(NORMSDIST(U$9*SQRT($C$11)*NORMSINV($B575)+SQRT(1-U$9^2*$C$11)*NORMSINV(T575))*(U$7-U$5)*(U$6-U$5)),U$7-SQRT((1-NORMSDIST(U$9*SQRT($C$11)*NORMSINV($B575)+SQRT(1-U$9^2*$C$11)*NORMSINV(T575)))*(U$7-U$5)*(U$7-U$6))))</f>
        <v>0.589370294432714</v>
      </c>
      <c r="V575" s="2" t="n">
        <v>0.628496222</v>
      </c>
      <c r="W575" s="2" t="n">
        <f aca="false">IF(W$7=W$5,W$6,IF(NORMSDIST(W$9*SQRT($C$11)*NORMSINV($B575)+SQRT(1-W$9^2*$C$11)*NORMSINV(V575))&lt;W$8,W$5+SQRT(NORMSDIST(W$9*SQRT($C$11)*NORMSINV($B575)+SQRT(1-W$9^2*$C$11)*NORMSINV(V575))*(W$7-W$5)*(W$6-W$5)),W$7-SQRT((1-NORMSDIST(W$9*SQRT($C$11)*NORMSINV($B575)+SQRT(1-W$9^2*$C$11)*NORMSINV(V575)))*(W$7-W$5)*(W$7-W$6))))</f>
        <v>9.87826062440826</v>
      </c>
      <c r="X575" s="2" t="n">
        <v>0.933116137</v>
      </c>
      <c r="Y575" s="2" t="n">
        <f aca="false">IF(Y$7=Y$5,Y$6,IF(NORMSDIST(Y$9*SQRT($C$11)*NORMSINV($B575)+SQRT(1-Y$9^2*$C$11)*NORMSINV(X575))&lt;Y$8,Y$5+SQRT(NORMSDIST(Y$9*SQRT($C$11)*NORMSINV($B575)+SQRT(1-Y$9^2*$C$11)*NORMSINV(X575))*(Y$7-Y$5)*(Y$6-Y$5)),Y$7-SQRT((1-NORMSDIST(Y$9*SQRT($C$11)*NORMSINV($B575)+SQRT(1-Y$9^2*$C$11)*NORMSINV(X575)))*(Y$7-Y$5)*(Y$7-Y$6))))</f>
        <v>0.817128647678211</v>
      </c>
      <c r="Z575" s="2" t="n">
        <v>0.428492717</v>
      </c>
      <c r="AA575" s="2" t="n">
        <f aca="false">IF(AA$7=AA$5,AA$6,IF(NORMSDIST(AA$9*SQRT($C$11)*NORMSINV($B575)+SQRT(1-AA$9^2*$C$11)*NORMSINV(Z575))&lt;AA$8,AA$5+SQRT(NORMSDIST(AA$9*SQRT($C$11)*NORMSINV($B575)+SQRT(1-AA$9^2*$C$11)*NORMSINV(Z575))*(AA$7-AA$5)*(AA$6-AA$5)),AA$7-SQRT((1-NORMSDIST(AA$9*SQRT($C$11)*NORMSINV($B575)+SQRT(1-AA$9^2*$C$11)*NORMSINV(Z575)))*(AA$7-AA$5)*(AA$7-AA$6))))</f>
        <v>0.720414146023003</v>
      </c>
      <c r="AB575" s="2" t="n">
        <v>0.889593137</v>
      </c>
      <c r="AC575" s="2" t="n">
        <f aca="false">IF(AC$7=AC$5,AC$6,IF(NORMSDIST(AC$9*SQRT($C$11)*NORMSINV($B575)+SQRT(1-AC$9^2*$C$11)*NORMSINV(AB575))&lt;AC$8,AC$5+SQRT(NORMSDIST(AC$9*SQRT($C$11)*NORMSINV($B575)+SQRT(1-AC$9^2*$C$11)*NORMSINV(AB575))*(AC$7-AC$5)*(AC$6-AC$5)),AC$7-SQRT((1-NORMSDIST(AC$9*SQRT($C$11)*NORMSINV($B575)+SQRT(1-AC$9^2*$C$11)*NORMSINV(AB575)))*(AC$7-AC$5)*(AC$7-AC$6))))</f>
        <v>9.87579973681645</v>
      </c>
      <c r="AD575" s="2" t="n">
        <f aca="false">Entrées!$C$8*(1+E575)</f>
        <v>7430.88888518465</v>
      </c>
      <c r="AE575" s="2" t="n">
        <f aca="false">I575*Hypothèses!$J$24/12/Hypothèses!$J$19</f>
        <v>105.31204287009</v>
      </c>
      <c r="AF575" s="2" t="n">
        <f aca="false">Entrées!$C$36*S575*1000</f>
        <v>235.184673041229</v>
      </c>
      <c r="AG575" s="2" t="n">
        <f aca="false">-AF575/W575</f>
        <v>-23.8083081610652</v>
      </c>
      <c r="AH575" s="2" t="n">
        <f aca="false">AD575+AE575+AG575</f>
        <v>7512.39261989367</v>
      </c>
      <c r="AI575" s="2" t="n">
        <f aca="false">Entrées!$C$16-M575+Hypothèses!$J$22*1000-AF575+Hypothèses!$J$23</f>
        <v>22793.1363189083</v>
      </c>
      <c r="AJ575" s="2" t="n">
        <f aca="false">AI575/AH575</f>
        <v>3.03407149654951</v>
      </c>
      <c r="AK575" s="2" t="n">
        <f aca="false">AI575/(AH575+I575*(12-Hypothèses!$J$24)/12/Hypothèses!$J$19)</f>
        <v>3.00399200459006</v>
      </c>
      <c r="AL575" s="2" t="n">
        <f aca="false">(AD575+AG575+I575/Hypothèses!$J$19)*(1+G575)</f>
        <v>7977.77610889317</v>
      </c>
      <c r="AM575" s="2" t="n">
        <f aca="false">Entrées!$C$54*K575/Hypothèses!$J$19</f>
        <v>14.7664006971734</v>
      </c>
      <c r="AN575" s="2" t="n">
        <f aca="false">Y575*1000/AC575</f>
        <v>82.7405040051591</v>
      </c>
      <c r="AO575" s="2" t="n">
        <f aca="false">(Entrées!$C$36*(1-S575)+MAX(0,Entrées!$C$30-Entrées!$C$35-Entrées!$C$36)*U575)*1000</f>
        <v>1089.93373916457</v>
      </c>
      <c r="AP575" s="2" t="n">
        <f aca="false">-AO575/W575</f>
        <v>-110.336604854446</v>
      </c>
      <c r="AQ575" s="2" t="n">
        <f aca="false">AL575+AM575+AN575+AP575</f>
        <v>7964.94640874106</v>
      </c>
      <c r="AR575" s="2" t="n">
        <f aca="false">O575*AQ575-Hypothèses!$J$25/Hypothèses!$J$19</f>
        <v>1186.96007076629</v>
      </c>
      <c r="AS575" s="2" t="n">
        <f aca="false">Entrées!$C$79*(1+Q575)+Hypothèses!$J$20</f>
        <v>1478.84045393402</v>
      </c>
      <c r="AT575" s="2" t="n">
        <f aca="false">AI575-AR575+AS575+Y575*1000-AO575+Hypothèses!$J$23</f>
        <v>22812.2116105896</v>
      </c>
      <c r="AU575" s="2" t="n">
        <f aca="false">AT575/AQ575</f>
        <v>2.86407596987151</v>
      </c>
      <c r="AV575" s="2" t="n">
        <f aca="false">Hypothèses!$J$26*AQ575-AT575</f>
        <v>1082.62761563353</v>
      </c>
      <c r="AW575" s="2" t="n">
        <f aca="false">IF(AC575&gt;Hypothèses!$J$26,MAX(0,AV575)/(1-Hypothèses!$J$26/AC575),0)</f>
        <v>1554.99199086538</v>
      </c>
      <c r="AX575" s="2" t="n">
        <f aca="false">AQ575-Entrées!$C$17*1000</f>
        <v>-35.053591258943</v>
      </c>
      <c r="AY575" s="2" t="n">
        <f aca="false">AI575+(Entrées!$C$244-Entrées!$C$13)</f>
        <v>28540.1363189083</v>
      </c>
      <c r="AZ575" s="2" t="n">
        <f aca="false">AA575*AH575</f>
        <v>5412.03391385021</v>
      </c>
      <c r="BA575" s="2" t="n">
        <f aca="false">AZ575/AY575</f>
        <v>0.189628873996115</v>
      </c>
      <c r="BB575" s="2" t="n">
        <f aca="false">AZ575/(Entrées!$C$151/100)-AY575</f>
        <v>1526.71875803735</v>
      </c>
      <c r="BC575" s="2" t="n">
        <f aca="false">AT575+(Entrées!$C$244-Entrées!$C$13)</f>
        <v>28559.2116105896</v>
      </c>
      <c r="BD575" s="2" t="n">
        <f aca="false">AA575*AQ575</f>
        <v>5738.06006517217</v>
      </c>
      <c r="BE575" s="2" t="n">
        <f aca="false">BD575/BC575</f>
        <v>0.200918013543642</v>
      </c>
      <c r="BF575" s="2" t="n">
        <f aca="false">BD575/(Entrées!$C$151/100)-BC575</f>
        <v>3318.8998625891</v>
      </c>
      <c r="BG575" s="2" t="n">
        <f aca="false">MIN(AV575,BF575)</f>
        <v>1082.62761563353</v>
      </c>
      <c r="BH575" s="2" t="n">
        <f aca="false">IF(AC575&gt;Hypothèses!$J$26,MAX(0,BG575)/(1-Hypothèses!$J$26/AC575),0)</f>
        <v>1554.99199086538</v>
      </c>
    </row>
    <row r="576" customFormat="false" ht="15" hidden="false" customHeight="false" outlineLevel="0" collapsed="false">
      <c r="A576" s="2" t="n">
        <v>561</v>
      </c>
      <c r="B576" s="2" t="n">
        <v>0.105615154</v>
      </c>
      <c r="C576" s="2"/>
      <c r="D576" s="2" t="n">
        <v>0.090472518</v>
      </c>
      <c r="E576" s="2" t="n">
        <f aca="false">IF(E$7=E$5,E$6,IF(NORMSDIST(E$9*SQRT($C$11)*NORMSINV($B576)+SQRT(1-E$9^2*$C$11)*NORMSINV(D576))&lt;E$8,E$5+SQRT(NORMSDIST(E$9*SQRT($C$11)*NORMSINV($B576)+SQRT(1-E$9^2*$C$11)*NORMSINV(D576))*(E$7-E$5)*(E$6-E$5)),E$7-SQRT((1-NORMSDIST(E$9*SQRT($C$11)*NORMSINV($B576)+SQRT(1-E$9^2*$C$11)*NORMSINV(D576)))*(E$7-E$5)*(E$7-E$6))))</f>
        <v>0.0513009818221882</v>
      </c>
      <c r="F576" s="2" t="n">
        <v>0.97358186</v>
      </c>
      <c r="G576" s="2" t="n">
        <f aca="false">IF(G$7=G$5,G$6,IF(NORMSDIST(G$9*SQRT($C$11)*NORMSINV($B576)+SQRT(1-G$9^2*$C$11)*NORMSINV(F576))&lt;G$8,G$5+SQRT(NORMSDIST(G$9*SQRT($C$11)*NORMSINV($B576)+SQRT(1-G$9^2*$C$11)*NORMSINV(F576))*(G$7-G$5)*(G$6-G$5)),G$7-SQRT((1-NORMSDIST(G$9*SQRT($C$11)*NORMSINV($B576)+SQRT(1-G$9^2*$C$11)*NORMSINV(F576)))*(G$7-G$5)*(G$7-G$6))))</f>
        <v>0.0596267146014917</v>
      </c>
      <c r="H576" s="2" t="n">
        <v>0.917141769</v>
      </c>
      <c r="I576" s="2" t="n">
        <f aca="false">IF(I$7=I$5,I$6,IF(NORMSDIST(I$9*SQRT($C$11)*NORMSINV($B576)+SQRT(1-I$9^2*$C$11)*NORMSINV(H576))&lt;I$8,I$5+SQRT(NORMSDIST(I$9*SQRT($C$11)*NORMSINV($B576)+SQRT(1-I$9^2*$C$11)*NORMSINV(H576))*(I$7-I$5)*(I$6-I$5)),I$7-SQRT((1-NORMSDIST(I$9*SQRT($C$11)*NORMSINV($B576)+SQRT(1-I$9^2*$C$11)*NORMSINV(H576)))*(I$7-I$5)*(I$7-I$6))))</f>
        <v>202.368289839287</v>
      </c>
      <c r="J576" s="2" t="n">
        <v>0.646086899</v>
      </c>
      <c r="K576" s="2" t="n">
        <f aca="false">IF(K$7=K$5,K$6,IF(NORMSDIST(K$9*SQRT($C$11)*NORMSINV($B576)+SQRT(1-K$9^2*$C$11)*NORMSINV(J576))&lt;K$8,K$5+SQRT(NORMSDIST(K$9*SQRT($C$11)*NORMSINV($B576)+SQRT(1-K$9^2*$C$11)*NORMSINV(J576))*(K$7-K$5)*(K$6-K$5)),K$7-SQRT((1-NORMSDIST(K$9*SQRT($C$11)*NORMSINV($B576)+SQRT(1-K$9^2*$C$11)*NORMSINV(J576)))*(K$7-K$5)*(K$7-K$6))))</f>
        <v>0.196341823133247</v>
      </c>
      <c r="L576" s="2" t="n">
        <v>0.745601559</v>
      </c>
      <c r="M576" s="2" t="n">
        <f aca="false">IF(M$7=M$5,M$6,IF(NORMSDIST(M$9*SQRT($C$11)*NORMSINV($B576)+SQRT(1-M$9^2*$C$11)*NORMSINV(L576))&lt;M$8,M$5+SQRT(NORMSDIST(M$9*SQRT($C$11)*NORMSINV($B576)+SQRT(1-M$9^2*$C$11)*NORMSINV(L576))*(M$7-M$5)*(M$6-M$5)),M$7-SQRT((1-NORMSDIST(M$9*SQRT($C$11)*NORMSINV($B576)+SQRT(1-M$9^2*$C$11)*NORMSINV(L576)))*(M$7-M$5)*(M$7-M$6))))</f>
        <v>1552.43997678467</v>
      </c>
      <c r="N576" s="2" t="n">
        <v>0.789425696</v>
      </c>
      <c r="O576" s="2" t="n">
        <f aca="false">IF(O$7=O$5,O$6,IF(NORMSDIST(O$9*SQRT($C$11)*NORMSINV($B576)+SQRT(1-O$9^2*$C$11)*NORMSINV(N576))&lt;O$8,O$5+SQRT(NORMSDIST(O$9*SQRT($C$11)*NORMSINV($B576)+SQRT(1-O$9^2*$C$11)*NORMSINV(N576))*(O$7-O$5)*(O$6-O$5)),O$7-SQRT((1-NORMSDIST(O$9*SQRT($C$11)*NORMSINV($B576)+SQRT(1-O$9^2*$C$11)*NORMSINV(N576)))*(O$7-O$5)*(O$7-O$6))))</f>
        <v>0.164938555709767</v>
      </c>
      <c r="P576" s="2" t="n">
        <v>0.837134147</v>
      </c>
      <c r="Q576" s="2" t="n">
        <f aca="false">IF(Q$7=Q$5,Q$6,IF(NORMSDIST(Q$9*SQRT($C$11)*NORMSINV($B576)+SQRT(1-Q$9^2*$C$11)*NORMSINV(P576))&lt;Q$8,Q$5+SQRT(NORMSDIST(Q$9*SQRT($C$11)*NORMSINV($B576)+SQRT(1-Q$9^2*$C$11)*NORMSINV(P576))*(Q$7-Q$5)*(Q$6-Q$5)),Q$7-SQRT((1-NORMSDIST(Q$9*SQRT($C$11)*NORMSINV($B576)+SQRT(1-Q$9^2*$C$11)*NORMSINV(P576)))*(Q$7-Q$5)*(Q$7-Q$6))))</f>
        <v>0.0971708359855206</v>
      </c>
      <c r="R576" s="2" t="n">
        <v>0.272763701</v>
      </c>
      <c r="S576" s="2" t="n">
        <f aca="false">IF(S$7=S$5,S$6,IF(NORMSDIST(S$9*SQRT($C$11)*NORMSINV($B576)+SQRT(1-S$9^2*$C$11)*NORMSINV(R576))&lt;S$8,S$5+SQRT(NORMSDIST(S$9*SQRT($C$11)*NORMSINV($B576)+SQRT(1-S$9^2*$C$11)*NORMSINV(R576))*(S$7-S$5)*(S$6-S$5)),S$7-SQRT((1-NORMSDIST(S$9*SQRT($C$11)*NORMSINV($B576)+SQRT(1-S$9^2*$C$11)*NORMSINV(R576)))*(S$7-S$5)*(S$7-S$6))))</f>
        <v>0.22806869986087</v>
      </c>
      <c r="T576" s="2" t="n">
        <v>0.5542906</v>
      </c>
      <c r="U576" s="2" t="n">
        <f aca="false">IF(U$7=U$5,U$6,IF(NORMSDIST(U$9*SQRT($C$11)*NORMSINV($B576)+SQRT(1-U$9^2*$C$11)*NORMSINV(T576))&lt;U$8,U$5+SQRT(NORMSDIST(U$9*SQRT($C$11)*NORMSINV($B576)+SQRT(1-U$9^2*$C$11)*NORMSINV(T576))*(U$7-U$5)*(U$6-U$5)),U$7-SQRT((1-NORMSDIST(U$9*SQRT($C$11)*NORMSINV($B576)+SQRT(1-U$9^2*$C$11)*NORMSINV(T576)))*(U$7-U$5)*(U$7-U$6))))</f>
        <v>0.351203506134201</v>
      </c>
      <c r="V576" s="2" t="n">
        <v>0.305695298</v>
      </c>
      <c r="W576" s="2" t="n">
        <f aca="false">IF(W$7=W$5,W$6,IF(NORMSDIST(W$9*SQRT($C$11)*NORMSINV($B576)+SQRT(1-W$9^2*$C$11)*NORMSINV(V576))&lt;W$8,W$5+SQRT(NORMSDIST(W$9*SQRT($C$11)*NORMSINV($B576)+SQRT(1-W$9^2*$C$11)*NORMSINV(V576))*(W$7-W$5)*(W$6-W$5)),W$7-SQRT((1-NORMSDIST(W$9*SQRT($C$11)*NORMSINV($B576)+SQRT(1-W$9^2*$C$11)*NORMSINV(V576)))*(W$7-W$5)*(W$7-W$6))))</f>
        <v>8.97223997513397</v>
      </c>
      <c r="X576" s="2" t="n">
        <v>0.480751297</v>
      </c>
      <c r="Y576" s="2" t="n">
        <f aca="false">IF(Y$7=Y$5,Y$6,IF(NORMSDIST(Y$9*SQRT($C$11)*NORMSINV($B576)+SQRT(1-Y$9^2*$C$11)*NORMSINV(X576))&lt;Y$8,Y$5+SQRT(NORMSDIST(Y$9*SQRT($C$11)*NORMSINV($B576)+SQRT(1-Y$9^2*$C$11)*NORMSINV(X576))*(Y$7-Y$5)*(Y$6-Y$5)),Y$7-SQRT((1-NORMSDIST(Y$9*SQRT($C$11)*NORMSINV($B576)+SQRT(1-Y$9^2*$C$11)*NORMSINV(X576)))*(Y$7-Y$5)*(Y$7-Y$6))))</f>
        <v>0.490281193296255</v>
      </c>
      <c r="Z576" s="2" t="n">
        <v>0.11012096</v>
      </c>
      <c r="AA576" s="2" t="n">
        <f aca="false">IF(AA$7=AA$5,AA$6,IF(NORMSDIST(AA$9*SQRT($C$11)*NORMSINV($B576)+SQRT(1-AA$9^2*$C$11)*NORMSINV(Z576))&lt;AA$8,AA$5+SQRT(NORMSDIST(AA$9*SQRT($C$11)*NORMSINV($B576)+SQRT(1-AA$9^2*$C$11)*NORMSINV(Z576))*(AA$7-AA$5)*(AA$6-AA$5)),AA$7-SQRT((1-NORMSDIST(AA$9*SQRT($C$11)*NORMSINV($B576)+SQRT(1-AA$9^2*$C$11)*NORMSINV(Z576)))*(AA$7-AA$5)*(AA$7-AA$6))))</f>
        <v>0.704681602675125</v>
      </c>
      <c r="AB576" s="2" t="n">
        <v>0.693936803</v>
      </c>
      <c r="AC576" s="2" t="n">
        <f aca="false">IF(AC$7=AC$5,AC$6,IF(NORMSDIST(AC$9*SQRT($C$11)*NORMSINV($B576)+SQRT(1-AC$9^2*$C$11)*NORMSINV(AB576))&lt;AC$8,AC$5+SQRT(NORMSDIST(AC$9*SQRT($C$11)*NORMSINV($B576)+SQRT(1-AC$9^2*$C$11)*NORMSINV(AB576))*(AC$7-AC$5)*(AC$6-AC$5)),AC$7-SQRT((1-NORMSDIST(AC$9*SQRT($C$11)*NORMSINV($B576)+SQRT(1-AC$9^2*$C$11)*NORMSINV(AB576)))*(AC$7-AC$5)*(AC$7-AC$6))))</f>
        <v>9.12734527541098</v>
      </c>
      <c r="AD576" s="2" t="n">
        <f aca="false">Entrées!$C$8*(1+E576)</f>
        <v>7411.67192184643</v>
      </c>
      <c r="AE576" s="2" t="n">
        <f aca="false">I576*Hypothèses!$J$24/12/Hypothèses!$J$19</f>
        <v>100.394260884361</v>
      </c>
      <c r="AF576" s="2" t="n">
        <f aca="false">Entrées!$C$36*S576*1000</f>
        <v>114.034349930435</v>
      </c>
      <c r="AG576" s="2" t="n">
        <f aca="false">-AF576/W576</f>
        <v>-12.709685680106</v>
      </c>
      <c r="AH576" s="2" t="n">
        <f aca="false">AD576+AE576+AG576</f>
        <v>7499.35649705068</v>
      </c>
      <c r="AI576" s="2" t="n">
        <f aca="false">Entrées!$C$16-M576+Hypothèses!$J$22*1000-AF576+Hypothèses!$J$23</f>
        <v>22881.5256732849</v>
      </c>
      <c r="AJ576" s="2" t="n">
        <f aca="false">AI576/AH576</f>
        <v>3.05113187808629</v>
      </c>
      <c r="AK576" s="2" t="n">
        <f aca="false">AI576/(AH576+I576*(12-Hypothèses!$J$24)/12/Hypothèses!$J$19)</f>
        <v>3.02223274871744</v>
      </c>
      <c r="AL576" s="2" t="n">
        <f aca="false">(AD576+AG576+I576/Hypothèses!$J$19)*(1+G576)</f>
        <v>8022.50451575641</v>
      </c>
      <c r="AM576" s="2" t="n">
        <f aca="false">Entrées!$C$54*K576/Hypothèses!$J$19</f>
        <v>20.0375074367901</v>
      </c>
      <c r="AN576" s="2" t="n">
        <f aca="false">Y576*1000/AC576</f>
        <v>53.7156400357802</v>
      </c>
      <c r="AO576" s="2" t="n">
        <f aca="false">(Entrées!$C$36*(1-S576)+MAX(0,Entrées!$C$30-Entrées!$C$35-Entrées!$C$36)*U576)*1000</f>
        <v>877.650558657446</v>
      </c>
      <c r="AP576" s="2" t="n">
        <f aca="false">-AO576/W576</f>
        <v>-97.8184445678896</v>
      </c>
      <c r="AQ576" s="2" t="n">
        <f aca="false">AL576+AM576+AN576+AP576</f>
        <v>7998.43921866109</v>
      </c>
      <c r="AR576" s="2" t="n">
        <f aca="false">O576*AQ576-Hypothèses!$J$25/Hypothèses!$J$19</f>
        <v>1300.11585039669</v>
      </c>
      <c r="AS576" s="2" t="n">
        <f aca="false">Entrées!$C$79*(1+Q576)+Hypothèses!$J$20</f>
        <v>1500.79074874809</v>
      </c>
      <c r="AT576" s="2" t="n">
        <f aca="false">AI576-AR576+AS576+Y576*1000-AO576+Hypothèses!$J$23</f>
        <v>22694.8312062751</v>
      </c>
      <c r="AU576" s="2" t="n">
        <f aca="false">AT576/AQ576</f>
        <v>2.83740747236361</v>
      </c>
      <c r="AV576" s="2" t="n">
        <f aca="false">Hypothèses!$J$26*AQ576-AT576</f>
        <v>1300.48644970817</v>
      </c>
      <c r="AW576" s="2" t="n">
        <f aca="false">IF(AC576&gt;Hypothèses!$J$26,MAX(0,AV576)/(1-Hypothèses!$J$26/AC576),0)</f>
        <v>1937.21559973355</v>
      </c>
      <c r="AX576" s="2" t="n">
        <f aca="false">AQ576-Entrées!$C$17*1000</f>
        <v>-1.56078133891151</v>
      </c>
      <c r="AY576" s="2" t="n">
        <f aca="false">AI576+(Entrées!$C$244-Entrées!$C$13)</f>
        <v>28628.5256732849</v>
      </c>
      <c r="AZ576" s="2" t="n">
        <f aca="false">AA576*AH576</f>
        <v>5284.65855537378</v>
      </c>
      <c r="BA576" s="2" t="n">
        <f aca="false">AZ576/AY576</f>
        <v>0.184594156740151</v>
      </c>
      <c r="BB576" s="2" t="n">
        <f aca="false">AZ576/(Entrées!$C$151/100)-AY576</f>
        <v>730.68852323612</v>
      </c>
      <c r="BC576" s="2" t="n">
        <f aca="false">AT576+(Entrées!$C$244-Entrées!$C$13)</f>
        <v>28441.8312062751</v>
      </c>
      <c r="BD576" s="2" t="n">
        <f aca="false">AA576*AQ576</f>
        <v>5636.35296750567</v>
      </c>
      <c r="BE576" s="2" t="n">
        <f aca="false">BD576/BC576</f>
        <v>0.198171240333573</v>
      </c>
      <c r="BF576" s="2" t="n">
        <f aca="false">BD576/(Entrées!$C$151/100)-BC576</f>
        <v>2871.24083542305</v>
      </c>
      <c r="BG576" s="2" t="n">
        <f aca="false">MIN(AV576,BF576)</f>
        <v>1300.48644970817</v>
      </c>
      <c r="BH576" s="2" t="n">
        <f aca="false">IF(AC576&gt;Hypothèses!$J$26,MAX(0,BG576)/(1-Hypothèses!$J$26/AC576),0)</f>
        <v>1937.21559973355</v>
      </c>
    </row>
    <row r="577" customFormat="false" ht="15" hidden="false" customHeight="false" outlineLevel="0" collapsed="false">
      <c r="A577" s="2" t="n">
        <v>562</v>
      </c>
      <c r="B577" s="2" t="n">
        <v>0.249029133</v>
      </c>
      <c r="C577" s="2"/>
      <c r="D577" s="2" t="n">
        <v>0.946030387</v>
      </c>
      <c r="E577" s="2" t="n">
        <f aca="false">IF(E$7=E$5,E$6,IF(NORMSDIST(E$9*SQRT($C$11)*NORMSINV($B577)+SQRT(1-E$9^2*$C$11)*NORMSINV(D577))&lt;E$8,E$5+SQRT(NORMSDIST(E$9*SQRT($C$11)*NORMSINV($B577)+SQRT(1-E$9^2*$C$11)*NORMSINV(D577))*(E$7-E$5)*(E$6-E$5)),E$7-SQRT((1-NORMSDIST(E$9*SQRT($C$11)*NORMSINV($B577)+SQRT(1-E$9^2*$C$11)*NORMSINV(D577)))*(E$7-E$5)*(E$7-E$6))))</f>
        <v>0.0567823915984603</v>
      </c>
      <c r="F577" s="2" t="n">
        <v>0.485990578</v>
      </c>
      <c r="G577" s="2" t="n">
        <f aca="false">IF(G$7=G$5,G$6,IF(NORMSDIST(G$9*SQRT($C$11)*NORMSINV($B577)+SQRT(1-G$9^2*$C$11)*NORMSINV(F577))&lt;G$8,G$5+SQRT(NORMSDIST(G$9*SQRT($C$11)*NORMSINV($B577)+SQRT(1-G$9^2*$C$11)*NORMSINV(F577))*(G$7-G$5)*(G$6-G$5)),G$7-SQRT((1-NORMSDIST(G$9*SQRT($C$11)*NORMSINV($B577)+SQRT(1-G$9^2*$C$11)*NORMSINV(F577)))*(G$7-G$5)*(G$7-G$6))))</f>
        <v>0.052080237178001</v>
      </c>
      <c r="H577" s="2" t="n">
        <v>0.683291693</v>
      </c>
      <c r="I577" s="2" t="n">
        <f aca="false">IF(I$7=I$5,I$6,IF(NORMSDIST(I$9*SQRT($C$11)*NORMSINV($B577)+SQRT(1-I$9^2*$C$11)*NORMSINV(H577))&lt;I$8,I$5+SQRT(NORMSDIST(I$9*SQRT($C$11)*NORMSINV($B577)+SQRT(1-I$9^2*$C$11)*NORMSINV(H577))*(I$7-I$5)*(I$6-I$5)),I$7-SQRT((1-NORMSDIST(I$9*SQRT($C$11)*NORMSINV($B577)+SQRT(1-I$9^2*$C$11)*NORMSINV(H577)))*(I$7-I$5)*(I$7-I$6))))</f>
        <v>199.523072300426</v>
      </c>
      <c r="J577" s="2" t="n">
        <v>0.482794896</v>
      </c>
      <c r="K577" s="2" t="n">
        <f aca="false">IF(K$7=K$5,K$6,IF(NORMSDIST(K$9*SQRT($C$11)*NORMSINV($B577)+SQRT(1-K$9^2*$C$11)*NORMSINV(J577))&lt;K$8,K$5+SQRT(NORMSDIST(K$9*SQRT($C$11)*NORMSINV($B577)+SQRT(1-K$9^2*$C$11)*NORMSINV(J577))*(K$7-K$5)*(K$6-K$5)),K$7-SQRT((1-NORMSDIST(K$9*SQRT($C$11)*NORMSINV($B577)+SQRT(1-K$9^2*$C$11)*NORMSINV(J577)))*(K$7-K$5)*(K$7-K$6))))</f>
        <v>0.200643921867376</v>
      </c>
      <c r="L577" s="2" t="n">
        <v>0.866598993</v>
      </c>
      <c r="M577" s="2" t="n">
        <f aca="false">IF(M$7=M$5,M$6,IF(NORMSDIST(M$9*SQRT($C$11)*NORMSINV($B577)+SQRT(1-M$9^2*$C$11)*NORMSINV(L577))&lt;M$8,M$5+SQRT(NORMSDIST(M$9*SQRT($C$11)*NORMSINV($B577)+SQRT(1-M$9^2*$C$11)*NORMSINV(L577))*(M$7-M$5)*(M$6-M$5)),M$7-SQRT((1-NORMSDIST(M$9*SQRT($C$11)*NORMSINV($B577)+SQRT(1-M$9^2*$C$11)*NORMSINV(L577)))*(M$7-M$5)*(M$7-M$6))))</f>
        <v>1629.08087094617</v>
      </c>
      <c r="N577" s="2" t="n">
        <v>0.946466914</v>
      </c>
      <c r="O577" s="2" t="n">
        <f aca="false">IF(O$7=O$5,O$6,IF(NORMSDIST(O$9*SQRT($C$11)*NORMSINV($B577)+SQRT(1-O$9^2*$C$11)*NORMSINV(N577))&lt;O$8,O$5+SQRT(NORMSDIST(O$9*SQRT($C$11)*NORMSINV($B577)+SQRT(1-O$9^2*$C$11)*NORMSINV(N577))*(O$7-O$5)*(O$6-O$5)),O$7-SQRT((1-NORMSDIST(O$9*SQRT($C$11)*NORMSINV($B577)+SQRT(1-O$9^2*$C$11)*NORMSINV(N577)))*(O$7-O$5)*(O$7-O$6))))</f>
        <v>0.175180572014997</v>
      </c>
      <c r="P577" s="2" t="n">
        <v>0.201824026</v>
      </c>
      <c r="Q577" s="2" t="n">
        <f aca="false">IF(Q$7=Q$5,Q$6,IF(NORMSDIST(Q$9*SQRT($C$11)*NORMSINV($B577)+SQRT(1-Q$9^2*$C$11)*NORMSINV(P577))&lt;Q$8,Q$5+SQRT(NORMSDIST(Q$9*SQRT($C$11)*NORMSINV($B577)+SQRT(1-Q$9^2*$C$11)*NORMSINV(P577))*(Q$7-Q$5)*(Q$6-Q$5)),Q$7-SQRT((1-NORMSDIST(Q$9*SQRT($C$11)*NORMSINV($B577)+SQRT(1-Q$9^2*$C$11)*NORMSINV(P577)))*(Q$7-Q$5)*(Q$7-Q$6))))</f>
        <v>0.0654133209793604</v>
      </c>
      <c r="R577" s="2" t="n">
        <v>0.15085901</v>
      </c>
      <c r="S577" s="2" t="n">
        <f aca="false">IF(S$7=S$5,S$6,IF(NORMSDIST(S$9*SQRT($C$11)*NORMSINV($B577)+SQRT(1-S$9^2*$C$11)*NORMSINV(R577))&lt;S$8,S$5+SQRT(NORMSDIST(S$9*SQRT($C$11)*NORMSINV($B577)+SQRT(1-S$9^2*$C$11)*NORMSINV(R577))*(S$7-S$5)*(S$6-S$5)),S$7-SQRT((1-NORMSDIST(S$9*SQRT($C$11)*NORMSINV($B577)+SQRT(1-S$9^2*$C$11)*NORMSINV(R577)))*(S$7-S$5)*(S$7-S$6))))</f>
        <v>0.234127973848049</v>
      </c>
      <c r="T577" s="2" t="n">
        <v>0.683443925</v>
      </c>
      <c r="U577" s="2" t="n">
        <f aca="false">IF(U$7=U$5,U$6,IF(NORMSDIST(U$9*SQRT($C$11)*NORMSINV($B577)+SQRT(1-U$9^2*$C$11)*NORMSINV(T577))&lt;U$8,U$5+SQRT(NORMSDIST(U$9*SQRT($C$11)*NORMSINV($B577)+SQRT(1-U$9^2*$C$11)*NORMSINV(T577))*(U$7-U$5)*(U$6-U$5)),U$7-SQRT((1-NORMSDIST(U$9*SQRT($C$11)*NORMSINV($B577)+SQRT(1-U$9^2*$C$11)*NORMSINV(T577)))*(U$7-U$5)*(U$7-U$6))))</f>
        <v>0.488144366788146</v>
      </c>
      <c r="V577" s="2" t="n">
        <v>0.444827073</v>
      </c>
      <c r="W577" s="2" t="n">
        <f aca="false">IF(W$7=W$5,W$6,IF(NORMSDIST(W$9*SQRT($C$11)*NORMSINV($B577)+SQRT(1-W$9^2*$C$11)*NORMSINV(V577))&lt;W$8,W$5+SQRT(NORMSDIST(W$9*SQRT($C$11)*NORMSINV($B577)+SQRT(1-W$9^2*$C$11)*NORMSINV(V577))*(W$7-W$5)*(W$6-W$5)),W$7-SQRT((1-NORMSDIST(W$9*SQRT($C$11)*NORMSINV($B577)+SQRT(1-W$9^2*$C$11)*NORMSINV(V577)))*(W$7-W$5)*(W$7-W$6))))</f>
        <v>9.53878761746249</v>
      </c>
      <c r="X577" s="2" t="n">
        <v>0.555315138</v>
      </c>
      <c r="Y577" s="2" t="n">
        <f aca="false">IF(Y$7=Y$5,Y$6,IF(NORMSDIST(Y$9*SQRT($C$11)*NORMSINV($B577)+SQRT(1-Y$9^2*$C$11)*NORMSINV(X577))&lt;Y$8,Y$5+SQRT(NORMSDIST(Y$9*SQRT($C$11)*NORMSINV($B577)+SQRT(1-Y$9^2*$C$11)*NORMSINV(X577))*(Y$7-Y$5)*(Y$6-Y$5)),Y$7-SQRT((1-NORMSDIST(Y$9*SQRT($C$11)*NORMSINV($B577)+SQRT(1-Y$9^2*$C$11)*NORMSINV(X577)))*(Y$7-Y$5)*(Y$7-Y$6))))</f>
        <v>0.528467995783955</v>
      </c>
      <c r="Z577" s="2" t="n">
        <v>0.580332495</v>
      </c>
      <c r="AA577" s="2" t="n">
        <f aca="false">IF(AA$7=AA$5,AA$6,IF(NORMSDIST(AA$9*SQRT($C$11)*NORMSINV($B577)+SQRT(1-AA$9^2*$C$11)*NORMSINV(Z577))&lt;AA$8,AA$5+SQRT(NORMSDIST(AA$9*SQRT($C$11)*NORMSINV($B577)+SQRT(1-AA$9^2*$C$11)*NORMSINV(Z577))*(AA$7-AA$5)*(AA$6-AA$5)),AA$7-SQRT((1-NORMSDIST(AA$9*SQRT($C$11)*NORMSINV($B577)+SQRT(1-AA$9^2*$C$11)*NORMSINV(Z577)))*(AA$7-AA$5)*(AA$7-AA$6))))</f>
        <v>0.724338931548492</v>
      </c>
      <c r="AB577" s="2" t="n">
        <v>0.128410726</v>
      </c>
      <c r="AC577" s="2" t="n">
        <f aca="false">IF(AC$7=AC$5,AC$6,IF(NORMSDIST(AC$9*SQRT($C$11)*NORMSINV($B577)+SQRT(1-AC$9^2*$C$11)*NORMSINV(AB577))&lt;AC$8,AC$5+SQRT(NORMSDIST(AC$9*SQRT($C$11)*NORMSINV($B577)+SQRT(1-AC$9^2*$C$11)*NORMSINV(AB577))*(AC$7-AC$5)*(AC$6-AC$5)),AC$7-SQRT((1-NORMSDIST(AC$9*SQRT($C$11)*NORMSINV($B577)+SQRT(1-AC$9^2*$C$11)*NORMSINV(AB577)))*(AC$7-AC$5)*(AC$7-AC$6))))</f>
        <v>8.30897823168846</v>
      </c>
      <c r="AD577" s="2" t="n">
        <f aca="false">Entrées!$C$8*(1+E577)</f>
        <v>7450.31586076915</v>
      </c>
      <c r="AE577" s="2" t="n">
        <f aca="false">I577*Hypothèses!$J$24/12/Hypothèses!$J$19</f>
        <v>98.9827575698052</v>
      </c>
      <c r="AF577" s="2" t="n">
        <f aca="false">Entrées!$C$36*S577*1000</f>
        <v>117.063986924024</v>
      </c>
      <c r="AG577" s="2" t="n">
        <f aca="false">-AF577/W577</f>
        <v>-12.2724177975949</v>
      </c>
      <c r="AH577" s="2" t="n">
        <f aca="false">AD577+AE577+AG577</f>
        <v>7537.02620054136</v>
      </c>
      <c r="AI577" s="2" t="n">
        <f aca="false">Entrées!$C$16-M577+Hypothèses!$J$22*1000-AF577+Hypothèses!$J$23</f>
        <v>22801.8551421298</v>
      </c>
      <c r="AJ577" s="2" t="n">
        <f aca="false">AI577/AH577</f>
        <v>3.0253119115457</v>
      </c>
      <c r="AK577" s="2" t="n">
        <f aca="false">AI577/(AH577+I577*(12-Hypothèses!$J$24)/12/Hypothèses!$J$19)</f>
        <v>2.99719635506223</v>
      </c>
      <c r="AL577" s="2" t="n">
        <f aca="false">(AD577+AG577+I577/Hypothèses!$J$19)*(1+G577)</f>
        <v>8003.94045772562</v>
      </c>
      <c r="AM577" s="2" t="n">
        <f aca="false">Entrées!$C$54*K577/Hypothèses!$J$19</f>
        <v>20.4765546759533</v>
      </c>
      <c r="AN577" s="2" t="n">
        <f aca="false">Y577*1000/AC577</f>
        <v>63.6020436024859</v>
      </c>
      <c r="AO577" s="2" t="n">
        <f aca="false">(Entrées!$C$36*(1-S577)+MAX(0,Entrées!$C$30-Entrées!$C$35-Entrées!$C$36)*U577)*1000</f>
        <v>1066.33812657938</v>
      </c>
      <c r="AP577" s="2" t="n">
        <f aca="false">-AO577/W577</f>
        <v>-111.789691661365</v>
      </c>
      <c r="AQ577" s="2" t="n">
        <f aca="false">AL577+AM577+AN577+AP577</f>
        <v>7976.2293643427</v>
      </c>
      <c r="AR577" s="2" t="n">
        <f aca="false">O577*AQ577-Hypothèses!$J$25/Hypothèses!$J$19</f>
        <v>1378.14526030674</v>
      </c>
      <c r="AS577" s="2" t="n">
        <f aca="false">Entrées!$C$79*(1+Q577)+Hypothèses!$J$20</f>
        <v>1465.88923975632</v>
      </c>
      <c r="AT577" s="2" t="n">
        <f aca="false">AI577-AR577+AS577+Y577*1000-AO577+Hypothèses!$J$23</f>
        <v>22351.728990784</v>
      </c>
      <c r="AU577" s="2" t="n">
        <f aca="false">AT577/AQ577</f>
        <v>2.802292658572</v>
      </c>
      <c r="AV577" s="2" t="n">
        <f aca="false">Hypothèses!$J$26*AQ577-AT577</f>
        <v>1576.95910224413</v>
      </c>
      <c r="AW577" s="2" t="n">
        <f aca="false">IF(AC577&gt;Hypothèses!$J$26,MAX(0,AV577)/(1-Hypothèses!$J$26/AC577),0)</f>
        <v>2468.0679183426</v>
      </c>
      <c r="AX577" s="2" t="n">
        <f aca="false">AQ577-Entrées!$C$17*1000</f>
        <v>-23.7706356573035</v>
      </c>
      <c r="AY577" s="2" t="n">
        <f aca="false">AI577+(Entrées!$C$244-Entrées!$C$13)</f>
        <v>28548.8551421298</v>
      </c>
      <c r="AZ577" s="2" t="n">
        <f aca="false">AA577*AH577</f>
        <v>5459.36150515312</v>
      </c>
      <c r="BA577" s="2" t="n">
        <f aca="false">AZ577/AY577</f>
        <v>0.19122873677329</v>
      </c>
      <c r="BB577" s="2" t="n">
        <f aca="false">AZ577/(Entrées!$C$151/100)-AY577</f>
        <v>1780.93099760973</v>
      </c>
      <c r="BC577" s="2" t="n">
        <f aca="false">AT577+(Entrées!$C$244-Entrées!$C$13)</f>
        <v>28098.728990784</v>
      </c>
      <c r="BD577" s="2" t="n">
        <f aca="false">AA577*AQ577</f>
        <v>5777.4934555537</v>
      </c>
      <c r="BE577" s="2" t="n">
        <f aca="false">BD577/BC577</f>
        <v>0.205614049569596</v>
      </c>
      <c r="BF577" s="2" t="n">
        <f aca="false">BD577/(Entrées!$C$151/100)-BC577</f>
        <v>3998.45687340325</v>
      </c>
      <c r="BG577" s="2" t="n">
        <f aca="false">MIN(AV577,BF577)</f>
        <v>1576.95910224413</v>
      </c>
      <c r="BH577" s="2" t="n">
        <f aca="false">IF(AC577&gt;Hypothèses!$J$26,MAX(0,BG577)/(1-Hypothèses!$J$26/AC577),0)</f>
        <v>2468.0679183426</v>
      </c>
    </row>
    <row r="578" customFormat="false" ht="15" hidden="false" customHeight="false" outlineLevel="0" collapsed="false">
      <c r="A578" s="2" t="n">
        <v>563</v>
      </c>
      <c r="B578" s="2" t="n">
        <v>0.627386975</v>
      </c>
      <c r="C578" s="2"/>
      <c r="D578" s="2" t="n">
        <v>0.059218433</v>
      </c>
      <c r="E578" s="2" t="n">
        <f aca="false">IF(E$7=E$5,E$6,IF(NORMSDIST(E$9*SQRT($C$11)*NORMSINV($B578)+SQRT(1-E$9^2*$C$11)*NORMSINV(D578))&lt;E$8,E$5+SQRT(NORMSDIST(E$9*SQRT($C$11)*NORMSINV($B578)+SQRT(1-E$9^2*$C$11)*NORMSINV(D578))*(E$7-E$5)*(E$6-E$5)),E$7-SQRT((1-NORMSDIST(E$9*SQRT($C$11)*NORMSINV($B578)+SQRT(1-E$9^2*$C$11)*NORMSINV(D578)))*(E$7-E$5)*(E$7-E$6))))</f>
        <v>0.0528081001185126</v>
      </c>
      <c r="F578" s="2" t="n">
        <v>0.143204475</v>
      </c>
      <c r="G578" s="2" t="n">
        <f aca="false">IF(G$7=G$5,G$6,IF(NORMSDIST(G$9*SQRT($C$11)*NORMSINV($B578)+SQRT(1-G$9^2*$C$11)*NORMSINV(F578))&lt;G$8,G$5+SQRT(NORMSDIST(G$9*SQRT($C$11)*NORMSINV($B578)+SQRT(1-G$9^2*$C$11)*NORMSINV(F578))*(G$7-G$5)*(G$6-G$5)),G$7-SQRT((1-NORMSDIST(G$9*SQRT($C$11)*NORMSINV($B578)+SQRT(1-G$9^2*$C$11)*NORMSINV(F578)))*(G$7-G$5)*(G$7-G$6))))</f>
        <v>0.0509726126566185</v>
      </c>
      <c r="H578" s="2" t="n">
        <v>0.421287185</v>
      </c>
      <c r="I578" s="2" t="n">
        <f aca="false">IF(I$7=I$5,I$6,IF(NORMSDIST(I$9*SQRT($C$11)*NORMSINV($B578)+SQRT(1-I$9^2*$C$11)*NORMSINV(H578))&lt;I$8,I$5+SQRT(NORMSDIST(I$9*SQRT($C$11)*NORMSINV($B578)+SQRT(1-I$9^2*$C$11)*NORMSINV(H578))*(I$7-I$5)*(I$6-I$5)),I$7-SQRT((1-NORMSDIST(I$9*SQRT($C$11)*NORMSINV($B578)+SQRT(1-I$9^2*$C$11)*NORMSINV(H578)))*(I$7-I$5)*(I$7-I$6))))</f>
        <v>200.416453626019</v>
      </c>
      <c r="J578" s="2" t="n">
        <v>0.702400821</v>
      </c>
      <c r="K578" s="2" t="n">
        <f aca="false">IF(K$7=K$5,K$6,IF(NORMSDIST(K$9*SQRT($C$11)*NORMSINV($B578)+SQRT(1-K$9^2*$C$11)*NORMSINV(J578))&lt;K$8,K$5+SQRT(NORMSDIST(K$9*SQRT($C$11)*NORMSINV($B578)+SQRT(1-K$9^2*$C$11)*NORMSINV(J578))*(K$7-K$5)*(K$6-K$5)),K$7-SQRT((1-NORMSDIST(K$9*SQRT($C$11)*NORMSINV($B578)+SQRT(1-K$9^2*$C$11)*NORMSINV(J578)))*(K$7-K$5)*(K$7-K$6))))</f>
        <v>0.316766871123142</v>
      </c>
      <c r="L578" s="2" t="n">
        <v>0.622886856</v>
      </c>
      <c r="M578" s="2" t="n">
        <f aca="false">IF(M$7=M$5,M$6,IF(NORMSDIST(M$9*SQRT($C$11)*NORMSINV($B578)+SQRT(1-M$9^2*$C$11)*NORMSINV(L578))&lt;M$8,M$5+SQRT(NORMSDIST(M$9*SQRT($C$11)*NORMSINV($B578)+SQRT(1-M$9^2*$C$11)*NORMSINV(L578))*(M$7-M$5)*(M$6-M$5)),M$7-SQRT((1-NORMSDIST(M$9*SQRT($C$11)*NORMSINV($B578)+SQRT(1-M$9^2*$C$11)*NORMSINV(L578)))*(M$7-M$5)*(M$7-M$6))))</f>
        <v>1630.53738016326</v>
      </c>
      <c r="N578" s="2" t="n">
        <v>0.566084221</v>
      </c>
      <c r="O578" s="2" t="n">
        <f aca="false">IF(O$7=O$5,O$6,IF(NORMSDIST(O$9*SQRT($C$11)*NORMSINV($B578)+SQRT(1-O$9^2*$C$11)*NORMSINV(N578))&lt;O$8,O$5+SQRT(NORMSDIST(O$9*SQRT($C$11)*NORMSINV($B578)+SQRT(1-O$9^2*$C$11)*NORMSINV(N578))*(O$7-O$5)*(O$6-O$5)),O$7-SQRT((1-NORMSDIST(O$9*SQRT($C$11)*NORMSINV($B578)+SQRT(1-O$9^2*$C$11)*NORMSINV(N578)))*(O$7-O$5)*(O$7-O$6))))</f>
        <v>0.170173554666862</v>
      </c>
      <c r="P578" s="2" t="n">
        <v>0.933513557</v>
      </c>
      <c r="Q578" s="2" t="n">
        <f aca="false">IF(Q$7=Q$5,Q$6,IF(NORMSDIST(Q$9*SQRT($C$11)*NORMSINV($B578)+SQRT(1-Q$9^2*$C$11)*NORMSINV(P578))&lt;Q$8,Q$5+SQRT(NORMSDIST(Q$9*SQRT($C$11)*NORMSINV($B578)+SQRT(1-Q$9^2*$C$11)*NORMSINV(P578))*(Q$7-Q$5)*(Q$6-Q$5)),Q$7-SQRT((1-NORMSDIST(Q$9*SQRT($C$11)*NORMSINV($B578)+SQRT(1-Q$9^2*$C$11)*NORMSINV(P578)))*(Q$7-Q$5)*(Q$7-Q$6))))</f>
        <v>0.105413821007543</v>
      </c>
      <c r="R578" s="2" t="n">
        <v>0.791654737</v>
      </c>
      <c r="S578" s="2" t="n">
        <f aca="false">IF(S$7=S$5,S$6,IF(NORMSDIST(S$9*SQRT($C$11)*NORMSINV($B578)+SQRT(1-S$9^2*$C$11)*NORMSINV(R578))&lt;S$8,S$5+SQRT(NORMSDIST(S$9*SQRT($C$11)*NORMSINV($B578)+SQRT(1-S$9^2*$C$11)*NORMSINV(R578))*(S$7-S$5)*(S$6-S$5)),S$7-SQRT((1-NORMSDIST(S$9*SQRT($C$11)*NORMSINV($B578)+SQRT(1-S$9^2*$C$11)*NORMSINV(R578)))*(S$7-S$5)*(S$7-S$6))))</f>
        <v>0.68222177300889</v>
      </c>
      <c r="T578" s="2" t="n">
        <v>0.531594794</v>
      </c>
      <c r="U578" s="2" t="n">
        <f aca="false">IF(U$7=U$5,U$6,IF(NORMSDIST(U$9*SQRT($C$11)*NORMSINV($B578)+SQRT(1-U$9^2*$C$11)*NORMSINV(T578))&lt;U$8,U$5+SQRT(NORMSDIST(U$9*SQRT($C$11)*NORMSINV($B578)+SQRT(1-U$9^2*$C$11)*NORMSINV(T578))*(U$7-U$5)*(U$6-U$5)),U$7-SQRT((1-NORMSDIST(U$9*SQRT($C$11)*NORMSINV($B578)+SQRT(1-U$9^2*$C$11)*NORMSINV(T578)))*(U$7-U$5)*(U$7-U$6))))</f>
        <v>0.555722283729039</v>
      </c>
      <c r="V578" s="2" t="n">
        <v>0.603933132</v>
      </c>
      <c r="W578" s="2" t="n">
        <f aca="false">IF(W$7=W$5,W$6,IF(NORMSDIST(W$9*SQRT($C$11)*NORMSINV($B578)+SQRT(1-W$9^2*$C$11)*NORMSINV(V578))&lt;W$8,W$5+SQRT(NORMSDIST(W$9*SQRT($C$11)*NORMSINV($B578)+SQRT(1-W$9^2*$C$11)*NORMSINV(V578))*(W$7-W$5)*(W$6-W$5)),W$7-SQRT((1-NORMSDIST(W$9*SQRT($C$11)*NORMSINV($B578)+SQRT(1-W$9^2*$C$11)*NORMSINV(V578)))*(W$7-W$5)*(W$7-W$6))))</f>
        <v>10.3482567557563</v>
      </c>
      <c r="X578" s="2" t="n">
        <v>0.408107318</v>
      </c>
      <c r="Y578" s="2" t="n">
        <f aca="false">IF(Y$7=Y$5,Y$6,IF(NORMSDIST(Y$9*SQRT($C$11)*NORMSINV($B578)+SQRT(1-Y$9^2*$C$11)*NORMSINV(X578))&lt;Y$8,Y$5+SQRT(NORMSDIST(Y$9*SQRT($C$11)*NORMSINV($B578)+SQRT(1-Y$9^2*$C$11)*NORMSINV(X578))*(Y$7-Y$5)*(Y$6-Y$5)),Y$7-SQRT((1-NORMSDIST(Y$9*SQRT($C$11)*NORMSINV($B578)+SQRT(1-Y$9^2*$C$11)*NORMSINV(X578)))*(Y$7-Y$5)*(Y$7-Y$6))))</f>
        <v>0.451722989231232</v>
      </c>
      <c r="Z578" s="2" t="n">
        <v>0.9986856</v>
      </c>
      <c r="AA578" s="2" t="n">
        <f aca="false">IF(AA$7=AA$5,AA$6,IF(NORMSDIST(AA$9*SQRT($C$11)*NORMSINV($B578)+SQRT(1-AA$9^2*$C$11)*NORMSINV(Z578))&lt;AA$8,AA$5+SQRT(NORMSDIST(AA$9*SQRT($C$11)*NORMSINV($B578)+SQRT(1-AA$9^2*$C$11)*NORMSINV(Z578))*(AA$7-AA$5)*(AA$6-AA$5)),AA$7-SQRT((1-NORMSDIST(AA$9*SQRT($C$11)*NORMSINV($B578)+SQRT(1-AA$9^2*$C$11)*NORMSINV(Z578)))*(AA$7-AA$5)*(AA$7-AA$6))))</f>
        <v>0.751185970483424</v>
      </c>
      <c r="AB578" s="2" t="n">
        <v>0.005789944</v>
      </c>
      <c r="AC578" s="2" t="n">
        <f aca="false">IF(AC$7=AC$5,AC$6,IF(NORMSDIST(AC$9*SQRT($C$11)*NORMSINV($B578)+SQRT(1-AC$9^2*$C$11)*NORMSINV(AB578))&lt;AC$8,AC$5+SQRT(NORMSDIST(AC$9*SQRT($C$11)*NORMSINV($B578)+SQRT(1-AC$9^2*$C$11)*NORMSINV(AB578))*(AC$7-AC$5)*(AC$6-AC$5)),AC$7-SQRT((1-NORMSDIST(AC$9*SQRT($C$11)*NORMSINV($B578)+SQRT(1-AC$9^2*$C$11)*NORMSINV(AB578)))*(AC$7-AC$5)*(AC$7-AC$6))))</f>
        <v>7.98824268897501</v>
      </c>
      <c r="AD578" s="2" t="n">
        <f aca="false">Entrées!$C$8*(1+E578)</f>
        <v>7422.29710583551</v>
      </c>
      <c r="AE578" s="2" t="n">
        <f aca="false">I578*Hypothèses!$J$24/12/Hypothèses!$J$19</f>
        <v>99.4259611860542</v>
      </c>
      <c r="AF578" s="2" t="n">
        <f aca="false">Entrées!$C$36*S578*1000</f>
        <v>341.110886504445</v>
      </c>
      <c r="AG578" s="2" t="n">
        <f aca="false">-AF578/W578</f>
        <v>-32.9631255346172</v>
      </c>
      <c r="AH578" s="2" t="n">
        <f aca="false">AD578+AE578+AG578</f>
        <v>7488.75994148695</v>
      </c>
      <c r="AI578" s="2" t="n">
        <f aca="false">Entrées!$C$16-M578+Hypothèses!$J$22*1000-AF578+Hypothèses!$J$23</f>
        <v>22576.3517333323</v>
      </c>
      <c r="AJ578" s="2" t="n">
        <f aca="false">AI578/AH578</f>
        <v>3.01469828245684</v>
      </c>
      <c r="AK578" s="2" t="n">
        <f aca="false">AI578/(AH578+I578*(12-Hypothèses!$J$24)/12/Hypothèses!$J$19)</f>
        <v>2.98637741536432</v>
      </c>
      <c r="AL578" s="2" t="n">
        <f aca="false">(AD578+AG578+I578/Hypothèses!$J$19)*(1+G578)</f>
        <v>7945.12014568677</v>
      </c>
      <c r="AM578" s="2" t="n">
        <f aca="false">Entrées!$C$54*K578/Hypothèses!$J$19</f>
        <v>32.3273892162607</v>
      </c>
      <c r="AN578" s="2" t="n">
        <f aca="false">Y578*1000/AC578</f>
        <v>56.5484809136656</v>
      </c>
      <c r="AO578" s="2" t="n">
        <f aca="false">(Entrées!$C$36*(1-S578)+MAX(0,Entrées!$C$30-Entrées!$C$35-Entrées!$C$36)*U578)*1000</f>
        <v>936.900310716209</v>
      </c>
      <c r="AP578" s="2" t="n">
        <f aca="false">-AO578/W578</f>
        <v>-90.5370182465806</v>
      </c>
      <c r="AQ578" s="2" t="n">
        <f aca="false">AL578+AM578+AN578+AP578</f>
        <v>7943.45899757012</v>
      </c>
      <c r="AR578" s="2" t="n">
        <f aca="false">O578*AQ578-Hypothèses!$J$25/Hypothèses!$J$19</f>
        <v>1332.63149170535</v>
      </c>
      <c r="AS578" s="2" t="n">
        <f aca="false">Entrées!$C$79*(1+Q578)+Hypothèses!$J$20</f>
        <v>1509.84978928729</v>
      </c>
      <c r="AT578" s="2" t="n">
        <f aca="false">AI578-AR578+AS578+Y578*1000-AO578+Hypothèses!$J$23</f>
        <v>22268.3927094293</v>
      </c>
      <c r="AU578" s="2" t="n">
        <f aca="false">AT578/AQ578</f>
        <v>2.80336220231528</v>
      </c>
      <c r="AV578" s="2" t="n">
        <f aca="false">Hypothèses!$J$26*AQ578-AT578</f>
        <v>1561.98428328108</v>
      </c>
      <c r="AW578" s="2" t="n">
        <f aca="false">IF(AC578&gt;Hypothèses!$J$26,MAX(0,AV578)/(1-Hypothèses!$J$26/AC578),0)</f>
        <v>2501.3838157457</v>
      </c>
      <c r="AX578" s="2" t="n">
        <f aca="false">AQ578-Entrées!$C$17*1000</f>
        <v>-56.5410024298853</v>
      </c>
      <c r="AY578" s="2" t="n">
        <f aca="false">AI578+(Entrées!$C$244-Entrées!$C$13)</f>
        <v>28323.3517333323</v>
      </c>
      <c r="AZ578" s="2" t="n">
        <f aca="false">AA578*AH578</f>
        <v>5625.45140436326</v>
      </c>
      <c r="BA578" s="2" t="n">
        <f aca="false">AZ578/AY578</f>
        <v>0.198615314222962</v>
      </c>
      <c r="BB578" s="2" t="n">
        <f aca="false">AZ578/(Entrées!$C$151/100)-AY578</f>
        <v>2929.15606868584</v>
      </c>
      <c r="BC578" s="2" t="n">
        <f aca="false">AT578+(Entrées!$C$244-Entrées!$C$13)</f>
        <v>28015.3927094293</v>
      </c>
      <c r="BD578" s="2" t="n">
        <f aca="false">AA578*AQ578</f>
        <v>5967.01495608499</v>
      </c>
      <c r="BE578" s="2" t="n">
        <f aca="false">BD578/BC578</f>
        <v>0.212990587637797</v>
      </c>
      <c r="BF578" s="2" t="n">
        <f aca="false">BD578/(Entrées!$C$151/100)-BC578</f>
        <v>5134.69037993181</v>
      </c>
      <c r="BG578" s="2" t="n">
        <f aca="false">MIN(AV578,BF578)</f>
        <v>1561.98428328108</v>
      </c>
      <c r="BH578" s="2" t="n">
        <f aca="false">IF(AC578&gt;Hypothèses!$J$26,MAX(0,BG578)/(1-Hypothèses!$J$26/AC578),0)</f>
        <v>2501.3838157457</v>
      </c>
    </row>
    <row r="579" customFormat="false" ht="15" hidden="false" customHeight="false" outlineLevel="0" collapsed="false">
      <c r="A579" s="2" t="n">
        <v>564</v>
      </c>
      <c r="B579" s="2" t="n">
        <v>0.407579457</v>
      </c>
      <c r="C579" s="2"/>
      <c r="D579" s="2" t="n">
        <v>0.882820599</v>
      </c>
      <c r="E579" s="2" t="n">
        <f aca="false">IF(E$7=E$5,E$6,IF(NORMSDIST(E$9*SQRT($C$11)*NORMSINV($B579)+SQRT(1-E$9^2*$C$11)*NORMSINV(D579))&lt;E$8,E$5+SQRT(NORMSDIST(E$9*SQRT($C$11)*NORMSINV($B579)+SQRT(1-E$9^2*$C$11)*NORMSINV(D579))*(E$7-E$5)*(E$6-E$5)),E$7-SQRT((1-NORMSDIST(E$9*SQRT($C$11)*NORMSINV($B579)+SQRT(1-E$9^2*$C$11)*NORMSINV(D579)))*(E$7-E$5)*(E$7-E$6))))</f>
        <v>0.0566858491751125</v>
      </c>
      <c r="F579" s="2" t="n">
        <v>0.350908503</v>
      </c>
      <c r="G579" s="2" t="n">
        <f aca="false">IF(G$7=G$5,G$6,IF(NORMSDIST(G$9*SQRT($C$11)*NORMSINV($B579)+SQRT(1-G$9^2*$C$11)*NORMSINV(F579))&lt;G$8,G$5+SQRT(NORMSDIST(G$9*SQRT($C$11)*NORMSINV($B579)+SQRT(1-G$9^2*$C$11)*NORMSINV(F579))*(G$7-G$5)*(G$6-G$5)),G$7-SQRT((1-NORMSDIST(G$9*SQRT($C$11)*NORMSINV($B579)+SQRT(1-G$9^2*$C$11)*NORMSINV(F579)))*(G$7-G$5)*(G$7-G$6))))</f>
        <v>0.05215590252762</v>
      </c>
      <c r="H579" s="2" t="n">
        <v>0.661768628</v>
      </c>
      <c r="I579" s="2" t="n">
        <f aca="false">IF(I$7=I$5,I$6,IF(NORMSDIST(I$9*SQRT($C$11)*NORMSINV($B579)+SQRT(1-I$9^2*$C$11)*NORMSINV(H579))&lt;I$8,I$5+SQRT(NORMSDIST(I$9*SQRT($C$11)*NORMSINV($B579)+SQRT(1-I$9^2*$C$11)*NORMSINV(H579))*(I$7-I$5)*(I$6-I$5)),I$7-SQRT((1-NORMSDIST(I$9*SQRT($C$11)*NORMSINV($B579)+SQRT(1-I$9^2*$C$11)*NORMSINV(H579)))*(I$7-I$5)*(I$7-I$6))))</f>
        <v>201.444362184601</v>
      </c>
      <c r="J579" s="2" t="n">
        <v>0.372366633</v>
      </c>
      <c r="K579" s="2" t="n">
        <f aca="false">IF(K$7=K$5,K$6,IF(NORMSDIST(K$9*SQRT($C$11)*NORMSINV($B579)+SQRT(1-K$9^2*$C$11)*NORMSINV(J579))&lt;K$8,K$5+SQRT(NORMSDIST(K$9*SQRT($C$11)*NORMSINV($B579)+SQRT(1-K$9^2*$C$11)*NORMSINV(J579))*(K$7-K$5)*(K$6-K$5)),K$7-SQRT((1-NORMSDIST(K$9*SQRT($C$11)*NORMSINV($B579)+SQRT(1-K$9^2*$C$11)*NORMSINV(J579)))*(K$7-K$5)*(K$7-K$6))))</f>
        <v>0.207532509561062</v>
      </c>
      <c r="L579" s="2" t="n">
        <v>0.570795435</v>
      </c>
      <c r="M579" s="2" t="n">
        <f aca="false">IF(M$7=M$5,M$6,IF(NORMSDIST(M$9*SQRT($C$11)*NORMSINV($B579)+SQRT(1-M$9^2*$C$11)*NORMSINV(L579))&lt;M$8,M$5+SQRT(NORMSDIST(M$9*SQRT($C$11)*NORMSINV($B579)+SQRT(1-M$9^2*$C$11)*NORMSINV(L579))*(M$7-M$5)*(M$6-M$5)),M$7-SQRT((1-NORMSDIST(M$9*SQRT($C$11)*NORMSINV($B579)+SQRT(1-M$9^2*$C$11)*NORMSINV(L579)))*(M$7-M$5)*(M$7-M$6))))</f>
        <v>1584.26106170416</v>
      </c>
      <c r="N579" s="2" t="n">
        <v>0.889671654</v>
      </c>
      <c r="O579" s="2" t="n">
        <f aca="false">IF(O$7=O$5,O$6,IF(NORMSDIST(O$9*SQRT($C$11)*NORMSINV($B579)+SQRT(1-O$9^2*$C$11)*NORMSINV(N579))&lt;O$8,O$5+SQRT(NORMSDIST(O$9*SQRT($C$11)*NORMSINV($B579)+SQRT(1-O$9^2*$C$11)*NORMSINV(N579))*(O$7-O$5)*(O$6-O$5)),O$7-SQRT((1-NORMSDIST(O$9*SQRT($C$11)*NORMSINV($B579)+SQRT(1-O$9^2*$C$11)*NORMSINV(N579)))*(O$7-O$5)*(O$7-O$6))))</f>
        <v>0.174986703962942</v>
      </c>
      <c r="P579" s="2" t="n">
        <v>0.598670624</v>
      </c>
      <c r="Q579" s="2" t="n">
        <f aca="false">IF(Q$7=Q$5,Q$6,IF(NORMSDIST(Q$9*SQRT($C$11)*NORMSINV($B579)+SQRT(1-Q$9^2*$C$11)*NORMSINV(P579))&lt;Q$8,Q$5+SQRT(NORMSDIST(Q$9*SQRT($C$11)*NORMSINV($B579)+SQRT(1-Q$9^2*$C$11)*NORMSINV(P579))*(Q$7-Q$5)*(Q$6-Q$5)),Q$7-SQRT((1-NORMSDIST(Q$9*SQRT($C$11)*NORMSINV($B579)+SQRT(1-Q$9^2*$C$11)*NORMSINV(P579)))*(Q$7-Q$5)*(Q$7-Q$6))))</f>
        <v>0.0841635101718932</v>
      </c>
      <c r="R579" s="2" t="n">
        <v>0.659519675</v>
      </c>
      <c r="S579" s="2" t="n">
        <f aca="false">IF(S$7=S$5,S$6,IF(NORMSDIST(S$9*SQRT($C$11)*NORMSINV($B579)+SQRT(1-S$9^2*$C$11)*NORMSINV(R579))&lt;S$8,S$5+SQRT(NORMSDIST(S$9*SQRT($C$11)*NORMSINV($B579)+SQRT(1-S$9^2*$C$11)*NORMSINV(R579))*(S$7-S$5)*(S$6-S$5)),S$7-SQRT((1-NORMSDIST(S$9*SQRT($C$11)*NORMSINV($B579)+SQRT(1-S$9^2*$C$11)*NORMSINV(R579)))*(S$7-S$5)*(S$7-S$6))))</f>
        <v>0.535102427817195</v>
      </c>
      <c r="T579" s="2" t="n">
        <v>0.45649426</v>
      </c>
      <c r="U579" s="2" t="n">
        <f aca="false">IF(U$7=U$5,U$6,IF(NORMSDIST(U$9*SQRT($C$11)*NORMSINV($B579)+SQRT(1-U$9^2*$C$11)*NORMSINV(T579))&lt;U$8,U$5+SQRT(NORMSDIST(U$9*SQRT($C$11)*NORMSINV($B579)+SQRT(1-U$9^2*$C$11)*NORMSINV(T579))*(U$7-U$5)*(U$6-U$5)),U$7-SQRT((1-NORMSDIST(U$9*SQRT($C$11)*NORMSINV($B579)+SQRT(1-U$9^2*$C$11)*NORMSINV(T579)))*(U$7-U$5)*(U$7-U$6))))</f>
        <v>0.451706541851219</v>
      </c>
      <c r="V579" s="2" t="n">
        <v>0.174265099</v>
      </c>
      <c r="W579" s="2" t="n">
        <f aca="false">IF(W$7=W$5,W$6,IF(NORMSDIST(W$9*SQRT($C$11)*NORMSINV($B579)+SQRT(1-W$9^2*$C$11)*NORMSINV(V579))&lt;W$8,W$5+SQRT(NORMSDIST(W$9*SQRT($C$11)*NORMSINV($B579)+SQRT(1-W$9^2*$C$11)*NORMSINV(V579))*(W$7-W$5)*(W$6-W$5)),W$7-SQRT((1-NORMSDIST(W$9*SQRT($C$11)*NORMSINV($B579)+SQRT(1-W$9^2*$C$11)*NORMSINV(V579)))*(W$7-W$5)*(W$7-W$6))))</f>
        <v>9.23631963652837</v>
      </c>
      <c r="X579" s="2" t="n">
        <v>0.326106671</v>
      </c>
      <c r="Y579" s="2" t="n">
        <f aca="false">IF(Y$7=Y$5,Y$6,IF(NORMSDIST(Y$9*SQRT($C$11)*NORMSINV($B579)+SQRT(1-Y$9^2*$C$11)*NORMSINV(X579))&lt;Y$8,Y$5+SQRT(NORMSDIST(Y$9*SQRT($C$11)*NORMSINV($B579)+SQRT(1-Y$9^2*$C$11)*NORMSINV(X579))*(Y$7-Y$5)*(Y$6-Y$5)),Y$7-SQRT((1-NORMSDIST(Y$9*SQRT($C$11)*NORMSINV($B579)+SQRT(1-Y$9^2*$C$11)*NORMSINV(X579)))*(Y$7-Y$5)*(Y$7-Y$6))))</f>
        <v>0.403798632365193</v>
      </c>
      <c r="Z579" s="2" t="n">
        <v>0.315730767</v>
      </c>
      <c r="AA579" s="2" t="n">
        <f aca="false">IF(AA$7=AA$5,AA$6,IF(NORMSDIST(AA$9*SQRT($C$11)*NORMSINV($B579)+SQRT(1-AA$9^2*$C$11)*NORMSINV(Z579))&lt;AA$8,AA$5+SQRT(NORMSDIST(AA$9*SQRT($C$11)*NORMSINV($B579)+SQRT(1-AA$9^2*$C$11)*NORMSINV(Z579))*(AA$7-AA$5)*(AA$6-AA$5)),AA$7-SQRT((1-NORMSDIST(AA$9*SQRT($C$11)*NORMSINV($B579)+SQRT(1-AA$9^2*$C$11)*NORMSINV(Z579)))*(AA$7-AA$5)*(AA$7-AA$6))))</f>
        <v>0.720746821697457</v>
      </c>
      <c r="AB579" s="2" t="n">
        <v>0.701376306</v>
      </c>
      <c r="AC579" s="2" t="n">
        <f aca="false">IF(AC$7=AC$5,AC$6,IF(NORMSDIST(AC$9*SQRT($C$11)*NORMSINV($B579)+SQRT(1-AC$9^2*$C$11)*NORMSINV(AB579))&lt;AC$8,AC$5+SQRT(NORMSDIST(AC$9*SQRT($C$11)*NORMSINV($B579)+SQRT(1-AC$9^2*$C$11)*NORMSINV(AB579))*(AC$7-AC$5)*(AC$6-AC$5)),AC$7-SQRT((1-NORMSDIST(AC$9*SQRT($C$11)*NORMSINV($B579)+SQRT(1-AC$9^2*$C$11)*NORMSINV(AB579)))*(AC$7-AC$5)*(AC$7-AC$6))))</f>
        <v>9.68274045875653</v>
      </c>
      <c r="AD579" s="2" t="n">
        <f aca="false">Entrées!$C$8*(1+E579)</f>
        <v>7449.63523668454</v>
      </c>
      <c r="AE579" s="2" t="n">
        <f aca="false">I579*Hypothèses!$J$24/12/Hypothèses!$J$19</f>
        <v>99.935903332017</v>
      </c>
      <c r="AF579" s="2" t="n">
        <f aca="false">Entrées!$C$36*S579*1000</f>
        <v>267.551213908597</v>
      </c>
      <c r="AG579" s="2" t="n">
        <f aca="false">-AF579/W579</f>
        <v>-28.9672969794667</v>
      </c>
      <c r="AH579" s="2" t="n">
        <f aca="false">AD579+AE579+AG579</f>
        <v>7520.60384303709</v>
      </c>
      <c r="AI579" s="2" t="n">
        <f aca="false">Entrées!$C$16-M579+Hypothèses!$J$22*1000-AF579+Hypothèses!$J$23</f>
        <v>22696.1877243872</v>
      </c>
      <c r="AJ579" s="2" t="n">
        <f aca="false">AI579/AH579</f>
        <v>3.01786774015498</v>
      </c>
      <c r="AK579" s="2" t="n">
        <f aca="false">AI579/(AH579+I579*(12-Hypothèses!$J$24)/12/Hypothèses!$J$19)</f>
        <v>2.98949258305068</v>
      </c>
      <c r="AL579" s="2" t="n">
        <f aca="false">(AD579+AG579+I579/Hypothèses!$J$19)*(1+G579)</f>
        <v>7987.95354585567</v>
      </c>
      <c r="AM579" s="2" t="n">
        <f aca="false">Entrées!$C$54*K579/Hypothèses!$J$19</f>
        <v>21.1795639734046</v>
      </c>
      <c r="AN579" s="2" t="n">
        <f aca="false">Y579*1000/AC579</f>
        <v>41.7029284307646</v>
      </c>
      <c r="AO579" s="2" t="n">
        <f aca="false">(Entrées!$C$36*(1-S579)+MAX(0,Entrées!$C$30-Entrées!$C$35-Entrées!$C$36)*U579)*1000</f>
        <v>864.837944683109</v>
      </c>
      <c r="AP579" s="2" t="n">
        <f aca="false">-AO579/W579</f>
        <v>-93.6344754963648</v>
      </c>
      <c r="AQ579" s="2" t="n">
        <f aca="false">AL579+AM579+AN579+AP579</f>
        <v>7957.20156276348</v>
      </c>
      <c r="AR579" s="2" t="n">
        <f aca="false">O579*AQ579-Hypothèses!$J$25/Hypothèses!$J$19</f>
        <v>1373.26931197513</v>
      </c>
      <c r="AS579" s="2" t="n">
        <f aca="false">Entrées!$C$79*(1+Q579)+Hypothèses!$J$20</f>
        <v>1486.49569767891</v>
      </c>
      <c r="AT579" s="2" t="n">
        <f aca="false">AI579-AR579+AS579+Y579*1000-AO579+Hypothèses!$J$23</f>
        <v>22348.3747977731</v>
      </c>
      <c r="AU579" s="2" t="n">
        <f aca="false">AT579/AQ579</f>
        <v>2.80857216214738</v>
      </c>
      <c r="AV579" s="2" t="n">
        <f aca="false">Hypothèses!$J$26*AQ579-AT579</f>
        <v>1523.22989051733</v>
      </c>
      <c r="AW579" s="2" t="n">
        <f aca="false">IF(AC579&gt;Hypothèses!$J$26,MAX(0,AV579)/(1-Hypothèses!$J$26/AC579),0)</f>
        <v>2207.03464094187</v>
      </c>
      <c r="AX579" s="2" t="n">
        <f aca="false">AQ579-Entrées!$C$17*1000</f>
        <v>-42.7984372365218</v>
      </c>
      <c r="AY579" s="2" t="n">
        <f aca="false">AI579+(Entrées!$C$244-Entrées!$C$13)</f>
        <v>28443.1877243872</v>
      </c>
      <c r="AZ579" s="2" t="n">
        <f aca="false">AA579*AH579</f>
        <v>5420.45131711467</v>
      </c>
      <c r="BA579" s="2" t="n">
        <f aca="false">AZ579/AY579</f>
        <v>0.190571161349372</v>
      </c>
      <c r="BB579" s="2" t="n">
        <f aca="false">AZ579/(Entrées!$C$151/100)-AY579</f>
        <v>1670.43070402759</v>
      </c>
      <c r="BC579" s="2" t="n">
        <f aca="false">AT579+(Entrées!$C$244-Entrées!$C$13)</f>
        <v>28095.3747977731</v>
      </c>
      <c r="BD579" s="2" t="n">
        <f aca="false">AA579*AQ579</f>
        <v>5735.12773596782</v>
      </c>
      <c r="BE579" s="2" t="n">
        <f aca="false">BD579/BC579</f>
        <v>0.204130671943284</v>
      </c>
      <c r="BF579" s="2" t="n">
        <f aca="false">BD579/(Entrées!$C$151/100)-BC579</f>
        <v>3766.44595760366</v>
      </c>
      <c r="BG579" s="2" t="n">
        <f aca="false">MIN(AV579,BF579)</f>
        <v>1523.22989051733</v>
      </c>
      <c r="BH579" s="2" t="n">
        <f aca="false">IF(AC579&gt;Hypothèses!$J$26,MAX(0,BG579)/(1-Hypothèses!$J$26/AC579),0)</f>
        <v>2207.03464094187</v>
      </c>
    </row>
    <row r="580" customFormat="false" ht="15" hidden="false" customHeight="false" outlineLevel="0" collapsed="false">
      <c r="A580" s="2" t="n">
        <v>565</v>
      </c>
      <c r="B580" s="2" t="n">
        <v>0.228321</v>
      </c>
      <c r="C580" s="2"/>
      <c r="D580" s="2" t="n">
        <v>0.449951392</v>
      </c>
      <c r="E580" s="2" t="n">
        <f aca="false">IF(E$7=E$5,E$6,IF(NORMSDIST(E$9*SQRT($C$11)*NORMSINV($B580)+SQRT(1-E$9^2*$C$11)*NORMSINV(D580))&lt;E$8,E$5+SQRT(NORMSDIST(E$9*SQRT($C$11)*NORMSINV($B580)+SQRT(1-E$9^2*$C$11)*NORMSINV(D580))*(E$7-E$5)*(E$6-E$5)),E$7-SQRT((1-NORMSDIST(E$9*SQRT($C$11)*NORMSINV($B580)+SQRT(1-E$9^2*$C$11)*NORMSINV(D580)))*(E$7-E$5)*(E$7-E$6))))</f>
        <v>0.0537745292225755</v>
      </c>
      <c r="F580" s="2" t="n">
        <v>0.052941679</v>
      </c>
      <c r="G580" s="2" t="n">
        <f aca="false">IF(G$7=G$5,G$6,IF(NORMSDIST(G$9*SQRT($C$11)*NORMSINV($B580)+SQRT(1-G$9^2*$C$11)*NORMSINV(F580))&lt;G$8,G$5+SQRT(NORMSDIST(G$9*SQRT($C$11)*NORMSINV($B580)+SQRT(1-G$9^2*$C$11)*NORMSINV(F580))*(G$7-G$5)*(G$6-G$5)),G$7-SQRT((1-NORMSDIST(G$9*SQRT($C$11)*NORMSINV($B580)+SQRT(1-G$9^2*$C$11)*NORMSINV(F580)))*(G$7-G$5)*(G$7-G$6))))</f>
        <v>0.0443689644252588</v>
      </c>
      <c r="H580" s="2" t="n">
        <v>0.681527919</v>
      </c>
      <c r="I580" s="2" t="n">
        <f aca="false">IF(I$7=I$5,I$6,IF(NORMSDIST(I$9*SQRT($C$11)*NORMSINV($B580)+SQRT(1-I$9^2*$C$11)*NORMSINV(H580))&lt;I$8,I$5+SQRT(NORMSDIST(I$9*SQRT($C$11)*NORMSINV($B580)+SQRT(1-I$9^2*$C$11)*NORMSINV(H580))*(I$7-I$5)*(I$6-I$5)),I$7-SQRT((1-NORMSDIST(I$9*SQRT($C$11)*NORMSINV($B580)+SQRT(1-I$9^2*$C$11)*NORMSINV(H580)))*(I$7-I$5)*(I$7-I$6))))</f>
        <v>199.14383533785</v>
      </c>
      <c r="J580" s="2" t="n">
        <v>0.346171158</v>
      </c>
      <c r="K580" s="2" t="n">
        <f aca="false">IF(K$7=K$5,K$6,IF(NORMSDIST(K$9*SQRT($C$11)*NORMSINV($B580)+SQRT(1-K$9^2*$C$11)*NORMSINV(J580))&lt;K$8,K$5+SQRT(NORMSDIST(K$9*SQRT($C$11)*NORMSINV($B580)+SQRT(1-K$9^2*$C$11)*NORMSINV(J580))*(K$7-K$5)*(K$6-K$5)),K$7-SQRT((1-NORMSDIST(K$9*SQRT($C$11)*NORMSINV($B580)+SQRT(1-K$9^2*$C$11)*NORMSINV(J580)))*(K$7-K$5)*(K$7-K$6))))</f>
        <v>0.165263367919817</v>
      </c>
      <c r="L580" s="2" t="n">
        <v>0.998607809</v>
      </c>
      <c r="M580" s="2" t="n">
        <f aca="false">IF(M$7=M$5,M$6,IF(NORMSDIST(M$9*SQRT($C$11)*NORMSINV($B580)+SQRT(1-M$9^2*$C$11)*NORMSINV(L580))&lt;M$8,M$5+SQRT(NORMSDIST(M$9*SQRT($C$11)*NORMSINV($B580)+SQRT(1-M$9^2*$C$11)*NORMSINV(L580))*(M$7-M$5)*(M$6-M$5)),M$7-SQRT((1-NORMSDIST(M$9*SQRT($C$11)*NORMSINV($B580)+SQRT(1-M$9^2*$C$11)*NORMSINV(L580)))*(M$7-M$5)*(M$7-M$6))))</f>
        <v>1741.06017853336</v>
      </c>
      <c r="N580" s="2" t="n">
        <v>0.385923536</v>
      </c>
      <c r="O580" s="2" t="n">
        <f aca="false">IF(O$7=O$5,O$6,IF(NORMSDIST(O$9*SQRT($C$11)*NORMSINV($B580)+SQRT(1-O$9^2*$C$11)*NORMSINV(N580))&lt;O$8,O$5+SQRT(NORMSDIST(O$9*SQRT($C$11)*NORMSINV($B580)+SQRT(1-O$9^2*$C$11)*NORMSINV(N580))*(O$7-O$5)*(O$6-O$5)),O$7-SQRT((1-NORMSDIST(O$9*SQRT($C$11)*NORMSINV($B580)+SQRT(1-O$9^2*$C$11)*NORMSINV(N580)))*(O$7-O$5)*(O$7-O$6))))</f>
        <v>0.158687986666648</v>
      </c>
      <c r="P580" s="2" t="n">
        <v>0.433808635</v>
      </c>
      <c r="Q580" s="2" t="n">
        <f aca="false">IF(Q$7=Q$5,Q$6,IF(NORMSDIST(Q$9*SQRT($C$11)*NORMSINV($B580)+SQRT(1-Q$9^2*$C$11)*NORMSINV(P580))&lt;Q$8,Q$5+SQRT(NORMSDIST(Q$9*SQRT($C$11)*NORMSINV($B580)+SQRT(1-Q$9^2*$C$11)*NORMSINV(P580))*(Q$7-Q$5)*(Q$6-Q$5)),Q$7-SQRT((1-NORMSDIST(Q$9*SQRT($C$11)*NORMSINV($B580)+SQRT(1-Q$9^2*$C$11)*NORMSINV(P580)))*(Q$7-Q$5)*(Q$7-Q$6))))</f>
        <v>0.0772583900886767</v>
      </c>
      <c r="R580" s="2" t="n">
        <v>0.083179282</v>
      </c>
      <c r="S580" s="2" t="n">
        <f aca="false">IF(S$7=S$5,S$6,IF(NORMSDIST(S$9*SQRT($C$11)*NORMSINV($B580)+SQRT(1-S$9^2*$C$11)*NORMSINV(R580))&lt;S$8,S$5+SQRT(NORMSDIST(S$9*SQRT($C$11)*NORMSINV($B580)+SQRT(1-S$9^2*$C$11)*NORMSINV(R580))*(S$7-S$5)*(S$6-S$5)),S$7-SQRT((1-NORMSDIST(S$9*SQRT($C$11)*NORMSINV($B580)+SQRT(1-S$9^2*$C$11)*NORMSINV(R580)))*(S$7-S$5)*(S$7-S$6))))</f>
        <v>0.175264912003626</v>
      </c>
      <c r="T580" s="2" t="n">
        <v>0.147648611</v>
      </c>
      <c r="U580" s="2" t="n">
        <f aca="false">IF(U$7=U$5,U$6,IF(NORMSDIST(U$9*SQRT($C$11)*NORMSINV($B580)+SQRT(1-U$9^2*$C$11)*NORMSINV(T580))&lt;U$8,U$5+SQRT(NORMSDIST(U$9*SQRT($C$11)*NORMSINV($B580)+SQRT(1-U$9^2*$C$11)*NORMSINV(T580))*(U$7-U$5)*(U$6-U$5)),U$7-SQRT((1-NORMSDIST(U$9*SQRT($C$11)*NORMSINV($B580)+SQRT(1-U$9^2*$C$11)*NORMSINV(T580)))*(U$7-U$5)*(U$7-U$6))))</f>
        <v>0.22362419075479</v>
      </c>
      <c r="V580" s="2" t="n">
        <v>0.170860456</v>
      </c>
      <c r="W580" s="2" t="n">
        <f aca="false">IF(W$7=W$5,W$6,IF(NORMSDIST(W$9*SQRT($C$11)*NORMSINV($B580)+SQRT(1-W$9^2*$C$11)*NORMSINV(V580))&lt;W$8,W$5+SQRT(NORMSDIST(W$9*SQRT($C$11)*NORMSINV($B580)+SQRT(1-W$9^2*$C$11)*NORMSINV(V580))*(W$7-W$5)*(W$6-W$5)),W$7-SQRT((1-NORMSDIST(W$9*SQRT($C$11)*NORMSINV($B580)+SQRT(1-W$9^2*$C$11)*NORMSINV(V580)))*(W$7-W$5)*(W$7-W$6))))</f>
        <v>8.95359044346717</v>
      </c>
      <c r="X580" s="2" t="n">
        <v>0.383474559</v>
      </c>
      <c r="Y580" s="2" t="n">
        <f aca="false">IF(Y$7=Y$5,Y$6,IF(NORMSDIST(Y$9*SQRT($C$11)*NORMSINV($B580)+SQRT(1-Y$9^2*$C$11)*NORMSINV(X580))&lt;Y$8,Y$5+SQRT(NORMSDIST(Y$9*SQRT($C$11)*NORMSINV($B580)+SQRT(1-Y$9^2*$C$11)*NORMSINV(X580))*(Y$7-Y$5)*(Y$6-Y$5)),Y$7-SQRT((1-NORMSDIST(Y$9*SQRT($C$11)*NORMSINV($B580)+SQRT(1-Y$9^2*$C$11)*NORMSINV(X580)))*(Y$7-Y$5)*(Y$7-Y$6))))</f>
        <v>0.437878155997762</v>
      </c>
      <c r="Z580" s="2" t="n">
        <v>0.72150732</v>
      </c>
      <c r="AA580" s="2" t="n">
        <f aca="false">IF(AA$7=AA$5,AA$6,IF(NORMSDIST(AA$9*SQRT($C$11)*NORMSINV($B580)+SQRT(1-AA$9^2*$C$11)*NORMSINV(Z580))&lt;AA$8,AA$5+SQRT(NORMSDIST(AA$9*SQRT($C$11)*NORMSINV($B580)+SQRT(1-AA$9^2*$C$11)*NORMSINV(Z580))*(AA$7-AA$5)*(AA$6-AA$5)),AA$7-SQRT((1-NORMSDIST(AA$9*SQRT($C$11)*NORMSINV($B580)+SQRT(1-AA$9^2*$C$11)*NORMSINV(Z580)))*(AA$7-AA$5)*(AA$7-AA$6))))</f>
        <v>0.727843728661971</v>
      </c>
      <c r="AB580" s="2" t="n">
        <v>0.032061602</v>
      </c>
      <c r="AC580" s="2" t="n">
        <f aca="false">IF(AC$7=AC$5,AC$6,IF(NORMSDIST(AC$9*SQRT($C$11)*NORMSINV($B580)+SQRT(1-AC$9^2*$C$11)*NORMSINV(AB580))&lt;AC$8,AC$5+SQRT(NORMSDIST(AC$9*SQRT($C$11)*NORMSINV($B580)+SQRT(1-AC$9^2*$C$11)*NORMSINV(AB580))*(AC$7-AC$5)*(AC$6-AC$5)),AC$7-SQRT((1-NORMSDIST(AC$9*SQRT($C$11)*NORMSINV($B580)+SQRT(1-AC$9^2*$C$11)*NORMSINV(AB580)))*(AC$7-AC$5)*(AC$7-AC$6))))</f>
        <v>7.89536948399723</v>
      </c>
      <c r="AD580" s="2" t="n">
        <f aca="false">Entrées!$C$8*(1+E580)</f>
        <v>7429.11043101916</v>
      </c>
      <c r="AE580" s="2" t="n">
        <f aca="false">I580*Hypothèses!$J$24/12/Hypothèses!$J$19</f>
        <v>98.7946193264663</v>
      </c>
      <c r="AF580" s="2" t="n">
        <f aca="false">Entrées!$C$36*S580*1000</f>
        <v>87.6324560018128</v>
      </c>
      <c r="AG580" s="2" t="n">
        <f aca="false">-AF580/W580</f>
        <v>-9.78740948171828</v>
      </c>
      <c r="AH580" s="2" t="n">
        <f aca="false">AD580+AE580+AG580</f>
        <v>7518.11764086391</v>
      </c>
      <c r="AI580" s="2" t="n">
        <f aca="false">Entrées!$C$16-M580+Hypothèses!$J$22*1000-AF580+Hypothèses!$J$23</f>
        <v>22719.3073654648</v>
      </c>
      <c r="AJ580" s="2" t="n">
        <f aca="false">AI580/AH580</f>
        <v>3.02194092334716</v>
      </c>
      <c r="AK580" s="2" t="n">
        <f aca="false">AI580/(AH580+I580*(12-Hypothèses!$J$24)/12/Hypothèses!$J$19)</f>
        <v>2.99383973489035</v>
      </c>
      <c r="AL580" s="2" t="n">
        <f aca="false">(AD580+AG580+I580/Hypothèses!$J$19)*(1+G580)</f>
        <v>7925.38733092829</v>
      </c>
      <c r="AM580" s="2" t="n">
        <f aca="false">Entrées!$C$54*K580/Hypothèses!$J$19</f>
        <v>16.8658205922586</v>
      </c>
      <c r="AN580" s="2" t="n">
        <f aca="false">Y580*1000/AC580</f>
        <v>55.4601221494798</v>
      </c>
      <c r="AO580" s="2" t="n">
        <f aca="false">(Entrées!$C$36*(1-S580)+MAX(0,Entrées!$C$30-Entrées!$C$35-Entrées!$C$36)*U580)*1000</f>
        <v>725.441411054894</v>
      </c>
      <c r="AP580" s="2" t="n">
        <f aca="false">-AO580/W580</f>
        <v>-81.0224027595767</v>
      </c>
      <c r="AQ580" s="2" t="n">
        <f aca="false">AL580+AM580+AN580+AP580</f>
        <v>7916.69087091045</v>
      </c>
      <c r="AR580" s="2" t="n">
        <f aca="false">O580*AQ580-Hypothèses!$J$25/Hypothèses!$J$19</f>
        <v>1237.14857310538</v>
      </c>
      <c r="AS580" s="2" t="n">
        <f aca="false">Entrées!$C$79*(1+Q580)+Hypothèses!$J$20</f>
        <v>1478.90697070746</v>
      </c>
      <c r="AT580" s="2" t="n">
        <f aca="false">AI580-AR580+AS580+Y580*1000-AO580+Hypothèses!$J$23</f>
        <v>22673.5025080098</v>
      </c>
      <c r="AU580" s="2" t="n">
        <f aca="false">AT580/AQ580</f>
        <v>2.86401261306319</v>
      </c>
      <c r="AV580" s="2" t="n">
        <f aca="false">Hypothèses!$J$26*AQ580-AT580</f>
        <v>1076.57010472158</v>
      </c>
      <c r="AW580" s="2" t="n">
        <f aca="false">IF(AC580&gt;Hypothèses!$J$26,MAX(0,AV580)/(1-Hypothèses!$J$26/AC580),0)</f>
        <v>1736.31812266435</v>
      </c>
      <c r="AX580" s="2" t="n">
        <f aca="false">AQ580-Entrées!$C$17*1000</f>
        <v>-83.3091290895527</v>
      </c>
      <c r="AY580" s="2" t="n">
        <f aca="false">AI580+(Entrées!$C$244-Entrées!$C$13)</f>
        <v>28466.3073654648</v>
      </c>
      <c r="AZ580" s="2" t="n">
        <f aca="false">AA580*AH580</f>
        <v>5472.01477624573</v>
      </c>
      <c r="BA580" s="2" t="n">
        <f aca="false">AZ580/AY580</f>
        <v>0.192227769692544</v>
      </c>
      <c r="BB580" s="2" t="n">
        <f aca="false">AZ580/(Entrées!$C$151/100)-AY580</f>
        <v>1933.77472478922</v>
      </c>
      <c r="BC580" s="2" t="n">
        <f aca="false">AT580+(Entrées!$C$244-Entrées!$C$13)</f>
        <v>28420.5025080098</v>
      </c>
      <c r="BD580" s="2" t="n">
        <f aca="false">AA580*AQ580</f>
        <v>5762.11380214765</v>
      </c>
      <c r="BE580" s="2" t="n">
        <f aca="false">BD580/BC580</f>
        <v>0.202744965558709</v>
      </c>
      <c r="BF580" s="2" t="n">
        <f aca="false">BD580/(Entrées!$C$151/100)-BC580</f>
        <v>3591.24083725495</v>
      </c>
      <c r="BG580" s="2" t="n">
        <f aca="false">MIN(AV580,BF580)</f>
        <v>1076.57010472158</v>
      </c>
      <c r="BH580" s="2" t="n">
        <f aca="false">IF(AC580&gt;Hypothèses!$J$26,MAX(0,BG580)/(1-Hypothèses!$J$26/AC580),0)</f>
        <v>1736.31812266435</v>
      </c>
    </row>
    <row r="581" customFormat="false" ht="15" hidden="false" customHeight="false" outlineLevel="0" collapsed="false">
      <c r="A581" s="2" t="n">
        <v>566</v>
      </c>
      <c r="B581" s="2" t="n">
        <v>0.438754686</v>
      </c>
      <c r="C581" s="2"/>
      <c r="D581" s="2" t="n">
        <v>0.165566784</v>
      </c>
      <c r="E581" s="2" t="n">
        <f aca="false">IF(E$7=E$5,E$6,IF(NORMSDIST(E$9*SQRT($C$11)*NORMSINV($B581)+SQRT(1-E$9^2*$C$11)*NORMSINV(D581))&lt;E$8,E$5+SQRT(NORMSDIST(E$9*SQRT($C$11)*NORMSINV($B581)+SQRT(1-E$9^2*$C$11)*NORMSINV(D581))*(E$7-E$5)*(E$6-E$5)),E$7-SQRT((1-NORMSDIST(E$9*SQRT($C$11)*NORMSINV($B581)+SQRT(1-E$9^2*$C$11)*NORMSINV(D581)))*(E$7-E$5)*(E$7-E$6))))</f>
        <v>0.0531431752006248</v>
      </c>
      <c r="F581" s="2" t="n">
        <v>0.896897919</v>
      </c>
      <c r="G581" s="2" t="n">
        <f aca="false">IF(G$7=G$5,G$6,IF(NORMSDIST(G$9*SQRT($C$11)*NORMSINV($B581)+SQRT(1-G$9^2*$C$11)*NORMSINV(F581))&lt;G$8,G$5+SQRT(NORMSDIST(G$9*SQRT($C$11)*NORMSINV($B581)+SQRT(1-G$9^2*$C$11)*NORMSINV(F581))*(G$7-G$5)*(G$6-G$5)),G$7-SQRT((1-NORMSDIST(G$9*SQRT($C$11)*NORMSINV($B581)+SQRT(1-G$9^2*$C$11)*NORMSINV(F581)))*(G$7-G$5)*(G$7-G$6))))</f>
        <v>0.060778272294165</v>
      </c>
      <c r="H581" s="2" t="n">
        <v>0.064835223</v>
      </c>
      <c r="I581" s="2" t="n">
        <f aca="false">IF(I$7=I$5,I$6,IF(NORMSDIST(I$9*SQRT($C$11)*NORMSINV($B581)+SQRT(1-I$9^2*$C$11)*NORMSINV(H581))&lt;I$8,I$5+SQRT(NORMSDIST(I$9*SQRT($C$11)*NORMSINV($B581)+SQRT(1-I$9^2*$C$11)*NORMSINV(H581))*(I$7-I$5)*(I$6-I$5)),I$7-SQRT((1-NORMSDIST(I$9*SQRT($C$11)*NORMSINV($B581)+SQRT(1-I$9^2*$C$11)*NORMSINV(H581)))*(I$7-I$5)*(I$7-I$6))))</f>
        <v>189.024861636825</v>
      </c>
      <c r="J581" s="2" t="n">
        <v>0.795723122</v>
      </c>
      <c r="K581" s="2" t="n">
        <f aca="false">IF(K$7=K$5,K$6,IF(NORMSDIST(K$9*SQRT($C$11)*NORMSINV($B581)+SQRT(1-K$9^2*$C$11)*NORMSINV(J581))&lt;K$8,K$5+SQRT(NORMSDIST(K$9*SQRT($C$11)*NORMSINV($B581)+SQRT(1-K$9^2*$C$11)*NORMSINV(J581))*(K$7-K$5)*(K$6-K$5)),K$7-SQRT((1-NORMSDIST(K$9*SQRT($C$11)*NORMSINV($B581)+SQRT(1-K$9^2*$C$11)*NORMSINV(J581)))*(K$7-K$5)*(K$7-K$6))))</f>
        <v>0.308403078198374</v>
      </c>
      <c r="L581" s="2" t="n">
        <v>0.758645906</v>
      </c>
      <c r="M581" s="2" t="n">
        <f aca="false">IF(M$7=M$5,M$6,IF(NORMSDIST(M$9*SQRT($C$11)*NORMSINV($B581)+SQRT(1-M$9^2*$C$11)*NORMSINV(L581))&lt;M$8,M$5+SQRT(NORMSDIST(M$9*SQRT($C$11)*NORMSINV($B581)+SQRT(1-M$9^2*$C$11)*NORMSINV(L581))*(M$7-M$5)*(M$6-M$5)),M$7-SQRT((1-NORMSDIST(M$9*SQRT($C$11)*NORMSINV($B581)+SQRT(1-M$9^2*$C$11)*NORMSINV(L581)))*(M$7-M$5)*(M$7-M$6))))</f>
        <v>1630.38050824882</v>
      </c>
      <c r="N581" s="2" t="n">
        <v>0.444840913</v>
      </c>
      <c r="O581" s="2" t="n">
        <f aca="false">IF(O$7=O$5,O$6,IF(NORMSDIST(O$9*SQRT($C$11)*NORMSINV($B581)+SQRT(1-O$9^2*$C$11)*NORMSINV(N581))&lt;O$8,O$5+SQRT(NORMSDIST(O$9*SQRT($C$11)*NORMSINV($B581)+SQRT(1-O$9^2*$C$11)*NORMSINV(N581))*(O$7-O$5)*(O$6-O$5)),O$7-SQRT((1-NORMSDIST(O$9*SQRT($C$11)*NORMSINV($B581)+SQRT(1-O$9^2*$C$11)*NORMSINV(N581)))*(O$7-O$5)*(O$7-O$6))))</f>
        <v>0.164513800907804</v>
      </c>
      <c r="P581" s="2" t="n">
        <v>0.502741081</v>
      </c>
      <c r="Q581" s="2" t="n">
        <f aca="false">IF(Q$7=Q$5,Q$6,IF(NORMSDIST(Q$9*SQRT($C$11)*NORMSINV($B581)+SQRT(1-Q$9^2*$C$11)*NORMSINV(P581))&lt;Q$8,Q$5+SQRT(NORMSDIST(Q$9*SQRT($C$11)*NORMSINV($B581)+SQRT(1-Q$9^2*$C$11)*NORMSINV(P581))*(Q$7-Q$5)*(Q$6-Q$5)),Q$7-SQRT((1-NORMSDIST(Q$9*SQRT($C$11)*NORMSINV($B581)+SQRT(1-Q$9^2*$C$11)*NORMSINV(P581)))*(Q$7-Q$5)*(Q$7-Q$6))))</f>
        <v>0.0801097939238214</v>
      </c>
      <c r="R581" s="2" t="n">
        <v>0.790624239</v>
      </c>
      <c r="S581" s="2" t="n">
        <f aca="false">IF(S$7=S$5,S$6,IF(NORMSDIST(S$9*SQRT($C$11)*NORMSINV($B581)+SQRT(1-S$9^2*$C$11)*NORMSINV(R581))&lt;S$8,S$5+SQRT(NORMSDIST(S$9*SQRT($C$11)*NORMSINV($B581)+SQRT(1-S$9^2*$C$11)*NORMSINV(R581))*(S$7-S$5)*(S$6-S$5)),S$7-SQRT((1-NORMSDIST(S$9*SQRT($C$11)*NORMSINV($B581)+SQRT(1-S$9^2*$C$11)*NORMSINV(R581)))*(S$7-S$5)*(S$7-S$6))))</f>
        <v>0.613700805785845</v>
      </c>
      <c r="T581" s="2" t="n">
        <v>0.432642981</v>
      </c>
      <c r="U581" s="2" t="n">
        <f aca="false">IF(U$7=U$5,U$6,IF(NORMSDIST(U$9*SQRT($C$11)*NORMSINV($B581)+SQRT(1-U$9^2*$C$11)*NORMSINV(T581))&lt;U$8,U$5+SQRT(NORMSDIST(U$9*SQRT($C$11)*NORMSINV($B581)+SQRT(1-U$9^2*$C$11)*NORMSINV(T581))*(U$7-U$5)*(U$6-U$5)),U$7-SQRT((1-NORMSDIST(U$9*SQRT($C$11)*NORMSINV($B581)+SQRT(1-U$9^2*$C$11)*NORMSINV(T581)))*(U$7-U$5)*(U$7-U$6))))</f>
        <v>0.452480838398705</v>
      </c>
      <c r="V581" s="2" t="n">
        <v>0.147840792</v>
      </c>
      <c r="W581" s="2" t="n">
        <f aca="false">IF(W$7=W$5,W$6,IF(NORMSDIST(W$9*SQRT($C$11)*NORMSINV($B581)+SQRT(1-W$9^2*$C$11)*NORMSINV(V581))&lt;W$8,W$5+SQRT(NORMSDIST(W$9*SQRT($C$11)*NORMSINV($B581)+SQRT(1-W$9^2*$C$11)*NORMSINV(V581))*(W$7-W$5)*(W$6-W$5)),W$7-SQRT((1-NORMSDIST(W$9*SQRT($C$11)*NORMSINV($B581)+SQRT(1-W$9^2*$C$11)*NORMSINV(V581)))*(W$7-W$5)*(W$7-W$6))))</f>
        <v>9.20688035113172</v>
      </c>
      <c r="X581" s="2" t="n">
        <v>0.8876082</v>
      </c>
      <c r="Y581" s="2" t="n">
        <f aca="false">IF(Y$7=Y$5,Y$6,IF(NORMSDIST(Y$9*SQRT($C$11)*NORMSINV($B581)+SQRT(1-Y$9^2*$C$11)*NORMSINV(X581))&lt;Y$8,Y$5+SQRT(NORMSDIST(Y$9*SQRT($C$11)*NORMSINV($B581)+SQRT(1-Y$9^2*$C$11)*NORMSINV(X581))*(Y$7-Y$5)*(Y$6-Y$5)),Y$7-SQRT((1-NORMSDIST(Y$9*SQRT($C$11)*NORMSINV($B581)+SQRT(1-Y$9^2*$C$11)*NORMSINV(X581)))*(Y$7-Y$5)*(Y$7-Y$6))))</f>
        <v>0.762943255738209</v>
      </c>
      <c r="Z581" s="2" t="n">
        <v>0.773418512</v>
      </c>
      <c r="AA581" s="2" t="n">
        <f aca="false">IF(AA$7=AA$5,AA$6,IF(NORMSDIST(AA$9*SQRT($C$11)*NORMSINV($B581)+SQRT(1-AA$9^2*$C$11)*NORMSINV(Z581))&lt;AA$8,AA$5+SQRT(NORMSDIST(AA$9*SQRT($C$11)*NORMSINV($B581)+SQRT(1-AA$9^2*$C$11)*NORMSINV(Z581))*(AA$7-AA$5)*(AA$6-AA$5)),AA$7-SQRT((1-NORMSDIST(AA$9*SQRT($C$11)*NORMSINV($B581)+SQRT(1-AA$9^2*$C$11)*NORMSINV(Z581)))*(AA$7-AA$5)*(AA$7-AA$6))))</f>
        <v>0.733769115675224</v>
      </c>
      <c r="AB581" s="2" t="n">
        <v>0.448028656</v>
      </c>
      <c r="AC581" s="2" t="n">
        <f aca="false">IF(AC$7=AC$5,AC$6,IF(NORMSDIST(AC$9*SQRT($C$11)*NORMSINV($B581)+SQRT(1-AC$9^2*$C$11)*NORMSINV(AB581))&lt;AC$8,AC$5+SQRT(NORMSDIST(AC$9*SQRT($C$11)*NORMSINV($B581)+SQRT(1-AC$9^2*$C$11)*NORMSINV(AB581))*(AC$7-AC$5)*(AC$6-AC$5)),AC$7-SQRT((1-NORMSDIST(AC$9*SQRT($C$11)*NORMSINV($B581)+SQRT(1-AC$9^2*$C$11)*NORMSINV(AB581)))*(AC$7-AC$5)*(AC$7-AC$6))))</f>
        <v>9.30779306910275</v>
      </c>
      <c r="AD581" s="2" t="n">
        <f aca="false">Entrées!$C$8*(1+E581)</f>
        <v>7424.65938516441</v>
      </c>
      <c r="AE581" s="2" t="n">
        <f aca="false">I581*Hypothèses!$J$24/12/Hypothèses!$J$19</f>
        <v>93.7746288604232</v>
      </c>
      <c r="AF581" s="2" t="n">
        <f aca="false">Entrées!$C$36*S581*1000</f>
        <v>306.850402892922</v>
      </c>
      <c r="AG581" s="2" t="n">
        <f aca="false">-AF581/W581</f>
        <v>-33.328379558577</v>
      </c>
      <c r="AH581" s="2" t="n">
        <f aca="false">AD581+AE581+AG581</f>
        <v>7485.10563446625</v>
      </c>
      <c r="AI581" s="2" t="n">
        <f aca="false">Entrées!$C$16-M581+Hypothèses!$J$22*1000-AF581+Hypothèses!$J$23</f>
        <v>22610.7690888583</v>
      </c>
      <c r="AJ581" s="2" t="n">
        <f aca="false">AI581/AH581</f>
        <v>3.02076820195345</v>
      </c>
      <c r="AK581" s="2" t="n">
        <f aca="false">AI581/(AH581+I581*(12-Hypothèses!$J$24)/12/Hypothèses!$J$19)</f>
        <v>2.99397604334706</v>
      </c>
      <c r="AL581" s="2" t="n">
        <f aca="false">(AD581+AG581+I581/Hypothèses!$J$19)*(1+G581)</f>
        <v>8011.09034343099</v>
      </c>
      <c r="AM581" s="2" t="n">
        <f aca="false">Entrées!$C$54*K581/Hypothèses!$J$19</f>
        <v>31.4738290309909</v>
      </c>
      <c r="AN581" s="2" t="n">
        <f aca="false">Y581*1000/AC581</f>
        <v>81.9682227649433</v>
      </c>
      <c r="AO581" s="2" t="n">
        <f aca="false">(Entrées!$C$36*(1-S581)+MAX(0,Entrées!$C$30-Entrées!$C$35-Entrées!$C$36)*U581)*1000</f>
        <v>826.622770865265</v>
      </c>
      <c r="AP581" s="2" t="n">
        <f aca="false">-AO581/W581</f>
        <v>-89.7831555683957</v>
      </c>
      <c r="AQ581" s="2" t="n">
        <f aca="false">AL581+AM581+AN581+AP581</f>
        <v>8034.74923965853</v>
      </c>
      <c r="AR581" s="2" t="n">
        <f aca="false">O581*AQ581-Hypothèses!$J$25/Hypothèses!$J$19</f>
        <v>1302.69197449569</v>
      </c>
      <c r="AS581" s="2" t="n">
        <f aca="false">Entrées!$C$79*(1+Q581)+Hypothèses!$J$20</f>
        <v>1482.04066352228</v>
      </c>
      <c r="AT581" s="2" t="n">
        <f aca="false">AI581-AR581+AS581+Y581*1000-AO581+Hypothèses!$J$23</f>
        <v>22726.4382627578</v>
      </c>
      <c r="AU581" s="2" t="n">
        <f aca="false">AT581/AQ581</f>
        <v>2.82851867368591</v>
      </c>
      <c r="AV581" s="2" t="n">
        <f aca="false">Hypothèses!$J$26*AQ581-AT581</f>
        <v>1377.8094562178</v>
      </c>
      <c r="AW581" s="2" t="n">
        <f aca="false">IF(AC581&gt;Hypothèses!$J$26,MAX(0,AV581)/(1-Hypothèses!$J$26/AC581),0)</f>
        <v>2033.09860780714</v>
      </c>
      <c r="AX581" s="2" t="n">
        <f aca="false">AQ581-Entrées!$C$17*1000</f>
        <v>34.7492396585294</v>
      </c>
      <c r="AY581" s="2" t="n">
        <f aca="false">AI581+(Entrées!$C$244-Entrées!$C$13)</f>
        <v>28357.7690888583</v>
      </c>
      <c r="AZ581" s="2" t="n">
        <f aca="false">AA581*AH581</f>
        <v>5492.33934213794</v>
      </c>
      <c r="BA581" s="2" t="n">
        <f aca="false">AZ581/AY581</f>
        <v>0.193680233622322</v>
      </c>
      <c r="BB581" s="2" t="n">
        <f aca="false">AZ581/(Entrées!$C$151/100)-AY581</f>
        <v>2155.22725635251</v>
      </c>
      <c r="BC581" s="2" t="n">
        <f aca="false">AT581+(Entrées!$C$244-Entrées!$C$13)</f>
        <v>28473.4382627578</v>
      </c>
      <c r="BD581" s="2" t="n">
        <f aca="false">AA581*AQ581</f>
        <v>5895.65084425642</v>
      </c>
      <c r="BE581" s="2" t="n">
        <f aca="false">BD581/BC581</f>
        <v>0.207057917974301</v>
      </c>
      <c r="BF581" s="2" t="n">
        <f aca="false">BD581/(Entrées!$C$151/100)-BC581</f>
        <v>4280.17753866676</v>
      </c>
      <c r="BG581" s="2" t="n">
        <f aca="false">MIN(AV581,BF581)</f>
        <v>1377.8094562178</v>
      </c>
      <c r="BH581" s="2" t="n">
        <f aca="false">IF(AC581&gt;Hypothèses!$J$26,MAX(0,BG581)/(1-Hypothèses!$J$26/AC581),0)</f>
        <v>2033.09860780714</v>
      </c>
    </row>
    <row r="582" customFormat="false" ht="15" hidden="false" customHeight="false" outlineLevel="0" collapsed="false">
      <c r="A582" s="2" t="n">
        <v>567</v>
      </c>
      <c r="B582" s="2" t="n">
        <v>0.648892598</v>
      </c>
      <c r="C582" s="2"/>
      <c r="D582" s="2" t="n">
        <v>0.236526194</v>
      </c>
      <c r="E582" s="2" t="n">
        <f aca="false">IF(E$7=E$5,E$6,IF(NORMSDIST(E$9*SQRT($C$11)*NORMSINV($B582)+SQRT(1-E$9^2*$C$11)*NORMSINV(D582))&lt;E$8,E$5+SQRT(NORMSDIST(E$9*SQRT($C$11)*NORMSINV($B582)+SQRT(1-E$9^2*$C$11)*NORMSINV(D582))*(E$7-E$5)*(E$6-E$5)),E$7-SQRT((1-NORMSDIST(E$9*SQRT($C$11)*NORMSINV($B582)+SQRT(1-E$9^2*$C$11)*NORMSINV(D582)))*(E$7-E$5)*(E$7-E$6))))</f>
        <v>0.0543403199723455</v>
      </c>
      <c r="F582" s="2" t="n">
        <v>0.102164047</v>
      </c>
      <c r="G582" s="2" t="n">
        <f aca="false">IF(G$7=G$5,G$6,IF(NORMSDIST(G$9*SQRT($C$11)*NORMSINV($B582)+SQRT(1-G$9^2*$C$11)*NORMSINV(F582))&lt;G$8,G$5+SQRT(NORMSDIST(G$9*SQRT($C$11)*NORMSINV($B582)+SQRT(1-G$9^2*$C$11)*NORMSINV(F582))*(G$7-G$5)*(G$6-G$5)),G$7-SQRT((1-NORMSDIST(G$9*SQRT($C$11)*NORMSINV($B582)+SQRT(1-G$9^2*$C$11)*NORMSINV(F582)))*(G$7-G$5)*(G$7-G$6))))</f>
        <v>0.0501563487504083</v>
      </c>
      <c r="H582" s="2" t="n">
        <v>0.822748554</v>
      </c>
      <c r="I582" s="2" t="n">
        <f aca="false">IF(I$7=I$5,I$6,IF(NORMSDIST(I$9*SQRT($C$11)*NORMSINV($B582)+SQRT(1-I$9^2*$C$11)*NORMSINV(H582))&lt;I$8,I$5+SQRT(NORMSDIST(I$9*SQRT($C$11)*NORMSINV($B582)+SQRT(1-I$9^2*$C$11)*NORMSINV(H582))*(I$7-I$5)*(I$6-I$5)),I$7-SQRT((1-NORMSDIST(I$9*SQRT($C$11)*NORMSINV($B582)+SQRT(1-I$9^2*$C$11)*NORMSINV(H582)))*(I$7-I$5)*(I$7-I$6))))</f>
        <v>208.380038394076</v>
      </c>
      <c r="J582" s="2" t="n">
        <v>0.268344477</v>
      </c>
      <c r="K582" s="2" t="n">
        <f aca="false">IF(K$7=K$5,K$6,IF(NORMSDIST(K$9*SQRT($C$11)*NORMSINV($B582)+SQRT(1-K$9^2*$C$11)*NORMSINV(J582))&lt;K$8,K$5+SQRT(NORMSDIST(K$9*SQRT($C$11)*NORMSINV($B582)+SQRT(1-K$9^2*$C$11)*NORMSINV(J582))*(K$7-K$5)*(K$6-K$5)),K$7-SQRT((1-NORMSDIST(K$9*SQRT($C$11)*NORMSINV($B582)+SQRT(1-K$9^2*$C$11)*NORMSINV(J582)))*(K$7-K$5)*(K$7-K$6))))</f>
        <v>0.225394622675991</v>
      </c>
      <c r="L582" s="2" t="n">
        <v>0.17462787</v>
      </c>
      <c r="M582" s="2" t="n">
        <f aca="false">IF(M$7=M$5,M$6,IF(NORMSDIST(M$9*SQRT($C$11)*NORMSINV($B582)+SQRT(1-M$9^2*$C$11)*NORMSINV(L582))&lt;M$8,M$5+SQRT(NORMSDIST(M$9*SQRT($C$11)*NORMSINV($B582)+SQRT(1-M$9^2*$C$11)*NORMSINV(L582))*(M$7-M$5)*(M$6-M$5)),M$7-SQRT((1-NORMSDIST(M$9*SQRT($C$11)*NORMSINV($B582)+SQRT(1-M$9^2*$C$11)*NORMSINV(L582)))*(M$7-M$5)*(M$7-M$6))))</f>
        <v>1526.95932401703</v>
      </c>
      <c r="N582" s="2" t="n">
        <v>0.146108841</v>
      </c>
      <c r="O582" s="2" t="n">
        <f aca="false">IF(O$7=O$5,O$6,IF(NORMSDIST(O$9*SQRT($C$11)*NORMSINV($B582)+SQRT(1-O$9^2*$C$11)*NORMSINV(N582))&lt;O$8,O$5+SQRT(NORMSDIST(O$9*SQRT($C$11)*NORMSINV($B582)+SQRT(1-O$9^2*$C$11)*NORMSINV(N582))*(O$7-O$5)*(O$6-O$5)),O$7-SQRT((1-NORMSDIST(O$9*SQRT($C$11)*NORMSINV($B582)+SQRT(1-O$9^2*$C$11)*NORMSINV(N582)))*(O$7-O$5)*(O$7-O$6))))</f>
        <v>0.160149589502278</v>
      </c>
      <c r="P582" s="2" t="n">
        <v>0.523179542</v>
      </c>
      <c r="Q582" s="2" t="n">
        <f aca="false">IF(Q$7=Q$5,Q$6,IF(NORMSDIST(Q$9*SQRT($C$11)*NORMSINV($B582)+SQRT(1-Q$9^2*$C$11)*NORMSINV(P582))&lt;Q$8,Q$5+SQRT(NORMSDIST(Q$9*SQRT($C$11)*NORMSINV($B582)+SQRT(1-Q$9^2*$C$11)*NORMSINV(P582))*(Q$7-Q$5)*(Q$6-Q$5)),Q$7-SQRT((1-NORMSDIST(Q$9*SQRT($C$11)*NORMSINV($B582)+SQRT(1-Q$9^2*$C$11)*NORMSINV(P582)))*(Q$7-Q$5)*(Q$7-Q$6))))</f>
        <v>0.0809381840463094</v>
      </c>
      <c r="R582" s="2" t="n">
        <v>0.272798638</v>
      </c>
      <c r="S582" s="2" t="n">
        <f aca="false">IF(S$7=S$5,S$6,IF(NORMSDIST(S$9*SQRT($C$11)*NORMSINV($B582)+SQRT(1-S$9^2*$C$11)*NORMSINV(R582))&lt;S$8,S$5+SQRT(NORMSDIST(S$9*SQRT($C$11)*NORMSINV($B582)+SQRT(1-S$9^2*$C$11)*NORMSINV(R582))*(S$7-S$5)*(S$6-S$5)),S$7-SQRT((1-NORMSDIST(S$9*SQRT($C$11)*NORMSINV($B582)+SQRT(1-S$9^2*$C$11)*NORMSINV(R582)))*(S$7-S$5)*(S$7-S$6))))</f>
        <v>0.453028896954798</v>
      </c>
      <c r="T582" s="2" t="n">
        <v>0.824616688</v>
      </c>
      <c r="U582" s="2" t="n">
        <f aca="false">IF(U$7=U$5,U$6,IF(NORMSDIST(U$9*SQRT($C$11)*NORMSINV($B582)+SQRT(1-U$9^2*$C$11)*NORMSINV(T582))&lt;U$8,U$5+SQRT(NORMSDIST(U$9*SQRT($C$11)*NORMSINV($B582)+SQRT(1-U$9^2*$C$11)*NORMSINV(T582))*(U$7-U$5)*(U$6-U$5)),U$7-SQRT((1-NORMSDIST(U$9*SQRT($C$11)*NORMSINV($B582)+SQRT(1-U$9^2*$C$11)*NORMSINV(T582)))*(U$7-U$5)*(U$7-U$6))))</f>
        <v>0.710711337554851</v>
      </c>
      <c r="V582" s="2" t="n">
        <v>0.428774622</v>
      </c>
      <c r="W582" s="2" t="n">
        <f aca="false">IF(W$7=W$5,W$6,IF(NORMSDIST(W$9*SQRT($C$11)*NORMSINV($B582)+SQRT(1-W$9^2*$C$11)*NORMSINV(V582))&lt;W$8,W$5+SQRT(NORMSDIST(W$9*SQRT($C$11)*NORMSINV($B582)+SQRT(1-W$9^2*$C$11)*NORMSINV(V582))*(W$7-W$5)*(W$6-W$5)),W$7-SQRT((1-NORMSDIST(W$9*SQRT($C$11)*NORMSINV($B582)+SQRT(1-W$9^2*$C$11)*NORMSINV(V582)))*(W$7-W$5)*(W$7-W$6))))</f>
        <v>10.0836036455242</v>
      </c>
      <c r="X582" s="2" t="n">
        <v>0.95299865</v>
      </c>
      <c r="Y582" s="2" t="n">
        <f aca="false">IF(Y$7=Y$5,Y$6,IF(NORMSDIST(Y$9*SQRT($C$11)*NORMSINV($B582)+SQRT(1-Y$9^2*$C$11)*NORMSINV(X582))&lt;Y$8,Y$5+SQRT(NORMSDIST(Y$9*SQRT($C$11)*NORMSINV($B582)+SQRT(1-Y$9^2*$C$11)*NORMSINV(X582))*(Y$7-Y$5)*(Y$6-Y$5)),Y$7-SQRT((1-NORMSDIST(Y$9*SQRT($C$11)*NORMSINV($B582)+SQRT(1-Y$9^2*$C$11)*NORMSINV(X582)))*(Y$7-Y$5)*(Y$7-Y$6))))</f>
        <v>0.846700701241004</v>
      </c>
      <c r="Z582" s="2" t="n">
        <v>0.401719051</v>
      </c>
      <c r="AA582" s="2" t="n">
        <f aca="false">IF(AA$7=AA$5,AA$6,IF(NORMSDIST(AA$9*SQRT($C$11)*NORMSINV($B582)+SQRT(1-AA$9^2*$C$11)*NORMSINV(Z582))&lt;AA$8,AA$5+SQRT(NORMSDIST(AA$9*SQRT($C$11)*NORMSINV($B582)+SQRT(1-AA$9^2*$C$11)*NORMSINV(Z582))*(AA$7-AA$5)*(AA$6-AA$5)),AA$7-SQRT((1-NORMSDIST(AA$9*SQRT($C$11)*NORMSINV($B582)+SQRT(1-AA$9^2*$C$11)*NORMSINV(Z582)))*(AA$7-AA$5)*(AA$7-AA$6))))</f>
        <v>0.72868498975808</v>
      </c>
      <c r="AB582" s="2" t="n">
        <v>0.115263809</v>
      </c>
      <c r="AC582" s="2" t="n">
        <f aca="false">IF(AC$7=AC$5,AC$6,IF(NORMSDIST(AC$9*SQRT($C$11)*NORMSINV($B582)+SQRT(1-AC$9^2*$C$11)*NORMSINV(AB582))&lt;AC$8,AC$5+SQRT(NORMSDIST(AC$9*SQRT($C$11)*NORMSINV($B582)+SQRT(1-AC$9^2*$C$11)*NORMSINV(AB582))*(AC$7-AC$5)*(AC$6-AC$5)),AC$7-SQRT((1-NORMSDIST(AC$9*SQRT($C$11)*NORMSINV($B582)+SQRT(1-AC$9^2*$C$11)*NORMSINV(AB582)))*(AC$7-AC$5)*(AC$7-AC$6))))</f>
        <v>8.85807325220967</v>
      </c>
      <c r="AD582" s="2" t="n">
        <f aca="false">Entrées!$C$8*(1+E582)</f>
        <v>7433.09925580504</v>
      </c>
      <c r="AE582" s="2" t="n">
        <f aca="false">I582*Hypothèses!$J$24/12/Hypothèses!$J$19</f>
        <v>103.376670101042</v>
      </c>
      <c r="AF582" s="2" t="n">
        <f aca="false">Entrées!$C$36*S582*1000</f>
        <v>226.514448477399</v>
      </c>
      <c r="AG582" s="2" t="n">
        <f aca="false">-AF582/W582</f>
        <v>-22.4636406229574</v>
      </c>
      <c r="AH582" s="2" t="n">
        <f aca="false">AD582+AE582+AG582</f>
        <v>7514.01228528312</v>
      </c>
      <c r="AI582" s="2" t="n">
        <f aca="false">Entrées!$C$16-M582+Hypothèses!$J$22*1000-AF582+Hypothèses!$J$23</f>
        <v>22794.5262275056</v>
      </c>
      <c r="AJ582" s="2" t="n">
        <f aca="false">AI582/AH582</f>
        <v>3.03360246990156</v>
      </c>
      <c r="AK582" s="2" t="n">
        <f aca="false">AI582/(AH582+I582*(12-Hypothèses!$J$24)/12/Hypothèses!$J$19)</f>
        <v>3.00408125153306</v>
      </c>
      <c r="AL582" s="2" t="n">
        <f aca="false">(AD582+AG582+I582/Hypothèses!$J$19)*(1+G582)</f>
        <v>7968.43175342098</v>
      </c>
      <c r="AM582" s="2" t="n">
        <f aca="false">Entrées!$C$54*K582/Hypothèses!$J$19</f>
        <v>23.0024676149496</v>
      </c>
      <c r="AN582" s="2" t="n">
        <f aca="false">Y582*1000/AC582</f>
        <v>95.5851997532072</v>
      </c>
      <c r="AO582" s="2" t="n">
        <f aca="false">(Entrées!$C$36*(1-S582)+MAX(0,Entrées!$C$30-Entrées!$C$35-Entrées!$C$36)*U582)*1000</f>
        <v>1268.48142409939</v>
      </c>
      <c r="AP582" s="2" t="n">
        <f aca="false">-AO582/W582</f>
        <v>-125.796438326137</v>
      </c>
      <c r="AQ582" s="2" t="n">
        <f aca="false">AL582+AM582+AN582+AP582</f>
        <v>7961.222982463</v>
      </c>
      <c r="AR582" s="2" t="n">
        <f aca="false">O582*AQ582-Hypothèses!$J$25/Hypothèses!$J$19</f>
        <v>1255.85143031592</v>
      </c>
      <c r="AS582" s="2" t="n">
        <f aca="false">Entrées!$C$79*(1+Q582)+Hypothèses!$J$20</f>
        <v>1482.95106426689</v>
      </c>
      <c r="AT582" s="2" t="n">
        <f aca="false">AI582-AR582+AS582+Y582*1000-AO582+Hypothèses!$J$23</f>
        <v>22599.8451385982</v>
      </c>
      <c r="AU582" s="2" t="n">
        <f aca="false">AT582/AQ582</f>
        <v>2.83874037800237</v>
      </c>
      <c r="AV582" s="2" t="n">
        <f aca="false">Hypothèses!$J$26*AQ582-AT582</f>
        <v>1283.82380879085</v>
      </c>
      <c r="AW582" s="2" t="n">
        <f aca="false">IF(AC582&gt;Hypothèses!$J$26,MAX(0,AV582)/(1-Hypothèses!$J$26/AC582),0)</f>
        <v>1941.28766432044</v>
      </c>
      <c r="AX582" s="2" t="n">
        <f aca="false">AQ582-Entrées!$C$17*1000</f>
        <v>-38.7770175369997</v>
      </c>
      <c r="AY582" s="2" t="n">
        <f aca="false">AI582+(Entrées!$C$244-Entrées!$C$13)</f>
        <v>28541.5262275056</v>
      </c>
      <c r="AZ582" s="2" t="n">
        <f aca="false">AA582*AH582</f>
        <v>5475.34796514362</v>
      </c>
      <c r="BA582" s="2" t="n">
        <f aca="false">AZ582/AY582</f>
        <v>0.191837952935642</v>
      </c>
      <c r="BB582" s="2" t="n">
        <f aca="false">AZ582/(Entrées!$C$151/100)-AY582</f>
        <v>1877.07357884787</v>
      </c>
      <c r="BC582" s="2" t="n">
        <f aca="false">AT582+(Entrées!$C$244-Entrées!$C$13)</f>
        <v>28346.8451385982</v>
      </c>
      <c r="BD582" s="2" t="n">
        <f aca="false">AA582*AQ582</f>
        <v>5801.22368743784</v>
      </c>
      <c r="BE582" s="2" t="n">
        <f aca="false">BD582/BC582</f>
        <v>0.204651475643005</v>
      </c>
      <c r="BF582" s="2" t="n">
        <f aca="false">BD582/(Entrées!$C$151/100)-BC582</f>
        <v>3882.17534716764</v>
      </c>
      <c r="BG582" s="2" t="n">
        <f aca="false">MIN(AV582,BF582)</f>
        <v>1283.82380879085</v>
      </c>
      <c r="BH582" s="2" t="n">
        <f aca="false">IF(AC582&gt;Hypothèses!$J$26,MAX(0,BG582)/(1-Hypothèses!$J$26/AC582),0)</f>
        <v>1941.28766432044</v>
      </c>
    </row>
    <row r="583" customFormat="false" ht="15" hidden="false" customHeight="false" outlineLevel="0" collapsed="false">
      <c r="A583" s="2" t="n">
        <v>568</v>
      </c>
      <c r="B583" s="2" t="n">
        <v>0.17508897</v>
      </c>
      <c r="C583" s="2"/>
      <c r="D583" s="2" t="n">
        <v>0.803564653</v>
      </c>
      <c r="E583" s="2" t="n">
        <f aca="false">IF(E$7=E$5,E$6,IF(NORMSDIST(E$9*SQRT($C$11)*NORMSINV($B583)+SQRT(1-E$9^2*$C$11)*NORMSINV(D583))&lt;E$8,E$5+SQRT(NORMSDIST(E$9*SQRT($C$11)*NORMSINV($B583)+SQRT(1-E$9^2*$C$11)*NORMSINV(D583))*(E$7-E$5)*(E$6-E$5)),E$7-SQRT((1-NORMSDIST(E$9*SQRT($C$11)*NORMSINV($B583)+SQRT(1-E$9^2*$C$11)*NORMSINV(D583)))*(E$7-E$5)*(E$7-E$6))))</f>
        <v>0.055143495555709</v>
      </c>
      <c r="F583" s="2" t="n">
        <v>0.711352998</v>
      </c>
      <c r="G583" s="2" t="n">
        <f aca="false">IF(G$7=G$5,G$6,IF(NORMSDIST(G$9*SQRT($C$11)*NORMSINV($B583)+SQRT(1-G$9^2*$C$11)*NORMSINV(F583))&lt;G$8,G$5+SQRT(NORMSDIST(G$9*SQRT($C$11)*NORMSINV($B583)+SQRT(1-G$9^2*$C$11)*NORMSINV(F583))*(G$7-G$5)*(G$6-G$5)),G$7-SQRT((1-NORMSDIST(G$9*SQRT($C$11)*NORMSINV($B583)+SQRT(1-G$9^2*$C$11)*NORMSINV(F583)))*(G$7-G$5)*(G$7-G$6))))</f>
        <v>0.0540195717355879</v>
      </c>
      <c r="H583" s="2" t="n">
        <v>0.900390763</v>
      </c>
      <c r="I583" s="2" t="n">
        <f aca="false">IF(I$7=I$5,I$6,IF(NORMSDIST(I$9*SQRT($C$11)*NORMSINV($B583)+SQRT(1-I$9^2*$C$11)*NORMSINV(H583))&lt;I$8,I$5+SQRT(NORMSDIST(I$9*SQRT($C$11)*NORMSINV($B583)+SQRT(1-I$9^2*$C$11)*NORMSINV(H583))*(I$7-I$5)*(I$6-I$5)),I$7-SQRT((1-NORMSDIST(I$9*SQRT($C$11)*NORMSINV($B583)+SQRT(1-I$9^2*$C$11)*NORMSINV(H583)))*(I$7-I$5)*(I$7-I$6))))</f>
        <v>203.428368134607</v>
      </c>
      <c r="J583" s="2" t="n">
        <v>0.349739622</v>
      </c>
      <c r="K583" s="2" t="n">
        <f aca="false">IF(K$7=K$5,K$6,IF(NORMSDIST(K$9*SQRT($C$11)*NORMSINV($B583)+SQRT(1-K$9^2*$C$11)*NORMSINV(J583))&lt;K$8,K$5+SQRT(NORMSDIST(K$9*SQRT($C$11)*NORMSINV($B583)+SQRT(1-K$9^2*$C$11)*NORMSINV(J583))*(K$7-K$5)*(K$6-K$5)),K$7-SQRT((1-NORMSDIST(K$9*SQRT($C$11)*NORMSINV($B583)+SQRT(1-K$9^2*$C$11)*NORMSINV(J583)))*(K$7-K$5)*(K$7-K$6))))</f>
        <v>0.152792768402956</v>
      </c>
      <c r="L583" s="2" t="n">
        <v>0.420213258</v>
      </c>
      <c r="M583" s="2" t="n">
        <f aca="false">IF(M$7=M$5,M$6,IF(NORMSDIST(M$9*SQRT($C$11)*NORMSINV($B583)+SQRT(1-M$9^2*$C$11)*NORMSINV(L583))&lt;M$8,M$5+SQRT(NORMSDIST(M$9*SQRT($C$11)*NORMSINV($B583)+SQRT(1-M$9^2*$C$11)*NORMSINV(L583))*(M$7-M$5)*(M$6-M$5)),M$7-SQRT((1-NORMSDIST(M$9*SQRT($C$11)*NORMSINV($B583)+SQRT(1-M$9^2*$C$11)*NORMSINV(L583)))*(M$7-M$5)*(M$7-M$6))))</f>
        <v>1493.55588794216</v>
      </c>
      <c r="N583" s="2" t="n">
        <v>0.579830441</v>
      </c>
      <c r="O583" s="2" t="n">
        <f aca="false">IF(O$7=O$5,O$6,IF(NORMSDIST(O$9*SQRT($C$11)*NORMSINV($B583)+SQRT(1-O$9^2*$C$11)*NORMSINV(N583))&lt;O$8,O$5+SQRT(NORMSDIST(O$9*SQRT($C$11)*NORMSINV($B583)+SQRT(1-O$9^2*$C$11)*NORMSINV(N583))*(O$7-O$5)*(O$6-O$5)),O$7-SQRT((1-NORMSDIST(O$9*SQRT($C$11)*NORMSINV($B583)+SQRT(1-O$9^2*$C$11)*NORMSINV(N583)))*(O$7-O$5)*(O$7-O$6))))</f>
        <v>0.161820645529064</v>
      </c>
      <c r="P583" s="2" t="n">
        <v>0.845746654</v>
      </c>
      <c r="Q583" s="2" t="n">
        <f aca="false">IF(Q$7=Q$5,Q$6,IF(NORMSDIST(Q$9*SQRT($C$11)*NORMSINV($B583)+SQRT(1-Q$9^2*$C$11)*NORMSINV(P583))&lt;Q$8,Q$5+SQRT(NORMSDIST(Q$9*SQRT($C$11)*NORMSINV($B583)+SQRT(1-Q$9^2*$C$11)*NORMSINV(P583))*(Q$7-Q$5)*(Q$6-Q$5)),Q$7-SQRT((1-NORMSDIST(Q$9*SQRT($C$11)*NORMSINV($B583)+SQRT(1-Q$9^2*$C$11)*NORMSINV(P583)))*(Q$7-Q$5)*(Q$7-Q$6))))</f>
        <v>0.0977826485106798</v>
      </c>
      <c r="R583" s="2" t="n">
        <v>0.096864132</v>
      </c>
      <c r="S583" s="2" t="n">
        <f aca="false">IF(S$7=S$5,S$6,IF(NORMSDIST(S$9*SQRT($C$11)*NORMSINV($B583)+SQRT(1-S$9^2*$C$11)*NORMSINV(R583))&lt;S$8,S$5+SQRT(NORMSDIST(S$9*SQRT($C$11)*NORMSINV($B583)+SQRT(1-S$9^2*$C$11)*NORMSINV(R583))*(S$7-S$5)*(S$6-S$5)),S$7-SQRT((1-NORMSDIST(S$9*SQRT($C$11)*NORMSINV($B583)+SQRT(1-S$9^2*$C$11)*NORMSINV(R583)))*(S$7-S$5)*(S$7-S$6))))</f>
        <v>0.165938116263434</v>
      </c>
      <c r="T583" s="2" t="n">
        <v>0.24860831</v>
      </c>
      <c r="U583" s="2" t="n">
        <f aca="false">IF(U$7=U$5,U$6,IF(NORMSDIST(U$9*SQRT($C$11)*NORMSINV($B583)+SQRT(1-U$9^2*$C$11)*NORMSINV(T583))&lt;U$8,U$5+SQRT(NORMSDIST(U$9*SQRT($C$11)*NORMSINV($B583)+SQRT(1-U$9^2*$C$11)*NORMSINV(T583))*(U$7-U$5)*(U$6-U$5)),U$7-SQRT((1-NORMSDIST(U$9*SQRT($C$11)*NORMSINV($B583)+SQRT(1-U$9^2*$C$11)*NORMSINV(T583)))*(U$7-U$5)*(U$7-U$6))))</f>
        <v>0.25695956747113</v>
      </c>
      <c r="V583" s="2" t="n">
        <v>0.48541926</v>
      </c>
      <c r="W583" s="2" t="n">
        <f aca="false">IF(W$7=W$5,W$6,IF(NORMSDIST(W$9*SQRT($C$11)*NORMSINV($B583)+SQRT(1-W$9^2*$C$11)*NORMSINV(V583))&lt;W$8,W$5+SQRT(NORMSDIST(W$9*SQRT($C$11)*NORMSINV($B583)+SQRT(1-W$9^2*$C$11)*NORMSINV(V583))*(W$7-W$5)*(W$6-W$5)),W$7-SQRT((1-NORMSDIST(W$9*SQRT($C$11)*NORMSINV($B583)+SQRT(1-W$9^2*$C$11)*NORMSINV(V583)))*(W$7-W$5)*(W$7-W$6))))</f>
        <v>9.46396008290182</v>
      </c>
      <c r="X583" s="2" t="n">
        <v>0.222269693</v>
      </c>
      <c r="Y583" s="2" t="n">
        <f aca="false">IF(Y$7=Y$5,Y$6,IF(NORMSDIST(Y$9*SQRT($C$11)*NORMSINV($B583)+SQRT(1-Y$9^2*$C$11)*NORMSINV(X583))&lt;Y$8,Y$5+SQRT(NORMSDIST(Y$9*SQRT($C$11)*NORMSINV($B583)+SQRT(1-Y$9^2*$C$11)*NORMSINV(X583))*(Y$7-Y$5)*(Y$6-Y$5)),Y$7-SQRT((1-NORMSDIST(Y$9*SQRT($C$11)*NORMSINV($B583)+SQRT(1-Y$9^2*$C$11)*NORMSINV(X583)))*(Y$7-Y$5)*(Y$7-Y$6))))</f>
        <v>0.3333689345155</v>
      </c>
      <c r="Z583" s="2" t="n">
        <v>0.074395637</v>
      </c>
      <c r="AA583" s="2" t="n">
        <f aca="false">IF(AA$7=AA$5,AA$6,IF(NORMSDIST(AA$9*SQRT($C$11)*NORMSINV($B583)+SQRT(1-AA$9^2*$C$11)*NORMSINV(Z583))&lt;AA$8,AA$5+SQRT(NORMSDIST(AA$9*SQRT($C$11)*NORMSINV($B583)+SQRT(1-AA$9^2*$C$11)*NORMSINV(Z583))*(AA$7-AA$5)*(AA$6-AA$5)),AA$7-SQRT((1-NORMSDIST(AA$9*SQRT($C$11)*NORMSINV($B583)+SQRT(1-AA$9^2*$C$11)*NORMSINV(Z583)))*(AA$7-AA$5)*(AA$7-AA$6))))</f>
        <v>0.704996283042201</v>
      </c>
      <c r="AB583" s="2" t="n">
        <v>0.816311533</v>
      </c>
      <c r="AC583" s="2" t="n">
        <f aca="false">IF(AC$7=AC$5,AC$6,IF(NORMSDIST(AC$9*SQRT($C$11)*NORMSINV($B583)+SQRT(1-AC$9^2*$C$11)*NORMSINV(AB583))&lt;AC$8,AC$5+SQRT(NORMSDIST(AC$9*SQRT($C$11)*NORMSINV($B583)+SQRT(1-AC$9^2*$C$11)*NORMSINV(AB583))*(AC$7-AC$5)*(AC$6-AC$5)),AC$7-SQRT((1-NORMSDIST(AC$9*SQRT($C$11)*NORMSINV($B583)+SQRT(1-AC$9^2*$C$11)*NORMSINV(AB583)))*(AC$7-AC$5)*(AC$7-AC$6))))</f>
        <v>9.56548306904159</v>
      </c>
      <c r="AD583" s="2" t="n">
        <f aca="false">Entrées!$C$8*(1+E583)</f>
        <v>7438.76164366775</v>
      </c>
      <c r="AE583" s="2" t="n">
        <f aca="false">I583*Hypothèses!$J$24/12/Hypothèses!$J$19</f>
        <v>100.920162333757</v>
      </c>
      <c r="AF583" s="2" t="n">
        <f aca="false">Entrées!$C$36*S583*1000</f>
        <v>82.9690581317169</v>
      </c>
      <c r="AG583" s="2" t="n">
        <f aca="false">-AF583/W583</f>
        <v>-8.76684362623359</v>
      </c>
      <c r="AH583" s="2" t="n">
        <f aca="false">AD583+AE583+AG583</f>
        <v>7530.91496237527</v>
      </c>
      <c r="AI583" s="2" t="n">
        <f aca="false">Entrées!$C$16-M583+Hypothèses!$J$22*1000-AF583+Hypothèses!$J$23</f>
        <v>22971.4750539261</v>
      </c>
      <c r="AJ583" s="2" t="n">
        <f aca="false">AI583/AH583</f>
        <v>3.05029006019753</v>
      </c>
      <c r="AK583" s="2" t="n">
        <f aca="false">AI583/(AH583+I583*(12-Hypothèses!$J$24)/12/Hypothèses!$J$19)</f>
        <v>3.0213695461196</v>
      </c>
      <c r="AL583" s="2" t="n">
        <f aca="false">(AD583+AG583+I583/Hypothèses!$J$19)*(1+G583)</f>
        <v>8013.711639336</v>
      </c>
      <c r="AM583" s="2" t="n">
        <f aca="false">Entrées!$C$54*K583/Hypothèses!$J$19</f>
        <v>15.5931435508992</v>
      </c>
      <c r="AN583" s="2" t="n">
        <f aca="false">Y583*1000/AC583</f>
        <v>34.851238783166</v>
      </c>
      <c r="AO583" s="2" t="n">
        <f aca="false">(Entrées!$C$36*(1-S583)+MAX(0,Entrées!$C$30-Entrées!$C$35-Entrées!$C$36)*U583)*1000</f>
        <v>776.774336327865</v>
      </c>
      <c r="AP583" s="2" t="n">
        <f aca="false">-AO583/W583</f>
        <v>-82.077093470759</v>
      </c>
      <c r="AQ583" s="2" t="n">
        <f aca="false">AL583+AM583+AN583+AP583</f>
        <v>7982.0789281993</v>
      </c>
      <c r="AR583" s="2" t="n">
        <f aca="false">O583*AQ583-Hypothèses!$J$25/Hypothèses!$J$19</f>
        <v>1272.53000256353</v>
      </c>
      <c r="AS583" s="2" t="n">
        <f aca="false">Entrées!$C$79*(1+Q583)+Hypothèses!$J$20</f>
        <v>1501.46313071324</v>
      </c>
      <c r="AT583" s="2" t="n">
        <f aca="false">AI583-AR583+AS583+Y583*1000-AO583+Hypothèses!$J$23</f>
        <v>22757.0027802635</v>
      </c>
      <c r="AU583" s="2" t="n">
        <f aca="false">AT583/AQ583</f>
        <v>2.85101199636938</v>
      </c>
      <c r="AV583" s="2" t="n">
        <f aca="false">Hypothèses!$J$26*AQ583-AT583</f>
        <v>1189.23400433443</v>
      </c>
      <c r="AW583" s="2" t="n">
        <f aca="false">IF(AC583&gt;Hypothèses!$J$26,MAX(0,AV583)/(1-Hypothèses!$J$26/AC583),0)</f>
        <v>1732.63682412482</v>
      </c>
      <c r="AX583" s="2" t="n">
        <f aca="false">AQ583-Entrées!$C$17*1000</f>
        <v>-17.9210718006989</v>
      </c>
      <c r="AY583" s="2" t="n">
        <f aca="false">AI583+(Entrées!$C$244-Entrées!$C$13)</f>
        <v>28718.4750539261</v>
      </c>
      <c r="AZ583" s="2" t="n">
        <f aca="false">AA583*AH583</f>
        <v>5309.26705638146</v>
      </c>
      <c r="BA583" s="2" t="n">
        <f aca="false">AZ583/AY583</f>
        <v>0.18487287526277</v>
      </c>
      <c r="BB583" s="2" t="n">
        <f aca="false">AZ583/(Entrées!$C$151/100)-AY583</f>
        <v>777.453037081996</v>
      </c>
      <c r="BC583" s="2" t="n">
        <f aca="false">AT583+(Entrées!$C$244-Entrées!$C$13)</f>
        <v>28504.0027802635</v>
      </c>
      <c r="BD583" s="2" t="n">
        <f aca="false">AA583*AQ583</f>
        <v>5627.33597532998</v>
      </c>
      <c r="BE583" s="2" t="n">
        <f aca="false">BD583/BC583</f>
        <v>0.197422657396961</v>
      </c>
      <c r="BF583" s="2" t="n">
        <f aca="false">BD583/(Entrées!$C$151/100)-BC583</f>
        <v>2758.97486045865</v>
      </c>
      <c r="BG583" s="2" t="n">
        <f aca="false">MIN(AV583,BF583)</f>
        <v>1189.23400433443</v>
      </c>
      <c r="BH583" s="2" t="n">
        <f aca="false">IF(AC583&gt;Hypothèses!$J$26,MAX(0,BG583)/(1-Hypothèses!$J$26/AC583),0)</f>
        <v>1732.63682412482</v>
      </c>
    </row>
    <row r="584" customFormat="false" ht="15" hidden="false" customHeight="false" outlineLevel="0" collapsed="false">
      <c r="A584" s="2" t="n">
        <v>569</v>
      </c>
      <c r="B584" s="2" t="n">
        <v>0.035430852</v>
      </c>
      <c r="C584" s="2"/>
      <c r="D584" s="2" t="n">
        <v>0.242958577</v>
      </c>
      <c r="E584" s="2" t="n">
        <f aca="false">IF(E$7=E$5,E$6,IF(NORMSDIST(E$9*SQRT($C$11)*NORMSINV($B584)+SQRT(1-E$9^2*$C$11)*NORMSINV(D584))&lt;E$8,E$5+SQRT(NORMSDIST(E$9*SQRT($C$11)*NORMSINV($B584)+SQRT(1-E$9^2*$C$11)*NORMSINV(D584))*(E$7-E$5)*(E$6-E$5)),E$7-SQRT((1-NORMSDIST(E$9*SQRT($C$11)*NORMSINV($B584)+SQRT(1-E$9^2*$C$11)*NORMSINV(D584)))*(E$7-E$5)*(E$7-E$6))))</f>
        <v>0.0515209434386283</v>
      </c>
      <c r="F584" s="2" t="n">
        <v>0.731914907</v>
      </c>
      <c r="G584" s="2" t="n">
        <f aca="false">IF(G$7=G$5,G$6,IF(NORMSDIST(G$9*SQRT($C$11)*NORMSINV($B584)+SQRT(1-G$9^2*$C$11)*NORMSINV(F584))&lt;G$8,G$5+SQRT(NORMSDIST(G$9*SQRT($C$11)*NORMSINV($B584)+SQRT(1-G$9^2*$C$11)*NORMSINV(F584))*(G$7-G$5)*(G$6-G$5)),G$7-SQRT((1-NORMSDIST(G$9*SQRT($C$11)*NORMSINV($B584)+SQRT(1-G$9^2*$C$11)*NORMSINV(F584)))*(G$7-G$5)*(G$7-G$6))))</f>
        <v>0.0506822693982522</v>
      </c>
      <c r="H584" s="2" t="n">
        <v>0.011466044</v>
      </c>
      <c r="I584" s="2" t="n">
        <f aca="false">IF(I$7=I$5,I$6,IF(NORMSDIST(I$9*SQRT($C$11)*NORMSINV($B584)+SQRT(1-I$9^2*$C$11)*NORMSINV(H584))&lt;I$8,I$5+SQRT(NORMSDIST(I$9*SQRT($C$11)*NORMSINV($B584)+SQRT(1-I$9^2*$C$11)*NORMSINV(H584))*(I$7-I$5)*(I$6-I$5)),I$7-SQRT((1-NORMSDIST(I$9*SQRT($C$11)*NORMSINV($B584)+SQRT(1-I$9^2*$C$11)*NORMSINV(H584)))*(I$7-I$5)*(I$7-I$6))))</f>
        <v>181.213357216688</v>
      </c>
      <c r="J584" s="2" t="n">
        <v>0.957957275</v>
      </c>
      <c r="K584" s="2" t="n">
        <f aca="false">IF(K$7=K$5,K$6,IF(NORMSDIST(K$9*SQRT($C$11)*NORMSINV($B584)+SQRT(1-K$9^2*$C$11)*NORMSINV(J584))&lt;K$8,K$5+SQRT(NORMSDIST(K$9*SQRT($C$11)*NORMSINV($B584)+SQRT(1-K$9^2*$C$11)*NORMSINV(J584))*(K$7-K$5)*(K$6-K$5)),K$7-SQRT((1-NORMSDIST(K$9*SQRT($C$11)*NORMSINV($B584)+SQRT(1-K$9^2*$C$11)*NORMSINV(J584)))*(K$7-K$5)*(K$7-K$6))))</f>
        <v>0.270204893258177</v>
      </c>
      <c r="L584" s="2" t="n">
        <v>0.078393939</v>
      </c>
      <c r="M584" s="2" t="n">
        <f aca="false">IF(M$7=M$5,M$6,IF(NORMSDIST(M$9*SQRT($C$11)*NORMSINV($B584)+SQRT(1-M$9^2*$C$11)*NORMSINV(L584))&lt;M$8,M$5+SQRT(NORMSDIST(M$9*SQRT($C$11)*NORMSINV($B584)+SQRT(1-M$9^2*$C$11)*NORMSINV(L584))*(M$7-M$5)*(M$6-M$5)),M$7-SQRT((1-NORMSDIST(M$9*SQRT($C$11)*NORMSINV($B584)+SQRT(1-M$9^2*$C$11)*NORMSINV(L584)))*(M$7-M$5)*(M$7-M$6))))</f>
        <v>1347.93699908451</v>
      </c>
      <c r="N584" s="2" t="n">
        <v>0.546699999</v>
      </c>
      <c r="O584" s="2" t="n">
        <f aca="false">IF(O$7=O$5,O$6,IF(NORMSDIST(O$9*SQRT($C$11)*NORMSINV($B584)+SQRT(1-O$9^2*$C$11)*NORMSINV(N584))&lt;O$8,O$5+SQRT(NORMSDIST(O$9*SQRT($C$11)*NORMSINV($B584)+SQRT(1-O$9^2*$C$11)*NORMSINV(N584))*(O$7-O$5)*(O$6-O$5)),O$7-SQRT((1-NORMSDIST(O$9*SQRT($C$11)*NORMSINV($B584)+SQRT(1-O$9^2*$C$11)*NORMSINV(N584)))*(O$7-O$5)*(O$7-O$6))))</f>
        <v>0.154498318543427</v>
      </c>
      <c r="P584" s="2" t="n">
        <v>0.320415444</v>
      </c>
      <c r="Q584" s="2" t="n">
        <f aca="false">IF(Q$7=Q$5,Q$6,IF(NORMSDIST(Q$9*SQRT($C$11)*NORMSINV($B584)+SQRT(1-Q$9^2*$C$11)*NORMSINV(P584))&lt;Q$8,Q$5+SQRT(NORMSDIST(Q$9*SQRT($C$11)*NORMSINV($B584)+SQRT(1-Q$9^2*$C$11)*NORMSINV(P584))*(Q$7-Q$5)*(Q$6-Q$5)),Q$7-SQRT((1-NORMSDIST(Q$9*SQRT($C$11)*NORMSINV($B584)+SQRT(1-Q$9^2*$C$11)*NORMSINV(P584)))*(Q$7-Q$5)*(Q$7-Q$6))))</f>
        <v>0.0720207654624308</v>
      </c>
      <c r="R584" s="2" t="n">
        <v>0.582007129</v>
      </c>
      <c r="S584" s="2" t="n">
        <f aca="false">IF(S$7=S$5,S$6,IF(NORMSDIST(S$9*SQRT($C$11)*NORMSINV($B584)+SQRT(1-S$9^2*$C$11)*NORMSINV(R584))&lt;S$8,S$5+SQRT(NORMSDIST(S$9*SQRT($C$11)*NORMSINV($B584)+SQRT(1-S$9^2*$C$11)*NORMSINV(R584))*(S$7-S$5)*(S$6-S$5)),S$7-SQRT((1-NORMSDIST(S$9*SQRT($C$11)*NORMSINV($B584)+SQRT(1-S$9^2*$C$11)*NORMSINV(R584)))*(S$7-S$5)*(S$7-S$6))))</f>
        <v>0.285508800999539</v>
      </c>
      <c r="T584" s="2" t="n">
        <v>0.981085793</v>
      </c>
      <c r="U584" s="2" t="n">
        <f aca="false">IF(U$7=U$5,U$6,IF(NORMSDIST(U$9*SQRT($C$11)*NORMSINV($B584)+SQRT(1-U$9^2*$C$11)*NORMSINV(T584))&lt;U$8,U$5+SQRT(NORMSDIST(U$9*SQRT($C$11)*NORMSINV($B584)+SQRT(1-U$9^2*$C$11)*NORMSINV(T584))*(U$7-U$5)*(U$6-U$5)),U$7-SQRT((1-NORMSDIST(U$9*SQRT($C$11)*NORMSINV($B584)+SQRT(1-U$9^2*$C$11)*NORMSINV(T584)))*(U$7-U$5)*(U$7-U$6))))</f>
        <v>0.599657854891917</v>
      </c>
      <c r="V584" s="2" t="n">
        <v>0.531069206</v>
      </c>
      <c r="W584" s="2" t="n">
        <f aca="false">IF(W$7=W$5,W$6,IF(NORMSDIST(W$9*SQRT($C$11)*NORMSINV($B584)+SQRT(1-W$9^2*$C$11)*NORMSINV(V584))&lt;W$8,W$5+SQRT(NORMSDIST(W$9*SQRT($C$11)*NORMSINV($B584)+SQRT(1-W$9^2*$C$11)*NORMSINV(V584))*(W$7-W$5)*(W$6-W$5)),W$7-SQRT((1-NORMSDIST(W$9*SQRT($C$11)*NORMSINV($B584)+SQRT(1-W$9^2*$C$11)*NORMSINV(V584)))*(W$7-W$5)*(W$7-W$6))))</f>
        <v>9.0568380559443</v>
      </c>
      <c r="X584" s="2" t="n">
        <v>0.111840164</v>
      </c>
      <c r="Y584" s="2" t="n">
        <f aca="false">IF(Y$7=Y$5,Y$6,IF(NORMSDIST(Y$9*SQRT($C$11)*NORMSINV($B584)+SQRT(1-Y$9^2*$C$11)*NORMSINV(X584))&lt;Y$8,Y$5+SQRT(NORMSDIST(Y$9*SQRT($C$11)*NORMSINV($B584)+SQRT(1-Y$9^2*$C$11)*NORMSINV(X584))*(Y$7-Y$5)*(Y$6-Y$5)),Y$7-SQRT((1-NORMSDIST(Y$9*SQRT($C$11)*NORMSINV($B584)+SQRT(1-Y$9^2*$C$11)*NORMSINV(X584)))*(Y$7-Y$5)*(Y$7-Y$6))))</f>
        <v>0.236474273442165</v>
      </c>
      <c r="Z584" s="2" t="n">
        <v>0.72261195</v>
      </c>
      <c r="AA584" s="2" t="n">
        <f aca="false">IF(AA$7=AA$5,AA$6,IF(NORMSDIST(AA$9*SQRT($C$11)*NORMSINV($B584)+SQRT(1-AA$9^2*$C$11)*NORMSINV(Z584))&lt;AA$8,AA$5+SQRT(NORMSDIST(AA$9*SQRT($C$11)*NORMSINV($B584)+SQRT(1-AA$9^2*$C$11)*NORMSINV(Z584))*(AA$7-AA$5)*(AA$6-AA$5)),AA$7-SQRT((1-NORMSDIST(AA$9*SQRT($C$11)*NORMSINV($B584)+SQRT(1-AA$9^2*$C$11)*NORMSINV(Z584)))*(AA$7-AA$5)*(AA$7-AA$6))))</f>
        <v>0.718310448901985</v>
      </c>
      <c r="AB584" s="2" t="n">
        <v>0.937256385</v>
      </c>
      <c r="AC584" s="2" t="n">
        <f aca="false">IF(AC$7=AC$5,AC$6,IF(NORMSDIST(AC$9*SQRT($C$11)*NORMSINV($B584)+SQRT(1-AC$9^2*$C$11)*NORMSINV(AB584))&lt;AC$8,AC$5+SQRT(NORMSDIST(AC$9*SQRT($C$11)*NORMSINV($B584)+SQRT(1-AC$9^2*$C$11)*NORMSINV(AB584))*(AC$7-AC$5)*(AC$6-AC$5)),AC$7-SQRT((1-NORMSDIST(AC$9*SQRT($C$11)*NORMSINV($B584)+SQRT(1-AC$9^2*$C$11)*NORMSINV(AB584)))*(AC$7-AC$5)*(AC$7-AC$6))))</f>
        <v>9.51490263381457</v>
      </c>
      <c r="AD584" s="2" t="n">
        <f aca="false">Entrées!$C$8*(1+E584)</f>
        <v>7413.22265124233</v>
      </c>
      <c r="AE584" s="2" t="n">
        <f aca="false">I584*Hypothèses!$J$24/12/Hypothèses!$J$19</f>
        <v>89.8993665192861</v>
      </c>
      <c r="AF584" s="2" t="n">
        <f aca="false">Entrées!$C$36*S584*1000</f>
        <v>142.754400499769</v>
      </c>
      <c r="AG584" s="2" t="n">
        <f aca="false">-AF584/W584</f>
        <v>-15.7620573116105</v>
      </c>
      <c r="AH584" s="2" t="n">
        <f aca="false">AD584+AE584+AG584</f>
        <v>7487.35996045001</v>
      </c>
      <c r="AI584" s="2" t="n">
        <f aca="false">Entrées!$C$16-M584+Hypothèses!$J$22*1000-AF584+Hypothèses!$J$23</f>
        <v>23057.3086004157</v>
      </c>
      <c r="AJ584" s="2" t="n">
        <f aca="false">AI584/AH584</f>
        <v>3.07949780993699</v>
      </c>
      <c r="AK584" s="2" t="n">
        <f aca="false">AI584/(AH584+I584*(12-Hypothèses!$J$24)/12/Hypothèses!$J$19)</f>
        <v>3.05331169771771</v>
      </c>
      <c r="AL584" s="2" t="n">
        <f aca="false">(AD584+AG584+I584/Hypothèses!$J$19)*(1+G584)</f>
        <v>7934.30469107004</v>
      </c>
      <c r="AM584" s="2" t="n">
        <f aca="false">Entrées!$C$54*K584/Hypothèses!$J$19</f>
        <v>27.5755438740296</v>
      </c>
      <c r="AN584" s="2" t="n">
        <f aca="false">Y584*1000/AC584</f>
        <v>24.8530418589645</v>
      </c>
      <c r="AO584" s="2" t="n">
        <f aca="false">(Entrées!$C$36*(1-S584)+MAX(0,Entrées!$C$30-Entrées!$C$35-Entrées!$C$36)*U584)*1000</f>
        <v>1196.76659634891</v>
      </c>
      <c r="AP584" s="2" t="n">
        <f aca="false">-AO584/W584</f>
        <v>-132.139560071237</v>
      </c>
      <c r="AQ584" s="2" t="n">
        <f aca="false">AL584+AM584+AN584+AP584</f>
        <v>7854.5937167318</v>
      </c>
      <c r="AR584" s="2" t="n">
        <f aca="false">O584*AQ584-Hypothèses!$J$25/Hypothèses!$J$19</f>
        <v>1194.3863598152</v>
      </c>
      <c r="AS584" s="2" t="n">
        <f aca="false">Entrées!$C$79*(1+Q584)+Hypothèses!$J$20</f>
        <v>1473.15082124321</v>
      </c>
      <c r="AT584" s="2" t="n">
        <f aca="false">AI584-AR584+AS584+Y584*1000-AO584+Hypothèses!$J$23</f>
        <v>22375.780738937</v>
      </c>
      <c r="AU584" s="2" t="n">
        <f aca="false">AT584/AQ584</f>
        <v>2.84875087698964</v>
      </c>
      <c r="AV584" s="2" t="n">
        <f aca="false">Hypothèses!$J$26*AQ584-AT584</f>
        <v>1188.0004112584</v>
      </c>
      <c r="AW584" s="2" t="n">
        <f aca="false">IF(AC584&gt;Hypothèses!$J$26,MAX(0,AV584)/(1-Hypothèses!$J$26/AC584),0)</f>
        <v>1735.05405643137</v>
      </c>
      <c r="AX584" s="2" t="n">
        <f aca="false">AQ584-Entrées!$C$17*1000</f>
        <v>-145.406283268204</v>
      </c>
      <c r="AY584" s="2" t="n">
        <f aca="false">AI584+(Entrées!$C$244-Entrées!$C$13)</f>
        <v>28804.3086004157</v>
      </c>
      <c r="AZ584" s="2" t="n">
        <f aca="false">AA584*AH584</f>
        <v>5378.24889428159</v>
      </c>
      <c r="BA584" s="2" t="n">
        <f aca="false">AZ584/AY584</f>
        <v>0.186716819656764</v>
      </c>
      <c r="BB584" s="2" t="n">
        <f aca="false">AZ584/(Entrées!$C$151/100)-AY584</f>
        <v>1074.85192337091</v>
      </c>
      <c r="BC584" s="2" t="n">
        <f aca="false">AT584+(Entrées!$C$244-Entrées!$C$13)</f>
        <v>28122.780738937</v>
      </c>
      <c r="BD584" s="2" t="n">
        <f aca="false">AA584*AQ584</f>
        <v>5642.03673860833</v>
      </c>
      <c r="BE584" s="2" t="n">
        <f aca="false">BD584/BC584</f>
        <v>0.20062158116522</v>
      </c>
      <c r="BF584" s="2" t="n">
        <f aca="false">BD584/(Entrées!$C$151/100)-BC584</f>
        <v>3221.86780888706</v>
      </c>
      <c r="BG584" s="2" t="n">
        <f aca="false">MIN(AV584,BF584)</f>
        <v>1188.0004112584</v>
      </c>
      <c r="BH584" s="2" t="n">
        <f aca="false">IF(AC584&gt;Hypothèses!$J$26,MAX(0,BG584)/(1-Hypothèses!$J$26/AC584),0)</f>
        <v>1735.05405643137</v>
      </c>
    </row>
    <row r="585" customFormat="false" ht="15" hidden="false" customHeight="false" outlineLevel="0" collapsed="false">
      <c r="A585" s="2" t="n">
        <v>570</v>
      </c>
      <c r="B585" s="2" t="n">
        <v>0.535765833</v>
      </c>
      <c r="C585" s="2"/>
      <c r="D585" s="2" t="n">
        <v>0.836774057</v>
      </c>
      <c r="E585" s="2" t="n">
        <f aca="false">IF(E$7=E$5,E$6,IF(NORMSDIST(E$9*SQRT($C$11)*NORMSINV($B585)+SQRT(1-E$9^2*$C$11)*NORMSINV(D585))&lt;E$8,E$5+SQRT(NORMSDIST(E$9*SQRT($C$11)*NORMSINV($B585)+SQRT(1-E$9^2*$C$11)*NORMSINV(D585))*(E$7-E$5)*(E$6-E$5)),E$7-SQRT((1-NORMSDIST(E$9*SQRT($C$11)*NORMSINV($B585)+SQRT(1-E$9^2*$C$11)*NORMSINV(D585)))*(E$7-E$5)*(E$7-E$6))))</f>
        <v>0.0567828644029017</v>
      </c>
      <c r="F585" s="2" t="n">
        <v>0.607571413</v>
      </c>
      <c r="G585" s="2" t="n">
        <f aca="false">IF(G$7=G$5,G$6,IF(NORMSDIST(G$9*SQRT($C$11)*NORMSINV($B585)+SQRT(1-G$9^2*$C$11)*NORMSINV(F585))&lt;G$8,G$5+SQRT(NORMSDIST(G$9*SQRT($C$11)*NORMSINV($B585)+SQRT(1-G$9^2*$C$11)*NORMSINV(F585))*(G$7-G$5)*(G$6-G$5)),G$7-SQRT((1-NORMSDIST(G$9*SQRT($C$11)*NORMSINV($B585)+SQRT(1-G$9^2*$C$11)*NORMSINV(F585)))*(G$7-G$5)*(G$7-G$6))))</f>
        <v>0.0566802338052228</v>
      </c>
      <c r="H585" s="2" t="n">
        <v>0.996235054</v>
      </c>
      <c r="I585" s="2" t="n">
        <f aca="false">IF(I$7=I$5,I$6,IF(NORMSDIST(I$9*SQRT($C$11)*NORMSINV($B585)+SQRT(1-I$9^2*$C$11)*NORMSINV(H585))&lt;I$8,I$5+SQRT(NORMSDIST(I$9*SQRT($C$11)*NORMSINV($B585)+SQRT(1-I$9^2*$C$11)*NORMSINV(H585))*(I$7-I$5)*(I$6-I$5)),I$7-SQRT((1-NORMSDIST(I$9*SQRT($C$11)*NORMSINV($B585)+SQRT(1-I$9^2*$C$11)*NORMSINV(H585)))*(I$7-I$5)*(I$7-I$6))))</f>
        <v>216.343086311111</v>
      </c>
      <c r="J585" s="2" t="n">
        <v>0.740083191</v>
      </c>
      <c r="K585" s="2" t="n">
        <f aca="false">IF(K$7=K$5,K$6,IF(NORMSDIST(K$9*SQRT($C$11)*NORMSINV($B585)+SQRT(1-K$9^2*$C$11)*NORMSINV(J585))&lt;K$8,K$5+SQRT(NORMSDIST(K$9*SQRT($C$11)*NORMSINV($B585)+SQRT(1-K$9^2*$C$11)*NORMSINV(J585))*(K$7-K$5)*(K$6-K$5)),K$7-SQRT((1-NORMSDIST(K$9*SQRT($C$11)*NORMSINV($B585)+SQRT(1-K$9^2*$C$11)*NORMSINV(J585)))*(K$7-K$5)*(K$7-K$6))))</f>
        <v>0.309821875715369</v>
      </c>
      <c r="L585" s="2" t="n">
        <v>0.84785076</v>
      </c>
      <c r="M585" s="2" t="n">
        <f aca="false">IF(M$7=M$5,M$6,IF(NORMSDIST(M$9*SQRT($C$11)*NORMSINV($B585)+SQRT(1-M$9^2*$C$11)*NORMSINV(L585))&lt;M$8,M$5+SQRT(NORMSDIST(M$9*SQRT($C$11)*NORMSINV($B585)+SQRT(1-M$9^2*$C$11)*NORMSINV(L585))*(M$7-M$5)*(M$6-M$5)),M$7-SQRT((1-NORMSDIST(M$9*SQRT($C$11)*NORMSINV($B585)+SQRT(1-M$9^2*$C$11)*NORMSINV(L585)))*(M$7-M$5)*(M$7-M$6))))</f>
        <v>1666.67718187893</v>
      </c>
      <c r="N585" s="2" t="n">
        <v>0.602486385</v>
      </c>
      <c r="O585" s="2" t="n">
        <f aca="false">IF(O$7=O$5,O$6,IF(NORMSDIST(O$9*SQRT($C$11)*NORMSINV($B585)+SQRT(1-O$9^2*$C$11)*NORMSINV(N585))&lt;O$8,O$5+SQRT(NORMSDIST(O$9*SQRT($C$11)*NORMSINV($B585)+SQRT(1-O$9^2*$C$11)*NORMSINV(N585))*(O$7-O$5)*(O$6-O$5)),O$7-SQRT((1-NORMSDIST(O$9*SQRT($C$11)*NORMSINV($B585)+SQRT(1-O$9^2*$C$11)*NORMSINV(N585)))*(O$7-O$5)*(O$7-O$6))))</f>
        <v>0.169404956017721</v>
      </c>
      <c r="P585" s="2" t="n">
        <v>0.958956382</v>
      </c>
      <c r="Q585" s="2" t="n">
        <f aca="false">IF(Q$7=Q$5,Q$6,IF(NORMSDIST(Q$9*SQRT($C$11)*NORMSINV($B585)+SQRT(1-Q$9^2*$C$11)*NORMSINV(P585))&lt;Q$8,Q$5+SQRT(NORMSDIST(Q$9*SQRT($C$11)*NORMSINV($B585)+SQRT(1-Q$9^2*$C$11)*NORMSINV(P585))*(Q$7-Q$5)*(Q$6-Q$5)),Q$7-SQRT((1-NORMSDIST(Q$9*SQRT($C$11)*NORMSINV($B585)+SQRT(1-Q$9^2*$C$11)*NORMSINV(P585)))*(Q$7-Q$5)*(Q$7-Q$6))))</f>
        <v>0.108539651942458</v>
      </c>
      <c r="R585" s="2" t="n">
        <v>0.303838613</v>
      </c>
      <c r="S585" s="2" t="n">
        <f aca="false">IF(S$7=S$5,S$6,IF(NORMSDIST(S$9*SQRT($C$11)*NORMSINV($B585)+SQRT(1-S$9^2*$C$11)*NORMSINV(R585))&lt;S$8,S$5+SQRT(NORMSDIST(S$9*SQRT($C$11)*NORMSINV($B585)+SQRT(1-S$9^2*$C$11)*NORMSINV(R585))*(S$7-S$5)*(S$6-S$5)),S$7-SQRT((1-NORMSDIST(S$9*SQRT($C$11)*NORMSINV($B585)+SQRT(1-S$9^2*$C$11)*NORMSINV(R585)))*(S$7-S$5)*(S$7-S$6))))</f>
        <v>0.428130467291372</v>
      </c>
      <c r="T585" s="2" t="n">
        <v>0.144502029</v>
      </c>
      <c r="U585" s="2" t="n">
        <f aca="false">IF(U$7=U$5,U$6,IF(NORMSDIST(U$9*SQRT($C$11)*NORMSINV($B585)+SQRT(1-U$9^2*$C$11)*NORMSINV(T585))&lt;U$8,U$5+SQRT(NORMSDIST(U$9*SQRT($C$11)*NORMSINV($B585)+SQRT(1-U$9^2*$C$11)*NORMSINV(T585))*(U$7-U$5)*(U$6-U$5)),U$7-SQRT((1-NORMSDIST(U$9*SQRT($C$11)*NORMSINV($B585)+SQRT(1-U$9^2*$C$11)*NORMSINV(T585)))*(U$7-U$5)*(U$7-U$6))))</f>
        <v>0.333372358443272</v>
      </c>
      <c r="V585" s="2" t="n">
        <v>0.668711503</v>
      </c>
      <c r="W585" s="2" t="n">
        <f aca="false">IF(W$7=W$5,W$6,IF(NORMSDIST(W$9*SQRT($C$11)*NORMSINV($B585)+SQRT(1-W$9^2*$C$11)*NORMSINV(V585))&lt;W$8,W$5+SQRT(NORMSDIST(W$9*SQRT($C$11)*NORMSINV($B585)+SQRT(1-W$9^2*$C$11)*NORMSINV(V585))*(W$7-W$5)*(W$6-W$5)),W$7-SQRT((1-NORMSDIST(W$9*SQRT($C$11)*NORMSINV($B585)+SQRT(1-W$9^2*$C$11)*NORMSINV(V585)))*(W$7-W$5)*(W$7-W$6))))</f>
        <v>10.3350597624273</v>
      </c>
      <c r="X585" s="2" t="n">
        <v>0.9099155</v>
      </c>
      <c r="Y585" s="2" t="n">
        <f aca="false">IF(Y$7=Y$5,Y$6,IF(NORMSDIST(Y$9*SQRT($C$11)*NORMSINV($B585)+SQRT(1-Y$9^2*$C$11)*NORMSINV(X585))&lt;Y$8,Y$5+SQRT(NORMSDIST(Y$9*SQRT($C$11)*NORMSINV($B585)+SQRT(1-Y$9^2*$C$11)*NORMSINV(X585))*(Y$7-Y$5)*(Y$6-Y$5)),Y$7-SQRT((1-NORMSDIST(Y$9*SQRT($C$11)*NORMSINV($B585)+SQRT(1-Y$9^2*$C$11)*NORMSINV(X585)))*(Y$7-Y$5)*(Y$7-Y$6))))</f>
        <v>0.787768404802678</v>
      </c>
      <c r="Z585" s="2" t="n">
        <v>0.454264648</v>
      </c>
      <c r="AA585" s="2" t="n">
        <f aca="false">IF(AA$7=AA$5,AA$6,IF(NORMSDIST(AA$9*SQRT($C$11)*NORMSINV($B585)+SQRT(1-AA$9^2*$C$11)*NORMSINV(Z585))&lt;AA$8,AA$5+SQRT(NORMSDIST(AA$9*SQRT($C$11)*NORMSINV($B585)+SQRT(1-AA$9^2*$C$11)*NORMSINV(Z585))*(AA$7-AA$5)*(AA$6-AA$5)),AA$7-SQRT((1-NORMSDIST(AA$9*SQRT($C$11)*NORMSINV($B585)+SQRT(1-AA$9^2*$C$11)*NORMSINV(Z585)))*(AA$7-AA$5)*(AA$7-AA$6))))</f>
        <v>0.727627981441023</v>
      </c>
      <c r="AB585" s="2" t="n">
        <v>0.131541802</v>
      </c>
      <c r="AC585" s="2" t="n">
        <f aca="false">IF(AC$7=AC$5,AC$6,IF(NORMSDIST(AC$9*SQRT($C$11)*NORMSINV($B585)+SQRT(1-AC$9^2*$C$11)*NORMSINV(AB585))&lt;AC$8,AC$5+SQRT(NORMSDIST(AC$9*SQRT($C$11)*NORMSINV($B585)+SQRT(1-AC$9^2*$C$11)*NORMSINV(AB585))*(AC$7-AC$5)*(AC$6-AC$5)),AC$7-SQRT((1-NORMSDIST(AC$9*SQRT($C$11)*NORMSINV($B585)+SQRT(1-AC$9^2*$C$11)*NORMSINV(AB585)))*(AC$7-AC$5)*(AC$7-AC$6))))</f>
        <v>8.74359762328163</v>
      </c>
      <c r="AD585" s="2" t="n">
        <f aca="false">Entrées!$C$8*(1+E585)</f>
        <v>7450.31919404046</v>
      </c>
      <c r="AE585" s="2" t="n">
        <f aca="false">I585*Hypothèses!$J$24/12/Hypothèses!$J$19</f>
        <v>107.327112685957</v>
      </c>
      <c r="AF585" s="2" t="n">
        <f aca="false">Entrées!$C$36*S585*1000</f>
        <v>214.065233645686</v>
      </c>
      <c r="AG585" s="2" t="n">
        <f aca="false">-AF585/W585</f>
        <v>-20.7125298320879</v>
      </c>
      <c r="AH585" s="2" t="n">
        <f aca="false">AD585+AE585+AG585</f>
        <v>7536.93377689433</v>
      </c>
      <c r="AI585" s="2" t="n">
        <f aca="false">Entrées!$C$16-M585+Hypothèses!$J$22*1000-AF585+Hypothèses!$J$23</f>
        <v>22667.2575844754</v>
      </c>
      <c r="AJ585" s="2" t="n">
        <f aca="false">AI585/AH585</f>
        <v>3.00749061295529</v>
      </c>
      <c r="AK585" s="2" t="n">
        <f aca="false">AI585/(AH585+I585*(12-Hypothèses!$J$24)/12/Hypothèses!$J$19)</f>
        <v>2.97720782449667</v>
      </c>
      <c r="AL585" s="2" t="n">
        <f aca="false">(AD585+AG585+I585/Hypothèses!$J$19)*(1+G585)</f>
        <v>8045.13640163363</v>
      </c>
      <c r="AM585" s="2" t="n">
        <f aca="false">Entrées!$C$54*K585/Hypothèses!$J$19</f>
        <v>31.6186232747461</v>
      </c>
      <c r="AN585" s="2" t="n">
        <f aca="false">Y585*1000/AC585</f>
        <v>90.0965985334323</v>
      </c>
      <c r="AO585" s="2" t="n">
        <f aca="false">(Entrées!$C$36*(1-S585)+MAX(0,Entrées!$C$30-Entrées!$C$35-Entrées!$C$36)*U585)*1000</f>
        <v>752.656068174895</v>
      </c>
      <c r="AP585" s="2" t="n">
        <f aca="false">-AO585/W585</f>
        <v>-72.8255167823169</v>
      </c>
      <c r="AQ585" s="2" t="n">
        <f aca="false">AL585+AM585+AN585+AP585</f>
        <v>8094.0261066595</v>
      </c>
      <c r="AR585" s="2" t="n">
        <f aca="false">O585*AQ585-Hypothèses!$J$25/Hypothèses!$J$19</f>
        <v>1352.03297434331</v>
      </c>
      <c r="AS585" s="2" t="n">
        <f aca="false">Entrées!$C$79*(1+Q585)+Hypothèses!$J$20</f>
        <v>1513.28507748476</v>
      </c>
      <c r="AT585" s="2" t="n">
        <f aca="false">AI585-AR585+AS585+Y585*1000-AO585+Hypothèses!$J$23</f>
        <v>22863.6220242446</v>
      </c>
      <c r="AU585" s="2" t="n">
        <f aca="false">AT585/AQ585</f>
        <v>2.82475269080652</v>
      </c>
      <c r="AV585" s="2" t="n">
        <f aca="false">Hypothèses!$J$26*AQ585-AT585</f>
        <v>1418.45629573387</v>
      </c>
      <c r="AW585" s="2" t="n">
        <f aca="false">IF(AC585&gt;Hypothèses!$J$26,MAX(0,AV585)/(1-Hypothèses!$J$26/AC585),0)</f>
        <v>2159.34539805408</v>
      </c>
      <c r="AX585" s="2" t="n">
        <f aca="false">AQ585-Entrées!$C$17*1000</f>
        <v>94.0261066594949</v>
      </c>
      <c r="AY585" s="2" t="n">
        <f aca="false">AI585+(Entrées!$C$244-Entrées!$C$13)</f>
        <v>28414.2575844754</v>
      </c>
      <c r="AZ585" s="2" t="n">
        <f aca="false">AA585*AH585</f>
        <v>5484.08391033628</v>
      </c>
      <c r="BA585" s="2" t="n">
        <f aca="false">AZ585/AY585</f>
        <v>0.193004652471814</v>
      </c>
      <c r="BB585" s="2" t="n">
        <f aca="false">AZ585/(Entrées!$C$151/100)-AY585</f>
        <v>2052.87525072619</v>
      </c>
      <c r="BC585" s="2" t="n">
        <f aca="false">AT585+(Entrées!$C$244-Entrées!$C$13)</f>
        <v>28610.6220242446</v>
      </c>
      <c r="BD585" s="2" t="n">
        <f aca="false">AA585*AQ585</f>
        <v>5889.43987771959</v>
      </c>
      <c r="BE585" s="2" t="n">
        <f aca="false">BD585/BC585</f>
        <v>0.205848019407928</v>
      </c>
      <c r="BF585" s="2" t="n">
        <f aca="false">BD585/(Entrées!$C$151/100)-BC585</f>
        <v>4108.48840753088</v>
      </c>
      <c r="BG585" s="2" t="n">
        <f aca="false">MIN(AV585,BF585)</f>
        <v>1418.45629573387</v>
      </c>
      <c r="BH585" s="2" t="n">
        <f aca="false">IF(AC585&gt;Hypothèses!$J$26,MAX(0,BG585)/(1-Hypothèses!$J$26/AC585),0)</f>
        <v>2159.34539805408</v>
      </c>
    </row>
    <row r="586" customFormat="false" ht="15" hidden="false" customHeight="false" outlineLevel="0" collapsed="false">
      <c r="A586" s="2" t="n">
        <v>571</v>
      </c>
      <c r="B586" s="2" t="n">
        <v>0.771158295</v>
      </c>
      <c r="C586" s="2"/>
      <c r="D586" s="2" t="n">
        <v>0.422105957</v>
      </c>
      <c r="E586" s="2" t="n">
        <f aca="false">IF(E$7=E$5,E$6,IF(NORMSDIST(E$9*SQRT($C$11)*NORMSINV($B586)+SQRT(1-E$9^2*$C$11)*NORMSINV(D586))&lt;E$8,E$5+SQRT(NORMSDIST(E$9*SQRT($C$11)*NORMSINV($B586)+SQRT(1-E$9^2*$C$11)*NORMSINV(D586))*(E$7-E$5)*(E$6-E$5)),E$7-SQRT((1-NORMSDIST(E$9*SQRT($C$11)*NORMSINV($B586)+SQRT(1-E$9^2*$C$11)*NORMSINV(D586)))*(E$7-E$5)*(E$7-E$6))))</f>
        <v>0.0556673540311569</v>
      </c>
      <c r="F586" s="2" t="n">
        <v>0.793794775</v>
      </c>
      <c r="G586" s="2" t="n">
        <f aca="false">IF(G$7=G$5,G$6,IF(NORMSDIST(G$9*SQRT($C$11)*NORMSINV($B586)+SQRT(1-G$9^2*$C$11)*NORMSINV(F586))&lt;G$8,G$5+SQRT(NORMSDIST(G$9*SQRT($C$11)*NORMSINV($B586)+SQRT(1-G$9^2*$C$11)*NORMSINV(F586))*(G$7-G$5)*(G$6-G$5)),G$7-SQRT((1-NORMSDIST(G$9*SQRT($C$11)*NORMSINV($B586)+SQRT(1-G$9^2*$C$11)*NORMSINV(F586)))*(G$7-G$5)*(G$7-G$6))))</f>
        <v>0.0622154616670608</v>
      </c>
      <c r="H586" s="2" t="n">
        <v>0.93871523</v>
      </c>
      <c r="I586" s="2" t="n">
        <f aca="false">IF(I$7=I$5,I$6,IF(NORMSDIST(I$9*SQRT($C$11)*NORMSINV($B586)+SQRT(1-I$9^2*$C$11)*NORMSINV(H586))&lt;I$8,I$5+SQRT(NORMSDIST(I$9*SQRT($C$11)*NORMSINV($B586)+SQRT(1-I$9^2*$C$11)*NORMSINV(H586))*(I$7-I$5)*(I$6-I$5)),I$7-SQRT((1-NORMSDIST(I$9*SQRT($C$11)*NORMSINV($B586)+SQRT(1-I$9^2*$C$11)*NORMSINV(H586)))*(I$7-I$5)*(I$7-I$6))))</f>
        <v>213.81081614798</v>
      </c>
      <c r="J586" s="2" t="n">
        <v>0.631202452</v>
      </c>
      <c r="K586" s="2" t="n">
        <f aca="false">IF(K$7=K$5,K$6,IF(NORMSDIST(K$9*SQRT($C$11)*NORMSINV($B586)+SQRT(1-K$9^2*$C$11)*NORMSINV(J586))&lt;K$8,K$5+SQRT(NORMSDIST(K$9*SQRT($C$11)*NORMSINV($B586)+SQRT(1-K$9^2*$C$11)*NORMSINV(J586))*(K$7-K$5)*(K$6-K$5)),K$7-SQRT((1-NORMSDIST(K$9*SQRT($C$11)*NORMSINV($B586)+SQRT(1-K$9^2*$C$11)*NORMSINV(J586)))*(K$7-K$5)*(K$7-K$6))))</f>
        <v>0.329364352228965</v>
      </c>
      <c r="L586" s="2" t="n">
        <v>0.468243354</v>
      </c>
      <c r="M586" s="2" t="n">
        <f aca="false">IF(M$7=M$5,M$6,IF(NORMSDIST(M$9*SQRT($C$11)*NORMSINV($B586)+SQRT(1-M$9^2*$C$11)*NORMSINV(L586))&lt;M$8,M$5+SQRT(NORMSDIST(M$9*SQRT($C$11)*NORMSINV($B586)+SQRT(1-M$9^2*$C$11)*NORMSINV(L586))*(M$7-M$5)*(M$6-M$5)),M$7-SQRT((1-NORMSDIST(M$9*SQRT($C$11)*NORMSINV($B586)+SQRT(1-M$9^2*$C$11)*NORMSINV(L586)))*(M$7-M$5)*(M$7-M$6))))</f>
        <v>1626.96278247412</v>
      </c>
      <c r="N586" s="2" t="n">
        <v>0.988459622</v>
      </c>
      <c r="O586" s="2" t="n">
        <f aca="false">IF(O$7=O$5,O$6,IF(NORMSDIST(O$9*SQRT($C$11)*NORMSINV($B586)+SQRT(1-O$9^2*$C$11)*NORMSINV(N586))&lt;O$8,O$5+SQRT(NORMSDIST(O$9*SQRT($C$11)*NORMSINV($B586)+SQRT(1-O$9^2*$C$11)*NORMSINV(N586))*(O$7-O$5)*(O$6-O$5)),O$7-SQRT((1-NORMSDIST(O$9*SQRT($C$11)*NORMSINV($B586)+SQRT(1-O$9^2*$C$11)*NORMSINV(N586)))*(O$7-O$5)*(O$7-O$6))))</f>
        <v>0.186295295220799</v>
      </c>
      <c r="P586" s="2" t="n">
        <v>0.847102787</v>
      </c>
      <c r="Q586" s="2" t="n">
        <f aca="false">IF(Q$7=Q$5,Q$6,IF(NORMSDIST(Q$9*SQRT($C$11)*NORMSINV($B586)+SQRT(1-Q$9^2*$C$11)*NORMSINV(P586))&lt;Q$8,Q$5+SQRT(NORMSDIST(Q$9*SQRT($C$11)*NORMSINV($B586)+SQRT(1-Q$9^2*$C$11)*NORMSINV(P586))*(Q$7-Q$5)*(Q$6-Q$5)),Q$7-SQRT((1-NORMSDIST(Q$9*SQRT($C$11)*NORMSINV($B586)+SQRT(1-Q$9^2*$C$11)*NORMSINV(P586)))*(Q$7-Q$5)*(Q$7-Q$6))))</f>
        <v>0.0978805270948876</v>
      </c>
      <c r="R586" s="2" t="n">
        <v>0.370473439</v>
      </c>
      <c r="S586" s="2" t="n">
        <f aca="false">IF(S$7=S$5,S$6,IF(NORMSDIST(S$9*SQRT($C$11)*NORMSINV($B586)+SQRT(1-S$9^2*$C$11)*NORMSINV(R586))&lt;S$8,S$5+SQRT(NORMSDIST(S$9*SQRT($C$11)*NORMSINV($B586)+SQRT(1-S$9^2*$C$11)*NORMSINV(R586))*(S$7-S$5)*(S$6-S$5)),S$7-SQRT((1-NORMSDIST(S$9*SQRT($C$11)*NORMSINV($B586)+SQRT(1-S$9^2*$C$11)*NORMSINV(R586)))*(S$7-S$5)*(S$7-S$6))))</f>
        <v>0.544247439969657</v>
      </c>
      <c r="T586" s="2" t="n">
        <v>0.18752293</v>
      </c>
      <c r="U586" s="2" t="n">
        <f aca="false">IF(U$7=U$5,U$6,IF(NORMSDIST(U$9*SQRT($C$11)*NORMSINV($B586)+SQRT(1-U$9^2*$C$11)*NORMSINV(T586))&lt;U$8,U$5+SQRT(NORMSDIST(U$9*SQRT($C$11)*NORMSINV($B586)+SQRT(1-U$9^2*$C$11)*NORMSINV(T586))*(U$7-U$5)*(U$6-U$5)),U$7-SQRT((1-NORMSDIST(U$9*SQRT($C$11)*NORMSINV($B586)+SQRT(1-U$9^2*$C$11)*NORMSINV(T586)))*(U$7-U$5)*(U$7-U$6))))</f>
        <v>0.454941764134154</v>
      </c>
      <c r="V586" s="2" t="n">
        <v>0.137423572</v>
      </c>
      <c r="W586" s="2" t="n">
        <f aca="false">IF(W$7=W$5,W$6,IF(NORMSDIST(W$9*SQRT($C$11)*NORMSINV($B586)+SQRT(1-W$9^2*$C$11)*NORMSINV(V586))&lt;W$8,W$5+SQRT(NORMSDIST(W$9*SQRT($C$11)*NORMSINV($B586)+SQRT(1-W$9^2*$C$11)*NORMSINV(V586))*(W$7-W$5)*(W$6-W$5)),W$7-SQRT((1-NORMSDIST(W$9*SQRT($C$11)*NORMSINV($B586)+SQRT(1-W$9^2*$C$11)*NORMSINV(V586)))*(W$7-W$5)*(W$7-W$6))))</f>
        <v>9.68145111319534</v>
      </c>
      <c r="X586" s="2" t="n">
        <v>0.810588633</v>
      </c>
      <c r="Y586" s="2" t="n">
        <f aca="false">IF(Y$7=Y$5,Y$6,IF(NORMSDIST(Y$9*SQRT($C$11)*NORMSINV($B586)+SQRT(1-Y$9^2*$C$11)*NORMSINV(X586))&lt;Y$8,Y$5+SQRT(NORMSDIST(Y$9*SQRT($C$11)*NORMSINV($B586)+SQRT(1-Y$9^2*$C$11)*NORMSINV(X586))*(Y$7-Y$5)*(Y$6-Y$5)),Y$7-SQRT((1-NORMSDIST(Y$9*SQRT($C$11)*NORMSINV($B586)+SQRT(1-Y$9^2*$C$11)*NORMSINV(X586)))*(Y$7-Y$5)*(Y$7-Y$6))))</f>
        <v>0.692257114623262</v>
      </c>
      <c r="Z586" s="2" t="n">
        <v>0.009549217</v>
      </c>
      <c r="AA586" s="2" t="n">
        <f aca="false">IF(AA$7=AA$5,AA$6,IF(NORMSDIST(AA$9*SQRT($C$11)*NORMSINV($B586)+SQRT(1-AA$9^2*$C$11)*NORMSINV(Z586))&lt;AA$8,AA$5+SQRT(NORMSDIST(AA$9*SQRT($C$11)*NORMSINV($B586)+SQRT(1-AA$9^2*$C$11)*NORMSINV(Z586))*(AA$7-AA$5)*(AA$6-AA$5)),AA$7-SQRT((1-NORMSDIST(AA$9*SQRT($C$11)*NORMSINV($B586)+SQRT(1-AA$9^2*$C$11)*NORMSINV(Z586)))*(AA$7-AA$5)*(AA$7-AA$6))))</f>
        <v>0.709145070017461</v>
      </c>
      <c r="AB586" s="2" t="n">
        <v>0.11350401</v>
      </c>
      <c r="AC586" s="2" t="n">
        <f aca="false">IF(AC$7=AC$5,AC$6,IF(NORMSDIST(AC$9*SQRT($C$11)*NORMSINV($B586)+SQRT(1-AC$9^2*$C$11)*NORMSINV(AB586))&lt;AC$8,AC$5+SQRT(NORMSDIST(AC$9*SQRT($C$11)*NORMSINV($B586)+SQRT(1-AC$9^2*$C$11)*NORMSINV(AB586))*(AC$7-AC$5)*(AC$6-AC$5)),AC$7-SQRT((1-NORMSDIST(AC$9*SQRT($C$11)*NORMSINV($B586)+SQRT(1-AC$9^2*$C$11)*NORMSINV(AB586)))*(AC$7-AC$5)*(AC$7-AC$6))))</f>
        <v>9.0642652086887</v>
      </c>
      <c r="AD586" s="2" t="n">
        <f aca="false">Entrées!$C$8*(1+E586)</f>
        <v>7442.45484591966</v>
      </c>
      <c r="AE586" s="2" t="n">
        <f aca="false">I586*Hypothèses!$J$24/12/Hypothèses!$J$19</f>
        <v>106.070861562874</v>
      </c>
      <c r="AF586" s="2" t="n">
        <f aca="false">Entrées!$C$36*S586*1000</f>
        <v>272.123719984829</v>
      </c>
      <c r="AG586" s="2" t="n">
        <f aca="false">-AF586/W586</f>
        <v>-28.1077409577514</v>
      </c>
      <c r="AH586" s="2" t="n">
        <f aca="false">AD586+AE586+AG586</f>
        <v>7520.41796652478</v>
      </c>
      <c r="AI586" s="2" t="n">
        <f aca="false">Entrées!$C$16-M586+Hypothèses!$J$22*1000-AF586+Hypothèses!$J$23</f>
        <v>22648.9134975411</v>
      </c>
      <c r="AJ586" s="2" t="n">
        <f aca="false">AI586/AH586</f>
        <v>3.01165621357176</v>
      </c>
      <c r="AK586" s="2" t="n">
        <f aca="false">AI586/(AH586+I586*(12-Hypothèses!$J$24)/12/Hypothèses!$J$19)</f>
        <v>2.98161772724336</v>
      </c>
      <c r="AL586" s="2" t="n">
        <f aca="false">(AD586+AG586+I586/Hypothèses!$J$19)*(1+G586)</f>
        <v>8068.78289165883</v>
      </c>
      <c r="AM586" s="2" t="n">
        <f aca="false">Entrées!$C$54*K586/Hypothèses!$J$19</f>
        <v>33.6130150565151</v>
      </c>
      <c r="AN586" s="2" t="n">
        <f aca="false">Y586*1000/AC586</f>
        <v>76.3721160717681</v>
      </c>
      <c r="AO586" s="2" t="n">
        <f aca="false">(Entrées!$C$36*(1-S586)+MAX(0,Entrées!$C$30-Entrées!$C$35-Entrées!$C$36)*U586)*1000</f>
        <v>864.794749802988</v>
      </c>
      <c r="AP586" s="2" t="n">
        <f aca="false">-AO586/W586</f>
        <v>-89.3249100462136</v>
      </c>
      <c r="AQ586" s="2" t="n">
        <f aca="false">AL586+AM586+AN586+AP586</f>
        <v>8089.4431127409</v>
      </c>
      <c r="AR586" s="2" t="n">
        <f aca="false">O586*AQ586-Hypothèses!$J$25/Hypothèses!$J$19</f>
        <v>1487.8900305983</v>
      </c>
      <c r="AS586" s="2" t="n">
        <f aca="false">Entrées!$C$79*(1+Q586)+Hypothèses!$J$20</f>
        <v>1501.57069927728</v>
      </c>
      <c r="AT586" s="2" t="n">
        <f aca="false">AI586-AR586+AS586+Y586*1000-AO586+Hypothèses!$J$23</f>
        <v>22490.0565310403</v>
      </c>
      <c r="AU586" s="2" t="n">
        <f aca="false">AT586/AQ586</f>
        <v>2.78017364330289</v>
      </c>
      <c r="AV586" s="2" t="n">
        <f aca="false">Hypothèses!$J$26*AQ586-AT586</f>
        <v>1778.27280718237</v>
      </c>
      <c r="AW586" s="2" t="n">
        <f aca="false">IF(AC586&gt;Hypothèses!$J$26,MAX(0,AV586)/(1-Hypothèses!$J$26/AC586),0)</f>
        <v>2657.98671116922</v>
      </c>
      <c r="AX586" s="2" t="n">
        <f aca="false">AQ586-Entrées!$C$17*1000</f>
        <v>89.4431127408961</v>
      </c>
      <c r="AY586" s="2" t="n">
        <f aca="false">AI586+(Entrées!$C$244-Entrées!$C$13)</f>
        <v>28395.9134975411</v>
      </c>
      <c r="AZ586" s="2" t="n">
        <f aca="false">AA586*AH586</f>
        <v>5333.06732543179</v>
      </c>
      <c r="BA586" s="2" t="n">
        <f aca="false">AZ586/AY586</f>
        <v>0.187811085066645</v>
      </c>
      <c r="BB586" s="2" t="n">
        <f aca="false">AZ586/(Entrées!$C$151/100)-AY586</f>
        <v>1232.23831041331</v>
      </c>
      <c r="BC586" s="2" t="n">
        <f aca="false">AT586+(Entrées!$C$244-Entrées!$C$13)</f>
        <v>28237.0565310403</v>
      </c>
      <c r="BD586" s="2" t="n">
        <f aca="false">AA586*AQ586</f>
        <v>5736.58870258691</v>
      </c>
      <c r="BE586" s="2" t="n">
        <f aca="false">BD586/BC586</f>
        <v>0.203158168992608</v>
      </c>
      <c r="BF586" s="2" t="n">
        <f aca="false">BD586/(Entrées!$C$151/100)-BC586</f>
        <v>3632.88070555363</v>
      </c>
      <c r="BG586" s="2" t="n">
        <f aca="false">MIN(AV586,BF586)</f>
        <v>1778.27280718237</v>
      </c>
      <c r="BH586" s="2" t="n">
        <f aca="false">IF(AC586&gt;Hypothèses!$J$26,MAX(0,BG586)/(1-Hypothèses!$J$26/AC586),0)</f>
        <v>2657.98671116922</v>
      </c>
    </row>
    <row r="587" customFormat="false" ht="15" hidden="false" customHeight="false" outlineLevel="0" collapsed="false">
      <c r="A587" s="2" t="n">
        <v>572</v>
      </c>
      <c r="B587" s="2" t="n">
        <v>0.999419602</v>
      </c>
      <c r="C587" s="2"/>
      <c r="D587" s="2" t="n">
        <v>0.910763343</v>
      </c>
      <c r="E587" s="2" t="n">
        <f aca="false">IF(E$7=E$5,E$6,IF(NORMSDIST(E$9*SQRT($C$11)*NORMSINV($B587)+SQRT(1-E$9^2*$C$11)*NORMSINV(D587))&lt;E$8,E$5+SQRT(NORMSDIST(E$9*SQRT($C$11)*NORMSINV($B587)+SQRT(1-E$9^2*$C$11)*NORMSINV(D587))*(E$7-E$5)*(E$6-E$5)),E$7-SQRT((1-NORMSDIST(E$9*SQRT($C$11)*NORMSINV($B587)+SQRT(1-E$9^2*$C$11)*NORMSINV(D587)))*(E$7-E$5)*(E$7-E$6))))</f>
        <v>0.0597787904370737</v>
      </c>
      <c r="F587" s="2" t="n">
        <v>0.095391018</v>
      </c>
      <c r="G587" s="2" t="n">
        <f aca="false">IF(G$7=G$5,G$6,IF(NORMSDIST(G$9*SQRT($C$11)*NORMSINV($B587)+SQRT(1-G$9^2*$C$11)*NORMSINV(F587))&lt;G$8,G$5+SQRT(NORMSDIST(G$9*SQRT($C$11)*NORMSINV($B587)+SQRT(1-G$9^2*$C$11)*NORMSINV(F587))*(G$7-G$5)*(G$6-G$5)),G$7-SQRT((1-NORMSDIST(G$9*SQRT($C$11)*NORMSINV($B587)+SQRT(1-G$9^2*$C$11)*NORMSINV(F587)))*(G$7-G$5)*(G$7-G$6))))</f>
        <v>0.0618136290394791</v>
      </c>
      <c r="H587" s="2" t="n">
        <v>0.965422547</v>
      </c>
      <c r="I587" s="2" t="n">
        <f aca="false">IF(I$7=I$5,I$6,IF(NORMSDIST(I$9*SQRT($C$11)*NORMSINV($B587)+SQRT(1-I$9^2*$C$11)*NORMSINV(H587))&lt;I$8,I$5+SQRT(NORMSDIST(I$9*SQRT($C$11)*NORMSINV($B587)+SQRT(1-I$9^2*$C$11)*NORMSINV(H587))*(I$7-I$5)*(I$6-I$5)),I$7-SQRT((1-NORMSDIST(I$9*SQRT($C$11)*NORMSINV($B587)+SQRT(1-I$9^2*$C$11)*NORMSINV(H587)))*(I$7-I$5)*(I$7-I$6))))</f>
        <v>219.537052518585</v>
      </c>
      <c r="J587" s="2" t="n">
        <v>0.665842319</v>
      </c>
      <c r="K587" s="2" t="n">
        <f aca="false">IF(K$7=K$5,K$6,IF(NORMSDIST(K$9*SQRT($C$11)*NORMSINV($B587)+SQRT(1-K$9^2*$C$11)*NORMSINV(J587))&lt;K$8,K$5+SQRT(NORMSDIST(K$9*SQRT($C$11)*NORMSINV($B587)+SQRT(1-K$9^2*$C$11)*NORMSINV(J587))*(K$7-K$5)*(K$6-K$5)),K$7-SQRT((1-NORMSDIST(K$9*SQRT($C$11)*NORMSINV($B587)+SQRT(1-K$9^2*$C$11)*NORMSINV(J587)))*(K$7-K$5)*(K$7-K$6))))</f>
        <v>0.467386645967336</v>
      </c>
      <c r="L587" s="2" t="n">
        <v>0.685964322</v>
      </c>
      <c r="M587" s="2" t="n">
        <f aca="false">IF(M$7=M$5,M$6,IF(NORMSDIST(M$9*SQRT($C$11)*NORMSINV($B587)+SQRT(1-M$9^2*$C$11)*NORMSINV(L587))&lt;M$8,M$5+SQRT(NORMSDIST(M$9*SQRT($C$11)*NORMSINV($B587)+SQRT(1-M$9^2*$C$11)*NORMSINV(L587))*(M$7-M$5)*(M$6-M$5)),M$7-SQRT((1-NORMSDIST(M$9*SQRT($C$11)*NORMSINV($B587)+SQRT(1-M$9^2*$C$11)*NORMSINV(L587)))*(M$7-M$5)*(M$7-M$6))))</f>
        <v>1767.37381862326</v>
      </c>
      <c r="N587" s="2" t="n">
        <v>0.147444469</v>
      </c>
      <c r="O587" s="2" t="n">
        <f aca="false">IF(O$7=O$5,O$6,IF(NORMSDIST(O$9*SQRT($C$11)*NORMSINV($B587)+SQRT(1-O$9^2*$C$11)*NORMSINV(N587))&lt;O$8,O$5+SQRT(NORMSDIST(O$9*SQRT($C$11)*NORMSINV($B587)+SQRT(1-O$9^2*$C$11)*NORMSINV(N587))*(O$7-O$5)*(O$6-O$5)),O$7-SQRT((1-NORMSDIST(O$9*SQRT($C$11)*NORMSINV($B587)+SQRT(1-O$9^2*$C$11)*NORMSINV(N587)))*(O$7-O$5)*(O$7-O$6))))</f>
        <v>0.17932810871482</v>
      </c>
      <c r="P587" s="2" t="n">
        <v>0.677100431</v>
      </c>
      <c r="Q587" s="2" t="n">
        <f aca="false">IF(Q$7=Q$5,Q$6,IF(NORMSDIST(Q$9*SQRT($C$11)*NORMSINV($B587)+SQRT(1-Q$9^2*$C$11)*NORMSINV(P587))&lt;Q$8,Q$5+SQRT(NORMSDIST(Q$9*SQRT($C$11)*NORMSINV($B587)+SQRT(1-Q$9^2*$C$11)*NORMSINV(P587))*(Q$7-Q$5)*(Q$6-Q$5)),Q$7-SQRT((1-NORMSDIST(Q$9*SQRT($C$11)*NORMSINV($B587)+SQRT(1-Q$9^2*$C$11)*NORMSINV(P587)))*(Q$7-Q$5)*(Q$7-Q$6))))</f>
        <v>0.0878553484884344</v>
      </c>
      <c r="R587" s="2" t="n">
        <v>0.643995416</v>
      </c>
      <c r="S587" s="2" t="n">
        <f aca="false">IF(S$7=S$5,S$6,IF(NORMSDIST(S$9*SQRT($C$11)*NORMSINV($B587)+SQRT(1-S$9^2*$C$11)*NORMSINV(R587))&lt;S$8,S$5+SQRT(NORMSDIST(S$9*SQRT($C$11)*NORMSINV($B587)+SQRT(1-S$9^2*$C$11)*NORMSINV(R587))*(S$7-S$5)*(S$6-S$5)),S$7-SQRT((1-NORMSDIST(S$9*SQRT($C$11)*NORMSINV($B587)+SQRT(1-S$9^2*$C$11)*NORMSINV(R587)))*(S$7-S$5)*(S$7-S$6))))</f>
        <v>0.930602487194523</v>
      </c>
      <c r="T587" s="2" t="n">
        <v>0.547272905</v>
      </c>
      <c r="U587" s="2" t="n">
        <f aca="false">IF(U$7=U$5,U$6,IF(NORMSDIST(U$9*SQRT($C$11)*NORMSINV($B587)+SQRT(1-U$9^2*$C$11)*NORMSINV(T587))&lt;U$8,U$5+SQRT(NORMSDIST(U$9*SQRT($C$11)*NORMSINV($B587)+SQRT(1-U$9^2*$C$11)*NORMSINV(T587))*(U$7-U$5)*(U$6-U$5)),U$7-SQRT((1-NORMSDIST(U$9*SQRT($C$11)*NORMSINV($B587)+SQRT(1-U$9^2*$C$11)*NORMSINV(T587)))*(U$7-U$5)*(U$7-U$6))))</f>
        <v>0.910783465485124</v>
      </c>
      <c r="V587" s="2" t="n">
        <v>0.253710757</v>
      </c>
      <c r="W587" s="2" t="n">
        <f aca="false">IF(W$7=W$5,W$6,IF(NORMSDIST(W$9*SQRT($C$11)*NORMSINV($B587)+SQRT(1-W$9^2*$C$11)*NORMSINV(V587))&lt;W$8,W$5+SQRT(NORMSDIST(W$9*SQRT($C$11)*NORMSINV($B587)+SQRT(1-W$9^2*$C$11)*NORMSINV(V587))*(W$7-W$5)*(W$6-W$5)),W$7-SQRT((1-NORMSDIST(W$9*SQRT($C$11)*NORMSINV($B587)+SQRT(1-W$9^2*$C$11)*NORMSINV(V587)))*(W$7-W$5)*(W$7-W$6))))</f>
        <v>11.2976593700765</v>
      </c>
      <c r="X587" s="2" t="n">
        <v>0.614306638</v>
      </c>
      <c r="Y587" s="2" t="n">
        <f aca="false">IF(Y$7=Y$5,Y$6,IF(NORMSDIST(Y$9*SQRT($C$11)*NORMSINV($B587)+SQRT(1-Y$9^2*$C$11)*NORMSINV(X587))&lt;Y$8,Y$5+SQRT(NORMSDIST(Y$9*SQRT($C$11)*NORMSINV($B587)+SQRT(1-Y$9^2*$C$11)*NORMSINV(X587))*(Y$7-Y$5)*(Y$6-Y$5)),Y$7-SQRT((1-NORMSDIST(Y$9*SQRT($C$11)*NORMSINV($B587)+SQRT(1-Y$9^2*$C$11)*NORMSINV(X587)))*(Y$7-Y$5)*(Y$7-Y$6))))</f>
        <v>0.560856878683043</v>
      </c>
      <c r="Z587" s="2" t="n">
        <v>0.66207914</v>
      </c>
      <c r="AA587" s="2" t="n">
        <f aca="false">IF(AA$7=AA$5,AA$6,IF(NORMSDIST(AA$9*SQRT($C$11)*NORMSINV($B587)+SQRT(1-AA$9^2*$C$11)*NORMSINV(Z587))&lt;AA$8,AA$5+SQRT(NORMSDIST(AA$9*SQRT($C$11)*NORMSINV($B587)+SQRT(1-AA$9^2*$C$11)*NORMSINV(Z587))*(AA$7-AA$5)*(AA$6-AA$5)),AA$7-SQRT((1-NORMSDIST(AA$9*SQRT($C$11)*NORMSINV($B587)+SQRT(1-AA$9^2*$C$11)*NORMSINV(Z587)))*(AA$7-AA$5)*(AA$7-AA$6))))</f>
        <v>0.750528699863882</v>
      </c>
      <c r="AB587" s="2" t="n">
        <v>0.659985571</v>
      </c>
      <c r="AC587" s="2" t="n">
        <f aca="false">IF(AC$7=AC$5,AC$6,IF(NORMSDIST(AC$9*SQRT($C$11)*NORMSINV($B587)+SQRT(1-AC$9^2*$C$11)*NORMSINV(AB587))&lt;AC$8,AC$5+SQRT(NORMSDIST(AC$9*SQRT($C$11)*NORMSINV($B587)+SQRT(1-AC$9^2*$C$11)*NORMSINV(AB587))*(AC$7-AC$5)*(AC$6-AC$5)),AC$7-SQRT((1-NORMSDIST(AC$9*SQRT($C$11)*NORMSINV($B587)+SQRT(1-AC$9^2*$C$11)*NORMSINV(AB587)))*(AC$7-AC$5)*(AC$7-AC$6))))</f>
        <v>10.8050142056669</v>
      </c>
      <c r="AD587" s="2" t="n">
        <f aca="false">Entrées!$C$8*(1+E587)</f>
        <v>7471.44047258137</v>
      </c>
      <c r="AE587" s="2" t="n">
        <f aca="false">I587*Hypothèses!$J$24/12/Hypothèses!$J$19</f>
        <v>108.911629098798</v>
      </c>
      <c r="AF587" s="2" t="n">
        <f aca="false">Entrées!$C$36*S587*1000</f>
        <v>465.301243597262</v>
      </c>
      <c r="AG587" s="2" t="n">
        <f aca="false">-AF587/W587</f>
        <v>-41.1856322053467</v>
      </c>
      <c r="AH587" s="2" t="n">
        <f aca="false">AD587+AE587+AG587</f>
        <v>7539.16646947482</v>
      </c>
      <c r="AI587" s="2" t="n">
        <f aca="false">Entrées!$C$16-M587+Hypothèses!$J$22*1000-AF587+Hypothèses!$J$23</f>
        <v>22315.3249377795</v>
      </c>
      <c r="AJ587" s="2" t="n">
        <f aca="false">AI587/AH587</f>
        <v>2.95991937943426</v>
      </c>
      <c r="AK587" s="2" t="n">
        <f aca="false">AI587/(AH587+I587*(12-Hypothèses!$J$24)/12/Hypothèses!$J$19)</f>
        <v>2.92968894433883</v>
      </c>
      <c r="AL587" s="2" t="n">
        <f aca="false">(AD587+AG587+I587/Hypothèses!$J$19)*(1+G587)</f>
        <v>8087.79246041296</v>
      </c>
      <c r="AM587" s="2" t="n">
        <f aca="false">Entrées!$C$54*K587/Hypothèses!$J$19</f>
        <v>47.6987696506779</v>
      </c>
      <c r="AN587" s="2" t="n">
        <f aca="false">Y587*1000/AC587</f>
        <v>51.9070931335646</v>
      </c>
      <c r="AO587" s="2" t="n">
        <f aca="false">(Entrées!$C$36*(1-S587)+MAX(0,Entrées!$C$30-Entrées!$C$35-Entrées!$C$36)*U587)*1000</f>
        <v>1309.79560808191</v>
      </c>
      <c r="AP587" s="2" t="n">
        <f aca="false">-AO587/W587</f>
        <v>-115.935130028003</v>
      </c>
      <c r="AQ587" s="2" t="n">
        <f aca="false">AL587+AM587+AN587+AP587</f>
        <v>8071.4631931692</v>
      </c>
      <c r="AR587" s="2" t="n">
        <f aca="false">O587*AQ587-Hypothèses!$J$25/Hypothèses!$J$19</f>
        <v>1428.30506673069</v>
      </c>
      <c r="AS587" s="2" t="n">
        <f aca="false">Entrées!$C$79*(1+Q587)+Hypothèses!$J$20</f>
        <v>1490.55302798879</v>
      </c>
      <c r="AT587" s="2" t="n">
        <f aca="false">AI587-AR587+AS587+Y587*1000-AO587+Hypothèses!$J$23</f>
        <v>21628.6341696387</v>
      </c>
      <c r="AU587" s="2" t="n">
        <f aca="false">AT587/AQ587</f>
        <v>2.67964229681959</v>
      </c>
      <c r="AV587" s="2" t="n">
        <f aca="false">Hypothèses!$J$26*AQ587-AT587</f>
        <v>2585.75540986888</v>
      </c>
      <c r="AW587" s="2" t="n">
        <f aca="false">IF(AC587&gt;Hypothèses!$J$26,MAX(0,AV587)/(1-Hypothèses!$J$26/AC587),0)</f>
        <v>3579.63780715835</v>
      </c>
      <c r="AX587" s="2" t="n">
        <f aca="false">AQ587-Entrées!$C$17*1000</f>
        <v>71.4631931691965</v>
      </c>
      <c r="AY587" s="2" t="n">
        <f aca="false">AI587+(Entrées!$C$244-Entrées!$C$13)</f>
        <v>28062.3249377795</v>
      </c>
      <c r="AZ587" s="2" t="n">
        <f aca="false">AA587*AH587</f>
        <v>5658.36080839231</v>
      </c>
      <c r="BA587" s="2" t="n">
        <f aca="false">AZ587/AY587</f>
        <v>0.201635496023162</v>
      </c>
      <c r="BB587" s="2" t="n">
        <f aca="false">AZ587/(Entrées!$C$151/100)-AY587</f>
        <v>3373.01288662227</v>
      </c>
      <c r="BC587" s="2" t="n">
        <f aca="false">AT587+(Entrées!$C$244-Entrées!$C$13)</f>
        <v>27375.6341696387</v>
      </c>
      <c r="BD587" s="2" t="n">
        <f aca="false">AA587*AQ587</f>
        <v>6057.86477636846</v>
      </c>
      <c r="BE587" s="2" t="n">
        <f aca="false">BD587/BC587</f>
        <v>0.221286737645224</v>
      </c>
      <c r="BF587" s="2" t="n">
        <f aca="false">BD587/(Entrées!$C$151/100)-BC587</f>
        <v>6279.17014351939</v>
      </c>
      <c r="BG587" s="2" t="n">
        <f aca="false">MIN(AV587,BF587)</f>
        <v>2585.75540986888</v>
      </c>
      <c r="BH587" s="2" t="n">
        <f aca="false">IF(AC587&gt;Hypothèses!$J$26,MAX(0,BG587)/(1-Hypothèses!$J$26/AC587),0)</f>
        <v>3579.63780715835</v>
      </c>
    </row>
    <row r="588" customFormat="false" ht="15" hidden="false" customHeight="false" outlineLevel="0" collapsed="false">
      <c r="A588" s="2" t="n">
        <v>573</v>
      </c>
      <c r="B588" s="2" t="n">
        <v>0.621434238</v>
      </c>
      <c r="C588" s="2"/>
      <c r="D588" s="2" t="n">
        <v>0.764745245</v>
      </c>
      <c r="E588" s="2" t="n">
        <f aca="false">IF(E$7=E$5,E$6,IF(NORMSDIST(E$9*SQRT($C$11)*NORMSINV($B588)+SQRT(1-E$9^2*$C$11)*NORMSINV(D588))&lt;E$8,E$5+SQRT(NORMSDIST(E$9*SQRT($C$11)*NORMSINV($B588)+SQRT(1-E$9^2*$C$11)*NORMSINV(D588))*(E$7-E$5)*(E$6-E$5)),E$7-SQRT((1-NORMSDIST(E$9*SQRT($C$11)*NORMSINV($B588)+SQRT(1-E$9^2*$C$11)*NORMSINV(D588)))*(E$7-E$5)*(E$7-E$6))))</f>
        <v>0.0566440193771714</v>
      </c>
      <c r="F588" s="2" t="n">
        <v>0.602327068</v>
      </c>
      <c r="G588" s="2" t="n">
        <f aca="false">IF(G$7=G$5,G$6,IF(NORMSDIST(G$9*SQRT($C$11)*NORMSINV($B588)+SQRT(1-G$9^2*$C$11)*NORMSINV(F588))&lt;G$8,G$5+SQRT(NORMSDIST(G$9*SQRT($C$11)*NORMSINV($B588)+SQRT(1-G$9^2*$C$11)*NORMSINV(F588))*(G$7-G$5)*(G$6-G$5)),G$7-SQRT((1-NORMSDIST(G$9*SQRT($C$11)*NORMSINV($B588)+SQRT(1-G$9^2*$C$11)*NORMSINV(F588)))*(G$7-G$5)*(G$7-G$6))))</f>
        <v>0.0575243833268401</v>
      </c>
      <c r="H588" s="2" t="n">
        <v>0.859343483</v>
      </c>
      <c r="I588" s="2" t="n">
        <f aca="false">IF(I$7=I$5,I$6,IF(NORMSDIST(I$9*SQRT($C$11)*NORMSINV($B588)+SQRT(1-I$9^2*$C$11)*NORMSINV(H588))&lt;I$8,I$5+SQRT(NORMSDIST(I$9*SQRT($C$11)*NORMSINV($B588)+SQRT(1-I$9^2*$C$11)*NORMSINV(H588))*(I$7-I$5)*(I$6-I$5)),I$7-SQRT((1-NORMSDIST(I$9*SQRT($C$11)*NORMSINV($B588)+SQRT(1-I$9^2*$C$11)*NORMSINV(H588)))*(I$7-I$5)*(I$7-I$6))))</f>
        <v>208.991731927172</v>
      </c>
      <c r="J588" s="2" t="n">
        <v>0.607749332</v>
      </c>
      <c r="K588" s="2" t="n">
        <f aca="false">IF(K$7=K$5,K$6,IF(NORMSDIST(K$9*SQRT($C$11)*NORMSINV($B588)+SQRT(1-K$9^2*$C$11)*NORMSINV(J588))&lt;K$8,K$5+SQRT(NORMSDIST(K$9*SQRT($C$11)*NORMSINV($B588)+SQRT(1-K$9^2*$C$11)*NORMSINV(J588))*(K$7-K$5)*(K$6-K$5)),K$7-SQRT((1-NORMSDIST(K$9*SQRT($C$11)*NORMSINV($B588)+SQRT(1-K$9^2*$C$11)*NORMSINV(J588)))*(K$7-K$5)*(K$7-K$6))))</f>
        <v>0.293283156924978</v>
      </c>
      <c r="L588" s="2" t="n">
        <v>0.530921766</v>
      </c>
      <c r="M588" s="2" t="n">
        <f aca="false">IF(M$7=M$5,M$6,IF(NORMSDIST(M$9*SQRT($C$11)*NORMSINV($B588)+SQRT(1-M$9^2*$C$11)*NORMSINV(L588))&lt;M$8,M$5+SQRT(NORMSDIST(M$9*SQRT($C$11)*NORMSINV($B588)+SQRT(1-M$9^2*$C$11)*NORMSINV(L588))*(M$7-M$5)*(M$6-M$5)),M$7-SQRT((1-NORMSDIST(M$9*SQRT($C$11)*NORMSINV($B588)+SQRT(1-M$9^2*$C$11)*NORMSINV(L588)))*(M$7-M$5)*(M$7-M$6))))</f>
        <v>1612.51355243443</v>
      </c>
      <c r="N588" s="2" t="n">
        <v>0.13820027</v>
      </c>
      <c r="O588" s="2" t="n">
        <f aca="false">IF(O$7=O$5,O$6,IF(NORMSDIST(O$9*SQRT($C$11)*NORMSINV($B588)+SQRT(1-O$9^2*$C$11)*NORMSINV(N588))&lt;O$8,O$5+SQRT(NORMSDIST(O$9*SQRT($C$11)*NORMSINV($B588)+SQRT(1-O$9^2*$C$11)*NORMSINV(N588))*(O$7-O$5)*(O$6-O$5)),O$7-SQRT((1-NORMSDIST(O$9*SQRT($C$11)*NORMSINV($B588)+SQRT(1-O$9^2*$C$11)*NORMSINV(N588)))*(O$7-O$5)*(O$7-O$6))))</f>
        <v>0.159264328969207</v>
      </c>
      <c r="P588" s="2" t="n">
        <v>0.553004055</v>
      </c>
      <c r="Q588" s="2" t="n">
        <f aca="false">IF(Q$7=Q$5,Q$6,IF(NORMSDIST(Q$9*SQRT($C$11)*NORMSINV($B588)+SQRT(1-Q$9^2*$C$11)*NORMSINV(P588))&lt;Q$8,Q$5+SQRT(NORMSDIST(Q$9*SQRT($C$11)*NORMSINV($B588)+SQRT(1-Q$9^2*$C$11)*NORMSINV(P588))*(Q$7-Q$5)*(Q$6-Q$5)),Q$7-SQRT((1-NORMSDIST(Q$9*SQRT($C$11)*NORMSINV($B588)+SQRT(1-Q$9^2*$C$11)*NORMSINV(P588)))*(Q$7-Q$5)*(Q$7-Q$6))))</f>
        <v>0.0821795422555464</v>
      </c>
      <c r="R588" s="2" t="n">
        <v>0.375830027</v>
      </c>
      <c r="S588" s="2" t="n">
        <f aca="false">IF(S$7=S$5,S$6,IF(NORMSDIST(S$9*SQRT($C$11)*NORMSINV($B588)+SQRT(1-S$9^2*$C$11)*NORMSINV(R588))&lt;S$8,S$5+SQRT(NORMSDIST(S$9*SQRT($C$11)*NORMSINV($B588)+SQRT(1-S$9^2*$C$11)*NORMSINV(R588))*(S$7-S$5)*(S$6-S$5)),S$7-SQRT((1-NORMSDIST(S$9*SQRT($C$11)*NORMSINV($B588)+SQRT(1-S$9^2*$C$11)*NORMSINV(R588)))*(S$7-S$5)*(S$7-S$6))))</f>
        <v>0.490023646377186</v>
      </c>
      <c r="T588" s="2" t="n">
        <v>0.39703504</v>
      </c>
      <c r="U588" s="2" t="n">
        <f aca="false">IF(U$7=U$5,U$6,IF(NORMSDIST(U$9*SQRT($C$11)*NORMSINV($B588)+SQRT(1-U$9^2*$C$11)*NORMSINV(T588))&lt;U$8,U$5+SQRT(NORMSDIST(U$9*SQRT($C$11)*NORMSINV($B588)+SQRT(1-U$9^2*$C$11)*NORMSINV(T588))*(U$7-U$5)*(U$6-U$5)),U$7-SQRT((1-NORMSDIST(U$9*SQRT($C$11)*NORMSINV($B588)+SQRT(1-U$9^2*$C$11)*NORMSINV(T588)))*(U$7-U$5)*(U$7-U$6))))</f>
        <v>0.498680658494882</v>
      </c>
      <c r="V588" s="2" t="n">
        <v>0.895764834</v>
      </c>
      <c r="W588" s="2" t="n">
        <f aca="false">IF(W$7=W$5,W$6,IF(NORMSDIST(W$9*SQRT($C$11)*NORMSINV($B588)+SQRT(1-W$9^2*$C$11)*NORMSINV(V588))&lt;W$8,W$5+SQRT(NORMSDIST(W$9*SQRT($C$11)*NORMSINV($B588)+SQRT(1-W$9^2*$C$11)*NORMSINV(V588))*(W$7-W$5)*(W$6-W$5)),W$7-SQRT((1-NORMSDIST(W$9*SQRT($C$11)*NORMSINV($B588)+SQRT(1-W$9^2*$C$11)*NORMSINV(V588)))*(W$7-W$5)*(W$7-W$6))))</f>
        <v>11.0160144710733</v>
      </c>
      <c r="X588" s="2" t="n">
        <v>0.813959785</v>
      </c>
      <c r="Y588" s="2" t="n">
        <f aca="false">IF(Y$7=Y$5,Y$6,IF(NORMSDIST(Y$9*SQRT($C$11)*NORMSINV($B588)+SQRT(1-Y$9^2*$C$11)*NORMSINV(X588))&lt;Y$8,Y$5+SQRT(NORMSDIST(Y$9*SQRT($C$11)*NORMSINV($B588)+SQRT(1-Y$9^2*$C$11)*NORMSINV(X588))*(Y$7-Y$5)*(Y$6-Y$5)),Y$7-SQRT((1-NORMSDIST(Y$9*SQRT($C$11)*NORMSINV($B588)+SQRT(1-Y$9^2*$C$11)*NORMSINV(X588)))*(Y$7-Y$5)*(Y$7-Y$6))))</f>
        <v>0.695008020597262</v>
      </c>
      <c r="Z588" s="2" t="n">
        <v>0.845043931</v>
      </c>
      <c r="AA588" s="2" t="n">
        <f aca="false">IF(AA$7=AA$5,AA$6,IF(NORMSDIST(AA$9*SQRT($C$11)*NORMSINV($B588)+SQRT(1-AA$9^2*$C$11)*NORMSINV(Z588))&lt;AA$8,AA$5+SQRT(NORMSDIST(AA$9*SQRT($C$11)*NORMSINV($B588)+SQRT(1-AA$9^2*$C$11)*NORMSINV(Z588))*(AA$7-AA$5)*(AA$6-AA$5)),AA$7-SQRT((1-NORMSDIST(AA$9*SQRT($C$11)*NORMSINV($B588)+SQRT(1-AA$9^2*$C$11)*NORMSINV(Z588)))*(AA$7-AA$5)*(AA$7-AA$6))))</f>
        <v>0.739395023919219</v>
      </c>
      <c r="AB588" s="2" t="n">
        <v>0.186785325</v>
      </c>
      <c r="AC588" s="2" t="n">
        <f aca="false">IF(AC$7=AC$5,AC$6,IF(NORMSDIST(AC$9*SQRT($C$11)*NORMSINV($B588)+SQRT(1-AC$9^2*$C$11)*NORMSINV(AB588))&lt;AC$8,AC$5+SQRT(NORMSDIST(AC$9*SQRT($C$11)*NORMSINV($B588)+SQRT(1-AC$9^2*$C$11)*NORMSINV(AB588))*(AC$7-AC$5)*(AC$6-AC$5)),AC$7-SQRT((1-NORMSDIST(AC$9*SQRT($C$11)*NORMSINV($B588)+SQRT(1-AC$9^2*$C$11)*NORMSINV(AB588)))*(AC$7-AC$5)*(AC$7-AC$6))))</f>
        <v>9.03862775146791</v>
      </c>
      <c r="AD588" s="2" t="n">
        <f aca="false">Entrées!$C$8*(1+E588)</f>
        <v>7449.34033660906</v>
      </c>
      <c r="AE588" s="2" t="n">
        <f aca="false">I588*Hypothèses!$J$24/12/Hypothèses!$J$19</f>
        <v>103.68012930501</v>
      </c>
      <c r="AF588" s="2" t="n">
        <f aca="false">Entrées!$C$36*S588*1000</f>
        <v>245.011823188593</v>
      </c>
      <c r="AG588" s="2" t="n">
        <f aca="false">-AF588/W588</f>
        <v>-22.2414216894834</v>
      </c>
      <c r="AH588" s="2" t="n">
        <f aca="false">AD588+AE588+AG588</f>
        <v>7530.77904422459</v>
      </c>
      <c r="AI588" s="2" t="n">
        <f aca="false">Entrées!$C$16-M588+Hypothèses!$J$22*1000-AF588+Hypothèses!$J$23</f>
        <v>22690.474624377</v>
      </c>
      <c r="AJ588" s="2" t="n">
        <f aca="false">AI588/AH588</f>
        <v>3.01303151919966</v>
      </c>
      <c r="AK588" s="2" t="n">
        <f aca="false">AI588/(AH588+I588*(12-Hypothèses!$J$24)/12/Hypothèses!$J$19)</f>
        <v>2.98369008754526</v>
      </c>
      <c r="AL588" s="2" t="n">
        <f aca="false">(AD588+AG588+I588/Hypothèses!$J$19)*(1+G588)</f>
        <v>8042.29979671896</v>
      </c>
      <c r="AM588" s="2" t="n">
        <f aca="false">Entrées!$C$54*K588/Hypothèses!$J$19</f>
        <v>29.9307775805939</v>
      </c>
      <c r="AN588" s="2" t="n">
        <f aca="false">Y588*1000/AC588</f>
        <v>76.8930903791663</v>
      </c>
      <c r="AO588" s="2" t="n">
        <f aca="false">(Entrées!$C$36*(1-S588)+MAX(0,Entrées!$C$30-Entrées!$C$35-Entrées!$C$36)*U588)*1000</f>
        <v>953.141098704242</v>
      </c>
      <c r="AP588" s="2" t="n">
        <f aca="false">-AO588/W588</f>
        <v>-86.5232250018436</v>
      </c>
      <c r="AQ588" s="2" t="n">
        <f aca="false">AL588+AM588+AN588+AP588</f>
        <v>8062.60043967687</v>
      </c>
      <c r="AR588" s="2" t="n">
        <f aca="false">O588*AQ588-Hypothèses!$J$25/Hypothèses!$J$19</f>
        <v>1264.94948651035</v>
      </c>
      <c r="AS588" s="2" t="n">
        <f aca="false">Entrées!$C$79*(1+Q588)+Hypothèses!$J$20</f>
        <v>1484.31531693885</v>
      </c>
      <c r="AT588" s="2" t="n">
        <f aca="false">AI588-AR588+AS588+Y588*1000-AO588+Hypothèses!$J$23</f>
        <v>22651.7073766985</v>
      </c>
      <c r="AU588" s="2" t="n">
        <f aca="false">AT588/AQ588</f>
        <v>2.80947909377068</v>
      </c>
      <c r="AV588" s="2" t="n">
        <f aca="false">Hypothèses!$J$26*AQ588-AT588</f>
        <v>1536.09394233213</v>
      </c>
      <c r="AW588" s="2" t="n">
        <f aca="false">IF(AC588&gt;Hypothèses!$J$26,MAX(0,AV588)/(1-Hypothèses!$J$26/AC588),0)</f>
        <v>2299.22788876162</v>
      </c>
      <c r="AX588" s="2" t="n">
        <f aca="false">AQ588-Entrées!$C$17*1000</f>
        <v>62.6004396768731</v>
      </c>
      <c r="AY588" s="2" t="n">
        <f aca="false">AI588+(Entrées!$C$244-Entrées!$C$13)</f>
        <v>28437.474624377</v>
      </c>
      <c r="AZ588" s="2" t="n">
        <f aca="false">AA588*AH588</f>
        <v>5568.22055153479</v>
      </c>
      <c r="BA588" s="2" t="n">
        <f aca="false">AZ588/AY588</f>
        <v>0.19580573257942</v>
      </c>
      <c r="BB588" s="2" t="n">
        <f aca="false">AZ588/(Entrées!$C$151/100)-AY588</f>
        <v>2497.08399526075</v>
      </c>
      <c r="BC588" s="2" t="n">
        <f aca="false">AT588+(Entrées!$C$244-Entrées!$C$13)</f>
        <v>28398.7073766985</v>
      </c>
      <c r="BD588" s="2" t="n">
        <f aca="false">AA588*AQ588</f>
        <v>5961.44664494599</v>
      </c>
      <c r="BE588" s="2" t="n">
        <f aca="false">BD588/BC588</f>
        <v>0.209919647604716</v>
      </c>
      <c r="BF588" s="2" t="n">
        <f aca="false">BD588/(Entrées!$C$151/100)-BC588</f>
        <v>4720.44065077921</v>
      </c>
      <c r="BG588" s="2" t="n">
        <f aca="false">MIN(AV588,BF588)</f>
        <v>1536.09394233213</v>
      </c>
      <c r="BH588" s="2" t="n">
        <f aca="false">IF(AC588&gt;Hypothèses!$J$26,MAX(0,BG588)/(1-Hypothèses!$J$26/AC588),0)</f>
        <v>2299.22788876162</v>
      </c>
    </row>
    <row r="589" customFormat="false" ht="15" hidden="false" customHeight="false" outlineLevel="0" collapsed="false">
      <c r="A589" s="2" t="n">
        <v>574</v>
      </c>
      <c r="B589" s="2" t="n">
        <v>0.831635395</v>
      </c>
      <c r="C589" s="2"/>
      <c r="D589" s="2" t="n">
        <v>0.339848572</v>
      </c>
      <c r="E589" s="2" t="n">
        <f aca="false">IF(E$7=E$5,E$6,IF(NORMSDIST(E$9*SQRT($C$11)*NORMSINV($B589)+SQRT(1-E$9^2*$C$11)*NORMSINV(D589))&lt;E$8,E$5+SQRT(NORMSDIST(E$9*SQRT($C$11)*NORMSINV($B589)+SQRT(1-E$9^2*$C$11)*NORMSINV(D589))*(E$7-E$5)*(E$6-E$5)),E$7-SQRT((1-NORMSDIST(E$9*SQRT($C$11)*NORMSINV($B589)+SQRT(1-E$9^2*$C$11)*NORMSINV(D589)))*(E$7-E$5)*(E$7-E$6))))</f>
        <v>0.0556024587896565</v>
      </c>
      <c r="F589" s="2" t="n">
        <v>0.440239354</v>
      </c>
      <c r="G589" s="2" t="n">
        <f aca="false">IF(G$7=G$5,G$6,IF(NORMSDIST(G$9*SQRT($C$11)*NORMSINV($B589)+SQRT(1-G$9^2*$C$11)*NORMSINV(F589))&lt;G$8,G$5+SQRT(NORMSDIST(G$9*SQRT($C$11)*NORMSINV($B589)+SQRT(1-G$9^2*$C$11)*NORMSINV(F589))*(G$7-G$5)*(G$6-G$5)),G$7-SQRT((1-NORMSDIST(G$9*SQRT($C$11)*NORMSINV($B589)+SQRT(1-G$9^2*$C$11)*NORMSINV(F589)))*(G$7-G$5)*(G$7-G$6))))</f>
        <v>0.0581570472173051</v>
      </c>
      <c r="H589" s="2" t="n">
        <v>0.433715287</v>
      </c>
      <c r="I589" s="2" t="n">
        <f aca="false">IF(I$7=I$5,I$6,IF(NORMSDIST(I$9*SQRT($C$11)*NORMSINV($B589)+SQRT(1-I$9^2*$C$11)*NORMSINV(H589))&lt;I$8,I$5+SQRT(NORMSDIST(I$9*SQRT($C$11)*NORMSINV($B589)+SQRT(1-I$9^2*$C$11)*NORMSINV(H589))*(I$7-I$5)*(I$6-I$5)),I$7-SQRT((1-NORMSDIST(I$9*SQRT($C$11)*NORMSINV($B589)+SQRT(1-I$9^2*$C$11)*NORMSINV(H589)))*(I$7-I$5)*(I$7-I$6))))</f>
        <v>204.094545317117</v>
      </c>
      <c r="J589" s="2" t="n">
        <v>0.65299657</v>
      </c>
      <c r="K589" s="2" t="n">
        <f aca="false">IF(K$7=K$5,K$6,IF(NORMSDIST(K$9*SQRT($C$11)*NORMSINV($B589)+SQRT(1-K$9^2*$C$11)*NORMSINV(J589))&lt;K$8,K$5+SQRT(NORMSDIST(K$9*SQRT($C$11)*NORMSINV($B589)+SQRT(1-K$9^2*$C$11)*NORMSINV(J589))*(K$7-K$5)*(K$6-K$5)),K$7-SQRT((1-NORMSDIST(K$9*SQRT($C$11)*NORMSINV($B589)+SQRT(1-K$9^2*$C$11)*NORMSINV(J589)))*(K$7-K$5)*(K$7-K$6))))</f>
        <v>0.349666045429004</v>
      </c>
      <c r="L589" s="2" t="n">
        <v>0.420351106</v>
      </c>
      <c r="M589" s="2" t="n">
        <f aca="false">IF(M$7=M$5,M$6,IF(NORMSDIST(M$9*SQRT($C$11)*NORMSINV($B589)+SQRT(1-M$9^2*$C$11)*NORMSINV(L589))&lt;M$8,M$5+SQRT(NORMSDIST(M$9*SQRT($C$11)*NORMSINV($B589)+SQRT(1-M$9^2*$C$11)*NORMSINV(L589))*(M$7-M$5)*(M$6-M$5)),M$7-SQRT((1-NORMSDIST(M$9*SQRT($C$11)*NORMSINV($B589)+SQRT(1-M$9^2*$C$11)*NORMSINV(L589)))*(M$7-M$5)*(M$7-M$6))))</f>
        <v>1630.88122945415</v>
      </c>
      <c r="N589" s="2" t="n">
        <v>0.535187025</v>
      </c>
      <c r="O589" s="2" t="n">
        <f aca="false">IF(O$7=O$5,O$6,IF(NORMSDIST(O$9*SQRT($C$11)*NORMSINV($B589)+SQRT(1-O$9^2*$C$11)*NORMSINV(N589))&lt;O$8,O$5+SQRT(NORMSDIST(O$9*SQRT($C$11)*NORMSINV($B589)+SQRT(1-O$9^2*$C$11)*NORMSINV(N589))*(O$7-O$5)*(O$6-O$5)),O$7-SQRT((1-NORMSDIST(O$9*SQRT($C$11)*NORMSINV($B589)+SQRT(1-O$9^2*$C$11)*NORMSINV(N589)))*(O$7-O$5)*(O$7-O$6))))</f>
        <v>0.173696852299783</v>
      </c>
      <c r="P589" s="2" t="n">
        <v>0.344318192</v>
      </c>
      <c r="Q589" s="2" t="n">
        <f aca="false">IF(Q$7=Q$5,Q$6,IF(NORMSDIST(Q$9*SQRT($C$11)*NORMSINV($B589)+SQRT(1-Q$9^2*$C$11)*NORMSINV(P589))&lt;Q$8,Q$5+SQRT(NORMSDIST(Q$9*SQRT($C$11)*NORMSINV($B589)+SQRT(1-Q$9^2*$C$11)*NORMSINV(P589))*(Q$7-Q$5)*(Q$6-Q$5)),Q$7-SQRT((1-NORMSDIST(Q$9*SQRT($C$11)*NORMSINV($B589)+SQRT(1-Q$9^2*$C$11)*NORMSINV(P589)))*(Q$7-Q$5)*(Q$7-Q$6))))</f>
        <v>0.0731936471994266</v>
      </c>
      <c r="R589" s="2" t="n">
        <v>0.364309367</v>
      </c>
      <c r="S589" s="2" t="n">
        <f aca="false">IF(S$7=S$5,S$6,IF(NORMSDIST(S$9*SQRT($C$11)*NORMSINV($B589)+SQRT(1-S$9^2*$C$11)*NORMSINV(R589))&lt;S$8,S$5+SQRT(NORMSDIST(S$9*SQRT($C$11)*NORMSINV($B589)+SQRT(1-S$9^2*$C$11)*NORMSINV(R589))*(S$7-S$5)*(S$6-S$5)),S$7-SQRT((1-NORMSDIST(S$9*SQRT($C$11)*NORMSINV($B589)+SQRT(1-S$9^2*$C$11)*NORMSINV(R589)))*(S$7-S$5)*(S$7-S$6))))</f>
        <v>0.571411439570749</v>
      </c>
      <c r="T589" s="2" t="n">
        <v>0.027347139</v>
      </c>
      <c r="U589" s="2" t="n">
        <f aca="false">IF(U$7=U$5,U$6,IF(NORMSDIST(U$9*SQRT($C$11)*NORMSINV($B589)+SQRT(1-U$9^2*$C$11)*NORMSINV(T589))&lt;U$8,U$5+SQRT(NORMSDIST(U$9*SQRT($C$11)*NORMSINV($B589)+SQRT(1-U$9^2*$C$11)*NORMSINV(T589))*(U$7-U$5)*(U$6-U$5)),U$7-SQRT((1-NORMSDIST(U$9*SQRT($C$11)*NORMSINV($B589)+SQRT(1-U$9^2*$C$11)*NORMSINV(T589)))*(U$7-U$5)*(U$7-U$6))))</f>
        <v>0.307611841118687</v>
      </c>
      <c r="V589" s="2" t="n">
        <v>0.139311249</v>
      </c>
      <c r="W589" s="2" t="n">
        <f aca="false">IF(W$7=W$5,W$6,IF(NORMSDIST(W$9*SQRT($C$11)*NORMSINV($B589)+SQRT(1-W$9^2*$C$11)*NORMSINV(V589))&lt;W$8,W$5+SQRT(NORMSDIST(W$9*SQRT($C$11)*NORMSINV($B589)+SQRT(1-W$9^2*$C$11)*NORMSINV(V589))*(W$7-W$5)*(W$6-W$5)),W$7-SQRT((1-NORMSDIST(W$9*SQRT($C$11)*NORMSINV($B589)+SQRT(1-W$9^2*$C$11)*NORMSINV(V589)))*(W$7-W$5)*(W$7-W$6))))</f>
        <v>9.80755445153315</v>
      </c>
      <c r="X589" s="2" t="n">
        <v>0.319087358</v>
      </c>
      <c r="Y589" s="2" t="n">
        <f aca="false">IF(Y$7=Y$5,Y$6,IF(NORMSDIST(Y$9*SQRT($C$11)*NORMSINV($B589)+SQRT(1-Y$9^2*$C$11)*NORMSINV(X589))&lt;Y$8,Y$5+SQRT(NORMSDIST(Y$9*SQRT($C$11)*NORMSINV($B589)+SQRT(1-Y$9^2*$C$11)*NORMSINV(X589))*(Y$7-Y$5)*(Y$6-Y$5)),Y$7-SQRT((1-NORMSDIST(Y$9*SQRT($C$11)*NORMSINV($B589)+SQRT(1-Y$9^2*$C$11)*NORMSINV(X589)))*(Y$7-Y$5)*(Y$7-Y$6))))</f>
        <v>0.399429191472031</v>
      </c>
      <c r="Z589" s="2" t="n">
        <v>0.699112262</v>
      </c>
      <c r="AA589" s="2" t="n">
        <f aca="false">IF(AA$7=AA$5,AA$6,IF(NORMSDIST(AA$9*SQRT($C$11)*NORMSINV($B589)+SQRT(1-AA$9^2*$C$11)*NORMSINV(Z589))&lt;AA$8,AA$5+SQRT(NORMSDIST(AA$9*SQRT($C$11)*NORMSINV($B589)+SQRT(1-AA$9^2*$C$11)*NORMSINV(Z589))*(AA$7-AA$5)*(AA$6-AA$5)),AA$7-SQRT((1-NORMSDIST(AA$9*SQRT($C$11)*NORMSINV($B589)+SQRT(1-AA$9^2*$C$11)*NORMSINV(Z589)))*(AA$7-AA$5)*(AA$7-AA$6))))</f>
        <v>0.739718415950695</v>
      </c>
      <c r="AB589" s="2" t="n">
        <v>0.575724537</v>
      </c>
      <c r="AC589" s="2" t="n">
        <f aca="false">IF(AC$7=AC$5,AC$6,IF(NORMSDIST(AC$9*SQRT($C$11)*NORMSINV($B589)+SQRT(1-AC$9^2*$C$11)*NORMSINV(AB589))&lt;AC$8,AC$5+SQRT(NORMSDIST(AC$9*SQRT($C$11)*NORMSINV($B589)+SQRT(1-AC$9^2*$C$11)*NORMSINV(AB589))*(AC$7-AC$5)*(AC$6-AC$5)),AC$7-SQRT((1-NORMSDIST(AC$9*SQRT($C$11)*NORMSINV($B589)+SQRT(1-AC$9^2*$C$11)*NORMSINV(AB589)))*(AC$7-AC$5)*(AC$7-AC$6))))</f>
        <v>10.0141486784707</v>
      </c>
      <c r="AD589" s="2" t="n">
        <f aca="false">Entrées!$C$8*(1+E589)</f>
        <v>7441.99733446708</v>
      </c>
      <c r="AE589" s="2" t="n">
        <f aca="false">I589*Hypothèses!$J$24/12/Hypothèses!$J$19</f>
        <v>101.250650701817</v>
      </c>
      <c r="AF589" s="2" t="n">
        <f aca="false">Entrées!$C$36*S589*1000</f>
        <v>285.705719785374</v>
      </c>
      <c r="AG589" s="2" t="n">
        <f aca="false">-AF589/W589</f>
        <v>-29.1311887379541</v>
      </c>
      <c r="AH589" s="2" t="n">
        <f aca="false">AD589+AE589+AG589</f>
        <v>7514.11679643094</v>
      </c>
      <c r="AI589" s="2" t="n">
        <f aca="false">Entrées!$C$16-M589+Hypothèses!$J$22*1000-AF589+Hypothèses!$J$23</f>
        <v>22631.4130507605</v>
      </c>
      <c r="AJ589" s="2" t="n">
        <f aca="false">AI589/AH589</f>
        <v>3.01185271188624</v>
      </c>
      <c r="AK589" s="2" t="n">
        <f aca="false">AI589/(AH589+I589*(12-Hypothèses!$J$24)/12/Hypothèses!$J$19)</f>
        <v>2.98314057177054</v>
      </c>
      <c r="AL589" s="2" t="n">
        <f aca="false">(AD589+AG589+I589/Hypothèses!$J$19)*(1+G589)</f>
        <v>8027.64356288265</v>
      </c>
      <c r="AM589" s="2" t="n">
        <f aca="false">Entrées!$C$54*K589/Hypothèses!$J$19</f>
        <v>35.6848880888804</v>
      </c>
      <c r="AN589" s="2" t="n">
        <f aca="false">Y589*1000/AC589</f>
        <v>39.8864850419846</v>
      </c>
      <c r="AO589" s="2" t="n">
        <f aca="false">(Entrées!$C$36*(1-S589)+MAX(0,Entrées!$C$30-Entrées!$C$35-Entrées!$C$36)*U589)*1000</f>
        <v>644.950857780788</v>
      </c>
      <c r="AP589" s="2" t="n">
        <f aca="false">-AO589/W589</f>
        <v>-65.7606196292866</v>
      </c>
      <c r="AQ589" s="2" t="n">
        <f aca="false">AL589+AM589+AN589+AP589</f>
        <v>8037.45431638423</v>
      </c>
      <c r="AR589" s="2" t="n">
        <f aca="false">O589*AQ589-Hypothèses!$J$25/Hypothèses!$J$19</f>
        <v>1376.94535299762</v>
      </c>
      <c r="AS589" s="2" t="n">
        <f aca="false">Entrées!$C$79*(1+Q589)+Hypothèses!$J$20</f>
        <v>1474.43981827217</v>
      </c>
      <c r="AT589" s="2" t="n">
        <f aca="false">AI589-AR589+AS589+Y589*1000-AO589+Hypothèses!$J$23</f>
        <v>22483.3858497263</v>
      </c>
      <c r="AU589" s="2" t="n">
        <f aca="false">AT589/AQ589</f>
        <v>2.7973267361401</v>
      </c>
      <c r="AV589" s="2" t="n">
        <f aca="false">Hypothèses!$J$26*AQ589-AT589</f>
        <v>1628.97709942643</v>
      </c>
      <c r="AW589" s="2" t="n">
        <f aca="false">IF(AC589&gt;Hypothèses!$J$26,MAX(0,AV589)/(1-Hypothèses!$J$26/AC589),0)</f>
        <v>2325.70189416586</v>
      </c>
      <c r="AX589" s="2" t="n">
        <f aca="false">AQ589-Entrées!$C$17*1000</f>
        <v>37.4543163842327</v>
      </c>
      <c r="AY589" s="2" t="n">
        <f aca="false">AI589+(Entrées!$C$244-Entrées!$C$13)</f>
        <v>28378.4130507605</v>
      </c>
      <c r="AZ589" s="2" t="n">
        <f aca="false">AA589*AH589</f>
        <v>5558.3305739244</v>
      </c>
      <c r="BA589" s="2" t="n">
        <f aca="false">AZ589/AY589</f>
        <v>0.195864742823435</v>
      </c>
      <c r="BB589" s="2" t="n">
        <f aca="false">AZ589/(Entrées!$C$151/100)-AY589</f>
        <v>2501.20124881955</v>
      </c>
      <c r="BC589" s="2" t="n">
        <f aca="false">AT589+(Entrées!$C$244-Entrées!$C$13)</f>
        <v>28230.3858497263</v>
      </c>
      <c r="BD589" s="2" t="n">
        <f aca="false">AA589*AQ589</f>
        <v>5945.45297519182</v>
      </c>
      <c r="BE589" s="2" t="n">
        <f aca="false">BD589/BC589</f>
        <v>0.210604736571444</v>
      </c>
      <c r="BF589" s="2" t="n">
        <f aca="false">BD589/(Entrées!$C$151/100)-BC589</f>
        <v>4799.90845689495</v>
      </c>
      <c r="BG589" s="2" t="n">
        <f aca="false">MIN(AV589,BF589)</f>
        <v>1628.97709942643</v>
      </c>
      <c r="BH589" s="2" t="n">
        <f aca="false">IF(AC589&gt;Hypothèses!$J$26,MAX(0,BG589)/(1-Hypothèses!$J$26/AC589),0)</f>
        <v>2325.70189416586</v>
      </c>
    </row>
    <row r="590" customFormat="false" ht="15" hidden="false" customHeight="false" outlineLevel="0" collapsed="false">
      <c r="A590" s="2" t="n">
        <v>575</v>
      </c>
      <c r="B590" s="2" t="n">
        <v>0.771916452</v>
      </c>
      <c r="C590" s="2"/>
      <c r="D590" s="2" t="n">
        <v>0.282702471</v>
      </c>
      <c r="E590" s="2" t="n">
        <f aca="false">IF(E$7=E$5,E$6,IF(NORMSDIST(E$9*SQRT($C$11)*NORMSINV($B590)+SQRT(1-E$9^2*$C$11)*NORMSINV(D590))&lt;E$8,E$5+SQRT(NORMSDIST(E$9*SQRT($C$11)*NORMSINV($B590)+SQRT(1-E$9^2*$C$11)*NORMSINV(D590))*(E$7-E$5)*(E$6-E$5)),E$7-SQRT((1-NORMSDIST(E$9*SQRT($C$11)*NORMSINV($B590)+SQRT(1-E$9^2*$C$11)*NORMSINV(D590)))*(E$7-E$5)*(E$7-E$6))))</f>
        <v>0.0550521805907337</v>
      </c>
      <c r="F590" s="2" t="n">
        <v>0.565003665</v>
      </c>
      <c r="G590" s="2" t="n">
        <f aca="false">IF(G$7=G$5,G$6,IF(NORMSDIST(G$9*SQRT($C$11)*NORMSINV($B590)+SQRT(1-G$9^2*$C$11)*NORMSINV(F590))&lt;G$8,G$5+SQRT(NORMSDIST(G$9*SQRT($C$11)*NORMSINV($B590)+SQRT(1-G$9^2*$C$11)*NORMSINV(F590))*(G$7-G$5)*(G$6-G$5)),G$7-SQRT((1-NORMSDIST(G$9*SQRT($C$11)*NORMSINV($B590)+SQRT(1-G$9^2*$C$11)*NORMSINV(F590)))*(G$7-G$5)*(G$7-G$6))))</f>
        <v>0.0588777622870203</v>
      </c>
      <c r="H590" s="2" t="n">
        <v>0.131973154</v>
      </c>
      <c r="I590" s="2" t="n">
        <f aca="false">IF(I$7=I$5,I$6,IF(NORMSDIST(I$9*SQRT($C$11)*NORMSINV($B590)+SQRT(1-I$9^2*$C$11)*NORMSINV(H590))&lt;I$8,I$5+SQRT(NORMSDIST(I$9*SQRT($C$11)*NORMSINV($B590)+SQRT(1-I$9^2*$C$11)*NORMSINV(H590))*(I$7-I$5)*(I$6-I$5)),I$7-SQRT((1-NORMSDIST(I$9*SQRT($C$11)*NORMSINV($B590)+SQRT(1-I$9^2*$C$11)*NORMSINV(H590)))*(I$7-I$5)*(I$7-I$6))))</f>
        <v>196.656101887047</v>
      </c>
      <c r="J590" s="2" t="n">
        <v>0.073077855</v>
      </c>
      <c r="K590" s="2" t="n">
        <f aca="false">IF(K$7=K$5,K$6,IF(NORMSDIST(K$9*SQRT($C$11)*NORMSINV($B590)+SQRT(1-K$9^2*$C$11)*NORMSINV(J590))&lt;K$8,K$5+SQRT(NORMSDIST(K$9*SQRT($C$11)*NORMSINV($B590)+SQRT(1-K$9^2*$C$11)*NORMSINV(J590))*(K$7-K$5)*(K$6-K$5)),K$7-SQRT((1-NORMSDIST(K$9*SQRT($C$11)*NORMSINV($B590)+SQRT(1-K$9^2*$C$11)*NORMSINV(J590)))*(K$7-K$5)*(K$7-K$6))))</f>
        <v>0.179035712467151</v>
      </c>
      <c r="L590" s="2" t="n">
        <v>0.971851134</v>
      </c>
      <c r="M590" s="2" t="n">
        <f aca="false">IF(M$7=M$5,M$6,IF(NORMSDIST(M$9*SQRT($C$11)*NORMSINV($B590)+SQRT(1-M$9^2*$C$11)*NORMSINV(L590))&lt;M$8,M$5+SQRT(NORMSDIST(M$9*SQRT($C$11)*NORMSINV($B590)+SQRT(1-M$9^2*$C$11)*NORMSINV(L590))*(M$7-M$5)*(M$6-M$5)),M$7-SQRT((1-NORMSDIST(M$9*SQRT($C$11)*NORMSINV($B590)+SQRT(1-M$9^2*$C$11)*NORMSINV(L590)))*(M$7-M$5)*(M$7-M$6))))</f>
        <v>1746.7547896094</v>
      </c>
      <c r="N590" s="2" t="n">
        <v>0.467286343</v>
      </c>
      <c r="O590" s="2" t="n">
        <f aca="false">IF(O$7=O$5,O$6,IF(NORMSDIST(O$9*SQRT($C$11)*NORMSINV($B590)+SQRT(1-O$9^2*$C$11)*NORMSINV(N590))&lt;O$8,O$5+SQRT(NORMSDIST(O$9*SQRT($C$11)*NORMSINV($B590)+SQRT(1-O$9^2*$C$11)*NORMSINV(N590))*(O$7-O$5)*(O$6-O$5)),O$7-SQRT((1-NORMSDIST(O$9*SQRT($C$11)*NORMSINV($B590)+SQRT(1-O$9^2*$C$11)*NORMSINV(N590)))*(O$7-O$5)*(O$7-O$6))))</f>
        <v>0.170920620506548</v>
      </c>
      <c r="P590" s="2" t="n">
        <v>0.410500099</v>
      </c>
      <c r="Q590" s="2" t="n">
        <f aca="false">IF(Q$7=Q$5,Q$6,IF(NORMSDIST(Q$9*SQRT($C$11)*NORMSINV($B590)+SQRT(1-Q$9^2*$C$11)*NORMSINV(P590))&lt;Q$8,Q$5+SQRT(NORMSDIST(Q$9*SQRT($C$11)*NORMSINV($B590)+SQRT(1-Q$9^2*$C$11)*NORMSINV(P590))*(Q$7-Q$5)*(Q$6-Q$5)),Q$7-SQRT((1-NORMSDIST(Q$9*SQRT($C$11)*NORMSINV($B590)+SQRT(1-Q$9^2*$C$11)*NORMSINV(P590)))*(Q$7-Q$5)*(Q$7-Q$6))))</f>
        <v>0.0762436244986618</v>
      </c>
      <c r="R590" s="2" t="n">
        <v>0.438511857</v>
      </c>
      <c r="S590" s="2" t="n">
        <f aca="false">IF(S$7=S$5,S$6,IF(NORMSDIST(S$9*SQRT($C$11)*NORMSINV($B590)+SQRT(1-S$9^2*$C$11)*NORMSINV(R590))&lt;S$8,S$5+SQRT(NORMSDIST(S$9*SQRT($C$11)*NORMSINV($B590)+SQRT(1-S$9^2*$C$11)*NORMSINV(R590))*(S$7-S$5)*(S$6-S$5)),S$7-SQRT((1-NORMSDIST(S$9*SQRT($C$11)*NORMSINV($B590)+SQRT(1-S$9^2*$C$11)*NORMSINV(R590)))*(S$7-S$5)*(S$7-S$6))))</f>
        <v>0.574186258136336</v>
      </c>
      <c r="T590" s="2" t="n">
        <v>0.782717403</v>
      </c>
      <c r="U590" s="2" t="n">
        <f aca="false">IF(U$7=U$5,U$6,IF(NORMSDIST(U$9*SQRT($C$11)*NORMSINV($B590)+SQRT(1-U$9^2*$C$11)*NORMSINV(T590))&lt;U$8,U$5+SQRT(NORMSDIST(U$9*SQRT($C$11)*NORMSINV($B590)+SQRT(1-U$9^2*$C$11)*NORMSINV(T590))*(U$7-U$5)*(U$6-U$5)),U$7-SQRT((1-NORMSDIST(U$9*SQRT($C$11)*NORMSINV($B590)+SQRT(1-U$9^2*$C$11)*NORMSINV(T590)))*(U$7-U$5)*(U$7-U$6))))</f>
        <v>0.734634095761264</v>
      </c>
      <c r="V590" s="2" t="n">
        <v>0.792598417</v>
      </c>
      <c r="W590" s="2" t="n">
        <f aca="false">IF(W$7=W$5,W$6,IF(NORMSDIST(W$9*SQRT($C$11)*NORMSINV($B590)+SQRT(1-W$9^2*$C$11)*NORMSINV(V590))&lt;W$8,W$5+SQRT(NORMSDIST(W$9*SQRT($C$11)*NORMSINV($B590)+SQRT(1-W$9^2*$C$11)*NORMSINV(V590))*(W$7-W$5)*(W$6-W$5)),W$7-SQRT((1-NORMSDIST(W$9*SQRT($C$11)*NORMSINV($B590)+SQRT(1-W$9^2*$C$11)*NORMSINV(V590)))*(W$7-W$5)*(W$7-W$6))))</f>
        <v>10.9606749530606</v>
      </c>
      <c r="X590" s="2" t="n">
        <v>0.727562743</v>
      </c>
      <c r="Y590" s="2" t="n">
        <f aca="false">IF(Y$7=Y$5,Y$6,IF(NORMSDIST(Y$9*SQRT($C$11)*NORMSINV($B590)+SQRT(1-Y$9^2*$C$11)*NORMSINV(X590))&lt;Y$8,Y$5+SQRT(NORMSDIST(Y$9*SQRT($C$11)*NORMSINV($B590)+SQRT(1-Y$9^2*$C$11)*NORMSINV(X590))*(Y$7-Y$5)*(Y$6-Y$5)),Y$7-SQRT((1-NORMSDIST(Y$9*SQRT($C$11)*NORMSINV($B590)+SQRT(1-Y$9^2*$C$11)*NORMSINV(X590)))*(Y$7-Y$5)*(Y$7-Y$6))))</f>
        <v>0.630921920862265</v>
      </c>
      <c r="Z590" s="2" t="n">
        <v>0.57436466</v>
      </c>
      <c r="AA590" s="2" t="n">
        <f aca="false">IF(AA$7=AA$5,AA$6,IF(NORMSDIST(AA$9*SQRT($C$11)*NORMSINV($B590)+SQRT(1-AA$9^2*$C$11)*NORMSINV(Z590))&lt;AA$8,AA$5+SQRT(NORMSDIST(AA$9*SQRT($C$11)*NORMSINV($B590)+SQRT(1-AA$9^2*$C$11)*NORMSINV(Z590))*(AA$7-AA$5)*(AA$6-AA$5)),AA$7-SQRT((1-NORMSDIST(AA$9*SQRT($C$11)*NORMSINV($B590)+SQRT(1-AA$9^2*$C$11)*NORMSINV(Z590)))*(AA$7-AA$5)*(AA$7-AA$6))))</f>
        <v>0.735283161138067</v>
      </c>
      <c r="AB590" s="2" t="n">
        <v>0.784975881</v>
      </c>
      <c r="AC590" s="2" t="n">
        <f aca="false">IF(AC$7=AC$5,AC$6,IF(NORMSDIST(AC$9*SQRT($C$11)*NORMSINV($B590)+SQRT(1-AC$9^2*$C$11)*NORMSINV(AB590))&lt;AC$8,AC$5+SQRT(NORMSDIST(AC$9*SQRT($C$11)*NORMSINV($B590)+SQRT(1-AC$9^2*$C$11)*NORMSINV(AB590))*(AC$7-AC$5)*(AC$6-AC$5)),AC$7-SQRT((1-NORMSDIST(AC$9*SQRT($C$11)*NORMSINV($B590)+SQRT(1-AC$9^2*$C$11)*NORMSINV(AB590)))*(AC$7-AC$5)*(AC$7-AC$6))))</f>
        <v>10.2236773857626</v>
      </c>
      <c r="AD590" s="2" t="n">
        <f aca="false">Entrées!$C$8*(1+E590)</f>
        <v>7438.11787316467</v>
      </c>
      <c r="AE590" s="2" t="n">
        <f aca="false">I590*Hypothèses!$J$24/12/Hypothèses!$J$19</f>
        <v>97.560462723824</v>
      </c>
      <c r="AF590" s="2" t="n">
        <f aca="false">Entrées!$C$36*S590*1000</f>
        <v>287.093129068168</v>
      </c>
      <c r="AG590" s="2" t="n">
        <f aca="false">-AF590/W590</f>
        <v>-26.1930155120603</v>
      </c>
      <c r="AH590" s="2" t="n">
        <f aca="false">AD590+AE590+AG590</f>
        <v>7509.48532037644</v>
      </c>
      <c r="AI590" s="2" t="n">
        <f aca="false">Entrées!$C$16-M590+Hypothèses!$J$22*1000-AF590+Hypothèses!$J$23</f>
        <v>22514.1520813224</v>
      </c>
      <c r="AJ590" s="2" t="n">
        <f aca="false">AI590/AH590</f>
        <v>2.99809522501255</v>
      </c>
      <c r="AK590" s="2" t="n">
        <f aca="false">AI590/(AH590+I590*(12-Hypothèses!$J$24)/12/Hypothèses!$J$19)</f>
        <v>2.97052949412897</v>
      </c>
      <c r="AL590" s="2" t="n">
        <f aca="false">(AD590+AG590+I590/Hypothèses!$J$19)*(1+G590)</f>
        <v>8025.41601515078</v>
      </c>
      <c r="AM590" s="2" t="n">
        <f aca="false">Entrées!$C$54*K590/Hypothèses!$J$19</f>
        <v>18.271346179652</v>
      </c>
      <c r="AN590" s="2" t="n">
        <f aca="false">Y590*1000/AC590</f>
        <v>61.7118378305715</v>
      </c>
      <c r="AO590" s="2" t="n">
        <f aca="false">(Entrées!$C$36*(1-S590)+MAX(0,Entrées!$C$30-Entrées!$C$35-Entrées!$C$36)*U590)*1000</f>
        <v>1241.3946049976</v>
      </c>
      <c r="AP590" s="2" t="n">
        <f aca="false">-AO590/W590</f>
        <v>-113.258956251682</v>
      </c>
      <c r="AQ590" s="2" t="n">
        <f aca="false">AL590+AM590+AN590+AP590</f>
        <v>7992.14024290932</v>
      </c>
      <c r="AR590" s="2" t="n">
        <f aca="false">O590*AQ590-Hypothèses!$J$25/Hypothèses!$J$19</f>
        <v>1346.88640723178</v>
      </c>
      <c r="AS590" s="2" t="n">
        <f aca="false">Entrées!$C$79*(1+Q590)+Hypothèses!$J$20</f>
        <v>1477.79174332403</v>
      </c>
      <c r="AT590" s="2" t="n">
        <f aca="false">AI590-AR590+AS590+Y590*1000-AO590+Hypothèses!$J$23</f>
        <v>22034.5847332793</v>
      </c>
      <c r="AU590" s="2" t="n">
        <f aca="false">AT590/AQ590</f>
        <v>2.75703179168166</v>
      </c>
      <c r="AV590" s="2" t="n">
        <f aca="false">Hypothèses!$J$26*AQ590-AT590</f>
        <v>1941.83599544861</v>
      </c>
      <c r="AW590" s="2" t="n">
        <f aca="false">IF(AC590&gt;Hypothèses!$J$26,MAX(0,AV590)/(1-Hypothèses!$J$26/AC590),0)</f>
        <v>2748.28230738213</v>
      </c>
      <c r="AX590" s="2" t="n">
        <f aca="false">AQ590-Entrées!$C$17*1000</f>
        <v>-7.85975709068225</v>
      </c>
      <c r="AY590" s="2" t="n">
        <f aca="false">AI590+(Entrées!$C$244-Entrées!$C$13)</f>
        <v>28261.1520813224</v>
      </c>
      <c r="AZ590" s="2" t="n">
        <f aca="false">AA590*AH590</f>
        <v>5521.5981048863</v>
      </c>
      <c r="BA590" s="2" t="n">
        <f aca="false">AZ590/AY590</f>
        <v>0.195377672113214</v>
      </c>
      <c r="BB590" s="2" t="n">
        <f aca="false">AZ590/(Entrées!$C$151/100)-AY590</f>
        <v>2414.39294582365</v>
      </c>
      <c r="BC590" s="2" t="n">
        <f aca="false">AT590+(Entrées!$C$244-Entrées!$C$13)</f>
        <v>27781.5847332793</v>
      </c>
      <c r="BD590" s="2" t="n">
        <f aca="false">AA590*AQ590</f>
        <v>5876.48614206512</v>
      </c>
      <c r="BE590" s="2" t="n">
        <f aca="false">BD590/BC590</f>
        <v>0.211524511595832</v>
      </c>
      <c r="BF590" s="2" t="n">
        <f aca="false">BD590/(Entrées!$C$151/100)-BC590</f>
        <v>4865.56050041578</v>
      </c>
      <c r="BG590" s="2" t="n">
        <f aca="false">MIN(AV590,BF590)</f>
        <v>1941.83599544861</v>
      </c>
      <c r="BH590" s="2" t="n">
        <f aca="false">IF(AC590&gt;Hypothèses!$J$26,MAX(0,BG590)/(1-Hypothèses!$J$26/AC590),0)</f>
        <v>2748.28230738213</v>
      </c>
    </row>
    <row r="591" customFormat="false" ht="15" hidden="false" customHeight="false" outlineLevel="0" collapsed="false">
      <c r="A591" s="2" t="n">
        <v>576</v>
      </c>
      <c r="B591" s="2" t="n">
        <v>0.670714773</v>
      </c>
      <c r="C591" s="2"/>
      <c r="D591" s="2" t="n">
        <v>0.746715275</v>
      </c>
      <c r="E591" s="2" t="n">
        <f aca="false">IF(E$7=E$5,E$6,IF(NORMSDIST(E$9*SQRT($C$11)*NORMSINV($B591)+SQRT(1-E$9^2*$C$11)*NORMSINV(D591))&lt;E$8,E$5+SQRT(NORMSDIST(E$9*SQRT($C$11)*NORMSINV($B591)+SQRT(1-E$9^2*$C$11)*NORMSINV(D591))*(E$7-E$5)*(E$6-E$5)),E$7-SQRT((1-NORMSDIST(E$9*SQRT($C$11)*NORMSINV($B591)+SQRT(1-E$9^2*$C$11)*NORMSINV(D591)))*(E$7-E$5)*(E$7-E$6))))</f>
        <v>0.0567318854571024</v>
      </c>
      <c r="F591" s="2" t="n">
        <v>0.022115635</v>
      </c>
      <c r="G591" s="2" t="n">
        <f aca="false">IF(G$7=G$5,G$6,IF(NORMSDIST(G$9*SQRT($C$11)*NORMSINV($B591)+SQRT(1-G$9^2*$C$11)*NORMSINV(F591))&lt;G$8,G$5+SQRT(NORMSDIST(G$9*SQRT($C$11)*NORMSINV($B591)+SQRT(1-G$9^2*$C$11)*NORMSINV(F591))*(G$7-G$5)*(G$6-G$5)),G$7-SQRT((1-NORMSDIST(G$9*SQRT($C$11)*NORMSINV($B591)+SQRT(1-G$9^2*$C$11)*NORMSINV(F591)))*(G$7-G$5)*(G$7-G$6))))</f>
        <v>0.0467236383905183</v>
      </c>
      <c r="H591" s="2" t="n">
        <v>0.771875049</v>
      </c>
      <c r="I591" s="2" t="n">
        <f aca="false">IF(I$7=I$5,I$6,IF(NORMSDIST(I$9*SQRT($C$11)*NORMSINV($B591)+SQRT(1-I$9^2*$C$11)*NORMSINV(H591))&lt;I$8,I$5+SQRT(NORMSDIST(I$9*SQRT($C$11)*NORMSINV($B591)+SQRT(1-I$9^2*$C$11)*NORMSINV(H591))*(I$7-I$5)*(I$6-I$5)),I$7-SQRT((1-NORMSDIST(I$9*SQRT($C$11)*NORMSINV($B591)+SQRT(1-I$9^2*$C$11)*NORMSINV(H591)))*(I$7-I$5)*(I$7-I$6))))</f>
        <v>207.483150459067</v>
      </c>
      <c r="J591" s="2" t="n">
        <v>0.18748011</v>
      </c>
      <c r="K591" s="2" t="n">
        <f aca="false">IF(K$7=K$5,K$6,IF(NORMSDIST(K$9*SQRT($C$11)*NORMSINV($B591)+SQRT(1-K$9^2*$C$11)*NORMSINV(J591))&lt;K$8,K$5+SQRT(NORMSDIST(K$9*SQRT($C$11)*NORMSINV($B591)+SQRT(1-K$9^2*$C$11)*NORMSINV(J591))*(K$7-K$5)*(K$6-K$5)),K$7-SQRT((1-NORMSDIST(K$9*SQRT($C$11)*NORMSINV($B591)+SQRT(1-K$9^2*$C$11)*NORMSINV(J591)))*(K$7-K$5)*(K$7-K$6))))</f>
        <v>0.20667716125798</v>
      </c>
      <c r="L591" s="2" t="n">
        <v>0.303476115</v>
      </c>
      <c r="M591" s="2" t="n">
        <f aca="false">IF(M$7=M$5,M$6,IF(NORMSDIST(M$9*SQRT($C$11)*NORMSINV($B591)+SQRT(1-M$9^2*$C$11)*NORMSINV(L591))&lt;M$8,M$5+SQRT(NORMSDIST(M$9*SQRT($C$11)*NORMSINV($B591)+SQRT(1-M$9^2*$C$11)*NORMSINV(L591))*(M$7-M$5)*(M$6-M$5)),M$7-SQRT((1-NORMSDIST(M$9*SQRT($C$11)*NORMSINV($B591)+SQRT(1-M$9^2*$C$11)*NORMSINV(L591)))*(M$7-M$5)*(M$7-M$6))))</f>
        <v>1571.65528988968</v>
      </c>
      <c r="N591" s="2" t="n">
        <v>0.874849618</v>
      </c>
      <c r="O591" s="2" t="n">
        <f aca="false">IF(O$7=O$5,O$6,IF(NORMSDIST(O$9*SQRT($C$11)*NORMSINV($B591)+SQRT(1-O$9^2*$C$11)*NORMSINV(N591))&lt;O$8,O$5+SQRT(NORMSDIST(O$9*SQRT($C$11)*NORMSINV($B591)+SQRT(1-O$9^2*$C$11)*NORMSINV(N591))*(O$7-O$5)*(O$6-O$5)),O$7-SQRT((1-NORMSDIST(O$9*SQRT($C$11)*NORMSINV($B591)+SQRT(1-O$9^2*$C$11)*NORMSINV(N591)))*(O$7-O$5)*(O$7-O$6))))</f>
        <v>0.178646810841003</v>
      </c>
      <c r="P591" s="2" t="n">
        <v>0.267730265</v>
      </c>
      <c r="Q591" s="2" t="n">
        <f aca="false">IF(Q$7=Q$5,Q$6,IF(NORMSDIST(Q$9*SQRT($C$11)*NORMSINV($B591)+SQRT(1-Q$9^2*$C$11)*NORMSINV(P591))&lt;Q$8,Q$5+SQRT(NORMSDIST(Q$9*SQRT($C$11)*NORMSINV($B591)+SQRT(1-Q$9^2*$C$11)*NORMSINV(P591))*(Q$7-Q$5)*(Q$6-Q$5)),Q$7-SQRT((1-NORMSDIST(Q$9*SQRT($C$11)*NORMSINV($B591)+SQRT(1-Q$9^2*$C$11)*NORMSINV(P591)))*(Q$7-Q$5)*(Q$7-Q$6))))</f>
        <v>0.0692700674409882</v>
      </c>
      <c r="R591" s="2" t="n">
        <v>0.081526736</v>
      </c>
      <c r="S591" s="2" t="n">
        <f aca="false">IF(S$7=S$5,S$6,IF(NORMSDIST(S$9*SQRT($C$11)*NORMSINV($B591)+SQRT(1-S$9^2*$C$11)*NORMSINV(R591))&lt;S$8,S$5+SQRT(NORMSDIST(S$9*SQRT($C$11)*NORMSINV($B591)+SQRT(1-S$9^2*$C$11)*NORMSINV(R591))*(S$7-S$5)*(S$6-S$5)),S$7-SQRT((1-NORMSDIST(S$9*SQRT($C$11)*NORMSINV($B591)+SQRT(1-S$9^2*$C$11)*NORMSINV(R591)))*(S$7-S$5)*(S$7-S$6))))</f>
        <v>0.325244772220798</v>
      </c>
      <c r="T591" s="2" t="n">
        <v>0.586606086</v>
      </c>
      <c r="U591" s="2" t="n">
        <f aca="false">IF(U$7=U$5,U$6,IF(NORMSDIST(U$9*SQRT($C$11)*NORMSINV($B591)+SQRT(1-U$9^2*$C$11)*NORMSINV(T591))&lt;U$8,U$5+SQRT(NORMSDIST(U$9*SQRT($C$11)*NORMSINV($B591)+SQRT(1-U$9^2*$C$11)*NORMSINV(T591))*(U$7-U$5)*(U$6-U$5)),U$7-SQRT((1-NORMSDIST(U$9*SQRT($C$11)*NORMSINV($B591)+SQRT(1-U$9^2*$C$11)*NORMSINV(T591)))*(U$7-U$5)*(U$7-U$6))))</f>
        <v>0.595818602059803</v>
      </c>
      <c r="V591" s="2" t="n">
        <v>0.130453102</v>
      </c>
      <c r="W591" s="2" t="n">
        <f aca="false">IF(W$7=W$5,W$6,IF(NORMSDIST(W$9*SQRT($C$11)*NORMSINV($B591)+SQRT(1-W$9^2*$C$11)*NORMSINV(V591))&lt;W$8,W$5+SQRT(NORMSDIST(W$9*SQRT($C$11)*NORMSINV($B591)+SQRT(1-W$9^2*$C$11)*NORMSINV(V591))*(W$7-W$5)*(W$6-W$5)),W$7-SQRT((1-NORMSDIST(W$9*SQRT($C$11)*NORMSINV($B591)+SQRT(1-W$9^2*$C$11)*NORMSINV(V591)))*(W$7-W$5)*(W$7-W$6))))</f>
        <v>9.48899198549067</v>
      </c>
      <c r="X591" s="2" t="n">
        <v>0.923139426</v>
      </c>
      <c r="Y591" s="2" t="n">
        <f aca="false">IF(Y$7=Y$5,Y$6,IF(NORMSDIST(Y$9*SQRT($C$11)*NORMSINV($B591)+SQRT(1-Y$9^2*$C$11)*NORMSINV(X591))&lt;Y$8,Y$5+SQRT(NORMSDIST(Y$9*SQRT($C$11)*NORMSINV($B591)+SQRT(1-Y$9^2*$C$11)*NORMSINV(X591))*(Y$7-Y$5)*(Y$6-Y$5)),Y$7-SQRT((1-NORMSDIST(Y$9*SQRT($C$11)*NORMSINV($B591)+SQRT(1-Y$9^2*$C$11)*NORMSINV(X591)))*(Y$7-Y$5)*(Y$7-Y$6))))</f>
        <v>0.803963556959427</v>
      </c>
      <c r="Z591" s="2" t="n">
        <v>0.478443063</v>
      </c>
      <c r="AA591" s="2" t="n">
        <f aca="false">IF(AA$7=AA$5,AA$6,IF(NORMSDIST(AA$9*SQRT($C$11)*NORMSINV($B591)+SQRT(1-AA$9^2*$C$11)*NORMSINV(Z591))&lt;AA$8,AA$5+SQRT(NORMSDIST(AA$9*SQRT($C$11)*NORMSINV($B591)+SQRT(1-AA$9^2*$C$11)*NORMSINV(Z591))*(AA$7-AA$5)*(AA$6-AA$5)),AA$7-SQRT((1-NORMSDIST(AA$9*SQRT($C$11)*NORMSINV($B591)+SQRT(1-AA$9^2*$C$11)*NORMSINV(Z591)))*(AA$7-AA$5)*(AA$7-AA$6))))</f>
        <v>0.730992885661299</v>
      </c>
      <c r="AB591" s="2" t="n">
        <v>0.865902133</v>
      </c>
      <c r="AC591" s="2" t="n">
        <f aca="false">IF(AC$7=AC$5,AC$6,IF(NORMSDIST(AC$9*SQRT($C$11)*NORMSINV($B591)+SQRT(1-AC$9^2*$C$11)*NORMSINV(AB591))&lt;AC$8,AC$5+SQRT(NORMSDIST(AC$9*SQRT($C$11)*NORMSINV($B591)+SQRT(1-AC$9^2*$C$11)*NORMSINV(AB591))*(AC$7-AC$5)*(AC$6-AC$5)),AC$7-SQRT((1-NORMSDIST(AC$9*SQRT($C$11)*NORMSINV($B591)+SQRT(1-AC$9^2*$C$11)*NORMSINV(AB591)))*(AC$7-AC$5)*(AC$7-AC$6))))</f>
        <v>10.2571363463408</v>
      </c>
      <c r="AD591" s="2" t="n">
        <f aca="false">Entrées!$C$8*(1+E591)</f>
        <v>7449.95979247257</v>
      </c>
      <c r="AE591" s="2" t="n">
        <f aca="false">I591*Hypothèses!$J$24/12/Hypothèses!$J$19</f>
        <v>102.931726867086</v>
      </c>
      <c r="AF591" s="2" t="n">
        <f aca="false">Entrées!$C$36*S591*1000</f>
        <v>162.622386110399</v>
      </c>
      <c r="AG591" s="2" t="n">
        <f aca="false">-AF591/W591</f>
        <v>-17.1380043695958</v>
      </c>
      <c r="AH591" s="2" t="n">
        <f aca="false">AD591+AE591+AG591</f>
        <v>7535.75351497006</v>
      </c>
      <c r="AI591" s="2" t="n">
        <f aca="false">Entrées!$C$16-M591+Hypothèses!$J$22*1000-AF591+Hypothèses!$J$23</f>
        <v>22813.7223239999</v>
      </c>
      <c r="AJ591" s="2" t="n">
        <f aca="false">AI591/AH591</f>
        <v>3.02739762900679</v>
      </c>
      <c r="AK591" s="2" t="n">
        <f aca="false">AI591/(AH591+I591*(12-Hypothèses!$J$24)/12/Hypothèses!$J$19)</f>
        <v>2.99814618280033</v>
      </c>
      <c r="AL591" s="2" t="n">
        <f aca="false">(AD591+AG591+I591/Hypothèses!$J$19)*(1+G591)</f>
        <v>7964.80924552655</v>
      </c>
      <c r="AM591" s="2" t="n">
        <f aca="false">Entrées!$C$54*K591/Hypothèses!$J$19</f>
        <v>21.0922720876996</v>
      </c>
      <c r="AN591" s="2" t="n">
        <f aca="false">Y591*1000/AC591</f>
        <v>78.3808979244228</v>
      </c>
      <c r="AO591" s="2" t="n">
        <f aca="false">(Entrées!$C$36*(1-S591)+MAX(0,Entrées!$C$30-Entrées!$C$35-Entrées!$C$36)*U591)*1000</f>
        <v>1171.52365677333</v>
      </c>
      <c r="AP591" s="2" t="n">
        <f aca="false">-AO591/W591</f>
        <v>-123.461339051046</v>
      </c>
      <c r="AQ591" s="2" t="n">
        <f aca="false">AL591+AM591+AN591+AP591</f>
        <v>7940.82107648763</v>
      </c>
      <c r="AR591" s="2" t="n">
        <f aca="false">O591*AQ591-Hypothèses!$J$25/Hypothèses!$J$19</f>
        <v>1399.46719851191</v>
      </c>
      <c r="AS591" s="2" t="n">
        <f aca="false">Entrées!$C$79*(1+Q591)+Hypothèses!$J$20</f>
        <v>1470.12780411765</v>
      </c>
      <c r="AT591" s="2" t="n">
        <f aca="false">AI591-AR591+AS591+Y591*1000-AO591+Hypothèses!$J$23</f>
        <v>22516.8228297918</v>
      </c>
      <c r="AU591" s="2" t="n">
        <f aca="false">AT591/AQ591</f>
        <v>2.83557866534267</v>
      </c>
      <c r="AV591" s="2" t="n">
        <f aca="false">Hypothèses!$J$26*AQ591-AT591</f>
        <v>1305.64039967113</v>
      </c>
      <c r="AW591" s="2" t="n">
        <f aca="false">IF(AC591&gt;Hypothèses!$J$26,MAX(0,AV591)/(1-Hypothèses!$J$26/AC591),0)</f>
        <v>1845.37411998195</v>
      </c>
      <c r="AX591" s="2" t="n">
        <f aca="false">AQ591-Entrées!$C$17*1000</f>
        <v>-59.1789235123697</v>
      </c>
      <c r="AY591" s="2" t="n">
        <f aca="false">AI591+(Entrées!$C$244-Entrées!$C$13)</f>
        <v>28560.7223239999</v>
      </c>
      <c r="AZ591" s="2" t="n">
        <f aca="false">AA591*AH591</f>
        <v>5508.58220754025</v>
      </c>
      <c r="BA591" s="2" t="n">
        <f aca="false">AZ591/AY591</f>
        <v>0.19287265024496</v>
      </c>
      <c r="BB591" s="2" t="n">
        <f aca="false">AZ591/(Entrées!$C$151/100)-AY591</f>
        <v>2042.51216233477</v>
      </c>
      <c r="BC591" s="2" t="n">
        <f aca="false">AT591+(Entrées!$C$244-Entrées!$C$13)</f>
        <v>28263.8228297918</v>
      </c>
      <c r="BD591" s="2" t="n">
        <f aca="false">AA591*AQ591</f>
        <v>5804.68371322176</v>
      </c>
      <c r="BE591" s="2" t="n">
        <f aca="false">BD591/BC591</f>
        <v>0.205375038903204</v>
      </c>
      <c r="BF591" s="2" t="n">
        <f aca="false">BD591/(Entrées!$C$151/100)-BC591</f>
        <v>3984.42002144024</v>
      </c>
      <c r="BG591" s="2" t="n">
        <f aca="false">MIN(AV591,BF591)</f>
        <v>1305.64039967113</v>
      </c>
      <c r="BH591" s="2" t="n">
        <f aca="false">IF(AC591&gt;Hypothèses!$J$26,MAX(0,BG591)/(1-Hypothèses!$J$26/AC591),0)</f>
        <v>1845.37411998195</v>
      </c>
    </row>
    <row r="592" customFormat="false" ht="15" hidden="false" customHeight="false" outlineLevel="0" collapsed="false">
      <c r="A592" s="2" t="n">
        <v>577</v>
      </c>
      <c r="B592" s="2" t="n">
        <v>0.197029168</v>
      </c>
      <c r="C592" s="2"/>
      <c r="D592" s="2" t="n">
        <v>0.361018918</v>
      </c>
      <c r="E592" s="2" t="n">
        <f aca="false">IF(E$7=E$5,E$6,IF(NORMSDIST(E$9*SQRT($C$11)*NORMSINV($B592)+SQRT(1-E$9^2*$C$11)*NORMSINV(D592))&lt;E$8,E$5+SQRT(NORMSDIST(E$9*SQRT($C$11)*NORMSINV($B592)+SQRT(1-E$9^2*$C$11)*NORMSINV(D592))*(E$7-E$5)*(E$6-E$5)),E$7-SQRT((1-NORMSDIST(E$9*SQRT($C$11)*NORMSINV($B592)+SQRT(1-E$9^2*$C$11)*NORMSINV(D592)))*(E$7-E$5)*(E$7-E$6))))</f>
        <v>0.0532222337592367</v>
      </c>
      <c r="F592" s="2" t="n">
        <v>0.453101009</v>
      </c>
      <c r="G592" s="2" t="n">
        <f aca="false">IF(G$7=G$5,G$6,IF(NORMSDIST(G$9*SQRT($C$11)*NORMSINV($B592)+SQRT(1-G$9^2*$C$11)*NORMSINV(F592))&lt;G$8,G$5+SQRT(NORMSDIST(G$9*SQRT($C$11)*NORMSINV($B592)+SQRT(1-G$9^2*$C$11)*NORMSINV(F592))*(G$7-G$5)*(G$6-G$5)),G$7-SQRT((1-NORMSDIST(G$9*SQRT($C$11)*NORMSINV($B592)+SQRT(1-G$9^2*$C$11)*NORMSINV(F592)))*(G$7-G$5)*(G$7-G$6))))</f>
        <v>0.0509046789412511</v>
      </c>
      <c r="H592" s="2" t="n">
        <v>0.527573645</v>
      </c>
      <c r="I592" s="2" t="n">
        <f aca="false">IF(I$7=I$5,I$6,IF(NORMSDIST(I$9*SQRT($C$11)*NORMSINV($B592)+SQRT(1-I$9^2*$C$11)*NORMSINV(H592))&lt;I$8,I$5+SQRT(NORMSDIST(I$9*SQRT($C$11)*NORMSINV($B592)+SQRT(1-I$9^2*$C$11)*NORMSINV(H592))*(I$7-I$5)*(I$6-I$5)),I$7-SQRT((1-NORMSDIST(I$9*SQRT($C$11)*NORMSINV($B592)+SQRT(1-I$9^2*$C$11)*NORMSINV(H592)))*(I$7-I$5)*(I$7-I$6))))</f>
        <v>195.841183366719</v>
      </c>
      <c r="J592" s="2" t="n">
        <v>0.803920775</v>
      </c>
      <c r="K592" s="2" t="n">
        <f aca="false">IF(K$7=K$5,K$6,IF(NORMSDIST(K$9*SQRT($C$11)*NORMSINV($B592)+SQRT(1-K$9^2*$C$11)*NORMSINV(J592))&lt;K$8,K$5+SQRT(NORMSDIST(K$9*SQRT($C$11)*NORMSINV($B592)+SQRT(1-K$9^2*$C$11)*NORMSINV(J592))*(K$7-K$5)*(K$6-K$5)),K$7-SQRT((1-NORMSDIST(K$9*SQRT($C$11)*NORMSINV($B592)+SQRT(1-K$9^2*$C$11)*NORMSINV(J592)))*(K$7-K$5)*(K$7-K$6))))</f>
        <v>0.262635103157895</v>
      </c>
      <c r="L592" s="2" t="n">
        <v>0.194398148</v>
      </c>
      <c r="M592" s="2" t="n">
        <f aca="false">IF(M$7=M$5,M$6,IF(NORMSDIST(M$9*SQRT($C$11)*NORMSINV($B592)+SQRT(1-M$9^2*$C$11)*NORMSINV(L592))&lt;M$8,M$5+SQRT(NORMSDIST(M$9*SQRT($C$11)*NORMSINV($B592)+SQRT(1-M$9^2*$C$11)*NORMSINV(L592))*(M$7-M$5)*(M$6-M$5)),M$7-SQRT((1-NORMSDIST(M$9*SQRT($C$11)*NORMSINV($B592)+SQRT(1-M$9^2*$C$11)*NORMSINV(L592)))*(M$7-M$5)*(M$7-M$6))))</f>
        <v>1437.80539817886</v>
      </c>
      <c r="N592" s="2" t="n">
        <v>0.372573434</v>
      </c>
      <c r="O592" s="2" t="n">
        <f aca="false">IF(O$7=O$5,O$6,IF(NORMSDIST(O$9*SQRT($C$11)*NORMSINV($B592)+SQRT(1-O$9^2*$C$11)*NORMSINV(N592))&lt;O$8,O$5+SQRT(NORMSDIST(O$9*SQRT($C$11)*NORMSINV($B592)+SQRT(1-O$9^2*$C$11)*NORMSINV(N592))*(O$7-O$5)*(O$6-O$5)),O$7-SQRT((1-NORMSDIST(O$9*SQRT($C$11)*NORMSINV($B592)+SQRT(1-O$9^2*$C$11)*NORMSINV(N592)))*(O$7-O$5)*(O$7-O$6))))</f>
        <v>0.157544471645763</v>
      </c>
      <c r="P592" s="2" t="n">
        <v>0.896738412</v>
      </c>
      <c r="Q592" s="2" t="n">
        <f aca="false">IF(Q$7=Q$5,Q$6,IF(NORMSDIST(Q$9*SQRT($C$11)*NORMSINV($B592)+SQRT(1-Q$9^2*$C$11)*NORMSINV(P592))&lt;Q$8,Q$5+SQRT(NORMSDIST(Q$9*SQRT($C$11)*NORMSINV($B592)+SQRT(1-Q$9^2*$C$11)*NORMSINV(P592))*(Q$7-Q$5)*(Q$6-Q$5)),Q$7-SQRT((1-NORMSDIST(Q$9*SQRT($C$11)*NORMSINV($B592)+SQRT(1-Q$9^2*$C$11)*NORMSINV(P592)))*(Q$7-Q$5)*(Q$7-Q$6))))</f>
        <v>0.101822071581173</v>
      </c>
      <c r="R592" s="2" t="n">
        <v>0.543216658</v>
      </c>
      <c r="S592" s="2" t="n">
        <f aca="false">IF(S$7=S$5,S$6,IF(NORMSDIST(S$9*SQRT($C$11)*NORMSINV($B592)+SQRT(1-S$9^2*$C$11)*NORMSINV(R592))&lt;S$8,S$5+SQRT(NORMSDIST(S$9*SQRT($C$11)*NORMSINV($B592)+SQRT(1-S$9^2*$C$11)*NORMSINV(R592))*(S$7-S$5)*(S$6-S$5)),S$7-SQRT((1-NORMSDIST(S$9*SQRT($C$11)*NORMSINV($B592)+SQRT(1-S$9^2*$C$11)*NORMSINV(R592)))*(S$7-S$5)*(S$7-S$6))))</f>
        <v>0.402846793657157</v>
      </c>
      <c r="T592" s="2" t="n">
        <v>0.270535581</v>
      </c>
      <c r="U592" s="2" t="n">
        <f aca="false">IF(U$7=U$5,U$6,IF(NORMSDIST(U$9*SQRT($C$11)*NORMSINV($B592)+SQRT(1-U$9^2*$C$11)*NORMSINV(T592))&lt;U$8,U$5+SQRT(NORMSDIST(U$9*SQRT($C$11)*NORMSINV($B592)+SQRT(1-U$9^2*$C$11)*NORMSINV(T592))*(U$7-U$5)*(U$6-U$5)),U$7-SQRT((1-NORMSDIST(U$9*SQRT($C$11)*NORMSINV($B592)+SQRT(1-U$9^2*$C$11)*NORMSINV(T592)))*(U$7-U$5)*(U$7-U$6))))</f>
        <v>0.278979795067447</v>
      </c>
      <c r="V592" s="2" t="n">
        <v>0.721364824</v>
      </c>
      <c r="W592" s="2" t="n">
        <f aca="false">IF(W$7=W$5,W$6,IF(NORMSDIST(W$9*SQRT($C$11)*NORMSINV($B592)+SQRT(1-W$9^2*$C$11)*NORMSINV(V592))&lt;W$8,W$5+SQRT(NORMSDIST(W$9*SQRT($C$11)*NORMSINV($B592)+SQRT(1-W$9^2*$C$11)*NORMSINV(V592))*(W$7-W$5)*(W$6-W$5)),W$7-SQRT((1-NORMSDIST(W$9*SQRT($C$11)*NORMSINV($B592)+SQRT(1-W$9^2*$C$11)*NORMSINV(V592)))*(W$7-W$5)*(W$7-W$6))))</f>
        <v>9.93155264743949</v>
      </c>
      <c r="X592" s="2" t="n">
        <v>0.47425677</v>
      </c>
      <c r="Y592" s="2" t="n">
        <f aca="false">IF(Y$7=Y$5,Y$6,IF(NORMSDIST(Y$9*SQRT($C$11)*NORMSINV($B592)+SQRT(1-Y$9^2*$C$11)*NORMSINV(X592))&lt;Y$8,Y$5+SQRT(NORMSDIST(Y$9*SQRT($C$11)*NORMSINV($B592)+SQRT(1-Y$9^2*$C$11)*NORMSINV(X592))*(Y$7-Y$5)*(Y$6-Y$5)),Y$7-SQRT((1-NORMSDIST(Y$9*SQRT($C$11)*NORMSINV($B592)+SQRT(1-Y$9^2*$C$11)*NORMSINV(X592)))*(Y$7-Y$5)*(Y$7-Y$6))))</f>
        <v>0.486958299035965</v>
      </c>
      <c r="Z592" s="2" t="n">
        <v>0.661127108</v>
      </c>
      <c r="AA592" s="2" t="n">
        <f aca="false">IF(AA$7=AA$5,AA$6,IF(NORMSDIST(AA$9*SQRT($C$11)*NORMSINV($B592)+SQRT(1-AA$9^2*$C$11)*NORMSINV(Z592))&lt;AA$8,AA$5+SQRT(NORMSDIST(AA$9*SQRT($C$11)*NORMSINV($B592)+SQRT(1-AA$9^2*$C$11)*NORMSINV(Z592))*(AA$7-AA$5)*(AA$6-AA$5)),AA$7-SQRT((1-NORMSDIST(AA$9*SQRT($C$11)*NORMSINV($B592)+SQRT(1-AA$9^2*$C$11)*NORMSINV(Z592)))*(AA$7-AA$5)*(AA$7-AA$6))))</f>
        <v>0.725105284196754</v>
      </c>
      <c r="AB592" s="2" t="n">
        <v>0.627635512</v>
      </c>
      <c r="AC592" s="2" t="n">
        <f aca="false">IF(AC$7=AC$5,AC$6,IF(NORMSDIST(AC$9*SQRT($C$11)*NORMSINV($B592)+SQRT(1-AC$9^2*$C$11)*NORMSINV(AB592))&lt;AC$8,AC$5+SQRT(NORMSDIST(AC$9*SQRT($C$11)*NORMSINV($B592)+SQRT(1-AC$9^2*$C$11)*NORMSINV(AB592))*(AC$7-AC$5)*(AC$6-AC$5)),AC$7-SQRT((1-NORMSDIST(AC$9*SQRT($C$11)*NORMSINV($B592)+SQRT(1-AC$9^2*$C$11)*NORMSINV(AB592)))*(AC$7-AC$5)*(AC$7-AC$6))))</f>
        <v>9.22886600553171</v>
      </c>
      <c r="AD592" s="2" t="n">
        <f aca="false">Entrées!$C$8*(1+E592)</f>
        <v>7425.21674800262</v>
      </c>
      <c r="AE592" s="2" t="n">
        <f aca="false">I592*Hypothèses!$J$24/12/Hypothèses!$J$19</f>
        <v>97.1561842541374</v>
      </c>
      <c r="AF592" s="2" t="n">
        <f aca="false">Entrées!$C$36*S592*1000</f>
        <v>201.423396828579</v>
      </c>
      <c r="AG592" s="2" t="n">
        <f aca="false">-AF592/W592</f>
        <v>-20.2811588458436</v>
      </c>
      <c r="AH592" s="2" t="n">
        <f aca="false">AD592+AE592+AG592</f>
        <v>7502.09177341091</v>
      </c>
      <c r="AI592" s="2" t="n">
        <f aca="false">Entrées!$C$16-M592+Hypothèses!$J$22*1000-AF592+Hypothèses!$J$23</f>
        <v>22908.7712049926</v>
      </c>
      <c r="AJ592" s="2" t="n">
        <f aca="false">AI592/AH592</f>
        <v>3.05365115449352</v>
      </c>
      <c r="AK592" s="2" t="n">
        <f aca="false">AI592/(AH592+I592*(12-Hypothèses!$J$24)/12/Hypothèses!$J$19)</f>
        <v>3.02566259557789</v>
      </c>
      <c r="AL592" s="2" t="n">
        <f aca="false">(AD592+AG592+I592/Hypothèses!$J$19)*(1+G592)</f>
        <v>7956.91326696759</v>
      </c>
      <c r="AM592" s="2" t="n">
        <f aca="false">Entrées!$C$54*K592/Hypothèses!$J$19</f>
        <v>26.8030150108011</v>
      </c>
      <c r="AN592" s="2" t="n">
        <f aca="false">Y592*1000/AC592</f>
        <v>52.7646948979523</v>
      </c>
      <c r="AO592" s="2" t="n">
        <f aca="false">(Entrées!$C$36*(1-S592)+MAX(0,Entrées!$C$30-Entrées!$C$35-Entrées!$C$36)*U592)*1000</f>
        <v>689.148316265847</v>
      </c>
      <c r="AP592" s="2" t="n">
        <f aca="false">-AO592/W592</f>
        <v>-69.3897863435805</v>
      </c>
      <c r="AQ592" s="2" t="n">
        <f aca="false">AL592+AM592+AN592+AP592</f>
        <v>7967.09119053276</v>
      </c>
      <c r="AR592" s="2" t="n">
        <f aca="false">O592*AQ592-Hypothèses!$J$25/Hypothèses!$J$19</f>
        <v>1236.03600990447</v>
      </c>
      <c r="AS592" s="2" t="n">
        <f aca="false">Entrées!$C$79*(1+Q592)+Hypothèses!$J$20</f>
        <v>1505.90245666771</v>
      </c>
      <c r="AT592" s="2" t="n">
        <f aca="false">AI592-AR592+AS592+Y592*1000-AO592+Hypothèses!$J$23</f>
        <v>22976.4476345259</v>
      </c>
      <c r="AU592" s="2" t="n">
        <f aca="false">AT592/AQ592</f>
        <v>2.88391924794694</v>
      </c>
      <c r="AV592" s="2" t="n">
        <f aca="false">Hypothèses!$J$26*AQ592-AT592</f>
        <v>924.825937072375</v>
      </c>
      <c r="AW592" s="2" t="n">
        <f aca="false">IF(AC592&gt;Hypothèses!$J$26,MAX(0,AV592)/(1-Hypothèses!$J$26/AC592),0)</f>
        <v>1370.24855633456</v>
      </c>
      <c r="AX592" s="2" t="n">
        <f aca="false">AQ592-Entrées!$C$17*1000</f>
        <v>-32.9088094672361</v>
      </c>
      <c r="AY592" s="2" t="n">
        <f aca="false">AI592+(Entrées!$C$244-Entrées!$C$13)</f>
        <v>28655.7712049926</v>
      </c>
      <c r="AZ592" s="2" t="n">
        <f aca="false">AA592*AH592</f>
        <v>5439.80638742925</v>
      </c>
      <c r="BA592" s="2" t="n">
        <f aca="false">AZ592/AY592</f>
        <v>0.189832838506245</v>
      </c>
      <c r="BB592" s="2" t="n">
        <f aca="false">AZ592/(Entrées!$C$151/100)-AY592</f>
        <v>1565.37539183661</v>
      </c>
      <c r="BC592" s="2" t="n">
        <f aca="false">AT592+(Entrées!$C$244-Entrées!$C$13)</f>
        <v>28723.4476345259</v>
      </c>
      <c r="BD592" s="2" t="n">
        <f aca="false">AA592*AQ592</f>
        <v>5776.97992193272</v>
      </c>
      <c r="BE592" s="2" t="n">
        <f aca="false">BD592/BC592</f>
        <v>0.201124182425397</v>
      </c>
      <c r="BF592" s="2" t="n">
        <f aca="false">BD592/(Entrées!$C$151/100)-BC592</f>
        <v>3370.88526510029</v>
      </c>
      <c r="BG592" s="2" t="n">
        <f aca="false">MIN(AV592,BF592)</f>
        <v>924.825937072375</v>
      </c>
      <c r="BH592" s="2" t="n">
        <f aca="false">IF(AC592&gt;Hypothèses!$J$26,MAX(0,BG592)/(1-Hypothèses!$J$26/AC592),0)</f>
        <v>1370.24855633456</v>
      </c>
    </row>
    <row r="593" customFormat="false" ht="15" hidden="false" customHeight="false" outlineLevel="0" collapsed="false">
      <c r="A593" s="2" t="n">
        <v>578</v>
      </c>
      <c r="B593" s="2" t="n">
        <v>0.269241045</v>
      </c>
      <c r="C593" s="2"/>
      <c r="D593" s="2" t="n">
        <v>0.73566831</v>
      </c>
      <c r="E593" s="2" t="n">
        <f aca="false">IF(E$7=E$5,E$6,IF(NORMSDIST(E$9*SQRT($C$11)*NORMSINV($B593)+SQRT(1-E$9^2*$C$11)*NORMSINV(D593))&lt;E$8,E$5+SQRT(NORMSDIST(E$9*SQRT($C$11)*NORMSINV($B593)+SQRT(1-E$9^2*$C$11)*NORMSINV(D593))*(E$7-E$5)*(E$6-E$5)),E$7-SQRT((1-NORMSDIST(E$9*SQRT($C$11)*NORMSINV($B593)+SQRT(1-E$9^2*$C$11)*NORMSINV(D593)))*(E$7-E$5)*(E$7-E$6))))</f>
        <v>0.0552012090542231</v>
      </c>
      <c r="F593" s="2" t="n">
        <v>0.725968769</v>
      </c>
      <c r="G593" s="2" t="n">
        <f aca="false">IF(G$7=G$5,G$6,IF(NORMSDIST(G$9*SQRT($C$11)*NORMSINV($B593)+SQRT(1-G$9^2*$C$11)*NORMSINV(F593))&lt;G$8,G$5+SQRT(NORMSDIST(G$9*SQRT($C$11)*NORMSINV($B593)+SQRT(1-G$9^2*$C$11)*NORMSINV(F593))*(G$7-G$5)*(G$6-G$5)),G$7-SQRT((1-NORMSDIST(G$9*SQRT($C$11)*NORMSINV($B593)+SQRT(1-G$9^2*$C$11)*NORMSINV(F593)))*(G$7-G$5)*(G$7-G$6))))</f>
        <v>0.0554629580805018</v>
      </c>
      <c r="H593" s="2" t="n">
        <v>0.359550297</v>
      </c>
      <c r="I593" s="2" t="n">
        <f aca="false">IF(I$7=I$5,I$6,IF(NORMSDIST(I$9*SQRT($C$11)*NORMSINV($B593)+SQRT(1-I$9^2*$C$11)*NORMSINV(H593))&lt;I$8,I$5+SQRT(NORMSDIST(I$9*SQRT($C$11)*NORMSINV($B593)+SQRT(1-I$9^2*$C$11)*NORMSINV(H593))*(I$7-I$5)*(I$6-I$5)),I$7-SQRT((1-NORMSDIST(I$9*SQRT($C$11)*NORMSINV($B593)+SQRT(1-I$9^2*$C$11)*NORMSINV(H593)))*(I$7-I$5)*(I$7-I$6))))</f>
        <v>194.203871521661</v>
      </c>
      <c r="J593" s="2" t="n">
        <v>0.051532352</v>
      </c>
      <c r="K593" s="2" t="n">
        <f aca="false">IF(K$7=K$5,K$6,IF(NORMSDIST(K$9*SQRT($C$11)*NORMSINV($B593)+SQRT(1-K$9^2*$C$11)*NORMSINV(J593))&lt;K$8,K$5+SQRT(NORMSDIST(K$9*SQRT($C$11)*NORMSINV($B593)+SQRT(1-K$9^2*$C$11)*NORMSINV(J593))*(K$7-K$5)*(K$6-K$5)),K$7-SQRT((1-NORMSDIST(K$9*SQRT($C$11)*NORMSINV($B593)+SQRT(1-K$9^2*$C$11)*NORMSINV(J593)))*(K$7-K$5)*(K$7-K$6))))</f>
        <v>0.0784952497009131</v>
      </c>
      <c r="L593" s="2" t="n">
        <v>0.558310607</v>
      </c>
      <c r="M593" s="2" t="n">
        <f aca="false">IF(M$7=M$5,M$6,IF(NORMSDIST(M$9*SQRT($C$11)*NORMSINV($B593)+SQRT(1-M$9^2*$C$11)*NORMSINV(L593))&lt;M$8,M$5+SQRT(NORMSDIST(M$9*SQRT($C$11)*NORMSINV($B593)+SQRT(1-M$9^2*$C$11)*NORMSINV(L593))*(M$7-M$5)*(M$6-M$5)),M$7-SQRT((1-NORMSDIST(M$9*SQRT($C$11)*NORMSINV($B593)+SQRT(1-M$9^2*$C$11)*NORMSINV(L593)))*(M$7-M$5)*(M$7-M$6))))</f>
        <v>1552.86850490589</v>
      </c>
      <c r="N593" s="2" t="n">
        <v>0.431655081</v>
      </c>
      <c r="O593" s="2" t="n">
        <f aca="false">IF(O$7=O$5,O$6,IF(NORMSDIST(O$9*SQRT($C$11)*NORMSINV($B593)+SQRT(1-O$9^2*$C$11)*NORMSINV(N593))&lt;O$8,O$5+SQRT(NORMSDIST(O$9*SQRT($C$11)*NORMSINV($B593)+SQRT(1-O$9^2*$C$11)*NORMSINV(N593))*(O$7-O$5)*(O$6-O$5)),O$7-SQRT((1-NORMSDIST(O$9*SQRT($C$11)*NORMSINV($B593)+SQRT(1-O$9^2*$C$11)*NORMSINV(N593)))*(O$7-O$5)*(O$7-O$6))))</f>
        <v>0.160771400350395</v>
      </c>
      <c r="P593" s="2" t="n">
        <v>0.807131872</v>
      </c>
      <c r="Q593" s="2" t="n">
        <f aca="false">IF(Q$7=Q$5,Q$6,IF(NORMSDIST(Q$9*SQRT($C$11)*NORMSINV($B593)+SQRT(1-Q$9^2*$C$11)*NORMSINV(P593))&lt;Q$8,Q$5+SQRT(NORMSDIST(Q$9*SQRT($C$11)*NORMSINV($B593)+SQRT(1-Q$9^2*$C$11)*NORMSINV(P593))*(Q$7-Q$5)*(Q$6-Q$5)),Q$7-SQRT((1-NORMSDIST(Q$9*SQRT($C$11)*NORMSINV($B593)+SQRT(1-Q$9^2*$C$11)*NORMSINV(P593)))*(Q$7-Q$5)*(Q$7-Q$6))))</f>
        <v>0.0951569323633332</v>
      </c>
      <c r="R593" s="2" t="n">
        <v>0.202280737</v>
      </c>
      <c r="S593" s="2" t="n">
        <f aca="false">IF(S$7=S$5,S$6,IF(NORMSDIST(S$9*SQRT($C$11)*NORMSINV($B593)+SQRT(1-S$9^2*$C$11)*NORMSINV(R593))&lt;S$8,S$5+SQRT(NORMSDIST(S$9*SQRT($C$11)*NORMSINV($B593)+SQRT(1-S$9^2*$C$11)*NORMSINV(R593))*(S$7-S$5)*(S$6-S$5)),S$7-SQRT((1-NORMSDIST(S$9*SQRT($C$11)*NORMSINV($B593)+SQRT(1-S$9^2*$C$11)*NORMSINV(R593)))*(S$7-S$5)*(S$7-S$6))))</f>
        <v>0.274239277453632</v>
      </c>
      <c r="T593" s="2" t="n">
        <v>0.927164946</v>
      </c>
      <c r="U593" s="2" t="n">
        <f aca="false">IF(U$7=U$5,U$6,IF(NORMSDIST(U$9*SQRT($C$11)*NORMSINV($B593)+SQRT(1-U$9^2*$C$11)*NORMSINV(T593))&lt;U$8,U$5+SQRT(NORMSDIST(U$9*SQRT($C$11)*NORMSINV($B593)+SQRT(1-U$9^2*$C$11)*NORMSINV(T593))*(U$7-U$5)*(U$6-U$5)),U$7-SQRT((1-NORMSDIST(U$9*SQRT($C$11)*NORMSINV($B593)+SQRT(1-U$9^2*$C$11)*NORMSINV(T593)))*(U$7-U$5)*(U$7-U$6))))</f>
        <v>0.660695285138502</v>
      </c>
      <c r="V593" s="2" t="n">
        <v>0.382079314</v>
      </c>
      <c r="W593" s="2" t="n">
        <f aca="false">IF(W$7=W$5,W$6,IF(NORMSDIST(W$9*SQRT($C$11)*NORMSINV($B593)+SQRT(1-W$9^2*$C$11)*NORMSINV(V593))&lt;W$8,W$5+SQRT(NORMSDIST(W$9*SQRT($C$11)*NORMSINV($B593)+SQRT(1-W$9^2*$C$11)*NORMSINV(V593))*(W$7-W$5)*(W$6-W$5)),W$7-SQRT((1-NORMSDIST(W$9*SQRT($C$11)*NORMSINV($B593)+SQRT(1-W$9^2*$C$11)*NORMSINV(V593)))*(W$7-W$5)*(W$7-W$6))))</f>
        <v>9.46194167483355</v>
      </c>
      <c r="X593" s="2" t="n">
        <v>0.090018042</v>
      </c>
      <c r="Y593" s="2" t="n">
        <f aca="false">IF(Y$7=Y$5,Y$6,IF(NORMSDIST(Y$9*SQRT($C$11)*NORMSINV($B593)+SQRT(1-Y$9^2*$C$11)*NORMSINV(X593))&lt;Y$8,Y$5+SQRT(NORMSDIST(Y$9*SQRT($C$11)*NORMSINV($B593)+SQRT(1-Y$9^2*$C$11)*NORMSINV(X593))*(Y$7-Y$5)*(Y$6-Y$5)),Y$7-SQRT((1-NORMSDIST(Y$9*SQRT($C$11)*NORMSINV($B593)+SQRT(1-Y$9^2*$C$11)*NORMSINV(X593)))*(Y$7-Y$5)*(Y$7-Y$6))))</f>
        <v>0.212153295991366</v>
      </c>
      <c r="Z593" s="2" t="n">
        <v>0.696015463</v>
      </c>
      <c r="AA593" s="2" t="n">
        <f aca="false">IF(AA$7=AA$5,AA$6,IF(NORMSDIST(AA$9*SQRT($C$11)*NORMSINV($B593)+SQRT(1-AA$9^2*$C$11)*NORMSINV(Z593))&lt;AA$8,AA$5+SQRT(NORMSDIST(AA$9*SQRT($C$11)*NORMSINV($B593)+SQRT(1-AA$9^2*$C$11)*NORMSINV(Z593))*(AA$7-AA$5)*(AA$6-AA$5)),AA$7-SQRT((1-NORMSDIST(AA$9*SQRT($C$11)*NORMSINV($B593)+SQRT(1-AA$9^2*$C$11)*NORMSINV(Z593)))*(AA$7-AA$5)*(AA$7-AA$6))))</f>
        <v>0.728159825257573</v>
      </c>
      <c r="AB593" s="2" t="n">
        <v>0.059169264</v>
      </c>
      <c r="AC593" s="2" t="n">
        <f aca="false">IF(AC$7=AC$5,AC$6,IF(NORMSDIST(AC$9*SQRT($C$11)*NORMSINV($B593)+SQRT(1-AC$9^2*$C$11)*NORMSINV(AB593))&lt;AC$8,AC$5+SQRT(NORMSDIST(AC$9*SQRT($C$11)*NORMSINV($B593)+SQRT(1-AC$9^2*$C$11)*NORMSINV(AB593))*(AC$7-AC$5)*(AC$6-AC$5)),AC$7-SQRT((1-NORMSDIST(AC$9*SQRT($C$11)*NORMSINV($B593)+SQRT(1-AC$9^2*$C$11)*NORMSINV(AB593)))*(AC$7-AC$5)*(AC$7-AC$6))))</f>
        <v>8.0889359894462</v>
      </c>
      <c r="AD593" s="2" t="n">
        <f aca="false">Entrées!$C$8*(1+E593)</f>
        <v>7439.16852383227</v>
      </c>
      <c r="AE593" s="2" t="n">
        <f aca="false">I593*Hypothèses!$J$24/12/Hypothèses!$J$19</f>
        <v>96.3439190882243</v>
      </c>
      <c r="AF593" s="2" t="n">
        <f aca="false">Entrées!$C$36*S593*1000</f>
        <v>137.119638726816</v>
      </c>
      <c r="AG593" s="2" t="n">
        <f aca="false">-AF593/W593</f>
        <v>-14.491701961292</v>
      </c>
      <c r="AH593" s="2" t="n">
        <f aca="false">AD593+AE593+AG593</f>
        <v>7521.02074095921</v>
      </c>
      <c r="AI593" s="2" t="n">
        <f aca="false">Entrées!$C$16-M593+Hypothèses!$J$22*1000-AF593+Hypothèses!$J$23</f>
        <v>22858.0118563673</v>
      </c>
      <c r="AJ593" s="2" t="n">
        <f aca="false">AI593/AH593</f>
        <v>3.03921670257913</v>
      </c>
      <c r="AK593" s="2" t="n">
        <f aca="false">AI593/(AH593+I593*(12-Hypothèses!$J$24)/12/Hypothèses!$J$19)</f>
        <v>3.01166011452803</v>
      </c>
      <c r="AL593" s="2" t="n">
        <f aca="false">(AD593+AG593+I593/Hypothèses!$J$19)*(1+G593)</f>
        <v>8010.7926832047</v>
      </c>
      <c r="AM593" s="2" t="n">
        <f aca="false">Entrées!$C$54*K593/Hypothèses!$J$19</f>
        <v>8.01076981223371</v>
      </c>
      <c r="AN593" s="2" t="n">
        <f aca="false">Y593*1000/AC593</f>
        <v>26.22758991642</v>
      </c>
      <c r="AO593" s="2" t="n">
        <f aca="false">(Entrées!$C$36*(1-S593)+MAX(0,Entrées!$C$30-Entrées!$C$35-Entrées!$C$36)*U593)*1000</f>
        <v>1287.85376046709</v>
      </c>
      <c r="AP593" s="2" t="n">
        <f aca="false">-AO593/W593</f>
        <v>-136.108824670994</v>
      </c>
      <c r="AQ593" s="2" t="n">
        <f aca="false">AL593+AM593+AN593+AP593</f>
        <v>7908.92221826236</v>
      </c>
      <c r="AR593" s="2" t="n">
        <f aca="false">O593*AQ593-Hypothèses!$J$25/Hypothèses!$J$19</f>
        <v>1252.39333803077</v>
      </c>
      <c r="AS593" s="2" t="n">
        <f aca="false">Entrées!$C$79*(1+Q593)+Hypothèses!$J$20</f>
        <v>1498.5774686673</v>
      </c>
      <c r="AT593" s="2" t="n">
        <f aca="false">AI593-AR593+AS593+Y593*1000-AO593+Hypothèses!$J$23</f>
        <v>22028.4955225281</v>
      </c>
      <c r="AU593" s="2" t="n">
        <f aca="false">AT593/AQ593</f>
        <v>2.7852714838518</v>
      </c>
      <c r="AV593" s="2" t="n">
        <f aca="false">Hypothèses!$J$26*AQ593-AT593</f>
        <v>1698.27113225897</v>
      </c>
      <c r="AW593" s="2" t="n">
        <f aca="false">IF(AC593&gt;Hypothèses!$J$26,MAX(0,AV593)/(1-Hypothèses!$J$26/AC593),0)</f>
        <v>2699.42607060814</v>
      </c>
      <c r="AX593" s="2" t="n">
        <f aca="false">AQ593-Entrées!$C$17*1000</f>
        <v>-91.0777817376411</v>
      </c>
      <c r="AY593" s="2" t="n">
        <f aca="false">AI593+(Entrées!$C$244-Entrées!$C$13)</f>
        <v>28605.0118563673</v>
      </c>
      <c r="AZ593" s="2" t="n">
        <f aca="false">AA593*AH593</f>
        <v>5476.50514849544</v>
      </c>
      <c r="BA593" s="2" t="n">
        <f aca="false">AZ593/AY593</f>
        <v>0.191452643893116</v>
      </c>
      <c r="BB593" s="2" t="n">
        <f aca="false">AZ593/(Entrées!$C$151/100)-AY593</f>
        <v>1820.01674638513</v>
      </c>
      <c r="BC593" s="2" t="n">
        <f aca="false">AT593+(Entrées!$C$244-Entrées!$C$13)</f>
        <v>27775.4955225281</v>
      </c>
      <c r="BD593" s="2" t="n">
        <f aca="false">AA593*AQ593</f>
        <v>5758.95942042565</v>
      </c>
      <c r="BE593" s="2" t="n">
        <f aca="false">BD593/BC593</f>
        <v>0.207339574401281</v>
      </c>
      <c r="BF593" s="2" t="n">
        <f aca="false">BD593/(Entrées!$C$151/100)-BC593</f>
        <v>4218.72347983664</v>
      </c>
      <c r="BG593" s="2" t="n">
        <f aca="false">MIN(AV593,BF593)</f>
        <v>1698.27113225897</v>
      </c>
      <c r="BH593" s="2" t="n">
        <f aca="false">IF(AC593&gt;Hypothèses!$J$26,MAX(0,BG593)/(1-Hypothèses!$J$26/AC593),0)</f>
        <v>2699.42607060814</v>
      </c>
    </row>
    <row r="594" customFormat="false" ht="15" hidden="false" customHeight="false" outlineLevel="0" collapsed="false">
      <c r="A594" s="2" t="n">
        <v>579</v>
      </c>
      <c r="B594" s="2" t="n">
        <v>0.259091782</v>
      </c>
      <c r="C594" s="2"/>
      <c r="D594" s="2" t="n">
        <v>0.033072104</v>
      </c>
      <c r="E594" s="2" t="n">
        <f aca="false">IF(E$7=E$5,E$6,IF(NORMSDIST(E$9*SQRT($C$11)*NORMSINV($B594)+SQRT(1-E$9^2*$C$11)*NORMSINV(D594))&lt;E$8,E$5+SQRT(NORMSDIST(E$9*SQRT($C$11)*NORMSINV($B594)+SQRT(1-E$9^2*$C$11)*NORMSINV(D594))*(E$7-E$5)*(E$6-E$5)),E$7-SQRT((1-NORMSDIST(E$9*SQRT($C$11)*NORMSINV($B594)+SQRT(1-E$9^2*$C$11)*NORMSINV(D594)))*(E$7-E$5)*(E$7-E$6))))</f>
        <v>0.0512938368528099</v>
      </c>
      <c r="F594" s="2" t="n">
        <v>0.312921257</v>
      </c>
      <c r="G594" s="2" t="n">
        <f aca="false">IF(G$7=G$5,G$6,IF(NORMSDIST(G$9*SQRT($C$11)*NORMSINV($B594)+SQRT(1-G$9^2*$C$11)*NORMSINV(F594))&lt;G$8,G$5+SQRT(NORMSDIST(G$9*SQRT($C$11)*NORMSINV($B594)+SQRT(1-G$9^2*$C$11)*NORMSINV(F594))*(G$7-G$5)*(G$6-G$5)),G$7-SQRT((1-NORMSDIST(G$9*SQRT($C$11)*NORMSINV($B594)+SQRT(1-G$9^2*$C$11)*NORMSINV(F594)))*(G$7-G$5)*(G$7-G$6))))</f>
        <v>0.0498552007115158</v>
      </c>
      <c r="H594" s="2" t="n">
        <v>0.013956308</v>
      </c>
      <c r="I594" s="2" t="n">
        <f aca="false">IF(I$7=I$5,I$6,IF(NORMSDIST(I$9*SQRT($C$11)*NORMSINV($B594)+SQRT(1-I$9^2*$C$11)*NORMSINV(H594))&lt;I$8,I$5+SQRT(NORMSDIST(I$9*SQRT($C$11)*NORMSINV($B594)+SQRT(1-I$9^2*$C$11)*NORMSINV(H594))*(I$7-I$5)*(I$6-I$5)),I$7-SQRT((1-NORMSDIST(I$9*SQRT($C$11)*NORMSINV($B594)+SQRT(1-I$9^2*$C$11)*NORMSINV(H594)))*(I$7-I$5)*(I$7-I$6))))</f>
        <v>183.726609270445</v>
      </c>
      <c r="J594" s="2" t="n">
        <v>0.321274011</v>
      </c>
      <c r="K594" s="2" t="n">
        <f aca="false">IF(K$7=K$5,K$6,IF(NORMSDIST(K$9*SQRT($C$11)*NORMSINV($B594)+SQRT(1-K$9^2*$C$11)*NORMSINV(J594))&lt;K$8,K$5+SQRT(NORMSDIST(K$9*SQRT($C$11)*NORMSINV($B594)+SQRT(1-K$9^2*$C$11)*NORMSINV(J594))*(K$7-K$5)*(K$6-K$5)),K$7-SQRT((1-NORMSDIST(K$9*SQRT($C$11)*NORMSINV($B594)+SQRT(1-K$9^2*$C$11)*NORMSINV(J594)))*(K$7-K$5)*(K$7-K$6))))</f>
        <v>0.16627912458888</v>
      </c>
      <c r="L594" s="2" t="n">
        <v>0.051193815</v>
      </c>
      <c r="M594" s="2" t="n">
        <f aca="false">IF(M$7=M$5,M$6,IF(NORMSDIST(M$9*SQRT($C$11)*NORMSINV($B594)+SQRT(1-M$9^2*$C$11)*NORMSINV(L594))&lt;M$8,M$5+SQRT(NORMSDIST(M$9*SQRT($C$11)*NORMSINV($B594)+SQRT(1-M$9^2*$C$11)*NORMSINV(L594))*(M$7-M$5)*(M$6-M$5)),M$7-SQRT((1-NORMSDIST(M$9*SQRT($C$11)*NORMSINV($B594)+SQRT(1-M$9^2*$C$11)*NORMSINV(L594)))*(M$7-M$5)*(M$7-M$6))))</f>
        <v>1389.77716517868</v>
      </c>
      <c r="N594" s="2" t="n">
        <v>0.969267597</v>
      </c>
      <c r="O594" s="2" t="n">
        <f aca="false">IF(O$7=O$5,O$6,IF(NORMSDIST(O$9*SQRT($C$11)*NORMSINV($B594)+SQRT(1-O$9^2*$C$11)*NORMSINV(N594))&lt;O$8,O$5+SQRT(NORMSDIST(O$9*SQRT($C$11)*NORMSINV($B594)+SQRT(1-O$9^2*$C$11)*NORMSINV(N594))*(O$7-O$5)*(O$6-O$5)),O$7-SQRT((1-NORMSDIST(O$9*SQRT($C$11)*NORMSINV($B594)+SQRT(1-O$9^2*$C$11)*NORMSINV(N594)))*(O$7-O$5)*(O$7-O$6))))</f>
        <v>0.177394149653479</v>
      </c>
      <c r="P594" s="2" t="n">
        <v>0.801563199</v>
      </c>
      <c r="Q594" s="2" t="n">
        <f aca="false">IF(Q$7=Q$5,Q$6,IF(NORMSDIST(Q$9*SQRT($C$11)*NORMSINV($B594)+SQRT(1-Q$9^2*$C$11)*NORMSINV(P594))&lt;Q$8,Q$5+SQRT(NORMSDIST(Q$9*SQRT($C$11)*NORMSINV($B594)+SQRT(1-Q$9^2*$C$11)*NORMSINV(P594))*(Q$7-Q$5)*(Q$6-Q$5)),Q$7-SQRT((1-NORMSDIST(Q$9*SQRT($C$11)*NORMSINV($B594)+SQRT(1-Q$9^2*$C$11)*NORMSINV(P594)))*(Q$7-Q$5)*(Q$7-Q$6))))</f>
        <v>0.094800838045681</v>
      </c>
      <c r="R594" s="2" t="n">
        <v>0.699176849</v>
      </c>
      <c r="S594" s="2" t="n">
        <f aca="false">IF(S$7=S$5,S$6,IF(NORMSDIST(S$9*SQRT($C$11)*NORMSINV($B594)+SQRT(1-S$9^2*$C$11)*NORMSINV(R594))&lt;S$8,S$5+SQRT(NORMSDIST(S$9*SQRT($C$11)*NORMSINV($B594)+SQRT(1-S$9^2*$C$11)*NORMSINV(R594))*(S$7-S$5)*(S$6-S$5)),S$7-SQRT((1-NORMSDIST(S$9*SQRT($C$11)*NORMSINV($B594)+SQRT(1-S$9^2*$C$11)*NORMSINV(R594)))*(S$7-S$5)*(S$7-S$6))))</f>
        <v>0.499142812048367</v>
      </c>
      <c r="T594" s="2" t="n">
        <v>0.582057242</v>
      </c>
      <c r="U594" s="2" t="n">
        <f aca="false">IF(U$7=U$5,U$6,IF(NORMSDIST(U$9*SQRT($C$11)*NORMSINV($B594)+SQRT(1-U$9^2*$C$11)*NORMSINV(T594))&lt;U$8,U$5+SQRT(NORMSDIST(U$9*SQRT($C$11)*NORMSINV($B594)+SQRT(1-U$9^2*$C$11)*NORMSINV(T594))*(U$7-U$5)*(U$6-U$5)),U$7-SQRT((1-NORMSDIST(U$9*SQRT($C$11)*NORMSINV($B594)+SQRT(1-U$9^2*$C$11)*NORMSINV(T594)))*(U$7-U$5)*(U$7-U$6))))</f>
        <v>0.448325647633575</v>
      </c>
      <c r="V594" s="2" t="n">
        <v>0.120128223</v>
      </c>
      <c r="W594" s="2" t="n">
        <f aca="false">IF(W$7=W$5,W$6,IF(NORMSDIST(W$9*SQRT($C$11)*NORMSINV($B594)+SQRT(1-W$9^2*$C$11)*NORMSINV(V594))&lt;W$8,W$5+SQRT(NORMSDIST(W$9*SQRT($C$11)*NORMSINV($B594)+SQRT(1-W$9^2*$C$11)*NORMSINV(V594))*(W$7-W$5)*(W$6-W$5)),W$7-SQRT((1-NORMSDIST(W$9*SQRT($C$11)*NORMSINV($B594)+SQRT(1-W$9^2*$C$11)*NORMSINV(V594)))*(W$7-W$5)*(W$7-W$6))))</f>
        <v>8.86579854645945</v>
      </c>
      <c r="X594" s="2" t="n">
        <v>0.152799727</v>
      </c>
      <c r="Y594" s="2" t="n">
        <f aca="false">IF(Y$7=Y$5,Y$6,IF(NORMSDIST(Y$9*SQRT($C$11)*NORMSINV($B594)+SQRT(1-Y$9^2*$C$11)*NORMSINV(X594))&lt;Y$8,Y$5+SQRT(NORMSDIST(Y$9*SQRT($C$11)*NORMSINV($B594)+SQRT(1-Y$9^2*$C$11)*NORMSINV(X594))*(Y$7-Y$5)*(Y$6-Y$5)),Y$7-SQRT((1-NORMSDIST(Y$9*SQRT($C$11)*NORMSINV($B594)+SQRT(1-Y$9^2*$C$11)*NORMSINV(X594)))*(Y$7-Y$5)*(Y$7-Y$6))))</f>
        <v>0.276405252301761</v>
      </c>
      <c r="Z594" s="2" t="n">
        <v>0.90907406</v>
      </c>
      <c r="AA594" s="2" t="n">
        <f aca="false">IF(AA$7=AA$5,AA$6,IF(NORMSDIST(AA$9*SQRT($C$11)*NORMSINV($B594)+SQRT(1-AA$9^2*$C$11)*NORMSINV(Z594))&lt;AA$8,AA$5+SQRT(NORMSDIST(AA$9*SQRT($C$11)*NORMSINV($B594)+SQRT(1-AA$9^2*$C$11)*NORMSINV(Z594))*(AA$7-AA$5)*(AA$6-AA$5)),AA$7-SQRT((1-NORMSDIST(AA$9*SQRT($C$11)*NORMSINV($B594)+SQRT(1-AA$9^2*$C$11)*NORMSINV(Z594)))*(AA$7-AA$5)*(AA$7-AA$6))))</f>
        <v>0.735385386689999</v>
      </c>
      <c r="AB594" s="2" t="n">
        <v>0.570064807</v>
      </c>
      <c r="AC594" s="2" t="n">
        <f aca="false">IF(AC$7=AC$5,AC$6,IF(NORMSDIST(AC$9*SQRT($C$11)*NORMSINV($B594)+SQRT(1-AC$9^2*$C$11)*NORMSINV(AB594))&lt;AC$8,AC$5+SQRT(NORMSDIST(AC$9*SQRT($C$11)*NORMSINV($B594)+SQRT(1-AC$9^2*$C$11)*NORMSINV(AB594))*(AC$7-AC$5)*(AC$6-AC$5)),AC$7-SQRT((1-NORMSDIST(AC$9*SQRT($C$11)*NORMSINV($B594)+SQRT(1-AC$9^2*$C$11)*NORMSINV(AB594)))*(AC$7-AC$5)*(AC$7-AC$6))))</f>
        <v>9.24232882892173</v>
      </c>
      <c r="AD594" s="2" t="n">
        <f aca="false">Entrées!$C$8*(1+E594)</f>
        <v>7411.62154981231</v>
      </c>
      <c r="AE594" s="2" t="n">
        <f aca="false">I594*Hypothèses!$J$24/12/Hypothèses!$J$19</f>
        <v>91.1461828191786</v>
      </c>
      <c r="AF594" s="2" t="n">
        <f aca="false">Entrées!$C$36*S594*1000</f>
        <v>249.571406024184</v>
      </c>
      <c r="AG594" s="2" t="n">
        <f aca="false">-AF594/W594</f>
        <v>-28.1499071647471</v>
      </c>
      <c r="AH594" s="2" t="n">
        <f aca="false">AD594+AE594+AG594</f>
        <v>7474.61782546674</v>
      </c>
      <c r="AI594" s="2" t="n">
        <f aca="false">Entrées!$C$16-M594+Hypothèses!$J$22*1000-AF594+Hypothèses!$J$23</f>
        <v>22908.6514287971</v>
      </c>
      <c r="AJ594" s="2" t="n">
        <f aca="false">AI594/AH594</f>
        <v>3.06485922942376</v>
      </c>
      <c r="AK594" s="2" t="n">
        <f aca="false">AI594/(AH594+I594*(12-Hypothèses!$J$24)/12/Hypothèses!$J$19)</f>
        <v>3.03839461112971</v>
      </c>
      <c r="AL594" s="2" t="n">
        <f aca="false">(AD594+AG594+I594/Hypothèses!$J$19)*(1+G594)</f>
        <v>7915.61660743849</v>
      </c>
      <c r="AM594" s="2" t="n">
        <f aca="false">Entrées!$C$54*K594/Hypothèses!$J$19</f>
        <v>16.9694828252231</v>
      </c>
      <c r="AN594" s="2" t="n">
        <f aca="false">Y594*1000/AC594</f>
        <v>29.9064507894173</v>
      </c>
      <c r="AO594" s="2" t="n">
        <f aca="false">(Entrées!$C$36*(1-S594)+MAX(0,Entrées!$C$30-Entrées!$C$35-Entrées!$C$36)*U594)*1000</f>
        <v>878.084500662822</v>
      </c>
      <c r="AP594" s="2" t="n">
        <f aca="false">-AO594/W594</f>
        <v>-99.0417835529868</v>
      </c>
      <c r="AQ594" s="2" t="n">
        <f aca="false">AL594+AM594+AN594+AP594</f>
        <v>7863.45075750014</v>
      </c>
      <c r="AR594" s="2" t="n">
        <f aca="false">O594*AQ594-Hypothèses!$J$25/Hypothèses!$J$19</f>
        <v>1375.79499820712</v>
      </c>
      <c r="AS594" s="2" t="n">
        <f aca="false">Entrées!$C$79*(1+Q594)+Hypothèses!$J$20</f>
        <v>1498.1861210122</v>
      </c>
      <c r="AT594" s="2" t="n">
        <f aca="false">AI594-AR594+AS594+Y594*1000-AO594+Hypothèses!$J$23</f>
        <v>22429.3633032412</v>
      </c>
      <c r="AU594" s="2" t="n">
        <f aca="false">AT594/AQ594</f>
        <v>2.85235629940813</v>
      </c>
      <c r="AV594" s="2" t="n">
        <f aca="false">Hypothèses!$J$26*AQ594-AT594</f>
        <v>1160.98896925926</v>
      </c>
      <c r="AW594" s="2" t="n">
        <f aca="false">IF(AC594&gt;Hypothèses!$J$26,MAX(0,AV594)/(1-Hypothèses!$J$26/AC594),0)</f>
        <v>1718.9485069947</v>
      </c>
      <c r="AX594" s="2" t="n">
        <f aca="false">AQ594-Entrées!$C$17*1000</f>
        <v>-136.54924249986</v>
      </c>
      <c r="AY594" s="2" t="n">
        <f aca="false">AI594+(Entrées!$C$244-Entrées!$C$13)</f>
        <v>28655.6514287971</v>
      </c>
      <c r="AZ594" s="2" t="n">
        <f aca="false">AA594*AH594</f>
        <v>5496.72471994082</v>
      </c>
      <c r="BA594" s="2" t="n">
        <f aca="false">AZ594/AY594</f>
        <v>0.191819918440834</v>
      </c>
      <c r="BB594" s="2" t="n">
        <f aca="false">AZ594/(Entrées!$C$151/100)-AY594</f>
        <v>1881.70812642966</v>
      </c>
      <c r="BC594" s="2" t="n">
        <f aca="false">AT594+(Entrées!$C$244-Entrées!$C$13)</f>
        <v>28176.3633032412</v>
      </c>
      <c r="BD594" s="2" t="n">
        <f aca="false">AA594*AQ594</f>
        <v>5782.66677602201</v>
      </c>
      <c r="BE594" s="2" t="n">
        <f aca="false">BD594/BC594</f>
        <v>0.205231126309222</v>
      </c>
      <c r="BF594" s="2" t="n">
        <f aca="false">BD594/(Entrées!$C$151/100)-BC594</f>
        <v>3949.56323021445</v>
      </c>
      <c r="BG594" s="2" t="n">
        <f aca="false">MIN(AV594,BF594)</f>
        <v>1160.98896925926</v>
      </c>
      <c r="BH594" s="2" t="n">
        <f aca="false">IF(AC594&gt;Hypothèses!$J$26,MAX(0,BG594)/(1-Hypothèses!$J$26/AC594),0)</f>
        <v>1718.9485069947</v>
      </c>
    </row>
    <row r="595" customFormat="false" ht="15" hidden="false" customHeight="false" outlineLevel="0" collapsed="false">
      <c r="A595" s="2" t="n">
        <v>580</v>
      </c>
      <c r="B595" s="2" t="n">
        <v>0.296518343</v>
      </c>
      <c r="C595" s="2"/>
      <c r="D595" s="2" t="n">
        <v>0.542860042</v>
      </c>
      <c r="E595" s="2" t="n">
        <f aca="false">IF(E$7=E$5,E$6,IF(NORMSDIST(E$9*SQRT($C$11)*NORMSINV($B595)+SQRT(1-E$9^2*$C$11)*NORMSINV(D595))&lt;E$8,E$5+SQRT(NORMSDIST(E$9*SQRT($C$11)*NORMSINV($B595)+SQRT(1-E$9^2*$C$11)*NORMSINV(D595))*(E$7-E$5)*(E$6-E$5)),E$7-SQRT((1-NORMSDIST(E$9*SQRT($C$11)*NORMSINV($B595)+SQRT(1-E$9^2*$C$11)*NORMSINV(D595)))*(E$7-E$5)*(E$7-E$6))))</f>
        <v>0.0544693625677965</v>
      </c>
      <c r="F595" s="2" t="n">
        <v>0.870097828</v>
      </c>
      <c r="G595" s="2" t="n">
        <f aca="false">IF(G$7=G$5,G$6,IF(NORMSDIST(G$9*SQRT($C$11)*NORMSINV($B595)+SQRT(1-G$9^2*$C$11)*NORMSINV(F595))&lt;G$8,G$5+SQRT(NORMSDIST(G$9*SQRT($C$11)*NORMSINV($B595)+SQRT(1-G$9^2*$C$11)*NORMSINV(F595))*(G$7-G$5)*(G$6-G$5)),G$7-SQRT((1-NORMSDIST(G$9*SQRT($C$11)*NORMSINV($B595)+SQRT(1-G$9^2*$C$11)*NORMSINV(F595)))*(G$7-G$5)*(G$7-G$6))))</f>
        <v>0.0584514070678342</v>
      </c>
      <c r="H595" s="2" t="n">
        <v>0.181799767</v>
      </c>
      <c r="I595" s="2" t="n">
        <f aca="false">IF(I$7=I$5,I$6,IF(NORMSDIST(I$9*SQRT($C$11)*NORMSINV($B595)+SQRT(1-I$9^2*$C$11)*NORMSINV(H595))&lt;I$8,I$5+SQRT(NORMSDIST(I$9*SQRT($C$11)*NORMSINV($B595)+SQRT(1-I$9^2*$C$11)*NORMSINV(H595))*(I$7-I$5)*(I$6-I$5)),I$7-SQRT((1-NORMSDIST(I$9*SQRT($C$11)*NORMSINV($B595)+SQRT(1-I$9^2*$C$11)*NORMSINV(H595)))*(I$7-I$5)*(I$7-I$6))))</f>
        <v>190.909197572631</v>
      </c>
      <c r="J595" s="2" t="n">
        <v>0.711146326</v>
      </c>
      <c r="K595" s="2" t="n">
        <f aca="false">IF(K$7=K$5,K$6,IF(NORMSDIST(K$9*SQRT($C$11)*NORMSINV($B595)+SQRT(1-K$9^2*$C$11)*NORMSINV(J595))&lt;K$8,K$5+SQRT(NORMSDIST(K$9*SQRT($C$11)*NORMSINV($B595)+SQRT(1-K$9^2*$C$11)*NORMSINV(J595))*(K$7-K$5)*(K$6-K$5)),K$7-SQRT((1-NORMSDIST(K$9*SQRT($C$11)*NORMSINV($B595)+SQRT(1-K$9^2*$C$11)*NORMSINV(J595)))*(K$7-K$5)*(K$7-K$6))))</f>
        <v>0.25946469345998</v>
      </c>
      <c r="L595" s="2" t="n">
        <v>0.06921522</v>
      </c>
      <c r="M595" s="2" t="n">
        <f aca="false">IF(M$7=M$5,M$6,IF(NORMSDIST(M$9*SQRT($C$11)*NORMSINV($B595)+SQRT(1-M$9^2*$C$11)*NORMSINV(L595))&lt;M$8,M$5+SQRT(NORMSDIST(M$9*SQRT($C$11)*NORMSINV($B595)+SQRT(1-M$9^2*$C$11)*NORMSINV(L595))*(M$7-M$5)*(M$6-M$5)),M$7-SQRT((1-NORMSDIST(M$9*SQRT($C$11)*NORMSINV($B595)+SQRT(1-M$9^2*$C$11)*NORMSINV(L595)))*(M$7-M$5)*(M$7-M$6))))</f>
        <v>1407.77058147114</v>
      </c>
      <c r="N595" s="2" t="n">
        <v>0.272397452</v>
      </c>
      <c r="O595" s="2" t="n">
        <f aca="false">IF(O$7=O$5,O$6,IF(NORMSDIST(O$9*SQRT($C$11)*NORMSINV($B595)+SQRT(1-O$9^2*$C$11)*NORMSINV(N595))&lt;O$8,O$5+SQRT(NORMSDIST(O$9*SQRT($C$11)*NORMSINV($B595)+SQRT(1-O$9^2*$C$11)*NORMSINV(N595))*(O$7-O$5)*(O$6-O$5)),O$7-SQRT((1-NORMSDIST(O$9*SQRT($C$11)*NORMSINV($B595)+SQRT(1-O$9^2*$C$11)*NORMSINV(N595)))*(O$7-O$5)*(O$7-O$6))))</f>
        <v>0.157350385037177</v>
      </c>
      <c r="P595" s="2" t="n">
        <v>0.255894585</v>
      </c>
      <c r="Q595" s="2" t="n">
        <f aca="false">IF(Q$7=Q$5,Q$6,IF(NORMSDIST(Q$9*SQRT($C$11)*NORMSINV($B595)+SQRT(1-Q$9^2*$C$11)*NORMSINV(P595))&lt;Q$8,Q$5+SQRT(NORMSDIST(Q$9*SQRT($C$11)*NORMSINV($B595)+SQRT(1-Q$9^2*$C$11)*NORMSINV(P595))*(Q$7-Q$5)*(Q$6-Q$5)),Q$7-SQRT((1-NORMSDIST(Q$9*SQRT($C$11)*NORMSINV($B595)+SQRT(1-Q$9^2*$C$11)*NORMSINV(P595)))*(Q$7-Q$5)*(Q$7-Q$6))))</f>
        <v>0.0686157766275878</v>
      </c>
      <c r="R595" s="2" t="n">
        <v>0.89114733</v>
      </c>
      <c r="S595" s="2" t="n">
        <f aca="false">IF(S$7=S$5,S$6,IF(NORMSDIST(S$9*SQRT($C$11)*NORMSINV($B595)+SQRT(1-S$9^2*$C$11)*NORMSINV(R595))&lt;S$8,S$5+SQRT(NORMSDIST(S$9*SQRT($C$11)*NORMSINV($B595)+SQRT(1-S$9^2*$C$11)*NORMSINV(R595))*(S$7-S$5)*(S$6-S$5)),S$7-SQRT((1-NORMSDIST(S$9*SQRT($C$11)*NORMSINV($B595)+SQRT(1-S$9^2*$C$11)*NORMSINV(R595)))*(S$7-S$5)*(S$7-S$6))))</f>
        <v>0.633473240002238</v>
      </c>
      <c r="T595" s="2" t="n">
        <v>0.067425198</v>
      </c>
      <c r="U595" s="2" t="n">
        <f aca="false">IF(U$7=U$5,U$6,IF(NORMSDIST(U$9*SQRT($C$11)*NORMSINV($B595)+SQRT(1-U$9^2*$C$11)*NORMSINV(T595))&lt;U$8,U$5+SQRT(NORMSDIST(U$9*SQRT($C$11)*NORMSINV($B595)+SQRT(1-U$9^2*$C$11)*NORMSINV(T595))*(U$7-U$5)*(U$6-U$5)),U$7-SQRT((1-NORMSDIST(U$9*SQRT($C$11)*NORMSINV($B595)+SQRT(1-U$9^2*$C$11)*NORMSINV(T595)))*(U$7-U$5)*(U$7-U$6))))</f>
        <v>0.183436491857579</v>
      </c>
      <c r="V595" s="2" t="n">
        <v>0.66053947</v>
      </c>
      <c r="W595" s="2" t="n">
        <f aca="false">IF(W$7=W$5,W$6,IF(NORMSDIST(W$9*SQRT($C$11)*NORMSINV($B595)+SQRT(1-W$9^2*$C$11)*NORMSINV(V595))&lt;W$8,W$5+SQRT(NORMSDIST(W$9*SQRT($C$11)*NORMSINV($B595)+SQRT(1-W$9^2*$C$11)*NORMSINV(V595))*(W$7-W$5)*(W$6-W$5)),W$7-SQRT((1-NORMSDIST(W$9*SQRT($C$11)*NORMSINV($B595)+SQRT(1-W$9^2*$C$11)*NORMSINV(V595)))*(W$7-W$5)*(W$7-W$6))))</f>
        <v>9.98608779014662</v>
      </c>
      <c r="X595" s="2" t="n">
        <v>0.747608666</v>
      </c>
      <c r="Y595" s="2" t="n">
        <f aca="false">IF(Y$7=Y$5,Y$6,IF(NORMSDIST(Y$9*SQRT($C$11)*NORMSINV($B595)+SQRT(1-Y$9^2*$C$11)*NORMSINV(X595))&lt;Y$8,Y$5+SQRT(NORMSDIST(Y$9*SQRT($C$11)*NORMSINV($B595)+SQRT(1-Y$9^2*$C$11)*NORMSINV(X595))*(Y$7-Y$5)*(Y$6-Y$5)),Y$7-SQRT((1-NORMSDIST(Y$9*SQRT($C$11)*NORMSINV($B595)+SQRT(1-Y$9^2*$C$11)*NORMSINV(X595)))*(Y$7-Y$5)*(Y$7-Y$6))))</f>
        <v>0.644759705269799</v>
      </c>
      <c r="Z595" s="2" t="n">
        <v>0.604797796</v>
      </c>
      <c r="AA595" s="2" t="n">
        <f aca="false">IF(AA$7=AA$5,AA$6,IF(NORMSDIST(AA$9*SQRT($C$11)*NORMSINV($B595)+SQRT(1-AA$9^2*$C$11)*NORMSINV(Z595))&lt;AA$8,AA$5+SQRT(NORMSDIST(AA$9*SQRT($C$11)*NORMSINV($B595)+SQRT(1-AA$9^2*$C$11)*NORMSINV(Z595))*(AA$7-AA$5)*(AA$6-AA$5)),AA$7-SQRT((1-NORMSDIST(AA$9*SQRT($C$11)*NORMSINV($B595)+SQRT(1-AA$9^2*$C$11)*NORMSINV(Z595)))*(AA$7-AA$5)*(AA$7-AA$6))))</f>
        <v>0.726283193814119</v>
      </c>
      <c r="AB595" s="2" t="n">
        <v>0.745307176</v>
      </c>
      <c r="AC595" s="2" t="n">
        <f aca="false">IF(AC$7=AC$5,AC$6,IF(NORMSDIST(AC$9*SQRT($C$11)*NORMSINV($B595)+SQRT(1-AC$9^2*$C$11)*NORMSINV(AB595))&lt;AC$8,AC$5+SQRT(NORMSDIST(AC$9*SQRT($C$11)*NORMSINV($B595)+SQRT(1-AC$9^2*$C$11)*NORMSINV(AB595))*(AC$7-AC$5)*(AC$6-AC$5)),AC$7-SQRT((1-NORMSDIST(AC$9*SQRT($C$11)*NORMSINV($B595)+SQRT(1-AC$9^2*$C$11)*NORMSINV(AB595)))*(AC$7-AC$5)*(AC$7-AC$6))))</f>
        <v>9.61665641713661</v>
      </c>
      <c r="AD595" s="2" t="n">
        <f aca="false">Entrées!$C$8*(1+E595)</f>
        <v>7434.00900610297</v>
      </c>
      <c r="AE595" s="2" t="n">
        <f aca="false">I595*Hypothèses!$J$24/12/Hypothèses!$J$19</f>
        <v>94.7094418871251</v>
      </c>
      <c r="AF595" s="2" t="n">
        <f aca="false">Entrées!$C$36*S595*1000</f>
        <v>316.736620001119</v>
      </c>
      <c r="AG595" s="2" t="n">
        <f aca="false">-AF595/W595</f>
        <v>-31.7177884530162</v>
      </c>
      <c r="AH595" s="2" t="n">
        <f aca="false">AD595+AE595+AG595</f>
        <v>7497.00065953707</v>
      </c>
      <c r="AI595" s="2" t="n">
        <f aca="false">Entrées!$C$16-M595+Hypothèses!$J$22*1000-AF595+Hypothèses!$J$23</f>
        <v>22823.4927985277</v>
      </c>
      <c r="AJ595" s="2" t="n">
        <f aca="false">AI595/AH595</f>
        <v>3.0443498453603</v>
      </c>
      <c r="AK595" s="2" t="n">
        <f aca="false">AI595/(AH595+I595*(12-Hypothèses!$J$24)/12/Hypothèses!$J$19)</f>
        <v>3.01712465367269</v>
      </c>
      <c r="AL595" s="2" t="n">
        <f aca="false">(AD595+AG595+I595/Hypothèses!$J$19)*(1+G595)</f>
        <v>8006.81471260981</v>
      </c>
      <c r="AM595" s="2" t="n">
        <f aca="false">Entrées!$C$54*K595/Hypothèses!$J$19</f>
        <v>26.4794613894387</v>
      </c>
      <c r="AN595" s="2" t="n">
        <f aca="false">Y595*1000/AC595</f>
        <v>67.0461413304582</v>
      </c>
      <c r="AO595" s="2" t="n">
        <f aca="false">(Entrées!$C$36*(1-S595)+MAX(0,Entrées!$C$30-Entrées!$C$35-Entrées!$C$36)*U595)*1000</f>
        <v>440.074468599492</v>
      </c>
      <c r="AP595" s="2" t="n">
        <f aca="false">-AO595/W595</f>
        <v>-44.0687562384258</v>
      </c>
      <c r="AQ595" s="2" t="n">
        <f aca="false">AL595+AM595+AN595+AP595</f>
        <v>8056.27155909128</v>
      </c>
      <c r="AR595" s="2" t="n">
        <f aca="false">O595*AQ595-Hypothèses!$J$25/Hypothèses!$J$19</f>
        <v>1248.52226952544</v>
      </c>
      <c r="AS595" s="2" t="n">
        <f aca="false">Entrées!$C$79*(1+Q595)+Hypothèses!$J$20</f>
        <v>1469.40873851372</v>
      </c>
      <c r="AT595" s="2" t="n">
        <f aca="false">AI595-AR595+AS595+Y595*1000-AO595+Hypothèses!$J$23</f>
        <v>23249.0645041863</v>
      </c>
      <c r="AU595" s="2" t="n">
        <f aca="false">AT595/AQ595</f>
        <v>2.88583426385999</v>
      </c>
      <c r="AV595" s="2" t="n">
        <f aca="false">Hypothèses!$J$26*AQ595-AT595</f>
        <v>919.750173087508</v>
      </c>
      <c r="AW595" s="2" t="n">
        <f aca="false">IF(AC595&gt;Hypothèses!$J$26,MAX(0,AV595)/(1-Hypothèses!$J$26/AC595),0)</f>
        <v>1336.76601089288</v>
      </c>
      <c r="AX595" s="2" t="n">
        <f aca="false">AQ595-Entrées!$C$17*1000</f>
        <v>56.2715590912794</v>
      </c>
      <c r="AY595" s="2" t="n">
        <f aca="false">AI595+(Entrées!$C$244-Entrées!$C$13)</f>
        <v>28570.4927985277</v>
      </c>
      <c r="AZ595" s="2" t="n">
        <f aca="false">AA595*AH595</f>
        <v>5444.94558303514</v>
      </c>
      <c r="BA595" s="2" t="n">
        <f aca="false">AZ595/AY595</f>
        <v>0.190579337270505</v>
      </c>
      <c r="BB595" s="2" t="n">
        <f aca="false">AZ595/(Entrées!$C$151/100)-AY595</f>
        <v>1679.20488500082</v>
      </c>
      <c r="BC595" s="2" t="n">
        <f aca="false">AT595+(Entrées!$C$244-Entrées!$C$13)</f>
        <v>28996.0645041863</v>
      </c>
      <c r="BD595" s="2" t="n">
        <f aca="false">AA595*AQ595</f>
        <v>5851.13463817066</v>
      </c>
      <c r="BE595" s="2" t="n">
        <f aca="false">BD595/BC595</f>
        <v>0.201790647738623</v>
      </c>
      <c r="BF595" s="2" t="n">
        <f aca="false">BD595/(Entrées!$C$151/100)-BC595</f>
        <v>3510.23904120625</v>
      </c>
      <c r="BG595" s="2" t="n">
        <f aca="false">MIN(AV595,BF595)</f>
        <v>919.750173087508</v>
      </c>
      <c r="BH595" s="2" t="n">
        <f aca="false">IF(AC595&gt;Hypothèses!$J$26,MAX(0,BG595)/(1-Hypothèses!$J$26/AC595),0)</f>
        <v>1336.76601089288</v>
      </c>
    </row>
    <row r="596" customFormat="false" ht="15" hidden="false" customHeight="false" outlineLevel="0" collapsed="false">
      <c r="A596" s="2" t="n">
        <v>581</v>
      </c>
      <c r="B596" s="2" t="n">
        <v>0.077590139</v>
      </c>
      <c r="C596" s="2"/>
      <c r="D596" s="2" t="n">
        <v>0.079797743</v>
      </c>
      <c r="E596" s="2" t="n">
        <f aca="false">IF(E$7=E$5,E$6,IF(NORMSDIST(E$9*SQRT($C$11)*NORMSINV($B596)+SQRT(1-E$9^2*$C$11)*NORMSINV(D596))&lt;E$8,E$5+SQRT(NORMSDIST(E$9*SQRT($C$11)*NORMSINV($B596)+SQRT(1-E$9^2*$C$11)*NORMSINV(D596))*(E$7-E$5)*(E$6-E$5)),E$7-SQRT((1-NORMSDIST(E$9*SQRT($C$11)*NORMSINV($B596)+SQRT(1-E$9^2*$C$11)*NORMSINV(D596)))*(E$7-E$5)*(E$7-E$6))))</f>
        <v>0.0510812447831824</v>
      </c>
      <c r="F596" s="2" t="n">
        <v>0.252131999</v>
      </c>
      <c r="G596" s="2" t="n">
        <f aca="false">IF(G$7=G$5,G$6,IF(NORMSDIST(G$9*SQRT($C$11)*NORMSINV($B596)+SQRT(1-G$9^2*$C$11)*NORMSINV(F596))&lt;G$8,G$5+SQRT(NORMSDIST(G$9*SQRT($C$11)*NORMSINV($B596)+SQRT(1-G$9^2*$C$11)*NORMSINV(F596))*(G$7-G$5)*(G$6-G$5)),G$7-SQRT((1-NORMSDIST(G$9*SQRT($C$11)*NORMSINV($B596)+SQRT(1-G$9^2*$C$11)*NORMSINV(F596)))*(G$7-G$5)*(G$7-G$6))))</f>
        <v>0.0459376321768409</v>
      </c>
      <c r="H596" s="2" t="n">
        <v>0.528800556</v>
      </c>
      <c r="I596" s="2" t="n">
        <f aca="false">IF(I$7=I$5,I$6,IF(NORMSDIST(I$9*SQRT($C$11)*NORMSINV($B596)+SQRT(1-I$9^2*$C$11)*NORMSINV(H596))&lt;I$8,I$5+SQRT(NORMSDIST(I$9*SQRT($C$11)*NORMSINV($B596)+SQRT(1-I$9^2*$C$11)*NORMSINV(H596))*(I$7-I$5)*(I$6-I$5)),I$7-SQRT((1-NORMSDIST(I$9*SQRT($C$11)*NORMSINV($B596)+SQRT(1-I$9^2*$C$11)*NORMSINV(H596)))*(I$7-I$5)*(I$7-I$6))))</f>
        <v>192.636482633934</v>
      </c>
      <c r="J596" s="2" t="n">
        <v>0.065167507</v>
      </c>
      <c r="K596" s="2" t="n">
        <f aca="false">IF(K$7=K$5,K$6,IF(NORMSDIST(K$9*SQRT($C$11)*NORMSINV($B596)+SQRT(1-K$9^2*$C$11)*NORMSINV(J596))&lt;K$8,K$5+SQRT(NORMSDIST(K$9*SQRT($C$11)*NORMSINV($B596)+SQRT(1-K$9^2*$C$11)*NORMSINV(J596))*(K$7-K$5)*(K$6-K$5)),K$7-SQRT((1-NORMSDIST(K$9*SQRT($C$11)*NORMSINV($B596)+SQRT(1-K$9^2*$C$11)*NORMSINV(J596)))*(K$7-K$5)*(K$7-K$6))))</f>
        <v>0.0489746995225362</v>
      </c>
      <c r="L596" s="2" t="n">
        <v>0.936084589</v>
      </c>
      <c r="M596" s="2" t="n">
        <f aca="false">IF(M$7=M$5,M$6,IF(NORMSDIST(M$9*SQRT($C$11)*NORMSINV($B596)+SQRT(1-M$9^2*$C$11)*NORMSINV(L596))&lt;M$8,M$5+SQRT(NORMSDIST(M$9*SQRT($C$11)*NORMSINV($B596)+SQRT(1-M$9^2*$C$11)*NORMSINV(L596))*(M$7-M$5)*(M$6-M$5)),M$7-SQRT((1-NORMSDIST(M$9*SQRT($C$11)*NORMSINV($B596)+SQRT(1-M$9^2*$C$11)*NORMSINV(L596)))*(M$7-M$5)*(M$7-M$6))))</f>
        <v>1614.95893215255</v>
      </c>
      <c r="N596" s="2" t="n">
        <v>0.110563784</v>
      </c>
      <c r="O596" s="2" t="n">
        <f aca="false">IF(O$7=O$5,O$6,IF(NORMSDIST(O$9*SQRT($C$11)*NORMSINV($B596)+SQRT(1-O$9^2*$C$11)*NORMSINV(N596))&lt;O$8,O$5+SQRT(NORMSDIST(O$9*SQRT($C$11)*NORMSINV($B596)+SQRT(1-O$9^2*$C$11)*NORMSINV(N596))*(O$7-O$5)*(O$6-O$5)),O$7-SQRT((1-NORMSDIST(O$9*SQRT($C$11)*NORMSINV($B596)+SQRT(1-O$9^2*$C$11)*NORMSINV(N596)))*(O$7-O$5)*(O$7-O$6))))</f>
        <v>0.146817247609242</v>
      </c>
      <c r="P596" s="2" t="n">
        <v>0.540138867</v>
      </c>
      <c r="Q596" s="2" t="n">
        <f aca="false">IF(Q$7=Q$5,Q$6,IF(NORMSDIST(Q$9*SQRT($C$11)*NORMSINV($B596)+SQRT(1-Q$9^2*$C$11)*NORMSINV(P596))&lt;Q$8,Q$5+SQRT(NORMSDIST(Q$9*SQRT($C$11)*NORMSINV($B596)+SQRT(1-Q$9^2*$C$11)*NORMSINV(P596))*(Q$7-Q$5)*(Q$6-Q$5)),Q$7-SQRT((1-NORMSDIST(Q$9*SQRT($C$11)*NORMSINV($B596)+SQRT(1-Q$9^2*$C$11)*NORMSINV(P596)))*(Q$7-Q$5)*(Q$7-Q$6))))</f>
        <v>0.0816391394048569</v>
      </c>
      <c r="R596" s="2" t="n">
        <v>0.783757739</v>
      </c>
      <c r="S596" s="2" t="n">
        <f aca="false">IF(S$7=S$5,S$6,IF(NORMSDIST(S$9*SQRT($C$11)*NORMSINV($B596)+SQRT(1-S$9^2*$C$11)*NORMSINV(R596))&lt;S$8,S$5+SQRT(NORMSDIST(S$9*SQRT($C$11)*NORMSINV($B596)+SQRT(1-S$9^2*$C$11)*NORMSINV(R596))*(S$7-S$5)*(S$6-S$5)),S$7-SQRT((1-NORMSDIST(S$9*SQRT($C$11)*NORMSINV($B596)+SQRT(1-S$9^2*$C$11)*NORMSINV(R596)))*(S$7-S$5)*(S$7-S$6))))</f>
        <v>0.439047893257052</v>
      </c>
      <c r="T596" s="2" t="n">
        <v>0.49544171</v>
      </c>
      <c r="U596" s="2" t="n">
        <f aca="false">IF(U$7=U$5,U$6,IF(NORMSDIST(U$9*SQRT($C$11)*NORMSINV($B596)+SQRT(1-U$9^2*$C$11)*NORMSINV(T596))&lt;U$8,U$5+SQRT(NORMSDIST(U$9*SQRT($C$11)*NORMSINV($B596)+SQRT(1-U$9^2*$C$11)*NORMSINV(T596))*(U$7-U$5)*(U$6-U$5)),U$7-SQRT((1-NORMSDIST(U$9*SQRT($C$11)*NORMSINV($B596)+SQRT(1-U$9^2*$C$11)*NORMSINV(T596)))*(U$7-U$5)*(U$7-U$6))))</f>
        <v>0.301640716302783</v>
      </c>
      <c r="V596" s="2" t="n">
        <v>0.829405844</v>
      </c>
      <c r="W596" s="2" t="n">
        <f aca="false">IF(W$7=W$5,W$6,IF(NORMSDIST(W$9*SQRT($C$11)*NORMSINV($B596)+SQRT(1-W$9^2*$C$11)*NORMSINV(V596))&lt;W$8,W$5+SQRT(NORMSDIST(W$9*SQRT($C$11)*NORMSINV($B596)+SQRT(1-W$9^2*$C$11)*NORMSINV(V596))*(W$7-W$5)*(W$6-W$5)),W$7-SQRT((1-NORMSDIST(W$9*SQRT($C$11)*NORMSINV($B596)+SQRT(1-W$9^2*$C$11)*NORMSINV(V596)))*(W$7-W$5)*(W$7-W$6))))</f>
        <v>9.86709483162118</v>
      </c>
      <c r="X596" s="2" t="n">
        <v>0.718503321</v>
      </c>
      <c r="Y596" s="2" t="n">
        <f aca="false">IF(Y$7=Y$5,Y$6,IF(NORMSDIST(Y$9*SQRT($C$11)*NORMSINV($B596)+SQRT(1-Y$9^2*$C$11)*NORMSINV(X596))&lt;Y$8,Y$5+SQRT(NORMSDIST(Y$9*SQRT($C$11)*NORMSINV($B596)+SQRT(1-Y$9^2*$C$11)*NORMSINV(X596))*(Y$7-Y$5)*(Y$6-Y$5)),Y$7-SQRT((1-NORMSDIST(Y$9*SQRT($C$11)*NORMSINV($B596)+SQRT(1-Y$9^2*$C$11)*NORMSINV(X596)))*(Y$7-Y$5)*(Y$7-Y$6))))</f>
        <v>0.624835583377101</v>
      </c>
      <c r="Z596" s="2" t="n">
        <v>0.106293203</v>
      </c>
      <c r="AA596" s="2" t="n">
        <f aca="false">IF(AA$7=AA$5,AA$6,IF(NORMSDIST(AA$9*SQRT($C$11)*NORMSINV($B596)+SQRT(1-AA$9^2*$C$11)*NORMSINV(Z596))&lt;AA$8,AA$5+SQRT(NORMSDIST(AA$9*SQRT($C$11)*NORMSINV($B596)+SQRT(1-AA$9^2*$C$11)*NORMSINV(Z596))*(AA$7-AA$5)*(AA$6-AA$5)),AA$7-SQRT((1-NORMSDIST(AA$9*SQRT($C$11)*NORMSINV($B596)+SQRT(1-AA$9^2*$C$11)*NORMSINV(Z596)))*(AA$7-AA$5)*(AA$7-AA$6))))</f>
        <v>0.703485560650266</v>
      </c>
      <c r="AB596" s="2" t="n">
        <v>0.820723165</v>
      </c>
      <c r="AC596" s="2" t="n">
        <f aca="false">IF(AC$7=AC$5,AC$6,IF(NORMSDIST(AC$9*SQRT($C$11)*NORMSINV($B596)+SQRT(1-AC$9^2*$C$11)*NORMSINV(AB596))&lt;AC$8,AC$5+SQRT(NORMSDIST(AC$9*SQRT($C$11)*NORMSINV($B596)+SQRT(1-AC$9^2*$C$11)*NORMSINV(AB596))*(AC$7-AC$5)*(AC$6-AC$5)),AC$7-SQRT((1-NORMSDIST(AC$9*SQRT($C$11)*NORMSINV($B596)+SQRT(1-AC$9^2*$C$11)*NORMSINV(AB596)))*(AC$7-AC$5)*(AC$7-AC$6))))</f>
        <v>9.317375439215</v>
      </c>
      <c r="AD596" s="2" t="n">
        <f aca="false">Entrées!$C$8*(1+E596)</f>
        <v>7410.12277572144</v>
      </c>
      <c r="AE596" s="2" t="n">
        <f aca="false">I596*Hypothèses!$J$24/12/Hypothèses!$J$19</f>
        <v>95.5663424776465</v>
      </c>
      <c r="AF596" s="2" t="n">
        <f aca="false">Entrées!$C$36*S596*1000</f>
        <v>219.523946628526</v>
      </c>
      <c r="AG596" s="2" t="n">
        <f aca="false">-AF596/W596</f>
        <v>-22.2480831870608</v>
      </c>
      <c r="AH596" s="2" t="n">
        <f aca="false">AD596+AE596+AG596</f>
        <v>7483.44103501202</v>
      </c>
      <c r="AI596" s="2" t="n">
        <f aca="false">Entrées!$C$16-M596+Hypothèses!$J$22*1000-AF596+Hypothèses!$J$23</f>
        <v>22713.5171212189</v>
      </c>
      <c r="AJ596" s="2" t="n">
        <f aca="false">AI596/AH596</f>
        <v>3.0351701864091</v>
      </c>
      <c r="AK596" s="2" t="n">
        <f aca="false">AI596/(AH596+I596*(12-Hypothèses!$J$24)/12/Hypothèses!$J$19)</f>
        <v>3.00773454661085</v>
      </c>
      <c r="AL596" s="2" t="n">
        <f aca="false">(AD596+AG596+I596/Hypothèses!$J$19)*(1+G596)</f>
        <v>7898.61004952896</v>
      </c>
      <c r="AM596" s="2" t="n">
        <f aca="false">Entrées!$C$54*K596/Hypothèses!$J$19</f>
        <v>4.9980737177499</v>
      </c>
      <c r="AN596" s="2" t="n">
        <f aca="false">Y596*1000/AC596</f>
        <v>67.0613293897433</v>
      </c>
      <c r="AO596" s="2" t="n">
        <f aca="false">(Entrées!$C$36*(1-S596)+MAX(0,Entrées!$C$30-Entrées!$C$35-Entrées!$C$36)*U596)*1000</f>
        <v>702.77305619537</v>
      </c>
      <c r="AP596" s="2" t="n">
        <f aca="false">-AO596/W596</f>
        <v>-71.2239081703346</v>
      </c>
      <c r="AQ596" s="2" t="n">
        <f aca="false">AL596+AM596+AN596+AP596</f>
        <v>7899.44554446612</v>
      </c>
      <c r="AR596" s="2" t="n">
        <f aca="false">O596*AQ596-Hypothèses!$J$25/Hypothèses!$J$19</f>
        <v>1140.63969021598</v>
      </c>
      <c r="AS596" s="2" t="n">
        <f aca="false">Entrées!$C$79*(1+Q596)+Hypothèses!$J$20</f>
        <v>1483.72141420594</v>
      </c>
      <c r="AT596" s="2" t="n">
        <f aca="false">AI596-AR596+AS596+Y596*1000-AO596+Hypothèses!$J$23</f>
        <v>22978.6613723906</v>
      </c>
      <c r="AU596" s="2" t="n">
        <f aca="false">AT596/AQ596</f>
        <v>2.9088954715927</v>
      </c>
      <c r="AV596" s="2" t="n">
        <f aca="false">Hypothèses!$J$26*AQ596-AT596</f>
        <v>719.675261007742</v>
      </c>
      <c r="AW596" s="2" t="n">
        <f aca="false">IF(AC596&gt;Hypothèses!$J$26,MAX(0,AV596)/(1-Hypothèses!$J$26/AC596),0)</f>
        <v>1061.43519023739</v>
      </c>
      <c r="AX596" s="2" t="n">
        <f aca="false">AQ596-Entrées!$C$17*1000</f>
        <v>-100.554455533882</v>
      </c>
      <c r="AY596" s="2" t="n">
        <f aca="false">AI596+(Entrées!$C$244-Entrées!$C$13)</f>
        <v>28460.5171212189</v>
      </c>
      <c r="AZ596" s="2" t="n">
        <f aca="false">AA596*AH596</f>
        <v>5264.49271210864</v>
      </c>
      <c r="BA596" s="2" t="n">
        <f aca="false">AZ596/AY596</f>
        <v>0.184975300683615</v>
      </c>
      <c r="BB596" s="2" t="n">
        <f aca="false">AZ596/(Entrées!$C$151/100)-AY596</f>
        <v>786.664612717945</v>
      </c>
      <c r="BC596" s="2" t="n">
        <f aca="false">AT596+(Entrées!$C$244-Entrées!$C$13)</f>
        <v>28725.6613723906</v>
      </c>
      <c r="BD596" s="2" t="n">
        <f aca="false">AA596*AQ596</f>
        <v>5557.14587767499</v>
      </c>
      <c r="BE596" s="2" t="n">
        <f aca="false">BD596/BC596</f>
        <v>0.193455802657905</v>
      </c>
      <c r="BF596" s="2" t="n">
        <f aca="false">BD596/(Entrées!$C$151/100)-BC596</f>
        <v>2147.37128135933</v>
      </c>
      <c r="BG596" s="2" t="n">
        <f aca="false">MIN(AV596,BF596)</f>
        <v>719.675261007742</v>
      </c>
      <c r="BH596" s="2" t="n">
        <f aca="false">IF(AC596&gt;Hypothèses!$J$26,MAX(0,BG596)/(1-Hypothèses!$J$26/AC596),0)</f>
        <v>1061.43519023739</v>
      </c>
    </row>
    <row r="597" customFormat="false" ht="15" hidden="false" customHeight="false" outlineLevel="0" collapsed="false">
      <c r="A597" s="2" t="n">
        <v>582</v>
      </c>
      <c r="B597" s="2" t="n">
        <v>0.228213835</v>
      </c>
      <c r="C597" s="2"/>
      <c r="D597" s="2" t="n">
        <v>0.451545866</v>
      </c>
      <c r="E597" s="2" t="n">
        <f aca="false">IF(E$7=E$5,E$6,IF(NORMSDIST(E$9*SQRT($C$11)*NORMSINV($B597)+SQRT(1-E$9^2*$C$11)*NORMSINV(D597))&lt;E$8,E$5+SQRT(NORMSDIST(E$9*SQRT($C$11)*NORMSINV($B597)+SQRT(1-E$9^2*$C$11)*NORMSINV(D597))*(E$7-E$5)*(E$6-E$5)),E$7-SQRT((1-NORMSDIST(E$9*SQRT($C$11)*NORMSINV($B597)+SQRT(1-E$9^2*$C$11)*NORMSINV(D597)))*(E$7-E$5)*(E$7-E$6))))</f>
        <v>0.0537810392682409</v>
      </c>
      <c r="F597" s="2" t="n">
        <v>0.757444285</v>
      </c>
      <c r="G597" s="2" t="n">
        <f aca="false">IF(G$7=G$5,G$6,IF(NORMSDIST(G$9*SQRT($C$11)*NORMSINV($B597)+SQRT(1-G$9^2*$C$11)*NORMSINV(F597))&lt;G$8,G$5+SQRT(NORMSDIST(G$9*SQRT($C$11)*NORMSINV($B597)+SQRT(1-G$9^2*$C$11)*NORMSINV(F597))*(G$7-G$5)*(G$6-G$5)),G$7-SQRT((1-NORMSDIST(G$9*SQRT($C$11)*NORMSINV($B597)+SQRT(1-G$9^2*$C$11)*NORMSINV(F597)))*(G$7-G$5)*(G$7-G$6))))</f>
        <v>0.0554229199062828</v>
      </c>
      <c r="H597" s="2" t="n">
        <v>0.539471293</v>
      </c>
      <c r="I597" s="2" t="n">
        <f aca="false">IF(I$7=I$5,I$6,IF(NORMSDIST(I$9*SQRT($C$11)*NORMSINV($B597)+SQRT(1-I$9^2*$C$11)*NORMSINV(H597))&lt;I$8,I$5+SQRT(NORMSDIST(I$9*SQRT($C$11)*NORMSINV($B597)+SQRT(1-I$9^2*$C$11)*NORMSINV(H597))*(I$7-I$5)*(I$6-I$5)),I$7-SQRT((1-NORMSDIST(I$9*SQRT($C$11)*NORMSINV($B597)+SQRT(1-I$9^2*$C$11)*NORMSINV(H597)))*(I$7-I$5)*(I$7-I$6))))</f>
        <v>196.654066056482</v>
      </c>
      <c r="J597" s="2" t="n">
        <v>0.566065471</v>
      </c>
      <c r="K597" s="2" t="n">
        <f aca="false">IF(K$7=K$5,K$6,IF(NORMSDIST(K$9*SQRT($C$11)*NORMSINV($B597)+SQRT(1-K$9^2*$C$11)*NORMSINV(J597))&lt;K$8,K$5+SQRT(NORMSDIST(K$9*SQRT($C$11)*NORMSINV($B597)+SQRT(1-K$9^2*$C$11)*NORMSINV(J597))*(K$7-K$5)*(K$6-K$5)),K$7-SQRT((1-NORMSDIST(K$9*SQRT($C$11)*NORMSINV($B597)+SQRT(1-K$9^2*$C$11)*NORMSINV(J597)))*(K$7-K$5)*(K$7-K$6))))</f>
        <v>0.213927288128039</v>
      </c>
      <c r="L597" s="2" t="n">
        <v>0.155802789</v>
      </c>
      <c r="M597" s="2" t="n">
        <f aca="false">IF(M$7=M$5,M$6,IF(NORMSDIST(M$9*SQRT($C$11)*NORMSINV($B597)+SQRT(1-M$9^2*$C$11)*NORMSINV(L597))&lt;M$8,M$5+SQRT(NORMSDIST(M$9*SQRT($C$11)*NORMSINV($B597)+SQRT(1-M$9^2*$C$11)*NORMSINV(L597))*(M$7-M$5)*(M$6-M$5)),M$7-SQRT((1-NORMSDIST(M$9*SQRT($C$11)*NORMSINV($B597)+SQRT(1-M$9^2*$C$11)*NORMSINV(L597)))*(M$7-M$5)*(M$7-M$6))))</f>
        <v>1432.35982983979</v>
      </c>
      <c r="N597" s="2" t="n">
        <v>0.814057172</v>
      </c>
      <c r="O597" s="2" t="n">
        <f aca="false">IF(O$7=O$5,O$6,IF(NORMSDIST(O$9*SQRT($C$11)*NORMSINV($B597)+SQRT(1-O$9^2*$C$11)*NORMSINV(N597))&lt;O$8,O$5+SQRT(NORMSDIST(O$9*SQRT($C$11)*NORMSINV($B597)+SQRT(1-O$9^2*$C$11)*NORMSINV(N597))*(O$7-O$5)*(O$6-O$5)),O$7-SQRT((1-NORMSDIST(O$9*SQRT($C$11)*NORMSINV($B597)+SQRT(1-O$9^2*$C$11)*NORMSINV(N597)))*(O$7-O$5)*(O$7-O$6))))</f>
        <v>0.169033865546617</v>
      </c>
      <c r="P597" s="2" t="n">
        <v>0.959366422</v>
      </c>
      <c r="Q597" s="2" t="n">
        <f aca="false">IF(Q$7=Q$5,Q$6,IF(NORMSDIST(Q$9*SQRT($C$11)*NORMSINV($B597)+SQRT(1-Q$9^2*$C$11)*NORMSINV(P597))&lt;Q$8,Q$5+SQRT(NORMSDIST(Q$9*SQRT($C$11)*NORMSINV($B597)+SQRT(1-Q$9^2*$C$11)*NORMSINV(P597))*(Q$7-Q$5)*(Q$6-Q$5)),Q$7-SQRT((1-NORMSDIST(Q$9*SQRT($C$11)*NORMSINV($B597)+SQRT(1-Q$9^2*$C$11)*NORMSINV(P597)))*(Q$7-Q$5)*(Q$7-Q$6))))</f>
        <v>0.108597042067954</v>
      </c>
      <c r="R597" s="2" t="n">
        <v>0.672229615</v>
      </c>
      <c r="S597" s="2" t="n">
        <f aca="false">IF(S$7=S$5,S$6,IF(NORMSDIST(S$9*SQRT($C$11)*NORMSINV($B597)+SQRT(1-S$9^2*$C$11)*NORMSINV(R597))&lt;S$8,S$5+SQRT(NORMSDIST(S$9*SQRT($C$11)*NORMSINV($B597)+SQRT(1-S$9^2*$C$11)*NORMSINV(R597))*(S$7-S$5)*(S$6-S$5)),S$7-SQRT((1-NORMSDIST(S$9*SQRT($C$11)*NORMSINV($B597)+SQRT(1-S$9^2*$C$11)*NORMSINV(R597)))*(S$7-S$5)*(S$7-S$6))))</f>
        <v>0.474378319199681</v>
      </c>
      <c r="T597" s="2" t="n">
        <v>0.151918362</v>
      </c>
      <c r="U597" s="2" t="n">
        <f aca="false">IF(U$7=U$5,U$6,IF(NORMSDIST(U$9*SQRT($C$11)*NORMSINV($B597)+SQRT(1-U$9^2*$C$11)*NORMSINV(T597))&lt;U$8,U$5+SQRT(NORMSDIST(U$9*SQRT($C$11)*NORMSINV($B597)+SQRT(1-U$9^2*$C$11)*NORMSINV(T597))*(U$7-U$5)*(U$6-U$5)),U$7-SQRT((1-NORMSDIST(U$9*SQRT($C$11)*NORMSINV($B597)+SQRT(1-U$9^2*$C$11)*NORMSINV(T597)))*(U$7-U$5)*(U$7-U$6))))</f>
        <v>0.226374079140707</v>
      </c>
      <c r="V597" s="2" t="n">
        <v>0.413596641</v>
      </c>
      <c r="W597" s="2" t="n">
        <f aca="false">IF(W$7=W$5,W$6,IF(NORMSDIST(W$9*SQRT($C$11)*NORMSINV($B597)+SQRT(1-W$9^2*$C$11)*NORMSINV(V597))&lt;W$8,W$5+SQRT(NORMSDIST(W$9*SQRT($C$11)*NORMSINV($B597)+SQRT(1-W$9^2*$C$11)*NORMSINV(V597))*(W$7-W$5)*(W$6-W$5)),W$7-SQRT((1-NORMSDIST(W$9*SQRT($C$11)*NORMSINV($B597)+SQRT(1-W$9^2*$C$11)*NORMSINV(V597)))*(W$7-W$5)*(W$7-W$6))))</f>
        <v>9.44512876921595</v>
      </c>
      <c r="X597" s="2" t="n">
        <v>0.041809147</v>
      </c>
      <c r="Y597" s="2" t="n">
        <f aca="false">IF(Y$7=Y$5,Y$6,IF(NORMSDIST(Y$9*SQRT($C$11)*NORMSINV($B597)+SQRT(1-Y$9^2*$C$11)*NORMSINV(X597))&lt;Y$8,Y$5+SQRT(NORMSDIST(Y$9*SQRT($C$11)*NORMSINV($B597)+SQRT(1-Y$9^2*$C$11)*NORMSINV(X597))*(Y$7-Y$5)*(Y$6-Y$5)),Y$7-SQRT((1-NORMSDIST(Y$9*SQRT($C$11)*NORMSINV($B597)+SQRT(1-Y$9^2*$C$11)*NORMSINV(X597)))*(Y$7-Y$5)*(Y$7-Y$6))))</f>
        <v>0.144584139863264</v>
      </c>
      <c r="Z597" s="2" t="n">
        <v>0.207718988</v>
      </c>
      <c r="AA597" s="2" t="n">
        <f aca="false">IF(AA$7=AA$5,AA$6,IF(NORMSDIST(AA$9*SQRT($C$11)*NORMSINV($B597)+SQRT(1-AA$9^2*$C$11)*NORMSINV(Z597))&lt;AA$8,AA$5+SQRT(NORMSDIST(AA$9*SQRT($C$11)*NORMSINV($B597)+SQRT(1-AA$9^2*$C$11)*NORMSINV(Z597))*(AA$7-AA$5)*(AA$6-AA$5)),AA$7-SQRT((1-NORMSDIST(AA$9*SQRT($C$11)*NORMSINV($B597)+SQRT(1-AA$9^2*$C$11)*NORMSINV(Z597)))*(AA$7-AA$5)*(AA$7-AA$6))))</f>
        <v>0.71234434152538</v>
      </c>
      <c r="AB597" s="2" t="n">
        <v>0.029101283</v>
      </c>
      <c r="AC597" s="2" t="n">
        <f aca="false">IF(AC$7=AC$5,AC$6,IF(NORMSDIST(AC$9*SQRT($C$11)*NORMSINV($B597)+SQRT(1-AC$9^2*$C$11)*NORMSINV(AB597))&lt;AC$8,AC$5+SQRT(NORMSDIST(AC$9*SQRT($C$11)*NORMSINV($B597)+SQRT(1-AC$9^2*$C$11)*NORMSINV(AB597))*(AC$7-AC$5)*(AC$6-AC$5)),AC$7-SQRT((1-NORMSDIST(AC$9*SQRT($C$11)*NORMSINV($B597)+SQRT(1-AC$9^2*$C$11)*NORMSINV(AB597)))*(AC$7-AC$5)*(AC$7-AC$6))))</f>
        <v>7.87666484749155</v>
      </c>
      <c r="AD597" s="2" t="n">
        <f aca="false">Entrées!$C$8*(1+E597)</f>
        <v>7429.1563268411</v>
      </c>
      <c r="AE597" s="2" t="n">
        <f aca="false">I597*Hypothèses!$J$24/12/Hypothèses!$J$19</f>
        <v>97.5594527547965</v>
      </c>
      <c r="AF597" s="2" t="n">
        <f aca="false">Entrées!$C$36*S597*1000</f>
        <v>237.189159599841</v>
      </c>
      <c r="AG597" s="2" t="n">
        <f aca="false">-AF597/W597</f>
        <v>-25.1123267236864</v>
      </c>
      <c r="AH597" s="2" t="n">
        <f aca="false">AD597+AE597+AG597</f>
        <v>7501.60345287221</v>
      </c>
      <c r="AI597" s="2" t="n">
        <f aca="false">Entrées!$C$16-M597+Hypothèses!$J$22*1000-AF597+Hypothèses!$J$23</f>
        <v>22878.4510105604</v>
      </c>
      <c r="AJ597" s="2" t="n">
        <f aca="false">AI597/AH597</f>
        <v>3.04980810493264</v>
      </c>
      <c r="AK597" s="2" t="n">
        <f aca="false">AI597/(AH597+I597*(12-Hypothèses!$J$24)/12/Hypothèses!$J$19)</f>
        <v>3.02173800083689</v>
      </c>
      <c r="AL597" s="2" t="n">
        <f aca="false">(AD597+AG597+I597/Hypothèses!$J$19)*(1+G597)</f>
        <v>7990.91170770296</v>
      </c>
      <c r="AM597" s="2" t="n">
        <f aca="false">Entrées!$C$54*K597/Hypothèses!$J$19</f>
        <v>21.8321779761047</v>
      </c>
      <c r="AN597" s="2" t="n">
        <f aca="false">Y597*1000/AC597</f>
        <v>18.3560101467704</v>
      </c>
      <c r="AO597" s="2" t="n">
        <f aca="false">(Entrées!$C$36*(1-S597)+MAX(0,Entrées!$C$30-Entrées!$C$35-Entrées!$C$36)*U597)*1000</f>
        <v>579.734551197149</v>
      </c>
      <c r="AP597" s="2" t="n">
        <f aca="false">-AO597/W597</f>
        <v>-61.3792109522794</v>
      </c>
      <c r="AQ597" s="2" t="n">
        <f aca="false">AL597+AM597+AN597+AP597</f>
        <v>7969.72068487355</v>
      </c>
      <c r="AR597" s="2" t="n">
        <f aca="false">O597*AQ597-Hypothèses!$J$25/Hypothèses!$J$19</f>
        <v>1328.01753242938</v>
      </c>
      <c r="AS597" s="2" t="n">
        <f aca="false">Entrées!$C$79*(1+Q597)+Hypothèses!$J$20</f>
        <v>1513.34814923268</v>
      </c>
      <c r="AT597" s="2" t="n">
        <f aca="false">AI597-AR597+AS597+Y597*1000-AO597+Hypothèses!$J$23</f>
        <v>22628.6312160298</v>
      </c>
      <c r="AU597" s="2" t="n">
        <f aca="false">AT597/AQ597</f>
        <v>2.83932550597146</v>
      </c>
      <c r="AV597" s="2" t="n">
        <f aca="false">Hypothèses!$J$26*AQ597-AT597</f>
        <v>1280.53083859088</v>
      </c>
      <c r="AW597" s="2" t="n">
        <f aca="false">IF(AC597&gt;Hypothèses!$J$26,MAX(0,AV597)/(1-Hypothèses!$J$26/AC597),0)</f>
        <v>2068.28079392124</v>
      </c>
      <c r="AX597" s="2" t="n">
        <f aca="false">AQ597-Entrées!$C$17*1000</f>
        <v>-30.2793151264459</v>
      </c>
      <c r="AY597" s="2" t="n">
        <f aca="false">AI597+(Entrées!$C$244-Entrées!$C$13)</f>
        <v>28625.4510105604</v>
      </c>
      <c r="AZ597" s="2" t="n">
        <f aca="false">AA597*AH597</f>
        <v>5343.72477202077</v>
      </c>
      <c r="BA597" s="2" t="n">
        <f aca="false">AZ597/AY597</f>
        <v>0.186677400123736</v>
      </c>
      <c r="BB597" s="2" t="n">
        <f aca="false">AZ597/(Entrées!$C$151/100)-AY597</f>
        <v>1061.90883399949</v>
      </c>
      <c r="BC597" s="2" t="n">
        <f aca="false">AT597+(Entrées!$C$244-Entrées!$C$13)</f>
        <v>28375.6312160298</v>
      </c>
      <c r="BD597" s="2" t="n">
        <f aca="false">AA597*AQ597</f>
        <v>5677.18543340746</v>
      </c>
      <c r="BE597" s="2" t="n">
        <f aca="false">BD597/BC597</f>
        <v>0.200072568965456</v>
      </c>
      <c r="BF597" s="2" t="n">
        <f aca="false">BD597/(Entrées!$C$151/100)-BC597</f>
        <v>3164.28785845608</v>
      </c>
      <c r="BG597" s="2" t="n">
        <f aca="false">MIN(AV597,BF597)</f>
        <v>1280.53083859088</v>
      </c>
      <c r="BH597" s="2" t="n">
        <f aca="false">IF(AC597&gt;Hypothèses!$J$26,MAX(0,BG597)/(1-Hypothèses!$J$26/AC597),0)</f>
        <v>2068.28079392124</v>
      </c>
    </row>
    <row r="598" customFormat="false" ht="15" hidden="false" customHeight="false" outlineLevel="0" collapsed="false">
      <c r="A598" s="2" t="n">
        <v>583</v>
      </c>
      <c r="B598" s="2" t="n">
        <v>0.007853794</v>
      </c>
      <c r="C598" s="2"/>
      <c r="D598" s="2" t="n">
        <v>0.45243048</v>
      </c>
      <c r="E598" s="2" t="n">
        <f aca="false">IF(E$7=E$5,E$6,IF(NORMSDIST(E$9*SQRT($C$11)*NORMSINV($B598)+SQRT(1-E$9^2*$C$11)*NORMSINV(D598))&lt;E$8,E$5+SQRT(NORMSDIST(E$9*SQRT($C$11)*NORMSINV($B598)+SQRT(1-E$9^2*$C$11)*NORMSINV(D598))*(E$7-E$5)*(E$6-E$5)),E$7-SQRT((1-NORMSDIST(E$9*SQRT($C$11)*NORMSINV($B598)+SQRT(1-E$9^2*$C$11)*NORMSINV(D598)))*(E$7-E$5)*(E$7-E$6))))</f>
        <v>0.0516213687780293</v>
      </c>
      <c r="F598" s="2" t="n">
        <v>0.954323271</v>
      </c>
      <c r="G598" s="2" t="n">
        <f aca="false">IF(G$7=G$5,G$6,IF(NORMSDIST(G$9*SQRT($C$11)*NORMSINV($B598)+SQRT(1-G$9^2*$C$11)*NORMSINV(F598))&lt;G$8,G$5+SQRT(NORMSDIST(G$9*SQRT($C$11)*NORMSINV($B598)+SQRT(1-G$9^2*$C$11)*NORMSINV(F598))*(G$7-G$5)*(G$6-G$5)),G$7-SQRT((1-NORMSDIST(G$9*SQRT($C$11)*NORMSINV($B598)+SQRT(1-G$9^2*$C$11)*NORMSINV(F598)))*(G$7-G$5)*(G$7-G$6))))</f>
        <v>0.0536314094399828</v>
      </c>
      <c r="H598" s="2" t="n">
        <v>0.941820394</v>
      </c>
      <c r="I598" s="2" t="n">
        <f aca="false">IF(I$7=I$5,I$6,IF(NORMSDIST(I$9*SQRT($C$11)*NORMSINV($B598)+SQRT(1-I$9^2*$C$11)*NORMSINV(H598))&lt;I$8,I$5+SQRT(NORMSDIST(I$9*SQRT($C$11)*NORMSINV($B598)+SQRT(1-I$9^2*$C$11)*NORMSINV(H598))*(I$7-I$5)*(I$6-I$5)),I$7-SQRT((1-NORMSDIST(I$9*SQRT($C$11)*NORMSINV($B598)+SQRT(1-I$9^2*$C$11)*NORMSINV(H598)))*(I$7-I$5)*(I$7-I$6))))</f>
        <v>197.383144886769</v>
      </c>
      <c r="J598" s="2" t="n">
        <v>0.649583209</v>
      </c>
      <c r="K598" s="2" t="n">
        <f aca="false">IF(K$7=K$5,K$6,IF(NORMSDIST(K$9*SQRT($C$11)*NORMSINV($B598)+SQRT(1-K$9^2*$C$11)*NORMSINV(J598))&lt;K$8,K$5+SQRT(NORMSDIST(K$9*SQRT($C$11)*NORMSINV($B598)+SQRT(1-K$9^2*$C$11)*NORMSINV(J598))*(K$7-K$5)*(K$6-K$5)),K$7-SQRT((1-NORMSDIST(K$9*SQRT($C$11)*NORMSINV($B598)+SQRT(1-K$9^2*$C$11)*NORMSINV(J598)))*(K$7-K$5)*(K$7-K$6))))</f>
        <v>0.116893810725764</v>
      </c>
      <c r="L598" s="2" t="n">
        <v>0.263315687</v>
      </c>
      <c r="M598" s="2" t="n">
        <f aca="false">IF(M$7=M$5,M$6,IF(NORMSDIST(M$9*SQRT($C$11)*NORMSINV($B598)+SQRT(1-M$9^2*$C$11)*NORMSINV(L598))&lt;M$8,M$5+SQRT(NORMSDIST(M$9*SQRT($C$11)*NORMSINV($B598)+SQRT(1-M$9^2*$C$11)*NORMSINV(L598))*(M$7-M$5)*(M$6-M$5)),M$7-SQRT((1-NORMSDIST(M$9*SQRT($C$11)*NORMSINV($B598)+SQRT(1-M$9^2*$C$11)*NORMSINV(L598)))*(M$7-M$5)*(M$7-M$6))))</f>
        <v>1362.0930808896</v>
      </c>
      <c r="N598" s="2" t="n">
        <v>0.787453864</v>
      </c>
      <c r="O598" s="2" t="n">
        <f aca="false">IF(O$7=O$5,O$6,IF(NORMSDIST(O$9*SQRT($C$11)*NORMSINV($B598)+SQRT(1-O$9^2*$C$11)*NORMSINV(N598))&lt;O$8,O$5+SQRT(NORMSDIST(O$9*SQRT($C$11)*NORMSINV($B598)+SQRT(1-O$9^2*$C$11)*NORMSINV(N598))*(O$7-O$5)*(O$6-O$5)),O$7-SQRT((1-NORMSDIST(O$9*SQRT($C$11)*NORMSINV($B598)+SQRT(1-O$9^2*$C$11)*NORMSINV(N598)))*(O$7-O$5)*(O$7-O$6))))</f>
        <v>0.156134128079932</v>
      </c>
      <c r="P598" s="2" t="n">
        <v>0.882140816</v>
      </c>
      <c r="Q598" s="2" t="n">
        <f aca="false">IF(Q$7=Q$5,Q$6,IF(NORMSDIST(Q$9*SQRT($C$11)*NORMSINV($B598)+SQRT(1-Q$9^2*$C$11)*NORMSINV(P598))&lt;Q$8,Q$5+SQRT(NORMSDIST(Q$9*SQRT($C$11)*NORMSINV($B598)+SQRT(1-Q$9^2*$C$11)*NORMSINV(P598))*(Q$7-Q$5)*(Q$6-Q$5)),Q$7-SQRT((1-NORMSDIST(Q$9*SQRT($C$11)*NORMSINV($B598)+SQRT(1-Q$9^2*$C$11)*NORMSINV(P598)))*(Q$7-Q$5)*(Q$7-Q$6))))</f>
        <v>0.100579665584754</v>
      </c>
      <c r="R598" s="2" t="n">
        <v>0.31346186</v>
      </c>
      <c r="S598" s="2" t="n">
        <f aca="false">IF(S$7=S$5,S$6,IF(NORMSDIST(S$9*SQRT($C$11)*NORMSINV($B598)+SQRT(1-S$9^2*$C$11)*NORMSINV(R598))&lt;S$8,S$5+SQRT(NORMSDIST(S$9*SQRT($C$11)*NORMSINV($B598)+SQRT(1-S$9^2*$C$11)*NORMSINV(R598))*(S$7-S$5)*(S$6-S$5)),S$7-SQRT((1-NORMSDIST(S$9*SQRT($C$11)*NORMSINV($B598)+SQRT(1-S$9^2*$C$11)*NORMSINV(R598)))*(S$7-S$5)*(S$7-S$6))))</f>
        <v>0.119240213245304</v>
      </c>
      <c r="T598" s="2" t="n">
        <v>0.579313534</v>
      </c>
      <c r="U598" s="2" t="n">
        <f aca="false">IF(U$7=U$5,U$6,IF(NORMSDIST(U$9*SQRT($C$11)*NORMSINV($B598)+SQRT(1-U$9^2*$C$11)*NORMSINV(T598))&lt;U$8,U$5+SQRT(NORMSDIST(U$9*SQRT($C$11)*NORMSINV($B598)+SQRT(1-U$9^2*$C$11)*NORMSINV(T598))*(U$7-U$5)*(U$6-U$5)),U$7-SQRT((1-NORMSDIST(U$9*SQRT($C$11)*NORMSINV($B598)+SQRT(1-U$9^2*$C$11)*NORMSINV(T598)))*(U$7-U$5)*(U$7-U$6))))</f>
        <v>0.20605055632357</v>
      </c>
      <c r="V598" s="2" t="n">
        <v>0.534818406</v>
      </c>
      <c r="W598" s="2" t="n">
        <f aca="false">IF(W$7=W$5,W$6,IF(NORMSDIST(W$9*SQRT($C$11)*NORMSINV($B598)+SQRT(1-W$9^2*$C$11)*NORMSINV(V598))&lt;W$8,W$5+SQRT(NORMSDIST(W$9*SQRT($C$11)*NORMSINV($B598)+SQRT(1-W$9^2*$C$11)*NORMSINV(V598))*(W$7-W$5)*(W$6-W$5)),W$7-SQRT((1-NORMSDIST(W$9*SQRT($C$11)*NORMSINV($B598)+SQRT(1-W$9^2*$C$11)*NORMSINV(V598)))*(W$7-W$5)*(W$7-W$6))))</f>
        <v>8.75964234608437</v>
      </c>
      <c r="X598" s="2" t="n">
        <v>0.487149645</v>
      </c>
      <c r="Y598" s="2" t="n">
        <f aca="false">IF(Y$7=Y$5,Y$6,IF(NORMSDIST(Y$9*SQRT($C$11)*NORMSINV($B598)+SQRT(1-Y$9^2*$C$11)*NORMSINV(X598))&lt;Y$8,Y$5+SQRT(NORMSDIST(Y$9*SQRT($C$11)*NORMSINV($B598)+SQRT(1-Y$9^2*$C$11)*NORMSINV(X598))*(Y$7-Y$5)*(Y$6-Y$5)),Y$7-SQRT((1-NORMSDIST(Y$9*SQRT($C$11)*NORMSINV($B598)+SQRT(1-Y$9^2*$C$11)*NORMSINV(X598)))*(Y$7-Y$5)*(Y$7-Y$6))))</f>
        <v>0.493533000416386</v>
      </c>
      <c r="Z598" s="2" t="n">
        <v>0.839555652</v>
      </c>
      <c r="AA598" s="2" t="n">
        <f aca="false">IF(AA$7=AA$5,AA$6,IF(NORMSDIST(AA$9*SQRT($C$11)*NORMSINV($B598)+SQRT(1-AA$9^2*$C$11)*NORMSINV(Z598))&lt;AA$8,AA$5+SQRT(NORMSDIST(AA$9*SQRT($C$11)*NORMSINV($B598)+SQRT(1-AA$9^2*$C$11)*NORMSINV(Z598))*(AA$7-AA$5)*(AA$6-AA$5)),AA$7-SQRT((1-NORMSDIST(AA$9*SQRT($C$11)*NORMSINV($B598)+SQRT(1-AA$9^2*$C$11)*NORMSINV(Z598)))*(AA$7-AA$5)*(AA$7-AA$6))))</f>
        <v>0.717225686941887</v>
      </c>
      <c r="AB598" s="2" t="n">
        <v>0.972608584</v>
      </c>
      <c r="AC598" s="2" t="n">
        <f aca="false">IF(AC$7=AC$5,AC$6,IF(NORMSDIST(AC$9*SQRT($C$11)*NORMSINV($B598)+SQRT(1-AC$9^2*$C$11)*NORMSINV(AB598))&lt;AC$8,AC$5+SQRT(NORMSDIST(AC$9*SQRT($C$11)*NORMSINV($B598)+SQRT(1-AC$9^2*$C$11)*NORMSINV(AB598))*(AC$7-AC$5)*(AC$6-AC$5)),AC$7-SQRT((1-NORMSDIST(AC$9*SQRT($C$11)*NORMSINV($B598)+SQRT(1-AC$9^2*$C$11)*NORMSINV(AB598)))*(AC$7-AC$5)*(AC$7-AC$6))))</f>
        <v>9.44495054437071</v>
      </c>
      <c r="AD598" s="2" t="n">
        <f aca="false">Entrées!$C$8*(1+E598)</f>
        <v>7413.93064988511</v>
      </c>
      <c r="AE598" s="2" t="n">
        <f aca="false">I598*Hypothèses!$J$24/12/Hypothèses!$J$19</f>
        <v>97.9211464289943</v>
      </c>
      <c r="AF598" s="2" t="n">
        <f aca="false">Entrées!$C$36*S598*1000</f>
        <v>59.620106622652</v>
      </c>
      <c r="AG598" s="2" t="n">
        <f aca="false">-AF598/W598</f>
        <v>-6.80622612968926</v>
      </c>
      <c r="AH598" s="2" t="n">
        <f aca="false">AD598+AE598+AG598</f>
        <v>7505.04557018441</v>
      </c>
      <c r="AI598" s="2" t="n">
        <f aca="false">Entrées!$C$16-M598+Hypothèses!$J$22*1000-AF598+Hypothèses!$J$23</f>
        <v>23126.2868124877</v>
      </c>
      <c r="AJ598" s="2" t="n">
        <f aca="false">AI598/AH598</f>
        <v>3.08143189754403</v>
      </c>
      <c r="AK598" s="2" t="n">
        <f aca="false">AI598/(AH598+I598*(12-Hypothèses!$J$24)/12/Hypothèses!$J$19)</f>
        <v>3.05297949090468</v>
      </c>
      <c r="AL598" s="2" t="n">
        <f aca="false">(AD598+AG598+I598/Hypothèses!$J$19)*(1+G598)</f>
        <v>7981.24659597182</v>
      </c>
      <c r="AM598" s="2" t="n">
        <f aca="false">Entrées!$C$54*K598/Hypothèses!$J$19</f>
        <v>11.9295041899588</v>
      </c>
      <c r="AN598" s="2" t="n">
        <f aca="false">Y598*1000/AC598</f>
        <v>52.2536352199892</v>
      </c>
      <c r="AO598" s="2" t="n">
        <f aca="false">(Entrées!$C$36*(1-S598)+MAX(0,Entrées!$C$30-Entrées!$C$35-Entrées!$C$36)*U598)*1000</f>
        <v>728.850672230346</v>
      </c>
      <c r="AP598" s="2" t="n">
        <f aca="false">-AO598/W598</f>
        <v>-83.2055286545059</v>
      </c>
      <c r="AQ598" s="2" t="n">
        <f aca="false">AL598+AM598+AN598+AP598</f>
        <v>7962.22420672726</v>
      </c>
      <c r="AR598" s="2" t="n">
        <f aca="false">O598*AQ598-Hypothèses!$J$25/Hypothèses!$J$19</f>
        <v>1224.03977183267</v>
      </c>
      <c r="AS598" s="2" t="n">
        <f aca="false">Entrées!$C$79*(1+Q598)+Hypothèses!$J$20</f>
        <v>1504.53705247764</v>
      </c>
      <c r="AT598" s="2" t="n">
        <f aca="false">AI598-AR598+AS598+Y598*1000-AO598+Hypothèses!$J$23</f>
        <v>23171.4664213188</v>
      </c>
      <c r="AU598" s="2" t="n">
        <f aca="false">AT598/AQ598</f>
        <v>2.91017507416348</v>
      </c>
      <c r="AV598" s="2" t="n">
        <f aca="false">Hypothèses!$J$26*AQ598-AT598</f>
        <v>715.206198863012</v>
      </c>
      <c r="AW598" s="2" t="n">
        <f aca="false">IF(AC598&gt;Hypothèses!$J$26,MAX(0,AV598)/(1-Hypothèses!$J$26/AC598),0)</f>
        <v>1048.12087087134</v>
      </c>
      <c r="AX598" s="2" t="n">
        <f aca="false">AQ598-Entrées!$C$17*1000</f>
        <v>-37.7757932727409</v>
      </c>
      <c r="AY598" s="2" t="n">
        <f aca="false">AI598+(Entrées!$C$244-Entrées!$C$13)</f>
        <v>28873.2868124877</v>
      </c>
      <c r="AZ598" s="2" t="n">
        <f aca="false">AA598*AH598</f>
        <v>5382.81146460568</v>
      </c>
      <c r="BA598" s="2" t="n">
        <f aca="false">AZ598/AY598</f>
        <v>0.186428774097087</v>
      </c>
      <c r="BB598" s="2" t="n">
        <f aca="false">AZ598/(Entrées!$C$151/100)-AY598</f>
        <v>1031.22132421046</v>
      </c>
      <c r="BC598" s="2" t="n">
        <f aca="false">AT598+(Entrées!$C$244-Entrées!$C$13)</f>
        <v>28918.4664213188</v>
      </c>
      <c r="BD598" s="2" t="n">
        <f aca="false">AA598*AQ598</f>
        <v>5710.71172625528</v>
      </c>
      <c r="BE598" s="2" t="n">
        <f aca="false">BD598/BC598</f>
        <v>0.197476299159672</v>
      </c>
      <c r="BF598" s="2" t="n">
        <f aca="false">BD598/(Entrées!$C$151/100)-BC598</f>
        <v>2807.70983565499</v>
      </c>
      <c r="BG598" s="2" t="n">
        <f aca="false">MIN(AV598,BF598)</f>
        <v>715.206198863012</v>
      </c>
      <c r="BH598" s="2" t="n">
        <f aca="false">IF(AC598&gt;Hypothèses!$J$26,MAX(0,BG598)/(1-Hypothèses!$J$26/AC598),0)</f>
        <v>1048.12087087134</v>
      </c>
    </row>
    <row r="599" customFormat="false" ht="15" hidden="false" customHeight="false" outlineLevel="0" collapsed="false">
      <c r="A599" s="2" t="n">
        <v>584</v>
      </c>
      <c r="B599" s="2" t="n">
        <v>0.342873943</v>
      </c>
      <c r="C599" s="2"/>
      <c r="D599" s="2" t="n">
        <v>0.503693247</v>
      </c>
      <c r="E599" s="2" t="n">
        <f aca="false">IF(E$7=E$5,E$6,IF(NORMSDIST(E$9*SQRT($C$11)*NORMSINV($B599)+SQRT(1-E$9^2*$C$11)*NORMSINV(D599))&lt;E$8,E$5+SQRT(NORMSDIST(E$9*SQRT($C$11)*NORMSINV($B599)+SQRT(1-E$9^2*$C$11)*NORMSINV(D599))*(E$7-E$5)*(E$6-E$5)),E$7-SQRT((1-NORMSDIST(E$9*SQRT($C$11)*NORMSINV($B599)+SQRT(1-E$9^2*$C$11)*NORMSINV(D599)))*(E$7-E$5)*(E$7-E$6))))</f>
        <v>0.0544820788563762</v>
      </c>
      <c r="F599" s="2" t="n">
        <v>0.228990935</v>
      </c>
      <c r="G599" s="2" t="n">
        <f aca="false">IF(G$7=G$5,G$6,IF(NORMSDIST(G$9*SQRT($C$11)*NORMSINV($B599)+SQRT(1-G$9^2*$C$11)*NORMSINV(F599))&lt;G$8,G$5+SQRT(NORMSDIST(G$9*SQRT($C$11)*NORMSINV($B599)+SQRT(1-G$9^2*$C$11)*NORMSINV(F599))*(G$7-G$5)*(G$6-G$5)),G$7-SQRT((1-NORMSDIST(G$9*SQRT($C$11)*NORMSINV($B599)+SQRT(1-G$9^2*$C$11)*NORMSINV(F599)))*(G$7-G$5)*(G$7-G$6))))</f>
        <v>0.0495587559311322</v>
      </c>
      <c r="H599" s="2" t="n">
        <v>0.688693401</v>
      </c>
      <c r="I599" s="2" t="n">
        <f aca="false">IF(I$7=I$5,I$6,IF(NORMSDIST(I$9*SQRT($C$11)*NORMSINV($B599)+SQRT(1-I$9^2*$C$11)*NORMSINV(H599))&lt;I$8,I$5+SQRT(NORMSDIST(I$9*SQRT($C$11)*NORMSINV($B599)+SQRT(1-I$9^2*$C$11)*NORMSINV(H599))*(I$7-I$5)*(I$6-I$5)),I$7-SQRT((1-NORMSDIST(I$9*SQRT($C$11)*NORMSINV($B599)+SQRT(1-I$9^2*$C$11)*NORMSINV(H599)))*(I$7-I$5)*(I$7-I$6))))</f>
        <v>201.023369066687</v>
      </c>
      <c r="J599" s="2" t="n">
        <v>0.529070708</v>
      </c>
      <c r="K599" s="2" t="n">
        <f aca="false">IF(K$7=K$5,K$6,IF(NORMSDIST(K$9*SQRT($C$11)*NORMSINV($B599)+SQRT(1-K$9^2*$C$11)*NORMSINV(J599))&lt;K$8,K$5+SQRT(NORMSDIST(K$9*SQRT($C$11)*NORMSINV($B599)+SQRT(1-K$9^2*$C$11)*NORMSINV(J599))*(K$7-K$5)*(K$6-K$5)),K$7-SQRT((1-NORMSDIST(K$9*SQRT($C$11)*NORMSINV($B599)+SQRT(1-K$9^2*$C$11)*NORMSINV(J599)))*(K$7-K$5)*(K$7-K$6))))</f>
        <v>0.229392711915572</v>
      </c>
      <c r="L599" s="2" t="n">
        <v>0.60982629</v>
      </c>
      <c r="M599" s="2" t="n">
        <f aca="false">IF(M$7=M$5,M$6,IF(NORMSDIST(M$9*SQRT($C$11)*NORMSINV($B599)+SQRT(1-M$9^2*$C$11)*NORMSINV(L599))&lt;M$8,M$5+SQRT(NORMSDIST(M$9*SQRT($C$11)*NORMSINV($B599)+SQRT(1-M$9^2*$C$11)*NORMSINV(L599))*(M$7-M$5)*(M$6-M$5)),M$7-SQRT((1-NORMSDIST(M$9*SQRT($C$11)*NORMSINV($B599)+SQRT(1-M$9^2*$C$11)*NORMSINV(L599)))*(M$7-M$5)*(M$7-M$6))))</f>
        <v>1580.82440035878</v>
      </c>
      <c r="N599" s="2" t="n">
        <v>0.222247554</v>
      </c>
      <c r="O599" s="2" t="n">
        <f aca="false">IF(O$7=O$5,O$6,IF(NORMSDIST(O$9*SQRT($C$11)*NORMSINV($B599)+SQRT(1-O$9^2*$C$11)*NORMSINV(N599))&lt;O$8,O$5+SQRT(NORMSDIST(O$9*SQRT($C$11)*NORMSINV($B599)+SQRT(1-O$9^2*$C$11)*NORMSINV(N599))*(O$7-O$5)*(O$6-O$5)),O$7-SQRT((1-NORMSDIST(O$9*SQRT($C$11)*NORMSINV($B599)+SQRT(1-O$9^2*$C$11)*NORMSINV(N599)))*(O$7-O$5)*(O$7-O$6))))</f>
        <v>0.156862185044904</v>
      </c>
      <c r="P599" s="2" t="n">
        <v>0.392027565</v>
      </c>
      <c r="Q599" s="2" t="n">
        <f aca="false">IF(Q$7=Q$5,Q$6,IF(NORMSDIST(Q$9*SQRT($C$11)*NORMSINV($B599)+SQRT(1-Q$9^2*$C$11)*NORMSINV(P599))&lt;Q$8,Q$5+SQRT(NORMSDIST(Q$9*SQRT($C$11)*NORMSINV($B599)+SQRT(1-Q$9^2*$C$11)*NORMSINV(P599))*(Q$7-Q$5)*(Q$6-Q$5)),Q$7-SQRT((1-NORMSDIST(Q$9*SQRT($C$11)*NORMSINV($B599)+SQRT(1-Q$9^2*$C$11)*NORMSINV(P599)))*(Q$7-Q$5)*(Q$7-Q$6))))</f>
        <v>0.0754187550317625</v>
      </c>
      <c r="R599" s="2" t="n">
        <v>0.376775707</v>
      </c>
      <c r="S599" s="2" t="n">
        <f aca="false">IF(S$7=S$5,S$6,IF(NORMSDIST(S$9*SQRT($C$11)*NORMSINV($B599)+SQRT(1-S$9^2*$C$11)*NORMSINV(R599))&lt;S$8,S$5+SQRT(NORMSDIST(S$9*SQRT($C$11)*NORMSINV($B599)+SQRT(1-S$9^2*$C$11)*NORMSINV(R599))*(S$7-S$5)*(S$6-S$5)),S$7-SQRT((1-NORMSDIST(S$9*SQRT($C$11)*NORMSINV($B599)+SQRT(1-S$9^2*$C$11)*NORMSINV(R599)))*(S$7-S$5)*(S$7-S$6))))</f>
        <v>0.392971355353964</v>
      </c>
      <c r="T599" s="2" t="n">
        <v>0.787075641</v>
      </c>
      <c r="U599" s="2" t="n">
        <f aca="false">IF(U$7=U$5,U$6,IF(NORMSDIST(U$9*SQRT($C$11)*NORMSINV($B599)+SQRT(1-U$9^2*$C$11)*NORMSINV(T599))&lt;U$8,U$5+SQRT(NORMSDIST(U$9*SQRT($C$11)*NORMSINV($B599)+SQRT(1-U$9^2*$C$11)*NORMSINV(T599))*(U$7-U$5)*(U$6-U$5)),U$7-SQRT((1-NORMSDIST(U$9*SQRT($C$11)*NORMSINV($B599)+SQRT(1-U$9^2*$C$11)*NORMSINV(T599)))*(U$7-U$5)*(U$7-U$6))))</f>
        <v>0.576276719112933</v>
      </c>
      <c r="V599" s="2" t="n">
        <v>0.093492364</v>
      </c>
      <c r="W599" s="2" t="n">
        <f aca="false">IF(W$7=W$5,W$6,IF(NORMSDIST(W$9*SQRT($C$11)*NORMSINV($B599)+SQRT(1-W$9^2*$C$11)*NORMSINV(V599))&lt;W$8,W$5+SQRT(NORMSDIST(W$9*SQRT($C$11)*NORMSINV($B599)+SQRT(1-W$9^2*$C$11)*NORMSINV(V599))*(W$7-W$5)*(W$6-W$5)),W$7-SQRT((1-NORMSDIST(W$9*SQRT($C$11)*NORMSINV($B599)+SQRT(1-W$9^2*$C$11)*NORMSINV(V599)))*(W$7-W$5)*(W$7-W$6))))</f>
        <v>8.89719129712335</v>
      </c>
      <c r="X599" s="2" t="n">
        <v>0.869944879</v>
      </c>
      <c r="Y599" s="2" t="n">
        <f aca="false">IF(Y$7=Y$5,Y$6,IF(NORMSDIST(Y$9*SQRT($C$11)*NORMSINV($B599)+SQRT(1-Y$9^2*$C$11)*NORMSINV(X599))&lt;Y$8,Y$5+SQRT(NORMSDIST(Y$9*SQRT($C$11)*NORMSINV($B599)+SQRT(1-Y$9^2*$C$11)*NORMSINV(X599))*(Y$7-Y$5)*(Y$6-Y$5)),Y$7-SQRT((1-NORMSDIST(Y$9*SQRT($C$11)*NORMSINV($B599)+SQRT(1-Y$9^2*$C$11)*NORMSINV(X599)))*(Y$7-Y$5)*(Y$7-Y$6))))</f>
        <v>0.744994979461188</v>
      </c>
      <c r="Z599" s="2" t="n">
        <v>0.467194602</v>
      </c>
      <c r="AA599" s="2" t="n">
        <f aca="false">IF(AA$7=AA$5,AA$6,IF(NORMSDIST(AA$9*SQRT($C$11)*NORMSINV($B599)+SQRT(1-AA$9^2*$C$11)*NORMSINV(Z599))&lt;AA$8,AA$5+SQRT(NORMSDIST(AA$9*SQRT($C$11)*NORMSINV($B599)+SQRT(1-AA$9^2*$C$11)*NORMSINV(Z599))*(AA$7-AA$5)*(AA$6-AA$5)),AA$7-SQRT((1-NORMSDIST(AA$9*SQRT($C$11)*NORMSINV($B599)+SQRT(1-AA$9^2*$C$11)*NORMSINV(Z599)))*(AA$7-AA$5)*(AA$7-AA$6))))</f>
        <v>0.723651180170272</v>
      </c>
      <c r="AB599" s="2" t="n">
        <v>0.877530336</v>
      </c>
      <c r="AC599" s="2" t="n">
        <f aca="false">IF(AC$7=AC$5,AC$6,IF(NORMSDIST(AC$9*SQRT($C$11)*NORMSINV($B599)+SQRT(1-AC$9^2*$C$11)*NORMSINV(AB599))&lt;AC$8,AC$5+SQRT(NORMSDIST(AC$9*SQRT($C$11)*NORMSINV($B599)+SQRT(1-AC$9^2*$C$11)*NORMSINV(AB599))*(AC$7-AC$5)*(AC$6-AC$5)),AC$7-SQRT((1-NORMSDIST(AC$9*SQRT($C$11)*NORMSINV($B599)+SQRT(1-AC$9^2*$C$11)*NORMSINV(AB599)))*(AC$7-AC$5)*(AC$7-AC$6))))</f>
        <v>9.94110693908114</v>
      </c>
      <c r="AD599" s="2" t="n">
        <f aca="false">Entrées!$C$8*(1+E599)</f>
        <v>7434.09865593745</v>
      </c>
      <c r="AE599" s="2" t="n">
        <f aca="false">I599*Hypothèses!$J$24/12/Hypothèses!$J$19</f>
        <v>99.7270499936608</v>
      </c>
      <c r="AF599" s="2" t="n">
        <f aca="false">Entrées!$C$36*S599*1000</f>
        <v>196.485677676982</v>
      </c>
      <c r="AG599" s="2" t="n">
        <f aca="false">-AF599/W599</f>
        <v>-22.0840118094921</v>
      </c>
      <c r="AH599" s="2" t="n">
        <f aca="false">AD599+AE599+AG599</f>
        <v>7511.74169412162</v>
      </c>
      <c r="AI599" s="2" t="n">
        <f aca="false">Entrées!$C$16-M599+Hypothèses!$J$22*1000-AF599+Hypothèses!$J$23</f>
        <v>22770.6899219642</v>
      </c>
      <c r="AJ599" s="2" t="n">
        <f aca="false">AI599/AH599</f>
        <v>3.03134623755549</v>
      </c>
      <c r="AK599" s="2" t="n">
        <f aca="false">AI599/(AH599+I599*(12-Hypothèses!$J$24)/12/Hypothèses!$J$19)</f>
        <v>3.00287011592676</v>
      </c>
      <c r="AL599" s="2" t="n">
        <f aca="false">(AD599+AG599+I599/Hypothèses!$J$19)*(1+G599)</f>
        <v>7958.7781234469</v>
      </c>
      <c r="AM599" s="2" t="n">
        <f aca="false">Entrées!$C$54*K599/Hypothèses!$J$19</f>
        <v>23.4104894087408</v>
      </c>
      <c r="AN599" s="2" t="n">
        <f aca="false">Y599*1000/AC599</f>
        <v>74.9408475360439</v>
      </c>
      <c r="AO599" s="2" t="n">
        <f aca="false">(Entrées!$C$36*(1-S599)+MAX(0,Entrées!$C$30-Entrées!$C$35-Entrées!$C$36)*U599)*1000</f>
        <v>1110.30172908112</v>
      </c>
      <c r="AP599" s="2" t="n">
        <f aca="false">-AO599/W599</f>
        <v>-124.792385821817</v>
      </c>
      <c r="AQ599" s="2" t="n">
        <f aca="false">AL599+AM599+AN599+AP599</f>
        <v>7932.33707456986</v>
      </c>
      <c r="AR599" s="2" t="n">
        <f aca="false">O599*AQ599-Hypothèses!$J$25/Hypothèses!$J$19</f>
        <v>1225.1485637681</v>
      </c>
      <c r="AS599" s="2" t="n">
        <f aca="false">Entrées!$C$79*(1+Q599)+Hypothèses!$J$20</f>
        <v>1476.88521177991</v>
      </c>
      <c r="AT599" s="2" t="n">
        <f aca="false">AI599-AR599+AS599+Y599*1000-AO599+Hypothèses!$J$23</f>
        <v>22657.1198203561</v>
      </c>
      <c r="AU599" s="2" t="n">
        <f aca="false">AT599/AQ599</f>
        <v>2.85629816375204</v>
      </c>
      <c r="AV599" s="2" t="n">
        <f aca="false">Hypothèses!$J$26*AQ599-AT599</f>
        <v>1139.89140335349</v>
      </c>
      <c r="AW599" s="2" t="n">
        <f aca="false">IF(AC599&gt;Hypothèses!$J$26,MAX(0,AV599)/(1-Hypothèses!$J$26/AC599),0)</f>
        <v>1632.56126711921</v>
      </c>
      <c r="AX599" s="2" t="n">
        <f aca="false">AQ599-Entrées!$C$17*1000</f>
        <v>-67.6629254301361</v>
      </c>
      <c r="AY599" s="2" t="n">
        <f aca="false">AI599+(Entrées!$C$244-Entrées!$C$13)</f>
        <v>28517.6899219642</v>
      </c>
      <c r="AZ599" s="2" t="n">
        <f aca="false">AA599*AH599</f>
        <v>5435.88074208535</v>
      </c>
      <c r="BA599" s="2" t="n">
        <f aca="false">AZ599/AY599</f>
        <v>0.19061434348154</v>
      </c>
      <c r="BB599" s="2" t="n">
        <f aca="false">AZ599/(Entrées!$C$151/100)-AY599</f>
        <v>1681.64753406549</v>
      </c>
      <c r="BC599" s="2" t="n">
        <f aca="false">AT599+(Entrées!$C$244-Entrées!$C$13)</f>
        <v>28404.1198203561</v>
      </c>
      <c r="BD599" s="2" t="n">
        <f aca="false">AA599*AQ599</f>
        <v>5740.24508552089</v>
      </c>
      <c r="BE599" s="2" t="n">
        <f aca="false">BD599/BC599</f>
        <v>0.202091989536218</v>
      </c>
      <c r="BF599" s="2" t="n">
        <f aca="false">BD599/(Entrées!$C$151/100)-BC599</f>
        <v>3486.13065475993</v>
      </c>
      <c r="BG599" s="2" t="n">
        <f aca="false">MIN(AV599,BF599)</f>
        <v>1139.89140335349</v>
      </c>
      <c r="BH599" s="2" t="n">
        <f aca="false">IF(AC599&gt;Hypothèses!$J$26,MAX(0,BG599)/(1-Hypothèses!$J$26/AC599),0)</f>
        <v>1632.56126711921</v>
      </c>
    </row>
    <row r="600" customFormat="false" ht="15" hidden="false" customHeight="false" outlineLevel="0" collapsed="false">
      <c r="A600" s="2" t="n">
        <v>585</v>
      </c>
      <c r="B600" s="2" t="n">
        <v>0.91638127</v>
      </c>
      <c r="C600" s="2"/>
      <c r="D600" s="2" t="n">
        <v>0.890682461</v>
      </c>
      <c r="E600" s="2" t="n">
        <f aca="false">IF(E$7=E$5,E$6,IF(NORMSDIST(E$9*SQRT($C$11)*NORMSINV($B600)+SQRT(1-E$9^2*$C$11)*NORMSINV(D600))&lt;E$8,E$5+SQRT(NORMSDIST(E$9*SQRT($C$11)*NORMSINV($B600)+SQRT(1-E$9^2*$C$11)*NORMSINV(D600))*(E$7-E$5)*(E$6-E$5)),E$7-SQRT((1-NORMSDIST(E$9*SQRT($C$11)*NORMSINV($B600)+SQRT(1-E$9^2*$C$11)*NORMSINV(D600)))*(E$7-E$5)*(E$7-E$6))))</f>
        <v>0.0586981576951355</v>
      </c>
      <c r="F600" s="2" t="n">
        <v>0.462841019</v>
      </c>
      <c r="G600" s="2" t="n">
        <f aca="false">IF(G$7=G$5,G$6,IF(NORMSDIST(G$9*SQRT($C$11)*NORMSINV($B600)+SQRT(1-G$9^2*$C$11)*NORMSINV(F600))&lt;G$8,G$5+SQRT(NORMSDIST(G$9*SQRT($C$11)*NORMSINV($B600)+SQRT(1-G$9^2*$C$11)*NORMSINV(F600))*(G$7-G$5)*(G$6-G$5)),G$7-SQRT((1-NORMSDIST(G$9*SQRT($C$11)*NORMSINV($B600)+SQRT(1-G$9^2*$C$11)*NORMSINV(F600)))*(G$7-G$5)*(G$7-G$6))))</f>
        <v>0.0602444030797044</v>
      </c>
      <c r="H600" s="2" t="n">
        <v>0.74461143</v>
      </c>
      <c r="I600" s="2" t="n">
        <f aca="false">IF(I$7=I$5,I$6,IF(NORMSDIST(I$9*SQRT($C$11)*NORMSINV($B600)+SQRT(1-I$9^2*$C$11)*NORMSINV(H600))&lt;I$8,I$5+SQRT(NORMSDIST(I$9*SQRT($C$11)*NORMSINV($B600)+SQRT(1-I$9^2*$C$11)*NORMSINV(H600))*(I$7-I$5)*(I$6-I$5)),I$7-SQRT((1-NORMSDIST(I$9*SQRT($C$11)*NORMSINV($B600)+SQRT(1-I$9^2*$C$11)*NORMSINV(H600)))*(I$7-I$5)*(I$7-I$6))))</f>
        <v>211.834349673592</v>
      </c>
      <c r="J600" s="2" t="n">
        <v>0.497317829</v>
      </c>
      <c r="K600" s="2" t="n">
        <f aca="false">IF(K$7=K$5,K$6,IF(NORMSDIST(K$9*SQRT($C$11)*NORMSINV($B600)+SQRT(1-K$9^2*$C$11)*NORMSINV(J600))&lt;K$8,K$5+SQRT(NORMSDIST(K$9*SQRT($C$11)*NORMSINV($B600)+SQRT(1-K$9^2*$C$11)*NORMSINV(J600))*(K$7-K$5)*(K$6-K$5)),K$7-SQRT((1-NORMSDIST(K$9*SQRT($C$11)*NORMSINV($B600)+SQRT(1-K$9^2*$C$11)*NORMSINV(J600)))*(K$7-K$5)*(K$7-K$6))))</f>
        <v>0.344832578193167</v>
      </c>
      <c r="L600" s="2" t="n">
        <v>0.416911855</v>
      </c>
      <c r="M600" s="2" t="n">
        <f aca="false">IF(M$7=M$5,M$6,IF(NORMSDIST(M$9*SQRT($C$11)*NORMSINV($B600)+SQRT(1-M$9^2*$C$11)*NORMSINV(L600))&lt;M$8,M$5+SQRT(NORMSDIST(M$9*SQRT($C$11)*NORMSINV($B600)+SQRT(1-M$9^2*$C$11)*NORMSINV(L600))*(M$7-M$5)*(M$6-M$5)),M$7-SQRT((1-NORMSDIST(M$9*SQRT($C$11)*NORMSINV($B600)+SQRT(1-M$9^2*$C$11)*NORMSINV(L600)))*(M$7-M$5)*(M$7-M$6))))</f>
        <v>1654.09487481245</v>
      </c>
      <c r="N600" s="2" t="n">
        <v>0.843666092</v>
      </c>
      <c r="O600" s="2" t="n">
        <f aca="false">IF(O$7=O$5,O$6,IF(NORMSDIST(O$9*SQRT($C$11)*NORMSINV($B600)+SQRT(1-O$9^2*$C$11)*NORMSINV(N600))&lt;O$8,O$5+SQRT(NORMSDIST(O$9*SQRT($C$11)*NORMSINV($B600)+SQRT(1-O$9^2*$C$11)*NORMSINV(N600))*(O$7-O$5)*(O$6-O$5)),O$7-SQRT((1-NORMSDIST(O$9*SQRT($C$11)*NORMSINV($B600)+SQRT(1-O$9^2*$C$11)*NORMSINV(N600)))*(O$7-O$5)*(O$7-O$6))))</f>
        <v>0.182782512794647</v>
      </c>
      <c r="P600" s="2" t="n">
        <v>0.041467718</v>
      </c>
      <c r="Q600" s="2" t="n">
        <f aca="false">IF(Q$7=Q$5,Q$6,IF(NORMSDIST(Q$9*SQRT($C$11)*NORMSINV($B600)+SQRT(1-Q$9^2*$C$11)*NORMSINV(P600))&lt;Q$8,Q$5+SQRT(NORMSDIST(Q$9*SQRT($C$11)*NORMSINV($B600)+SQRT(1-Q$9^2*$C$11)*NORMSINV(P600))*(Q$7-Q$5)*(Q$6-Q$5)),Q$7-SQRT((1-NORMSDIST(Q$9*SQRT($C$11)*NORMSINV($B600)+SQRT(1-Q$9^2*$C$11)*NORMSINV(P600)))*(Q$7-Q$5)*(Q$7-Q$6))))</f>
        <v>0.0515194052624257</v>
      </c>
      <c r="R600" s="2" t="n">
        <v>0.634423451</v>
      </c>
      <c r="S600" s="2" t="n">
        <f aca="false">IF(S$7=S$5,S$6,IF(NORMSDIST(S$9*SQRT($C$11)*NORMSINV($B600)+SQRT(1-S$9^2*$C$11)*NORMSINV(R600))&lt;S$8,S$5+SQRT(NORMSDIST(S$9*SQRT($C$11)*NORMSINV($B600)+SQRT(1-S$9^2*$C$11)*NORMSINV(R600))*(S$7-S$5)*(S$6-S$5)),S$7-SQRT((1-NORMSDIST(S$9*SQRT($C$11)*NORMSINV($B600)+SQRT(1-S$9^2*$C$11)*NORMSINV(R600)))*(S$7-S$5)*(S$7-S$6))))</f>
        <v>0.747794019682211</v>
      </c>
      <c r="T600" s="2" t="n">
        <v>0.034495889</v>
      </c>
      <c r="U600" s="2" t="n">
        <f aca="false">IF(U$7=U$5,U$6,IF(NORMSDIST(U$9*SQRT($C$11)*NORMSINV($B600)+SQRT(1-U$9^2*$C$11)*NORMSINV(T600))&lt;U$8,U$5+SQRT(NORMSDIST(U$9*SQRT($C$11)*NORMSINV($B600)+SQRT(1-U$9^2*$C$11)*NORMSINV(T600))*(U$7-U$5)*(U$6-U$5)),U$7-SQRT((1-NORMSDIST(U$9*SQRT($C$11)*NORMSINV($B600)+SQRT(1-U$9^2*$C$11)*NORMSINV(T600)))*(U$7-U$5)*(U$7-U$6))))</f>
        <v>0.384901455681525</v>
      </c>
      <c r="V600" s="2" t="n">
        <v>0.926631423</v>
      </c>
      <c r="W600" s="2" t="n">
        <f aca="false">IF(W$7=W$5,W$6,IF(NORMSDIST(W$9*SQRT($C$11)*NORMSINV($B600)+SQRT(1-W$9^2*$C$11)*NORMSINV(V600))&lt;W$8,W$5+SQRT(NORMSDIST(W$9*SQRT($C$11)*NORMSINV($B600)+SQRT(1-W$9^2*$C$11)*NORMSINV(V600))*(W$7-W$5)*(W$6-W$5)),W$7-SQRT((1-NORMSDIST(W$9*SQRT($C$11)*NORMSINV($B600)+SQRT(1-W$9^2*$C$11)*NORMSINV(V600)))*(W$7-W$5)*(W$7-W$6))))</f>
        <v>11.5721503231084</v>
      </c>
      <c r="X600" s="2" t="n">
        <v>0.187637242</v>
      </c>
      <c r="Y600" s="2" t="n">
        <f aca="false">IF(Y$7=Y$5,Y$6,IF(NORMSDIST(Y$9*SQRT($C$11)*NORMSINV($B600)+SQRT(1-Y$9^2*$C$11)*NORMSINV(X600))&lt;Y$8,Y$5+SQRT(NORMSDIST(Y$9*SQRT($C$11)*NORMSINV($B600)+SQRT(1-Y$9^2*$C$11)*NORMSINV(X600))*(Y$7-Y$5)*(Y$6-Y$5)),Y$7-SQRT((1-NORMSDIST(Y$9*SQRT($C$11)*NORMSINV($B600)+SQRT(1-Y$9^2*$C$11)*NORMSINV(X600)))*(Y$7-Y$5)*(Y$7-Y$6))))</f>
        <v>0.306298254973808</v>
      </c>
      <c r="Z600" s="2" t="n">
        <v>0.288198556</v>
      </c>
      <c r="AA600" s="2" t="n">
        <f aca="false">IF(AA$7=AA$5,AA$6,IF(NORMSDIST(AA$9*SQRT($C$11)*NORMSINV($B600)+SQRT(1-AA$9^2*$C$11)*NORMSINV(Z600))&lt;AA$8,AA$5+SQRT(NORMSDIST(AA$9*SQRT($C$11)*NORMSINV($B600)+SQRT(1-AA$9^2*$C$11)*NORMSINV(Z600))*(AA$7-AA$5)*(AA$6-AA$5)),AA$7-SQRT((1-NORMSDIST(AA$9*SQRT($C$11)*NORMSINV($B600)+SQRT(1-AA$9^2*$C$11)*NORMSINV(Z600)))*(AA$7-AA$5)*(AA$7-AA$6))))</f>
        <v>0.733284160096073</v>
      </c>
      <c r="AB600" s="2" t="n">
        <v>0.885575015</v>
      </c>
      <c r="AC600" s="2" t="n">
        <f aca="false">IF(AC$7=AC$5,AC$6,IF(NORMSDIST(AC$9*SQRT($C$11)*NORMSINV($B600)+SQRT(1-AC$9^2*$C$11)*NORMSINV(AB600))&lt;AC$8,AC$5+SQRT(NORMSDIST(AC$9*SQRT($C$11)*NORMSINV($B600)+SQRT(1-AC$9^2*$C$11)*NORMSINV(AB600))*(AC$7-AC$5)*(AC$6-AC$5)),AC$7-SQRT((1-NORMSDIST(AC$9*SQRT($C$11)*NORMSINV($B600)+SQRT(1-AC$9^2*$C$11)*NORMSINV(AB600)))*(AC$7-AC$5)*(AC$7-AC$6))))</f>
        <v>10.6084404460711</v>
      </c>
      <c r="AD600" s="2" t="n">
        <f aca="false">Entrées!$C$8*(1+E600)</f>
        <v>7463.82201175071</v>
      </c>
      <c r="AE600" s="2" t="n">
        <f aca="false">I600*Hypothèses!$J$24/12/Hypothèses!$J$19</f>
        <v>105.090342870857</v>
      </c>
      <c r="AF600" s="2" t="n">
        <f aca="false">Entrées!$C$36*S600*1000</f>
        <v>373.897009841105</v>
      </c>
      <c r="AG600" s="2" t="n">
        <f aca="false">-AF600/W600</f>
        <v>-32.3100719746504</v>
      </c>
      <c r="AH600" s="2" t="n">
        <f aca="false">AD600+AE600+AG600</f>
        <v>7536.60228264691</v>
      </c>
      <c r="AI600" s="2" t="n">
        <f aca="false">Entrées!$C$16-M600+Hypothèses!$J$22*1000-AF600+Hypothèses!$J$23</f>
        <v>22520.0081153465</v>
      </c>
      <c r="AJ600" s="2" t="n">
        <f aca="false">AI600/AH600</f>
        <v>2.98808498455583</v>
      </c>
      <c r="AK600" s="2" t="n">
        <f aca="false">AI600/(AH600+I600*(12-Hypothèses!$J$24)/12/Hypothèses!$J$19)</f>
        <v>2.95861716859292</v>
      </c>
      <c r="AL600" s="2" t="n">
        <f aca="false">(AD600+AG600+I600/Hypothèses!$J$19)*(1+G600)</f>
        <v>8070.22713687594</v>
      </c>
      <c r="AM600" s="2" t="n">
        <f aca="false">Entrées!$C$54*K600/Hypothèses!$J$19</f>
        <v>35.1916124630457</v>
      </c>
      <c r="AN600" s="2" t="n">
        <f aca="false">Y600*1000/AC600</f>
        <v>28.8730710730668</v>
      </c>
      <c r="AO600" s="2" t="n">
        <f aca="false">(Entrées!$C$36*(1-S600)+MAX(0,Entrées!$C$30-Entrées!$C$35-Entrées!$C$36)*U600)*1000</f>
        <v>664.965028113029</v>
      </c>
      <c r="AP600" s="2" t="n">
        <f aca="false">-AO600/W600</f>
        <v>-57.4625293956961</v>
      </c>
      <c r="AQ600" s="2" t="n">
        <f aca="false">AL600+AM600+AN600+AP600</f>
        <v>8076.82929101635</v>
      </c>
      <c r="AR600" s="2" t="n">
        <f aca="false">O600*AQ600-Hypothèses!$J$25/Hypothèses!$J$19</f>
        <v>1457.16799096375</v>
      </c>
      <c r="AS600" s="2" t="n">
        <f aca="false">Entrées!$C$79*(1+Q600)+Hypothèses!$J$20</f>
        <v>1450.61982638341</v>
      </c>
      <c r="AT600" s="2" t="n">
        <f aca="false">AI600-AR600+AS600+Y600*1000-AO600+Hypothèses!$J$23</f>
        <v>22154.7931776269</v>
      </c>
      <c r="AU600" s="2" t="n">
        <f aca="false">AT600/AQ600</f>
        <v>2.7430062440801</v>
      </c>
      <c r="AV600" s="2" t="n">
        <f aca="false">Hypothèses!$J$26*AQ600-AT600</f>
        <v>2075.69469542218</v>
      </c>
      <c r="AW600" s="2" t="n">
        <f aca="false">IF(AC600&gt;Hypothèses!$J$26,MAX(0,AV600)/(1-Hypothèses!$J$26/AC600),0)</f>
        <v>2894.13891278897</v>
      </c>
      <c r="AX600" s="2" t="n">
        <f aca="false">AQ600-Entrées!$C$17*1000</f>
        <v>76.8292910163536</v>
      </c>
      <c r="AY600" s="2" t="n">
        <f aca="false">AI600+(Entrées!$C$244-Entrées!$C$13)</f>
        <v>28267.0081153465</v>
      </c>
      <c r="AZ600" s="2" t="n">
        <f aca="false">AA600*AH600</f>
        <v>5526.47107480889</v>
      </c>
      <c r="BA600" s="2" t="n">
        <f aca="false">AZ600/AY600</f>
        <v>0.19550958673297</v>
      </c>
      <c r="BB600" s="2" t="n">
        <f aca="false">AZ600/(Entrées!$C$151/100)-AY600</f>
        <v>2435.60896692515</v>
      </c>
      <c r="BC600" s="2" t="n">
        <f aca="false">AT600+(Entrées!$C$244-Entrées!$C$13)</f>
        <v>27901.7931776269</v>
      </c>
      <c r="BD600" s="2" t="n">
        <f aca="false">AA600*AQ600</f>
        <v>5922.61098290229</v>
      </c>
      <c r="BE600" s="2" t="n">
        <f aca="false">BD600/BC600</f>
        <v>0.212266320848918</v>
      </c>
      <c r="BF600" s="2" t="n">
        <f aca="false">BD600/(Entrées!$C$151/100)-BC600</f>
        <v>5001.60117183027</v>
      </c>
      <c r="BG600" s="2" t="n">
        <f aca="false">MIN(AV600,BF600)</f>
        <v>2075.69469542218</v>
      </c>
      <c r="BH600" s="2" t="n">
        <f aca="false">IF(AC600&gt;Hypothèses!$J$26,MAX(0,BG600)/(1-Hypothèses!$J$26/AC600),0)</f>
        <v>2894.13891278897</v>
      </c>
    </row>
    <row r="601" customFormat="false" ht="15" hidden="false" customHeight="false" outlineLevel="0" collapsed="false">
      <c r="A601" s="2" t="n">
        <v>586</v>
      </c>
      <c r="B601" s="2" t="n">
        <v>0.264685539</v>
      </c>
      <c r="C601" s="2"/>
      <c r="D601" s="2" t="n">
        <v>0.444424286</v>
      </c>
      <c r="E601" s="2" t="n">
        <f aca="false">IF(E$7=E$5,E$6,IF(NORMSDIST(E$9*SQRT($C$11)*NORMSINV($B601)+SQRT(1-E$9^2*$C$11)*NORMSINV(D601))&lt;E$8,E$5+SQRT(NORMSDIST(E$9*SQRT($C$11)*NORMSINV($B601)+SQRT(1-E$9^2*$C$11)*NORMSINV(D601))*(E$7-E$5)*(E$6-E$5)),E$7-SQRT((1-NORMSDIST(E$9*SQRT($C$11)*NORMSINV($B601)+SQRT(1-E$9^2*$C$11)*NORMSINV(D601)))*(E$7-E$5)*(E$7-E$6))))</f>
        <v>0.0539141416923655</v>
      </c>
      <c r="F601" s="2" t="n">
        <v>0.28748884</v>
      </c>
      <c r="G601" s="2" t="n">
        <f aca="false">IF(G$7=G$5,G$6,IF(NORMSDIST(G$9*SQRT($C$11)*NORMSINV($B601)+SQRT(1-G$9^2*$C$11)*NORMSINV(F601))&lt;G$8,G$5+SQRT(NORMSDIST(G$9*SQRT($C$11)*NORMSINV($B601)+SQRT(1-G$9^2*$C$11)*NORMSINV(F601))*(G$7-G$5)*(G$6-G$5)),G$7-SQRT((1-NORMSDIST(G$9*SQRT($C$11)*NORMSINV($B601)+SQRT(1-G$9^2*$C$11)*NORMSINV(F601)))*(G$7-G$5)*(G$7-G$6))))</f>
        <v>0.0495498468305748</v>
      </c>
      <c r="H601" s="2" t="n">
        <v>0.925088815</v>
      </c>
      <c r="I601" s="2" t="n">
        <f aca="false">IF(I$7=I$5,I$6,IF(NORMSDIST(I$9*SQRT($C$11)*NORMSINV($B601)+SQRT(1-I$9^2*$C$11)*NORMSINV(H601))&lt;I$8,I$5+SQRT(NORMSDIST(I$9*SQRT($C$11)*NORMSINV($B601)+SQRT(1-I$9^2*$C$11)*NORMSINV(H601))*(I$7-I$5)*(I$6-I$5)),I$7-SQRT((1-NORMSDIST(I$9*SQRT($C$11)*NORMSINV($B601)+SQRT(1-I$9^2*$C$11)*NORMSINV(H601)))*(I$7-I$5)*(I$7-I$6))))</f>
        <v>206.246281769373</v>
      </c>
      <c r="J601" s="2" t="n">
        <v>0.639293377</v>
      </c>
      <c r="K601" s="2" t="n">
        <f aca="false">IF(K$7=K$5,K$6,IF(NORMSDIST(K$9*SQRT($C$11)*NORMSINV($B601)+SQRT(1-K$9^2*$C$11)*NORMSINV(J601))&lt;K$8,K$5+SQRT(NORMSDIST(K$9*SQRT($C$11)*NORMSINV($B601)+SQRT(1-K$9^2*$C$11)*NORMSINV(J601))*(K$7-K$5)*(K$6-K$5)),K$7-SQRT((1-NORMSDIST(K$9*SQRT($C$11)*NORMSINV($B601)+SQRT(1-K$9^2*$C$11)*NORMSINV(J601)))*(K$7-K$5)*(K$7-K$6))))</f>
        <v>0.237594707895618</v>
      </c>
      <c r="L601" s="2" t="n">
        <v>0.330334762</v>
      </c>
      <c r="M601" s="2" t="n">
        <f aca="false">IF(M$7=M$5,M$6,IF(NORMSDIST(M$9*SQRT($C$11)*NORMSINV($B601)+SQRT(1-M$9^2*$C$11)*NORMSINV(L601))&lt;M$8,M$5+SQRT(NORMSDIST(M$9*SQRT($C$11)*NORMSINV($B601)+SQRT(1-M$9^2*$C$11)*NORMSINV(L601))*(M$7-M$5)*(M$6-M$5)),M$7-SQRT((1-NORMSDIST(M$9*SQRT($C$11)*NORMSINV($B601)+SQRT(1-M$9^2*$C$11)*NORMSINV(L601)))*(M$7-M$5)*(M$7-M$6))))</f>
        <v>1494.69228916847</v>
      </c>
      <c r="N601" s="2" t="n">
        <v>0.517626307</v>
      </c>
      <c r="O601" s="2" t="n">
        <f aca="false">IF(O$7=O$5,O$6,IF(NORMSDIST(O$9*SQRT($C$11)*NORMSINV($B601)+SQRT(1-O$9^2*$C$11)*NORMSINV(N601))&lt;O$8,O$5+SQRT(NORMSDIST(O$9*SQRT($C$11)*NORMSINV($B601)+SQRT(1-O$9^2*$C$11)*NORMSINV(N601))*(O$7-O$5)*(O$6-O$5)),O$7-SQRT((1-NORMSDIST(O$9*SQRT($C$11)*NORMSINV($B601)+SQRT(1-O$9^2*$C$11)*NORMSINV(N601)))*(O$7-O$5)*(O$7-O$6))))</f>
        <v>0.162667148922612</v>
      </c>
      <c r="P601" s="2" t="n">
        <v>0.711370871</v>
      </c>
      <c r="Q601" s="2" t="n">
        <f aca="false">IF(Q$7=Q$5,Q$6,IF(NORMSDIST(Q$9*SQRT($C$11)*NORMSINV($B601)+SQRT(1-Q$9^2*$C$11)*NORMSINV(P601))&lt;Q$8,Q$5+SQRT(NORMSDIST(Q$9*SQRT($C$11)*NORMSINV($B601)+SQRT(1-Q$9^2*$C$11)*NORMSINV(P601))*(Q$7-Q$5)*(Q$6-Q$5)),Q$7-SQRT((1-NORMSDIST(Q$9*SQRT($C$11)*NORMSINV($B601)+SQRT(1-Q$9^2*$C$11)*NORMSINV(P601)))*(Q$7-Q$5)*(Q$7-Q$6))))</f>
        <v>0.0896089945411475</v>
      </c>
      <c r="R601" s="2" t="n">
        <v>0.283543342</v>
      </c>
      <c r="S601" s="2" t="n">
        <f aca="false">IF(S$7=S$5,S$6,IF(NORMSDIST(S$9*SQRT($C$11)*NORMSINV($B601)+SQRT(1-S$9^2*$C$11)*NORMSINV(R601))&lt;S$8,S$5+SQRT(NORMSDIST(S$9*SQRT($C$11)*NORMSINV($B601)+SQRT(1-S$9^2*$C$11)*NORMSINV(R601))*(S$7-S$5)*(S$6-S$5)),S$7-SQRT((1-NORMSDIST(S$9*SQRT($C$11)*NORMSINV($B601)+SQRT(1-S$9^2*$C$11)*NORMSINV(R601)))*(S$7-S$5)*(S$7-S$6))))</f>
        <v>0.316336140299974</v>
      </c>
      <c r="T601" s="2" t="n">
        <v>0.679473758</v>
      </c>
      <c r="U601" s="2" t="n">
        <f aca="false">IF(U$7=U$5,U$6,IF(NORMSDIST(U$9*SQRT($C$11)*NORMSINV($B601)+SQRT(1-U$9^2*$C$11)*NORMSINV(T601))&lt;U$8,U$5+SQRT(NORMSDIST(U$9*SQRT($C$11)*NORMSINV($B601)+SQRT(1-U$9^2*$C$11)*NORMSINV(T601))*(U$7-U$5)*(U$6-U$5)),U$7-SQRT((1-NORMSDIST(U$9*SQRT($C$11)*NORMSINV($B601)+SQRT(1-U$9^2*$C$11)*NORMSINV(T601)))*(U$7-U$5)*(U$7-U$6))))</f>
        <v>0.492635833475587</v>
      </c>
      <c r="V601" s="2" t="n">
        <v>0.878521963</v>
      </c>
      <c r="W601" s="2" t="n">
        <f aca="false">IF(W$7=W$5,W$6,IF(NORMSDIST(W$9*SQRT($C$11)*NORMSINV($B601)+SQRT(1-W$9^2*$C$11)*NORMSINV(V601))&lt;W$8,W$5+SQRT(NORMSDIST(W$9*SQRT($C$11)*NORMSINV($B601)+SQRT(1-W$9^2*$C$11)*NORMSINV(V601))*(W$7-W$5)*(W$6-W$5)),W$7-SQRT((1-NORMSDIST(W$9*SQRT($C$11)*NORMSINV($B601)+SQRT(1-W$9^2*$C$11)*NORMSINV(V601)))*(W$7-W$5)*(W$7-W$6))))</f>
        <v>10.4348787597037</v>
      </c>
      <c r="X601" s="2" t="n">
        <v>0.402646227</v>
      </c>
      <c r="Y601" s="2" t="n">
        <f aca="false">IF(Y$7=Y$5,Y$6,IF(NORMSDIST(Y$9*SQRT($C$11)*NORMSINV($B601)+SQRT(1-Y$9^2*$C$11)*NORMSINV(X601))&lt;Y$8,Y$5+SQRT(NORMSDIST(Y$9*SQRT($C$11)*NORMSINV($B601)+SQRT(1-Y$9^2*$C$11)*NORMSINV(X601))*(Y$7-Y$5)*(Y$6-Y$5)),Y$7-SQRT((1-NORMSDIST(Y$9*SQRT($C$11)*NORMSINV($B601)+SQRT(1-Y$9^2*$C$11)*NORMSINV(X601)))*(Y$7-Y$5)*(Y$7-Y$6))))</f>
        <v>0.448690442844507</v>
      </c>
      <c r="Z601" s="2" t="n">
        <v>0.216267405</v>
      </c>
      <c r="AA601" s="2" t="n">
        <f aca="false">IF(AA$7=AA$5,AA$6,IF(NORMSDIST(AA$9*SQRT($C$11)*NORMSINV($B601)+SQRT(1-AA$9^2*$C$11)*NORMSINV(Z601))&lt;AA$8,AA$5+SQRT(NORMSDIST(AA$9*SQRT($C$11)*NORMSINV($B601)+SQRT(1-AA$9^2*$C$11)*NORMSINV(Z601))*(AA$7-AA$5)*(AA$6-AA$5)),AA$7-SQRT((1-NORMSDIST(AA$9*SQRT($C$11)*NORMSINV($B601)+SQRT(1-AA$9^2*$C$11)*NORMSINV(Z601)))*(AA$7-AA$5)*(AA$7-AA$6))))</f>
        <v>0.713676606928926</v>
      </c>
      <c r="AB601" s="2" t="n">
        <v>0.591837794</v>
      </c>
      <c r="AC601" s="2" t="n">
        <f aca="false">IF(AC$7=AC$5,AC$6,IF(NORMSDIST(AC$9*SQRT($C$11)*NORMSINV($B601)+SQRT(1-AC$9^2*$C$11)*NORMSINV(AB601))&lt;AC$8,AC$5+SQRT(NORMSDIST(AC$9*SQRT($C$11)*NORMSINV($B601)+SQRT(1-AC$9^2*$C$11)*NORMSINV(AB601))*(AC$7-AC$5)*(AC$6-AC$5)),AC$7-SQRT((1-NORMSDIST(AC$9*SQRT($C$11)*NORMSINV($B601)+SQRT(1-AC$9^2*$C$11)*NORMSINV(AB601)))*(AC$7-AC$5)*(AC$7-AC$6))))</f>
        <v>9.2907455022758</v>
      </c>
      <c r="AD601" s="2" t="n">
        <f aca="false">Entrées!$C$8*(1+E601)</f>
        <v>7430.09469893118</v>
      </c>
      <c r="AE601" s="2" t="n">
        <f aca="false">I601*Hypothèses!$J$24/12/Hypothèses!$J$19</f>
        <v>102.318120268881</v>
      </c>
      <c r="AF601" s="2" t="n">
        <f aca="false">Entrées!$C$36*S601*1000</f>
        <v>158.168070149987</v>
      </c>
      <c r="AG601" s="2" t="n">
        <f aca="false">-AF601/W601</f>
        <v>-15.1576337197883</v>
      </c>
      <c r="AH601" s="2" t="n">
        <f aca="false">AD601+AE601+AG601</f>
        <v>7517.25518548027</v>
      </c>
      <c r="AI601" s="2" t="n">
        <f aca="false">Entrées!$C$16-M601+Hypothèses!$J$22*1000-AF601+Hypothèses!$J$23</f>
        <v>22895.1396406815</v>
      </c>
      <c r="AJ601" s="2" t="n">
        <f aca="false">AI601/AH601</f>
        <v>3.04567811997443</v>
      </c>
      <c r="AK601" s="2" t="n">
        <f aca="false">AI601/(AH601+I601*(12-Hypothèses!$J$24)/12/Hypothèses!$J$19)</f>
        <v>3.01635249232859</v>
      </c>
      <c r="AL601" s="2" t="n">
        <f aca="false">(AD601+AG601+I601/Hypothèses!$J$19)*(1+G601)</f>
        <v>7966.4397195473</v>
      </c>
      <c r="AM601" s="2" t="n">
        <f aca="false">Entrées!$C$54*K601/Hypothèses!$J$19</f>
        <v>24.2475375364601</v>
      </c>
      <c r="AN601" s="2" t="n">
        <f aca="false">Y601*1000/AC601</f>
        <v>48.294342228468</v>
      </c>
      <c r="AO601" s="2" t="n">
        <f aca="false">(Entrées!$C$36*(1-S601)+MAX(0,Entrées!$C$30-Entrées!$C$35-Entrées!$C$36)*U601)*1000</f>
        <v>1031.52209671584</v>
      </c>
      <c r="AP601" s="2" t="n">
        <f aca="false">-AO601/W601</f>
        <v>-98.8532900544336</v>
      </c>
      <c r="AQ601" s="2" t="n">
        <f aca="false">AL601+AM601+AN601+AP601</f>
        <v>7940.1283092578</v>
      </c>
      <c r="AR601" s="2" t="n">
        <f aca="false">O601*AQ601-Hypothèses!$J$25/Hypothèses!$J$19</f>
        <v>1272.46287188506</v>
      </c>
      <c r="AS601" s="2" t="n">
        <f aca="false">Entrées!$C$79*(1+Q601)+Hypothèses!$J$20</f>
        <v>1492.48028500072</v>
      </c>
      <c r="AT601" s="2" t="n">
        <f aca="false">AI601-AR601+AS601+Y601*1000-AO601+Hypothèses!$J$23</f>
        <v>22532.3253999259</v>
      </c>
      <c r="AU601" s="2" t="n">
        <f aca="false">AT601/AQ601</f>
        <v>2.83777849958096</v>
      </c>
      <c r="AV601" s="2" t="n">
        <f aca="false">Hypothèses!$J$26*AQ601-AT601</f>
        <v>1288.0595278475</v>
      </c>
      <c r="AW601" s="2" t="n">
        <f aca="false">IF(AC601&gt;Hypothèses!$J$26,MAX(0,AV601)/(1-Hypothèses!$J$26/AC601),0)</f>
        <v>1902.32354188916</v>
      </c>
      <c r="AX601" s="2" t="n">
        <f aca="false">AQ601-Entrées!$C$17*1000</f>
        <v>-59.8716907422049</v>
      </c>
      <c r="AY601" s="2" t="n">
        <f aca="false">AI601+(Entrées!$C$244-Entrées!$C$13)</f>
        <v>28642.1396406815</v>
      </c>
      <c r="AZ601" s="2" t="n">
        <f aca="false">AA601*AH601</f>
        <v>5364.88917419243</v>
      </c>
      <c r="BA601" s="2" t="n">
        <f aca="false">AZ601/AY601</f>
        <v>0.187307555982042</v>
      </c>
      <c r="BB601" s="2" t="n">
        <f aca="false">AZ601/(Entrées!$C$151/100)-AY601</f>
        <v>1162.80021594307</v>
      </c>
      <c r="BC601" s="2" t="n">
        <f aca="false">AT601+(Entrées!$C$244-Entrées!$C$13)</f>
        <v>28279.3253999259</v>
      </c>
      <c r="BD601" s="2" t="n">
        <f aca="false">AA601*AQ601</f>
        <v>5666.68383033141</v>
      </c>
      <c r="BE601" s="2" t="n">
        <f aca="false">BD601/BC601</f>
        <v>0.200382567483249</v>
      </c>
      <c r="BF601" s="2" t="n">
        <f aca="false">BD601/(Entrées!$C$151/100)-BC601</f>
        <v>3202.25143524862</v>
      </c>
      <c r="BG601" s="2" t="n">
        <f aca="false">MIN(AV601,BF601)</f>
        <v>1288.0595278475</v>
      </c>
      <c r="BH601" s="2" t="n">
        <f aca="false">IF(AC601&gt;Hypothèses!$J$26,MAX(0,BG601)/(1-Hypothèses!$J$26/AC601),0)</f>
        <v>1902.32354188916</v>
      </c>
    </row>
    <row r="602" customFormat="false" ht="15" hidden="false" customHeight="false" outlineLevel="0" collapsed="false">
      <c r="A602" s="2" t="n">
        <v>587</v>
      </c>
      <c r="B602" s="2" t="n">
        <v>0.451510661</v>
      </c>
      <c r="C602" s="2"/>
      <c r="D602" s="2" t="n">
        <v>0.848393974</v>
      </c>
      <c r="E602" s="2" t="n">
        <f aca="false">IF(E$7=E$5,E$6,IF(NORMSDIST(E$9*SQRT($C$11)*NORMSINV($B602)+SQRT(1-E$9^2*$C$11)*NORMSINV(D602))&lt;E$8,E$5+SQRT(NORMSDIST(E$9*SQRT($C$11)*NORMSINV($B602)+SQRT(1-E$9^2*$C$11)*NORMSINV(D602))*(E$7-E$5)*(E$6-E$5)),E$7-SQRT((1-NORMSDIST(E$9*SQRT($C$11)*NORMSINV($B602)+SQRT(1-E$9^2*$C$11)*NORMSINV(D602)))*(E$7-E$5)*(E$7-E$6))))</f>
        <v>0.0565676009348956</v>
      </c>
      <c r="F602" s="2" t="n">
        <v>0.792739493</v>
      </c>
      <c r="G602" s="2" t="n">
        <f aca="false">IF(G$7=G$5,G$6,IF(NORMSDIST(G$9*SQRT($C$11)*NORMSINV($B602)+SQRT(1-G$9^2*$C$11)*NORMSINV(F602))&lt;G$8,G$5+SQRT(NORMSDIST(G$9*SQRT($C$11)*NORMSINV($B602)+SQRT(1-G$9^2*$C$11)*NORMSINV(F602))*(G$7-G$5)*(G$6-G$5)),G$7-SQRT((1-NORMSDIST(G$9*SQRT($C$11)*NORMSINV($B602)+SQRT(1-G$9^2*$C$11)*NORMSINV(F602)))*(G$7-G$5)*(G$7-G$6))))</f>
        <v>0.0585871007734113</v>
      </c>
      <c r="H602" s="2" t="n">
        <v>0.027432225</v>
      </c>
      <c r="I602" s="2" t="n">
        <f aca="false">IF(I$7=I$5,I$6,IF(NORMSDIST(I$9*SQRT($C$11)*NORMSINV($B602)+SQRT(1-I$9^2*$C$11)*NORMSINV(H602))&lt;I$8,I$5+SQRT(NORMSDIST(I$9*SQRT($C$11)*NORMSINV($B602)+SQRT(1-I$9^2*$C$11)*NORMSINV(H602))*(I$7-I$5)*(I$6-I$5)),I$7-SQRT((1-NORMSDIST(I$9*SQRT($C$11)*NORMSINV($B602)+SQRT(1-I$9^2*$C$11)*NORMSINV(H602)))*(I$7-I$5)*(I$7-I$6))))</f>
        <v>186.863220618984</v>
      </c>
      <c r="J602" s="2" t="n">
        <v>0.31851302</v>
      </c>
      <c r="K602" s="2" t="n">
        <f aca="false">IF(K$7=K$5,K$6,IF(NORMSDIST(K$9*SQRT($C$11)*NORMSINV($B602)+SQRT(1-K$9^2*$C$11)*NORMSINV(J602))&lt;K$8,K$5+SQRT(NORMSDIST(K$9*SQRT($C$11)*NORMSINV($B602)+SQRT(1-K$9^2*$C$11)*NORMSINV(J602))*(K$7-K$5)*(K$6-K$5)),K$7-SQRT((1-NORMSDIST(K$9*SQRT($C$11)*NORMSINV($B602)+SQRT(1-K$9^2*$C$11)*NORMSINV(J602)))*(K$7-K$5)*(K$7-K$6))))</f>
        <v>0.202805518388909</v>
      </c>
      <c r="L602" s="2" t="n">
        <v>0.548285873</v>
      </c>
      <c r="M602" s="2" t="n">
        <f aca="false">IF(M$7=M$5,M$6,IF(NORMSDIST(M$9*SQRT($C$11)*NORMSINV($B602)+SQRT(1-M$9^2*$C$11)*NORMSINV(L602))&lt;M$8,M$5+SQRT(NORMSDIST(M$9*SQRT($C$11)*NORMSINV($B602)+SQRT(1-M$9^2*$C$11)*NORMSINV(L602))*(M$7-M$5)*(M$6-M$5)),M$7-SQRT((1-NORMSDIST(M$9*SQRT($C$11)*NORMSINV($B602)+SQRT(1-M$9^2*$C$11)*NORMSINV(L602)))*(M$7-M$5)*(M$7-M$6))))</f>
        <v>1587.24929364423</v>
      </c>
      <c r="N602" s="2" t="n">
        <v>0.813932091</v>
      </c>
      <c r="O602" s="2" t="n">
        <f aca="false">IF(O$7=O$5,O$6,IF(NORMSDIST(O$9*SQRT($C$11)*NORMSINV($B602)+SQRT(1-O$9^2*$C$11)*NORMSINV(N602))&lt;O$8,O$5+SQRT(NORMSDIST(O$9*SQRT($C$11)*NORMSINV($B602)+SQRT(1-O$9^2*$C$11)*NORMSINV(N602))*(O$7-O$5)*(O$6-O$5)),O$7-SQRT((1-NORMSDIST(O$9*SQRT($C$11)*NORMSINV($B602)+SQRT(1-O$9^2*$C$11)*NORMSINV(N602)))*(O$7-O$5)*(O$7-O$6))))</f>
        <v>0.173056175109819</v>
      </c>
      <c r="P602" s="2" t="n">
        <v>0.439074959</v>
      </c>
      <c r="Q602" s="2" t="n">
        <f aca="false">IF(Q$7=Q$5,Q$6,IF(NORMSDIST(Q$9*SQRT($C$11)*NORMSINV($B602)+SQRT(1-Q$9^2*$C$11)*NORMSINV(P602))&lt;Q$8,Q$5+SQRT(NORMSDIST(Q$9*SQRT($C$11)*NORMSINV($B602)+SQRT(1-Q$9^2*$C$11)*NORMSINV(P602))*(Q$7-Q$5)*(Q$6-Q$5)),Q$7-SQRT((1-NORMSDIST(Q$9*SQRT($C$11)*NORMSINV($B602)+SQRT(1-Q$9^2*$C$11)*NORMSINV(P602)))*(Q$7-Q$5)*(Q$7-Q$6))))</f>
        <v>0.0774838614446271</v>
      </c>
      <c r="R602" s="2" t="n">
        <v>0.223958684</v>
      </c>
      <c r="S602" s="2" t="n">
        <f aca="false">IF(S$7=S$5,S$6,IF(NORMSDIST(S$9*SQRT($C$11)*NORMSINV($B602)+SQRT(1-S$9^2*$C$11)*NORMSINV(R602))&lt;S$8,S$5+SQRT(NORMSDIST(S$9*SQRT($C$11)*NORMSINV($B602)+SQRT(1-S$9^2*$C$11)*NORMSINV(R602))*(S$7-S$5)*(S$6-S$5)),S$7-SQRT((1-NORMSDIST(S$9*SQRT($C$11)*NORMSINV($B602)+SQRT(1-S$9^2*$C$11)*NORMSINV(R602)))*(S$7-S$5)*(S$7-S$6))))</f>
        <v>0.355709314372653</v>
      </c>
      <c r="T602" s="2" t="n">
        <v>0.633645666</v>
      </c>
      <c r="U602" s="2" t="n">
        <f aca="false">IF(U$7=U$5,U$6,IF(NORMSDIST(U$9*SQRT($C$11)*NORMSINV($B602)+SQRT(1-U$9^2*$C$11)*NORMSINV(T602))&lt;U$8,U$5+SQRT(NORMSDIST(U$9*SQRT($C$11)*NORMSINV($B602)+SQRT(1-U$9^2*$C$11)*NORMSINV(T602))*(U$7-U$5)*(U$6-U$5)),U$7-SQRT((1-NORMSDIST(U$9*SQRT($C$11)*NORMSINV($B602)+SQRT(1-U$9^2*$C$11)*NORMSINV(T602)))*(U$7-U$5)*(U$7-U$6))))</f>
        <v>0.538675063625365</v>
      </c>
      <c r="V602" s="2" t="n">
        <v>0.810810167</v>
      </c>
      <c r="W602" s="2" t="n">
        <f aca="false">IF(W$7=W$5,W$6,IF(NORMSDIST(W$9*SQRT($C$11)*NORMSINV($B602)+SQRT(1-W$9^2*$C$11)*NORMSINV(V602))&lt;W$8,W$5+SQRT(NORMSDIST(W$9*SQRT($C$11)*NORMSINV($B602)+SQRT(1-W$9^2*$C$11)*NORMSINV(V602))*(W$7-W$5)*(W$6-W$5)),W$7-SQRT((1-NORMSDIST(W$9*SQRT($C$11)*NORMSINV($B602)+SQRT(1-W$9^2*$C$11)*NORMSINV(V602)))*(W$7-W$5)*(W$7-W$6))))</f>
        <v>10.5235175501571</v>
      </c>
      <c r="X602" s="2" t="n">
        <v>0.094963232</v>
      </c>
      <c r="Y602" s="2" t="n">
        <f aca="false">IF(Y$7=Y$5,Y$6,IF(NORMSDIST(Y$9*SQRT($C$11)*NORMSINV($B602)+SQRT(1-Y$9^2*$C$11)*NORMSINV(X602))&lt;Y$8,Y$5+SQRT(NORMSDIST(Y$9*SQRT($C$11)*NORMSINV($B602)+SQRT(1-Y$9^2*$C$11)*NORMSINV(X602))*(Y$7-Y$5)*(Y$6-Y$5)),Y$7-SQRT((1-NORMSDIST(Y$9*SQRT($C$11)*NORMSINV($B602)+SQRT(1-Y$9^2*$C$11)*NORMSINV(X602)))*(Y$7-Y$5)*(Y$7-Y$6))))</f>
        <v>0.217902767306889</v>
      </c>
      <c r="Z602" s="2" t="n">
        <v>0.112877654</v>
      </c>
      <c r="AA602" s="2" t="n">
        <f aca="false">IF(AA$7=AA$5,AA$6,IF(NORMSDIST(AA$9*SQRT($C$11)*NORMSINV($B602)+SQRT(1-AA$9^2*$C$11)*NORMSINV(Z602))&lt;AA$8,AA$5+SQRT(NORMSDIST(AA$9*SQRT($C$11)*NORMSINV($B602)+SQRT(1-AA$9^2*$C$11)*NORMSINV(Z602))*(AA$7-AA$5)*(AA$6-AA$5)),AA$7-SQRT((1-NORMSDIST(AA$9*SQRT($C$11)*NORMSINV($B602)+SQRT(1-AA$9^2*$C$11)*NORMSINV(Z602)))*(AA$7-AA$5)*(AA$7-AA$6))))</f>
        <v>0.713541446374332</v>
      </c>
      <c r="AB602" s="2" t="n">
        <v>0.72541642</v>
      </c>
      <c r="AC602" s="2" t="n">
        <f aca="false">IF(AC$7=AC$5,AC$6,IF(NORMSDIST(AC$9*SQRT($C$11)*NORMSINV($B602)+SQRT(1-AC$9^2*$C$11)*NORMSINV(AB602))&lt;AC$8,AC$5+SQRT(NORMSDIST(AC$9*SQRT($C$11)*NORMSINV($B602)+SQRT(1-AC$9^2*$C$11)*NORMSINV(AB602))*(AC$7-AC$5)*(AC$6-AC$5)),AC$7-SQRT((1-NORMSDIST(AC$9*SQRT($C$11)*NORMSINV($B602)+SQRT(1-AC$9^2*$C$11)*NORMSINV(AB602)))*(AC$7-AC$5)*(AC$7-AC$6))))</f>
        <v>9.77089506001467</v>
      </c>
      <c r="AD602" s="2" t="n">
        <f aca="false">Entrées!$C$8*(1+E602)</f>
        <v>7448.80158659102</v>
      </c>
      <c r="AE602" s="2" t="n">
        <f aca="false">I602*Hypothèses!$J$24/12/Hypothèses!$J$19</f>
        <v>92.7022456700734</v>
      </c>
      <c r="AF602" s="2" t="n">
        <f aca="false">Entrées!$C$36*S602*1000</f>
        <v>177.854657186326</v>
      </c>
      <c r="AG602" s="2" t="n">
        <f aca="false">-AF602/W602</f>
        <v>-16.9006851880692</v>
      </c>
      <c r="AH602" s="2" t="n">
        <f aca="false">AD602+AE602+AG602</f>
        <v>7524.60314707302</v>
      </c>
      <c r="AI602" s="2" t="n">
        <f aca="false">Entrées!$C$16-M602+Hypothèses!$J$22*1000-AF602+Hypothèses!$J$23</f>
        <v>22782.8960491694</v>
      </c>
      <c r="AJ602" s="2" t="n">
        <f aca="false">AI602/AH602</f>
        <v>3.02778706117302</v>
      </c>
      <c r="AK602" s="2" t="n">
        <f aca="false">AI602/(AH602+I602*(12-Hypothèses!$J$24)/12/Hypothèses!$J$19)</f>
        <v>3.00137520583836</v>
      </c>
      <c r="AL602" s="2" t="n">
        <f aca="false">(AD602+AG602+I602/Hypothèses!$J$19)*(1+G602)</f>
        <v>8035.54311670128</v>
      </c>
      <c r="AM602" s="2" t="n">
        <f aca="false">Entrées!$C$54*K602/Hypothèses!$J$19</f>
        <v>20.6971546769331</v>
      </c>
      <c r="AN602" s="2" t="n">
        <f aca="false">Y602*1000/AC602</f>
        <v>22.301208432645</v>
      </c>
      <c r="AO602" s="2" t="n">
        <f aca="false">(Entrées!$C$36*(1-S602)+MAX(0,Entrées!$C$30-Entrées!$C$35-Entrées!$C$36)*U602)*1000</f>
        <v>1076.29043188919</v>
      </c>
      <c r="AP602" s="2" t="n">
        <f aca="false">-AO602/W602</f>
        <v>-102.274779013707</v>
      </c>
      <c r="AQ602" s="2" t="n">
        <f aca="false">AL602+AM602+AN602+AP602</f>
        <v>7976.26670079715</v>
      </c>
      <c r="AR602" s="2" t="n">
        <f aca="false">O602*AQ602-Hypothèses!$J$25/Hypothèses!$J$19</f>
        <v>1361.20704463414</v>
      </c>
      <c r="AS602" s="2" t="n">
        <f aca="false">Entrées!$C$79*(1+Q602)+Hypothèses!$J$20</f>
        <v>1479.15476372765</v>
      </c>
      <c r="AT602" s="2" t="n">
        <f aca="false">AI602-AR602+AS602+Y602*1000-AO602+Hypothèses!$J$23</f>
        <v>22042.4561036806</v>
      </c>
      <c r="AU602" s="2" t="n">
        <f aca="false">AT602/AQ602</f>
        <v>2.763505400525</v>
      </c>
      <c r="AV602" s="2" t="n">
        <f aca="false">Hypothèses!$J$26*AQ602-AT602</f>
        <v>1886.34399871079</v>
      </c>
      <c r="AW602" s="2" t="n">
        <f aca="false">IF(AC602&gt;Hypothèses!$J$26,MAX(0,AV602)/(1-Hypothèses!$J$26/AC602),0)</f>
        <v>2722.13187401721</v>
      </c>
      <c r="AX602" s="2" t="n">
        <f aca="false">AQ602-Entrées!$C$17*1000</f>
        <v>-23.7332992028532</v>
      </c>
      <c r="AY602" s="2" t="n">
        <f aca="false">AI602+(Entrées!$C$244-Entrées!$C$13)</f>
        <v>28529.8960491694</v>
      </c>
      <c r="AZ602" s="2" t="n">
        <f aca="false">AA602*AH602</f>
        <v>5369.11621295533</v>
      </c>
      <c r="BA602" s="2" t="n">
        <f aca="false">AZ602/AY602</f>
        <v>0.188192631466375</v>
      </c>
      <c r="BB602" s="2" t="n">
        <f aca="false">AZ602/(Entrées!$C$151/100)-AY602</f>
        <v>1298.52735613794</v>
      </c>
      <c r="BC602" s="2" t="n">
        <f aca="false">AT602+(Entrées!$C$244-Entrées!$C$13)</f>
        <v>27789.4561036806</v>
      </c>
      <c r="BD602" s="2" t="n">
        <f aca="false">AA602*AQ602</f>
        <v>5691.39687835421</v>
      </c>
      <c r="BE602" s="2" t="n">
        <f aca="false">BD602/BC602</f>
        <v>0.204804183900541</v>
      </c>
      <c r="BF602" s="2" t="n">
        <f aca="false">BD602/(Entrées!$C$151/100)-BC602</f>
        <v>3829.41544273165</v>
      </c>
      <c r="BG602" s="2" t="n">
        <f aca="false">MIN(AV602,BF602)</f>
        <v>1886.34399871079</v>
      </c>
      <c r="BH602" s="2" t="n">
        <f aca="false">IF(AC602&gt;Hypothèses!$J$26,MAX(0,BG602)/(1-Hypothèses!$J$26/AC602),0)</f>
        <v>2722.13187401721</v>
      </c>
    </row>
    <row r="603" customFormat="false" ht="15" hidden="false" customHeight="false" outlineLevel="0" collapsed="false">
      <c r="A603" s="2" t="n">
        <v>588</v>
      </c>
      <c r="B603" s="2" t="n">
        <v>0.299198487</v>
      </c>
      <c r="C603" s="2"/>
      <c r="D603" s="2" t="n">
        <v>0.482956167</v>
      </c>
      <c r="E603" s="2" t="n">
        <f aca="false">IF(E$7=E$5,E$6,IF(NORMSDIST(E$9*SQRT($C$11)*NORMSINV($B603)+SQRT(1-E$9^2*$C$11)*NORMSINV(D603))&lt;E$8,E$5+SQRT(NORMSDIST(E$9*SQRT($C$11)*NORMSINV($B603)+SQRT(1-E$9^2*$C$11)*NORMSINV(D603))*(E$7-E$5)*(E$6-E$5)),E$7-SQRT((1-NORMSDIST(E$9*SQRT($C$11)*NORMSINV($B603)+SQRT(1-E$9^2*$C$11)*NORMSINV(D603)))*(E$7-E$5)*(E$7-E$6))))</f>
        <v>0.0542255167581658</v>
      </c>
      <c r="F603" s="2" t="n">
        <v>0.173923453</v>
      </c>
      <c r="G603" s="2" t="n">
        <f aca="false">IF(G$7=G$5,G$6,IF(NORMSDIST(G$9*SQRT($C$11)*NORMSINV($B603)+SQRT(1-G$9^2*$C$11)*NORMSINV(F603))&lt;G$8,G$5+SQRT(NORMSDIST(G$9*SQRT($C$11)*NORMSINV($B603)+SQRT(1-G$9^2*$C$11)*NORMSINV(F603))*(G$7-G$5)*(G$6-G$5)),G$7-SQRT((1-NORMSDIST(G$9*SQRT($C$11)*NORMSINV($B603)+SQRT(1-G$9^2*$C$11)*NORMSINV(F603)))*(G$7-G$5)*(G$7-G$6))))</f>
        <v>0.0480639857547302</v>
      </c>
      <c r="H603" s="2" t="n">
        <v>0.432057474</v>
      </c>
      <c r="I603" s="2" t="n">
        <f aca="false">IF(I$7=I$5,I$6,IF(NORMSDIST(I$9*SQRT($C$11)*NORMSINV($B603)+SQRT(1-I$9^2*$C$11)*NORMSINV(H603))&lt;I$8,I$5+SQRT(NORMSDIST(I$9*SQRT($C$11)*NORMSINV($B603)+SQRT(1-I$9^2*$C$11)*NORMSINV(H603))*(I$7-I$5)*(I$6-I$5)),I$7-SQRT((1-NORMSDIST(I$9*SQRT($C$11)*NORMSINV($B603)+SQRT(1-I$9^2*$C$11)*NORMSINV(H603)))*(I$7-I$5)*(I$7-I$6))))</f>
        <v>196.01802839404</v>
      </c>
      <c r="J603" s="2" t="n">
        <v>0.27311098</v>
      </c>
      <c r="K603" s="2" t="n">
        <f aca="false">IF(K$7=K$5,K$6,IF(NORMSDIST(K$9*SQRT($C$11)*NORMSINV($B603)+SQRT(1-K$9^2*$C$11)*NORMSINV(J603))&lt;K$8,K$5+SQRT(NORMSDIST(K$9*SQRT($C$11)*NORMSINV($B603)+SQRT(1-K$9^2*$C$11)*NORMSINV(J603))*(K$7-K$5)*(K$6-K$5)),K$7-SQRT((1-NORMSDIST(K$9*SQRT($C$11)*NORMSINV($B603)+SQRT(1-K$9^2*$C$11)*NORMSINV(J603)))*(K$7-K$5)*(K$7-K$6))))</f>
        <v>0.162673207500375</v>
      </c>
      <c r="L603" s="2" t="n">
        <v>0.510364919</v>
      </c>
      <c r="M603" s="2" t="n">
        <f aca="false">IF(M$7=M$5,M$6,IF(NORMSDIST(M$9*SQRT($C$11)*NORMSINV($B603)+SQRT(1-M$9^2*$C$11)*NORMSINV(L603))&lt;M$8,M$5+SQRT(NORMSDIST(M$9*SQRT($C$11)*NORMSINV($B603)+SQRT(1-M$9^2*$C$11)*NORMSINV(L603))*(M$7-M$5)*(M$6-M$5)),M$7-SQRT((1-NORMSDIST(M$9*SQRT($C$11)*NORMSINV($B603)+SQRT(1-M$9^2*$C$11)*NORMSINV(L603)))*(M$7-M$5)*(M$7-M$6))))</f>
        <v>1548.24734128075</v>
      </c>
      <c r="N603" s="2" t="n">
        <v>0.778455725</v>
      </c>
      <c r="O603" s="2" t="n">
        <f aca="false">IF(O$7=O$5,O$6,IF(NORMSDIST(O$9*SQRT($C$11)*NORMSINV($B603)+SQRT(1-O$9^2*$C$11)*NORMSINV(N603))&lt;O$8,O$5+SQRT(NORMSDIST(O$9*SQRT($C$11)*NORMSINV($B603)+SQRT(1-O$9^2*$C$11)*NORMSINV(N603))*(O$7-O$5)*(O$6-O$5)),O$7-SQRT((1-NORMSDIST(O$9*SQRT($C$11)*NORMSINV($B603)+SQRT(1-O$9^2*$C$11)*NORMSINV(N603)))*(O$7-O$5)*(O$7-O$6))))</f>
        <v>0.169434701246226</v>
      </c>
      <c r="P603" s="2" t="n">
        <v>0.037578481</v>
      </c>
      <c r="Q603" s="2" t="n">
        <f aca="false">IF(Q$7=Q$5,Q$6,IF(NORMSDIST(Q$9*SQRT($C$11)*NORMSINV($B603)+SQRT(1-Q$9^2*$C$11)*NORMSINV(P603))&lt;Q$8,Q$5+SQRT(NORMSDIST(Q$9*SQRT($C$11)*NORMSINV($B603)+SQRT(1-Q$9^2*$C$11)*NORMSINV(P603))*(Q$7-Q$5)*(Q$6-Q$5)),Q$7-SQRT((1-NORMSDIST(Q$9*SQRT($C$11)*NORMSINV($B603)+SQRT(1-Q$9^2*$C$11)*NORMSINV(P603)))*(Q$7-Q$5)*(Q$7-Q$6))))</f>
        <v>0.0509659080426566</v>
      </c>
      <c r="R603" s="2" t="n">
        <v>0.853904303</v>
      </c>
      <c r="S603" s="2" t="n">
        <f aca="false">IF(S$7=S$5,S$6,IF(NORMSDIST(S$9*SQRT($C$11)*NORMSINV($B603)+SQRT(1-S$9^2*$C$11)*NORMSINV(R603))&lt;S$8,S$5+SQRT(NORMSDIST(S$9*SQRT($C$11)*NORMSINV($B603)+SQRT(1-S$9^2*$C$11)*NORMSINV(R603))*(S$7-S$5)*(S$6-S$5)),S$7-SQRT((1-NORMSDIST(S$9*SQRT($C$11)*NORMSINV($B603)+SQRT(1-S$9^2*$C$11)*NORMSINV(R603)))*(S$7-S$5)*(S$7-S$6))))</f>
        <v>0.603373953654229</v>
      </c>
      <c r="T603" s="2" t="n">
        <v>0.223916773</v>
      </c>
      <c r="U603" s="2" t="n">
        <f aca="false">IF(U$7=U$5,U$6,IF(NORMSDIST(U$9*SQRT($C$11)*NORMSINV($B603)+SQRT(1-U$9^2*$C$11)*NORMSINV(T603))&lt;U$8,U$5+SQRT(NORMSDIST(U$9*SQRT($C$11)*NORMSINV($B603)+SQRT(1-U$9^2*$C$11)*NORMSINV(T603))*(U$7-U$5)*(U$6-U$5)),U$7-SQRT((1-NORMSDIST(U$9*SQRT($C$11)*NORMSINV($B603)+SQRT(1-U$9^2*$C$11)*NORMSINV(T603)))*(U$7-U$5)*(U$7-U$6))))</f>
        <v>0.298754867309794</v>
      </c>
      <c r="V603" s="2" t="n">
        <v>0.135059922</v>
      </c>
      <c r="W603" s="2" t="n">
        <f aca="false">IF(W$7=W$5,W$6,IF(NORMSDIST(W$9*SQRT($C$11)*NORMSINV($B603)+SQRT(1-W$9^2*$C$11)*NORMSINV(V603))&lt;W$8,W$5+SQRT(NORMSDIST(W$9*SQRT($C$11)*NORMSINV($B603)+SQRT(1-W$9^2*$C$11)*NORMSINV(V603))*(W$7-W$5)*(W$6-W$5)),W$7-SQRT((1-NORMSDIST(W$9*SQRT($C$11)*NORMSINV($B603)+SQRT(1-W$9^2*$C$11)*NORMSINV(V603)))*(W$7-W$5)*(W$7-W$6))))</f>
        <v>8.9697340404416</v>
      </c>
      <c r="X603" s="2" t="n">
        <v>0.833044744</v>
      </c>
      <c r="Y603" s="2" t="n">
        <f aca="false">IF(Y$7=Y$5,Y$6,IF(NORMSDIST(Y$9*SQRT($C$11)*NORMSINV($B603)+SQRT(1-Y$9^2*$C$11)*NORMSINV(X603))&lt;Y$8,Y$5+SQRT(NORMSDIST(Y$9*SQRT($C$11)*NORMSINV($B603)+SQRT(1-Y$9^2*$C$11)*NORMSINV(X603))*(Y$7-Y$5)*(Y$6-Y$5)),Y$7-SQRT((1-NORMSDIST(Y$9*SQRT($C$11)*NORMSINV($B603)+SQRT(1-Y$9^2*$C$11)*NORMSINV(X603)))*(Y$7-Y$5)*(Y$7-Y$6))))</f>
        <v>0.711075047806528</v>
      </c>
      <c r="Z603" s="2" t="n">
        <v>0.08034618</v>
      </c>
      <c r="AA603" s="2" t="n">
        <f aca="false">IF(AA$7=AA$5,AA$6,IF(NORMSDIST(AA$9*SQRT($C$11)*NORMSINV($B603)+SQRT(1-AA$9^2*$C$11)*NORMSINV(Z603))&lt;AA$8,AA$5+SQRT(NORMSDIST(AA$9*SQRT($C$11)*NORMSINV($B603)+SQRT(1-AA$9^2*$C$11)*NORMSINV(Z603))*(AA$7-AA$5)*(AA$6-AA$5)),AA$7-SQRT((1-NORMSDIST(AA$9*SQRT($C$11)*NORMSINV($B603)+SQRT(1-AA$9^2*$C$11)*NORMSINV(Z603)))*(AA$7-AA$5)*(AA$7-AA$6))))</f>
        <v>0.708234920252222</v>
      </c>
      <c r="AB603" s="2" t="n">
        <v>0.141001146</v>
      </c>
      <c r="AC603" s="2" t="n">
        <f aca="false">IF(AC$7=AC$5,AC$6,IF(NORMSDIST(AC$9*SQRT($C$11)*NORMSINV($B603)+SQRT(1-AC$9^2*$C$11)*NORMSINV(AB603))&lt;AC$8,AC$5+SQRT(NORMSDIST(AC$9*SQRT($C$11)*NORMSINV($B603)+SQRT(1-AC$9^2*$C$11)*NORMSINV(AB603))*(AC$7-AC$5)*(AC$6-AC$5)),AC$7-SQRT((1-NORMSDIST(AC$9*SQRT($C$11)*NORMSINV($B603)+SQRT(1-AC$9^2*$C$11)*NORMSINV(AB603)))*(AC$7-AC$5)*(AC$7-AC$6))))</f>
        <v>8.4254852753305</v>
      </c>
      <c r="AD603" s="2" t="n">
        <f aca="false">Entrées!$C$8*(1+E603)</f>
        <v>7432.28989314507</v>
      </c>
      <c r="AE603" s="2" t="n">
        <f aca="false">I603*Hypothèses!$J$24/12/Hypothèses!$J$19</f>
        <v>97.2439165061767</v>
      </c>
      <c r="AF603" s="2" t="n">
        <f aca="false">Entrées!$C$36*S603*1000</f>
        <v>301.686976827115</v>
      </c>
      <c r="AG603" s="2" t="n">
        <f aca="false">-AF603/W603</f>
        <v>-33.6338820601488</v>
      </c>
      <c r="AH603" s="2" t="n">
        <f aca="false">AD603+AE603+AG603</f>
        <v>7495.8999275911</v>
      </c>
      <c r="AI603" s="2" t="n">
        <f aca="false">Entrées!$C$16-M603+Hypothèses!$J$22*1000-AF603+Hypothèses!$J$23</f>
        <v>22698.0656818921</v>
      </c>
      <c r="AJ603" s="2" t="n">
        <f aca="false">AI603/AH603</f>
        <v>3.02806412854373</v>
      </c>
      <c r="AK603" s="2" t="n">
        <f aca="false">AI603/(AH603+I603*(12-Hypothèses!$J$24)/12/Hypothèses!$J$19)</f>
        <v>3.00026252261212</v>
      </c>
      <c r="AL603" s="2" t="n">
        <f aca="false">(AD603+AG603+I603/Hypothèses!$J$19)*(1+G603)</f>
        <v>7928.98121687534</v>
      </c>
      <c r="AM603" s="2" t="n">
        <f aca="false">Entrées!$C$54*K603/Hypothèses!$J$19</f>
        <v>16.6014838460737</v>
      </c>
      <c r="AN603" s="2" t="n">
        <f aca="false">Y603*1000/AC603</f>
        <v>84.3957379984425</v>
      </c>
      <c r="AO603" s="2" t="n">
        <f aca="false">(Entrées!$C$36*(1-S603)+MAX(0,Entrées!$C$30-Entrées!$C$35-Entrées!$C$36)*U603)*1000</f>
        <v>616.569837406596</v>
      </c>
      <c r="AP603" s="2" t="n">
        <f aca="false">-AO603/W603</f>
        <v>-68.7389207558089</v>
      </c>
      <c r="AQ603" s="2" t="n">
        <f aca="false">AL603+AM603+AN603+AP603</f>
        <v>7961.23951796404</v>
      </c>
      <c r="AR603" s="2" t="n">
        <f aca="false">O603*AQ603-Hypothèses!$J$25/Hypothèses!$J$19</f>
        <v>1329.77507701426</v>
      </c>
      <c r="AS603" s="2" t="n">
        <f aca="false">Entrées!$C$79*(1+Q603)+Hypothèses!$J$20</f>
        <v>1450.01153293888</v>
      </c>
      <c r="AT603" s="2" t="n">
        <f aca="false">AI603-AR603+AS603+Y603*1000-AO603+Hypothèses!$J$23</f>
        <v>22912.8073482167</v>
      </c>
      <c r="AU603" s="2" t="n">
        <f aca="false">AT603/AQ603</f>
        <v>2.87804522103818</v>
      </c>
      <c r="AV603" s="2" t="n">
        <f aca="false">Hypothèses!$J$26*AQ603-AT603</f>
        <v>970.911205675446</v>
      </c>
      <c r="AW603" s="2" t="n">
        <f aca="false">IF(AC603&gt;Hypothèses!$J$26,MAX(0,AV603)/(1-Hypothèses!$J$26/AC603),0)</f>
        <v>1507.772605018</v>
      </c>
      <c r="AX603" s="2" t="n">
        <f aca="false">AQ603-Entrées!$C$17*1000</f>
        <v>-38.7604820359575</v>
      </c>
      <c r="AY603" s="2" t="n">
        <f aca="false">AI603+(Entrées!$C$244-Entrées!$C$13)</f>
        <v>28445.0656818921</v>
      </c>
      <c r="AZ603" s="2" t="n">
        <f aca="false">AA603*AH603</f>
        <v>5308.85808743612</v>
      </c>
      <c r="BA603" s="2" t="n">
        <f aca="false">AZ603/AY603</f>
        <v>0.186635465947111</v>
      </c>
      <c r="BB603" s="2" t="n">
        <f aca="false">AZ603/(Entrées!$C$151/100)-AY603</f>
        <v>1048.59035941963</v>
      </c>
      <c r="BC603" s="2" t="n">
        <f aca="false">AT603+(Entrées!$C$244-Entrées!$C$13)</f>
        <v>28659.8073482167</v>
      </c>
      <c r="BD603" s="2" t="n">
        <f aca="false">AA603*AQ603</f>
        <v>5638.4278351141</v>
      </c>
      <c r="BE603" s="2" t="n">
        <f aca="false">BD603/BC603</f>
        <v>0.196736417890295</v>
      </c>
      <c r="BF603" s="2" t="n">
        <f aca="false">BD603/(Entrées!$C$151/100)-BC603</f>
        <v>2664.79173575055</v>
      </c>
      <c r="BG603" s="2" t="n">
        <f aca="false">MIN(AV603,BF603)</f>
        <v>970.911205675446</v>
      </c>
      <c r="BH603" s="2" t="n">
        <f aca="false">IF(AC603&gt;Hypothèses!$J$26,MAX(0,BG603)/(1-Hypothèses!$J$26/AC603),0)</f>
        <v>1507.772605018</v>
      </c>
    </row>
    <row r="604" customFormat="false" ht="15" hidden="false" customHeight="false" outlineLevel="0" collapsed="false">
      <c r="A604" s="2" t="n">
        <v>589</v>
      </c>
      <c r="B604" s="2" t="n">
        <v>0.516602197</v>
      </c>
      <c r="C604" s="2"/>
      <c r="D604" s="2" t="n">
        <v>0.174149942</v>
      </c>
      <c r="E604" s="2" t="n">
        <f aca="false">IF(E$7=E$5,E$6,IF(NORMSDIST(E$9*SQRT($C$11)*NORMSINV($B604)+SQRT(1-E$9^2*$C$11)*NORMSINV(D604))&lt;E$8,E$5+SQRT(NORMSDIST(E$9*SQRT($C$11)*NORMSINV($B604)+SQRT(1-E$9^2*$C$11)*NORMSINV(D604))*(E$7-E$5)*(E$6-E$5)),E$7-SQRT((1-NORMSDIST(E$9*SQRT($C$11)*NORMSINV($B604)+SQRT(1-E$9^2*$C$11)*NORMSINV(D604)))*(E$7-E$5)*(E$7-E$6))))</f>
        <v>0.0534778839978871</v>
      </c>
      <c r="F604" s="2" t="n">
        <v>0.065731704</v>
      </c>
      <c r="G604" s="2" t="n">
        <f aca="false">IF(G$7=G$5,G$6,IF(NORMSDIST(G$9*SQRT($C$11)*NORMSINV($B604)+SQRT(1-G$9^2*$C$11)*NORMSINV(F604))&lt;G$8,G$5+SQRT(NORMSDIST(G$9*SQRT($C$11)*NORMSINV($B604)+SQRT(1-G$9^2*$C$11)*NORMSINV(F604))*(G$7-G$5)*(G$6-G$5)),G$7-SQRT((1-NORMSDIST(G$9*SQRT($C$11)*NORMSINV($B604)+SQRT(1-G$9^2*$C$11)*NORMSINV(F604)))*(G$7-G$5)*(G$7-G$6))))</f>
        <v>0.0475513845888052</v>
      </c>
      <c r="H604" s="2" t="n">
        <v>0.425170153</v>
      </c>
      <c r="I604" s="2" t="n">
        <f aca="false">IF(I$7=I$5,I$6,IF(NORMSDIST(I$9*SQRT($C$11)*NORMSINV($B604)+SQRT(1-I$9^2*$C$11)*NORMSINV(H604))&lt;I$8,I$5+SQRT(NORMSDIST(I$9*SQRT($C$11)*NORMSINV($B604)+SQRT(1-I$9^2*$C$11)*NORMSINV(H604))*(I$7-I$5)*(I$6-I$5)),I$7-SQRT((1-NORMSDIST(I$9*SQRT($C$11)*NORMSINV($B604)+SQRT(1-I$9^2*$C$11)*NORMSINV(H604)))*(I$7-I$5)*(I$7-I$6))))</f>
        <v>199.022308025744</v>
      </c>
      <c r="J604" s="2" t="n">
        <v>0.149359159</v>
      </c>
      <c r="K604" s="2" t="n">
        <f aca="false">IF(K$7=K$5,K$6,IF(NORMSDIST(K$9*SQRT($C$11)*NORMSINV($B604)+SQRT(1-K$9^2*$C$11)*NORMSINV(J604))&lt;K$8,K$5+SQRT(NORMSDIST(K$9*SQRT($C$11)*NORMSINV($B604)+SQRT(1-K$9^2*$C$11)*NORMSINV(J604))*(K$7-K$5)*(K$6-K$5)),K$7-SQRT((1-NORMSDIST(K$9*SQRT($C$11)*NORMSINV($B604)+SQRT(1-K$9^2*$C$11)*NORMSINV(J604)))*(K$7-K$5)*(K$7-K$6))))</f>
        <v>0.165114020220974</v>
      </c>
      <c r="L604" s="2" t="n">
        <v>0.413609621</v>
      </c>
      <c r="M604" s="2" t="n">
        <f aca="false">IF(M$7=M$5,M$6,IF(NORMSDIST(M$9*SQRT($C$11)*NORMSINV($B604)+SQRT(1-M$9^2*$C$11)*NORMSINV(L604))&lt;M$8,M$5+SQRT(NORMSDIST(M$9*SQRT($C$11)*NORMSINV($B604)+SQRT(1-M$9^2*$C$11)*NORMSINV(L604))*(M$7-M$5)*(M$6-M$5)),M$7-SQRT((1-NORMSDIST(M$9*SQRT($C$11)*NORMSINV($B604)+SQRT(1-M$9^2*$C$11)*NORMSINV(L604)))*(M$7-M$5)*(M$7-M$6))))</f>
        <v>1568.85584569608</v>
      </c>
      <c r="N604" s="2" t="n">
        <v>0.493029111</v>
      </c>
      <c r="O604" s="2" t="n">
        <f aca="false">IF(O$7=O$5,O$6,IF(NORMSDIST(O$9*SQRT($C$11)*NORMSINV($B604)+SQRT(1-O$9^2*$C$11)*NORMSINV(N604))&lt;O$8,O$5+SQRT(NORMSDIST(O$9*SQRT($C$11)*NORMSINV($B604)+SQRT(1-O$9^2*$C$11)*NORMSINV(N604))*(O$7-O$5)*(O$6-O$5)),O$7-SQRT((1-NORMSDIST(O$9*SQRT($C$11)*NORMSINV($B604)+SQRT(1-O$9^2*$C$11)*NORMSINV(N604)))*(O$7-O$5)*(O$7-O$6))))</f>
        <v>0.166920831963209</v>
      </c>
      <c r="P604" s="2" t="n">
        <v>0.569917246</v>
      </c>
      <c r="Q604" s="2" t="n">
        <f aca="false">IF(Q$7=Q$5,Q$6,IF(NORMSDIST(Q$9*SQRT($C$11)*NORMSINV($B604)+SQRT(1-Q$9^2*$C$11)*NORMSINV(P604))&lt;Q$8,Q$5+SQRT(NORMSDIST(Q$9*SQRT($C$11)*NORMSINV($B604)+SQRT(1-Q$9^2*$C$11)*NORMSINV(P604))*(Q$7-Q$5)*(Q$6-Q$5)),Q$7-SQRT((1-NORMSDIST(Q$9*SQRT($C$11)*NORMSINV($B604)+SQRT(1-Q$9^2*$C$11)*NORMSINV(P604)))*(Q$7-Q$5)*(Q$7-Q$6))))</f>
        <v>0.0829019567524108</v>
      </c>
      <c r="R604" s="2" t="n">
        <v>0.100717381</v>
      </c>
      <c r="S604" s="2" t="n">
        <f aca="false">IF(S$7=S$5,S$6,IF(NORMSDIST(S$9*SQRT($C$11)*NORMSINV($B604)+SQRT(1-S$9^2*$C$11)*NORMSINV(R604))&lt;S$8,S$5+SQRT(NORMSDIST(S$9*SQRT($C$11)*NORMSINV($B604)+SQRT(1-S$9^2*$C$11)*NORMSINV(R604))*(S$7-S$5)*(S$6-S$5)),S$7-SQRT((1-NORMSDIST(S$9*SQRT($C$11)*NORMSINV($B604)+SQRT(1-S$9^2*$C$11)*NORMSINV(R604)))*(S$7-S$5)*(S$7-S$6))))</f>
        <v>0.289589015144996</v>
      </c>
      <c r="T604" s="2" t="n">
        <v>0.549204498</v>
      </c>
      <c r="U604" s="2" t="n">
        <f aca="false">IF(U$7=U$5,U$6,IF(NORMSDIST(U$9*SQRT($C$11)*NORMSINV($B604)+SQRT(1-U$9^2*$C$11)*NORMSINV(T604))&lt;U$8,U$5+SQRT(NORMSDIST(U$9*SQRT($C$11)*NORMSINV($B604)+SQRT(1-U$9^2*$C$11)*NORMSINV(T604))*(U$7-U$5)*(U$6-U$5)),U$7-SQRT((1-NORMSDIST(U$9*SQRT($C$11)*NORMSINV($B604)+SQRT(1-U$9^2*$C$11)*NORMSINV(T604)))*(U$7-U$5)*(U$7-U$6))))</f>
        <v>0.524917474035801</v>
      </c>
      <c r="V604" s="2" t="n">
        <v>0.617534479</v>
      </c>
      <c r="W604" s="2" t="n">
        <f aca="false">IF(W$7=W$5,W$6,IF(NORMSDIST(W$9*SQRT($C$11)*NORMSINV($B604)+SQRT(1-W$9^2*$C$11)*NORMSINV(V604))&lt;W$8,W$5+SQRT(NORMSDIST(W$9*SQRT($C$11)*NORMSINV($B604)+SQRT(1-W$9^2*$C$11)*NORMSINV(V604))*(W$7-W$5)*(W$6-W$5)),W$7-SQRT((1-NORMSDIST(W$9*SQRT($C$11)*NORMSINV($B604)+SQRT(1-W$9^2*$C$11)*NORMSINV(V604)))*(W$7-W$5)*(W$7-W$6))))</f>
        <v>10.2151164213245</v>
      </c>
      <c r="X604" s="2" t="n">
        <v>0.168168852</v>
      </c>
      <c r="Y604" s="2" t="n">
        <f aca="false">IF(Y$7=Y$5,Y$6,IF(NORMSDIST(Y$9*SQRT($C$11)*NORMSINV($B604)+SQRT(1-Y$9^2*$C$11)*NORMSINV(X604))&lt;Y$8,Y$5+SQRT(NORMSDIST(Y$9*SQRT($C$11)*NORMSINV($B604)+SQRT(1-Y$9^2*$C$11)*NORMSINV(X604))*(Y$7-Y$5)*(Y$6-Y$5)),Y$7-SQRT((1-NORMSDIST(Y$9*SQRT($C$11)*NORMSINV($B604)+SQRT(1-Y$9^2*$C$11)*NORMSINV(X604)))*(Y$7-Y$5)*(Y$7-Y$6))))</f>
        <v>0.289973147032617</v>
      </c>
      <c r="Z604" s="2" t="n">
        <v>0.329619108</v>
      </c>
      <c r="AA604" s="2" t="n">
        <f aca="false">IF(AA$7=AA$5,AA$6,IF(NORMSDIST(AA$9*SQRT($C$11)*NORMSINV($B604)+SQRT(1-AA$9^2*$C$11)*NORMSINV(Z604))&lt;AA$8,AA$5+SQRT(NORMSDIST(AA$9*SQRT($C$11)*NORMSINV($B604)+SQRT(1-AA$9^2*$C$11)*NORMSINV(Z604))*(AA$7-AA$5)*(AA$6-AA$5)),AA$7-SQRT((1-NORMSDIST(AA$9*SQRT($C$11)*NORMSINV($B604)+SQRT(1-AA$9^2*$C$11)*NORMSINV(Z604)))*(AA$7-AA$5)*(AA$7-AA$6))))</f>
        <v>0.723714758322924</v>
      </c>
      <c r="AB604" s="2" t="n">
        <v>0.710359781</v>
      </c>
      <c r="AC604" s="2" t="n">
        <f aca="false">IF(AC$7=AC$5,AC$6,IF(NORMSDIST(AC$9*SQRT($C$11)*NORMSINV($B604)+SQRT(1-AC$9^2*$C$11)*NORMSINV(AB604))&lt;AC$8,AC$5+SQRT(NORMSDIST(AC$9*SQRT($C$11)*NORMSINV($B604)+SQRT(1-AC$9^2*$C$11)*NORMSINV(AB604))*(AC$7-AC$5)*(AC$6-AC$5)),AC$7-SQRT((1-NORMSDIST(AC$9*SQRT($C$11)*NORMSINV($B604)+SQRT(1-AC$9^2*$C$11)*NORMSINV(AB604)))*(AC$7-AC$5)*(AC$7-AC$6))))</f>
        <v>9.8164267798356</v>
      </c>
      <c r="AD604" s="2" t="n">
        <f aca="false">Entrées!$C$8*(1+E604)</f>
        <v>7427.0190821851</v>
      </c>
      <c r="AE604" s="2" t="n">
        <f aca="false">I604*Hypothèses!$J$24/12/Hypothèses!$J$19</f>
        <v>98.7343300158939</v>
      </c>
      <c r="AF604" s="2" t="n">
        <f aca="false">Entrées!$C$36*S604*1000</f>
        <v>144.794507572498</v>
      </c>
      <c r="AG604" s="2" t="n">
        <f aca="false">-AF604/W604</f>
        <v>-14.1745332701479</v>
      </c>
      <c r="AH604" s="2" t="n">
        <f aca="false">AD604+AE604+AG604</f>
        <v>7511.57887893085</v>
      </c>
      <c r="AI604" s="2" t="n">
        <f aca="false">Entrées!$C$16-M604+Hypothèses!$J$22*1000-AF604+Hypothèses!$J$23</f>
        <v>22834.3496467314</v>
      </c>
      <c r="AJ604" s="2" t="n">
        <f aca="false">AI604/AH604</f>
        <v>3.03988682203408</v>
      </c>
      <c r="AK604" s="2" t="n">
        <f aca="false">AI604/(AH604+I604*(12-Hypothèses!$J$24)/12/Hypothèses!$J$19)</f>
        <v>3.01161148047847</v>
      </c>
      <c r="AL604" s="2" t="n">
        <f aca="false">(AD604+AG604+I604/Hypothèses!$J$19)*(1+G604)</f>
        <v>7942.64291515389</v>
      </c>
      <c r="AM604" s="2" t="n">
        <f aca="false">Entrées!$C$54*K604/Hypothèses!$J$19</f>
        <v>16.8505790325212</v>
      </c>
      <c r="AN604" s="2" t="n">
        <f aca="false">Y604*1000/AC604</f>
        <v>29.5395823282934</v>
      </c>
      <c r="AO604" s="2" t="n">
        <f aca="false">(Entrées!$C$36*(1-S604)+MAX(0,Entrées!$C$30-Entrées!$C$35-Entrées!$C$36)*U604)*1000</f>
        <v>1090.08995607762</v>
      </c>
      <c r="AP604" s="2" t="n">
        <f aca="false">-AO604/W604</f>
        <v>-106.713414817477</v>
      </c>
      <c r="AQ604" s="2" t="n">
        <f aca="false">AL604+AM604+AN604+AP604</f>
        <v>7882.31966169723</v>
      </c>
      <c r="AR604" s="2" t="n">
        <f aca="false">O604*AQ604-Hypothèses!$J$25/Hypothèses!$J$19</f>
        <v>1296.58819346884</v>
      </c>
      <c r="AS604" s="2" t="n">
        <f aca="false">Entrées!$C$79*(1+Q604)+Hypothèses!$J$20</f>
        <v>1485.1092504709</v>
      </c>
      <c r="AT604" s="2" t="n">
        <f aca="false">AI604-AR604+AS604+Y604*1000-AO604+Hypothèses!$J$23</f>
        <v>22222.7538946885</v>
      </c>
      <c r="AU604" s="2" t="n">
        <f aca="false">AT604/AQ604</f>
        <v>2.81931650180037</v>
      </c>
      <c r="AV604" s="2" t="n">
        <f aca="false">Hypothèses!$J$26*AQ604-AT604</f>
        <v>1424.2050904032</v>
      </c>
      <c r="AW604" s="2" t="n">
        <f aca="false">IF(AC604&gt;Hypothèses!$J$26,MAX(0,AV604)/(1-Hypothèses!$J$26/AC604),0)</f>
        <v>2051.01667500775</v>
      </c>
      <c r="AX604" s="2" t="n">
        <f aca="false">AQ604-Entrées!$C$17*1000</f>
        <v>-117.68033830277</v>
      </c>
      <c r="AY604" s="2" t="n">
        <f aca="false">AI604+(Entrées!$C$244-Entrées!$C$13)</f>
        <v>28581.3496467314</v>
      </c>
      <c r="AZ604" s="2" t="n">
        <f aca="false">AA604*AH604</f>
        <v>5436.24049298902</v>
      </c>
      <c r="BA604" s="2" t="n">
        <f aca="false">AZ604/AY604</f>
        <v>0.190202371832735</v>
      </c>
      <c r="BB604" s="2" t="n">
        <f aca="false">AZ604/(Entrées!$C$151/100)-AY604</f>
        <v>1619.98642542979</v>
      </c>
      <c r="BC604" s="2" t="n">
        <f aca="false">AT604+(Entrées!$C$244-Entrées!$C$13)</f>
        <v>27969.7538946885</v>
      </c>
      <c r="BD604" s="2" t="n">
        <f aca="false">AA604*AQ604</f>
        <v>5704.55106898924</v>
      </c>
      <c r="BE604" s="2" t="n">
        <f aca="false">BD604/BC604</f>
        <v>0.203954281845596</v>
      </c>
      <c r="BF604" s="2" t="n">
        <f aca="false">BD604/(Entrées!$C$151/100)-BC604</f>
        <v>3722.19648858508</v>
      </c>
      <c r="BG604" s="2" t="n">
        <f aca="false">MIN(AV604,BF604)</f>
        <v>1424.2050904032</v>
      </c>
      <c r="BH604" s="2" t="n">
        <f aca="false">IF(AC604&gt;Hypothèses!$J$26,MAX(0,BG604)/(1-Hypothèses!$J$26/AC604),0)</f>
        <v>2051.01667500775</v>
      </c>
    </row>
    <row r="605" customFormat="false" ht="15" hidden="false" customHeight="false" outlineLevel="0" collapsed="false">
      <c r="A605" s="2" t="n">
        <v>590</v>
      </c>
      <c r="B605" s="2" t="n">
        <v>0.431520403</v>
      </c>
      <c r="C605" s="2"/>
      <c r="D605" s="2" t="n">
        <v>0.333152933</v>
      </c>
      <c r="E605" s="2" t="n">
        <f aca="false">IF(E$7=E$5,E$6,IF(NORMSDIST(E$9*SQRT($C$11)*NORMSINV($B605)+SQRT(1-E$9^2*$C$11)*NORMSINV(D605))&lt;E$8,E$5+SQRT(NORMSDIST(E$9*SQRT($C$11)*NORMSINV($B605)+SQRT(1-E$9^2*$C$11)*NORMSINV(D605))*(E$7-E$5)*(E$6-E$5)),E$7-SQRT((1-NORMSDIST(E$9*SQRT($C$11)*NORMSINV($B605)+SQRT(1-E$9^2*$C$11)*NORMSINV(D605)))*(E$7-E$5)*(E$7-E$6))))</f>
        <v>0.0540548573892082</v>
      </c>
      <c r="F605" s="2" t="n">
        <v>0.586748796</v>
      </c>
      <c r="G605" s="2" t="n">
        <f aca="false">IF(G$7=G$5,G$6,IF(NORMSDIST(G$9*SQRT($C$11)*NORMSINV($B605)+SQRT(1-G$9^2*$C$11)*NORMSINV(F605))&lt;G$8,G$5+SQRT(NORMSDIST(G$9*SQRT($C$11)*NORMSINV($B605)+SQRT(1-G$9^2*$C$11)*NORMSINV(F605))*(G$7-G$5)*(G$6-G$5)),G$7-SQRT((1-NORMSDIST(G$9*SQRT($C$11)*NORMSINV($B605)+SQRT(1-G$9^2*$C$11)*NORMSINV(F605)))*(G$7-G$5)*(G$7-G$6))))</f>
        <v>0.0553674058418223</v>
      </c>
      <c r="H605" s="2" t="n">
        <v>0.556356702</v>
      </c>
      <c r="I605" s="2" t="n">
        <f aca="false">IF(I$7=I$5,I$6,IF(NORMSDIST(I$9*SQRT($C$11)*NORMSINV($B605)+SQRT(1-I$9^2*$C$11)*NORMSINV(H605))&lt;I$8,I$5+SQRT(NORMSDIST(I$9*SQRT($C$11)*NORMSINV($B605)+SQRT(1-I$9^2*$C$11)*NORMSINV(H605))*(I$7-I$5)*(I$6-I$5)),I$7-SQRT((1-NORMSDIST(I$9*SQRT($C$11)*NORMSINV($B605)+SQRT(1-I$9^2*$C$11)*NORMSINV(H605)))*(I$7-I$5)*(I$7-I$6))))</f>
        <v>200.005495129378</v>
      </c>
      <c r="J605" s="2" t="n">
        <v>0.96512235</v>
      </c>
      <c r="K605" s="2" t="n">
        <f aca="false">IF(K$7=K$5,K$6,IF(NORMSDIST(K$9*SQRT($C$11)*NORMSINV($B605)+SQRT(1-K$9^2*$C$11)*NORMSINV(J605))&lt;K$8,K$5+SQRT(NORMSDIST(K$9*SQRT($C$11)*NORMSINV($B605)+SQRT(1-K$9^2*$C$11)*NORMSINV(J605))*(K$7-K$5)*(K$6-K$5)),K$7-SQRT((1-NORMSDIST(K$9*SQRT($C$11)*NORMSINV($B605)+SQRT(1-K$9^2*$C$11)*NORMSINV(J605)))*(K$7-K$5)*(K$7-K$6))))</f>
        <v>0.389573520001242</v>
      </c>
      <c r="L605" s="2" t="n">
        <v>0.512848976</v>
      </c>
      <c r="M605" s="2" t="n">
        <f aca="false">IF(M$7=M$5,M$6,IF(NORMSDIST(M$9*SQRT($C$11)*NORMSINV($B605)+SQRT(1-M$9^2*$C$11)*NORMSINV(L605))&lt;M$8,M$5+SQRT(NORMSDIST(M$9*SQRT($C$11)*NORMSINV($B605)+SQRT(1-M$9^2*$C$11)*NORMSINV(L605))*(M$7-M$5)*(M$6-M$5)),M$7-SQRT((1-NORMSDIST(M$9*SQRT($C$11)*NORMSINV($B605)+SQRT(1-M$9^2*$C$11)*NORMSINV(L605)))*(M$7-M$5)*(M$7-M$6))))</f>
        <v>1575.72606134501</v>
      </c>
      <c r="N605" s="2" t="n">
        <v>0.621797982</v>
      </c>
      <c r="O605" s="2" t="n">
        <f aca="false">IF(O$7=O$5,O$6,IF(NORMSDIST(O$9*SQRT($C$11)*NORMSINV($B605)+SQRT(1-O$9^2*$C$11)*NORMSINV(N605))&lt;O$8,O$5+SQRT(NORMSDIST(O$9*SQRT($C$11)*NORMSINV($B605)+SQRT(1-O$9^2*$C$11)*NORMSINV(N605))*(O$7-O$5)*(O$6-O$5)),O$7-SQRT((1-NORMSDIST(O$9*SQRT($C$11)*NORMSINV($B605)+SQRT(1-O$9^2*$C$11)*NORMSINV(N605)))*(O$7-O$5)*(O$7-O$6))))</f>
        <v>0.168147555415069</v>
      </c>
      <c r="P605" s="2" t="n">
        <v>0.986088519</v>
      </c>
      <c r="Q605" s="2" t="n">
        <f aca="false">IF(Q$7=Q$5,Q$6,IF(NORMSDIST(Q$9*SQRT($C$11)*NORMSINV($B605)+SQRT(1-Q$9^2*$C$11)*NORMSINV(P605))&lt;Q$8,Q$5+SQRT(NORMSDIST(Q$9*SQRT($C$11)*NORMSINV($B605)+SQRT(1-Q$9^2*$C$11)*NORMSINV(P605))*(Q$7-Q$5)*(Q$6-Q$5)),Q$7-SQRT((1-NORMSDIST(Q$9*SQRT($C$11)*NORMSINV($B605)+SQRT(1-Q$9^2*$C$11)*NORMSINV(P605)))*(Q$7-Q$5)*(Q$7-Q$6))))</f>
        <v>0.113327913429818</v>
      </c>
      <c r="R605" s="2" t="n">
        <v>0.522855456</v>
      </c>
      <c r="S605" s="2" t="n">
        <f aca="false">IF(S$7=S$5,S$6,IF(NORMSDIST(S$9*SQRT($C$11)*NORMSINV($B605)+SQRT(1-S$9^2*$C$11)*NORMSINV(R605))&lt;S$8,S$5+SQRT(NORMSDIST(S$9*SQRT($C$11)*NORMSINV($B605)+SQRT(1-S$9^2*$C$11)*NORMSINV(R605))*(S$7-S$5)*(S$6-S$5)),S$7-SQRT((1-NORMSDIST(S$9*SQRT($C$11)*NORMSINV($B605)+SQRT(1-S$9^2*$C$11)*NORMSINV(R605)))*(S$7-S$5)*(S$7-S$6))))</f>
        <v>0.486932358622883</v>
      </c>
      <c r="T605" s="2" t="n">
        <v>0.954806901</v>
      </c>
      <c r="U605" s="2" t="n">
        <f aca="false">IF(U$7=U$5,U$6,IF(NORMSDIST(U$9*SQRT($C$11)*NORMSINV($B605)+SQRT(1-U$9^2*$C$11)*NORMSINV(T605))&lt;U$8,U$5+SQRT(NORMSDIST(U$9*SQRT($C$11)*NORMSINV($B605)+SQRT(1-U$9^2*$C$11)*NORMSINV(T605))*(U$7-U$5)*(U$6-U$5)),U$7-SQRT((1-NORMSDIST(U$9*SQRT($C$11)*NORMSINV($B605)+SQRT(1-U$9^2*$C$11)*NORMSINV(T605)))*(U$7-U$5)*(U$7-U$6))))</f>
        <v>0.760656235363481</v>
      </c>
      <c r="V605" s="2" t="n">
        <v>0.609925541</v>
      </c>
      <c r="W605" s="2" t="n">
        <f aca="false">IF(W$7=W$5,W$6,IF(NORMSDIST(W$9*SQRT($C$11)*NORMSINV($B605)+SQRT(1-W$9^2*$C$11)*NORMSINV(V605))&lt;W$8,W$5+SQRT(NORMSDIST(W$9*SQRT($C$11)*NORMSINV($B605)+SQRT(1-W$9^2*$C$11)*NORMSINV(V605))*(W$7-W$5)*(W$6-W$5)),W$7-SQRT((1-NORMSDIST(W$9*SQRT($C$11)*NORMSINV($B605)+SQRT(1-W$9^2*$C$11)*NORMSINV(V605)))*(W$7-W$5)*(W$7-W$6))))</f>
        <v>10.087197349465</v>
      </c>
      <c r="X605" s="2" t="n">
        <v>0.965254417</v>
      </c>
      <c r="Y605" s="2" t="n">
        <f aca="false">IF(Y$7=Y$5,Y$6,IF(NORMSDIST(Y$9*SQRT($C$11)*NORMSINV($B605)+SQRT(1-Y$9^2*$C$11)*NORMSINV(X605))&lt;Y$8,Y$5+SQRT(NORMSDIST(Y$9*SQRT($C$11)*NORMSINV($B605)+SQRT(1-Y$9^2*$C$11)*NORMSINV(X605))*(Y$7-Y$5)*(Y$6-Y$5)),Y$7-SQRT((1-NORMSDIST(Y$9*SQRT($C$11)*NORMSINV($B605)+SQRT(1-Y$9^2*$C$11)*NORMSINV(X605)))*(Y$7-Y$5)*(Y$7-Y$6))))</f>
        <v>0.86819411431958</v>
      </c>
      <c r="Z605" s="2" t="n">
        <v>0.926319975</v>
      </c>
      <c r="AA605" s="2" t="n">
        <f aca="false">IF(AA$7=AA$5,AA$6,IF(NORMSDIST(AA$9*SQRT($C$11)*NORMSINV($B605)+SQRT(1-AA$9^2*$C$11)*NORMSINV(Z605))&lt;AA$8,AA$5+SQRT(NORMSDIST(AA$9*SQRT($C$11)*NORMSINV($B605)+SQRT(1-AA$9^2*$C$11)*NORMSINV(Z605))*(AA$7-AA$5)*(AA$6-AA$5)),AA$7-SQRT((1-NORMSDIST(AA$9*SQRT($C$11)*NORMSINV($B605)+SQRT(1-AA$9^2*$C$11)*NORMSINV(Z605)))*(AA$7-AA$5)*(AA$7-AA$6))))</f>
        <v>0.73973402082102</v>
      </c>
      <c r="AB605" s="2" t="n">
        <v>0.874448779</v>
      </c>
      <c r="AC605" s="2" t="n">
        <f aca="false">IF(AC$7=AC$5,AC$6,IF(NORMSDIST(AC$9*SQRT($C$11)*NORMSINV($B605)+SQRT(1-AC$9^2*$C$11)*NORMSINV(AB605))&lt;AC$8,AC$5+SQRT(NORMSDIST(AC$9*SQRT($C$11)*NORMSINV($B605)+SQRT(1-AC$9^2*$C$11)*NORMSINV(AB605))*(AC$7-AC$5)*(AC$6-AC$5)),AC$7-SQRT((1-NORMSDIST(AC$9*SQRT($C$11)*NORMSINV($B605)+SQRT(1-AC$9^2*$C$11)*NORMSINV(AB605)))*(AC$7-AC$5)*(AC$7-AC$6))))</f>
        <v>10.0301590863906</v>
      </c>
      <c r="AD605" s="2" t="n">
        <f aca="false">Entrées!$C$8*(1+E605)</f>
        <v>7431.08674459392</v>
      </c>
      <c r="AE605" s="2" t="n">
        <f aca="false">I605*Hypothèses!$J$24/12/Hypothèses!$J$19</f>
        <v>99.222085991194</v>
      </c>
      <c r="AF605" s="2" t="n">
        <f aca="false">Entrées!$C$36*S605*1000</f>
        <v>243.466179311442</v>
      </c>
      <c r="AG605" s="2" t="n">
        <f aca="false">-AF605/W605</f>
        <v>-24.1361570391358</v>
      </c>
      <c r="AH605" s="2" t="n">
        <f aca="false">AD605+AE605+AG605</f>
        <v>7506.17267354598</v>
      </c>
      <c r="AI605" s="2" t="n">
        <f aca="false">Entrées!$C$16-M605+Hypothèses!$J$22*1000-AF605+Hypothèses!$J$23</f>
        <v>22728.8077593436</v>
      </c>
      <c r="AJ605" s="2" t="n">
        <f aca="false">AI605/AH605</f>
        <v>3.02801557436145</v>
      </c>
      <c r="AK605" s="2" t="n">
        <f aca="false">AI605/(AH605+I605*(12-Hypothèses!$J$24)/12/Hypothèses!$J$19)</f>
        <v>2.99969262201719</v>
      </c>
      <c r="AL605" s="2" t="n">
        <f aca="false">(AD605+AG605+I605/Hypothèses!$J$19)*(1+G605)</f>
        <v>7996.56695049152</v>
      </c>
      <c r="AM605" s="2" t="n">
        <f aca="false">Entrées!$C$54*K605/Hypothèses!$J$19</f>
        <v>39.757613429635</v>
      </c>
      <c r="AN605" s="2" t="n">
        <f aca="false">Y605*1000/AC605</f>
        <v>86.5583593282772</v>
      </c>
      <c r="AO605" s="2" t="n">
        <f aca="false">(Entrées!$C$36*(1-S605)+MAX(0,Entrées!$C$30-Entrées!$C$35-Entrées!$C$36)*U605)*1000</f>
        <v>1321.45255019743</v>
      </c>
      <c r="AP605" s="2" t="n">
        <f aca="false">-AO605/W605</f>
        <v>-131.002944070239</v>
      </c>
      <c r="AQ605" s="2" t="n">
        <f aca="false">AL605+AM605+AN605+AP605</f>
        <v>7991.87997917919</v>
      </c>
      <c r="AR605" s="2" t="n">
        <f aca="false">O605*AQ605-Hypothèses!$J$25/Hypothèses!$J$19</f>
        <v>1324.67991940799</v>
      </c>
      <c r="AS605" s="2" t="n">
        <f aca="false">Entrées!$C$79*(1+Q605)+Hypothèses!$J$20</f>
        <v>1518.54737685937</v>
      </c>
      <c r="AT605" s="2" t="n">
        <f aca="false">AI605-AR605+AS605+Y605*1000-AO605+Hypothèses!$J$23</f>
        <v>22469.4167809171</v>
      </c>
      <c r="AU605" s="2" t="n">
        <f aca="false">AT605/AQ605</f>
        <v>2.81153080870276</v>
      </c>
      <c r="AV605" s="2" t="n">
        <f aca="false">Hypothèses!$J$26*AQ605-AT605</f>
        <v>1506.2231566205</v>
      </c>
      <c r="AW605" s="2" t="n">
        <f aca="false">IF(AC605&gt;Hypothèses!$J$26,MAX(0,AV605)/(1-Hypothèses!$J$26/AC605),0)</f>
        <v>2148.97809492753</v>
      </c>
      <c r="AX605" s="2" t="n">
        <f aca="false">AQ605-Entrées!$C$17*1000</f>
        <v>-8.12002082080562</v>
      </c>
      <c r="AY605" s="2" t="n">
        <f aca="false">AI605+(Entrées!$C$244-Entrées!$C$13)</f>
        <v>28475.8077593436</v>
      </c>
      <c r="AZ605" s="2" t="n">
        <f aca="false">AA605*AH605</f>
        <v>5552.57129277903</v>
      </c>
      <c r="BA605" s="2" t="n">
        <f aca="false">AZ605/AY605</f>
        <v>0.194992582465272</v>
      </c>
      <c r="BB605" s="2" t="n">
        <f aca="false">AZ605/(Entrées!$C$151/100)-AY605</f>
        <v>2371.8105338733</v>
      </c>
      <c r="BC605" s="2" t="n">
        <f aca="false">AT605+(Entrées!$C$244-Entrées!$C$13)</f>
        <v>28216.4167809171</v>
      </c>
      <c r="BD605" s="2" t="n">
        <f aca="false">AA605*AQ605</f>
        <v>5911.86551091724</v>
      </c>
      <c r="BE605" s="2" t="n">
        <f aca="false">BD605/BC605</f>
        <v>0.209518648551983</v>
      </c>
      <c r="BF605" s="2" t="n">
        <f aca="false">BD605/(Entrées!$C$151/100)-BC605</f>
        <v>4627.28050195646</v>
      </c>
      <c r="BG605" s="2" t="n">
        <f aca="false">MIN(AV605,BF605)</f>
        <v>1506.2231566205</v>
      </c>
      <c r="BH605" s="2" t="n">
        <f aca="false">IF(AC605&gt;Hypothèses!$J$26,MAX(0,BG605)/(1-Hypothèses!$J$26/AC605),0)</f>
        <v>2148.97809492753</v>
      </c>
    </row>
    <row r="606" customFormat="false" ht="15" hidden="false" customHeight="false" outlineLevel="0" collapsed="false">
      <c r="A606" s="2" t="n">
        <v>591</v>
      </c>
      <c r="B606" s="2" t="n">
        <v>0.136763994</v>
      </c>
      <c r="C606" s="2"/>
      <c r="D606" s="2" t="n">
        <v>0.293344817</v>
      </c>
      <c r="E606" s="2" t="n">
        <f aca="false">IF(E$7=E$5,E$6,IF(NORMSDIST(E$9*SQRT($C$11)*NORMSINV($B606)+SQRT(1-E$9^2*$C$11)*NORMSINV(D606))&lt;E$8,E$5+SQRT(NORMSDIST(E$9*SQRT($C$11)*NORMSINV($B606)+SQRT(1-E$9^2*$C$11)*NORMSINV(D606))*(E$7-E$5)*(E$6-E$5)),E$7-SQRT((1-NORMSDIST(E$9*SQRT($C$11)*NORMSINV($B606)+SQRT(1-E$9^2*$C$11)*NORMSINV(D606)))*(E$7-E$5)*(E$7-E$6))))</f>
        <v>0.0525760466602109</v>
      </c>
      <c r="F606" s="2" t="n">
        <v>0.50133595</v>
      </c>
      <c r="G606" s="2" t="n">
        <f aca="false">IF(G$7=G$5,G$6,IF(NORMSDIST(G$9*SQRT($C$11)*NORMSINV($B606)+SQRT(1-G$9^2*$C$11)*NORMSINV(F606))&lt;G$8,G$5+SQRT(NORMSDIST(G$9*SQRT($C$11)*NORMSINV($B606)+SQRT(1-G$9^2*$C$11)*NORMSINV(F606))*(G$7-G$5)*(G$6-G$5)),G$7-SQRT((1-NORMSDIST(G$9*SQRT($C$11)*NORMSINV($B606)+SQRT(1-G$9^2*$C$11)*NORMSINV(F606)))*(G$7-G$5)*(G$7-G$6))))</f>
        <v>0.0505025620291068</v>
      </c>
      <c r="H606" s="2" t="n">
        <v>0.00871989</v>
      </c>
      <c r="I606" s="2" t="n">
        <f aca="false">IF(I$7=I$5,I$6,IF(NORMSDIST(I$9*SQRT($C$11)*NORMSINV($B606)+SQRT(1-I$9^2*$C$11)*NORMSINV(H606))&lt;I$8,I$5+SQRT(NORMSDIST(I$9*SQRT($C$11)*NORMSINV($B606)+SQRT(1-I$9^2*$C$11)*NORMSINV(H606))*(I$7-I$5)*(I$6-I$5)),I$7-SQRT((1-NORMSDIST(I$9*SQRT($C$11)*NORMSINV($B606)+SQRT(1-I$9^2*$C$11)*NORMSINV(H606)))*(I$7-I$5)*(I$7-I$6))))</f>
        <v>182.123934253493</v>
      </c>
      <c r="J606" s="2" t="n">
        <v>0.925905226</v>
      </c>
      <c r="K606" s="2" t="n">
        <f aca="false">IF(K$7=K$5,K$6,IF(NORMSDIST(K$9*SQRT($C$11)*NORMSINV($B606)+SQRT(1-K$9^2*$C$11)*NORMSINV(J606))&lt;K$8,K$5+SQRT(NORMSDIST(K$9*SQRT($C$11)*NORMSINV($B606)+SQRT(1-K$9^2*$C$11)*NORMSINV(J606))*(K$7-K$5)*(K$6-K$5)),K$7-SQRT((1-NORMSDIST(K$9*SQRT($C$11)*NORMSINV($B606)+SQRT(1-K$9^2*$C$11)*NORMSINV(J606)))*(K$7-K$5)*(K$7-K$6))))</f>
        <v>0.295517771594129</v>
      </c>
      <c r="L606" s="2" t="n">
        <v>0.617907706</v>
      </c>
      <c r="M606" s="2" t="n">
        <f aca="false">IF(M$7=M$5,M$6,IF(NORMSDIST(M$9*SQRT($C$11)*NORMSINV($B606)+SQRT(1-M$9^2*$C$11)*NORMSINV(L606))&lt;M$8,M$5+SQRT(NORMSDIST(M$9*SQRT($C$11)*NORMSINV($B606)+SQRT(1-M$9^2*$C$11)*NORMSINV(L606))*(M$7-M$5)*(M$6-M$5)),M$7-SQRT((1-NORMSDIST(M$9*SQRT($C$11)*NORMSINV($B606)+SQRT(1-M$9^2*$C$11)*NORMSINV(L606)))*(M$7-M$5)*(M$7-M$6))))</f>
        <v>1529.87250164656</v>
      </c>
      <c r="N606" s="2" t="n">
        <v>0.856284834</v>
      </c>
      <c r="O606" s="2" t="n">
        <f aca="false">IF(O$7=O$5,O$6,IF(NORMSDIST(O$9*SQRT($C$11)*NORMSINV($B606)+SQRT(1-O$9^2*$C$11)*NORMSINV(N606))&lt;O$8,O$5+SQRT(NORMSDIST(O$9*SQRT($C$11)*NORMSINV($B606)+SQRT(1-O$9^2*$C$11)*NORMSINV(N606))*(O$7-O$5)*(O$6-O$5)),O$7-SQRT((1-NORMSDIST(O$9*SQRT($C$11)*NORMSINV($B606)+SQRT(1-O$9^2*$C$11)*NORMSINV(N606)))*(O$7-O$5)*(O$7-O$6))))</f>
        <v>0.1681504926301</v>
      </c>
      <c r="P606" s="2" t="n">
        <v>0.005673808</v>
      </c>
      <c r="Q606" s="2" t="n">
        <f aca="false">IF(Q$7=Q$5,Q$6,IF(NORMSDIST(Q$9*SQRT($C$11)*NORMSINV($B606)+SQRT(1-Q$9^2*$C$11)*NORMSINV(P606))&lt;Q$8,Q$5+SQRT(NORMSDIST(Q$9*SQRT($C$11)*NORMSINV($B606)+SQRT(1-Q$9^2*$C$11)*NORMSINV(P606))*(Q$7-Q$5)*(Q$6-Q$5)),Q$7-SQRT((1-NORMSDIST(Q$9*SQRT($C$11)*NORMSINV($B606)+SQRT(1-Q$9^2*$C$11)*NORMSINV(P606)))*(Q$7-Q$5)*(Q$7-Q$6))))</f>
        <v>0.0442610075803735</v>
      </c>
      <c r="R606" s="2" t="n">
        <v>0.35179952</v>
      </c>
      <c r="S606" s="2" t="n">
        <f aca="false">IF(S$7=S$5,S$6,IF(NORMSDIST(S$9*SQRT($C$11)*NORMSINV($B606)+SQRT(1-S$9^2*$C$11)*NORMSINV(R606))&lt;S$8,S$5+SQRT(NORMSDIST(S$9*SQRT($C$11)*NORMSINV($B606)+SQRT(1-S$9^2*$C$11)*NORMSINV(R606))*(S$7-S$5)*(S$6-S$5)),S$7-SQRT((1-NORMSDIST(S$9*SQRT($C$11)*NORMSINV($B606)+SQRT(1-S$9^2*$C$11)*NORMSINV(R606)))*(S$7-S$5)*(S$7-S$6))))</f>
        <v>0.284398307776744</v>
      </c>
      <c r="T606" s="2" t="n">
        <v>0.5791126</v>
      </c>
      <c r="U606" s="2" t="n">
        <f aca="false">IF(U$7=U$5,U$6,IF(NORMSDIST(U$9*SQRT($C$11)*NORMSINV($B606)+SQRT(1-U$9^2*$C$11)*NORMSINV(T606))&lt;U$8,U$5+SQRT(NORMSDIST(U$9*SQRT($C$11)*NORMSINV($B606)+SQRT(1-U$9^2*$C$11)*NORMSINV(T606))*(U$7-U$5)*(U$6-U$5)),U$7-SQRT((1-NORMSDIST(U$9*SQRT($C$11)*NORMSINV($B606)+SQRT(1-U$9^2*$C$11)*NORMSINV(T606)))*(U$7-U$5)*(U$7-U$6))))</f>
        <v>0.384268754067726</v>
      </c>
      <c r="V606" s="2" t="n">
        <v>0.201584618</v>
      </c>
      <c r="W606" s="2" t="n">
        <f aca="false">IF(W$7=W$5,W$6,IF(NORMSDIST(W$9*SQRT($C$11)*NORMSINV($B606)+SQRT(1-W$9^2*$C$11)*NORMSINV(V606))&lt;W$8,W$5+SQRT(NORMSDIST(W$9*SQRT($C$11)*NORMSINV($B606)+SQRT(1-W$9^2*$C$11)*NORMSINV(V606))*(W$7-W$5)*(W$6-W$5)),W$7-SQRT((1-NORMSDIST(W$9*SQRT($C$11)*NORMSINV($B606)+SQRT(1-W$9^2*$C$11)*NORMSINV(V606)))*(W$7-W$5)*(W$7-W$6))))</f>
        <v>8.84905606584089</v>
      </c>
      <c r="X606" s="2" t="n">
        <v>0.988834804</v>
      </c>
      <c r="Y606" s="2" t="n">
        <f aca="false">IF(Y$7=Y$5,Y$6,IF(NORMSDIST(Y$9*SQRT($C$11)*NORMSINV($B606)+SQRT(1-Y$9^2*$C$11)*NORMSINV(X606))&lt;Y$8,Y$5+SQRT(NORMSDIST(Y$9*SQRT($C$11)*NORMSINV($B606)+SQRT(1-Y$9^2*$C$11)*NORMSINV(X606))*(Y$7-Y$5)*(Y$6-Y$5)),Y$7-SQRT((1-NORMSDIST(Y$9*SQRT($C$11)*NORMSINV($B606)+SQRT(1-Y$9^2*$C$11)*NORMSINV(X606)))*(Y$7-Y$5)*(Y$7-Y$6))))</f>
        <v>0.925283214737249</v>
      </c>
      <c r="Z606" s="2" t="n">
        <v>0.119827533</v>
      </c>
      <c r="AA606" s="2" t="n">
        <f aca="false">IF(AA$7=AA$5,AA$6,IF(NORMSDIST(AA$9*SQRT($C$11)*NORMSINV($B606)+SQRT(1-AA$9^2*$C$11)*NORMSINV(Z606))&lt;AA$8,AA$5+SQRT(NORMSDIST(AA$9*SQRT($C$11)*NORMSINV($B606)+SQRT(1-AA$9^2*$C$11)*NORMSINV(Z606))*(AA$7-AA$5)*(AA$6-AA$5)),AA$7-SQRT((1-NORMSDIST(AA$9*SQRT($C$11)*NORMSINV($B606)+SQRT(1-AA$9^2*$C$11)*NORMSINV(Z606)))*(AA$7-AA$5)*(AA$7-AA$6))))</f>
        <v>0.706118874920483</v>
      </c>
      <c r="AB606" s="2" t="n">
        <v>0.28373873</v>
      </c>
      <c r="AC606" s="2" t="n">
        <f aca="false">IF(AC$7=AC$5,AC$6,IF(NORMSDIST(AC$9*SQRT($C$11)*NORMSINV($B606)+SQRT(1-AC$9^2*$C$11)*NORMSINV(AB606))&lt;AC$8,AC$5+SQRT(NORMSDIST(AC$9*SQRT($C$11)*NORMSINV($B606)+SQRT(1-AC$9^2*$C$11)*NORMSINV(AB606))*(AC$7-AC$5)*(AC$6-AC$5)),AC$7-SQRT((1-NORMSDIST(AC$9*SQRT($C$11)*NORMSINV($B606)+SQRT(1-AC$9^2*$C$11)*NORMSINV(AB606)))*(AC$7-AC$5)*(AC$7-AC$6))))</f>
        <v>8.45204195780119</v>
      </c>
      <c r="AD606" s="2" t="n">
        <f aca="false">Entrées!$C$8*(1+E606)</f>
        <v>7420.66112895449</v>
      </c>
      <c r="AE606" s="2" t="n">
        <f aca="false">I606*Hypothèses!$J$24/12/Hypothèses!$J$19</f>
        <v>90.3511008728295</v>
      </c>
      <c r="AF606" s="2" t="n">
        <f aca="false">Entrées!$C$36*S606*1000</f>
        <v>142.199153888372</v>
      </c>
      <c r="AG606" s="2" t="n">
        <f aca="false">-AF606/W606</f>
        <v>-16.0694149557136</v>
      </c>
      <c r="AH606" s="2" t="n">
        <f aca="false">AD606+AE606+AG606</f>
        <v>7494.9428148716</v>
      </c>
      <c r="AI606" s="2" t="n">
        <f aca="false">Entrées!$C$16-M606+Hypothèses!$J$22*1000-AF606+Hypothèses!$J$23</f>
        <v>22875.9283444651</v>
      </c>
      <c r="AJ606" s="2" t="n">
        <f aca="false">AI606/AH606</f>
        <v>3.05218183907611</v>
      </c>
      <c r="AK606" s="2" t="n">
        <f aca="false">AI606/(AH606+I606*(12-Hypothèses!$J$24)/12/Hypothèses!$J$19)</f>
        <v>3.02612486782987</v>
      </c>
      <c r="AL606" s="2" t="n">
        <f aca="false">(AD606+AG606+I606/Hypothèses!$J$19)*(1+G606)</f>
        <v>7941.25238853359</v>
      </c>
      <c r="AM606" s="2" t="n">
        <f aca="false">Entrées!$C$54*K606/Hypothèses!$J$19</f>
        <v>30.1588293901215</v>
      </c>
      <c r="AN606" s="2" t="n">
        <f aca="false">Y606*1000/AC606</f>
        <v>109.474517442879</v>
      </c>
      <c r="AO606" s="2" t="n">
        <f aca="false">(Entrées!$C$36*(1-S606)+MAX(0,Entrées!$C$30-Entrées!$C$35-Entrées!$C$36)*U606)*1000</f>
        <v>895.777101806445</v>
      </c>
      <c r="AP606" s="2" t="n">
        <f aca="false">-AO606/W606</f>
        <v>-101.228548575291</v>
      </c>
      <c r="AQ606" s="2" t="n">
        <f aca="false">AL606+AM606+AN606+AP606</f>
        <v>7979.6571867913</v>
      </c>
      <c r="AR606" s="2" t="n">
        <f aca="false">O606*AQ606-Hypothèses!$J$25/Hypothèses!$J$19</f>
        <v>1322.64812471665</v>
      </c>
      <c r="AS606" s="2" t="n">
        <f aca="false">Entrées!$C$79*(1+Q606)+Hypothèses!$J$20</f>
        <v>1442.64284733083</v>
      </c>
      <c r="AT606" s="2" t="n">
        <f aca="false">AI606-AR606+AS606+Y606*1000-AO606+Hypothèses!$J$23</f>
        <v>23025.4291800101</v>
      </c>
      <c r="AU606" s="2" t="n">
        <f aca="false">AT606/AQ606</f>
        <v>2.88551608684694</v>
      </c>
      <c r="AV606" s="2" t="n">
        <f aca="false">Hypothèses!$J$26*AQ606-AT606</f>
        <v>913.542380363837</v>
      </c>
      <c r="AW606" s="2" t="n">
        <f aca="false">IF(AC606&gt;Hypothèses!$J$26,MAX(0,AV606)/(1-Hypothèses!$J$26/AC606),0)</f>
        <v>1416.22140636987</v>
      </c>
      <c r="AX606" s="2" t="n">
        <f aca="false">AQ606-Entrées!$C$17*1000</f>
        <v>-20.3428132086992</v>
      </c>
      <c r="AY606" s="2" t="n">
        <f aca="false">AI606+(Entrées!$C$244-Entrées!$C$13)</f>
        <v>28622.9283444651</v>
      </c>
      <c r="AZ606" s="2" t="n">
        <f aca="false">AA606*AH606</f>
        <v>5292.32058803049</v>
      </c>
      <c r="BA606" s="2" t="n">
        <f aca="false">AZ606/AY606</f>
        <v>0.184897943506674</v>
      </c>
      <c r="BB606" s="2" t="n">
        <f aca="false">AZ606/(Entrées!$C$151/100)-AY606</f>
        <v>778.852700148775</v>
      </c>
      <c r="BC606" s="2" t="n">
        <f aca="false">AT606+(Entrées!$C$244-Entrées!$C$13)</f>
        <v>28772.4291800101</v>
      </c>
      <c r="BD606" s="2" t="n">
        <f aca="false">AA606*AQ606</f>
        <v>5634.58655498822</v>
      </c>
      <c r="BE606" s="2" t="n">
        <f aca="false">BD606/BC606</f>
        <v>0.195832841215329</v>
      </c>
      <c r="BF606" s="2" t="n">
        <f aca="false">BD606/(Entrées!$C$151/100)-BC606</f>
        <v>2530.82945881337</v>
      </c>
      <c r="BG606" s="2" t="n">
        <f aca="false">MIN(AV606,BF606)</f>
        <v>913.542380363837</v>
      </c>
      <c r="BH606" s="2" t="n">
        <f aca="false">IF(AC606&gt;Hypothèses!$J$26,MAX(0,BG606)/(1-Hypothèses!$J$26/AC606),0)</f>
        <v>1416.22140636987</v>
      </c>
    </row>
    <row r="607" customFormat="false" ht="15" hidden="false" customHeight="false" outlineLevel="0" collapsed="false">
      <c r="A607" s="2" t="n">
        <v>592</v>
      </c>
      <c r="B607" s="2" t="n">
        <v>0.225409826</v>
      </c>
      <c r="C607" s="2"/>
      <c r="D607" s="2" t="n">
        <v>0.967388692</v>
      </c>
      <c r="E607" s="2" t="n">
        <f aca="false">IF(E$7=E$5,E$6,IF(NORMSDIST(E$9*SQRT($C$11)*NORMSINV($B607)+SQRT(1-E$9^2*$C$11)*NORMSINV(D607))&lt;E$8,E$5+SQRT(NORMSDIST(E$9*SQRT($C$11)*NORMSINV($B607)+SQRT(1-E$9^2*$C$11)*NORMSINV(D607))*(E$7-E$5)*(E$6-E$5)),E$7-SQRT((1-NORMSDIST(E$9*SQRT($C$11)*NORMSINV($B607)+SQRT(1-E$9^2*$C$11)*NORMSINV(D607)))*(E$7-E$5)*(E$7-E$6))))</f>
        <v>0.057078182972399</v>
      </c>
      <c r="F607" s="2" t="n">
        <v>0.541593125</v>
      </c>
      <c r="G607" s="2" t="n">
        <f aca="false">IF(G$7=G$5,G$6,IF(NORMSDIST(G$9*SQRT($C$11)*NORMSINV($B607)+SQRT(1-G$9^2*$C$11)*NORMSINV(F607))&lt;G$8,G$5+SQRT(NORMSDIST(G$9*SQRT($C$11)*NORMSINV($B607)+SQRT(1-G$9^2*$C$11)*NORMSINV(F607))*(G$7-G$5)*(G$6-G$5)),G$7-SQRT((1-NORMSDIST(G$9*SQRT($C$11)*NORMSINV($B607)+SQRT(1-G$9^2*$C$11)*NORMSINV(F607)))*(G$7-G$5)*(G$7-G$6))))</f>
        <v>0.0524789443620667</v>
      </c>
      <c r="H607" s="2" t="n">
        <v>0.361901825</v>
      </c>
      <c r="I607" s="2" t="n">
        <f aca="false">IF(I$7=I$5,I$6,IF(NORMSDIST(I$9*SQRT($C$11)*NORMSINV($B607)+SQRT(1-I$9^2*$C$11)*NORMSINV(H607))&lt;I$8,I$5+SQRT(NORMSDIST(I$9*SQRT($C$11)*NORMSINV($B607)+SQRT(1-I$9^2*$C$11)*NORMSINV(H607))*(I$7-I$5)*(I$6-I$5)),I$7-SQRT((1-NORMSDIST(I$9*SQRT($C$11)*NORMSINV($B607)+SQRT(1-I$9^2*$C$11)*NORMSINV(H607)))*(I$7-I$5)*(I$7-I$6))))</f>
        <v>193.45920732389</v>
      </c>
      <c r="J607" s="2" t="n">
        <v>0.216158445</v>
      </c>
      <c r="K607" s="2" t="n">
        <f aca="false">IF(K$7=K$5,K$6,IF(NORMSDIST(K$9*SQRT($C$11)*NORMSINV($B607)+SQRT(1-K$9^2*$C$11)*NORMSINV(J607))&lt;K$8,K$5+SQRT(NORMSDIST(K$9*SQRT($C$11)*NORMSINV($B607)+SQRT(1-K$9^2*$C$11)*NORMSINV(J607))*(K$7-K$5)*(K$6-K$5)),K$7-SQRT((1-NORMSDIST(K$9*SQRT($C$11)*NORMSINV($B607)+SQRT(1-K$9^2*$C$11)*NORMSINV(J607)))*(K$7-K$5)*(K$7-K$6))))</f>
        <v>0.131780819360827</v>
      </c>
      <c r="L607" s="2" t="n">
        <v>0.634532879</v>
      </c>
      <c r="M607" s="2" t="n">
        <f aca="false">IF(M$7=M$5,M$6,IF(NORMSDIST(M$9*SQRT($C$11)*NORMSINV($B607)+SQRT(1-M$9^2*$C$11)*NORMSINV(L607))&lt;M$8,M$5+SQRT(NORMSDIST(M$9*SQRT($C$11)*NORMSINV($B607)+SQRT(1-M$9^2*$C$11)*NORMSINV(L607))*(M$7-M$5)*(M$6-M$5)),M$7-SQRT((1-NORMSDIST(M$9*SQRT($C$11)*NORMSINV($B607)+SQRT(1-M$9^2*$C$11)*NORMSINV(L607)))*(M$7-M$5)*(M$7-M$6))))</f>
        <v>1560.7550253515</v>
      </c>
      <c r="N607" s="2" t="n">
        <v>0.162490971</v>
      </c>
      <c r="O607" s="2" t="n">
        <f aca="false">IF(O$7=O$5,O$6,IF(NORMSDIST(O$9*SQRT($C$11)*NORMSINV($B607)+SQRT(1-O$9^2*$C$11)*NORMSINV(N607))&lt;O$8,O$5+SQRT(NORMSDIST(O$9*SQRT($C$11)*NORMSINV($B607)+SQRT(1-O$9^2*$C$11)*NORMSINV(N607))*(O$7-O$5)*(O$6-O$5)),O$7-SQRT((1-NORMSDIST(O$9*SQRT($C$11)*NORMSINV($B607)+SQRT(1-O$9^2*$C$11)*NORMSINV(N607)))*(O$7-O$5)*(O$7-O$6))))</f>
        <v>0.152426054571139</v>
      </c>
      <c r="P607" s="2" t="n">
        <v>0.680764583</v>
      </c>
      <c r="Q607" s="2" t="n">
        <f aca="false">IF(Q$7=Q$5,Q$6,IF(NORMSDIST(Q$9*SQRT($C$11)*NORMSINV($B607)+SQRT(1-Q$9^2*$C$11)*NORMSINV(P607))&lt;Q$8,Q$5+SQRT(NORMSDIST(Q$9*SQRT($C$11)*NORMSINV($B607)+SQRT(1-Q$9^2*$C$11)*NORMSINV(P607))*(Q$7-Q$5)*(Q$6-Q$5)),Q$7-SQRT((1-NORMSDIST(Q$9*SQRT($C$11)*NORMSINV($B607)+SQRT(1-Q$9^2*$C$11)*NORMSINV(P607)))*(Q$7-Q$5)*(Q$7-Q$6))))</f>
        <v>0.0880382520127575</v>
      </c>
      <c r="R607" s="2" t="n">
        <v>0.111806332</v>
      </c>
      <c r="S607" s="2" t="n">
        <f aca="false">IF(S$7=S$5,S$6,IF(NORMSDIST(S$9*SQRT($C$11)*NORMSINV($B607)+SQRT(1-S$9^2*$C$11)*NORMSINV(R607))&lt;S$8,S$5+SQRT(NORMSDIST(S$9*SQRT($C$11)*NORMSINV($B607)+SQRT(1-S$9^2*$C$11)*NORMSINV(R607))*(S$7-S$5)*(S$6-S$5)),S$7-SQRT((1-NORMSDIST(S$9*SQRT($C$11)*NORMSINV($B607)+SQRT(1-S$9^2*$C$11)*NORMSINV(R607)))*(S$7-S$5)*(S$7-S$6))))</f>
        <v>0.197315123207361</v>
      </c>
      <c r="T607" s="2" t="n">
        <v>0.941363977</v>
      </c>
      <c r="U607" s="2" t="n">
        <f aca="false">IF(U$7=U$5,U$6,IF(NORMSDIST(U$9*SQRT($C$11)*NORMSINV($B607)+SQRT(1-U$9^2*$C$11)*NORMSINV(T607))&lt;U$8,U$5+SQRT(NORMSDIST(U$9*SQRT($C$11)*NORMSINV($B607)+SQRT(1-U$9^2*$C$11)*NORMSINV(T607))*(U$7-U$5)*(U$6-U$5)),U$7-SQRT((1-NORMSDIST(U$9*SQRT($C$11)*NORMSINV($B607)+SQRT(1-U$9^2*$C$11)*NORMSINV(T607)))*(U$7-U$5)*(U$7-U$6))))</f>
        <v>0.660328815815564</v>
      </c>
      <c r="V607" s="2" t="n">
        <v>0.026588015</v>
      </c>
      <c r="W607" s="2" t="n">
        <f aca="false">IF(W$7=W$5,W$6,IF(NORMSDIST(W$9*SQRT($C$11)*NORMSINV($B607)+SQRT(1-W$9^2*$C$11)*NORMSINV(V607))&lt;W$8,W$5+SQRT(NORMSDIST(W$9*SQRT($C$11)*NORMSINV($B607)+SQRT(1-W$9^2*$C$11)*NORMSINV(V607))*(W$7-W$5)*(W$6-W$5)),W$7-SQRT((1-NORMSDIST(W$9*SQRT($C$11)*NORMSINV($B607)+SQRT(1-W$9^2*$C$11)*NORMSINV(V607)))*(W$7-W$5)*(W$7-W$6))))</f>
        <v>8.4396190615564</v>
      </c>
      <c r="X607" s="2" t="n">
        <v>0.208103088</v>
      </c>
      <c r="Y607" s="2" t="n">
        <f aca="false">IF(Y$7=Y$5,Y$6,IF(NORMSDIST(Y$9*SQRT($C$11)*NORMSINV($B607)+SQRT(1-Y$9^2*$C$11)*NORMSINV(X607))&lt;Y$8,Y$5+SQRT(NORMSDIST(Y$9*SQRT($C$11)*NORMSINV($B607)+SQRT(1-Y$9^2*$C$11)*NORMSINV(X607))*(Y$7-Y$5)*(Y$6-Y$5)),Y$7-SQRT((1-NORMSDIST(Y$9*SQRT($C$11)*NORMSINV($B607)+SQRT(1-Y$9^2*$C$11)*NORMSINV(X607)))*(Y$7-Y$5)*(Y$7-Y$6))))</f>
        <v>0.322570215612043</v>
      </c>
      <c r="Z607" s="2" t="n">
        <v>0.443261033</v>
      </c>
      <c r="AA607" s="2" t="n">
        <f aca="false">IF(AA$7=AA$5,AA$6,IF(NORMSDIST(AA$9*SQRT($C$11)*NORMSINV($B607)+SQRT(1-AA$9^2*$C$11)*NORMSINV(Z607))&lt;AA$8,AA$5+SQRT(NORMSDIST(AA$9*SQRT($C$11)*NORMSINV($B607)+SQRT(1-AA$9^2*$C$11)*NORMSINV(Z607))*(AA$7-AA$5)*(AA$6-AA$5)),AA$7-SQRT((1-NORMSDIST(AA$9*SQRT($C$11)*NORMSINV($B607)+SQRT(1-AA$9^2*$C$11)*NORMSINV(Z607)))*(AA$7-AA$5)*(AA$7-AA$6))))</f>
        <v>0.719745958374975</v>
      </c>
      <c r="AB607" s="2" t="n">
        <v>0.870438249</v>
      </c>
      <c r="AC607" s="2" t="n">
        <f aca="false">IF(AC$7=AC$5,AC$6,IF(NORMSDIST(AC$9*SQRT($C$11)*NORMSINV($B607)+SQRT(1-AC$9^2*$C$11)*NORMSINV(AB607))&lt;AC$8,AC$5+SQRT(NORMSDIST(AC$9*SQRT($C$11)*NORMSINV($B607)+SQRT(1-AC$9^2*$C$11)*NORMSINV(AB607))*(AC$7-AC$5)*(AC$6-AC$5)),AC$7-SQRT((1-NORMSDIST(AC$9*SQRT($C$11)*NORMSINV($B607)+SQRT(1-AC$9^2*$C$11)*NORMSINV(AB607)))*(AC$7-AC$5)*(AC$7-AC$6))))</f>
        <v>9.77780119384866</v>
      </c>
      <c r="AD607" s="2" t="n">
        <f aca="false">Entrées!$C$8*(1+E607)</f>
        <v>7452.40118995541</v>
      </c>
      <c r="AE607" s="2" t="n">
        <f aca="false">I607*Hypothèses!$J$24/12/Hypothèses!$J$19</f>
        <v>95.9744935631007</v>
      </c>
      <c r="AF607" s="2" t="n">
        <f aca="false">Entrées!$C$36*S607*1000</f>
        <v>98.6575616036803</v>
      </c>
      <c r="AG607" s="2" t="n">
        <f aca="false">-AF607/W607</f>
        <v>-11.6898121685466</v>
      </c>
      <c r="AH607" s="2" t="n">
        <f aca="false">AD607+AE607+AG607</f>
        <v>7536.68587134997</v>
      </c>
      <c r="AI607" s="2" t="n">
        <f aca="false">Entrées!$C$16-M607+Hypothèses!$J$22*1000-AF607+Hypothèses!$J$23</f>
        <v>22888.5874130448</v>
      </c>
      <c r="AJ607" s="2" t="n">
        <f aca="false">AI607/AH607</f>
        <v>3.03695653550505</v>
      </c>
      <c r="AK607" s="2" t="n">
        <f aca="false">AI607/(AH607+I607*(12-Hypothèses!$J$24)/12/Hypothèses!$J$19)</f>
        <v>3.00958157516873</v>
      </c>
      <c r="AL607" s="2" t="n">
        <f aca="false">(AD607+AG607+I607/Hypothèses!$J$19)*(1+G607)</f>
        <v>8004.3539996319</v>
      </c>
      <c r="AM607" s="2" t="n">
        <f aca="false">Entrées!$C$54*K607/Hypothèses!$J$19</f>
        <v>13.4487859276771</v>
      </c>
      <c r="AN607" s="2" t="n">
        <f aca="false">Y607*1000/AC607</f>
        <v>32.9900566821686</v>
      </c>
      <c r="AO607" s="2" t="n">
        <f aca="false">(Entrées!$C$36*(1-S607)+MAX(0,Entrées!$C$30-Entrées!$C$35-Entrées!$C$36)*U607)*1000</f>
        <v>1325.80278053811</v>
      </c>
      <c r="AP607" s="2" t="n">
        <f aca="false">-AO607/W607</f>
        <v>-157.092727866986</v>
      </c>
      <c r="AQ607" s="2" t="n">
        <f aca="false">AL607+AM607+AN607+AP607</f>
        <v>7893.70011437476</v>
      </c>
      <c r="AR607" s="2" t="n">
        <f aca="false">O607*AQ607-Hypothèses!$J$25/Hypothèses!$J$19</f>
        <v>1184.07040214027</v>
      </c>
      <c r="AS607" s="2" t="n">
        <f aca="false">Entrées!$C$79*(1+Q607)+Hypothèses!$J$20</f>
        <v>1490.75403896202</v>
      </c>
      <c r="AT607" s="2" t="n">
        <f aca="false">AI607-AR607+AS607+Y607*1000-AO607+Hypothèses!$J$23</f>
        <v>22192.0384849405</v>
      </c>
      <c r="AU607" s="2" t="n">
        <f aca="false">AT607/AQ607</f>
        <v>2.81136072607165</v>
      </c>
      <c r="AV607" s="2" t="n">
        <f aca="false">Hypothèses!$J$26*AQ607-AT607</f>
        <v>1489.06185818377</v>
      </c>
      <c r="AW607" s="2" t="n">
        <f aca="false">IF(AC607&gt;Hypothèses!$J$26,MAX(0,AV607)/(1-Hypothèses!$J$26/AC607),0)</f>
        <v>2148.15253475977</v>
      </c>
      <c r="AX607" s="2" t="n">
        <f aca="false">AQ607-Entrées!$C$17*1000</f>
        <v>-106.299885625243</v>
      </c>
      <c r="AY607" s="2" t="n">
        <f aca="false">AI607+(Entrées!$C$244-Entrées!$C$13)</f>
        <v>28635.5874130448</v>
      </c>
      <c r="AZ607" s="2" t="n">
        <f aca="false">AA607*AH607</f>
        <v>5424.49919544592</v>
      </c>
      <c r="BA607" s="2" t="n">
        <f aca="false">AZ607/AY607</f>
        <v>0.189432090817694</v>
      </c>
      <c r="BB607" s="2" t="n">
        <f aca="false">AZ607/(Entrées!$C$151/100)-AY607</f>
        <v>1500.51922832138</v>
      </c>
      <c r="BC607" s="2" t="n">
        <f aca="false">AT607+(Entrées!$C$244-Entrées!$C$13)</f>
        <v>27939.0384849405</v>
      </c>
      <c r="BD607" s="2" t="n">
        <f aca="false">AA607*AQ607</f>
        <v>5681.45875394531</v>
      </c>
      <c r="BE607" s="2" t="n">
        <f aca="false">BD607/BC607</f>
        <v>0.203351978523087</v>
      </c>
      <c r="BF607" s="2" t="n">
        <f aca="false">BD607/(Entrées!$C$151/100)-BC607</f>
        <v>3624.62125920011</v>
      </c>
      <c r="BG607" s="2" t="n">
        <f aca="false">MIN(AV607,BF607)</f>
        <v>1489.06185818377</v>
      </c>
      <c r="BH607" s="2" t="n">
        <f aca="false">IF(AC607&gt;Hypothèses!$J$26,MAX(0,BG607)/(1-Hypothèses!$J$26/AC607),0)</f>
        <v>2148.15253475977</v>
      </c>
    </row>
    <row r="608" customFormat="false" ht="15" hidden="false" customHeight="false" outlineLevel="0" collapsed="false">
      <c r="A608" s="2" t="n">
        <v>593</v>
      </c>
      <c r="B608" s="2" t="n">
        <v>0.382559574</v>
      </c>
      <c r="C608" s="2"/>
      <c r="D608" s="2" t="n">
        <v>0.313543612</v>
      </c>
      <c r="E608" s="2" t="n">
        <f aca="false">IF(E$7=E$5,E$6,IF(NORMSDIST(E$9*SQRT($C$11)*NORMSINV($B608)+SQRT(1-E$9^2*$C$11)*NORMSINV(D608))&lt;E$8,E$5+SQRT(NORMSDIST(E$9*SQRT($C$11)*NORMSINV($B608)+SQRT(1-E$9^2*$C$11)*NORMSINV(D608))*(E$7-E$5)*(E$6-E$5)),E$7-SQRT((1-NORMSDIST(E$9*SQRT($C$11)*NORMSINV($B608)+SQRT(1-E$9^2*$C$11)*NORMSINV(D608)))*(E$7-E$5)*(E$7-E$6))))</f>
        <v>0.0537811516115264</v>
      </c>
      <c r="F608" s="2" t="n">
        <v>0.596724589</v>
      </c>
      <c r="G608" s="2" t="n">
        <f aca="false">IF(G$7=G$5,G$6,IF(NORMSDIST(G$9*SQRT($C$11)*NORMSINV($B608)+SQRT(1-G$9^2*$C$11)*NORMSINV(F608))&lt;G$8,G$5+SQRT(NORMSDIST(G$9*SQRT($C$11)*NORMSINV($B608)+SQRT(1-G$9^2*$C$11)*NORMSINV(F608))*(G$7-G$5)*(G$6-G$5)),G$7-SQRT((1-NORMSDIST(G$9*SQRT($C$11)*NORMSINV($B608)+SQRT(1-G$9^2*$C$11)*NORMSINV(F608)))*(G$7-G$5)*(G$7-G$6))))</f>
        <v>0.0550043451515675</v>
      </c>
      <c r="H608" s="2" t="n">
        <v>0.917322939</v>
      </c>
      <c r="I608" s="2" t="n">
        <f aca="false">IF(I$7=I$5,I$6,IF(NORMSDIST(I$9*SQRT($C$11)*NORMSINV($B608)+SQRT(1-I$9^2*$C$11)*NORMSINV(H608))&lt;I$8,I$5+SQRT(NORMSDIST(I$9*SQRT($C$11)*NORMSINV($B608)+SQRT(1-I$9^2*$C$11)*NORMSINV(H608))*(I$7-I$5)*(I$6-I$5)),I$7-SQRT((1-NORMSDIST(I$9*SQRT($C$11)*NORMSINV($B608)+SQRT(1-I$9^2*$C$11)*NORMSINV(H608)))*(I$7-I$5)*(I$7-I$6))))</f>
        <v>207.739239980392</v>
      </c>
      <c r="J608" s="2" t="n">
        <v>0.894476321</v>
      </c>
      <c r="K608" s="2" t="n">
        <f aca="false">IF(K$7=K$5,K$6,IF(NORMSDIST(K$9*SQRT($C$11)*NORMSINV($B608)+SQRT(1-K$9^2*$C$11)*NORMSINV(J608))&lt;K$8,K$5+SQRT(NORMSDIST(K$9*SQRT($C$11)*NORMSINV($B608)+SQRT(1-K$9^2*$C$11)*NORMSINV(J608))*(K$7-K$5)*(K$6-K$5)),K$7-SQRT((1-NORMSDIST(K$9*SQRT($C$11)*NORMSINV($B608)+SQRT(1-K$9^2*$C$11)*NORMSINV(J608)))*(K$7-K$5)*(K$7-K$6))))</f>
        <v>0.335020105985773</v>
      </c>
      <c r="L608" s="2" t="n">
        <v>0.394021599</v>
      </c>
      <c r="M608" s="2" t="n">
        <f aca="false">IF(M$7=M$5,M$6,IF(NORMSDIST(M$9*SQRT($C$11)*NORMSINV($B608)+SQRT(1-M$9^2*$C$11)*NORMSINV(L608))&lt;M$8,M$5+SQRT(NORMSDIST(M$9*SQRT($C$11)*NORMSINV($B608)+SQRT(1-M$9^2*$C$11)*NORMSINV(L608))*(M$7-M$5)*(M$6-M$5)),M$7-SQRT((1-NORMSDIST(M$9*SQRT($C$11)*NORMSINV($B608)+SQRT(1-M$9^2*$C$11)*NORMSINV(L608)))*(M$7-M$5)*(M$7-M$6))))</f>
        <v>1537.77839038676</v>
      </c>
      <c r="N608" s="2" t="n">
        <v>0.676879013</v>
      </c>
      <c r="O608" s="2" t="n">
        <f aca="false">IF(O$7=O$5,O$6,IF(NORMSDIST(O$9*SQRT($C$11)*NORMSINV($B608)+SQRT(1-O$9^2*$C$11)*NORMSINV(N608))&lt;O$8,O$5+SQRT(NORMSDIST(O$9*SQRT($C$11)*NORMSINV($B608)+SQRT(1-O$9^2*$C$11)*NORMSINV(N608))*(O$7-O$5)*(O$6-O$5)),O$7-SQRT((1-NORMSDIST(O$9*SQRT($C$11)*NORMSINV($B608)+SQRT(1-O$9^2*$C$11)*NORMSINV(N608)))*(O$7-O$5)*(O$7-O$6))))</f>
        <v>0.16850121975129</v>
      </c>
      <c r="P608" s="2" t="n">
        <v>0.365762639</v>
      </c>
      <c r="Q608" s="2" t="n">
        <f aca="false">IF(Q$7=Q$5,Q$6,IF(NORMSDIST(Q$9*SQRT($C$11)*NORMSINV($B608)+SQRT(1-Q$9^2*$C$11)*NORMSINV(P608))&lt;Q$8,Q$5+SQRT(NORMSDIST(Q$9*SQRT($C$11)*NORMSINV($B608)+SQRT(1-Q$9^2*$C$11)*NORMSINV(P608))*(Q$7-Q$5)*(Q$6-Q$5)),Q$7-SQRT((1-NORMSDIST(Q$9*SQRT($C$11)*NORMSINV($B608)+SQRT(1-Q$9^2*$C$11)*NORMSINV(P608)))*(Q$7-Q$5)*(Q$7-Q$6))))</f>
        <v>0.0742117004079014</v>
      </c>
      <c r="R608" s="2" t="n">
        <v>0.93681808</v>
      </c>
      <c r="S608" s="2" t="n">
        <f aca="false">IF(S$7=S$5,S$6,IF(NORMSDIST(S$9*SQRT($C$11)*NORMSINV($B608)+SQRT(1-S$9^2*$C$11)*NORMSINV(R608))&lt;S$8,S$5+SQRT(NORMSDIST(S$9*SQRT($C$11)*NORMSINV($B608)+SQRT(1-S$9^2*$C$11)*NORMSINV(R608))*(S$7-S$5)*(S$6-S$5)),S$7-SQRT((1-NORMSDIST(S$9*SQRT($C$11)*NORMSINV($B608)+SQRT(1-S$9^2*$C$11)*NORMSINV(R608)))*(S$7-S$5)*(S$7-S$6))))</f>
        <v>0.7172936674258</v>
      </c>
      <c r="T608" s="2" t="n">
        <v>0.634676431</v>
      </c>
      <c r="U608" s="2" t="n">
        <f aca="false">IF(U$7=U$5,U$6,IF(NORMSDIST(U$9*SQRT($C$11)*NORMSINV($B608)+SQRT(1-U$9^2*$C$11)*NORMSINV(T608))&lt;U$8,U$5+SQRT(NORMSDIST(U$9*SQRT($C$11)*NORMSINV($B608)+SQRT(1-U$9^2*$C$11)*NORMSINV(T608))*(U$7-U$5)*(U$6-U$5)),U$7-SQRT((1-NORMSDIST(U$9*SQRT($C$11)*NORMSINV($B608)+SQRT(1-U$9^2*$C$11)*NORMSINV(T608)))*(U$7-U$5)*(U$7-U$6))))</f>
        <v>0.515732967244521</v>
      </c>
      <c r="V608" s="2" t="n">
        <v>0.564272508</v>
      </c>
      <c r="W608" s="2" t="n">
        <f aca="false">IF(W$7=W$5,W$6,IF(NORMSDIST(W$9*SQRT($C$11)*NORMSINV($B608)+SQRT(1-W$9^2*$C$11)*NORMSINV(V608))&lt;W$8,W$5+SQRT(NORMSDIST(W$9*SQRT($C$11)*NORMSINV($B608)+SQRT(1-W$9^2*$C$11)*NORMSINV(V608))*(W$7-W$5)*(W$6-W$5)),W$7-SQRT((1-NORMSDIST(W$9*SQRT($C$11)*NORMSINV($B608)+SQRT(1-W$9^2*$C$11)*NORMSINV(V608)))*(W$7-W$5)*(W$7-W$6))))</f>
        <v>9.9486144570986</v>
      </c>
      <c r="X608" s="2" t="n">
        <v>0.821904774</v>
      </c>
      <c r="Y608" s="2" t="n">
        <f aca="false">IF(Y$7=Y$5,Y$6,IF(NORMSDIST(Y$9*SQRT($C$11)*NORMSINV($B608)+SQRT(1-Y$9^2*$C$11)*NORMSINV(X608))&lt;Y$8,Y$5+SQRT(NORMSDIST(Y$9*SQRT($C$11)*NORMSINV($B608)+SQRT(1-Y$9^2*$C$11)*NORMSINV(X608))*(Y$7-Y$5)*(Y$6-Y$5)),Y$7-SQRT((1-NORMSDIST(Y$9*SQRT($C$11)*NORMSINV($B608)+SQRT(1-Y$9^2*$C$11)*NORMSINV(X608)))*(Y$7-Y$5)*(Y$7-Y$6))))</f>
        <v>0.701591533297059</v>
      </c>
      <c r="Z608" s="2" t="n">
        <v>0.243309064</v>
      </c>
      <c r="AA608" s="2" t="n">
        <f aca="false">IF(AA$7=AA$5,AA$6,IF(NORMSDIST(AA$9*SQRT($C$11)*NORMSINV($B608)+SQRT(1-AA$9^2*$C$11)*NORMSINV(Z608))&lt;AA$8,AA$5+SQRT(NORMSDIST(AA$9*SQRT($C$11)*NORMSINV($B608)+SQRT(1-AA$9^2*$C$11)*NORMSINV(Z608))*(AA$7-AA$5)*(AA$6-AA$5)),AA$7-SQRT((1-NORMSDIST(AA$9*SQRT($C$11)*NORMSINV($B608)+SQRT(1-AA$9^2*$C$11)*NORMSINV(Z608)))*(AA$7-AA$5)*(AA$7-AA$6))))</f>
        <v>0.71768057971998</v>
      </c>
      <c r="AB608" s="2" t="n">
        <v>0.714808165</v>
      </c>
      <c r="AC608" s="2" t="n">
        <f aca="false">IF(AC$7=AC$5,AC$6,IF(NORMSDIST(AC$9*SQRT($C$11)*NORMSINV($B608)+SQRT(1-AC$9^2*$C$11)*NORMSINV(AB608))&lt;AC$8,AC$5+SQRT(NORMSDIST(AC$9*SQRT($C$11)*NORMSINV($B608)+SQRT(1-AC$9^2*$C$11)*NORMSINV(AB608))*(AC$7-AC$5)*(AC$6-AC$5)),AC$7-SQRT((1-NORMSDIST(AC$9*SQRT($C$11)*NORMSINV($B608)+SQRT(1-AC$9^2*$C$11)*NORMSINV(AB608)))*(AC$7-AC$5)*(AC$7-AC$6))))</f>
        <v>9.67483740460231</v>
      </c>
      <c r="AD608" s="2" t="n">
        <f aca="false">Entrées!$C$8*(1+E608)</f>
        <v>7429.15711886126</v>
      </c>
      <c r="AE608" s="2" t="n">
        <f aca="false">I608*Hypothèses!$J$24/12/Hypothèses!$J$19</f>
        <v>103.058772058969</v>
      </c>
      <c r="AF608" s="2" t="n">
        <f aca="false">Entrées!$C$36*S608*1000</f>
        <v>358.6468337129</v>
      </c>
      <c r="AG608" s="2" t="n">
        <f aca="false">-AF608/W608</f>
        <v>-36.0499278828718</v>
      </c>
      <c r="AH608" s="2" t="n">
        <f aca="false">AD608+AE608+AG608</f>
        <v>7496.16596303736</v>
      </c>
      <c r="AI608" s="2" t="n">
        <f aca="false">Entrées!$C$16-M608+Hypothèses!$J$22*1000-AF608+Hypothèses!$J$23</f>
        <v>22651.5747759003</v>
      </c>
      <c r="AJ608" s="2" t="n">
        <f aca="false">AI608/AH608</f>
        <v>3.02175470601803</v>
      </c>
      <c r="AK608" s="2" t="n">
        <f aca="false">AI608/(AH608+I608*(12-Hypothèses!$J$24)/12/Hypothèses!$J$19)</f>
        <v>2.99236921761964</v>
      </c>
      <c r="AL608" s="2" t="n">
        <f aca="false">(AD608+AG608+I608/Hypothèses!$J$19)*(1+G608)</f>
        <v>7986.15012893041</v>
      </c>
      <c r="AM608" s="2" t="n">
        <f aca="false">Entrées!$C$54*K608/Hypothèses!$J$19</f>
        <v>34.1902084743728</v>
      </c>
      <c r="AN608" s="2" t="n">
        <f aca="false">Y608*1000/AC608</f>
        <v>72.5171394573838</v>
      </c>
      <c r="AO608" s="2" t="n">
        <f aca="false">(Entrées!$C$36*(1-S608)+MAX(0,Entrées!$C$30-Entrées!$C$35-Entrées!$C$36)*U608)*1000</f>
        <v>863.37932042943</v>
      </c>
      <c r="AP608" s="2" t="n">
        <f aca="false">-AO608/W608</f>
        <v>-86.7838756997349</v>
      </c>
      <c r="AQ608" s="2" t="n">
        <f aca="false">AL608+AM608+AN608+AP608</f>
        <v>8006.07360116243</v>
      </c>
      <c r="AR608" s="2" t="n">
        <f aca="false">O608*AQ608-Hypothèses!$J$25/Hypothèses!$J$19</f>
        <v>1329.89800495285</v>
      </c>
      <c r="AS608" s="2" t="n">
        <f aca="false">Entrées!$C$79*(1+Q608)+Hypothèses!$J$20</f>
        <v>1475.55865874828</v>
      </c>
      <c r="AT608" s="2" t="n">
        <f aca="false">AI608-AR608+AS608+Y608*1000-AO608+Hypothèses!$J$23</f>
        <v>22635.4476425634</v>
      </c>
      <c r="AU608" s="2" t="n">
        <f aca="false">AT608/AQ608</f>
        <v>2.82728448053199</v>
      </c>
      <c r="AV608" s="2" t="n">
        <f aca="false">Hypothèses!$J$26*AQ608-AT608</f>
        <v>1382.77316092389</v>
      </c>
      <c r="AW608" s="2" t="n">
        <f aca="false">IF(AC608&gt;Hypothèses!$J$26,MAX(0,AV608)/(1-Hypothèses!$J$26/AC608),0)</f>
        <v>2004.25938318173</v>
      </c>
      <c r="AX608" s="2" t="n">
        <f aca="false">AQ608-Entrées!$C$17*1000</f>
        <v>6.07360116243035</v>
      </c>
      <c r="AY608" s="2" t="n">
        <f aca="false">AI608+(Entrées!$C$244-Entrées!$C$13)</f>
        <v>28398.5747759003</v>
      </c>
      <c r="AZ608" s="2" t="n">
        <f aca="false">AA608*AH608</f>
        <v>5379.85273402983</v>
      </c>
      <c r="BA608" s="2" t="n">
        <f aca="false">AZ608/AY608</f>
        <v>0.18944094119101</v>
      </c>
      <c r="BB608" s="2" t="n">
        <f aca="false">AZ608/(Entrées!$C$151/100)-AY608</f>
        <v>1489.49596870982</v>
      </c>
      <c r="BC608" s="2" t="n">
        <f aca="false">AT608+(Entrées!$C$244-Entrées!$C$13)</f>
        <v>28382.4476425634</v>
      </c>
      <c r="BD608" s="2" t="n">
        <f aca="false">AA608*AQ608</f>
        <v>5745.80354336308</v>
      </c>
      <c r="BE608" s="2" t="n">
        <f aca="false">BD608/BC608</f>
        <v>0.202442143670035</v>
      </c>
      <c r="BF608" s="2" t="n">
        <f aca="false">BD608/(Entrées!$C$151/100)-BC608</f>
        <v>3538.68315389814</v>
      </c>
      <c r="BG608" s="2" t="n">
        <f aca="false">MIN(AV608,BF608)</f>
        <v>1382.77316092389</v>
      </c>
      <c r="BH608" s="2" t="n">
        <f aca="false">IF(AC608&gt;Hypothèses!$J$26,MAX(0,BG608)/(1-Hypothèses!$J$26/AC608),0)</f>
        <v>2004.25938318173</v>
      </c>
    </row>
    <row r="609" customFormat="false" ht="15" hidden="false" customHeight="false" outlineLevel="0" collapsed="false">
      <c r="A609" s="2" t="n">
        <v>594</v>
      </c>
      <c r="B609" s="2" t="n">
        <v>0.931549648</v>
      </c>
      <c r="C609" s="2"/>
      <c r="D609" s="2" t="n">
        <v>0.308575645</v>
      </c>
      <c r="E609" s="2" t="n">
        <f aca="false">IF(E$7=E$5,E$6,IF(NORMSDIST(E$9*SQRT($C$11)*NORMSINV($B609)+SQRT(1-E$9^2*$C$11)*NORMSINV(D609))&lt;E$8,E$5+SQRT(NORMSDIST(E$9*SQRT($C$11)*NORMSINV($B609)+SQRT(1-E$9^2*$C$11)*NORMSINV(D609))*(E$7-E$5)*(E$6-E$5)),E$7-SQRT((1-NORMSDIST(E$9*SQRT($C$11)*NORMSINV($B609)+SQRT(1-E$9^2*$C$11)*NORMSINV(D609)))*(E$7-E$5)*(E$7-E$6))))</f>
        <v>0.0561924179426544</v>
      </c>
      <c r="F609" s="2" t="n">
        <v>0.509540655</v>
      </c>
      <c r="G609" s="2" t="n">
        <f aca="false">IF(G$7=G$5,G$6,IF(NORMSDIST(G$9*SQRT($C$11)*NORMSINV($B609)+SQRT(1-G$9^2*$C$11)*NORMSINV(F609))&lt;G$8,G$5+SQRT(NORMSDIST(G$9*SQRT($C$11)*NORMSINV($B609)+SQRT(1-G$9^2*$C$11)*NORMSINV(F609))*(G$7-G$5)*(G$6-G$5)),G$7-SQRT((1-NORMSDIST(G$9*SQRT($C$11)*NORMSINV($B609)+SQRT(1-G$9^2*$C$11)*NORMSINV(F609)))*(G$7-G$5)*(G$7-G$6))))</f>
        <v>0.0612867254418012</v>
      </c>
      <c r="H609" s="2" t="n">
        <v>0.86491364</v>
      </c>
      <c r="I609" s="2" t="n">
        <f aca="false">IF(I$7=I$5,I$6,IF(NORMSDIST(I$9*SQRT($C$11)*NORMSINV($B609)+SQRT(1-I$9^2*$C$11)*NORMSINV(H609))&lt;I$8,I$5+SQRT(NORMSDIST(I$9*SQRT($C$11)*NORMSINV($B609)+SQRT(1-I$9^2*$C$11)*NORMSINV(H609))*(I$7-I$5)*(I$6-I$5)),I$7-SQRT((1-NORMSDIST(I$9*SQRT($C$11)*NORMSINV($B609)+SQRT(1-I$9^2*$C$11)*NORMSINV(H609)))*(I$7-I$5)*(I$7-I$6))))</f>
        <v>214.608274337111</v>
      </c>
      <c r="J609" s="2" t="n">
        <v>0.334747472</v>
      </c>
      <c r="K609" s="2" t="n">
        <f aca="false">IF(K$7=K$5,K$6,IF(NORMSDIST(K$9*SQRT($C$11)*NORMSINV($B609)+SQRT(1-K$9^2*$C$11)*NORMSINV(J609))&lt;K$8,K$5+SQRT(NORMSDIST(K$9*SQRT($C$11)*NORMSINV($B609)+SQRT(1-K$9^2*$C$11)*NORMSINV(J609))*(K$7-K$5)*(K$6-K$5)),K$7-SQRT((1-NORMSDIST(K$9*SQRT($C$11)*NORMSINV($B609)+SQRT(1-K$9^2*$C$11)*NORMSINV(J609)))*(K$7-K$5)*(K$7-K$6))))</f>
        <v>0.315983639802222</v>
      </c>
      <c r="L609" s="2" t="n">
        <v>0.156911688</v>
      </c>
      <c r="M609" s="2" t="n">
        <f aca="false">IF(M$7=M$5,M$6,IF(NORMSDIST(M$9*SQRT($C$11)*NORMSINV($B609)+SQRT(1-M$9^2*$C$11)*NORMSINV(L609))&lt;M$8,M$5+SQRT(NORMSDIST(M$9*SQRT($C$11)*NORMSINV($B609)+SQRT(1-M$9^2*$C$11)*NORMSINV(L609))*(M$7-M$5)*(M$6-M$5)),M$7-SQRT((1-NORMSDIST(M$9*SQRT($C$11)*NORMSINV($B609)+SQRT(1-M$9^2*$C$11)*NORMSINV(L609)))*(M$7-M$5)*(M$7-M$6))))</f>
        <v>1602.80423747099</v>
      </c>
      <c r="N609" s="2" t="n">
        <v>0.702122116</v>
      </c>
      <c r="O609" s="2" t="n">
        <f aca="false">IF(O$7=O$5,O$6,IF(NORMSDIST(O$9*SQRT($C$11)*NORMSINV($B609)+SQRT(1-O$9^2*$C$11)*NORMSINV(N609))&lt;O$8,O$5+SQRT(NORMSDIST(O$9*SQRT($C$11)*NORMSINV($B609)+SQRT(1-O$9^2*$C$11)*NORMSINV(N609))*(O$7-O$5)*(O$6-O$5)),O$7-SQRT((1-NORMSDIST(O$9*SQRT($C$11)*NORMSINV($B609)+SQRT(1-O$9^2*$C$11)*NORMSINV(N609)))*(O$7-O$5)*(O$7-O$6))))</f>
        <v>0.180305036899575</v>
      </c>
      <c r="P609" s="2" t="n">
        <v>0.69427894</v>
      </c>
      <c r="Q609" s="2" t="n">
        <f aca="false">IF(Q$7=Q$5,Q$6,IF(NORMSDIST(Q$9*SQRT($C$11)*NORMSINV($B609)+SQRT(1-Q$9^2*$C$11)*NORMSINV(P609))&lt;Q$8,Q$5+SQRT(NORMSDIST(Q$9*SQRT($C$11)*NORMSINV($B609)+SQRT(1-Q$9^2*$C$11)*NORMSINV(P609))*(Q$7-Q$5)*(Q$6-Q$5)),Q$7-SQRT((1-NORMSDIST(Q$9*SQRT($C$11)*NORMSINV($B609)+SQRT(1-Q$9^2*$C$11)*NORMSINV(P609)))*(Q$7-Q$5)*(Q$7-Q$6))))</f>
        <v>0.0887220941877497</v>
      </c>
      <c r="R609" s="2" t="n">
        <v>0.398745283</v>
      </c>
      <c r="S609" s="2" t="n">
        <f aca="false">IF(S$7=S$5,S$6,IF(NORMSDIST(S$9*SQRT($C$11)*NORMSINV($B609)+SQRT(1-S$9^2*$C$11)*NORMSINV(R609))&lt;S$8,S$5+SQRT(NORMSDIST(S$9*SQRT($C$11)*NORMSINV($B609)+SQRT(1-S$9^2*$C$11)*NORMSINV(R609))*(S$7-S$5)*(S$6-S$5)),S$7-SQRT((1-NORMSDIST(S$9*SQRT($C$11)*NORMSINV($B609)+SQRT(1-S$9^2*$C$11)*NORMSINV(R609)))*(S$7-S$5)*(S$7-S$6))))</f>
        <v>0.661583927207828</v>
      </c>
      <c r="T609" s="2" t="n">
        <v>0.878612838</v>
      </c>
      <c r="U609" s="2" t="n">
        <f aca="false">IF(U$7=U$5,U$6,IF(NORMSDIST(U$9*SQRT($C$11)*NORMSINV($B609)+SQRT(1-U$9^2*$C$11)*NORMSINV(T609))&lt;U$8,U$5+SQRT(NORMSDIST(U$9*SQRT($C$11)*NORMSINV($B609)+SQRT(1-U$9^2*$C$11)*NORMSINV(T609))*(U$7-U$5)*(U$6-U$5)),U$7-SQRT((1-NORMSDIST(U$9*SQRT($C$11)*NORMSINV($B609)+SQRT(1-U$9^2*$C$11)*NORMSINV(T609)))*(U$7-U$5)*(U$7-U$6))))</f>
        <v>0.872562690043842</v>
      </c>
      <c r="V609" s="2" t="n">
        <v>0.048114984</v>
      </c>
      <c r="W609" s="2" t="n">
        <f aca="false">IF(W$7=W$5,W$6,IF(NORMSDIST(W$9*SQRT($C$11)*NORMSINV($B609)+SQRT(1-W$9^2*$C$11)*NORMSINV(V609))&lt;W$8,W$5+SQRT(NORMSDIST(W$9*SQRT($C$11)*NORMSINV($B609)+SQRT(1-W$9^2*$C$11)*NORMSINV(V609))*(W$7-W$5)*(W$6-W$5)),W$7-SQRT((1-NORMSDIST(W$9*SQRT($C$11)*NORMSINV($B609)+SQRT(1-W$9^2*$C$11)*NORMSINV(V609)))*(W$7-W$5)*(W$7-W$6))))</f>
        <v>9.70650094446833</v>
      </c>
      <c r="X609" s="2" t="n">
        <v>0.281345628</v>
      </c>
      <c r="Y609" s="2" t="n">
        <f aca="false">IF(Y$7=Y$5,Y$6,IF(NORMSDIST(Y$9*SQRT($C$11)*NORMSINV($B609)+SQRT(1-Y$9^2*$C$11)*NORMSINV(X609))&lt;Y$8,Y$5+SQRT(NORMSDIST(Y$9*SQRT($C$11)*NORMSINV($B609)+SQRT(1-Y$9^2*$C$11)*NORMSINV(X609))*(Y$7-Y$5)*(Y$6-Y$5)),Y$7-SQRT((1-NORMSDIST(Y$9*SQRT($C$11)*NORMSINV($B609)+SQRT(1-Y$9^2*$C$11)*NORMSINV(X609)))*(Y$7-Y$5)*(Y$7-Y$6))))</f>
        <v>0.375063746581831</v>
      </c>
      <c r="Z609" s="2" t="n">
        <v>0.250050312</v>
      </c>
      <c r="AA609" s="2" t="n">
        <f aca="false">IF(AA$7=AA$5,AA$6,IF(NORMSDIST(AA$9*SQRT($C$11)*NORMSINV($B609)+SQRT(1-AA$9^2*$C$11)*NORMSINV(Z609))&lt;AA$8,AA$5+SQRT(NORMSDIST(AA$9*SQRT($C$11)*NORMSINV($B609)+SQRT(1-AA$9^2*$C$11)*NORMSINV(Z609))*(AA$7-AA$5)*(AA$6-AA$5)),AA$7-SQRT((1-NORMSDIST(AA$9*SQRT($C$11)*NORMSINV($B609)+SQRT(1-AA$9^2*$C$11)*NORMSINV(Z609)))*(AA$7-AA$5)*(AA$7-AA$6))))</f>
        <v>0.733031575963538</v>
      </c>
      <c r="AB609" s="2" t="n">
        <v>0.079421224</v>
      </c>
      <c r="AC609" s="2" t="n">
        <f aca="false">IF(AC$7=AC$5,AC$6,IF(NORMSDIST(AC$9*SQRT($C$11)*NORMSINV($B609)+SQRT(1-AC$9^2*$C$11)*NORMSINV(AB609))&lt;AC$8,AC$5+SQRT(NORMSDIST(AC$9*SQRT($C$11)*NORMSINV($B609)+SQRT(1-AC$9^2*$C$11)*NORMSINV(AB609))*(AC$7-AC$5)*(AC$6-AC$5)),AC$7-SQRT((1-NORMSDIST(AC$9*SQRT($C$11)*NORMSINV($B609)+SQRT(1-AC$9^2*$C$11)*NORMSINV(AB609)))*(AC$7-AC$5)*(AC$7-AC$6))))</f>
        <v>9.35004560700345</v>
      </c>
      <c r="AD609" s="2" t="n">
        <f aca="false">Entrées!$C$8*(1+E609)</f>
        <v>7446.15654649571</v>
      </c>
      <c r="AE609" s="2" t="n">
        <f aca="false">I609*Hypothèses!$J$24/12/Hypothèses!$J$19</f>
        <v>106.466478018137</v>
      </c>
      <c r="AF609" s="2" t="n">
        <f aca="false">Entrées!$C$36*S609*1000</f>
        <v>330.791963603914</v>
      </c>
      <c r="AG609" s="2" t="n">
        <f aca="false">-AF609/W609</f>
        <v>-34.0794242432367</v>
      </c>
      <c r="AH609" s="2" t="n">
        <f aca="false">AD609+AE609+AG609</f>
        <v>7518.54360027061</v>
      </c>
      <c r="AI609" s="2" t="n">
        <f aca="false">Entrées!$C$16-M609+Hypothèses!$J$22*1000-AF609+Hypothèses!$J$23</f>
        <v>22614.4037989251</v>
      </c>
      <c r="AJ609" s="2" t="n">
        <f aca="false">AI609/AH609</f>
        <v>3.0078170721935</v>
      </c>
      <c r="AK609" s="2" t="n">
        <f aca="false">AI609/(AH609+I609*(12-Hypothèses!$J$24)/12/Hypothèses!$J$19)</f>
        <v>2.97769867358272</v>
      </c>
      <c r="AL609" s="2" t="n">
        <f aca="false">(AD609+AG609+I609/Hypothèses!$J$19)*(1+G609)</f>
        <v>8060.03870321203</v>
      </c>
      <c r="AM609" s="2" t="n">
        <f aca="false">Entrées!$C$54*K609/Hypothèses!$J$19</f>
        <v>32.247457171385</v>
      </c>
      <c r="AN609" s="2" t="n">
        <f aca="false">Y609*1000/AC609</f>
        <v>40.113574023735</v>
      </c>
      <c r="AO609" s="2" t="n">
        <f aca="false">(Entrées!$C$36*(1-S609)+MAX(0,Entrées!$C$30-Entrées!$C$35-Entrées!$C$36)*U609)*1000</f>
        <v>1390.79580245746</v>
      </c>
      <c r="AP609" s="2" t="n">
        <f aca="false">-AO609/W609</f>
        <v>-143.28498090242</v>
      </c>
      <c r="AQ609" s="2" t="n">
        <f aca="false">AL609+AM609+AN609+AP609</f>
        <v>7989.11475350473</v>
      </c>
      <c r="AR609" s="2" t="n">
        <f aca="false">O609*AQ609-Hypothèses!$J$25/Hypothèses!$J$19</f>
        <v>1421.34246816399</v>
      </c>
      <c r="AS609" s="2" t="n">
        <f aca="false">Entrées!$C$79*(1+Q609)+Hypothèses!$J$20</f>
        <v>1491.50558151234</v>
      </c>
      <c r="AT609" s="2" t="n">
        <f aca="false">AI609-AR609+AS609+Y609*1000-AO609+Hypothèses!$J$23</f>
        <v>21668.8348563978</v>
      </c>
      <c r="AU609" s="2" t="n">
        <f aca="false">AT609/AQ609</f>
        <v>2.71229485681026</v>
      </c>
      <c r="AV609" s="2" t="n">
        <f aca="false">Hypothèses!$J$26*AQ609-AT609</f>
        <v>2298.50940411638</v>
      </c>
      <c r="AW609" s="2" t="n">
        <f aca="false">IF(AC609&gt;Hypothèses!$J$26,MAX(0,AV609)/(1-Hypothèses!$J$26/AC609),0)</f>
        <v>3384.41155964485</v>
      </c>
      <c r="AX609" s="2" t="n">
        <f aca="false">AQ609-Entrées!$C$17*1000</f>
        <v>-10.8852464952679</v>
      </c>
      <c r="AY609" s="2" t="n">
        <f aca="false">AI609+(Entrées!$C$244-Entrées!$C$13)</f>
        <v>28361.4037989251</v>
      </c>
      <c r="AZ609" s="2" t="n">
        <f aca="false">AA609*AH609</f>
        <v>5511.32986425694</v>
      </c>
      <c r="BA609" s="2" t="n">
        <f aca="false">AZ609/AY609</f>
        <v>0.194325002504489</v>
      </c>
      <c r="BB609" s="2" t="n">
        <f aca="false">AZ609/(Entrées!$C$151/100)-AY609</f>
        <v>2257.09544694681</v>
      </c>
      <c r="BC609" s="2" t="n">
        <f aca="false">AT609+(Entrées!$C$244-Entrées!$C$13)</f>
        <v>27415.8348563978</v>
      </c>
      <c r="BD609" s="2" t="n">
        <f aca="false">AA609*AQ609</f>
        <v>5856.27337831513</v>
      </c>
      <c r="BE609" s="2" t="n">
        <f aca="false">BD609/BC609</f>
        <v>0.213609157225737</v>
      </c>
      <c r="BF609" s="2" t="n">
        <f aca="false">BD609/(Entrées!$C$151/100)-BC609</f>
        <v>5119.0172453529</v>
      </c>
      <c r="BG609" s="2" t="n">
        <f aca="false">MIN(AV609,BF609)</f>
        <v>2298.50940411638</v>
      </c>
      <c r="BH609" s="2" t="n">
        <f aca="false">IF(AC609&gt;Hypothèses!$J$26,MAX(0,BG609)/(1-Hypothèses!$J$26/AC609),0)</f>
        <v>3384.41155964485</v>
      </c>
    </row>
    <row r="610" customFormat="false" ht="15" hidden="false" customHeight="false" outlineLevel="0" collapsed="false">
      <c r="A610" s="2" t="n">
        <v>595</v>
      </c>
      <c r="B610" s="2" t="n">
        <v>0.078369811</v>
      </c>
      <c r="C610" s="2"/>
      <c r="D610" s="2" t="n">
        <v>0.652473106</v>
      </c>
      <c r="E610" s="2" t="n">
        <f aca="false">IF(E$7=E$5,E$6,IF(NORMSDIST(E$9*SQRT($C$11)*NORMSINV($B610)+SQRT(1-E$9^2*$C$11)*NORMSINV(D610))&lt;E$8,E$5+SQRT(NORMSDIST(E$9*SQRT($C$11)*NORMSINV($B610)+SQRT(1-E$9^2*$C$11)*NORMSINV(D610))*(E$7-E$5)*(E$6-E$5)),E$7-SQRT((1-NORMSDIST(E$9*SQRT($C$11)*NORMSINV($B610)+SQRT(1-E$9^2*$C$11)*NORMSINV(D610)))*(E$7-E$5)*(E$7-E$6))))</f>
        <v>0.0537210838895413</v>
      </c>
      <c r="F610" s="2" t="n">
        <v>0.817530635</v>
      </c>
      <c r="G610" s="2" t="n">
        <f aca="false">IF(G$7=G$5,G$6,IF(NORMSDIST(G$9*SQRT($C$11)*NORMSINV($B610)+SQRT(1-G$9^2*$C$11)*NORMSINV(F610))&lt;G$8,G$5+SQRT(NORMSDIST(G$9*SQRT($C$11)*NORMSINV($B610)+SQRT(1-G$9^2*$C$11)*NORMSINV(F610))*(G$7-G$5)*(G$6-G$5)),G$7-SQRT((1-NORMSDIST(G$9*SQRT($C$11)*NORMSINV($B610)+SQRT(1-G$9^2*$C$11)*NORMSINV(F610)))*(G$7-G$5)*(G$7-G$6))))</f>
        <v>0.0537991037371321</v>
      </c>
      <c r="H610" s="2" t="n">
        <v>0.127806485</v>
      </c>
      <c r="I610" s="2" t="n">
        <f aca="false">IF(I$7=I$5,I$6,IF(NORMSDIST(I$9*SQRT($C$11)*NORMSINV($B610)+SQRT(1-I$9^2*$C$11)*NORMSINV(H610))&lt;I$8,I$5+SQRT(NORMSDIST(I$9*SQRT($C$11)*NORMSINV($B610)+SQRT(1-I$9^2*$C$11)*NORMSINV(H610))*(I$7-I$5)*(I$6-I$5)),I$7-SQRT((1-NORMSDIST(I$9*SQRT($C$11)*NORMSINV($B610)+SQRT(1-I$9^2*$C$11)*NORMSINV(H610)))*(I$7-I$5)*(I$7-I$6))))</f>
        <v>185.502649660821</v>
      </c>
      <c r="J610" s="2" t="n">
        <v>0.596921537</v>
      </c>
      <c r="K610" s="2" t="n">
        <f aca="false">IF(K$7=K$5,K$6,IF(NORMSDIST(K$9*SQRT($C$11)*NORMSINV($B610)+SQRT(1-K$9^2*$C$11)*NORMSINV(J610))&lt;K$8,K$5+SQRT(NORMSDIST(K$9*SQRT($C$11)*NORMSINV($B610)+SQRT(1-K$9^2*$C$11)*NORMSINV(J610))*(K$7-K$5)*(K$6-K$5)),K$7-SQRT((1-NORMSDIST(K$9*SQRT($C$11)*NORMSINV($B610)+SQRT(1-K$9^2*$C$11)*NORMSINV(J610)))*(K$7-K$5)*(K$7-K$6))))</f>
        <v>0.173288523215592</v>
      </c>
      <c r="L610" s="2" t="n">
        <v>0.659393247</v>
      </c>
      <c r="M610" s="2" t="n">
        <f aca="false">IF(M$7=M$5,M$6,IF(NORMSDIST(M$9*SQRT($C$11)*NORMSINV($B610)+SQRT(1-M$9^2*$C$11)*NORMSINV(L610))&lt;M$8,M$5+SQRT(NORMSDIST(M$9*SQRT($C$11)*NORMSINV($B610)+SQRT(1-M$9^2*$C$11)*NORMSINV(L610))*(M$7-M$5)*(M$6-M$5)),M$7-SQRT((1-NORMSDIST(M$9*SQRT($C$11)*NORMSINV($B610)+SQRT(1-M$9^2*$C$11)*NORMSINV(L610)))*(M$7-M$5)*(M$7-M$6))))</f>
        <v>1515.03005931022</v>
      </c>
      <c r="N610" s="2" t="n">
        <v>0.948613713</v>
      </c>
      <c r="O610" s="2" t="n">
        <f aca="false">IF(O$7=O$5,O$6,IF(NORMSDIST(O$9*SQRT($C$11)*NORMSINV($B610)+SQRT(1-O$9^2*$C$11)*NORMSINV(N610))&lt;O$8,O$5+SQRT(NORMSDIST(O$9*SQRT($C$11)*NORMSINV($B610)+SQRT(1-O$9^2*$C$11)*NORMSINV(N610))*(O$7-O$5)*(O$6-O$5)),O$7-SQRT((1-NORMSDIST(O$9*SQRT($C$11)*NORMSINV($B610)+SQRT(1-O$9^2*$C$11)*NORMSINV(N610)))*(O$7-O$5)*(O$7-O$6))))</f>
        <v>0.170516564886459</v>
      </c>
      <c r="P610" s="2" t="n">
        <v>0.5575665</v>
      </c>
      <c r="Q610" s="2" t="n">
        <f aca="false">IF(Q$7=Q$5,Q$6,IF(NORMSDIST(Q$9*SQRT($C$11)*NORMSINV($B610)+SQRT(1-Q$9^2*$C$11)*NORMSINV(P610))&lt;Q$8,Q$5+SQRT(NORMSDIST(Q$9*SQRT($C$11)*NORMSINV($B610)+SQRT(1-Q$9^2*$C$11)*NORMSINV(P610))*(Q$7-Q$5)*(Q$6-Q$5)),Q$7-SQRT((1-NORMSDIST(Q$9*SQRT($C$11)*NORMSINV($B610)+SQRT(1-Q$9^2*$C$11)*NORMSINV(P610)))*(Q$7-Q$5)*(Q$7-Q$6))))</f>
        <v>0.0823730522098855</v>
      </c>
      <c r="R610" s="2" t="n">
        <v>0.396310318</v>
      </c>
      <c r="S610" s="2" t="n">
        <f aca="false">IF(S$7=S$5,S$6,IF(NORMSDIST(S$9*SQRT($C$11)*NORMSINV($B610)+SQRT(1-S$9^2*$C$11)*NORMSINV(R610))&lt;S$8,S$5+SQRT(NORMSDIST(S$9*SQRT($C$11)*NORMSINV($B610)+SQRT(1-S$9^2*$C$11)*NORMSINV(R610))*(S$7-S$5)*(S$6-S$5)),S$7-SQRT((1-NORMSDIST(S$9*SQRT($C$11)*NORMSINV($B610)+SQRT(1-S$9^2*$C$11)*NORMSINV(R610)))*(S$7-S$5)*(S$7-S$6))))</f>
        <v>0.260597685274798</v>
      </c>
      <c r="T610" s="2" t="n">
        <v>0.224790323</v>
      </c>
      <c r="U610" s="2" t="n">
        <f aca="false">IF(U$7=U$5,U$6,IF(NORMSDIST(U$9*SQRT($C$11)*NORMSINV($B610)+SQRT(1-U$9^2*$C$11)*NORMSINV(T610))&lt;U$8,U$5+SQRT(NORMSDIST(U$9*SQRT($C$11)*NORMSINV($B610)+SQRT(1-U$9^2*$C$11)*NORMSINV(T610))*(U$7-U$5)*(U$6-U$5)),U$7-SQRT((1-NORMSDIST(U$9*SQRT($C$11)*NORMSINV($B610)+SQRT(1-U$9^2*$C$11)*NORMSINV(T610)))*(U$7-U$5)*(U$7-U$6))))</f>
        <v>0.186092585188997</v>
      </c>
      <c r="V610" s="2" t="n">
        <v>0.823201155</v>
      </c>
      <c r="W610" s="2" t="n">
        <f aca="false">IF(W$7=W$5,W$6,IF(NORMSDIST(W$9*SQRT($C$11)*NORMSINV($B610)+SQRT(1-W$9^2*$C$11)*NORMSINV(V610))&lt;W$8,W$5+SQRT(NORMSDIST(W$9*SQRT($C$11)*NORMSINV($B610)+SQRT(1-W$9^2*$C$11)*NORMSINV(V610))*(W$7-W$5)*(W$6-W$5)),W$7-SQRT((1-NORMSDIST(W$9*SQRT($C$11)*NORMSINV($B610)+SQRT(1-W$9^2*$C$11)*NORMSINV(V610)))*(W$7-W$5)*(W$7-W$6))))</f>
        <v>9.85411496866927</v>
      </c>
      <c r="X610" s="2" t="n">
        <v>0.030998451</v>
      </c>
      <c r="Y610" s="2" t="n">
        <f aca="false">IF(Y$7=Y$5,Y$6,IF(NORMSDIST(Y$9*SQRT($C$11)*NORMSINV($B610)+SQRT(1-Y$9^2*$C$11)*NORMSINV(X610))&lt;Y$8,Y$5+SQRT(NORMSDIST(Y$9*SQRT($C$11)*NORMSINV($B610)+SQRT(1-Y$9^2*$C$11)*NORMSINV(X610))*(Y$7-Y$5)*(Y$6-Y$5)),Y$7-SQRT((1-NORMSDIST(Y$9*SQRT($C$11)*NORMSINV($B610)+SQRT(1-Y$9^2*$C$11)*NORMSINV(X610)))*(Y$7-Y$5)*(Y$7-Y$6))))</f>
        <v>0.124495885474179</v>
      </c>
      <c r="Z610" s="2" t="n">
        <v>0.313583079</v>
      </c>
      <c r="AA610" s="2" t="n">
        <f aca="false">IF(AA$7=AA$5,AA$6,IF(NORMSDIST(AA$9*SQRT($C$11)*NORMSINV($B610)+SQRT(1-AA$9^2*$C$11)*NORMSINV(Z610))&lt;AA$8,AA$5+SQRT(NORMSDIST(AA$9*SQRT($C$11)*NORMSINV($B610)+SQRT(1-AA$9^2*$C$11)*NORMSINV(Z610))*(AA$7-AA$5)*(AA$6-AA$5)),AA$7-SQRT((1-NORMSDIST(AA$9*SQRT($C$11)*NORMSINV($B610)+SQRT(1-AA$9^2*$C$11)*NORMSINV(Z610)))*(AA$7-AA$5)*(AA$7-AA$6))))</f>
        <v>0.710082033998802</v>
      </c>
      <c r="AB610" s="2" t="n">
        <v>0.083763674</v>
      </c>
      <c r="AC610" s="2" t="n">
        <f aca="false">IF(AC$7=AC$5,AC$6,IF(NORMSDIST(AC$9*SQRT($C$11)*NORMSINV($B610)+SQRT(1-AC$9^2*$C$11)*NORMSINV(AB610))&lt;AC$8,AC$5+SQRT(NORMSDIST(AC$9*SQRT($C$11)*NORMSINV($B610)+SQRT(1-AC$9^2*$C$11)*NORMSINV(AB610))*(AC$7-AC$5)*(AC$6-AC$5)),AC$7-SQRT((1-NORMSDIST(AC$9*SQRT($C$11)*NORMSINV($B610)+SQRT(1-AC$9^2*$C$11)*NORMSINV(AB610)))*(AC$7-AC$5)*(AC$7-AC$6))))</f>
        <v>7.86217525538606</v>
      </c>
      <c r="AD610" s="2" t="n">
        <f aca="false">Entrées!$C$8*(1+E610)</f>
        <v>7428.73364142127</v>
      </c>
      <c r="AE610" s="2" t="n">
        <f aca="false">I610*Hypothèses!$J$24/12/Hypothèses!$J$19</f>
        <v>92.0272707724055</v>
      </c>
      <c r="AF610" s="2" t="n">
        <f aca="false">Entrées!$C$36*S610*1000</f>
        <v>130.298842637399</v>
      </c>
      <c r="AG610" s="2" t="n">
        <f aca="false">-AF610/W610</f>
        <v>-13.2227849027212</v>
      </c>
      <c r="AH610" s="2" t="n">
        <f aca="false">AD610+AE610+AG610</f>
        <v>7507.53812729095</v>
      </c>
      <c r="AI610" s="2" t="n">
        <f aca="false">Entrées!$C$16-M610+Hypothèses!$J$22*1000-AF610+Hypothèses!$J$23</f>
        <v>22902.6710980524</v>
      </c>
      <c r="AJ610" s="2" t="n">
        <f aca="false">AI610/AH610</f>
        <v>3.050623348125</v>
      </c>
      <c r="AK610" s="2" t="n">
        <f aca="false">AI610/(AH610+I610*(12-Hypothèses!$J$24)/12/Hypothèses!$J$19)</f>
        <v>3.02414483782859</v>
      </c>
      <c r="AL610" s="2" t="n">
        <f aca="false">(AD610+AG610+I610/Hypothèses!$J$19)*(1+G610)</f>
        <v>7980.7071322825</v>
      </c>
      <c r="AM610" s="2" t="n">
        <f aca="false">Entrées!$C$54*K610/Hypothèses!$J$19</f>
        <v>17.6848213856421</v>
      </c>
      <c r="AN610" s="2" t="n">
        <f aca="false">Y610*1000/AC610</f>
        <v>15.8347889013149</v>
      </c>
      <c r="AO610" s="2" t="n">
        <f aca="false">(Entrées!$C$36*(1-S610)+MAX(0,Entrées!$C$30-Entrées!$C$35-Entrées!$C$36)*U610)*1000</f>
        <v>630.230776627197</v>
      </c>
      <c r="AP610" s="2" t="n">
        <f aca="false">-AO610/W610</f>
        <v>-63.9561014490888</v>
      </c>
      <c r="AQ610" s="2" t="n">
        <f aca="false">AL610+AM610+AN610+AP610</f>
        <v>7950.27064112037</v>
      </c>
      <c r="AR610" s="2" t="n">
        <f aca="false">O610*AQ610-Hypothèses!$J$25/Hypothèses!$J$19</f>
        <v>1336.51767737989</v>
      </c>
      <c r="AS610" s="2" t="n">
        <f aca="false">Entrées!$C$79*(1+Q610)+Hypothèses!$J$20</f>
        <v>1484.52798437866</v>
      </c>
      <c r="AT610" s="2" t="n">
        <f aca="false">AI610-AR610+AS610+Y610*1000-AO610+Hypothèses!$J$23</f>
        <v>22544.9465138981</v>
      </c>
      <c r="AU610" s="2" t="n">
        <f aca="false">AT610/AQ610</f>
        <v>2.83574579175849</v>
      </c>
      <c r="AV610" s="2" t="n">
        <f aca="false">Hypothèses!$J$26*AQ610-AT610</f>
        <v>1305.86540946297</v>
      </c>
      <c r="AW610" s="2" t="n">
        <f aca="false">IF(AC610&gt;Hypothèses!$J$26,MAX(0,AV610)/(1-Hypothèses!$J$26/AC610),0)</f>
        <v>2111.59453739789</v>
      </c>
      <c r="AX610" s="2" t="n">
        <f aca="false">AQ610-Entrées!$C$17*1000</f>
        <v>-49.7293588796283</v>
      </c>
      <c r="AY610" s="2" t="n">
        <f aca="false">AI610+(Entrées!$C$244-Entrées!$C$13)</f>
        <v>28649.6710980524</v>
      </c>
      <c r="AZ610" s="2" t="n">
        <f aca="false">AA610*AH610</f>
        <v>5330.96794375032</v>
      </c>
      <c r="BA610" s="2" t="n">
        <f aca="false">AZ610/AY610</f>
        <v>0.186074315670336</v>
      </c>
      <c r="BB610" s="2" t="n">
        <f aca="false">AZ610/(Entrées!$C$151/100)-AY610</f>
        <v>966.817478338257</v>
      </c>
      <c r="BC610" s="2" t="n">
        <f aca="false">AT610+(Entrées!$C$244-Entrées!$C$13)</f>
        <v>28291.9465138981</v>
      </c>
      <c r="BD610" s="2" t="n">
        <f aca="false">AA610*AQ610</f>
        <v>5645.34434768771</v>
      </c>
      <c r="BE610" s="2" t="n">
        <f aca="false">BD610/BC610</f>
        <v>0.199538916310141</v>
      </c>
      <c r="BF610" s="2" t="n">
        <f aca="false">BD610/(Entrées!$C$151/100)-BC610</f>
        <v>3071.07763992249</v>
      </c>
      <c r="BG610" s="2" t="n">
        <f aca="false">MIN(AV610,BF610)</f>
        <v>1305.86540946297</v>
      </c>
      <c r="BH610" s="2" t="n">
        <f aca="false">IF(AC610&gt;Hypothèses!$J$26,MAX(0,BG610)/(1-Hypothèses!$J$26/AC610),0)</f>
        <v>2111.59453739789</v>
      </c>
    </row>
    <row r="611" customFormat="false" ht="15" hidden="false" customHeight="false" outlineLevel="0" collapsed="false">
      <c r="A611" s="2" t="n">
        <v>596</v>
      </c>
      <c r="B611" s="2" t="n">
        <v>0.043184434</v>
      </c>
      <c r="C611" s="2"/>
      <c r="D611" s="2" t="n">
        <v>0.256468114</v>
      </c>
      <c r="E611" s="2" t="n">
        <f aca="false">IF(E$7=E$5,E$6,IF(NORMSDIST(E$9*SQRT($C$11)*NORMSINV($B611)+SQRT(1-E$9^2*$C$11)*NORMSINV(D611))&lt;E$8,E$5+SQRT(NORMSDIST(E$9*SQRT($C$11)*NORMSINV($B611)+SQRT(1-E$9^2*$C$11)*NORMSINV(D611))*(E$7-E$5)*(E$6-E$5)),E$7-SQRT((1-NORMSDIST(E$9*SQRT($C$11)*NORMSINV($B611)+SQRT(1-E$9^2*$C$11)*NORMSINV(D611)))*(E$7-E$5)*(E$7-E$6))))</f>
        <v>0.0516697660776346</v>
      </c>
      <c r="F611" s="2" t="n">
        <v>0.533457622</v>
      </c>
      <c r="G611" s="2" t="n">
        <f aca="false">IF(G$7=G$5,G$6,IF(NORMSDIST(G$9*SQRT($C$11)*NORMSINV($B611)+SQRT(1-G$9^2*$C$11)*NORMSINV(F611))&lt;G$8,G$5+SQRT(NORMSDIST(G$9*SQRT($C$11)*NORMSINV($B611)+SQRT(1-G$9^2*$C$11)*NORMSINV(F611))*(G$7-G$5)*(G$6-G$5)),G$7-SQRT((1-NORMSDIST(G$9*SQRT($C$11)*NORMSINV($B611)+SQRT(1-G$9^2*$C$11)*NORMSINV(F611)))*(G$7-G$5)*(G$7-G$6))))</f>
        <v>0.0483239339697569</v>
      </c>
      <c r="H611" s="2" t="n">
        <v>0.007294547</v>
      </c>
      <c r="I611" s="2" t="n">
        <f aca="false">IF(I$7=I$5,I$6,IF(NORMSDIST(I$9*SQRT($C$11)*NORMSINV($B611)+SQRT(1-I$9^2*$C$11)*NORMSINV(H611))&lt;I$8,I$5+SQRT(NORMSDIST(I$9*SQRT($C$11)*NORMSINV($B611)+SQRT(1-I$9^2*$C$11)*NORMSINV(H611))*(I$7-I$5)*(I$6-I$5)),I$7-SQRT((1-NORMSDIST(I$9*SQRT($C$11)*NORMSINV($B611)+SQRT(1-I$9^2*$C$11)*NORMSINV(H611)))*(I$7-I$5)*(I$7-I$6))))</f>
        <v>181.079974575336</v>
      </c>
      <c r="J611" s="2" t="n">
        <v>0.900911076</v>
      </c>
      <c r="K611" s="2" t="n">
        <f aca="false">IF(K$7=K$5,K$6,IF(NORMSDIST(K$9*SQRT($C$11)*NORMSINV($B611)+SQRT(1-K$9^2*$C$11)*NORMSINV(J611))&lt;K$8,K$5+SQRT(NORMSDIST(K$9*SQRT($C$11)*NORMSINV($B611)+SQRT(1-K$9^2*$C$11)*NORMSINV(J611))*(K$7-K$5)*(K$6-K$5)),K$7-SQRT((1-NORMSDIST(K$9*SQRT($C$11)*NORMSINV($B611)+SQRT(1-K$9^2*$C$11)*NORMSINV(J611)))*(K$7-K$5)*(K$7-K$6))))</f>
        <v>0.241089763529242</v>
      </c>
      <c r="L611" s="2" t="n">
        <v>0.929829522</v>
      </c>
      <c r="M611" s="2" t="n">
        <f aca="false">IF(M$7=M$5,M$6,IF(NORMSDIST(M$9*SQRT($C$11)*NORMSINV($B611)+SQRT(1-M$9^2*$C$11)*NORMSINV(L611))&lt;M$8,M$5+SQRT(NORMSDIST(M$9*SQRT($C$11)*NORMSINV($B611)+SQRT(1-M$9^2*$C$11)*NORMSINV(L611))*(M$7-M$5)*(M$6-M$5)),M$7-SQRT((1-NORMSDIST(M$9*SQRT($C$11)*NORMSINV($B611)+SQRT(1-M$9^2*$C$11)*NORMSINV(L611)))*(M$7-M$5)*(M$7-M$6))))</f>
        <v>1591.75617699239</v>
      </c>
      <c r="N611" s="2" t="n">
        <v>0.260958293</v>
      </c>
      <c r="O611" s="2" t="n">
        <f aca="false">IF(O$7=O$5,O$6,IF(NORMSDIST(O$9*SQRT($C$11)*NORMSINV($B611)+SQRT(1-O$9^2*$C$11)*NORMSINV(N611))&lt;O$8,O$5+SQRT(NORMSDIST(O$9*SQRT($C$11)*NORMSINV($B611)+SQRT(1-O$9^2*$C$11)*NORMSINV(N611))*(O$7-O$5)*(O$6-O$5)),O$7-SQRT((1-NORMSDIST(O$9*SQRT($C$11)*NORMSINV($B611)+SQRT(1-O$9^2*$C$11)*NORMSINV(N611)))*(O$7-O$5)*(O$7-O$6))))</f>
        <v>0.149042035463025</v>
      </c>
      <c r="P611" s="2" t="n">
        <v>0.872389999</v>
      </c>
      <c r="Q611" s="2" t="n">
        <f aca="false">IF(Q$7=Q$5,Q$6,IF(NORMSDIST(Q$9*SQRT($C$11)*NORMSINV($B611)+SQRT(1-Q$9^2*$C$11)*NORMSINV(P611))&lt;Q$8,Q$5+SQRT(NORMSDIST(Q$9*SQRT($C$11)*NORMSINV($B611)+SQRT(1-Q$9^2*$C$11)*NORMSINV(P611))*(Q$7-Q$5)*(Q$6-Q$5)),Q$7-SQRT((1-NORMSDIST(Q$9*SQRT($C$11)*NORMSINV($B611)+SQRT(1-Q$9^2*$C$11)*NORMSINV(P611)))*(Q$7-Q$5)*(Q$7-Q$6))))</f>
        <v>0.0997922786242486</v>
      </c>
      <c r="R611" s="2" t="n">
        <v>0.792380078</v>
      </c>
      <c r="S611" s="2" t="n">
        <f aca="false">IF(S$7=S$5,S$6,IF(NORMSDIST(S$9*SQRT($C$11)*NORMSINV($B611)+SQRT(1-S$9^2*$C$11)*NORMSINV(R611))&lt;S$8,S$5+SQRT(NORMSDIST(S$9*SQRT($C$11)*NORMSINV($B611)+SQRT(1-S$9^2*$C$11)*NORMSINV(R611))*(S$7-S$5)*(S$6-S$5)),S$7-SQRT((1-NORMSDIST(S$9*SQRT($C$11)*NORMSINV($B611)+SQRT(1-S$9^2*$C$11)*NORMSINV(R611)))*(S$7-S$5)*(S$7-S$6))))</f>
        <v>0.403169157217956</v>
      </c>
      <c r="T611" s="2" t="n">
        <v>0.382642235</v>
      </c>
      <c r="U611" s="2" t="n">
        <f aca="false">IF(U$7=U$5,U$6,IF(NORMSDIST(U$9*SQRT($C$11)*NORMSINV($B611)+SQRT(1-U$9^2*$C$11)*NORMSINV(T611))&lt;U$8,U$5+SQRT(NORMSDIST(U$9*SQRT($C$11)*NORMSINV($B611)+SQRT(1-U$9^2*$C$11)*NORMSINV(T611))*(U$7-U$5)*(U$6-U$5)),U$7-SQRT((1-NORMSDIST(U$9*SQRT($C$11)*NORMSINV($B611)+SQRT(1-U$9^2*$C$11)*NORMSINV(T611)))*(U$7-U$5)*(U$7-U$6))))</f>
        <v>0.216927181837214</v>
      </c>
      <c r="V611" s="2" t="n">
        <v>0.735484746</v>
      </c>
      <c r="W611" s="2" t="n">
        <f aca="false">IF(W$7=W$5,W$6,IF(NORMSDIST(W$9*SQRT($C$11)*NORMSINV($B611)+SQRT(1-W$9^2*$C$11)*NORMSINV(V611))&lt;W$8,W$5+SQRT(NORMSDIST(W$9*SQRT($C$11)*NORMSINV($B611)+SQRT(1-W$9^2*$C$11)*NORMSINV(V611))*(W$7-W$5)*(W$6-W$5)),W$7-SQRT((1-NORMSDIST(W$9*SQRT($C$11)*NORMSINV($B611)+SQRT(1-W$9^2*$C$11)*NORMSINV(V611)))*(W$7-W$5)*(W$7-W$6))))</f>
        <v>9.48394039783581</v>
      </c>
      <c r="X611" s="2" t="n">
        <v>0.450131444</v>
      </c>
      <c r="Y611" s="2" t="n">
        <f aca="false">IF(Y$7=Y$5,Y$6,IF(NORMSDIST(Y$9*SQRT($C$11)*NORMSINV($B611)+SQRT(1-Y$9^2*$C$11)*NORMSINV(X611))&lt;Y$8,Y$5+SQRT(NORMSDIST(Y$9*SQRT($C$11)*NORMSINV($B611)+SQRT(1-Y$9^2*$C$11)*NORMSINV(X611))*(Y$7-Y$5)*(Y$6-Y$5)),Y$7-SQRT((1-NORMSDIST(Y$9*SQRT($C$11)*NORMSINV($B611)+SQRT(1-Y$9^2*$C$11)*NORMSINV(X611)))*(Y$7-Y$5)*(Y$7-Y$6))))</f>
        <v>0.47441092103787</v>
      </c>
      <c r="Z611" s="2" t="n">
        <v>0.186548574</v>
      </c>
      <c r="AA611" s="2" t="n">
        <f aca="false">IF(AA$7=AA$5,AA$6,IF(NORMSDIST(AA$9*SQRT($C$11)*NORMSINV($B611)+SQRT(1-AA$9^2*$C$11)*NORMSINV(Z611))&lt;AA$8,AA$5+SQRT(NORMSDIST(AA$9*SQRT($C$11)*NORMSINV($B611)+SQRT(1-AA$9^2*$C$11)*NORMSINV(Z611))*(AA$7-AA$5)*(AA$6-AA$5)),AA$7-SQRT((1-NORMSDIST(AA$9*SQRT($C$11)*NORMSINV($B611)+SQRT(1-AA$9^2*$C$11)*NORMSINV(Z611)))*(AA$7-AA$5)*(AA$7-AA$6))))</f>
        <v>0.704341615285586</v>
      </c>
      <c r="AB611" s="2" t="n">
        <v>0.99916283</v>
      </c>
      <c r="AC611" s="2" t="n">
        <f aca="false">IF(AC$7=AC$5,AC$6,IF(NORMSDIST(AC$9*SQRT($C$11)*NORMSINV($B611)+SQRT(1-AC$9^2*$C$11)*NORMSINV(AB611))&lt;AC$8,AC$5+SQRT(NORMSDIST(AC$9*SQRT($C$11)*NORMSINV($B611)+SQRT(1-AC$9^2*$C$11)*NORMSINV(AB611))*(AC$7-AC$5)*(AC$6-AC$5)),AC$7-SQRT((1-NORMSDIST(AC$9*SQRT($C$11)*NORMSINV($B611)+SQRT(1-AC$9^2*$C$11)*NORMSINV(AB611)))*(AC$7-AC$5)*(AC$7-AC$6))))</f>
        <v>10.3814812073791</v>
      </c>
      <c r="AD611" s="2" t="n">
        <f aca="false">Entrées!$C$8*(1+E611)</f>
        <v>7414.27185084732</v>
      </c>
      <c r="AE611" s="2" t="n">
        <f aca="false">I611*Hypothèses!$J$24/12/Hypothèses!$J$19</f>
        <v>89.8331958178191</v>
      </c>
      <c r="AF611" s="2" t="n">
        <f aca="false">Entrées!$C$36*S611*1000</f>
        <v>201.584578608978</v>
      </c>
      <c r="AG611" s="2" t="n">
        <f aca="false">-AF611/W611</f>
        <v>-21.2553611845746</v>
      </c>
      <c r="AH611" s="2" t="n">
        <f aca="false">AD611+AE611+AG611</f>
        <v>7482.84968548057</v>
      </c>
      <c r="AI611" s="2" t="n">
        <f aca="false">Entrées!$C$16-M611+Hypothèses!$J$22*1000-AF611+Hypothèses!$J$23</f>
        <v>22754.6592443986</v>
      </c>
      <c r="AJ611" s="2" t="n">
        <f aca="false">AI611/AH611</f>
        <v>3.04090823694493</v>
      </c>
      <c r="AK611" s="2" t="n">
        <f aca="false">AI611/(AH611+I611*(12-Hypothèses!$J$24)/12/Hypothèses!$J$19)</f>
        <v>3.01505369523671</v>
      </c>
      <c r="AL611" s="2" t="n">
        <f aca="false">(AD611+AG611+I611/Hypothèses!$J$19)*(1+G611)</f>
        <v>7911.71776904507</v>
      </c>
      <c r="AM611" s="2" t="n">
        <f aca="false">Entrées!$C$54*K611/Hypothèses!$J$19</f>
        <v>24.6042226386617</v>
      </c>
      <c r="AN611" s="2" t="n">
        <f aca="false">Y611*1000/AC611</f>
        <v>45.6978066579421</v>
      </c>
      <c r="AO611" s="2" t="n">
        <f aca="false">(Entrées!$C$36*(1-S611)+MAX(0,Entrées!$C$30-Entrées!$C$35-Entrées!$C$36)*U611)*1000</f>
        <v>602.113475963122</v>
      </c>
      <c r="AP611" s="2" t="n">
        <f aca="false">-AO611/W611</f>
        <v>-63.487690844253</v>
      </c>
      <c r="AQ611" s="2" t="n">
        <f aca="false">AL611+AM611+AN611+AP611</f>
        <v>7918.53210749742</v>
      </c>
      <c r="AR611" s="2" t="n">
        <f aca="false">O611*AQ611-Hypothèses!$J$25/Hypothèses!$J$19</f>
        <v>1161.05898091911</v>
      </c>
      <c r="AS611" s="2" t="n">
        <f aca="false">Entrées!$C$79*(1+Q611)+Hypothèses!$J$20</f>
        <v>1503.67171420805</v>
      </c>
      <c r="AT611" s="2" t="n">
        <f aca="false">AI611-AR611+AS611+Y611*1000-AO611+Hypothèses!$J$23</f>
        <v>22969.5694227623</v>
      </c>
      <c r="AU611" s="2" t="n">
        <f aca="false">AT611/AQ611</f>
        <v>2.90073578170054</v>
      </c>
      <c r="AV611" s="2" t="n">
        <f aca="false">Hypothèses!$J$26*AQ611-AT611</f>
        <v>786.026899729946</v>
      </c>
      <c r="AW611" s="2" t="n">
        <f aca="false">IF(AC611&gt;Hypothèses!$J$26,MAX(0,AV611)/(1-Hypothèses!$J$26/AC611),0)</f>
        <v>1105.48591248643</v>
      </c>
      <c r="AX611" s="2" t="n">
        <f aca="false">AQ611-Entrées!$C$17*1000</f>
        <v>-81.4678925025764</v>
      </c>
      <c r="AY611" s="2" t="n">
        <f aca="false">AI611+(Entrées!$C$244-Entrées!$C$13)</f>
        <v>28501.6592443986</v>
      </c>
      <c r="AZ611" s="2" t="n">
        <f aca="false">AA611*AH611</f>
        <v>5270.48243441062</v>
      </c>
      <c r="BA611" s="2" t="n">
        <f aca="false">AZ611/AY611</f>
        <v>0.184918442439326</v>
      </c>
      <c r="BB611" s="2" t="n">
        <f aca="false">AZ611/(Entrées!$C$151/100)-AY611</f>
        <v>778.798724549277</v>
      </c>
      <c r="BC611" s="2" t="n">
        <f aca="false">AT611+(Entrées!$C$244-Entrées!$C$13)</f>
        <v>28716.5694227623</v>
      </c>
      <c r="BD611" s="2" t="n">
        <f aca="false">AA611*AQ611</f>
        <v>5577.35169528551</v>
      </c>
      <c r="BE611" s="2" t="n">
        <f aca="false">BD611/BC611</f>
        <v>0.194220681905848</v>
      </c>
      <c r="BF611" s="2" t="n">
        <f aca="false">BD611/(Entrées!$C$151/100)-BC611</f>
        <v>2268.71777326829</v>
      </c>
      <c r="BG611" s="2" t="n">
        <f aca="false">MIN(AV611,BF611)</f>
        <v>786.026899729946</v>
      </c>
      <c r="BH611" s="2" t="n">
        <f aca="false">IF(AC611&gt;Hypothèses!$J$26,MAX(0,BG611)/(1-Hypothèses!$J$26/AC611),0)</f>
        <v>1105.48591248643</v>
      </c>
    </row>
    <row r="612" customFormat="false" ht="15" hidden="false" customHeight="false" outlineLevel="0" collapsed="false">
      <c r="A612" s="2" t="n">
        <v>597</v>
      </c>
      <c r="B612" s="2" t="n">
        <v>0.109957023</v>
      </c>
      <c r="C612" s="2"/>
      <c r="D612" s="2" t="n">
        <v>0.619105065</v>
      </c>
      <c r="E612" s="2" t="n">
        <f aca="false">IF(E$7=E$5,E$6,IF(NORMSDIST(E$9*SQRT($C$11)*NORMSINV($B612)+SQRT(1-E$9^2*$C$11)*NORMSINV(D612))&lt;E$8,E$5+SQRT(NORMSDIST(E$9*SQRT($C$11)*NORMSINV($B612)+SQRT(1-E$9^2*$C$11)*NORMSINV(D612))*(E$7-E$5)*(E$6-E$5)),E$7-SQRT((1-NORMSDIST(E$9*SQRT($C$11)*NORMSINV($B612)+SQRT(1-E$9^2*$C$11)*NORMSINV(D612)))*(E$7-E$5)*(E$7-E$6))))</f>
        <v>0.0538355671950339</v>
      </c>
      <c r="F612" s="2" t="n">
        <v>0.866214162</v>
      </c>
      <c r="G612" s="2" t="n">
        <f aca="false">IF(G$7=G$5,G$6,IF(NORMSDIST(G$9*SQRT($C$11)*NORMSINV($B612)+SQRT(1-G$9^2*$C$11)*NORMSINV(F612))&lt;G$8,G$5+SQRT(NORMSDIST(G$9*SQRT($C$11)*NORMSINV($B612)+SQRT(1-G$9^2*$C$11)*NORMSINV(F612))*(G$7-G$5)*(G$6-G$5)),G$7-SQRT((1-NORMSDIST(G$9*SQRT($C$11)*NORMSINV($B612)+SQRT(1-G$9^2*$C$11)*NORMSINV(F612)))*(G$7-G$5)*(G$7-G$6))))</f>
        <v>0.0555040122782679</v>
      </c>
      <c r="H612" s="2" t="n">
        <v>0.543873197</v>
      </c>
      <c r="I612" s="2" t="n">
        <f aca="false">IF(I$7=I$5,I$6,IF(NORMSDIST(I$9*SQRT($C$11)*NORMSINV($B612)+SQRT(1-I$9^2*$C$11)*NORMSINV(H612))&lt;I$8,I$5+SQRT(NORMSDIST(I$9*SQRT($C$11)*NORMSINV($B612)+SQRT(1-I$9^2*$C$11)*NORMSINV(H612))*(I$7-I$5)*(I$6-I$5)),I$7-SQRT((1-NORMSDIST(I$9*SQRT($C$11)*NORMSINV($B612)+SQRT(1-I$9^2*$C$11)*NORMSINV(H612)))*(I$7-I$5)*(I$7-I$6))))</f>
        <v>193.998181469729</v>
      </c>
      <c r="J612" s="2" t="n">
        <v>0.745955878</v>
      </c>
      <c r="K612" s="2" t="n">
        <f aca="false">IF(K$7=K$5,K$6,IF(NORMSDIST(K$9*SQRT($C$11)*NORMSINV($B612)+SQRT(1-K$9^2*$C$11)*NORMSINV(J612))&lt;K$8,K$5+SQRT(NORMSDIST(K$9*SQRT($C$11)*NORMSINV($B612)+SQRT(1-K$9^2*$C$11)*NORMSINV(J612))*(K$7-K$5)*(K$6-K$5)),K$7-SQRT((1-NORMSDIST(K$9*SQRT($C$11)*NORMSINV($B612)+SQRT(1-K$9^2*$C$11)*NORMSINV(J612)))*(K$7-K$5)*(K$7-K$6))))</f>
        <v>0.222538653111627</v>
      </c>
      <c r="L612" s="2" t="n">
        <v>0.577277228</v>
      </c>
      <c r="M612" s="2" t="n">
        <f aca="false">IF(M$7=M$5,M$6,IF(NORMSDIST(M$9*SQRT($C$11)*NORMSINV($B612)+SQRT(1-M$9^2*$C$11)*NORMSINV(L612))&lt;M$8,M$5+SQRT(NORMSDIST(M$9*SQRT($C$11)*NORMSINV($B612)+SQRT(1-M$9^2*$C$11)*NORMSINV(L612))*(M$7-M$5)*(M$6-M$5)),M$7-SQRT((1-NORMSDIST(M$9*SQRT($C$11)*NORMSINV($B612)+SQRT(1-M$9^2*$C$11)*NORMSINV(L612)))*(M$7-M$5)*(M$7-M$6))))</f>
        <v>1509.00658485946</v>
      </c>
      <c r="N612" s="2" t="n">
        <v>0.453316787</v>
      </c>
      <c r="O612" s="2" t="n">
        <f aca="false">IF(O$7=O$5,O$6,IF(NORMSDIST(O$9*SQRT($C$11)*NORMSINV($B612)+SQRT(1-O$9^2*$C$11)*NORMSINV(N612))&lt;O$8,O$5+SQRT(NORMSDIST(O$9*SQRT($C$11)*NORMSINV($B612)+SQRT(1-O$9^2*$C$11)*NORMSINV(N612))*(O$7-O$5)*(O$6-O$5)),O$7-SQRT((1-NORMSDIST(O$9*SQRT($C$11)*NORMSINV($B612)+SQRT(1-O$9^2*$C$11)*NORMSINV(N612)))*(O$7-O$5)*(O$7-O$6))))</f>
        <v>0.156642988719921</v>
      </c>
      <c r="P612" s="2" t="n">
        <v>0.102041548</v>
      </c>
      <c r="Q612" s="2" t="n">
        <f aca="false">IF(Q$7=Q$5,Q$6,IF(NORMSDIST(Q$9*SQRT($C$11)*NORMSINV($B612)+SQRT(1-Q$9^2*$C$11)*NORMSINV(P612))&lt;Q$8,Q$5+SQRT(NORMSDIST(Q$9*SQRT($C$11)*NORMSINV($B612)+SQRT(1-Q$9^2*$C$11)*NORMSINV(P612))*(Q$7-Q$5)*(Q$6-Q$5)),Q$7-SQRT((1-NORMSDIST(Q$9*SQRT($C$11)*NORMSINV($B612)+SQRT(1-Q$9^2*$C$11)*NORMSINV(P612)))*(Q$7-Q$5)*(Q$7-Q$6))))</f>
        <v>0.0580702228431196</v>
      </c>
      <c r="R612" s="2" t="n">
        <v>0.838472008</v>
      </c>
      <c r="S612" s="2" t="n">
        <f aca="false">IF(S$7=S$5,S$6,IF(NORMSDIST(S$9*SQRT($C$11)*NORMSINV($B612)+SQRT(1-S$9^2*$C$11)*NORMSINV(R612))&lt;S$8,S$5+SQRT(NORMSDIST(S$9*SQRT($C$11)*NORMSINV($B612)+SQRT(1-S$9^2*$C$11)*NORMSINV(R612))*(S$7-S$5)*(S$6-S$5)),S$7-SQRT((1-NORMSDIST(S$9*SQRT($C$11)*NORMSINV($B612)+SQRT(1-S$9^2*$C$11)*NORMSINV(R612)))*(S$7-S$5)*(S$7-S$6))))</f>
        <v>0.497918280420804</v>
      </c>
      <c r="T612" s="2" t="n">
        <v>0.416325732</v>
      </c>
      <c r="U612" s="2" t="n">
        <f aca="false">IF(U$7=U$5,U$6,IF(NORMSDIST(U$9*SQRT($C$11)*NORMSINV($B612)+SQRT(1-U$9^2*$C$11)*NORMSINV(T612))&lt;U$8,U$5+SQRT(NORMSDIST(U$9*SQRT($C$11)*NORMSINV($B612)+SQRT(1-U$9^2*$C$11)*NORMSINV(T612))*(U$7-U$5)*(U$6-U$5)),U$7-SQRT((1-NORMSDIST(U$9*SQRT($C$11)*NORMSINV($B612)+SQRT(1-U$9^2*$C$11)*NORMSINV(T612)))*(U$7-U$5)*(U$7-U$6))))</f>
        <v>0.29472529582233</v>
      </c>
      <c r="V612" s="2" t="n">
        <v>0.931664386</v>
      </c>
      <c r="W612" s="2" t="n">
        <f aca="false">IF(W$7=W$5,W$6,IF(NORMSDIST(W$9*SQRT($C$11)*NORMSINV($B612)+SQRT(1-W$9^2*$C$11)*NORMSINV(V612))&lt;W$8,W$5+SQRT(NORMSDIST(W$9*SQRT($C$11)*NORMSINV($B612)+SQRT(1-W$9^2*$C$11)*NORMSINV(V612))*(W$7-W$5)*(W$6-W$5)),W$7-SQRT((1-NORMSDIST(W$9*SQRT($C$11)*NORMSINV($B612)+SQRT(1-W$9^2*$C$11)*NORMSINV(V612)))*(W$7-W$5)*(W$7-W$6))))</f>
        <v>10.3192861656806</v>
      </c>
      <c r="X612" s="2" t="n">
        <v>0.603748049</v>
      </c>
      <c r="Y612" s="2" t="n">
        <f aca="false">IF(Y$7=Y$5,Y$6,IF(NORMSDIST(Y$9*SQRT($C$11)*NORMSINV($B612)+SQRT(1-Y$9^2*$C$11)*NORMSINV(X612))&lt;Y$8,Y$5+SQRT(NORMSDIST(Y$9*SQRT($C$11)*NORMSINV($B612)+SQRT(1-Y$9^2*$C$11)*NORMSINV(X612))*(Y$7-Y$5)*(Y$6-Y$5)),Y$7-SQRT((1-NORMSDIST(Y$9*SQRT($C$11)*NORMSINV($B612)+SQRT(1-Y$9^2*$C$11)*NORMSINV(X612)))*(Y$7-Y$5)*(Y$7-Y$6))))</f>
        <v>0.554886558841457</v>
      </c>
      <c r="Z612" s="2" t="n">
        <v>0.394068459</v>
      </c>
      <c r="AA612" s="2" t="n">
        <f aca="false">IF(AA$7=AA$5,AA$6,IF(NORMSDIST(AA$9*SQRT($C$11)*NORMSINV($B612)+SQRT(1-AA$9^2*$C$11)*NORMSINV(Z612))&lt;AA$8,AA$5+SQRT(NORMSDIST(AA$9*SQRT($C$11)*NORMSINV($B612)+SQRT(1-AA$9^2*$C$11)*NORMSINV(Z612))*(AA$7-AA$5)*(AA$6-AA$5)),AA$7-SQRT((1-NORMSDIST(AA$9*SQRT($C$11)*NORMSINV($B612)+SQRT(1-AA$9^2*$C$11)*NORMSINV(Z612)))*(AA$7-AA$5)*(AA$7-AA$6))))</f>
        <v>0.713982325653684</v>
      </c>
      <c r="AB612" s="2" t="n">
        <v>0.534436677</v>
      </c>
      <c r="AC612" s="2" t="n">
        <f aca="false">IF(AC$7=AC$5,AC$6,IF(NORMSDIST(AC$9*SQRT($C$11)*NORMSINV($B612)+SQRT(1-AC$9^2*$C$11)*NORMSINV(AB612))&lt;AC$8,AC$5+SQRT(NORMSDIST(AC$9*SQRT($C$11)*NORMSINV($B612)+SQRT(1-AC$9^2*$C$11)*NORMSINV(AB612))*(AC$7-AC$5)*(AC$6-AC$5)),AC$7-SQRT((1-NORMSDIST(AC$9*SQRT($C$11)*NORMSINV($B612)+SQRT(1-AC$9^2*$C$11)*NORMSINV(AB612)))*(AC$7-AC$5)*(AC$7-AC$6))))</f>
        <v>8.83755662472036</v>
      </c>
      <c r="AD612" s="2" t="n">
        <f aca="false">Entrées!$C$8*(1+E612)</f>
        <v>7429.54074872499</v>
      </c>
      <c r="AE612" s="2" t="n">
        <f aca="false">I612*Hypothèses!$J$24/12/Hypothèses!$J$19</f>
        <v>96.2418769117975</v>
      </c>
      <c r="AF612" s="2" t="n">
        <f aca="false">Entrées!$C$36*S612*1000</f>
        <v>248.959140210402</v>
      </c>
      <c r="AG612" s="2" t="n">
        <f aca="false">-AF612/W612</f>
        <v>-24.1256164635088</v>
      </c>
      <c r="AH612" s="2" t="n">
        <f aca="false">AD612+AE612+AG612</f>
        <v>7501.65700917328</v>
      </c>
      <c r="AI612" s="2" t="n">
        <f aca="false">Entrées!$C$16-M612+Hypothèses!$J$22*1000-AF612+Hypothèses!$J$23</f>
        <v>22790.0342749301</v>
      </c>
      <c r="AJ612" s="2" t="n">
        <f aca="false">AI612/AH612</f>
        <v>3.03800003746662</v>
      </c>
      <c r="AK612" s="2" t="n">
        <f aca="false">AI612/(AH612+I612*(12-Hypothèses!$J$24)/12/Hypothèses!$J$19)</f>
        <v>3.01041300875247</v>
      </c>
      <c r="AL612" s="2" t="n">
        <f aca="false">(AD612+AG612+I612/Hypothèses!$J$19)*(1+G612)</f>
        <v>7990.58884851035</v>
      </c>
      <c r="AM612" s="2" t="n">
        <f aca="false">Entrées!$C$54*K612/Hypothèses!$J$19</f>
        <v>22.7110039294649</v>
      </c>
      <c r="AN612" s="2" t="n">
        <f aca="false">Y612*1000/AC612</f>
        <v>62.7873271317246</v>
      </c>
      <c r="AO612" s="2" t="n">
        <f aca="false">(Entrées!$C$36*(1-S612)+MAX(0,Entrées!$C$30-Entrées!$C$35-Entrées!$C$36)*U612)*1000</f>
        <v>663.65627394086</v>
      </c>
      <c r="AP612" s="2" t="n">
        <f aca="false">-AO612/W612</f>
        <v>-64.3122269588781</v>
      </c>
      <c r="AQ612" s="2" t="n">
        <f aca="false">AL612+AM612+AN612+AP612</f>
        <v>8011.77495261266</v>
      </c>
      <c r="AR612" s="2" t="n">
        <f aca="false">O612*AQ612-Hypothèses!$J$25/Hypothèses!$J$19</f>
        <v>1235.85321126702</v>
      </c>
      <c r="AS612" s="2" t="n">
        <f aca="false">Entrées!$C$79*(1+Q612)+Hypothèses!$J$20</f>
        <v>1457.81917490459</v>
      </c>
      <c r="AT612" s="2" t="n">
        <f aca="false">AI612-AR612+AS612+Y612*1000-AO612+Hypothèses!$J$23</f>
        <v>22903.2305234683</v>
      </c>
      <c r="AU612" s="2" t="n">
        <f aca="false">AT612/AQ612</f>
        <v>2.85869618891373</v>
      </c>
      <c r="AV612" s="2" t="n">
        <f aca="false">Hypothèses!$J$26*AQ612-AT612</f>
        <v>1132.09433436969</v>
      </c>
      <c r="AW612" s="2" t="n">
        <f aca="false">IF(AC612&gt;Hypothèses!$J$26,MAX(0,AV612)/(1-Hypothèses!$J$26/AC612),0)</f>
        <v>1713.8930596663</v>
      </c>
      <c r="AX612" s="2" t="n">
        <f aca="false">AQ612-Entrées!$C$17*1000</f>
        <v>11.7749526126636</v>
      </c>
      <c r="AY612" s="2" t="n">
        <f aca="false">AI612+(Entrées!$C$244-Entrées!$C$13)</f>
        <v>28537.0342749301</v>
      </c>
      <c r="AZ612" s="2" t="n">
        <f aca="false">AA612*AH612</f>
        <v>5356.0505176658</v>
      </c>
      <c r="BA612" s="2" t="n">
        <f aca="false">AZ612/AY612</f>
        <v>0.187687706650411</v>
      </c>
      <c r="BB612" s="2" t="n">
        <f aca="false">AZ612/(Entrées!$C$151/100)-AY612</f>
        <v>1218.8019343243</v>
      </c>
      <c r="BC612" s="2" t="n">
        <f aca="false">AT612+(Entrées!$C$244-Entrées!$C$13)</f>
        <v>28650.2305234683</v>
      </c>
      <c r="BD612" s="2" t="n">
        <f aca="false">AA612*AQ612</f>
        <v>5720.26571328033</v>
      </c>
      <c r="BE612" s="2" t="n">
        <f aca="false">BD612/BC612</f>
        <v>0.199658627828306</v>
      </c>
      <c r="BF612" s="2" t="n">
        <f aca="false">BD612/(Entrées!$C$151/100)-BC612</f>
        <v>3129.02343920018</v>
      </c>
      <c r="BG612" s="2" t="n">
        <f aca="false">MIN(AV612,BF612)</f>
        <v>1132.09433436969</v>
      </c>
      <c r="BH612" s="2" t="n">
        <f aca="false">IF(AC612&gt;Hypothèses!$J$26,MAX(0,BG612)/(1-Hypothèses!$J$26/AC612),0)</f>
        <v>1713.8930596663</v>
      </c>
    </row>
    <row r="613" customFormat="false" ht="15" hidden="false" customHeight="false" outlineLevel="0" collapsed="false">
      <c r="A613" s="2" t="n">
        <v>598</v>
      </c>
      <c r="B613" s="2" t="n">
        <v>0.548247494</v>
      </c>
      <c r="C613" s="2"/>
      <c r="D613" s="2" t="n">
        <v>0.157838644</v>
      </c>
      <c r="E613" s="2" t="n">
        <f aca="false">IF(E$7=E$5,E$6,IF(NORMSDIST(E$9*SQRT($C$11)*NORMSINV($B613)+SQRT(1-E$9^2*$C$11)*NORMSINV(D613))&lt;E$8,E$5+SQRT(NORMSDIST(E$9*SQRT($C$11)*NORMSINV($B613)+SQRT(1-E$9^2*$C$11)*NORMSINV(D613))*(E$7-E$5)*(E$6-E$5)),E$7-SQRT((1-NORMSDIST(E$9*SQRT($C$11)*NORMSINV($B613)+SQRT(1-E$9^2*$C$11)*NORMSINV(D613)))*(E$7-E$5)*(E$7-E$6))))</f>
        <v>0.0534770332313505</v>
      </c>
      <c r="F613" s="2" t="n">
        <v>0.185223171</v>
      </c>
      <c r="G613" s="2" t="n">
        <f aca="false">IF(G$7=G$5,G$6,IF(NORMSDIST(G$9*SQRT($C$11)*NORMSINV($B613)+SQRT(1-G$9^2*$C$11)*NORMSINV(F613))&lt;G$8,G$5+SQRT(NORMSDIST(G$9*SQRT($C$11)*NORMSINV($B613)+SQRT(1-G$9^2*$C$11)*NORMSINV(F613))*(G$7-G$5)*(G$6-G$5)),G$7-SQRT((1-NORMSDIST(G$9*SQRT($C$11)*NORMSINV($B613)+SQRT(1-G$9^2*$C$11)*NORMSINV(F613)))*(G$7-G$5)*(G$7-G$6))))</f>
        <v>0.0509938895298842</v>
      </c>
      <c r="H613" s="2" t="n">
        <v>0.240619938</v>
      </c>
      <c r="I613" s="2" t="n">
        <f aca="false">IF(I$7=I$5,I$6,IF(NORMSDIST(I$9*SQRT($C$11)*NORMSINV($B613)+SQRT(1-I$9^2*$C$11)*NORMSINV(H613))&lt;I$8,I$5+SQRT(NORMSDIST(I$9*SQRT($C$11)*NORMSINV($B613)+SQRT(1-I$9^2*$C$11)*NORMSINV(H613))*(I$7-I$5)*(I$6-I$5)),I$7-SQRT((1-NORMSDIST(I$9*SQRT($C$11)*NORMSINV($B613)+SQRT(1-I$9^2*$C$11)*NORMSINV(H613)))*(I$7-I$5)*(I$7-I$6))))</f>
        <v>195.989436027083</v>
      </c>
      <c r="J613" s="2" t="n">
        <v>0.453357918</v>
      </c>
      <c r="K613" s="2" t="n">
        <f aca="false">IF(K$7=K$5,K$6,IF(NORMSDIST(K$9*SQRT($C$11)*NORMSINV($B613)+SQRT(1-K$9^2*$C$11)*NORMSINV(J613))&lt;K$8,K$5+SQRT(NORMSDIST(K$9*SQRT($C$11)*NORMSINV($B613)+SQRT(1-K$9^2*$C$11)*NORMSINV(J613))*(K$7-K$5)*(K$6-K$5)),K$7-SQRT((1-NORMSDIST(K$9*SQRT($C$11)*NORMSINV($B613)+SQRT(1-K$9^2*$C$11)*NORMSINV(J613)))*(K$7-K$5)*(K$7-K$6))))</f>
        <v>0.248590487466311</v>
      </c>
      <c r="L613" s="2" t="n">
        <v>0.587248706</v>
      </c>
      <c r="M613" s="2" t="n">
        <f aca="false">IF(M$7=M$5,M$6,IF(NORMSDIST(M$9*SQRT($C$11)*NORMSINV($B613)+SQRT(1-M$9^2*$C$11)*NORMSINV(L613))&lt;M$8,M$5+SQRT(NORMSDIST(M$9*SQRT($C$11)*NORMSINV($B613)+SQRT(1-M$9^2*$C$11)*NORMSINV(L613))*(M$7-M$5)*(M$6-M$5)),M$7-SQRT((1-NORMSDIST(M$9*SQRT($C$11)*NORMSINV($B613)+SQRT(1-M$9^2*$C$11)*NORMSINV(L613)))*(M$7-M$5)*(M$7-M$6))))</f>
        <v>1611.69355925116</v>
      </c>
      <c r="N613" s="2" t="n">
        <v>0.098281337</v>
      </c>
      <c r="O613" s="2" t="n">
        <f aca="false">IF(O$7=O$5,O$6,IF(NORMSDIST(O$9*SQRT($C$11)*NORMSINV($B613)+SQRT(1-O$9^2*$C$11)*NORMSINV(N613))&lt;O$8,O$5+SQRT(NORMSDIST(O$9*SQRT($C$11)*NORMSINV($B613)+SQRT(1-O$9^2*$C$11)*NORMSINV(N613))*(O$7-O$5)*(O$6-O$5)),O$7-SQRT((1-NORMSDIST(O$9*SQRT($C$11)*NORMSINV($B613)+SQRT(1-O$9^2*$C$11)*NORMSINV(N613)))*(O$7-O$5)*(O$7-O$6))))</f>
        <v>0.155973798162316</v>
      </c>
      <c r="P613" s="2" t="n">
        <v>0.987682929</v>
      </c>
      <c r="Q613" s="2" t="n">
        <f aca="false">IF(Q$7=Q$5,Q$6,IF(NORMSDIST(Q$9*SQRT($C$11)*NORMSINV($B613)+SQRT(1-Q$9^2*$C$11)*NORMSINV(P613))&lt;Q$8,Q$5+SQRT(NORMSDIST(Q$9*SQRT($C$11)*NORMSINV($B613)+SQRT(1-Q$9^2*$C$11)*NORMSINV(P613))*(Q$7-Q$5)*(Q$6-Q$5)),Q$7-SQRT((1-NORMSDIST(Q$9*SQRT($C$11)*NORMSINV($B613)+SQRT(1-Q$9^2*$C$11)*NORMSINV(P613)))*(Q$7-Q$5)*(Q$7-Q$6))))</f>
        <v>0.113721893024167</v>
      </c>
      <c r="R613" s="2" t="n">
        <v>0.783350566</v>
      </c>
      <c r="S613" s="2" t="n">
        <f aca="false">IF(S$7=S$5,S$6,IF(NORMSDIST(S$9*SQRT($C$11)*NORMSINV($B613)+SQRT(1-S$9^2*$C$11)*NORMSINV(R613))&lt;S$8,S$5+SQRT(NORMSDIST(S$9*SQRT($C$11)*NORMSINV($B613)+SQRT(1-S$9^2*$C$11)*NORMSINV(R613))*(S$7-S$5)*(S$6-S$5)),S$7-SQRT((1-NORMSDIST(S$9*SQRT($C$11)*NORMSINV($B613)+SQRT(1-S$9^2*$C$11)*NORMSINV(R613)))*(S$7-S$5)*(S$7-S$6))))</f>
        <v>0.648497345240351</v>
      </c>
      <c r="T613" s="2" t="n">
        <v>0.343531839</v>
      </c>
      <c r="U613" s="2" t="n">
        <f aca="false">IF(U$7=U$5,U$6,IF(NORMSDIST(U$9*SQRT($C$11)*NORMSINV($B613)+SQRT(1-U$9^2*$C$11)*NORMSINV(T613))&lt;U$8,U$5+SQRT(NORMSDIST(U$9*SQRT($C$11)*NORMSINV($B613)+SQRT(1-U$9^2*$C$11)*NORMSINV(T613))*(U$7-U$5)*(U$6-U$5)),U$7-SQRT((1-NORMSDIST(U$9*SQRT($C$11)*NORMSINV($B613)+SQRT(1-U$9^2*$C$11)*NORMSINV(T613)))*(U$7-U$5)*(U$7-U$6))))</f>
        <v>0.451089033586607</v>
      </c>
      <c r="V613" s="2" t="n">
        <v>0.577670564</v>
      </c>
      <c r="W613" s="2" t="n">
        <f aca="false">IF(W$7=W$5,W$6,IF(NORMSDIST(W$9*SQRT($C$11)*NORMSINV($B613)+SQRT(1-W$9^2*$C$11)*NORMSINV(V613))&lt;W$8,W$5+SQRT(NORMSDIST(W$9*SQRT($C$11)*NORMSINV($B613)+SQRT(1-W$9^2*$C$11)*NORMSINV(V613))*(W$7-W$5)*(W$6-W$5)),W$7-SQRT((1-NORMSDIST(W$9*SQRT($C$11)*NORMSINV($B613)+SQRT(1-W$9^2*$C$11)*NORMSINV(V613)))*(W$7-W$5)*(W$7-W$6))))</f>
        <v>10.189698740704</v>
      </c>
      <c r="X613" s="2" t="n">
        <v>0.751844241</v>
      </c>
      <c r="Y613" s="2" t="n">
        <f aca="false">IF(Y$7=Y$5,Y$6,IF(NORMSDIST(Y$9*SQRT($C$11)*NORMSINV($B613)+SQRT(1-Y$9^2*$C$11)*NORMSINV(X613))&lt;Y$8,Y$5+SQRT(NORMSDIST(Y$9*SQRT($C$11)*NORMSINV($B613)+SQRT(1-Y$9^2*$C$11)*NORMSINV(X613))*(Y$7-Y$5)*(Y$6-Y$5)),Y$7-SQRT((1-NORMSDIST(Y$9*SQRT($C$11)*NORMSINV($B613)+SQRT(1-Y$9^2*$C$11)*NORMSINV(X613)))*(Y$7-Y$5)*(Y$7-Y$6))))</f>
        <v>0.647753098665155</v>
      </c>
      <c r="Z613" s="2" t="n">
        <v>0.0416175</v>
      </c>
      <c r="AA613" s="2" t="n">
        <f aca="false">IF(AA$7=AA$5,AA$6,IF(NORMSDIST(AA$9*SQRT($C$11)*NORMSINV($B613)+SQRT(1-AA$9^2*$C$11)*NORMSINV(Z613))&lt;AA$8,AA$5+SQRT(NORMSDIST(AA$9*SQRT($C$11)*NORMSINV($B613)+SQRT(1-AA$9^2*$C$11)*NORMSINV(Z613))*(AA$7-AA$5)*(AA$6-AA$5)),AA$7-SQRT((1-NORMSDIST(AA$9*SQRT($C$11)*NORMSINV($B613)+SQRT(1-AA$9^2*$C$11)*NORMSINV(Z613)))*(AA$7-AA$5)*(AA$7-AA$6))))</f>
        <v>0.710169548378259</v>
      </c>
      <c r="AB613" s="2" t="n">
        <v>0.955944481</v>
      </c>
      <c r="AC613" s="2" t="n">
        <f aca="false">IF(AC$7=AC$5,AC$6,IF(NORMSDIST(AC$9*SQRT($C$11)*NORMSINV($B613)+SQRT(1-AC$9^2*$C$11)*NORMSINV(AB613))&lt;AC$8,AC$5+SQRT(NORMSDIST(AC$9*SQRT($C$11)*NORMSINV($B613)+SQRT(1-AC$9^2*$C$11)*NORMSINV(AB613))*(AC$7-AC$5)*(AC$6-AC$5)),AC$7-SQRT((1-NORMSDIST(AC$9*SQRT($C$11)*NORMSINV($B613)+SQRT(1-AC$9^2*$C$11)*NORMSINV(AB613)))*(AC$7-AC$5)*(AC$7-AC$6))))</f>
        <v>10.4080939830822</v>
      </c>
      <c r="AD613" s="2" t="n">
        <f aca="false">Entrées!$C$8*(1+E613)</f>
        <v>7427.01308428102</v>
      </c>
      <c r="AE613" s="2" t="n">
        <f aca="false">I613*Hypothèses!$J$24/12/Hypothèses!$J$19</f>
        <v>97.2297319244429</v>
      </c>
      <c r="AF613" s="2" t="n">
        <f aca="false">Entrées!$C$36*S613*1000</f>
        <v>324.248672620175</v>
      </c>
      <c r="AG613" s="2" t="n">
        <f aca="false">-AF613/W613</f>
        <v>-31.8212226751045</v>
      </c>
      <c r="AH613" s="2" t="n">
        <f aca="false">AD613+AE613+AG613</f>
        <v>7492.42159353036</v>
      </c>
      <c r="AI613" s="2" t="n">
        <f aca="false">Entrées!$C$16-M613+Hypothèses!$J$22*1000-AF613+Hypothèses!$J$23</f>
        <v>22612.0577681287</v>
      </c>
      <c r="AJ613" s="2" t="n">
        <f aca="false">AI613/AH613</f>
        <v>3.01799057699235</v>
      </c>
      <c r="AK613" s="2" t="n">
        <f aca="false">AI613/(AH613+I613*(12-Hypothèses!$J$24)/12/Hypothèses!$J$19)</f>
        <v>2.99027272032226</v>
      </c>
      <c r="AL613" s="2" t="n">
        <f aca="false">(AD613+AG613+I613/Hypothèses!$J$19)*(1+G613)</f>
        <v>7947.48063696304</v>
      </c>
      <c r="AM613" s="2" t="n">
        <f aca="false">Entrées!$C$54*K613/Hypothèses!$J$19</f>
        <v>25.3697030099443</v>
      </c>
      <c r="AN613" s="2" t="n">
        <f aca="false">Y613*1000/AC613</f>
        <v>62.2355159088729</v>
      </c>
      <c r="AO613" s="2" t="n">
        <f aca="false">(Entrées!$C$36*(1-S613)+MAX(0,Entrées!$C$30-Entrées!$C$35-Entrées!$C$36)*U613)*1000</f>
        <v>807.275974401074</v>
      </c>
      <c r="AP613" s="2" t="n">
        <f aca="false">-AO613/W613</f>
        <v>-79.2247145812377</v>
      </c>
      <c r="AQ613" s="2" t="n">
        <f aca="false">AL613+AM613+AN613+AP613</f>
        <v>7955.86114130062</v>
      </c>
      <c r="AR613" s="2" t="n">
        <f aca="false">O613*AQ613-Hypothèses!$J$25/Hypothèses!$J$19</f>
        <v>1221.77071759901</v>
      </c>
      <c r="AS613" s="2" t="n">
        <f aca="false">Entrées!$C$79*(1+Q613)+Hypothèses!$J$20</f>
        <v>1518.98036043356</v>
      </c>
      <c r="AT613" s="2" t="n">
        <f aca="false">AI613-AR613+AS613+Y613*1000-AO613+Hypothèses!$J$23</f>
        <v>22749.7445352273</v>
      </c>
      <c r="AU613" s="2" t="n">
        <f aca="false">AT613/AQ613</f>
        <v>2.8594949221937</v>
      </c>
      <c r="AV613" s="2" t="n">
        <f aca="false">Hypothèses!$J$26*AQ613-AT613</f>
        <v>1117.83888867455</v>
      </c>
      <c r="AW613" s="2" t="n">
        <f aca="false">IF(AC613&gt;Hypothèses!$J$26,MAX(0,AV613)/(1-Hypothèses!$J$26/AC613),0)</f>
        <v>1570.52168045366</v>
      </c>
      <c r="AX613" s="2" t="n">
        <f aca="false">AQ613-Entrées!$C$17*1000</f>
        <v>-44.1388586993844</v>
      </c>
      <c r="AY613" s="2" t="n">
        <f aca="false">AI613+(Entrées!$C$244-Entrées!$C$13)</f>
        <v>28359.0577681287</v>
      </c>
      <c r="AZ613" s="2" t="n">
        <f aca="false">AA613*AH613</f>
        <v>5320.88965933697</v>
      </c>
      <c r="BA613" s="2" t="n">
        <f aca="false">AZ613/AY613</f>
        <v>0.187625756216656</v>
      </c>
      <c r="BB613" s="2" t="n">
        <f aca="false">AZ613/(Entrées!$C$151/100)-AY613</f>
        <v>1201.44033929894</v>
      </c>
      <c r="BC613" s="2" t="n">
        <f aca="false">AT613+(Entrées!$C$244-Entrées!$C$13)</f>
        <v>28496.7445352273</v>
      </c>
      <c r="BD613" s="2" t="n">
        <f aca="false">AA613*AQ613</f>
        <v>5650.0103136776</v>
      </c>
      <c r="BE613" s="2" t="n">
        <f aca="false">BD613/BC613</f>
        <v>0.198268623515684</v>
      </c>
      <c r="BF613" s="2" t="n">
        <f aca="false">BD613/(Entrées!$C$151/100)-BC613</f>
        <v>2892.20165187046</v>
      </c>
      <c r="BG613" s="2" t="n">
        <f aca="false">MIN(AV613,BF613)</f>
        <v>1117.83888867455</v>
      </c>
      <c r="BH613" s="2" t="n">
        <f aca="false">IF(AC613&gt;Hypothèses!$J$26,MAX(0,BG613)/(1-Hypothèses!$J$26/AC613),0)</f>
        <v>1570.52168045366</v>
      </c>
    </row>
    <row r="614" customFormat="false" ht="15" hidden="false" customHeight="false" outlineLevel="0" collapsed="false">
      <c r="A614" s="2" t="n">
        <v>599</v>
      </c>
      <c r="B614" s="2" t="n">
        <v>0.127405167</v>
      </c>
      <c r="C614" s="2"/>
      <c r="D614" s="2" t="n">
        <v>0.151098063</v>
      </c>
      <c r="E614" s="2" t="n">
        <f aca="false">IF(E$7=E$5,E$6,IF(NORMSDIST(E$9*SQRT($C$11)*NORMSINV($B614)+SQRT(1-E$9^2*$C$11)*NORMSINV(D614))&lt;E$8,E$5+SQRT(NORMSDIST(E$9*SQRT($C$11)*NORMSINV($B614)+SQRT(1-E$9^2*$C$11)*NORMSINV(D614))*(E$7-E$5)*(E$6-E$5)),E$7-SQRT((1-NORMSDIST(E$9*SQRT($C$11)*NORMSINV($B614)+SQRT(1-E$9^2*$C$11)*NORMSINV(D614)))*(E$7-E$5)*(E$7-E$6))))</f>
        <v>0.0517935028183862</v>
      </c>
      <c r="F614" s="2" t="n">
        <v>0.967284612</v>
      </c>
      <c r="G614" s="2" t="n">
        <f aca="false">IF(G$7=G$5,G$6,IF(NORMSDIST(G$9*SQRT($C$11)*NORMSINV($B614)+SQRT(1-G$9^2*$C$11)*NORMSINV(F614))&lt;G$8,G$5+SQRT(NORMSDIST(G$9*SQRT($C$11)*NORMSINV($B614)+SQRT(1-G$9^2*$C$11)*NORMSINV(F614))*(G$7-G$5)*(G$6-G$5)),G$7-SQRT((1-NORMSDIST(G$9*SQRT($C$11)*NORMSINV($B614)+SQRT(1-G$9^2*$C$11)*NORMSINV(F614)))*(G$7-G$5)*(G$7-G$6))))</f>
        <v>0.0596112972997832</v>
      </c>
      <c r="H614" s="2" t="n">
        <v>0.607239911</v>
      </c>
      <c r="I614" s="2" t="n">
        <f aca="false">IF(I$7=I$5,I$6,IF(NORMSDIST(I$9*SQRT($C$11)*NORMSINV($B614)+SQRT(1-I$9^2*$C$11)*NORMSINV(H614))&lt;I$8,I$5+SQRT(NORMSDIST(I$9*SQRT($C$11)*NORMSINV($B614)+SQRT(1-I$9^2*$C$11)*NORMSINV(H614))*(I$7-I$5)*(I$6-I$5)),I$7-SQRT((1-NORMSDIST(I$9*SQRT($C$11)*NORMSINV($B614)+SQRT(1-I$9^2*$C$11)*NORMSINV(H614)))*(I$7-I$5)*(I$7-I$6))))</f>
        <v>195.626437134931</v>
      </c>
      <c r="J614" s="2" t="n">
        <v>0.099497748</v>
      </c>
      <c r="K614" s="2" t="n">
        <f aca="false">IF(K$7=K$5,K$6,IF(NORMSDIST(K$9*SQRT($C$11)*NORMSINV($B614)+SQRT(1-K$9^2*$C$11)*NORMSINV(J614))&lt;K$8,K$5+SQRT(NORMSDIST(K$9*SQRT($C$11)*NORMSINV($B614)+SQRT(1-K$9^2*$C$11)*NORMSINV(J614))*(K$7-K$5)*(K$6-K$5)),K$7-SQRT((1-NORMSDIST(K$9*SQRT($C$11)*NORMSINV($B614)+SQRT(1-K$9^2*$C$11)*NORMSINV(J614)))*(K$7-K$5)*(K$7-K$6))))</f>
        <v>0.0734527551230133</v>
      </c>
      <c r="L614" s="2" t="n">
        <v>0.971890979</v>
      </c>
      <c r="M614" s="2" t="n">
        <f aca="false">IF(M$7=M$5,M$6,IF(NORMSDIST(M$9*SQRT($C$11)*NORMSINV($B614)+SQRT(1-M$9^2*$C$11)*NORMSINV(L614))&lt;M$8,M$5+SQRT(NORMSDIST(M$9*SQRT($C$11)*NORMSINV($B614)+SQRT(1-M$9^2*$C$11)*NORMSINV(L614))*(M$7-M$5)*(M$6-M$5)),M$7-SQRT((1-NORMSDIST(M$9*SQRT($C$11)*NORMSINV($B614)+SQRT(1-M$9^2*$C$11)*NORMSINV(L614)))*(M$7-M$5)*(M$7-M$6))))</f>
        <v>1658.36278355489</v>
      </c>
      <c r="N614" s="2" t="n">
        <v>0.259696035</v>
      </c>
      <c r="O614" s="2" t="n">
        <f aca="false">IF(O$7=O$5,O$6,IF(NORMSDIST(O$9*SQRT($C$11)*NORMSINV($B614)+SQRT(1-O$9^2*$C$11)*NORMSINV(N614))&lt;O$8,O$5+SQRT(NORMSDIST(O$9*SQRT($C$11)*NORMSINV($B614)+SQRT(1-O$9^2*$C$11)*NORMSINV(N614))*(O$7-O$5)*(O$6-O$5)),O$7-SQRT((1-NORMSDIST(O$9*SQRT($C$11)*NORMSINV($B614)+SQRT(1-O$9^2*$C$11)*NORMSINV(N614)))*(O$7-O$5)*(O$7-O$6))))</f>
        <v>0.152641149996683</v>
      </c>
      <c r="P614" s="2" t="n">
        <v>0.503629287</v>
      </c>
      <c r="Q614" s="2" t="n">
        <f aca="false">IF(Q$7=Q$5,Q$6,IF(NORMSDIST(Q$9*SQRT($C$11)*NORMSINV($B614)+SQRT(1-Q$9^2*$C$11)*NORMSINV(P614))&lt;Q$8,Q$5+SQRT(NORMSDIST(Q$9*SQRT($C$11)*NORMSINV($B614)+SQRT(1-Q$9^2*$C$11)*NORMSINV(P614))*(Q$7-Q$5)*(Q$6-Q$5)),Q$7-SQRT((1-NORMSDIST(Q$9*SQRT($C$11)*NORMSINV($B614)+SQRT(1-Q$9^2*$C$11)*NORMSINV(P614)))*(Q$7-Q$5)*(Q$7-Q$6))))</f>
        <v>0.0801454358749214</v>
      </c>
      <c r="R614" s="2" t="n">
        <v>0.71046208</v>
      </c>
      <c r="S614" s="2" t="n">
        <f aca="false">IF(S$7=S$5,S$6,IF(NORMSDIST(S$9*SQRT($C$11)*NORMSINV($B614)+SQRT(1-S$9^2*$C$11)*NORMSINV(R614))&lt;S$8,S$5+SQRT(NORMSDIST(S$9*SQRT($C$11)*NORMSINV($B614)+SQRT(1-S$9^2*$C$11)*NORMSINV(R614))*(S$7-S$5)*(S$6-S$5)),S$7-SQRT((1-NORMSDIST(S$9*SQRT($C$11)*NORMSINV($B614)+SQRT(1-S$9^2*$C$11)*NORMSINV(R614)))*(S$7-S$5)*(S$7-S$6))))</f>
        <v>0.43915468592026</v>
      </c>
      <c r="T614" s="2" t="n">
        <v>0.120584563</v>
      </c>
      <c r="U614" s="2" t="n">
        <f aca="false">IF(U$7=U$5,U$6,IF(NORMSDIST(U$9*SQRT($C$11)*NORMSINV($B614)+SQRT(1-U$9^2*$C$11)*NORMSINV(T614))&lt;U$8,U$5+SQRT(NORMSDIST(U$9*SQRT($C$11)*NORMSINV($B614)+SQRT(1-U$9^2*$C$11)*NORMSINV(T614))*(U$7-U$5)*(U$6-U$5)),U$7-SQRT((1-NORMSDIST(U$9*SQRT($C$11)*NORMSINV($B614)+SQRT(1-U$9^2*$C$11)*NORMSINV(T614)))*(U$7-U$5)*(U$7-U$6))))</f>
        <v>0.160862324451764</v>
      </c>
      <c r="V614" s="2" t="n">
        <v>0.645335198</v>
      </c>
      <c r="W614" s="2" t="n">
        <f aca="false">IF(W$7=W$5,W$6,IF(NORMSDIST(W$9*SQRT($C$11)*NORMSINV($B614)+SQRT(1-W$9^2*$C$11)*NORMSINV(V614))&lt;W$8,W$5+SQRT(NORMSDIST(W$9*SQRT($C$11)*NORMSINV($B614)+SQRT(1-W$9^2*$C$11)*NORMSINV(V614))*(W$7-W$5)*(W$6-W$5)),W$7-SQRT((1-NORMSDIST(W$9*SQRT($C$11)*NORMSINV($B614)+SQRT(1-W$9^2*$C$11)*NORMSINV(V614)))*(W$7-W$5)*(W$7-W$6))))</f>
        <v>9.63233314765271</v>
      </c>
      <c r="X614" s="2" t="n">
        <v>0.255644832</v>
      </c>
      <c r="Y614" s="2" t="n">
        <f aca="false">IF(Y$7=Y$5,Y$6,IF(NORMSDIST(Y$9*SQRT($C$11)*NORMSINV($B614)+SQRT(1-Y$9^2*$C$11)*NORMSINV(X614))&lt;Y$8,Y$5+SQRT(NORMSDIST(Y$9*SQRT($C$11)*NORMSINV($B614)+SQRT(1-Y$9^2*$C$11)*NORMSINV(X614))*(Y$7-Y$5)*(Y$6-Y$5)),Y$7-SQRT((1-NORMSDIST(Y$9*SQRT($C$11)*NORMSINV($B614)+SQRT(1-Y$9^2*$C$11)*NORMSINV(X614)))*(Y$7-Y$5)*(Y$7-Y$6))))</f>
        <v>0.357522609075286</v>
      </c>
      <c r="Z614" s="2" t="n">
        <v>0.013748715</v>
      </c>
      <c r="AA614" s="2" t="n">
        <f aca="false">IF(AA$7=AA$5,AA$6,IF(NORMSDIST(AA$9*SQRT($C$11)*NORMSINV($B614)+SQRT(1-AA$9^2*$C$11)*NORMSINV(Z614))&lt;AA$8,AA$5+SQRT(NORMSDIST(AA$9*SQRT($C$11)*NORMSINV($B614)+SQRT(1-AA$9^2*$C$11)*NORMSINV(Z614))*(AA$7-AA$5)*(AA$6-AA$5)),AA$7-SQRT((1-NORMSDIST(AA$9*SQRT($C$11)*NORMSINV($B614)+SQRT(1-AA$9^2*$C$11)*NORMSINV(Z614)))*(AA$7-AA$5)*(AA$7-AA$6))))</f>
        <v>0.69935390634695</v>
      </c>
      <c r="AB614" s="2" t="n">
        <v>0.225108223</v>
      </c>
      <c r="AC614" s="2" t="n">
        <f aca="false">IF(AC$7=AC$5,AC$6,IF(NORMSDIST(AC$9*SQRT($C$11)*NORMSINV($B614)+SQRT(1-AC$9^2*$C$11)*NORMSINV(AB614))&lt;AC$8,AC$5+SQRT(NORMSDIST(AC$9*SQRT($C$11)*NORMSINV($B614)+SQRT(1-AC$9^2*$C$11)*NORMSINV(AB614))*(AC$7-AC$5)*(AC$6-AC$5)),AC$7-SQRT((1-NORMSDIST(AC$9*SQRT($C$11)*NORMSINV($B614)+SQRT(1-AC$9^2*$C$11)*NORMSINV(AB614)))*(AC$7-AC$5)*(AC$7-AC$6))))</f>
        <v>8.31042780130033</v>
      </c>
      <c r="AD614" s="2" t="n">
        <f aca="false">Entrées!$C$8*(1+E614)</f>
        <v>7415.14419486962</v>
      </c>
      <c r="AE614" s="2" t="n">
        <f aca="false">I614*Hypothèses!$J$24/12/Hypothèses!$J$19</f>
        <v>97.0496493358693</v>
      </c>
      <c r="AF614" s="2" t="n">
        <f aca="false">Entrées!$C$36*S614*1000</f>
        <v>219.57734296013</v>
      </c>
      <c r="AG614" s="2" t="n">
        <f aca="false">-AF614/W614</f>
        <v>-22.7958626009149</v>
      </c>
      <c r="AH614" s="2" t="n">
        <f aca="false">AD614+AE614+AG614</f>
        <v>7489.39798160458</v>
      </c>
      <c r="AI614" s="2" t="n">
        <f aca="false">Entrées!$C$16-M614+Hypothèses!$J$22*1000-AF614+Hypothèses!$J$23</f>
        <v>22670.059873485</v>
      </c>
      <c r="AJ614" s="2" t="n">
        <f aca="false">AI614/AH614</f>
        <v>3.02695355877296</v>
      </c>
      <c r="AK614" s="2" t="n">
        <f aca="false">AI614/(AH614+I614*(12-Hypothèses!$J$24)/12/Hypothèses!$J$19)</f>
        <v>2.99919330173657</v>
      </c>
      <c r="AL614" s="2" t="n">
        <f aca="false">(AD614+AG614+I614/Hypothèses!$J$19)*(1+G614)</f>
        <v>8009.30421473617</v>
      </c>
      <c r="AM614" s="2" t="n">
        <f aca="false">Entrées!$C$54*K614/Hypothèses!$J$19</f>
        <v>7.49616206849246</v>
      </c>
      <c r="AN614" s="2" t="n">
        <f aca="false">Y614*1000/AC614</f>
        <v>43.0209632552665</v>
      </c>
      <c r="AO614" s="2" t="n">
        <f aca="false">(Entrées!$C$36*(1-S614)+MAX(0,Entrées!$C$30-Entrées!$C$35-Entrées!$C$36)*U614)*1000</f>
        <v>505.62991127234</v>
      </c>
      <c r="AP614" s="2" t="n">
        <f aca="false">-AO614/W614</f>
        <v>-52.4929841526044</v>
      </c>
      <c r="AQ614" s="2" t="n">
        <f aca="false">AL614+AM614+AN614+AP614</f>
        <v>8007.32835590732</v>
      </c>
      <c r="AR614" s="2" t="n">
        <f aca="false">O614*AQ614-Hypothèses!$J$25/Hypothèses!$J$19</f>
        <v>1203.11264638512</v>
      </c>
      <c r="AS614" s="2" t="n">
        <f aca="false">Entrées!$C$79*(1+Q614)+Hypothèses!$J$20</f>
        <v>1482.07983402654</v>
      </c>
      <c r="AT614" s="2" t="n">
        <f aca="false">AI614-AR614+AS614+Y614*1000-AO614+Hypothèses!$J$23</f>
        <v>22800.9197589293</v>
      </c>
      <c r="AU614" s="2" t="n">
        <f aca="false">AT614/AQ614</f>
        <v>2.84750652720619</v>
      </c>
      <c r="AV614" s="2" t="n">
        <f aca="false">Hypothèses!$J$26*AQ614-AT614</f>
        <v>1221.06530879263</v>
      </c>
      <c r="AW614" s="2" t="n">
        <f aca="false">IF(AC614&gt;Hypothèses!$J$26,MAX(0,AV614)/(1-Hypothèses!$J$26/AC614),0)</f>
        <v>1910.87714005053</v>
      </c>
      <c r="AX614" s="2" t="n">
        <f aca="false">AQ614-Entrées!$C$17*1000</f>
        <v>7.32835590732429</v>
      </c>
      <c r="AY614" s="2" t="n">
        <f aca="false">AI614+(Entrées!$C$244-Entrées!$C$13)</f>
        <v>28417.059873485</v>
      </c>
      <c r="AZ614" s="2" t="n">
        <f aca="false">AA614*AH614</f>
        <v>5237.73973462213</v>
      </c>
      <c r="BA614" s="2" t="n">
        <f aca="false">AZ614/AY614</f>
        <v>0.184316736423154</v>
      </c>
      <c r="BB614" s="2" t="n">
        <f aca="false">AZ614/(Entrées!$C$151/100)-AY614</f>
        <v>681.494207749052</v>
      </c>
      <c r="BC614" s="2" t="n">
        <f aca="false">AT614+(Entrées!$C$244-Entrées!$C$13)</f>
        <v>28547.9197589293</v>
      </c>
      <c r="BD614" s="2" t="n">
        <f aca="false">AA614*AQ614</f>
        <v>5599.95636510649</v>
      </c>
      <c r="BE614" s="2" t="n">
        <f aca="false">BD614/BC614</f>
        <v>0.196159874778789</v>
      </c>
      <c r="BF614" s="2" t="n">
        <f aca="false">BD614/(Entrées!$C$151/100)-BC614</f>
        <v>2562.94893610671</v>
      </c>
      <c r="BG614" s="2" t="n">
        <f aca="false">MIN(AV614,BF614)</f>
        <v>1221.06530879263</v>
      </c>
      <c r="BH614" s="2" t="n">
        <f aca="false">IF(AC614&gt;Hypothèses!$J$26,MAX(0,BG614)/(1-Hypothèses!$J$26/AC614),0)</f>
        <v>1910.87714005053</v>
      </c>
    </row>
    <row r="615" customFormat="false" ht="15" hidden="false" customHeight="false" outlineLevel="0" collapsed="false">
      <c r="A615" s="2" t="n">
        <v>600</v>
      </c>
      <c r="B615" s="2" t="n">
        <v>0.776092684</v>
      </c>
      <c r="C615" s="2"/>
      <c r="D615" s="2" t="n">
        <v>0.301292578</v>
      </c>
      <c r="E615" s="2" t="n">
        <f aca="false">IF(E$7=E$5,E$6,IF(NORMSDIST(E$9*SQRT($C$11)*NORMSINV($B615)+SQRT(1-E$9^2*$C$11)*NORMSINV(D615))&lt;E$8,E$5+SQRT(NORMSDIST(E$9*SQRT($C$11)*NORMSINV($B615)+SQRT(1-E$9^2*$C$11)*NORMSINV(D615))*(E$7-E$5)*(E$6-E$5)),E$7-SQRT((1-NORMSDIST(E$9*SQRT($C$11)*NORMSINV($B615)+SQRT(1-E$9^2*$C$11)*NORMSINV(D615)))*(E$7-E$5)*(E$7-E$6))))</f>
        <v>0.0551553612029145</v>
      </c>
      <c r="F615" s="2" t="n">
        <v>0.912270832</v>
      </c>
      <c r="G615" s="2" t="n">
        <f aca="false">IF(G$7=G$5,G$6,IF(NORMSDIST(G$9*SQRT($C$11)*NORMSINV($B615)+SQRT(1-G$9^2*$C$11)*NORMSINV(F615))&lt;G$8,G$5+SQRT(NORMSDIST(G$9*SQRT($C$11)*NORMSINV($B615)+SQRT(1-G$9^2*$C$11)*NORMSINV(F615))*(G$7-G$5)*(G$6-G$5)),G$7-SQRT((1-NORMSDIST(G$9*SQRT($C$11)*NORMSINV($B615)+SQRT(1-G$9^2*$C$11)*NORMSINV(F615)))*(G$7-G$5)*(G$7-G$6))))</f>
        <v>0.0646728378757855</v>
      </c>
      <c r="H615" s="2" t="n">
        <v>0.945681482</v>
      </c>
      <c r="I615" s="2" t="n">
        <f aca="false">IF(I$7=I$5,I$6,IF(NORMSDIST(I$9*SQRT($C$11)*NORMSINV($B615)+SQRT(1-I$9^2*$C$11)*NORMSINV(H615))&lt;I$8,I$5+SQRT(NORMSDIST(I$9*SQRT($C$11)*NORMSINV($B615)+SQRT(1-I$9^2*$C$11)*NORMSINV(H615))*(I$7-I$5)*(I$6-I$5)),I$7-SQRT((1-NORMSDIST(I$9*SQRT($C$11)*NORMSINV($B615)+SQRT(1-I$9^2*$C$11)*NORMSINV(H615)))*(I$7-I$5)*(I$7-I$6))))</f>
        <v>214.171616742077</v>
      </c>
      <c r="J615" s="2" t="n">
        <v>0.36888455</v>
      </c>
      <c r="K615" s="2" t="n">
        <f aca="false">IF(K$7=K$5,K$6,IF(NORMSDIST(K$9*SQRT($C$11)*NORMSINV($B615)+SQRT(1-K$9^2*$C$11)*NORMSINV(J615))&lt;K$8,K$5+SQRT(NORMSDIST(K$9*SQRT($C$11)*NORMSINV($B615)+SQRT(1-K$9^2*$C$11)*NORMSINV(J615))*(K$7-K$5)*(K$6-K$5)),K$7-SQRT((1-NORMSDIST(K$9*SQRT($C$11)*NORMSINV($B615)+SQRT(1-K$9^2*$C$11)*NORMSINV(J615)))*(K$7-K$5)*(K$7-K$6))))</f>
        <v>0.27288477040101</v>
      </c>
      <c r="L615" s="2" t="n">
        <v>0.652103639</v>
      </c>
      <c r="M615" s="2" t="n">
        <f aca="false">IF(M$7=M$5,M$6,IF(NORMSDIST(M$9*SQRT($C$11)*NORMSINV($B615)+SQRT(1-M$9^2*$C$11)*NORMSINV(L615))&lt;M$8,M$5+SQRT(NORMSDIST(M$9*SQRT($C$11)*NORMSINV($B615)+SQRT(1-M$9^2*$C$11)*NORMSINV(L615))*(M$7-M$5)*(M$6-M$5)),M$7-SQRT((1-NORMSDIST(M$9*SQRT($C$11)*NORMSINV($B615)+SQRT(1-M$9^2*$C$11)*NORMSINV(L615)))*(M$7-M$5)*(M$7-M$6))))</f>
        <v>1660.51649479873</v>
      </c>
      <c r="N615" s="2" t="n">
        <v>0.057957811</v>
      </c>
      <c r="O615" s="2" t="n">
        <f aca="false">IF(O$7=O$5,O$6,IF(NORMSDIST(O$9*SQRT($C$11)*NORMSINV($B615)+SQRT(1-O$9^2*$C$11)*NORMSINV(N615))&lt;O$8,O$5+SQRT(NORMSDIST(O$9*SQRT($C$11)*NORMSINV($B615)+SQRT(1-O$9^2*$C$11)*NORMSINV(N615))*(O$7-O$5)*(O$6-O$5)),O$7-SQRT((1-NORMSDIST(O$9*SQRT($C$11)*NORMSINV($B615)+SQRT(1-O$9^2*$C$11)*NORMSINV(N615)))*(O$7-O$5)*(O$7-O$6))))</f>
        <v>0.158179775217518</v>
      </c>
      <c r="P615" s="2" t="n">
        <v>0.470717854</v>
      </c>
      <c r="Q615" s="2" t="n">
        <f aca="false">IF(Q$7=Q$5,Q$6,IF(NORMSDIST(Q$9*SQRT($C$11)*NORMSINV($B615)+SQRT(1-Q$9^2*$C$11)*NORMSINV(P615))&lt;Q$8,Q$5+SQRT(NORMSDIST(Q$9*SQRT($C$11)*NORMSINV($B615)+SQRT(1-Q$9^2*$C$11)*NORMSINV(P615))*(Q$7-Q$5)*(Q$6-Q$5)),Q$7-SQRT((1-NORMSDIST(Q$9*SQRT($C$11)*NORMSINV($B615)+SQRT(1-Q$9^2*$C$11)*NORMSINV(P615)))*(Q$7-Q$5)*(Q$7-Q$6))))</f>
        <v>0.0788110439540088</v>
      </c>
      <c r="R615" s="2" t="n">
        <v>0.580904636</v>
      </c>
      <c r="S615" s="2" t="n">
        <f aca="false">IF(S$7=S$5,S$6,IF(NORMSDIST(S$9*SQRT($C$11)*NORMSINV($B615)+SQRT(1-S$9^2*$C$11)*NORMSINV(R615))&lt;S$8,S$5+SQRT(NORMSDIST(S$9*SQRT($C$11)*NORMSINV($B615)+SQRT(1-S$9^2*$C$11)*NORMSINV(R615))*(S$7-S$5)*(S$6-S$5)),S$7-SQRT((1-NORMSDIST(S$9*SQRT($C$11)*NORMSINV($B615)+SQRT(1-S$9^2*$C$11)*NORMSINV(R615)))*(S$7-S$5)*(S$7-S$6))))</f>
        <v>0.638299482243787</v>
      </c>
      <c r="T615" s="2" t="n">
        <v>0.142316506</v>
      </c>
      <c r="U615" s="2" t="n">
        <f aca="false">IF(U$7=U$5,U$6,IF(NORMSDIST(U$9*SQRT($C$11)*NORMSINV($B615)+SQRT(1-U$9^2*$C$11)*NORMSINV(T615))&lt;U$8,U$5+SQRT(NORMSDIST(U$9*SQRT($C$11)*NORMSINV($B615)+SQRT(1-U$9^2*$C$11)*NORMSINV(T615))*(U$7-U$5)*(U$6-U$5)),U$7-SQRT((1-NORMSDIST(U$9*SQRT($C$11)*NORMSINV($B615)+SQRT(1-U$9^2*$C$11)*NORMSINV(T615)))*(U$7-U$5)*(U$7-U$6))))</f>
        <v>0.426409067282926</v>
      </c>
      <c r="V615" s="2" t="n">
        <v>0.703934633</v>
      </c>
      <c r="W615" s="2" t="n">
        <f aca="false">IF(W$7=W$5,W$6,IF(NORMSDIST(W$9*SQRT($C$11)*NORMSINV($B615)+SQRT(1-W$9^2*$C$11)*NORMSINV(V615))&lt;W$8,W$5+SQRT(NORMSDIST(W$9*SQRT($C$11)*NORMSINV($B615)+SQRT(1-W$9^2*$C$11)*NORMSINV(V615))*(W$7-W$5)*(W$6-W$5)),W$7-SQRT((1-NORMSDIST(W$9*SQRT($C$11)*NORMSINV($B615)+SQRT(1-W$9^2*$C$11)*NORMSINV(V615)))*(W$7-W$5)*(W$7-W$6))))</f>
        <v>10.7822110100332</v>
      </c>
      <c r="X615" s="2" t="n">
        <v>0.389340174</v>
      </c>
      <c r="Y615" s="2" t="n">
        <f aca="false">IF(Y$7=Y$5,Y$6,IF(NORMSDIST(Y$9*SQRT($C$11)*NORMSINV($B615)+SQRT(1-Y$9^2*$C$11)*NORMSINV(X615))&lt;Y$8,Y$5+SQRT(NORMSDIST(Y$9*SQRT($C$11)*NORMSINV($B615)+SQRT(1-Y$9^2*$C$11)*NORMSINV(X615))*(Y$7-Y$5)*(Y$6-Y$5)),Y$7-SQRT((1-NORMSDIST(Y$9*SQRT($C$11)*NORMSINV($B615)+SQRT(1-Y$9^2*$C$11)*NORMSINV(X615)))*(Y$7-Y$5)*(Y$7-Y$6))))</f>
        <v>0.441214332269477</v>
      </c>
      <c r="Z615" s="2" t="n">
        <v>0.215360581</v>
      </c>
      <c r="AA615" s="2" t="n">
        <f aca="false">IF(AA$7=AA$5,AA$6,IF(NORMSDIST(AA$9*SQRT($C$11)*NORMSINV($B615)+SQRT(1-AA$9^2*$C$11)*NORMSINV(Z615))&lt;AA$8,AA$5+SQRT(NORMSDIST(AA$9*SQRT($C$11)*NORMSINV($B615)+SQRT(1-AA$9^2*$C$11)*NORMSINV(Z615))*(AA$7-AA$5)*(AA$6-AA$5)),AA$7-SQRT((1-NORMSDIST(AA$9*SQRT($C$11)*NORMSINV($B615)+SQRT(1-AA$9^2*$C$11)*NORMSINV(Z615)))*(AA$7-AA$5)*(AA$7-AA$6))))</f>
        <v>0.726308603795364</v>
      </c>
      <c r="AB615" s="2" t="n">
        <v>0.407993964</v>
      </c>
      <c r="AC615" s="2" t="n">
        <f aca="false">IF(AC$7=AC$5,AC$6,IF(NORMSDIST(AC$9*SQRT($C$11)*NORMSINV($B615)+SQRT(1-AC$9^2*$C$11)*NORMSINV(AB615))&lt;AC$8,AC$5+SQRT(NORMSDIST(AC$9*SQRT($C$11)*NORMSINV($B615)+SQRT(1-AC$9^2*$C$11)*NORMSINV(AB615))*(AC$7-AC$5)*(AC$6-AC$5)),AC$7-SQRT((1-NORMSDIST(AC$9*SQRT($C$11)*NORMSINV($B615)+SQRT(1-AC$9^2*$C$11)*NORMSINV(AB615)))*(AC$7-AC$5)*(AC$7-AC$6))))</f>
        <v>9.7104453046606</v>
      </c>
      <c r="AD615" s="2" t="n">
        <f aca="false">Entrées!$C$8*(1+E615)</f>
        <v>7438.84529648055</v>
      </c>
      <c r="AE615" s="2" t="n">
        <f aca="false">I615*Hypothèses!$J$24/12/Hypothèses!$J$19</f>
        <v>106.249853582818</v>
      </c>
      <c r="AF615" s="2" t="n">
        <f aca="false">Entrées!$C$36*S615*1000</f>
        <v>319.149741121894</v>
      </c>
      <c r="AG615" s="2" t="n">
        <f aca="false">-AF615/W615</f>
        <v>-29.599656399315</v>
      </c>
      <c r="AH615" s="2" t="n">
        <f aca="false">AD615+AE615+AG615</f>
        <v>7515.49549366405</v>
      </c>
      <c r="AI615" s="2" t="n">
        <f aca="false">Entrées!$C$16-M615+Hypothèses!$J$22*1000-AF615+Hypothèses!$J$23</f>
        <v>22568.3337640794</v>
      </c>
      <c r="AJ615" s="2" t="n">
        <f aca="false">AI615/AH615</f>
        <v>3.00290696509706</v>
      </c>
      <c r="AK615" s="2" t="n">
        <f aca="false">AI615/(AH615+I615*(12-Hypothèses!$J$24)/12/Hypothèses!$J$19)</f>
        <v>2.97288625375041</v>
      </c>
      <c r="AL615" s="2" t="n">
        <f aca="false">(AD615+AG615+I615/Hypothèses!$J$19)*(1+G615)</f>
        <v>8082.34486752334</v>
      </c>
      <c r="AM615" s="2" t="n">
        <f aca="false">Entrées!$C$54*K615/Hypothèses!$J$19</f>
        <v>27.8490365885326</v>
      </c>
      <c r="AN615" s="2" t="n">
        <f aca="false">Y615*1000/AC615</f>
        <v>45.4370853680328</v>
      </c>
      <c r="AO615" s="2" t="n">
        <f aca="false">(Entrées!$C$36*(1-S615)+MAX(0,Entrées!$C$30-Entrées!$C$35-Entrées!$C$36)*U615)*1000</f>
        <v>777.822953074203</v>
      </c>
      <c r="AP615" s="2" t="n">
        <f aca="false">-AO615/W615</f>
        <v>-72.1394667893639</v>
      </c>
      <c r="AQ615" s="2" t="n">
        <f aca="false">AL615+AM615+AN615+AP615</f>
        <v>8083.49152269055</v>
      </c>
      <c r="AR615" s="2" t="n">
        <f aca="false">O615*AQ615-Hypothèses!$J$25/Hypothèses!$J$19</f>
        <v>1259.50970977028</v>
      </c>
      <c r="AS615" s="2" t="n">
        <f aca="false">Entrées!$C$79*(1+Q615)+Hypothèses!$J$20</f>
        <v>1480.61333730546</v>
      </c>
      <c r="AT615" s="2" t="n">
        <f aca="false">AI615-AR615+AS615+Y615*1000-AO615+Hypothèses!$J$23</f>
        <v>22452.8287708098</v>
      </c>
      <c r="AU615" s="2" t="n">
        <f aca="false">AT615/AQ615</f>
        <v>2.77761518123502</v>
      </c>
      <c r="AV615" s="2" t="n">
        <f aca="false">Hypothèses!$J$26*AQ615-AT615</f>
        <v>1797.64579726181</v>
      </c>
      <c r="AW615" s="2" t="n">
        <f aca="false">IF(AC615&gt;Hypothèses!$J$26,MAX(0,AV615)/(1-Hypothèses!$J$26/AC615),0)</f>
        <v>2601.30891452765</v>
      </c>
      <c r="AX615" s="2" t="n">
        <f aca="false">AQ615-Entrées!$C$17*1000</f>
        <v>83.4915226905459</v>
      </c>
      <c r="AY615" s="2" t="n">
        <f aca="false">AI615+(Entrées!$C$244-Entrées!$C$13)</f>
        <v>28315.3337640794</v>
      </c>
      <c r="AZ615" s="2" t="n">
        <f aca="false">AA615*AH615</f>
        <v>5458.56903883349</v>
      </c>
      <c r="BA615" s="2" t="n">
        <f aca="false">AZ615/AY615</f>
        <v>0.192777845541704</v>
      </c>
      <c r="BB615" s="2" t="n">
        <f aca="false">AZ615/(Entrées!$C$151/100)-AY615</f>
        <v>2010.04978499557</v>
      </c>
      <c r="BC615" s="2" t="n">
        <f aca="false">AT615+(Entrées!$C$244-Entrées!$C$13)</f>
        <v>28199.8287708098</v>
      </c>
      <c r="BD615" s="2" t="n">
        <f aca="false">AA615*AQ615</f>
        <v>5871.10944163704</v>
      </c>
      <c r="BE615" s="2" t="n">
        <f aca="false">BD615/BC615</f>
        <v>0.208196634431849</v>
      </c>
      <c r="BF615" s="2" t="n">
        <f aca="false">BD615/(Entrées!$C$151/100)-BC615</f>
        <v>4417.44590495148</v>
      </c>
      <c r="BG615" s="2" t="n">
        <f aca="false">MIN(AV615,BF615)</f>
        <v>1797.64579726181</v>
      </c>
      <c r="BH615" s="2" t="n">
        <f aca="false">IF(AC615&gt;Hypothèses!$J$26,MAX(0,BG615)/(1-Hypothèses!$J$26/AC615),0)</f>
        <v>2601.30891452765</v>
      </c>
    </row>
    <row r="616" customFormat="false" ht="15" hidden="false" customHeight="false" outlineLevel="0" collapsed="false">
      <c r="A616" s="2" t="n">
        <v>601</v>
      </c>
      <c r="B616" s="2" t="n">
        <v>0.672066327</v>
      </c>
      <c r="C616" s="2"/>
      <c r="D616" s="2" t="n">
        <v>0.313828171</v>
      </c>
      <c r="E616" s="2" t="n">
        <f aca="false">IF(E$7=E$5,E$6,IF(NORMSDIST(E$9*SQRT($C$11)*NORMSINV($B616)+SQRT(1-E$9^2*$C$11)*NORMSINV(D616))&lt;E$8,E$5+SQRT(NORMSDIST(E$9*SQRT($C$11)*NORMSINV($B616)+SQRT(1-E$9^2*$C$11)*NORMSINV(D616))*(E$7-E$5)*(E$6-E$5)),E$7-SQRT((1-NORMSDIST(E$9*SQRT($C$11)*NORMSINV($B616)+SQRT(1-E$9^2*$C$11)*NORMSINV(D616)))*(E$7-E$5)*(E$7-E$6))))</f>
        <v>0.0548094135816554</v>
      </c>
      <c r="F616" s="2" t="n">
        <v>0.601205926</v>
      </c>
      <c r="G616" s="2" t="n">
        <f aca="false">IF(G$7=G$5,G$6,IF(NORMSDIST(G$9*SQRT($C$11)*NORMSINV($B616)+SQRT(1-G$9^2*$C$11)*NORMSINV(F616))&lt;G$8,G$5+SQRT(NORMSDIST(G$9*SQRT($C$11)*NORMSINV($B616)+SQRT(1-G$9^2*$C$11)*NORMSINV(F616))*(G$7-G$5)*(G$6-G$5)),G$7-SQRT((1-NORMSDIST(G$9*SQRT($C$11)*NORMSINV($B616)+SQRT(1-G$9^2*$C$11)*NORMSINV(F616)))*(G$7-G$5)*(G$7-G$6))))</f>
        <v>0.058085878544409</v>
      </c>
      <c r="H616" s="2" t="n">
        <v>0.86365976</v>
      </c>
      <c r="I616" s="2" t="n">
        <f aca="false">IF(I$7=I$5,I$6,IF(NORMSDIST(I$9*SQRT($C$11)*NORMSINV($B616)+SQRT(1-I$9^2*$C$11)*NORMSINV(H616))&lt;I$8,I$5+SQRT(NORMSDIST(I$9*SQRT($C$11)*NORMSINV($B616)+SQRT(1-I$9^2*$C$11)*NORMSINV(H616))*(I$7-I$5)*(I$6-I$5)),I$7-SQRT((1-NORMSDIST(I$9*SQRT($C$11)*NORMSINV($B616)+SQRT(1-I$9^2*$C$11)*NORMSINV(H616)))*(I$7-I$5)*(I$7-I$6))))</f>
        <v>209.844334238192</v>
      </c>
      <c r="J616" s="2" t="n">
        <v>0.614778218</v>
      </c>
      <c r="K616" s="2" t="n">
        <f aca="false">IF(K$7=K$5,K$6,IF(NORMSDIST(K$9*SQRT($C$11)*NORMSINV($B616)+SQRT(1-K$9^2*$C$11)*NORMSINV(J616))&lt;K$8,K$5+SQRT(NORMSDIST(K$9*SQRT($C$11)*NORMSINV($B616)+SQRT(1-K$9^2*$C$11)*NORMSINV(J616))*(K$7-K$5)*(K$6-K$5)),K$7-SQRT((1-NORMSDIST(K$9*SQRT($C$11)*NORMSINV($B616)+SQRT(1-K$9^2*$C$11)*NORMSINV(J616)))*(K$7-K$5)*(K$7-K$6))))</f>
        <v>0.304495816795243</v>
      </c>
      <c r="L616" s="2" t="n">
        <v>0.545326596</v>
      </c>
      <c r="M616" s="2" t="n">
        <f aca="false">IF(M$7=M$5,M$6,IF(NORMSDIST(M$9*SQRT($C$11)*NORMSINV($B616)+SQRT(1-M$9^2*$C$11)*NORMSINV(L616))&lt;M$8,M$5+SQRT(NORMSDIST(M$9*SQRT($C$11)*NORMSINV($B616)+SQRT(1-M$9^2*$C$11)*NORMSINV(L616))*(M$7-M$5)*(M$6-M$5)),M$7-SQRT((1-NORMSDIST(M$9*SQRT($C$11)*NORMSINV($B616)+SQRT(1-M$9^2*$C$11)*NORMSINV(L616)))*(M$7-M$5)*(M$7-M$6))))</f>
        <v>1623.49360719649</v>
      </c>
      <c r="N616" s="2" t="n">
        <v>0.408527406</v>
      </c>
      <c r="O616" s="2" t="n">
        <f aca="false">IF(O$7=O$5,O$6,IF(NORMSDIST(O$9*SQRT($C$11)*NORMSINV($B616)+SQRT(1-O$9^2*$C$11)*NORMSINV(N616))&lt;O$8,O$5+SQRT(NORMSDIST(O$9*SQRT($C$11)*NORMSINV($B616)+SQRT(1-O$9^2*$C$11)*NORMSINV(N616))*(O$7-O$5)*(O$6-O$5)),O$7-SQRT((1-NORMSDIST(O$9*SQRT($C$11)*NORMSINV($B616)+SQRT(1-O$9^2*$C$11)*NORMSINV(N616)))*(O$7-O$5)*(O$7-O$6))))</f>
        <v>0.167857899927657</v>
      </c>
      <c r="P616" s="2" t="n">
        <v>0.357276712</v>
      </c>
      <c r="Q616" s="2" t="n">
        <f aca="false">IF(Q$7=Q$5,Q$6,IF(NORMSDIST(Q$9*SQRT($C$11)*NORMSINV($B616)+SQRT(1-Q$9^2*$C$11)*NORMSINV(P616))&lt;Q$8,Q$5+SQRT(NORMSDIST(Q$9*SQRT($C$11)*NORMSINV($B616)+SQRT(1-Q$9^2*$C$11)*NORMSINV(P616))*(Q$7-Q$5)*(Q$6-Q$5)),Q$7-SQRT((1-NORMSDIST(Q$9*SQRT($C$11)*NORMSINV($B616)+SQRT(1-Q$9^2*$C$11)*NORMSINV(P616)))*(Q$7-Q$5)*(Q$7-Q$6))))</f>
        <v>0.0738125047637705</v>
      </c>
      <c r="R616" s="2" t="n">
        <v>0.258906916</v>
      </c>
      <c r="S616" s="2" t="n">
        <f aca="false">IF(S$7=S$5,S$6,IF(NORMSDIST(S$9*SQRT($C$11)*NORMSINV($B616)+SQRT(1-S$9^2*$C$11)*NORMSINV(R616))&lt;S$8,S$5+SQRT(NORMSDIST(S$9*SQRT($C$11)*NORMSINV($B616)+SQRT(1-S$9^2*$C$11)*NORMSINV(R616))*(S$7-S$5)*(S$6-S$5)),S$7-SQRT((1-NORMSDIST(S$9*SQRT($C$11)*NORMSINV($B616)+SQRT(1-S$9^2*$C$11)*NORMSINV(R616)))*(S$7-S$5)*(S$7-S$6))))</f>
        <v>0.454578423557777</v>
      </c>
      <c r="T616" s="2" t="n">
        <v>0.413515795</v>
      </c>
      <c r="U616" s="2" t="n">
        <f aca="false">IF(U$7=U$5,U$6,IF(NORMSDIST(U$9*SQRT($C$11)*NORMSINV($B616)+SQRT(1-U$9^2*$C$11)*NORMSINV(T616))&lt;U$8,U$5+SQRT(NORMSDIST(U$9*SQRT($C$11)*NORMSINV($B616)+SQRT(1-U$9^2*$C$11)*NORMSINV(T616))*(U$7-U$5)*(U$6-U$5)),U$7-SQRT((1-NORMSDIST(U$9*SQRT($C$11)*NORMSINV($B616)+SQRT(1-U$9^2*$C$11)*NORMSINV(T616)))*(U$7-U$5)*(U$7-U$6))))</f>
        <v>0.5229354266761</v>
      </c>
      <c r="V616" s="2" t="n">
        <v>0.247429951</v>
      </c>
      <c r="W616" s="2" t="n">
        <f aca="false">IF(W$7=W$5,W$6,IF(NORMSDIST(W$9*SQRT($C$11)*NORMSINV($B616)+SQRT(1-W$9^2*$C$11)*NORMSINV(V616))&lt;W$8,W$5+SQRT(NORMSDIST(W$9*SQRT($C$11)*NORMSINV($B616)+SQRT(1-W$9^2*$C$11)*NORMSINV(V616))*(W$7-W$5)*(W$6-W$5)),W$7-SQRT((1-NORMSDIST(W$9*SQRT($C$11)*NORMSINV($B616)+SQRT(1-W$9^2*$C$11)*NORMSINV(V616)))*(W$7-W$5)*(W$7-W$6))))</f>
        <v>9.79441924465137</v>
      </c>
      <c r="X616" s="2" t="n">
        <v>0.886371926</v>
      </c>
      <c r="Y616" s="2" t="n">
        <f aca="false">IF(Y$7=Y$5,Y$6,IF(NORMSDIST(Y$9*SQRT($C$11)*NORMSINV($B616)+SQRT(1-Y$9^2*$C$11)*NORMSINV(X616))&lt;Y$8,Y$5+SQRT(NORMSDIST(Y$9*SQRT($C$11)*NORMSINV($B616)+SQRT(1-Y$9^2*$C$11)*NORMSINV(X616))*(Y$7-Y$5)*(Y$6-Y$5)),Y$7-SQRT((1-NORMSDIST(Y$9*SQRT($C$11)*NORMSINV($B616)+SQRT(1-Y$9^2*$C$11)*NORMSINV(X616)))*(Y$7-Y$5)*(Y$7-Y$6))))</f>
        <v>0.761643047091133</v>
      </c>
      <c r="Z616" s="2" t="n">
        <v>0.150813323</v>
      </c>
      <c r="AA616" s="2" t="n">
        <f aca="false">IF(AA$7=AA$5,AA$6,IF(NORMSDIST(AA$9*SQRT($C$11)*NORMSINV($B616)+SQRT(1-AA$9^2*$C$11)*NORMSINV(Z616))&lt;AA$8,AA$5+SQRT(NORMSDIST(AA$9*SQRT($C$11)*NORMSINV($B616)+SQRT(1-AA$9^2*$C$11)*NORMSINV(Z616))*(AA$7-AA$5)*(AA$6-AA$5)),AA$7-SQRT((1-NORMSDIST(AA$9*SQRT($C$11)*NORMSINV($B616)+SQRT(1-AA$9^2*$C$11)*NORMSINV(Z616)))*(AA$7-AA$5)*(AA$7-AA$6))))</f>
        <v>0.720763305134268</v>
      </c>
      <c r="AB616" s="2" t="n">
        <v>0.761949942</v>
      </c>
      <c r="AC616" s="2" t="n">
        <f aca="false">IF(AC$7=AC$5,AC$6,IF(NORMSDIST(AC$9*SQRT($C$11)*NORMSINV($B616)+SQRT(1-AC$9^2*$C$11)*NORMSINV(AB616))&lt;AC$8,AC$5+SQRT(NORMSDIST(AC$9*SQRT($C$11)*NORMSINV($B616)+SQRT(1-AC$9^2*$C$11)*NORMSINV(AB616))*(AC$7-AC$5)*(AC$6-AC$5)),AC$7-SQRT((1-NORMSDIST(AC$9*SQRT($C$11)*NORMSINV($B616)+SQRT(1-AC$9^2*$C$11)*NORMSINV(AB616)))*(AC$7-AC$5)*(AC$7-AC$6))))</f>
        <v>10.0653979874303</v>
      </c>
      <c r="AD616" s="2" t="n">
        <f aca="false">Entrées!$C$8*(1+E616)</f>
        <v>7436.40636575067</v>
      </c>
      <c r="AE616" s="2" t="n">
        <f aca="false">I616*Hypothèses!$J$24/12/Hypothèses!$J$19</f>
        <v>104.103102582647</v>
      </c>
      <c r="AF616" s="2" t="n">
        <f aca="false">Entrées!$C$36*S616*1000</f>
        <v>227.289211778889</v>
      </c>
      <c r="AG616" s="2" t="n">
        <f aca="false">-AF616/W616</f>
        <v>-23.2059917082893</v>
      </c>
      <c r="AH616" s="2" t="n">
        <f aca="false">AD616+AE616+AG616</f>
        <v>7517.30347662503</v>
      </c>
      <c r="AI616" s="2" t="n">
        <f aca="false">Entrées!$C$16-M616+Hypothèses!$J$22*1000-AF616+Hypothèses!$J$23</f>
        <v>22697.2171810246</v>
      </c>
      <c r="AJ616" s="2" t="n">
        <f aca="false">AI616/AH616</f>
        <v>3.01932963749586</v>
      </c>
      <c r="AK616" s="2" t="n">
        <f aca="false">AI616/(AH616+I616*(12-Hypothèses!$J$24)/12/Hypothèses!$J$19)</f>
        <v>2.98975569285711</v>
      </c>
      <c r="AL616" s="2" t="n">
        <f aca="false">(AD616+AG616+I616/Hypothèses!$J$19)*(1+G616)</f>
        <v>8032.63124103213</v>
      </c>
      <c r="AM616" s="2" t="n">
        <f aca="false">Entrées!$C$54*K616/Hypothèses!$J$19</f>
        <v>31.075076599271</v>
      </c>
      <c r="AN616" s="2" t="n">
        <f aca="false">Y616*1000/AC616</f>
        <v>75.6694417888169</v>
      </c>
      <c r="AO616" s="2" t="n">
        <f aca="false">(Entrées!$C$36*(1-S616)+MAX(0,Entrées!$C$30-Entrées!$C$35-Entrées!$C$36)*U616)*1000</f>
        <v>1004.82038556765</v>
      </c>
      <c r="AP616" s="2" t="n">
        <f aca="false">-AO616/W616</f>
        <v>-102.591114436558</v>
      </c>
      <c r="AQ616" s="2" t="n">
        <f aca="false">AL616+AM616+AN616+AP616</f>
        <v>8036.78464498366</v>
      </c>
      <c r="AR616" s="2" t="n">
        <f aca="false">O616*AQ616-Hypothèses!$J$25/Hypothèses!$J$19</f>
        <v>1329.90263041617</v>
      </c>
      <c r="AS616" s="2" t="n">
        <f aca="false">Entrées!$C$79*(1+Q616)+Hypothèses!$J$20</f>
        <v>1475.11994273538</v>
      </c>
      <c r="AT616" s="2" t="n">
        <f aca="false">AI616-AR616+AS616+Y616*1000-AO616+Hypothèses!$J$23</f>
        <v>22599.2571548673</v>
      </c>
      <c r="AU616" s="2" t="n">
        <f aca="false">AT616/AQ616</f>
        <v>2.81197744535473</v>
      </c>
      <c r="AV616" s="2" t="n">
        <f aca="false">Hypothèses!$J$26*AQ616-AT616</f>
        <v>1511.09678008367</v>
      </c>
      <c r="AW616" s="2" t="n">
        <f aca="false">IF(AC616&gt;Hypothèses!$J$26,MAX(0,AV616)/(1-Hypothèses!$J$26/AC616),0)</f>
        <v>2152.71531994738</v>
      </c>
      <c r="AX616" s="2" t="n">
        <f aca="false">AQ616-Entrées!$C$17*1000</f>
        <v>36.7846449836634</v>
      </c>
      <c r="AY616" s="2" t="n">
        <f aca="false">AI616+(Entrées!$C$244-Entrées!$C$13)</f>
        <v>28444.2171810246</v>
      </c>
      <c r="AZ616" s="2" t="n">
        <f aca="false">AA616*AH616</f>
        <v>5418.19649950958</v>
      </c>
      <c r="BA616" s="2" t="n">
        <f aca="false">AZ616/AY616</f>
        <v>0.190484992609468</v>
      </c>
      <c r="BB616" s="2" t="n">
        <f aca="false">AZ616/(Entrées!$C$151/100)-AY616</f>
        <v>1656.8744829175</v>
      </c>
      <c r="BC616" s="2" t="n">
        <f aca="false">AT616+(Entrées!$C$244-Entrées!$C$13)</f>
        <v>28346.2571548673</v>
      </c>
      <c r="BD616" s="2" t="n">
        <f aca="false">AA616*AQ616</f>
        <v>5792.61946337076</v>
      </c>
      <c r="BE616" s="2" t="n">
        <f aca="false">BD616/BC616</f>
        <v>0.20435218066792</v>
      </c>
      <c r="BF616" s="2" t="n">
        <f aca="false">BD616/(Entrées!$C$151/100)-BC616</f>
        <v>3834.96208608137</v>
      </c>
      <c r="BG616" s="2" t="n">
        <f aca="false">MIN(AV616,BF616)</f>
        <v>1511.09678008367</v>
      </c>
      <c r="BH616" s="2" t="n">
        <f aca="false">IF(AC616&gt;Hypothèses!$J$26,MAX(0,BG616)/(1-Hypothèses!$J$26/AC616),0)</f>
        <v>2152.71531994738</v>
      </c>
    </row>
    <row r="617" customFormat="false" ht="15" hidden="false" customHeight="false" outlineLevel="0" collapsed="false">
      <c r="A617" s="2" t="n">
        <v>602</v>
      </c>
      <c r="B617" s="2" t="n">
        <v>0.36779576</v>
      </c>
      <c r="C617" s="2"/>
      <c r="D617" s="2" t="n">
        <v>0.725906343</v>
      </c>
      <c r="E617" s="2" t="n">
        <f aca="false">IF(E$7=E$5,E$6,IF(NORMSDIST(E$9*SQRT($C$11)*NORMSINV($B617)+SQRT(1-E$9^2*$C$11)*NORMSINV(D617))&lt;E$8,E$5+SQRT(NORMSDIST(E$9*SQRT($C$11)*NORMSINV($B617)+SQRT(1-E$9^2*$C$11)*NORMSINV(D617))*(E$7-E$5)*(E$6-E$5)),E$7-SQRT((1-NORMSDIST(E$9*SQRT($C$11)*NORMSINV($B617)+SQRT(1-E$9^2*$C$11)*NORMSINV(D617)))*(E$7-E$5)*(E$7-E$6))))</f>
        <v>0.055523984426891</v>
      </c>
      <c r="F617" s="2" t="n">
        <v>0.752754893</v>
      </c>
      <c r="G617" s="2" t="n">
        <f aca="false">IF(G$7=G$5,G$6,IF(NORMSDIST(G$9*SQRT($C$11)*NORMSINV($B617)+SQRT(1-G$9^2*$C$11)*NORMSINV(F617))&lt;G$8,G$5+SQRT(NORMSDIST(G$9*SQRT($C$11)*NORMSINV($B617)+SQRT(1-G$9^2*$C$11)*NORMSINV(F617))*(G$7-G$5)*(G$6-G$5)),G$7-SQRT((1-NORMSDIST(G$9*SQRT($C$11)*NORMSINV($B617)+SQRT(1-G$9^2*$C$11)*NORMSINV(F617)))*(G$7-G$5)*(G$7-G$6))))</f>
        <v>0.0569897554329374</v>
      </c>
      <c r="H617" s="2" t="n">
        <v>0.427364399</v>
      </c>
      <c r="I617" s="2" t="n">
        <f aca="false">IF(I$7=I$5,I$6,IF(NORMSDIST(I$9*SQRT($C$11)*NORMSINV($B617)+SQRT(1-I$9^2*$C$11)*NORMSINV(H617))&lt;I$8,I$5+SQRT(NORMSDIST(I$9*SQRT($C$11)*NORMSINV($B617)+SQRT(1-I$9^2*$C$11)*NORMSINV(H617))*(I$7-I$5)*(I$6-I$5)),I$7-SQRT((1-NORMSDIST(I$9*SQRT($C$11)*NORMSINV($B617)+SQRT(1-I$9^2*$C$11)*NORMSINV(H617)))*(I$7-I$5)*(I$7-I$6))))</f>
        <v>196.997547359366</v>
      </c>
      <c r="J617" s="2" t="n">
        <v>0.849000011</v>
      </c>
      <c r="K617" s="2" t="n">
        <f aca="false">IF(K$7=K$5,K$6,IF(NORMSDIST(K$9*SQRT($C$11)*NORMSINV($B617)+SQRT(1-K$9^2*$C$11)*NORMSINV(J617))&lt;K$8,K$5+SQRT(NORMSDIST(K$9*SQRT($C$11)*NORMSINV($B617)+SQRT(1-K$9^2*$C$11)*NORMSINV(J617))*(K$7-K$5)*(K$6-K$5)),K$7-SQRT((1-NORMSDIST(K$9*SQRT($C$11)*NORMSINV($B617)+SQRT(1-K$9^2*$C$11)*NORMSINV(J617)))*(K$7-K$5)*(K$7-K$6))))</f>
        <v>0.313263870269261</v>
      </c>
      <c r="L617" s="2" t="n">
        <v>0.530134623</v>
      </c>
      <c r="M617" s="2" t="n">
        <f aca="false">IF(M$7=M$5,M$6,IF(NORMSDIST(M$9*SQRT($C$11)*NORMSINV($B617)+SQRT(1-M$9^2*$C$11)*NORMSINV(L617))&lt;M$8,M$5+SQRT(NORMSDIST(M$9*SQRT($C$11)*NORMSINV($B617)+SQRT(1-M$9^2*$C$11)*NORMSINV(L617))*(M$7-M$5)*(M$6-M$5)),M$7-SQRT((1-NORMSDIST(M$9*SQRT($C$11)*NORMSINV($B617)+SQRT(1-M$9^2*$C$11)*NORMSINV(L617)))*(M$7-M$5)*(M$7-M$6))))</f>
        <v>1567.40122949846</v>
      </c>
      <c r="N617" s="2" t="n">
        <v>0.804772321</v>
      </c>
      <c r="O617" s="2" t="n">
        <f aca="false">IF(O$7=O$5,O$6,IF(NORMSDIST(O$9*SQRT($C$11)*NORMSINV($B617)+SQRT(1-O$9^2*$C$11)*NORMSINV(N617))&lt;O$8,O$5+SQRT(NORMSDIST(O$9*SQRT($C$11)*NORMSINV($B617)+SQRT(1-O$9^2*$C$11)*NORMSINV(N617))*(O$7-O$5)*(O$6-O$5)),O$7-SQRT((1-NORMSDIST(O$9*SQRT($C$11)*NORMSINV($B617)+SQRT(1-O$9^2*$C$11)*NORMSINV(N617)))*(O$7-O$5)*(O$7-O$6))))</f>
        <v>0.17137210536549</v>
      </c>
      <c r="P617" s="2" t="n">
        <v>0.607911271</v>
      </c>
      <c r="Q617" s="2" t="n">
        <f aca="false">IF(Q$7=Q$5,Q$6,IF(NORMSDIST(Q$9*SQRT($C$11)*NORMSINV($B617)+SQRT(1-Q$9^2*$C$11)*NORMSINV(P617))&lt;Q$8,Q$5+SQRT(NORMSDIST(Q$9*SQRT($C$11)*NORMSINV($B617)+SQRT(1-Q$9^2*$C$11)*NORMSINV(P617))*(Q$7-Q$5)*(Q$6-Q$5)),Q$7-SQRT((1-NORMSDIST(Q$9*SQRT($C$11)*NORMSINV($B617)+SQRT(1-Q$9^2*$C$11)*NORMSINV(P617)))*(Q$7-Q$5)*(Q$7-Q$6))))</f>
        <v>0.0845784820652756</v>
      </c>
      <c r="R617" s="2" t="n">
        <v>0.886139658</v>
      </c>
      <c r="S617" s="2" t="n">
        <f aca="false">IF(S$7=S$5,S$6,IF(NORMSDIST(S$9*SQRT($C$11)*NORMSINV($B617)+SQRT(1-S$9^2*$C$11)*NORMSINV(R617))&lt;S$8,S$5+SQRT(NORMSDIST(S$9*SQRT($C$11)*NORMSINV($B617)+SQRT(1-S$9^2*$C$11)*NORMSINV(R617))*(S$7-S$5)*(S$6-S$5)),S$7-SQRT((1-NORMSDIST(S$9*SQRT($C$11)*NORMSINV($B617)+SQRT(1-S$9^2*$C$11)*NORMSINV(R617)))*(S$7-S$5)*(S$7-S$6))))</f>
        <v>0.65683639375613</v>
      </c>
      <c r="T617" s="2" t="n">
        <v>0.911253792</v>
      </c>
      <c r="U617" s="2" t="n">
        <f aca="false">IF(U$7=U$5,U$6,IF(NORMSDIST(U$9*SQRT($C$11)*NORMSINV($B617)+SQRT(1-U$9^2*$C$11)*NORMSINV(T617))&lt;U$8,U$5+SQRT(NORMSDIST(U$9*SQRT($C$11)*NORMSINV($B617)+SQRT(1-U$9^2*$C$11)*NORMSINV(T617))*(U$7-U$5)*(U$6-U$5)),U$7-SQRT((1-NORMSDIST(U$9*SQRT($C$11)*NORMSINV($B617)+SQRT(1-U$9^2*$C$11)*NORMSINV(T617)))*(U$7-U$5)*(U$7-U$6))))</f>
        <v>0.681414779879401</v>
      </c>
      <c r="V617" s="2" t="n">
        <v>0.277661314</v>
      </c>
      <c r="W617" s="2" t="n">
        <f aca="false">IF(W$7=W$5,W$6,IF(NORMSDIST(W$9*SQRT($C$11)*NORMSINV($B617)+SQRT(1-W$9^2*$C$11)*NORMSINV(V617))&lt;W$8,W$5+SQRT(NORMSDIST(W$9*SQRT($C$11)*NORMSINV($B617)+SQRT(1-W$9^2*$C$11)*NORMSINV(V617))*(W$7-W$5)*(W$6-W$5)),W$7-SQRT((1-NORMSDIST(W$9*SQRT($C$11)*NORMSINV($B617)+SQRT(1-W$9^2*$C$11)*NORMSINV(V617)))*(W$7-W$5)*(W$7-W$6))))</f>
        <v>9.41785567158947</v>
      </c>
      <c r="X617" s="2" t="n">
        <v>0.537998747</v>
      </c>
      <c r="Y617" s="2" t="n">
        <f aca="false">IF(Y$7=Y$5,Y$6,IF(NORMSDIST(Y$9*SQRT($C$11)*NORMSINV($B617)+SQRT(1-Y$9^2*$C$11)*NORMSINV(X617))&lt;Y$8,Y$5+SQRT(NORMSDIST(Y$9*SQRT($C$11)*NORMSINV($B617)+SQRT(1-Y$9^2*$C$11)*NORMSINV(X617))*(Y$7-Y$5)*(Y$6-Y$5)),Y$7-SQRT((1-NORMSDIST(Y$9*SQRT($C$11)*NORMSINV($B617)+SQRT(1-Y$9^2*$C$11)*NORMSINV(X617)))*(Y$7-Y$5)*(Y$7-Y$6))))</f>
        <v>0.519374754616448</v>
      </c>
      <c r="Z617" s="2" t="n">
        <v>0.244293826</v>
      </c>
      <c r="AA617" s="2" t="n">
        <f aca="false">IF(AA$7=AA$5,AA$6,IF(NORMSDIST(AA$9*SQRT($C$11)*NORMSINV($B617)+SQRT(1-AA$9^2*$C$11)*NORMSINV(Z617))&lt;AA$8,AA$5+SQRT(NORMSDIST(AA$9*SQRT($C$11)*NORMSINV($B617)+SQRT(1-AA$9^2*$C$11)*NORMSINV(Z617))*(AA$7-AA$5)*(AA$6-AA$5)),AA$7-SQRT((1-NORMSDIST(AA$9*SQRT($C$11)*NORMSINV($B617)+SQRT(1-AA$9^2*$C$11)*NORMSINV(Z617)))*(AA$7-AA$5)*(AA$7-AA$6))))</f>
        <v>0.717355409729963</v>
      </c>
      <c r="AB617" s="2" t="n">
        <v>0.153369391</v>
      </c>
      <c r="AC617" s="2" t="n">
        <f aca="false">IF(AC$7=AC$5,AC$6,IF(NORMSDIST(AC$9*SQRT($C$11)*NORMSINV($B617)+SQRT(1-AC$9^2*$C$11)*NORMSINV(AB617))&lt;AC$8,AC$5+SQRT(NORMSDIST(AC$9*SQRT($C$11)*NORMSINV($B617)+SQRT(1-AC$9^2*$C$11)*NORMSINV(AB617))*(AC$7-AC$5)*(AC$6-AC$5)),AC$7-SQRT((1-NORMSDIST(AC$9*SQRT($C$11)*NORMSINV($B617)+SQRT(1-AC$9^2*$C$11)*NORMSINV(AB617)))*(AC$7-AC$5)*(AC$7-AC$6))))</f>
        <v>8.56608810227183</v>
      </c>
      <c r="AD617" s="2" t="n">
        <f aca="false">Entrées!$C$8*(1+E617)</f>
        <v>7441.44409020958</v>
      </c>
      <c r="AE617" s="2" t="n">
        <f aca="false">I617*Hypothèses!$J$24/12/Hypothèses!$J$19</f>
        <v>97.7298527298027</v>
      </c>
      <c r="AF617" s="2" t="n">
        <f aca="false">Entrées!$C$36*S617*1000</f>
        <v>328.418196878065</v>
      </c>
      <c r="AG617" s="2" t="n">
        <f aca="false">-AF617/W617</f>
        <v>-34.8718655637071</v>
      </c>
      <c r="AH617" s="2" t="n">
        <f aca="false">AD617+AE617+AG617</f>
        <v>7504.30207737568</v>
      </c>
      <c r="AI617" s="2" t="n">
        <f aca="false">Entrées!$C$16-M617+Hypothèses!$J$22*1000-AF617+Hypothèses!$J$23</f>
        <v>22652.1805736235</v>
      </c>
      <c r="AJ617" s="2" t="n">
        <f aca="false">AI617/AH617</f>
        <v>3.01855926641284</v>
      </c>
      <c r="AK617" s="2" t="n">
        <f aca="false">AI617/(AH617+I617*(12-Hypothèses!$J$24)/12/Hypothèses!$J$19)</f>
        <v>2.99073861091376</v>
      </c>
      <c r="AL617" s="2" t="n">
        <f aca="false">(AD617+AG617+I617/Hypothèses!$J$19)*(1+G617)</f>
        <v>8005.75574112832</v>
      </c>
      <c r="AM617" s="2" t="n">
        <f aca="false">Entrées!$C$54*K617/Hypothèses!$J$19</f>
        <v>31.9698932709721</v>
      </c>
      <c r="AN617" s="2" t="n">
        <f aca="false">Y617*1000/AC617</f>
        <v>60.6314981139061</v>
      </c>
      <c r="AO617" s="2" t="n">
        <f aca="false">(Entrées!$C$36*(1-S617)+MAX(0,Entrées!$C$30-Entrées!$C$35-Entrées!$C$36)*U617)*1000</f>
        <v>1125.5624949531</v>
      </c>
      <c r="AP617" s="2" t="n">
        <f aca="false">-AO617/W617</f>
        <v>-119.513670011799</v>
      </c>
      <c r="AQ617" s="2" t="n">
        <f aca="false">AL617+AM617+AN617+AP617</f>
        <v>7978.8434625014</v>
      </c>
      <c r="AR617" s="2" t="n">
        <f aca="false">O617*AQ617-Hypothèses!$J$25/Hypothèses!$J$19</f>
        <v>1348.21604028892</v>
      </c>
      <c r="AS617" s="2" t="n">
        <f aca="false">Entrées!$C$79*(1+Q617)+Hypothèses!$J$20</f>
        <v>1486.95175178974</v>
      </c>
      <c r="AT617" s="2" t="n">
        <f aca="false">AI617-AR617+AS617+Y617*1000-AO617+Hypothèses!$J$23</f>
        <v>22184.7285447876</v>
      </c>
      <c r="AU617" s="2" t="n">
        <f aca="false">AT617/AQ617</f>
        <v>2.7804441394358</v>
      </c>
      <c r="AV617" s="2" t="n">
        <f aca="false">Hypothèses!$J$26*AQ617-AT617</f>
        <v>1751.80184271656</v>
      </c>
      <c r="AW617" s="2" t="n">
        <f aca="false">IF(AC617&gt;Hypothèses!$J$26,MAX(0,AV617)/(1-Hypothèses!$J$26/AC617),0)</f>
        <v>2695.98480058326</v>
      </c>
      <c r="AX617" s="2" t="n">
        <f aca="false">AQ617-Entrées!$C$17*1000</f>
        <v>-21.1565374985994</v>
      </c>
      <c r="AY617" s="2" t="n">
        <f aca="false">AI617+(Entrées!$C$244-Entrées!$C$13)</f>
        <v>28399.1805736235</v>
      </c>
      <c r="AZ617" s="2" t="n">
        <f aca="false">AA617*AH617</f>
        <v>5383.25169145324</v>
      </c>
      <c r="BA617" s="2" t="n">
        <f aca="false">AZ617/AY617</f>
        <v>0.189556585180246</v>
      </c>
      <c r="BB617" s="2" t="n">
        <f aca="false">AZ617/(Entrées!$C$151/100)-AY617</f>
        <v>1507.77326778342</v>
      </c>
      <c r="BC617" s="2" t="n">
        <f aca="false">AT617+(Entrées!$C$244-Entrées!$C$13)</f>
        <v>27931.7285447876</v>
      </c>
      <c r="BD617" s="2" t="n">
        <f aca="false">AA617*AQ617</f>
        <v>5723.66652121393</v>
      </c>
      <c r="BE617" s="2" t="n">
        <f aca="false">BD617/BC617</f>
        <v>0.204916301976665</v>
      </c>
      <c r="BF617" s="2" t="n">
        <f aca="false">BD617/(Entrées!$C$151/100)-BC617</f>
        <v>3866.41879528974</v>
      </c>
      <c r="BG617" s="2" t="n">
        <f aca="false">MIN(AV617,BF617)</f>
        <v>1751.80184271656</v>
      </c>
      <c r="BH617" s="2" t="n">
        <f aca="false">IF(AC617&gt;Hypothèses!$J$26,MAX(0,BG617)/(1-Hypothèses!$J$26/AC617),0)</f>
        <v>2695.98480058326</v>
      </c>
    </row>
    <row r="618" customFormat="false" ht="15" hidden="false" customHeight="false" outlineLevel="0" collapsed="false">
      <c r="A618" s="2" t="n">
        <v>603</v>
      </c>
      <c r="B618" s="2" t="n">
        <v>0.96712733</v>
      </c>
      <c r="C618" s="2"/>
      <c r="D618" s="2" t="n">
        <v>0.88400783</v>
      </c>
      <c r="E618" s="2" t="n">
        <f aca="false">IF(E$7=E$5,E$6,IF(NORMSDIST(E$9*SQRT($C$11)*NORMSINV($B618)+SQRT(1-E$9^2*$C$11)*NORMSINV(D618))&lt;E$8,E$5+SQRT(NORMSDIST(E$9*SQRT($C$11)*NORMSINV($B618)+SQRT(1-E$9^2*$C$11)*NORMSINV(D618))*(E$7-E$5)*(E$6-E$5)),E$7-SQRT((1-NORMSDIST(E$9*SQRT($C$11)*NORMSINV($B618)+SQRT(1-E$9^2*$C$11)*NORMSINV(D618)))*(E$7-E$5)*(E$7-E$6))))</f>
        <v>0.0590428161049109</v>
      </c>
      <c r="F618" s="2" t="n">
        <v>0.911554429</v>
      </c>
      <c r="G618" s="2" t="n">
        <f aca="false">IF(G$7=G$5,G$6,IF(NORMSDIST(G$9*SQRT($C$11)*NORMSINV($B618)+SQRT(1-G$9^2*$C$11)*NORMSINV(F618))&lt;G$8,G$5+SQRT(NORMSDIST(G$9*SQRT($C$11)*NORMSINV($B618)+SQRT(1-G$9^2*$C$11)*NORMSINV(F618))*(G$7-G$5)*(G$6-G$5)),G$7-SQRT((1-NORMSDIST(G$9*SQRT($C$11)*NORMSINV($B618)+SQRT(1-G$9^2*$C$11)*NORMSINV(F618)))*(G$7-G$5)*(G$7-G$6))))</f>
        <v>0.0675298963229574</v>
      </c>
      <c r="H618" s="2" t="n">
        <v>0.446647157</v>
      </c>
      <c r="I618" s="2" t="n">
        <f aca="false">IF(I$7=I$5,I$6,IF(NORMSDIST(I$9*SQRT($C$11)*NORMSINV($B618)+SQRT(1-I$9^2*$C$11)*NORMSINV(H618))&lt;I$8,I$5+SQRT(NORMSDIST(I$9*SQRT($C$11)*NORMSINV($B618)+SQRT(1-I$9^2*$C$11)*NORMSINV(H618))*(I$7-I$5)*(I$6-I$5)),I$7-SQRT((1-NORMSDIST(I$9*SQRT($C$11)*NORMSINV($B618)+SQRT(1-I$9^2*$C$11)*NORMSINV(H618)))*(I$7-I$5)*(I$7-I$6))))</f>
        <v>209.244845909727</v>
      </c>
      <c r="J618" s="2" t="n">
        <v>0.914820773</v>
      </c>
      <c r="K618" s="2" t="n">
        <f aca="false">IF(K$7=K$5,K$6,IF(NORMSDIST(K$9*SQRT($C$11)*NORMSINV($B618)+SQRT(1-K$9^2*$C$11)*NORMSINV(J618))&lt;K$8,K$5+SQRT(NORMSDIST(K$9*SQRT($C$11)*NORMSINV($B618)+SQRT(1-K$9^2*$C$11)*NORMSINV(J618))*(K$7-K$5)*(K$6-K$5)),K$7-SQRT((1-NORMSDIST(K$9*SQRT($C$11)*NORMSINV($B618)+SQRT(1-K$9^2*$C$11)*NORMSINV(J618)))*(K$7-K$5)*(K$7-K$6))))</f>
        <v>0.459668886745605</v>
      </c>
      <c r="L618" s="2" t="n">
        <v>0.349813749</v>
      </c>
      <c r="M618" s="2" t="n">
        <f aca="false">IF(M$7=M$5,M$6,IF(NORMSDIST(M$9*SQRT($C$11)*NORMSINV($B618)+SQRT(1-M$9^2*$C$11)*NORMSINV(L618))&lt;M$8,M$5+SQRT(NORMSDIST(M$9*SQRT($C$11)*NORMSINV($B618)+SQRT(1-M$9^2*$C$11)*NORMSINV(L618))*(M$7-M$5)*(M$6-M$5)),M$7-SQRT((1-NORMSDIST(M$9*SQRT($C$11)*NORMSINV($B618)+SQRT(1-M$9^2*$C$11)*NORMSINV(L618)))*(M$7-M$5)*(M$7-M$6))))</f>
        <v>1667.77579546735</v>
      </c>
      <c r="N618" s="2" t="n">
        <v>0.837900087</v>
      </c>
      <c r="O618" s="2" t="n">
        <f aca="false">IF(O$7=O$5,O$6,IF(NORMSDIST(O$9*SQRT($C$11)*NORMSINV($B618)+SQRT(1-O$9^2*$C$11)*NORMSINV(N618))&lt;O$8,O$5+SQRT(NORMSDIST(O$9*SQRT($C$11)*NORMSINV($B618)+SQRT(1-O$9^2*$C$11)*NORMSINV(N618))*(O$7-O$5)*(O$6-O$5)),O$7-SQRT((1-NORMSDIST(O$9*SQRT($C$11)*NORMSINV($B618)+SQRT(1-O$9^2*$C$11)*NORMSINV(N618)))*(O$7-O$5)*(O$7-O$6))))</f>
        <v>0.18464105555143</v>
      </c>
      <c r="P618" s="2" t="n">
        <v>0.870962357</v>
      </c>
      <c r="Q618" s="2" t="n">
        <f aca="false">IF(Q$7=Q$5,Q$6,IF(NORMSDIST(Q$9*SQRT($C$11)*NORMSINV($B618)+SQRT(1-Q$9^2*$C$11)*NORMSINV(P618))&lt;Q$8,Q$5+SQRT(NORMSDIST(Q$9*SQRT($C$11)*NORMSINV($B618)+SQRT(1-Q$9^2*$C$11)*NORMSINV(P618))*(Q$7-Q$5)*(Q$6-Q$5)),Q$7-SQRT((1-NORMSDIST(Q$9*SQRT($C$11)*NORMSINV($B618)+SQRT(1-Q$9^2*$C$11)*NORMSINV(P618)))*(Q$7-Q$5)*(Q$7-Q$6))))</f>
        <v>0.0996795556741493</v>
      </c>
      <c r="R618" s="2" t="n">
        <v>0.622288779</v>
      </c>
      <c r="S618" s="2" t="n">
        <f aca="false">IF(S$7=S$5,S$6,IF(NORMSDIST(S$9*SQRT($C$11)*NORMSINV($B618)+SQRT(1-S$9^2*$C$11)*NORMSINV(R618))&lt;S$8,S$5+SQRT(NORMSDIST(S$9*SQRT($C$11)*NORMSINV($B618)+SQRT(1-S$9^2*$C$11)*NORMSINV(R618))*(S$7-S$5)*(S$6-S$5)),S$7-SQRT((1-NORMSDIST(S$9*SQRT($C$11)*NORMSINV($B618)+SQRT(1-S$9^2*$C$11)*NORMSINV(R618)))*(S$7-S$5)*(S$7-S$6))))</f>
        <v>0.800005611891879</v>
      </c>
      <c r="T618" s="2" t="n">
        <v>0.069611252</v>
      </c>
      <c r="U618" s="2" t="n">
        <f aca="false">IF(U$7=U$5,U$6,IF(NORMSDIST(U$9*SQRT($C$11)*NORMSINV($B618)+SQRT(1-U$9^2*$C$11)*NORMSINV(T618))&lt;U$8,U$5+SQRT(NORMSDIST(U$9*SQRT($C$11)*NORMSINV($B618)+SQRT(1-U$9^2*$C$11)*NORMSINV(T618))*(U$7-U$5)*(U$6-U$5)),U$7-SQRT((1-NORMSDIST(U$9*SQRT($C$11)*NORMSINV($B618)+SQRT(1-U$9^2*$C$11)*NORMSINV(T618)))*(U$7-U$5)*(U$7-U$6))))</f>
        <v>0.503688956764854</v>
      </c>
      <c r="V618" s="2" t="n">
        <v>0.291409504</v>
      </c>
      <c r="W618" s="2" t="n">
        <f aca="false">IF(W$7=W$5,W$6,IF(NORMSDIST(W$9*SQRT($C$11)*NORMSINV($B618)+SQRT(1-W$9^2*$C$11)*NORMSINV(V618))&lt;W$8,W$5+SQRT(NORMSDIST(W$9*SQRT($C$11)*NORMSINV($B618)+SQRT(1-W$9^2*$C$11)*NORMSINV(V618))*(W$7-W$5)*(W$6-W$5)),W$7-SQRT((1-NORMSDIST(W$9*SQRT($C$11)*NORMSINV($B618)+SQRT(1-W$9^2*$C$11)*NORMSINV(V618)))*(W$7-W$5)*(W$7-W$6))))</f>
        <v>10.6430916233323</v>
      </c>
      <c r="X618" s="2" t="n">
        <v>0.85384207</v>
      </c>
      <c r="Y618" s="2" t="n">
        <f aca="false">IF(Y$7=Y$5,Y$6,IF(NORMSDIST(Y$9*SQRT($C$11)*NORMSINV($B618)+SQRT(1-Y$9^2*$C$11)*NORMSINV(X618))&lt;Y$8,Y$5+SQRT(NORMSDIST(Y$9*SQRT($C$11)*NORMSINV($B618)+SQRT(1-Y$9^2*$C$11)*NORMSINV(X618))*(Y$7-Y$5)*(Y$6-Y$5)),Y$7-SQRT((1-NORMSDIST(Y$9*SQRT($C$11)*NORMSINV($B618)+SQRT(1-Y$9^2*$C$11)*NORMSINV(X618)))*(Y$7-Y$5)*(Y$7-Y$6))))</f>
        <v>0.729668786485911</v>
      </c>
      <c r="Z618" s="2" t="n">
        <v>0.58327984</v>
      </c>
      <c r="AA618" s="2" t="n">
        <f aca="false">IF(AA$7=AA$5,AA$6,IF(NORMSDIST(AA$9*SQRT($C$11)*NORMSINV($B618)+SQRT(1-AA$9^2*$C$11)*NORMSINV(Z618))&lt;AA$8,AA$5+SQRT(NORMSDIST(AA$9*SQRT($C$11)*NORMSINV($B618)+SQRT(1-AA$9^2*$C$11)*NORMSINV(Z618))*(AA$7-AA$5)*(AA$6-AA$5)),AA$7-SQRT((1-NORMSDIST(AA$9*SQRT($C$11)*NORMSINV($B618)+SQRT(1-AA$9^2*$C$11)*NORMSINV(Z618)))*(AA$7-AA$5)*(AA$7-AA$6))))</f>
        <v>0.742978691639807</v>
      </c>
      <c r="AB618" s="2" t="n">
        <v>0.527955601</v>
      </c>
      <c r="AC618" s="2" t="n">
        <f aca="false">IF(AC$7=AC$5,AC$6,IF(NORMSDIST(AC$9*SQRT($C$11)*NORMSINV($B618)+SQRT(1-AC$9^2*$C$11)*NORMSINV(AB618))&lt;AC$8,AC$5+SQRT(NORMSDIST(AC$9*SQRT($C$11)*NORMSINV($B618)+SQRT(1-AC$9^2*$C$11)*NORMSINV(AB618))*(AC$7-AC$5)*(AC$6-AC$5)),AC$7-SQRT((1-NORMSDIST(AC$9*SQRT($C$11)*NORMSINV($B618)+SQRT(1-AC$9^2*$C$11)*NORMSINV(AB618)))*(AC$7-AC$5)*(AC$7-AC$6))))</f>
        <v>10.3057029872661</v>
      </c>
      <c r="AD618" s="2" t="n">
        <f aca="false">Entrées!$C$8*(1+E618)</f>
        <v>7466.25185353962</v>
      </c>
      <c r="AE618" s="2" t="n">
        <f aca="false">I618*Hypothèses!$J$24/12/Hypothèses!$J$19</f>
        <v>103.805698341633</v>
      </c>
      <c r="AF618" s="2" t="n">
        <f aca="false">Entrées!$C$36*S618*1000</f>
        <v>400.00280594594</v>
      </c>
      <c r="AG618" s="2" t="n">
        <f aca="false">-AF618/W618</f>
        <v>-37.5833282379187</v>
      </c>
      <c r="AH618" s="2" t="n">
        <f aca="false">AD618+AE618+AG618</f>
        <v>7532.47422364334</v>
      </c>
      <c r="AI618" s="2" t="n">
        <f aca="false">Entrées!$C$16-M618+Hypothèses!$J$22*1000-AF618+Hypothèses!$J$23</f>
        <v>22480.2213985867</v>
      </c>
      <c r="AJ618" s="2" t="n">
        <f aca="false">AI618/AH618</f>
        <v>2.98444053456228</v>
      </c>
      <c r="AK618" s="2" t="n">
        <f aca="false">AI618/(AH618+I618*(12-Hypothèses!$J$24)/12/Hypothèses!$J$19)</f>
        <v>2.95534915598394</v>
      </c>
      <c r="AL618" s="2" t="n">
        <f aca="false">(AD618+AG618+I618/Hypothèses!$J$19)*(1+G618)</f>
        <v>8120.2954887273</v>
      </c>
      <c r="AM618" s="2" t="n">
        <f aca="false">Entrées!$C$54*K618/Hypothèses!$J$19</f>
        <v>46.9111399173233</v>
      </c>
      <c r="AN618" s="2" t="n">
        <f aca="false">Y618*1000/AC618</f>
        <v>70.8024272955956</v>
      </c>
      <c r="AO618" s="2" t="n">
        <f aca="false">(Entrées!$C$36*(1-S618)+MAX(0,Entrées!$C$30-Entrées!$C$35-Entrées!$C$36)*U618)*1000</f>
        <v>805.161733524857</v>
      </c>
      <c r="AP618" s="2" t="n">
        <f aca="false">-AO618/W618</f>
        <v>-75.6511136068531</v>
      </c>
      <c r="AQ618" s="2" t="n">
        <f aca="false">AL618+AM618+AN618+AP618</f>
        <v>8162.35794233337</v>
      </c>
      <c r="AR618" s="2" t="n">
        <f aca="false">O618*AQ618-Hypothèses!$J$25/Hypothèses!$J$19</f>
        <v>1487.9712239994</v>
      </c>
      <c r="AS618" s="2" t="n">
        <f aca="false">Entrées!$C$79*(1+Q618)+Hypothèses!$J$20</f>
        <v>1503.54783168589</v>
      </c>
      <c r="AT618" s="2" t="n">
        <f aca="false">AI618-AR618+AS618+Y618*1000-AO618+Hypothèses!$J$23</f>
        <v>22420.3050592343</v>
      </c>
      <c r="AU618" s="2" t="n">
        <f aca="false">AT618/AQ618</f>
        <v>2.74679268143256</v>
      </c>
      <c r="AV618" s="2" t="n">
        <f aca="false">Hypothèses!$J$26*AQ618-AT618</f>
        <v>2066.76876776585</v>
      </c>
      <c r="AW618" s="2" t="n">
        <f aca="false">IF(AC618&gt;Hypothèses!$J$26,MAX(0,AV618)/(1-Hypothèses!$J$26/AC618),0)</f>
        <v>2915.4627694389</v>
      </c>
      <c r="AX618" s="2" t="n">
        <f aca="false">AQ618-Entrées!$C$17*1000</f>
        <v>162.357942333369</v>
      </c>
      <c r="AY618" s="2" t="n">
        <f aca="false">AI618+(Entrées!$C$244-Entrées!$C$13)</f>
        <v>28227.2213985867</v>
      </c>
      <c r="AZ618" s="2" t="n">
        <f aca="false">AA618*AH618</f>
        <v>5596.4678434931</v>
      </c>
      <c r="BA618" s="2" t="n">
        <f aca="false">AZ618/AY618</f>
        <v>0.198264921809601</v>
      </c>
      <c r="BB618" s="2" t="n">
        <f aca="false">AZ618/(Entrées!$C$151/100)-AY618</f>
        <v>2864.26662081938</v>
      </c>
      <c r="BC618" s="2" t="n">
        <f aca="false">AT618+(Entrées!$C$244-Entrées!$C$13)</f>
        <v>28167.3050592343</v>
      </c>
      <c r="BD618" s="2" t="n">
        <f aca="false">AA618*AQ618</f>
        <v>6064.45802469063</v>
      </c>
      <c r="BE618" s="2" t="n">
        <f aca="false">BD618/BC618</f>
        <v>0.215301322293255</v>
      </c>
      <c r="BF618" s="2" t="n">
        <f aca="false">BD618/(Entrées!$C$151/100)-BC618</f>
        <v>5524.12841126926</v>
      </c>
      <c r="BG618" s="2" t="n">
        <f aca="false">MIN(AV618,BF618)</f>
        <v>2066.76876776585</v>
      </c>
      <c r="BH618" s="2" t="n">
        <f aca="false">IF(AC618&gt;Hypothèses!$J$26,MAX(0,BG618)/(1-Hypothèses!$J$26/AC618),0)</f>
        <v>2915.4627694389</v>
      </c>
    </row>
    <row r="619" customFormat="false" ht="15" hidden="false" customHeight="false" outlineLevel="0" collapsed="false">
      <c r="A619" s="2" t="n">
        <v>604</v>
      </c>
      <c r="B619" s="2" t="n">
        <v>0.841075651</v>
      </c>
      <c r="C619" s="2"/>
      <c r="D619" s="2" t="n">
        <v>0.134474102</v>
      </c>
      <c r="E619" s="2" t="n">
        <f aca="false">IF(E$7=E$5,E$6,IF(NORMSDIST(E$9*SQRT($C$11)*NORMSINV($B619)+SQRT(1-E$9^2*$C$11)*NORMSINV(D619))&lt;E$8,E$5+SQRT(NORMSDIST(E$9*SQRT($C$11)*NORMSINV($B619)+SQRT(1-E$9^2*$C$11)*NORMSINV(D619))*(E$7-E$5)*(E$6-E$5)),E$7-SQRT((1-NORMSDIST(E$9*SQRT($C$11)*NORMSINV($B619)+SQRT(1-E$9^2*$C$11)*NORMSINV(D619)))*(E$7-E$5)*(E$7-E$6))))</f>
        <v>0.0545341087492853</v>
      </c>
      <c r="F619" s="2" t="n">
        <v>0.697465438</v>
      </c>
      <c r="G619" s="2" t="n">
        <f aca="false">IF(G$7=G$5,G$6,IF(NORMSDIST(G$9*SQRT($C$11)*NORMSINV($B619)+SQRT(1-G$9^2*$C$11)*NORMSINV(F619))&lt;G$8,G$5+SQRT(NORMSDIST(G$9*SQRT($C$11)*NORMSINV($B619)+SQRT(1-G$9^2*$C$11)*NORMSINV(F619))*(G$7-G$5)*(G$6-G$5)),G$7-SQRT((1-NORMSDIST(G$9*SQRT($C$11)*NORMSINV($B619)+SQRT(1-G$9^2*$C$11)*NORMSINV(F619)))*(G$7-G$5)*(G$7-G$6))))</f>
        <v>0.0617578544322094</v>
      </c>
      <c r="H619" s="2" t="n">
        <v>0.942464666</v>
      </c>
      <c r="I619" s="2" t="n">
        <f aca="false">IF(I$7=I$5,I$6,IF(NORMSDIST(I$9*SQRT($C$11)*NORMSINV($B619)+SQRT(1-I$9^2*$C$11)*NORMSINV(H619))&lt;I$8,I$5+SQRT(NORMSDIST(I$9*SQRT($C$11)*NORMSINV($B619)+SQRT(1-I$9^2*$C$11)*NORMSINV(H619))*(I$7-I$5)*(I$6-I$5)),I$7-SQRT((1-NORMSDIST(I$9*SQRT($C$11)*NORMSINV($B619)+SQRT(1-I$9^2*$C$11)*NORMSINV(H619)))*(I$7-I$5)*(I$7-I$6))))</f>
        <v>214.941412738541</v>
      </c>
      <c r="J619" s="2" t="n">
        <v>0.570605972</v>
      </c>
      <c r="K619" s="2" t="n">
        <f aca="false">IF(K$7=K$5,K$6,IF(NORMSDIST(K$9*SQRT($C$11)*NORMSINV($B619)+SQRT(1-K$9^2*$C$11)*NORMSINV(J619))&lt;K$8,K$5+SQRT(NORMSDIST(K$9*SQRT($C$11)*NORMSINV($B619)+SQRT(1-K$9^2*$C$11)*NORMSINV(J619))*(K$7-K$5)*(K$6-K$5)),K$7-SQRT((1-NORMSDIST(K$9*SQRT($C$11)*NORMSINV($B619)+SQRT(1-K$9^2*$C$11)*NORMSINV(J619)))*(K$7-K$5)*(K$7-K$6))))</f>
        <v>0.333875605565429</v>
      </c>
      <c r="L619" s="2" t="n">
        <v>0.69830279</v>
      </c>
      <c r="M619" s="2" t="n">
        <f aca="false">IF(M$7=M$5,M$6,IF(NORMSDIST(M$9*SQRT($C$11)*NORMSINV($B619)+SQRT(1-M$9^2*$C$11)*NORMSINV(L619))&lt;M$8,M$5+SQRT(NORMSDIST(M$9*SQRT($C$11)*NORMSINV($B619)+SQRT(1-M$9^2*$C$11)*NORMSINV(L619))*(M$7-M$5)*(M$6-M$5)),M$7-SQRT((1-NORMSDIST(M$9*SQRT($C$11)*NORMSINV($B619)+SQRT(1-M$9^2*$C$11)*NORMSINV(L619)))*(M$7-M$5)*(M$7-M$6))))</f>
        <v>1682.43151514413</v>
      </c>
      <c r="N619" s="2" t="n">
        <v>0.42971055</v>
      </c>
      <c r="O619" s="2" t="n">
        <f aca="false">IF(O$7=O$5,O$6,IF(NORMSDIST(O$9*SQRT($C$11)*NORMSINV($B619)+SQRT(1-O$9^2*$C$11)*NORMSINV(N619))&lt;O$8,O$5+SQRT(NORMSDIST(O$9*SQRT($C$11)*NORMSINV($B619)+SQRT(1-O$9^2*$C$11)*NORMSINV(N619))*(O$7-O$5)*(O$6-O$5)),O$7-SQRT((1-NORMSDIST(O$9*SQRT($C$11)*NORMSINV($B619)+SQRT(1-O$9^2*$C$11)*NORMSINV(N619)))*(O$7-O$5)*(O$7-O$6))))</f>
        <v>0.171815107321294</v>
      </c>
      <c r="P619" s="2" t="n">
        <v>0.846004627</v>
      </c>
      <c r="Q619" s="2" t="n">
        <f aca="false">IF(Q$7=Q$5,Q$6,IF(NORMSDIST(Q$9*SQRT($C$11)*NORMSINV($B619)+SQRT(1-Q$9^2*$C$11)*NORMSINV(P619))&lt;Q$8,Q$5+SQRT(NORMSDIST(Q$9*SQRT($C$11)*NORMSINV($B619)+SQRT(1-Q$9^2*$C$11)*NORMSINV(P619))*(Q$7-Q$5)*(Q$6-Q$5)),Q$7-SQRT((1-NORMSDIST(Q$9*SQRT($C$11)*NORMSINV($B619)+SQRT(1-Q$9^2*$C$11)*NORMSINV(P619)))*(Q$7-Q$5)*(Q$7-Q$6))))</f>
        <v>0.0978012344126976</v>
      </c>
      <c r="R619" s="2" t="n">
        <v>0.260025178</v>
      </c>
      <c r="S619" s="2" t="n">
        <f aca="false">IF(S$7=S$5,S$6,IF(NORMSDIST(S$9*SQRT($C$11)*NORMSINV($B619)+SQRT(1-S$9^2*$C$11)*NORMSINV(R619))&lt;S$8,S$5+SQRT(NORMSDIST(S$9*SQRT($C$11)*NORMSINV($B619)+SQRT(1-S$9^2*$C$11)*NORMSINV(R619))*(S$7-S$5)*(S$6-S$5)),S$7-SQRT((1-NORMSDIST(S$9*SQRT($C$11)*NORMSINV($B619)+SQRT(1-S$9^2*$C$11)*NORMSINV(R619)))*(S$7-S$5)*(S$7-S$6))))</f>
        <v>0.527291266661455</v>
      </c>
      <c r="T619" s="2" t="n">
        <v>0.017052903</v>
      </c>
      <c r="U619" s="2" t="n">
        <f aca="false">IF(U$7=U$5,U$6,IF(NORMSDIST(U$9*SQRT($C$11)*NORMSINV($B619)+SQRT(1-U$9^2*$C$11)*NORMSINV(T619))&lt;U$8,U$5+SQRT(NORMSDIST(U$9*SQRT($C$11)*NORMSINV($B619)+SQRT(1-U$9^2*$C$11)*NORMSINV(T619))*(U$7-U$5)*(U$6-U$5)),U$7-SQRT((1-NORMSDIST(U$9*SQRT($C$11)*NORMSINV($B619)+SQRT(1-U$9^2*$C$11)*NORMSINV(T619)))*(U$7-U$5)*(U$7-U$6))))</f>
        <v>0.279618412967798</v>
      </c>
      <c r="V619" s="2" t="n">
        <v>0.704901535</v>
      </c>
      <c r="W619" s="2" t="n">
        <f aca="false">IF(W$7=W$5,W$6,IF(NORMSDIST(W$9*SQRT($C$11)*NORMSINV($B619)+SQRT(1-W$9^2*$C$11)*NORMSINV(V619))&lt;W$8,W$5+SQRT(NORMSDIST(W$9*SQRT($C$11)*NORMSINV($B619)+SQRT(1-W$9^2*$C$11)*NORMSINV(V619))*(W$7-W$5)*(W$6-W$5)),W$7-SQRT((1-NORMSDIST(W$9*SQRT($C$11)*NORMSINV($B619)+SQRT(1-W$9^2*$C$11)*NORMSINV(V619)))*(W$7-W$5)*(W$7-W$6))))</f>
        <v>10.9151616481187</v>
      </c>
      <c r="X619" s="2" t="n">
        <v>0.079903385</v>
      </c>
      <c r="Y619" s="2" t="n">
        <f aca="false">IF(Y$7=Y$5,Y$6,IF(NORMSDIST(Y$9*SQRT($C$11)*NORMSINV($B619)+SQRT(1-Y$9^2*$C$11)*NORMSINV(X619))&lt;Y$8,Y$5+SQRT(NORMSDIST(Y$9*SQRT($C$11)*NORMSINV($B619)+SQRT(1-Y$9^2*$C$11)*NORMSINV(X619))*(Y$7-Y$5)*(Y$6-Y$5)),Y$7-SQRT((1-NORMSDIST(Y$9*SQRT($C$11)*NORMSINV($B619)+SQRT(1-Y$9^2*$C$11)*NORMSINV(X619)))*(Y$7-Y$5)*(Y$7-Y$6))))</f>
        <v>0.199879194765238</v>
      </c>
      <c r="Z619" s="2" t="n">
        <v>0.809116525</v>
      </c>
      <c r="AA619" s="2" t="n">
        <f aca="false">IF(AA$7=AA$5,AA$6,IF(NORMSDIST(AA$9*SQRT($C$11)*NORMSINV($B619)+SQRT(1-AA$9^2*$C$11)*NORMSINV(Z619))&lt;AA$8,AA$5+SQRT(NORMSDIST(AA$9*SQRT($C$11)*NORMSINV($B619)+SQRT(1-AA$9^2*$C$11)*NORMSINV(Z619))*(AA$7-AA$5)*(AA$6-AA$5)),AA$7-SQRT((1-NORMSDIST(AA$9*SQRT($C$11)*NORMSINV($B619)+SQRT(1-AA$9^2*$C$11)*NORMSINV(Z619)))*(AA$7-AA$5)*(AA$7-AA$6))))</f>
        <v>0.742807596229272</v>
      </c>
      <c r="AB619" s="2" t="n">
        <v>0.218227278</v>
      </c>
      <c r="AC619" s="2" t="n">
        <f aca="false">IF(AC$7=AC$5,AC$6,IF(NORMSDIST(AC$9*SQRT($C$11)*NORMSINV($B619)+SQRT(1-AC$9^2*$C$11)*NORMSINV(AB619))&lt;AC$8,AC$5+SQRT(NORMSDIST(AC$9*SQRT($C$11)*NORMSINV($B619)+SQRT(1-AC$9^2*$C$11)*NORMSINV(AB619))*(AC$7-AC$5)*(AC$6-AC$5)),AC$7-SQRT((1-NORMSDIST(AC$9*SQRT($C$11)*NORMSINV($B619)+SQRT(1-AC$9^2*$C$11)*NORMSINV(AB619)))*(AC$7-AC$5)*(AC$7-AC$6))))</f>
        <v>9.50233862480685</v>
      </c>
      <c r="AD619" s="2" t="n">
        <f aca="false">Entrées!$C$8*(1+E619)</f>
        <v>7434.46546668246</v>
      </c>
      <c r="AE619" s="2" t="n">
        <f aca="false">I619*Hypothèses!$J$24/12/Hypothèses!$J$19</f>
        <v>106.631746912836</v>
      </c>
      <c r="AF619" s="2" t="n">
        <f aca="false">Entrées!$C$36*S619*1000</f>
        <v>263.645633330727</v>
      </c>
      <c r="AG619" s="2" t="n">
        <f aca="false">-AF619/W619</f>
        <v>-24.1540750224407</v>
      </c>
      <c r="AH619" s="2" t="n">
        <f aca="false">AD619+AE619+AG619</f>
        <v>7516.94313857286</v>
      </c>
      <c r="AI619" s="2" t="n">
        <f aca="false">Entrées!$C$16-M619+Hypothèses!$J$22*1000-AF619+Hypothèses!$J$23</f>
        <v>22601.9228515251</v>
      </c>
      <c r="AJ619" s="2" t="n">
        <f aca="false">AI619/AH619</f>
        <v>3.00679710287343</v>
      </c>
      <c r="AK619" s="2" t="n">
        <f aca="false">AI619/(AH619+I619*(12-Hypothèses!$J$24)/12/Hypothèses!$J$19)</f>
        <v>2.97663629319923</v>
      </c>
      <c r="AL619" s="2" t="n">
        <f aca="false">(AD619+AG619+I619/Hypothèses!$J$19)*(1+G619)</f>
        <v>8062.04277214041</v>
      </c>
      <c r="AM619" s="2" t="n">
        <f aca="false">Entrées!$C$54*K619/Hypothèses!$J$19</f>
        <v>34.0734074010299</v>
      </c>
      <c r="AN619" s="2" t="n">
        <f aca="false">Y619*1000/AC619</f>
        <v>21.0347370955012</v>
      </c>
      <c r="AO619" s="2" t="n">
        <f aca="false">(Entrées!$C$36*(1-S619)+MAX(0,Entrées!$C$30-Entrées!$C$35-Entrées!$C$36)*U619)*1000</f>
        <v>627.820144824189</v>
      </c>
      <c r="AP619" s="2" t="n">
        <f aca="false">-AO619/W619</f>
        <v>-57.5181719761701</v>
      </c>
      <c r="AQ619" s="2" t="n">
        <f aca="false">AL619+AM619+AN619+AP619</f>
        <v>8059.63274466077</v>
      </c>
      <c r="AR619" s="2" t="n">
        <f aca="false">O619*AQ619-Hypothèses!$J$25/Hypothèses!$J$19</f>
        <v>1365.63150273248</v>
      </c>
      <c r="AS619" s="2" t="n">
        <f aca="false">Entrées!$C$79*(1+Q619)+Hypothèses!$J$20</f>
        <v>1501.48355661955</v>
      </c>
      <c r="AT619" s="2" t="n">
        <f aca="false">AI619-AR619+AS619+Y619*1000-AO619+Hypothèses!$J$23</f>
        <v>22309.8339553533</v>
      </c>
      <c r="AU619" s="2" t="n">
        <f aca="false">AT619/AQ619</f>
        <v>2.76809560213929</v>
      </c>
      <c r="AV619" s="2" t="n">
        <f aca="false">Hypothèses!$J$26*AQ619-AT619</f>
        <v>1869.06427862905</v>
      </c>
      <c r="AW619" s="2" t="n">
        <f aca="false">IF(AC619&gt;Hypothèses!$J$26,MAX(0,AV619)/(1-Hypothèses!$J$26/AC619),0)</f>
        <v>2731.3990722209</v>
      </c>
      <c r="AX619" s="2" t="n">
        <f aca="false">AQ619-Entrées!$C$17*1000</f>
        <v>59.6327446607729</v>
      </c>
      <c r="AY619" s="2" t="n">
        <f aca="false">AI619+(Entrées!$C$244-Entrées!$C$13)</f>
        <v>28348.9228515251</v>
      </c>
      <c r="AZ619" s="2" t="n">
        <f aca="false">AA619*AH619</f>
        <v>5583.64246375542</v>
      </c>
      <c r="BA619" s="2" t="n">
        <f aca="false">AZ619/AY619</f>
        <v>0.196961362271125</v>
      </c>
      <c r="BB619" s="2" t="n">
        <f aca="false">AZ619/(Entrées!$C$151/100)-AY619</f>
        <v>2671.3130582272</v>
      </c>
      <c r="BC619" s="2" t="n">
        <f aca="false">AT619+(Entrées!$C$244-Entrées!$C$13)</f>
        <v>28056.8339553533</v>
      </c>
      <c r="BD619" s="2" t="n">
        <f aca="false">AA619*AQ619</f>
        <v>5986.7564255522</v>
      </c>
      <c r="BE619" s="2" t="n">
        <f aca="false">BD619/BC619</f>
        <v>0.213379614930141</v>
      </c>
      <c r="BF619" s="2" t="n">
        <f aca="false">BD619/(Entrées!$C$151/100)-BC619</f>
        <v>5202.92396438116</v>
      </c>
      <c r="BG619" s="2" t="n">
        <f aca="false">MIN(AV619,BF619)</f>
        <v>1869.06427862905</v>
      </c>
      <c r="BH619" s="2" t="n">
        <f aca="false">IF(AC619&gt;Hypothèses!$J$26,MAX(0,BG619)/(1-Hypothèses!$J$26/AC619),0)</f>
        <v>2731.3990722209</v>
      </c>
    </row>
    <row r="620" customFormat="false" ht="15" hidden="false" customHeight="false" outlineLevel="0" collapsed="false">
      <c r="A620" s="2" t="n">
        <v>605</v>
      </c>
      <c r="B620" s="2" t="n">
        <v>0.183615671</v>
      </c>
      <c r="C620" s="2"/>
      <c r="D620" s="2" t="n">
        <v>0.692552566</v>
      </c>
      <c r="E620" s="2" t="n">
        <f aca="false">IF(E$7=E$5,E$6,IF(NORMSDIST(E$9*SQRT($C$11)*NORMSINV($B620)+SQRT(1-E$9^2*$C$11)*NORMSINV(D620))&lt;E$8,E$5+SQRT(NORMSDIST(E$9*SQRT($C$11)*NORMSINV($B620)+SQRT(1-E$9^2*$C$11)*NORMSINV(D620))*(E$7-E$5)*(E$6-E$5)),E$7-SQRT((1-NORMSDIST(E$9*SQRT($C$11)*NORMSINV($B620)+SQRT(1-E$9^2*$C$11)*NORMSINV(D620)))*(E$7-E$5)*(E$7-E$6))))</f>
        <v>0.0546279212463031</v>
      </c>
      <c r="F620" s="2" t="n">
        <v>0.523904342</v>
      </c>
      <c r="G620" s="2" t="n">
        <f aca="false">IF(G$7=G$5,G$6,IF(NORMSDIST(G$9*SQRT($C$11)*NORMSINV($B620)+SQRT(1-G$9^2*$C$11)*NORMSINV(F620))&lt;G$8,G$5+SQRT(NORMSDIST(G$9*SQRT($C$11)*NORMSINV($B620)+SQRT(1-G$9^2*$C$11)*NORMSINV(F620))*(G$7-G$5)*(G$6-G$5)),G$7-SQRT((1-NORMSDIST(G$9*SQRT($C$11)*NORMSINV($B620)+SQRT(1-G$9^2*$C$11)*NORMSINV(F620)))*(G$7-G$5)*(G$7-G$6))))</f>
        <v>0.0516228175496137</v>
      </c>
      <c r="H620" s="2" t="n">
        <v>0.721219974</v>
      </c>
      <c r="I620" s="2" t="n">
        <f aca="false">IF(I$7=I$5,I$6,IF(NORMSDIST(I$9*SQRT($C$11)*NORMSINV($B620)+SQRT(1-I$9^2*$C$11)*NORMSINV(H620))&lt;I$8,I$5+SQRT(NORMSDIST(I$9*SQRT($C$11)*NORMSINV($B620)+SQRT(1-I$9^2*$C$11)*NORMSINV(H620))*(I$7-I$5)*(I$6-I$5)),I$7-SQRT((1-NORMSDIST(I$9*SQRT($C$11)*NORMSINV($B620)+SQRT(1-I$9^2*$C$11)*NORMSINV(H620)))*(I$7-I$5)*(I$7-I$6))))</f>
        <v>199.054244338459</v>
      </c>
      <c r="J620" s="2" t="n">
        <v>0.793030531</v>
      </c>
      <c r="K620" s="2" t="n">
        <f aca="false">IF(K$7=K$5,K$6,IF(NORMSDIST(K$9*SQRT($C$11)*NORMSINV($B620)+SQRT(1-K$9^2*$C$11)*NORMSINV(J620))&lt;K$8,K$5+SQRT(NORMSDIST(K$9*SQRT($C$11)*NORMSINV($B620)+SQRT(1-K$9^2*$C$11)*NORMSINV(J620))*(K$7-K$5)*(K$6-K$5)),K$7-SQRT((1-NORMSDIST(K$9*SQRT($C$11)*NORMSINV($B620)+SQRT(1-K$9^2*$C$11)*NORMSINV(J620)))*(K$7-K$5)*(K$7-K$6))))</f>
        <v>0.256315564535172</v>
      </c>
      <c r="L620" s="2" t="n">
        <v>0.437357608</v>
      </c>
      <c r="M620" s="2" t="n">
        <f aca="false">IF(M$7=M$5,M$6,IF(NORMSDIST(M$9*SQRT($C$11)*NORMSINV($B620)+SQRT(1-M$9^2*$C$11)*NORMSINV(L620))&lt;M$8,M$5+SQRT(NORMSDIST(M$9*SQRT($C$11)*NORMSINV($B620)+SQRT(1-M$9^2*$C$11)*NORMSINV(L620))*(M$7-M$5)*(M$6-M$5)),M$7-SQRT((1-NORMSDIST(M$9*SQRT($C$11)*NORMSINV($B620)+SQRT(1-M$9^2*$C$11)*NORMSINV(L620)))*(M$7-M$5)*(M$7-M$6))))</f>
        <v>1500.44086027994</v>
      </c>
      <c r="N620" s="2" t="n">
        <v>0.814420589</v>
      </c>
      <c r="O620" s="2" t="n">
        <f aca="false">IF(O$7=O$5,O$6,IF(NORMSDIST(O$9*SQRT($C$11)*NORMSINV($B620)+SQRT(1-O$9^2*$C$11)*NORMSINV(N620))&lt;O$8,O$5+SQRT(NORMSDIST(O$9*SQRT($C$11)*NORMSINV($B620)+SQRT(1-O$9^2*$C$11)*NORMSINV(N620))*(O$7-O$5)*(O$6-O$5)),O$7-SQRT((1-NORMSDIST(O$9*SQRT($C$11)*NORMSINV($B620)+SQRT(1-O$9^2*$C$11)*NORMSINV(N620)))*(O$7-O$5)*(O$7-O$6))))</f>
        <v>0.168059412804557</v>
      </c>
      <c r="P620" s="2" t="n">
        <v>0.155167501</v>
      </c>
      <c r="Q620" s="2" t="n">
        <f aca="false">IF(Q$7=Q$5,Q$6,IF(NORMSDIST(Q$9*SQRT($C$11)*NORMSINV($B620)+SQRT(1-Q$9^2*$C$11)*NORMSINV(P620))&lt;Q$8,Q$5+SQRT(NORMSDIST(Q$9*SQRT($C$11)*NORMSINV($B620)+SQRT(1-Q$9^2*$C$11)*NORMSINV(P620))*(Q$7-Q$5)*(Q$6-Q$5)),Q$7-SQRT((1-NORMSDIST(Q$9*SQRT($C$11)*NORMSINV($B620)+SQRT(1-Q$9^2*$C$11)*NORMSINV(P620)))*(Q$7-Q$5)*(Q$7-Q$6))))</f>
        <v>0.0622830878291138</v>
      </c>
      <c r="R620" s="2" t="n">
        <v>0.262462698</v>
      </c>
      <c r="S620" s="2" t="n">
        <f aca="false">IF(S$7=S$5,S$6,IF(NORMSDIST(S$9*SQRT($C$11)*NORMSINV($B620)+SQRT(1-S$9^2*$C$11)*NORMSINV(R620))&lt;S$8,S$5+SQRT(NORMSDIST(S$9*SQRT($C$11)*NORMSINV($B620)+SQRT(1-S$9^2*$C$11)*NORMSINV(R620))*(S$7-S$5)*(S$6-S$5)),S$7-SQRT((1-NORMSDIST(S$9*SQRT($C$11)*NORMSINV($B620)+SQRT(1-S$9^2*$C$11)*NORMSINV(R620)))*(S$7-S$5)*(S$7-S$6))))</f>
        <v>0.26828285396888</v>
      </c>
      <c r="T620" s="2" t="n">
        <v>0.403181061</v>
      </c>
      <c r="U620" s="2" t="n">
        <f aca="false">IF(U$7=U$5,U$6,IF(NORMSDIST(U$9*SQRT($C$11)*NORMSINV($B620)+SQRT(1-U$9^2*$C$11)*NORMSINV(T620))&lt;U$8,U$5+SQRT(NORMSDIST(U$9*SQRT($C$11)*NORMSINV($B620)+SQRT(1-U$9^2*$C$11)*NORMSINV(T620))*(U$7-U$5)*(U$6-U$5)),U$7-SQRT((1-NORMSDIST(U$9*SQRT($C$11)*NORMSINV($B620)+SQRT(1-U$9^2*$C$11)*NORMSINV(T620)))*(U$7-U$5)*(U$7-U$6))))</f>
        <v>0.334354701134066</v>
      </c>
      <c r="V620" s="2" t="n">
        <v>0.173530919</v>
      </c>
      <c r="W620" s="2" t="n">
        <f aca="false">IF(W$7=W$5,W$6,IF(NORMSDIST(W$9*SQRT($C$11)*NORMSINV($B620)+SQRT(1-W$9^2*$C$11)*NORMSINV(V620))&lt;W$8,W$5+SQRT(NORMSDIST(W$9*SQRT($C$11)*NORMSINV($B620)+SQRT(1-W$9^2*$C$11)*NORMSINV(V620))*(W$7-W$5)*(W$6-W$5)),W$7-SQRT((1-NORMSDIST(W$9*SQRT($C$11)*NORMSINV($B620)+SQRT(1-W$9^2*$C$11)*NORMSINV(V620)))*(W$7-W$5)*(W$7-W$6))))</f>
        <v>8.88107492010002</v>
      </c>
      <c r="X620" s="2" t="n">
        <v>0.4634154</v>
      </c>
      <c r="Y620" s="2" t="n">
        <f aca="false">IF(Y$7=Y$5,Y$6,IF(NORMSDIST(Y$9*SQRT($C$11)*NORMSINV($B620)+SQRT(1-Y$9^2*$C$11)*NORMSINV(X620))&lt;Y$8,Y$5+SQRT(NORMSDIST(Y$9*SQRT($C$11)*NORMSINV($B620)+SQRT(1-Y$9^2*$C$11)*NORMSINV(X620))*(Y$7-Y$5)*(Y$6-Y$5)),Y$7-SQRT((1-NORMSDIST(Y$9*SQRT($C$11)*NORMSINV($B620)+SQRT(1-Y$9^2*$C$11)*NORMSINV(X620)))*(Y$7-Y$5)*(Y$7-Y$6))))</f>
        <v>0.481360260096323</v>
      </c>
      <c r="Z620" s="2" t="n">
        <v>0.56734523</v>
      </c>
      <c r="AA620" s="2" t="n">
        <f aca="false">IF(AA$7=AA$5,AA$6,IF(NORMSDIST(AA$9*SQRT($C$11)*NORMSINV($B620)+SQRT(1-AA$9^2*$C$11)*NORMSINV(Z620))&lt;AA$8,AA$5+SQRT(NORMSDIST(AA$9*SQRT($C$11)*NORMSINV($B620)+SQRT(1-AA$9^2*$C$11)*NORMSINV(Z620))*(AA$7-AA$5)*(AA$6-AA$5)),AA$7-SQRT((1-NORMSDIST(AA$9*SQRT($C$11)*NORMSINV($B620)+SQRT(1-AA$9^2*$C$11)*NORMSINV(Z620)))*(AA$7-AA$5)*(AA$7-AA$6))))</f>
        <v>0.721926002423348</v>
      </c>
      <c r="AB620" s="2" t="n">
        <v>0.723621724</v>
      </c>
      <c r="AC620" s="2" t="n">
        <f aca="false">IF(AC$7=AC$5,AC$6,IF(NORMSDIST(AC$9*SQRT($C$11)*NORMSINV($B620)+SQRT(1-AC$9^2*$C$11)*NORMSINV(AB620))&lt;AC$8,AC$5+SQRT(NORMSDIST(AC$9*SQRT($C$11)*NORMSINV($B620)+SQRT(1-AC$9^2*$C$11)*NORMSINV(AB620))*(AC$7-AC$5)*(AC$6-AC$5)),AC$7-SQRT((1-NORMSDIST(AC$9*SQRT($C$11)*NORMSINV($B620)+SQRT(1-AC$9^2*$C$11)*NORMSINV(AB620)))*(AC$7-AC$5)*(AC$7-AC$6))))</f>
        <v>9.38496892805496</v>
      </c>
      <c r="AD620" s="2" t="n">
        <f aca="false">Entrées!$C$8*(1+E620)</f>
        <v>7435.12684478644</v>
      </c>
      <c r="AE620" s="2" t="n">
        <f aca="false">I620*Hypothèses!$J$24/12/Hypothèses!$J$19</f>
        <v>98.7501735184156</v>
      </c>
      <c r="AF620" s="2" t="n">
        <f aca="false">Entrées!$C$36*S620*1000</f>
        <v>134.14142698444</v>
      </c>
      <c r="AG620" s="2" t="n">
        <f aca="false">-AF620/W620</f>
        <v>-15.1041881969541</v>
      </c>
      <c r="AH620" s="2" t="n">
        <f aca="false">AD620+AE620+AG620</f>
        <v>7518.7728301079</v>
      </c>
      <c r="AI620" s="2" t="n">
        <f aca="false">Entrées!$C$16-M620+Hypothèses!$J$22*1000-AF620+Hypothèses!$J$23</f>
        <v>22913.4177127356</v>
      </c>
      <c r="AJ620" s="2" t="n">
        <f aca="false">AI620/AH620</f>
        <v>3.04749434920842</v>
      </c>
      <c r="AK620" s="2" t="n">
        <f aca="false">AI620/(AH620+I620*(12-Hypothèses!$J$24)/12/Hypothèses!$J$19)</f>
        <v>3.01917061409515</v>
      </c>
      <c r="AL620" s="2" t="n">
        <f aca="false">(AD620+AG620+I620/Hypothèses!$J$19)*(1+G620)</f>
        <v>7981.09016504852</v>
      </c>
      <c r="AM620" s="2" t="n">
        <f aca="false">Entrées!$C$54*K620/Hypothèses!$J$19</f>
        <v>26.1580795603241</v>
      </c>
      <c r="AN620" s="2" t="n">
        <f aca="false">Y620*1000/AC620</f>
        <v>51.2905544798735</v>
      </c>
      <c r="AO620" s="2" t="n">
        <f aca="false">(Entrées!$C$36*(1-S620)+MAX(0,Entrées!$C$30-Entrées!$C$35-Entrées!$C$36)*U620)*1000</f>
        <v>833.955154603253</v>
      </c>
      <c r="AP620" s="2" t="n">
        <f aca="false">-AO620/W620</f>
        <v>-93.9025019050127</v>
      </c>
      <c r="AQ620" s="2" t="n">
        <f aca="false">AL620+AM620+AN620+AP620</f>
        <v>7964.6362971837</v>
      </c>
      <c r="AR620" s="2" t="n">
        <f aca="false">O620*AQ620-Hypothèses!$J$25/Hypothèses!$J$19</f>
        <v>1319.39693704493</v>
      </c>
      <c r="AS620" s="2" t="n">
        <f aca="false">Entrées!$C$79*(1+Q620)+Hypothèses!$J$20</f>
        <v>1462.4491135242</v>
      </c>
      <c r="AT620" s="2" t="n">
        <f aca="false">AI620-AR620+AS620+Y620*1000-AO620+Hypothèses!$J$23</f>
        <v>22703.874994708</v>
      </c>
      <c r="AU620" s="2" t="n">
        <f aca="false">AT620/AQ620</f>
        <v>2.8505852806783</v>
      </c>
      <c r="AV620" s="2" t="n">
        <f aca="false">Hypothèses!$J$26*AQ620-AT620</f>
        <v>1190.03389684315</v>
      </c>
      <c r="AW620" s="2" t="n">
        <f aca="false">IF(AC620&gt;Hypothèses!$J$26,MAX(0,AV620)/(1-Hypothèses!$J$26/AC620),0)</f>
        <v>1749.17548872197</v>
      </c>
      <c r="AX620" s="2" t="n">
        <f aca="false">AQ620-Entrées!$C$17*1000</f>
        <v>-35.3637028162984</v>
      </c>
      <c r="AY620" s="2" t="n">
        <f aca="false">AI620+(Entrées!$C$244-Entrées!$C$13)</f>
        <v>28660.4177127356</v>
      </c>
      <c r="AZ620" s="2" t="n">
        <f aca="false">AA620*AH620</f>
        <v>5427.99761236908</v>
      </c>
      <c r="BA620" s="2" t="n">
        <f aca="false">AZ620/AY620</f>
        <v>0.189390038441662</v>
      </c>
      <c r="BB620" s="2" t="n">
        <f aca="false">AZ620/(Entrées!$C$151/100)-AY620</f>
        <v>1495.12457820371</v>
      </c>
      <c r="BC620" s="2" t="n">
        <f aca="false">AT620+(Entrées!$C$244-Entrées!$C$13)</f>
        <v>28450.874994708</v>
      </c>
      <c r="BD620" s="2" t="n">
        <f aca="false">AA620*AQ620</f>
        <v>5749.87804278173</v>
      </c>
      <c r="BE620" s="2" t="n">
        <f aca="false">BD620/BC620</f>
        <v>0.202098460727526</v>
      </c>
      <c r="BF620" s="2" t="n">
        <f aca="false">BD620/(Entrées!$C$151/100)-BC620</f>
        <v>3492.89190963497</v>
      </c>
      <c r="BG620" s="2" t="n">
        <f aca="false">MIN(AV620,BF620)</f>
        <v>1190.03389684315</v>
      </c>
      <c r="BH620" s="2" t="n">
        <f aca="false">IF(AC620&gt;Hypothèses!$J$26,MAX(0,BG620)/(1-Hypothèses!$J$26/AC620),0)</f>
        <v>1749.17548872197</v>
      </c>
    </row>
    <row r="621" customFormat="false" ht="15" hidden="false" customHeight="false" outlineLevel="0" collapsed="false">
      <c r="A621" s="2" t="n">
        <v>606</v>
      </c>
      <c r="B621" s="2" t="n">
        <v>0.791617577</v>
      </c>
      <c r="C621" s="2"/>
      <c r="D621" s="2" t="n">
        <v>0.258926691</v>
      </c>
      <c r="E621" s="2" t="n">
        <f aca="false">IF(E$7=E$5,E$6,IF(NORMSDIST(E$9*SQRT($C$11)*NORMSINV($B621)+SQRT(1-E$9^2*$C$11)*NORMSINV(D621))&lt;E$8,E$5+SQRT(NORMSDIST(E$9*SQRT($C$11)*NORMSINV($B621)+SQRT(1-E$9^2*$C$11)*NORMSINV(D621))*(E$7-E$5)*(E$6-E$5)),E$7-SQRT((1-NORMSDIST(E$9*SQRT($C$11)*NORMSINV($B621)+SQRT(1-E$9^2*$C$11)*NORMSINV(D621)))*(E$7-E$5)*(E$7-E$6))))</f>
        <v>0.0550253653140086</v>
      </c>
      <c r="F621" s="2" t="n">
        <v>0.641048775</v>
      </c>
      <c r="G621" s="2" t="n">
        <f aca="false">IF(G$7=G$5,G$6,IF(NORMSDIST(G$9*SQRT($C$11)*NORMSINV($B621)+SQRT(1-G$9^2*$C$11)*NORMSINV(F621))&lt;G$8,G$5+SQRT(NORMSDIST(G$9*SQRT($C$11)*NORMSINV($B621)+SQRT(1-G$9^2*$C$11)*NORMSINV(F621))*(G$7-G$5)*(G$6-G$5)),G$7-SQRT((1-NORMSDIST(G$9*SQRT($C$11)*NORMSINV($B621)+SQRT(1-G$9^2*$C$11)*NORMSINV(F621)))*(G$7-G$5)*(G$7-G$6))))</f>
        <v>0.0601920765943386</v>
      </c>
      <c r="H621" s="2" t="n">
        <v>0.907053207</v>
      </c>
      <c r="I621" s="2" t="n">
        <f aca="false">IF(I$7=I$5,I$6,IF(NORMSDIST(I$9*SQRT($C$11)*NORMSINV($B621)+SQRT(1-I$9^2*$C$11)*NORMSINV(H621))&lt;I$8,I$5+SQRT(NORMSDIST(I$9*SQRT($C$11)*NORMSINV($B621)+SQRT(1-I$9^2*$C$11)*NORMSINV(H621))*(I$7-I$5)*(I$6-I$5)),I$7-SQRT((1-NORMSDIST(I$9*SQRT($C$11)*NORMSINV($B621)+SQRT(1-I$9^2*$C$11)*NORMSINV(H621)))*(I$7-I$5)*(I$7-I$6))))</f>
        <v>212.957553583333</v>
      </c>
      <c r="J621" s="2" t="n">
        <v>0.8357867</v>
      </c>
      <c r="K621" s="2" t="n">
        <f aca="false">IF(K$7=K$5,K$6,IF(NORMSDIST(K$9*SQRT($C$11)*NORMSINV($B621)+SQRT(1-K$9^2*$C$11)*NORMSINV(J621))&lt;K$8,K$5+SQRT(NORMSDIST(K$9*SQRT($C$11)*NORMSINV($B621)+SQRT(1-K$9^2*$C$11)*NORMSINV(J621))*(K$7-K$5)*(K$6-K$5)),K$7-SQRT((1-NORMSDIST(K$9*SQRT($C$11)*NORMSINV($B621)+SQRT(1-K$9^2*$C$11)*NORMSINV(J621)))*(K$7-K$5)*(K$7-K$6))))</f>
        <v>0.387118574401327</v>
      </c>
      <c r="L621" s="2" t="n">
        <v>0.969480488</v>
      </c>
      <c r="M621" s="2" t="n">
        <f aca="false">IF(M$7=M$5,M$6,IF(NORMSDIST(M$9*SQRT($C$11)*NORMSINV($B621)+SQRT(1-M$9^2*$C$11)*NORMSINV(L621))&lt;M$8,M$5+SQRT(NORMSDIST(M$9*SQRT($C$11)*NORMSINV($B621)+SQRT(1-M$9^2*$C$11)*NORMSINV(L621))*(M$7-M$5)*(M$6-M$5)),M$7-SQRT((1-NORMSDIST(M$9*SQRT($C$11)*NORMSINV($B621)+SQRT(1-M$9^2*$C$11)*NORMSINV(L621)))*(M$7-M$5)*(M$7-M$6))))</f>
        <v>1747.5276310914</v>
      </c>
      <c r="N621" s="2" t="n">
        <v>0.85633975</v>
      </c>
      <c r="O621" s="2" t="n">
        <f aca="false">IF(O$7=O$5,O$6,IF(NORMSDIST(O$9*SQRT($C$11)*NORMSINV($B621)+SQRT(1-O$9^2*$C$11)*NORMSINV(N621))&lt;O$8,O$5+SQRT(NORMSDIST(O$9*SQRT($C$11)*NORMSINV($B621)+SQRT(1-O$9^2*$C$11)*NORMSINV(N621))*(O$7-O$5)*(O$6-O$5)),O$7-SQRT((1-NORMSDIST(O$9*SQRT($C$11)*NORMSINV($B621)+SQRT(1-O$9^2*$C$11)*NORMSINV(N621)))*(O$7-O$5)*(O$7-O$6))))</f>
        <v>0.180182463234582</v>
      </c>
      <c r="P621" s="2" t="n">
        <v>0.378455397</v>
      </c>
      <c r="Q621" s="2" t="n">
        <f aca="false">IF(Q$7=Q$5,Q$6,IF(NORMSDIST(Q$9*SQRT($C$11)*NORMSINV($B621)+SQRT(1-Q$9^2*$C$11)*NORMSINV(P621))&lt;Q$8,Q$5+SQRT(NORMSDIST(Q$9*SQRT($C$11)*NORMSINV($B621)+SQRT(1-Q$9^2*$C$11)*NORMSINV(P621))*(Q$7-Q$5)*(Q$6-Q$5)),Q$7-SQRT((1-NORMSDIST(Q$9*SQRT($C$11)*NORMSINV($B621)+SQRT(1-Q$9^2*$C$11)*NORMSINV(P621)))*(Q$7-Q$5)*(Q$7-Q$6))))</f>
        <v>0.0748002481370464</v>
      </c>
      <c r="R621" s="2" t="n">
        <v>0.803764351</v>
      </c>
      <c r="S621" s="2" t="n">
        <f aca="false">IF(S$7=S$5,S$6,IF(NORMSDIST(S$9*SQRT($C$11)*NORMSINV($B621)+SQRT(1-S$9^2*$C$11)*NORMSINV(R621))&lt;S$8,S$5+SQRT(NORMSDIST(S$9*SQRT($C$11)*NORMSINV($B621)+SQRT(1-S$9^2*$C$11)*NORMSINV(R621))*(S$7-S$5)*(S$6-S$5)),S$7-SQRT((1-NORMSDIST(S$9*SQRT($C$11)*NORMSINV($B621)+SQRT(1-S$9^2*$C$11)*NORMSINV(R621)))*(S$7-S$5)*(S$7-S$6))))</f>
        <v>0.755252810745991</v>
      </c>
      <c r="T621" s="2" t="n">
        <v>0.495520364</v>
      </c>
      <c r="U621" s="2" t="n">
        <f aca="false">IF(U$7=U$5,U$6,IF(NORMSDIST(U$9*SQRT($C$11)*NORMSINV($B621)+SQRT(1-U$9^2*$C$11)*NORMSINV(T621))&lt;U$8,U$5+SQRT(NORMSDIST(U$9*SQRT($C$11)*NORMSINV($B621)+SQRT(1-U$9^2*$C$11)*NORMSINV(T621))*(U$7-U$5)*(U$6-U$5)),U$7-SQRT((1-NORMSDIST(U$9*SQRT($C$11)*NORMSINV($B621)+SQRT(1-U$9^2*$C$11)*NORMSINV(T621)))*(U$7-U$5)*(U$7-U$6))))</f>
        <v>0.608324340154511</v>
      </c>
      <c r="V621" s="2" t="n">
        <v>0.550862974</v>
      </c>
      <c r="W621" s="2" t="n">
        <f aca="false">IF(W$7=W$5,W$6,IF(NORMSDIST(W$9*SQRT($C$11)*NORMSINV($B621)+SQRT(1-W$9^2*$C$11)*NORMSINV(V621))&lt;W$8,W$5+SQRT(NORMSDIST(W$9*SQRT($C$11)*NORMSINV($B621)+SQRT(1-W$9^2*$C$11)*NORMSINV(V621))*(W$7-W$5)*(W$6-W$5)),W$7-SQRT((1-NORMSDIST(W$9*SQRT($C$11)*NORMSINV($B621)+SQRT(1-W$9^2*$C$11)*NORMSINV(V621)))*(W$7-W$5)*(W$7-W$6))))</f>
        <v>10.5301229094025</v>
      </c>
      <c r="X621" s="2" t="n">
        <v>0.233881168</v>
      </c>
      <c r="Y621" s="2" t="n">
        <f aca="false">IF(Y$7=Y$5,Y$6,IF(NORMSDIST(Y$9*SQRT($C$11)*NORMSINV($B621)+SQRT(1-Y$9^2*$C$11)*NORMSINV(X621))&lt;Y$8,Y$5+SQRT(NORMSDIST(Y$9*SQRT($C$11)*NORMSINV($B621)+SQRT(1-Y$9^2*$C$11)*NORMSINV(X621))*(Y$7-Y$5)*(Y$6-Y$5)),Y$7-SQRT((1-NORMSDIST(Y$9*SQRT($C$11)*NORMSINV($B621)+SQRT(1-Y$9^2*$C$11)*NORMSINV(X621)))*(Y$7-Y$5)*(Y$7-Y$6))))</f>
        <v>0.341965764368306</v>
      </c>
      <c r="Z621" s="2" t="n">
        <v>0.176076508</v>
      </c>
      <c r="AA621" s="2" t="n">
        <f aca="false">IF(AA$7=AA$5,AA$6,IF(NORMSDIST(AA$9*SQRT($C$11)*NORMSINV($B621)+SQRT(1-AA$9^2*$C$11)*NORMSINV(Z621))&lt;AA$8,AA$5+SQRT(NORMSDIST(AA$9*SQRT($C$11)*NORMSINV($B621)+SQRT(1-AA$9^2*$C$11)*NORMSINV(Z621))*(AA$7-AA$5)*(AA$6-AA$5)),AA$7-SQRT((1-NORMSDIST(AA$9*SQRT($C$11)*NORMSINV($B621)+SQRT(1-AA$9^2*$C$11)*NORMSINV(Z621)))*(AA$7-AA$5)*(AA$7-AA$6))))</f>
        <v>0.725245749465924</v>
      </c>
      <c r="AB621" s="2" t="n">
        <v>0.718283589</v>
      </c>
      <c r="AC621" s="2" t="n">
        <f aca="false">IF(AC$7=AC$5,AC$6,IF(NORMSDIST(AC$9*SQRT($C$11)*NORMSINV($B621)+SQRT(1-AC$9^2*$C$11)*NORMSINV(AB621))&lt;AC$8,AC$5+SQRT(NORMSDIST(AC$9*SQRT($C$11)*NORMSINV($B621)+SQRT(1-AC$9^2*$C$11)*NORMSINV(AB621))*(AC$7-AC$5)*(AC$6-AC$5)),AC$7-SQRT((1-NORMSDIST(AC$9*SQRT($C$11)*NORMSINV($B621)+SQRT(1-AC$9^2*$C$11)*NORMSINV(AB621)))*(AC$7-AC$5)*(AC$7-AC$6))))</f>
        <v>10.1474527864086</v>
      </c>
      <c r="AD621" s="2" t="n">
        <f aca="false">Entrées!$C$8*(1+E621)</f>
        <v>7437.92882546376</v>
      </c>
      <c r="AE621" s="2" t="n">
        <f aca="false">I621*Hypothèses!$J$24/12/Hypothèses!$J$19</f>
        <v>105.647560735525</v>
      </c>
      <c r="AF621" s="2" t="n">
        <f aca="false">Entrées!$C$36*S621*1000</f>
        <v>377.626405372995</v>
      </c>
      <c r="AG621" s="2" t="n">
        <f aca="false">-AF621/W621</f>
        <v>-35.8615382386285</v>
      </c>
      <c r="AH621" s="2" t="n">
        <f aca="false">AD621+AE621+AG621</f>
        <v>7507.71484796066</v>
      </c>
      <c r="AI621" s="2" t="n">
        <f aca="false">Entrées!$C$16-M621+Hypothèses!$J$22*1000-AF621+Hypothèses!$J$23</f>
        <v>22422.8459635356</v>
      </c>
      <c r="AJ621" s="2" t="n">
        <f aca="false">AI621/AH621</f>
        <v>2.98664059805447</v>
      </c>
      <c r="AK621" s="2" t="n">
        <f aca="false">AI621/(AH621+I621*(12-Hypothèses!$J$24)/12/Hypothèses!$J$19)</f>
        <v>2.95691961381955</v>
      </c>
      <c r="AL621" s="2" t="n">
        <f aca="false">(AD621+AG621+I621/Hypothèses!$J$19)*(1+G621)</f>
        <v>8039.62458571136</v>
      </c>
      <c r="AM621" s="2" t="n">
        <f aca="false">Entrées!$C$54*K621/Hypothèses!$J$19</f>
        <v>39.5070759235131</v>
      </c>
      <c r="AN621" s="2" t="n">
        <f aca="false">Y621*1000/AC621</f>
        <v>33.6996654792356</v>
      </c>
      <c r="AO621" s="2" t="n">
        <f aca="false">(Entrées!$C$36*(1-S621)+MAX(0,Entrées!$C$30-Entrées!$C$35-Entrées!$C$36)*U621)*1000</f>
        <v>974.02767084332</v>
      </c>
      <c r="AP621" s="2" t="n">
        <f aca="false">-AO621/W621</f>
        <v>-92.4991739624991</v>
      </c>
      <c r="AQ621" s="2" t="n">
        <f aca="false">AL621+AM621+AN621+AP621</f>
        <v>8020.33215315161</v>
      </c>
      <c r="AR621" s="2" t="n">
        <f aca="false">O621*AQ621-Hypothèses!$J$25/Hypothèses!$J$19</f>
        <v>1425.98804105275</v>
      </c>
      <c r="AS621" s="2" t="n">
        <f aca="false">Entrées!$C$79*(1+Q621)+Hypothèses!$J$20</f>
        <v>1476.20547270261</v>
      </c>
      <c r="AT621" s="2" t="n">
        <f aca="false">AI621-AR621+AS621+Y621*1000-AO621+Hypothèses!$J$23</f>
        <v>21841.0014887105</v>
      </c>
      <c r="AU621" s="2" t="n">
        <f aca="false">AT621/AQ621</f>
        <v>2.72320411070855</v>
      </c>
      <c r="AV621" s="2" t="n">
        <f aca="false">Hypothèses!$J$26*AQ621-AT621</f>
        <v>2219.99497074437</v>
      </c>
      <c r="AW621" s="2" t="n">
        <f aca="false">IF(AC621&gt;Hypothèses!$J$26,MAX(0,AV621)/(1-Hypothèses!$J$26/AC621),0)</f>
        <v>3151.7933486081</v>
      </c>
      <c r="AX621" s="2" t="n">
        <f aca="false">AQ621-Entrées!$C$17*1000</f>
        <v>20.3321531516094</v>
      </c>
      <c r="AY621" s="2" t="n">
        <f aca="false">AI621+(Entrées!$C$244-Entrées!$C$13)</f>
        <v>28169.8459635356</v>
      </c>
      <c r="AZ621" s="2" t="n">
        <f aca="false">AA621*AH621</f>
        <v>5444.93828168567</v>
      </c>
      <c r="BA621" s="2" t="n">
        <f aca="false">AZ621/AY621</f>
        <v>0.193289600828271</v>
      </c>
      <c r="BB621" s="2" t="n">
        <f aca="false">AZ621/(Entrées!$C$151/100)-AY621</f>
        <v>2079.81115694034</v>
      </c>
      <c r="BC621" s="2" t="n">
        <f aca="false">AT621+(Entrées!$C$244-Entrées!$C$13)</f>
        <v>27588.0014887105</v>
      </c>
      <c r="BD621" s="2" t="n">
        <f aca="false">AA621*AQ621</f>
        <v>5816.71180337809</v>
      </c>
      <c r="BE621" s="2" t="n">
        <f aca="false">BD621/BC621</f>
        <v>0.210842086758564</v>
      </c>
      <c r="BF621" s="2" t="n">
        <f aca="false">BD621/(Entrées!$C$151/100)-BC621</f>
        <v>4727.06408561224</v>
      </c>
      <c r="BG621" s="2" t="n">
        <f aca="false">MIN(AV621,BF621)</f>
        <v>2219.99497074437</v>
      </c>
      <c r="BH621" s="2" t="n">
        <f aca="false">IF(AC621&gt;Hypothèses!$J$26,MAX(0,BG621)/(1-Hypothèses!$J$26/AC621),0)</f>
        <v>3151.7933486081</v>
      </c>
    </row>
    <row r="622" customFormat="false" ht="15" hidden="false" customHeight="false" outlineLevel="0" collapsed="false">
      <c r="A622" s="2" t="n">
        <v>607</v>
      </c>
      <c r="B622" s="2" t="n">
        <v>0.652363812</v>
      </c>
      <c r="C622" s="2"/>
      <c r="D622" s="2" t="n">
        <v>0.632068398</v>
      </c>
      <c r="E622" s="2" t="n">
        <f aca="false">IF(E$7=E$5,E$6,IF(NORMSDIST(E$9*SQRT($C$11)*NORMSINV($B622)+SQRT(1-E$9^2*$C$11)*NORMSINV(D622))&lt;E$8,E$5+SQRT(NORMSDIST(E$9*SQRT($C$11)*NORMSINV($B622)+SQRT(1-E$9^2*$C$11)*NORMSINV(D622))*(E$7-E$5)*(E$6-E$5)),E$7-SQRT((1-NORMSDIST(E$9*SQRT($C$11)*NORMSINV($B622)+SQRT(1-E$9^2*$C$11)*NORMSINV(D622)))*(E$7-E$5)*(E$7-E$6))))</f>
        <v>0.0560925556248699</v>
      </c>
      <c r="F622" s="2" t="n">
        <v>0.215184765</v>
      </c>
      <c r="G622" s="2" t="n">
        <f aca="false">IF(G$7=G$5,G$6,IF(NORMSDIST(G$9*SQRT($C$11)*NORMSINV($B622)+SQRT(1-G$9^2*$C$11)*NORMSINV(F622))&lt;G$8,G$5+SQRT(NORMSDIST(G$9*SQRT($C$11)*NORMSINV($B622)+SQRT(1-G$9^2*$C$11)*NORMSINV(F622))*(G$7-G$5)*(G$6-G$5)),G$7-SQRT((1-NORMSDIST(G$9*SQRT($C$11)*NORMSINV($B622)+SQRT(1-G$9^2*$C$11)*NORMSINV(F622)))*(G$7-G$5)*(G$7-G$6))))</f>
        <v>0.0526973729358081</v>
      </c>
      <c r="H622" s="2" t="n">
        <v>0.754250956</v>
      </c>
      <c r="I622" s="2" t="n">
        <f aca="false">IF(I$7=I$5,I$6,IF(NORMSDIST(I$9*SQRT($C$11)*NORMSINV($B622)+SQRT(1-I$9^2*$C$11)*NORMSINV(H622))&lt;I$8,I$5+SQRT(NORMSDIST(I$9*SQRT($C$11)*NORMSINV($B622)+SQRT(1-I$9^2*$C$11)*NORMSINV(H622))*(I$7-I$5)*(I$6-I$5)),I$7-SQRT((1-NORMSDIST(I$9*SQRT($C$11)*NORMSINV($B622)+SQRT(1-I$9^2*$C$11)*NORMSINV(H622)))*(I$7-I$5)*(I$7-I$6))))</f>
        <v>206.808574964677</v>
      </c>
      <c r="J622" s="2" t="n">
        <v>0.789997684</v>
      </c>
      <c r="K622" s="2" t="n">
        <f aca="false">IF(K$7=K$5,K$6,IF(NORMSDIST(K$9*SQRT($C$11)*NORMSINV($B622)+SQRT(1-K$9^2*$C$11)*NORMSINV(J622))&lt;K$8,K$5+SQRT(NORMSDIST(K$9*SQRT($C$11)*NORMSINV($B622)+SQRT(1-K$9^2*$C$11)*NORMSINV(J622))*(K$7-K$5)*(K$6-K$5)),K$7-SQRT((1-NORMSDIST(K$9*SQRT($C$11)*NORMSINV($B622)+SQRT(1-K$9^2*$C$11)*NORMSINV(J622)))*(K$7-K$5)*(K$7-K$6))))</f>
        <v>0.345282759990393</v>
      </c>
      <c r="L622" s="2" t="n">
        <v>0.330468511</v>
      </c>
      <c r="M622" s="2" t="n">
        <f aca="false">IF(M$7=M$5,M$6,IF(NORMSDIST(M$9*SQRT($C$11)*NORMSINV($B622)+SQRT(1-M$9^2*$C$11)*NORMSINV(L622))&lt;M$8,M$5+SQRT(NORMSDIST(M$9*SQRT($C$11)*NORMSINV($B622)+SQRT(1-M$9^2*$C$11)*NORMSINV(L622))*(M$7-M$5)*(M$6-M$5)),M$7-SQRT((1-NORMSDIST(M$9*SQRT($C$11)*NORMSINV($B622)+SQRT(1-M$9^2*$C$11)*NORMSINV(L622)))*(M$7-M$5)*(M$7-M$6))))</f>
        <v>1574.81152252732</v>
      </c>
      <c r="N622" s="2" t="n">
        <v>0.000141962</v>
      </c>
      <c r="O622" s="2" t="n">
        <f aca="false">IF(O$7=O$5,O$6,IF(NORMSDIST(O$9*SQRT($C$11)*NORMSINV($B622)+SQRT(1-O$9^2*$C$11)*NORMSINV(N622))&lt;O$8,O$5+SQRT(NORMSDIST(O$9*SQRT($C$11)*NORMSINV($B622)+SQRT(1-O$9^2*$C$11)*NORMSINV(N622))*(O$7-O$5)*(O$6-O$5)),O$7-SQRT((1-NORMSDIST(O$9*SQRT($C$11)*NORMSINV($B622)+SQRT(1-O$9^2*$C$11)*NORMSINV(N622)))*(O$7-O$5)*(O$7-O$6))))</f>
        <v>0.142725778937905</v>
      </c>
      <c r="P622" s="2" t="n">
        <v>0.522492937</v>
      </c>
      <c r="Q622" s="2" t="n">
        <f aca="false">IF(Q$7=Q$5,Q$6,IF(NORMSDIST(Q$9*SQRT($C$11)*NORMSINV($B622)+SQRT(1-Q$9^2*$C$11)*NORMSINV(P622))&lt;Q$8,Q$5+SQRT(NORMSDIST(Q$9*SQRT($C$11)*NORMSINV($B622)+SQRT(1-Q$9^2*$C$11)*NORMSINV(P622))*(Q$7-Q$5)*(Q$6-Q$5)),Q$7-SQRT((1-NORMSDIST(Q$9*SQRT($C$11)*NORMSINV($B622)+SQRT(1-Q$9^2*$C$11)*NORMSINV(P622)))*(Q$7-Q$5)*(Q$7-Q$6))))</f>
        <v>0.0809100703300709</v>
      </c>
      <c r="R622" s="2" t="n">
        <v>0.040663025</v>
      </c>
      <c r="S622" s="2" t="n">
        <f aca="false">IF(S$7=S$5,S$6,IF(NORMSDIST(S$9*SQRT($C$11)*NORMSINV($B622)+SQRT(1-S$9^2*$C$11)*NORMSINV(R622))&lt;S$8,S$5+SQRT(NORMSDIST(S$9*SQRT($C$11)*NORMSINV($B622)+SQRT(1-S$9^2*$C$11)*NORMSINV(R622))*(S$7-S$5)*(S$6-S$5)),S$7-SQRT((1-NORMSDIST(S$9*SQRT($C$11)*NORMSINV($B622)+SQRT(1-S$9^2*$C$11)*NORMSINV(R622)))*(S$7-S$5)*(S$7-S$6))))</f>
        <v>0.25994265601431</v>
      </c>
      <c r="T622" s="2" t="n">
        <v>0.532306336</v>
      </c>
      <c r="U622" s="2" t="n">
        <f aca="false">IF(U$7=U$5,U$6,IF(NORMSDIST(U$9*SQRT($C$11)*NORMSINV($B622)+SQRT(1-U$9^2*$C$11)*NORMSINV(T622))&lt;U$8,U$5+SQRT(NORMSDIST(U$9*SQRT($C$11)*NORMSINV($B622)+SQRT(1-U$9^2*$C$11)*NORMSINV(T622))*(U$7-U$5)*(U$6-U$5)),U$7-SQRT((1-NORMSDIST(U$9*SQRT($C$11)*NORMSINV($B622)+SQRT(1-U$9^2*$C$11)*NORMSINV(T622)))*(U$7-U$5)*(U$7-U$6))))</f>
        <v>0.56521433392035</v>
      </c>
      <c r="V622" s="2" t="n">
        <v>0.923652101</v>
      </c>
      <c r="W622" s="2" t="n">
        <f aca="false">IF(W$7=W$5,W$6,IF(NORMSDIST(W$9*SQRT($C$11)*NORMSINV($B622)+SQRT(1-W$9^2*$C$11)*NORMSINV(V622))&lt;W$8,W$5+SQRT(NORMSDIST(W$9*SQRT($C$11)*NORMSINV($B622)+SQRT(1-W$9^2*$C$11)*NORMSINV(V622))*(W$7-W$5)*(W$6-W$5)),W$7-SQRT((1-NORMSDIST(W$9*SQRT($C$11)*NORMSINV($B622)+SQRT(1-W$9^2*$C$11)*NORMSINV(V622)))*(W$7-W$5)*(W$7-W$6))))</f>
        <v>11.1626997386909</v>
      </c>
      <c r="X622" s="2" t="n">
        <v>0.670251061</v>
      </c>
      <c r="Y622" s="2" t="n">
        <f aca="false">IF(Y$7=Y$5,Y$6,IF(NORMSDIST(Y$9*SQRT($C$11)*NORMSINV($B622)+SQRT(1-Y$9^2*$C$11)*NORMSINV(X622))&lt;Y$8,Y$5+SQRT(NORMSDIST(Y$9*SQRT($C$11)*NORMSINV($B622)+SQRT(1-Y$9^2*$C$11)*NORMSINV(X622))*(Y$7-Y$5)*(Y$6-Y$5)),Y$7-SQRT((1-NORMSDIST(Y$9*SQRT($C$11)*NORMSINV($B622)+SQRT(1-Y$9^2*$C$11)*NORMSINV(X622)))*(Y$7-Y$5)*(Y$7-Y$6))))</f>
        <v>0.593952626532322</v>
      </c>
      <c r="Z622" s="2" t="n">
        <v>0.231914001</v>
      </c>
      <c r="AA622" s="2" t="n">
        <f aca="false">IF(AA$7=AA$5,AA$6,IF(NORMSDIST(AA$9*SQRT($C$11)*NORMSINV($B622)+SQRT(1-AA$9^2*$C$11)*NORMSINV(Z622))&lt;AA$8,AA$5+SQRT(NORMSDIST(AA$9*SQRT($C$11)*NORMSINV($B622)+SQRT(1-AA$9^2*$C$11)*NORMSINV(Z622))*(AA$7-AA$5)*(AA$6-AA$5)),AA$7-SQRT((1-NORMSDIST(AA$9*SQRT($C$11)*NORMSINV($B622)+SQRT(1-AA$9^2*$C$11)*NORMSINV(Z622)))*(AA$7-AA$5)*(AA$7-AA$6))))</f>
        <v>0.72365091995226</v>
      </c>
      <c r="AB622" s="2" t="n">
        <v>0.418097255</v>
      </c>
      <c r="AC622" s="2" t="n">
        <f aca="false">IF(AC$7=AC$5,AC$6,IF(NORMSDIST(AC$9*SQRT($C$11)*NORMSINV($B622)+SQRT(1-AC$9^2*$C$11)*NORMSINV(AB622))&lt;AC$8,AC$5+SQRT(NORMSDIST(AC$9*SQRT($C$11)*NORMSINV($B622)+SQRT(1-AC$9^2*$C$11)*NORMSINV(AB622))*(AC$7-AC$5)*(AC$6-AC$5)),AC$7-SQRT((1-NORMSDIST(AC$9*SQRT($C$11)*NORMSINV($B622)+SQRT(1-AC$9^2*$C$11)*NORMSINV(AB622)))*(AC$7-AC$5)*(AC$7-AC$6))))</f>
        <v>9.54976596591428</v>
      </c>
      <c r="AD622" s="2" t="n">
        <f aca="false">Entrées!$C$8*(1+E622)</f>
        <v>7445.45251715533</v>
      </c>
      <c r="AE622" s="2" t="n">
        <f aca="false">I622*Hypothèses!$J$24/12/Hypothèses!$J$19</f>
        <v>102.597072123382</v>
      </c>
      <c r="AF622" s="2" t="n">
        <f aca="false">Entrées!$C$36*S622*1000</f>
        <v>129.971328007155</v>
      </c>
      <c r="AG622" s="2" t="n">
        <f aca="false">-AF622/W622</f>
        <v>-11.643359675497</v>
      </c>
      <c r="AH622" s="2" t="n">
        <f aca="false">AD622+AE622+AG622</f>
        <v>7536.40622960322</v>
      </c>
      <c r="AI622" s="2" t="n">
        <f aca="false">Entrées!$C$16-M622+Hypothèses!$J$22*1000-AF622+Hypothèses!$J$23</f>
        <v>22843.2171494655</v>
      </c>
      <c r="AJ622" s="2" t="n">
        <f aca="false">AI622/AH622</f>
        <v>3.03104907744181</v>
      </c>
      <c r="AK622" s="2" t="n">
        <f aca="false">AI622/(AH622+I622*(12-Hypothèses!$J$24)/12/Hypothèses!$J$19)</f>
        <v>3.00185915485311</v>
      </c>
      <c r="AL622" s="2" t="n">
        <f aca="false">(AD622+AG622+I622/Hypothèses!$J$19)*(1+G622)</f>
        <v>8010.70051663407</v>
      </c>
      <c r="AM622" s="2" t="n">
        <f aca="false">Entrées!$C$54*K622/Hypothèses!$J$19</f>
        <v>35.2375554056439</v>
      </c>
      <c r="AN622" s="2" t="n">
        <f aca="false">Y622*1000/AC622</f>
        <v>62.195516482006</v>
      </c>
      <c r="AO622" s="2" t="n">
        <f aca="false">(Entrées!$C$36*(1-S622)+MAX(0,Entrées!$C$30-Entrées!$C$35-Entrées!$C$36)*U622)*1000</f>
        <v>1161.32873948134</v>
      </c>
      <c r="AP622" s="2" t="n">
        <f aca="false">-AO622/W622</f>
        <v>-104.036547310868</v>
      </c>
      <c r="AQ622" s="2" t="n">
        <f aca="false">AL622+AM622+AN622+AP622</f>
        <v>8004.09704121085</v>
      </c>
      <c r="AR622" s="2" t="n">
        <f aca="false">O622*AQ622-Hypothèses!$J$25/Hypothèses!$J$19</f>
        <v>1123.25582263978</v>
      </c>
      <c r="AS622" s="2" t="n">
        <f aca="false">Entrées!$C$79*(1+Q622)+Hypothèses!$J$20</f>
        <v>1482.92016729275</v>
      </c>
      <c r="AT622" s="2" t="n">
        <f aca="false">AI622-AR622+AS622+Y622*1000-AO622+Hypothèses!$J$23</f>
        <v>22635.5053811695</v>
      </c>
      <c r="AU622" s="2" t="n">
        <f aca="false">AT622/AQ622</f>
        <v>2.8279898737641</v>
      </c>
      <c r="AV622" s="2" t="n">
        <f aca="false">Hypothèses!$J$26*AQ622-AT622</f>
        <v>1376.78574246307</v>
      </c>
      <c r="AW622" s="2" t="n">
        <f aca="false">IF(AC622&gt;Hypothèses!$J$26,MAX(0,AV622)/(1-Hypothèses!$J$26/AC622),0)</f>
        <v>2007.39716413585</v>
      </c>
      <c r="AX622" s="2" t="n">
        <f aca="false">AQ622-Entrées!$C$17*1000</f>
        <v>4.0970412108536</v>
      </c>
      <c r="AY622" s="2" t="n">
        <f aca="false">AI622+(Entrées!$C$244-Entrées!$C$13)</f>
        <v>28590.2171494655</v>
      </c>
      <c r="AZ622" s="2" t="n">
        <f aca="false">AA622*AH622</f>
        <v>5453.72730118631</v>
      </c>
      <c r="BA622" s="2" t="n">
        <f aca="false">AZ622/AY622</f>
        <v>0.190755014999537</v>
      </c>
      <c r="BB622" s="2" t="n">
        <f aca="false">AZ622/(Entrées!$C$151/100)-AY622</f>
        <v>1708.26785712508</v>
      </c>
      <c r="BC622" s="2" t="n">
        <f aca="false">AT622+(Entrées!$C$244-Entrées!$C$13)</f>
        <v>28382.5053811695</v>
      </c>
      <c r="BD622" s="2" t="n">
        <f aca="false">AA622*AQ622</f>
        <v>5792.17218725939</v>
      </c>
      <c r="BE622" s="2" t="n">
        <f aca="false">BD622/BC622</f>
        <v>0.20407543694512</v>
      </c>
      <c r="BF622" s="2" t="n">
        <f aca="false">BD622/(Entrées!$C$151/100)-BC622</f>
        <v>3796.22899249381</v>
      </c>
      <c r="BG622" s="2" t="n">
        <f aca="false">MIN(AV622,BF622)</f>
        <v>1376.78574246307</v>
      </c>
      <c r="BH622" s="2" t="n">
        <f aca="false">IF(AC622&gt;Hypothèses!$J$26,MAX(0,BG622)/(1-Hypothèses!$J$26/AC622),0)</f>
        <v>2007.39716413585</v>
      </c>
    </row>
    <row r="623" customFormat="false" ht="15" hidden="false" customHeight="false" outlineLevel="0" collapsed="false">
      <c r="A623" s="2" t="n">
        <v>608</v>
      </c>
      <c r="B623" s="2" t="n">
        <v>0.633543309</v>
      </c>
      <c r="C623" s="2"/>
      <c r="D623" s="2" t="n">
        <v>0.327006606</v>
      </c>
      <c r="E623" s="2" t="n">
        <f aca="false">IF(E$7=E$5,E$6,IF(NORMSDIST(E$9*SQRT($C$11)*NORMSINV($B623)+SQRT(1-E$9^2*$C$11)*NORMSINV(D623))&lt;E$8,E$5+SQRT(NORMSDIST(E$9*SQRT($C$11)*NORMSINV($B623)+SQRT(1-E$9^2*$C$11)*NORMSINV(D623))*(E$7-E$5)*(E$6-E$5)),E$7-SQRT((1-NORMSDIST(E$9*SQRT($C$11)*NORMSINV($B623)+SQRT(1-E$9^2*$C$11)*NORMSINV(D623)))*(E$7-E$5)*(E$7-E$6))))</f>
        <v>0.0547315547971861</v>
      </c>
      <c r="F623" s="2" t="n">
        <v>0.931786738</v>
      </c>
      <c r="G623" s="2" t="n">
        <f aca="false">IF(G$7=G$5,G$6,IF(NORMSDIST(G$9*SQRT($C$11)*NORMSINV($B623)+SQRT(1-G$9^2*$C$11)*NORMSINV(F623))&lt;G$8,G$5+SQRT(NORMSDIST(G$9*SQRT($C$11)*NORMSINV($B623)+SQRT(1-G$9^2*$C$11)*NORMSINV(F623))*(G$7-G$5)*(G$6-G$5)),G$7-SQRT((1-NORMSDIST(G$9*SQRT($C$11)*NORMSINV($B623)+SQRT(1-G$9^2*$C$11)*NORMSINV(F623)))*(G$7-G$5)*(G$7-G$6))))</f>
        <v>0.063799348693905</v>
      </c>
      <c r="H623" s="2" t="n">
        <v>0.452277536</v>
      </c>
      <c r="I623" s="2" t="n">
        <f aca="false">IF(I$7=I$5,I$6,IF(NORMSDIST(I$9*SQRT($C$11)*NORMSINV($B623)+SQRT(1-I$9^2*$C$11)*NORMSINV(H623))&lt;I$8,I$5+SQRT(NORMSDIST(I$9*SQRT($C$11)*NORMSINV($B623)+SQRT(1-I$9^2*$C$11)*NORMSINV(H623))*(I$7-I$5)*(I$6-I$5)),I$7-SQRT((1-NORMSDIST(I$9*SQRT($C$11)*NORMSINV($B623)+SQRT(1-I$9^2*$C$11)*NORMSINV(H623)))*(I$7-I$5)*(I$7-I$6))))</f>
        <v>201.003684900581</v>
      </c>
      <c r="J623" s="2" t="n">
        <v>0.879751718</v>
      </c>
      <c r="K623" s="2" t="n">
        <f aca="false">IF(K$7=K$5,K$6,IF(NORMSDIST(K$9*SQRT($C$11)*NORMSINV($B623)+SQRT(1-K$9^2*$C$11)*NORMSINV(J623))&lt;K$8,K$5+SQRT(NORMSDIST(K$9*SQRT($C$11)*NORMSINV($B623)+SQRT(1-K$9^2*$C$11)*NORMSINV(J623))*(K$7-K$5)*(K$6-K$5)),K$7-SQRT((1-NORMSDIST(K$9*SQRT($C$11)*NORMSINV($B623)+SQRT(1-K$9^2*$C$11)*NORMSINV(J623)))*(K$7-K$5)*(K$7-K$6))))</f>
        <v>0.37238095155021</v>
      </c>
      <c r="L623" s="2" t="n">
        <v>0.929452962</v>
      </c>
      <c r="M623" s="2" t="n">
        <f aca="false">IF(M$7=M$5,M$6,IF(NORMSDIST(M$9*SQRT($C$11)*NORMSINV($B623)+SQRT(1-M$9^2*$C$11)*NORMSINV(L623))&lt;M$8,M$5+SQRT(NORMSDIST(M$9*SQRT($C$11)*NORMSINV($B623)+SQRT(1-M$9^2*$C$11)*NORMSINV(L623))*(M$7-M$5)*(M$6-M$5)),M$7-SQRT((1-NORMSDIST(M$9*SQRT($C$11)*NORMSINV($B623)+SQRT(1-M$9^2*$C$11)*NORMSINV(L623)))*(M$7-M$5)*(M$7-M$6))))</f>
        <v>1708.40155399974</v>
      </c>
      <c r="N623" s="2" t="n">
        <v>0.348667741</v>
      </c>
      <c r="O623" s="2" t="n">
        <f aca="false">IF(O$7=O$5,O$6,IF(NORMSDIST(O$9*SQRT($C$11)*NORMSINV($B623)+SQRT(1-O$9^2*$C$11)*NORMSINV(N623))&lt;O$8,O$5+SQRT(NORMSDIST(O$9*SQRT($C$11)*NORMSINV($B623)+SQRT(1-O$9^2*$C$11)*NORMSINV(N623))*(O$7-O$5)*(O$6-O$5)),O$7-SQRT((1-NORMSDIST(O$9*SQRT($C$11)*NORMSINV($B623)+SQRT(1-O$9^2*$C$11)*NORMSINV(N623)))*(O$7-O$5)*(O$7-O$6))))</f>
        <v>0.165856686431505</v>
      </c>
      <c r="P623" s="2" t="n">
        <v>0.306123971</v>
      </c>
      <c r="Q623" s="2" t="n">
        <f aca="false">IF(Q$7=Q$5,Q$6,IF(NORMSDIST(Q$9*SQRT($C$11)*NORMSINV($B623)+SQRT(1-Q$9^2*$C$11)*NORMSINV(P623))&lt;Q$8,Q$5+SQRT(NORMSDIST(Q$9*SQRT($C$11)*NORMSINV($B623)+SQRT(1-Q$9^2*$C$11)*NORMSINV(P623))*(Q$7-Q$5)*(Q$6-Q$5)),Q$7-SQRT((1-NORMSDIST(Q$9*SQRT($C$11)*NORMSINV($B623)+SQRT(1-Q$9^2*$C$11)*NORMSINV(P623)))*(Q$7-Q$5)*(Q$7-Q$6))))</f>
        <v>0.0712985096641997</v>
      </c>
      <c r="R623" s="2" t="n">
        <v>0.603898941</v>
      </c>
      <c r="S623" s="2" t="n">
        <f aca="false">IF(S$7=S$5,S$6,IF(NORMSDIST(S$9*SQRT($C$11)*NORMSINV($B623)+SQRT(1-S$9^2*$C$11)*NORMSINV(R623))&lt;S$8,S$5+SQRT(NORMSDIST(S$9*SQRT($C$11)*NORMSINV($B623)+SQRT(1-S$9^2*$C$11)*NORMSINV(R623))*(S$7-S$5)*(S$6-S$5)),S$7-SQRT((1-NORMSDIST(S$9*SQRT($C$11)*NORMSINV($B623)+SQRT(1-S$9^2*$C$11)*NORMSINV(R623)))*(S$7-S$5)*(S$7-S$6))))</f>
        <v>0.589341616894069</v>
      </c>
      <c r="T623" s="2" t="n">
        <v>0.028065775</v>
      </c>
      <c r="U623" s="2" t="n">
        <f aca="false">IF(U$7=U$5,U$6,IF(NORMSDIST(U$9*SQRT($C$11)*NORMSINV($B623)+SQRT(1-U$9^2*$C$11)*NORMSINV(T623))&lt;U$8,U$5+SQRT(NORMSDIST(U$9*SQRT($C$11)*NORMSINV($B623)+SQRT(1-U$9^2*$C$11)*NORMSINV(T623))*(U$7-U$5)*(U$6-U$5)),U$7-SQRT((1-NORMSDIST(U$9*SQRT($C$11)*NORMSINV($B623)+SQRT(1-U$9^2*$C$11)*NORMSINV(T623)))*(U$7-U$5)*(U$7-U$6))))</f>
        <v>0.227129470863833</v>
      </c>
      <c r="V623" s="2" t="n">
        <v>0.287442023</v>
      </c>
      <c r="W623" s="2" t="n">
        <f aca="false">IF(W$7=W$5,W$6,IF(NORMSDIST(W$9*SQRT($C$11)*NORMSINV($B623)+SQRT(1-W$9^2*$C$11)*NORMSINV(V623))&lt;W$8,W$5+SQRT(NORMSDIST(W$9*SQRT($C$11)*NORMSINV($B623)+SQRT(1-W$9^2*$C$11)*NORMSINV(V623))*(W$7-W$5)*(W$6-W$5)),W$7-SQRT((1-NORMSDIST(W$9*SQRT($C$11)*NORMSINV($B623)+SQRT(1-W$9^2*$C$11)*NORMSINV(V623)))*(W$7-W$5)*(W$7-W$6))))</f>
        <v>9.81872867347014</v>
      </c>
      <c r="X623" s="2" t="n">
        <v>0.448967289</v>
      </c>
      <c r="Y623" s="2" t="n">
        <f aca="false">IF(Y$7=Y$5,Y$6,IF(NORMSDIST(Y$9*SQRT($C$11)*NORMSINV($B623)+SQRT(1-Y$9^2*$C$11)*NORMSINV(X623))&lt;Y$8,Y$5+SQRT(NORMSDIST(Y$9*SQRT($C$11)*NORMSINV($B623)+SQRT(1-Y$9^2*$C$11)*NORMSINV(X623))*(Y$7-Y$5)*(Y$6-Y$5)),Y$7-SQRT((1-NORMSDIST(Y$9*SQRT($C$11)*NORMSINV($B623)+SQRT(1-Y$9^2*$C$11)*NORMSINV(X623)))*(Y$7-Y$5)*(Y$7-Y$6))))</f>
        <v>0.473797049906392</v>
      </c>
      <c r="Z623" s="2" t="n">
        <v>0.312212904</v>
      </c>
      <c r="AA623" s="2" t="n">
        <f aca="false">IF(AA$7=AA$5,AA$6,IF(NORMSDIST(AA$9*SQRT($C$11)*NORMSINV($B623)+SQRT(1-AA$9^2*$C$11)*NORMSINV(Z623))&lt;AA$8,AA$5+SQRT(NORMSDIST(AA$9*SQRT($C$11)*NORMSINV($B623)+SQRT(1-AA$9^2*$C$11)*NORMSINV(Z623))*(AA$7-AA$5)*(AA$6-AA$5)),AA$7-SQRT((1-NORMSDIST(AA$9*SQRT($C$11)*NORMSINV($B623)+SQRT(1-AA$9^2*$C$11)*NORMSINV(Z623)))*(AA$7-AA$5)*(AA$7-AA$6))))</f>
        <v>0.72585323112481</v>
      </c>
      <c r="AB623" s="2" t="n">
        <v>0.222711083</v>
      </c>
      <c r="AC623" s="2" t="n">
        <f aca="false">IF(AC$7=AC$5,AC$6,IF(NORMSDIST(AC$9*SQRT($C$11)*NORMSINV($B623)+SQRT(1-AC$9^2*$C$11)*NORMSINV(AB623))&lt;AC$8,AC$5+SQRT(NORMSDIST(AC$9*SQRT($C$11)*NORMSINV($B623)+SQRT(1-AC$9^2*$C$11)*NORMSINV(AB623))*(AC$7-AC$5)*(AC$6-AC$5)),AC$7-SQRT((1-NORMSDIST(AC$9*SQRT($C$11)*NORMSINV($B623)+SQRT(1-AC$9^2*$C$11)*NORMSINV(AB623)))*(AC$7-AC$5)*(AC$7-AC$6))))</f>
        <v>9.14823063666601</v>
      </c>
      <c r="AD623" s="2" t="n">
        <f aca="false">Entrées!$C$8*(1+E623)</f>
        <v>7435.85746132016</v>
      </c>
      <c r="AE623" s="2" t="n">
        <f aca="false">I623*Hypothèses!$J$24/12/Hypothèses!$J$19</f>
        <v>99.7172847418572</v>
      </c>
      <c r="AF623" s="2" t="n">
        <f aca="false">Entrées!$C$36*S623*1000</f>
        <v>294.670808447034</v>
      </c>
      <c r="AG623" s="2" t="n">
        <f aca="false">-AF623/W623</f>
        <v>-30.011095962273</v>
      </c>
      <c r="AH623" s="2" t="n">
        <f aca="false">AD623+AE623+AG623</f>
        <v>7505.56365009975</v>
      </c>
      <c r="AI623" s="2" t="n">
        <f aca="false">Entrées!$C$16-M623+Hypothèses!$J$22*1000-AF623+Hypothèses!$J$23</f>
        <v>22544.9276375532</v>
      </c>
      <c r="AJ623" s="2" t="n">
        <f aca="false">AI623/AH623</f>
        <v>3.00376210083218</v>
      </c>
      <c r="AK623" s="2" t="n">
        <f aca="false">AI623/(AH623+I623*(12-Hypothèses!$J$24)/12/Hypothèses!$J$19)</f>
        <v>2.975524832849</v>
      </c>
      <c r="AL623" s="2" t="n">
        <f aca="false">(AD623+AG623+I623/Hypothèses!$J$19)*(1+G623)</f>
        <v>8060.18456724384</v>
      </c>
      <c r="AM623" s="2" t="n">
        <f aca="false">Entrées!$C$54*K623/Hypothèses!$J$19</f>
        <v>38.003039632277</v>
      </c>
      <c r="AN623" s="2" t="n">
        <f aca="false">Y623*1000/AC623</f>
        <v>51.7911133555617</v>
      </c>
      <c r="AO623" s="2" t="n">
        <f aca="false">(Entrées!$C$36*(1-S623)+MAX(0,Entrées!$C$30-Entrées!$C$35-Entrées!$C$36)*U623)*1000</f>
        <v>523.310450762332</v>
      </c>
      <c r="AP623" s="2" t="n">
        <f aca="false">-AO623/W623</f>
        <v>-53.2971699458707</v>
      </c>
      <c r="AQ623" s="2" t="n">
        <f aca="false">AL623+AM623+AN623+AP623</f>
        <v>8096.68155028581</v>
      </c>
      <c r="AR623" s="2" t="n">
        <f aca="false">O623*AQ623-Hypothèses!$J$25/Hypothèses!$J$19</f>
        <v>1323.75361075988</v>
      </c>
      <c r="AS623" s="2" t="n">
        <f aca="false">Entrées!$C$79*(1+Q623)+Hypothèses!$J$20</f>
        <v>1472.35706212096</v>
      </c>
      <c r="AT623" s="2" t="n">
        <f aca="false">AI623-AR623+AS623+Y623*1000-AO623+Hypothèses!$J$23</f>
        <v>22644.0176880584</v>
      </c>
      <c r="AU623" s="2" t="n">
        <f aca="false">AT623/AQ623</f>
        <v>2.79670350716202</v>
      </c>
      <c r="AV623" s="2" t="n">
        <f aca="false">Hypothèses!$J$26*AQ623-AT623</f>
        <v>1646.02696279905</v>
      </c>
      <c r="AW623" s="2" t="n">
        <f aca="false">IF(AC623&gt;Hypothèses!$J$26,MAX(0,AV623)/(1-Hypothèses!$J$26/AC623),0)</f>
        <v>2449.19801805324</v>
      </c>
      <c r="AX623" s="2" t="n">
        <f aca="false">AQ623-Entrées!$C$17*1000</f>
        <v>96.6815502858062</v>
      </c>
      <c r="AY623" s="2" t="n">
        <f aca="false">AI623+(Entrées!$C$244-Entrées!$C$13)</f>
        <v>28291.9276375532</v>
      </c>
      <c r="AZ623" s="2" t="n">
        <f aca="false">AA623*AH623</f>
        <v>5447.93762683783</v>
      </c>
      <c r="BA623" s="2" t="n">
        <f aca="false">AZ623/AY623</f>
        <v>0.192561556661361</v>
      </c>
      <c r="BB623" s="2" t="n">
        <f aca="false">AZ623/(Entrées!$C$151/100)-AY623</f>
        <v>1974.3925115458</v>
      </c>
      <c r="BC623" s="2" t="n">
        <f aca="false">AT623+(Entrées!$C$244-Entrées!$C$13)</f>
        <v>28391.0176880584</v>
      </c>
      <c r="BD623" s="2" t="n">
        <f aca="false">AA623*AQ623</f>
        <v>5877.00246466359</v>
      </c>
      <c r="BE623" s="2" t="n">
        <f aca="false">BD623/BC623</f>
        <v>0.207002176858758</v>
      </c>
      <c r="BF623" s="2" t="n">
        <f aca="false">BD623/(Entrées!$C$151/100)-BC623</f>
        <v>4258.99600451714</v>
      </c>
      <c r="BG623" s="2" t="n">
        <f aca="false">MIN(AV623,BF623)</f>
        <v>1646.02696279905</v>
      </c>
      <c r="BH623" s="2" t="n">
        <f aca="false">IF(AC623&gt;Hypothèses!$J$26,MAX(0,BG623)/(1-Hypothèses!$J$26/AC623),0)</f>
        <v>2449.19801805324</v>
      </c>
    </row>
    <row r="624" customFormat="false" ht="15" hidden="false" customHeight="false" outlineLevel="0" collapsed="false">
      <c r="A624" s="2" t="n">
        <v>609</v>
      </c>
      <c r="B624" s="2" t="n">
        <v>0.257055349</v>
      </c>
      <c r="C624" s="2"/>
      <c r="D624" s="2" t="n">
        <v>0.623317257</v>
      </c>
      <c r="E624" s="2" t="n">
        <f aca="false">IF(E$7=E$5,E$6,IF(NORMSDIST(E$9*SQRT($C$11)*NORMSINV($B624)+SQRT(1-E$9^2*$C$11)*NORMSINV(D624))&lt;E$8,E$5+SQRT(NORMSDIST(E$9*SQRT($C$11)*NORMSINV($B624)+SQRT(1-E$9^2*$C$11)*NORMSINV(D624))*(E$7-E$5)*(E$6-E$5)),E$7-SQRT((1-NORMSDIST(E$9*SQRT($C$11)*NORMSINV($B624)+SQRT(1-E$9^2*$C$11)*NORMSINV(D624)))*(E$7-E$5)*(E$7-E$6))))</f>
        <v>0.0546518521287901</v>
      </c>
      <c r="F624" s="2" t="n">
        <v>0.170533104</v>
      </c>
      <c r="G624" s="2" t="n">
        <f aca="false">IF(G$7=G$5,G$6,IF(NORMSDIST(G$9*SQRT($C$11)*NORMSINV($B624)+SQRT(1-G$9^2*$C$11)*NORMSINV(F624))&lt;G$8,G$5+SQRT(NORMSDIST(G$9*SQRT($C$11)*NORMSINV($B624)+SQRT(1-G$9^2*$C$11)*NORMSINV(F624))*(G$7-G$5)*(G$6-G$5)),G$7-SQRT((1-NORMSDIST(G$9*SQRT($C$11)*NORMSINV($B624)+SQRT(1-G$9^2*$C$11)*NORMSINV(F624)))*(G$7-G$5)*(G$7-G$6))))</f>
        <v>0.0475014854144039</v>
      </c>
      <c r="H624" s="2" t="n">
        <v>0.446259428</v>
      </c>
      <c r="I624" s="2" t="n">
        <f aca="false">IF(I$7=I$5,I$6,IF(NORMSDIST(I$9*SQRT($C$11)*NORMSINV($B624)+SQRT(1-I$9^2*$C$11)*NORMSINV(H624))&lt;I$8,I$5+SQRT(NORMSDIST(I$9*SQRT($C$11)*NORMSINV($B624)+SQRT(1-I$9^2*$C$11)*NORMSINV(H624))*(I$7-I$5)*(I$6-I$5)),I$7-SQRT((1-NORMSDIST(I$9*SQRT($C$11)*NORMSINV($B624)+SQRT(1-I$9^2*$C$11)*NORMSINV(H624)))*(I$7-I$5)*(I$7-I$6))))</f>
        <v>195.555597233086</v>
      </c>
      <c r="J624" s="2" t="n">
        <v>0.674220912</v>
      </c>
      <c r="K624" s="2" t="n">
        <f aca="false">IF(K$7=K$5,K$6,IF(NORMSDIST(K$9*SQRT($C$11)*NORMSINV($B624)+SQRT(1-K$9^2*$C$11)*NORMSINV(J624))&lt;K$8,K$5+SQRT(NORMSDIST(K$9*SQRT($C$11)*NORMSINV($B624)+SQRT(1-K$9^2*$C$11)*NORMSINV(J624))*(K$7-K$5)*(K$6-K$5)),K$7-SQRT((1-NORMSDIST(K$9*SQRT($C$11)*NORMSINV($B624)+SQRT(1-K$9^2*$C$11)*NORMSINV(J624)))*(K$7-K$5)*(K$7-K$6))))</f>
        <v>0.243656349604071</v>
      </c>
      <c r="L624" s="2" t="n">
        <v>0.962354302</v>
      </c>
      <c r="M624" s="2" t="n">
        <f aca="false">IF(M$7=M$5,M$6,IF(NORMSDIST(M$9*SQRT($C$11)*NORMSINV($B624)+SQRT(1-M$9^2*$C$11)*NORMSINV(L624))&lt;M$8,M$5+SQRT(NORMSDIST(M$9*SQRT($C$11)*NORMSINV($B624)+SQRT(1-M$9^2*$C$11)*NORMSINV(L624))*(M$7-M$5)*(M$6-M$5)),M$7-SQRT((1-NORMSDIST(M$9*SQRT($C$11)*NORMSINV($B624)+SQRT(1-M$9^2*$C$11)*NORMSINV(L624)))*(M$7-M$5)*(M$7-M$6))))</f>
        <v>1676.51334669858</v>
      </c>
      <c r="N624" s="2" t="n">
        <v>0.359609563</v>
      </c>
      <c r="O624" s="2" t="n">
        <f aca="false">IF(O$7=O$5,O$6,IF(NORMSDIST(O$9*SQRT($C$11)*NORMSINV($B624)+SQRT(1-O$9^2*$C$11)*NORMSINV(N624))&lt;O$8,O$5+SQRT(NORMSDIST(O$9*SQRT($C$11)*NORMSINV($B624)+SQRT(1-O$9^2*$C$11)*NORMSINV(N624))*(O$7-O$5)*(O$6-O$5)),O$7-SQRT((1-NORMSDIST(O$9*SQRT($C$11)*NORMSINV($B624)+SQRT(1-O$9^2*$C$11)*NORMSINV(N624)))*(O$7-O$5)*(O$7-O$6))))</f>
        <v>0.158739444408195</v>
      </c>
      <c r="P624" s="2" t="n">
        <v>0.50552612</v>
      </c>
      <c r="Q624" s="2" t="n">
        <f aca="false">IF(Q$7=Q$5,Q$6,IF(NORMSDIST(Q$9*SQRT($C$11)*NORMSINV($B624)+SQRT(1-Q$9^2*$C$11)*NORMSINV(P624))&lt;Q$8,Q$5+SQRT(NORMSDIST(Q$9*SQRT($C$11)*NORMSINV($B624)+SQRT(1-Q$9^2*$C$11)*NORMSINV(P624))*(Q$7-Q$5)*(Q$6-Q$5)),Q$7-SQRT((1-NORMSDIST(Q$9*SQRT($C$11)*NORMSINV($B624)+SQRT(1-Q$9^2*$C$11)*NORMSINV(P624)))*(Q$7-Q$5)*(Q$7-Q$6))))</f>
        <v>0.0802216589586745</v>
      </c>
      <c r="R624" s="2" t="n">
        <v>0.310502436</v>
      </c>
      <c r="S624" s="2" t="n">
        <f aca="false">IF(S$7=S$5,S$6,IF(NORMSDIST(S$9*SQRT($C$11)*NORMSINV($B624)+SQRT(1-S$9^2*$C$11)*NORMSINV(R624))&lt;S$8,S$5+SQRT(NORMSDIST(S$9*SQRT($C$11)*NORMSINV($B624)+SQRT(1-S$9^2*$C$11)*NORMSINV(R624))*(S$7-S$5)*(S$6-S$5)),S$7-SQRT((1-NORMSDIST(S$9*SQRT($C$11)*NORMSINV($B624)+SQRT(1-S$9^2*$C$11)*NORMSINV(R624)))*(S$7-S$5)*(S$7-S$6))))</f>
        <v>0.326438667840764</v>
      </c>
      <c r="T624" s="2" t="n">
        <v>0.77524328</v>
      </c>
      <c r="U624" s="2" t="n">
        <f aca="false">IF(U$7=U$5,U$6,IF(NORMSDIST(U$9*SQRT($C$11)*NORMSINV($B624)+SQRT(1-U$9^2*$C$11)*NORMSINV(T624))&lt;U$8,U$5+SQRT(NORMSDIST(U$9*SQRT($C$11)*NORMSINV($B624)+SQRT(1-U$9^2*$C$11)*NORMSINV(T624))*(U$7-U$5)*(U$6-U$5)),U$7-SQRT((1-NORMSDIST(U$9*SQRT($C$11)*NORMSINV($B624)+SQRT(1-U$9^2*$C$11)*NORMSINV(T624)))*(U$7-U$5)*(U$7-U$6))))</f>
        <v>0.535631223190441</v>
      </c>
      <c r="V624" s="2" t="n">
        <v>0.358263354</v>
      </c>
      <c r="W624" s="2" t="n">
        <f aca="false">IF(W$7=W$5,W$6,IF(NORMSDIST(W$9*SQRT($C$11)*NORMSINV($B624)+SQRT(1-W$9^2*$C$11)*NORMSINV(V624))&lt;W$8,W$5+SQRT(NORMSDIST(W$9*SQRT($C$11)*NORMSINV($B624)+SQRT(1-W$9^2*$C$11)*NORMSINV(V624))*(W$7-W$5)*(W$6-W$5)),W$7-SQRT((1-NORMSDIST(W$9*SQRT($C$11)*NORMSINV($B624)+SQRT(1-W$9^2*$C$11)*NORMSINV(V624)))*(W$7-W$5)*(W$7-W$6))))</f>
        <v>9.39676982292897</v>
      </c>
      <c r="X624" s="2" t="n">
        <v>0.140748829</v>
      </c>
      <c r="Y624" s="2" t="n">
        <f aca="false">IF(Y$7=Y$5,Y$6,IF(NORMSDIST(Y$9*SQRT($C$11)*NORMSINV($B624)+SQRT(1-Y$9^2*$C$11)*NORMSINV(X624))&lt;Y$8,Y$5+SQRT(NORMSDIST(Y$9*SQRT($C$11)*NORMSINV($B624)+SQRT(1-Y$9^2*$C$11)*NORMSINV(X624))*(Y$7-Y$5)*(Y$6-Y$5)),Y$7-SQRT((1-NORMSDIST(Y$9*SQRT($C$11)*NORMSINV($B624)+SQRT(1-Y$9^2*$C$11)*NORMSINV(X624)))*(Y$7-Y$5)*(Y$7-Y$6))))</f>
        <v>0.265281764356316</v>
      </c>
      <c r="Z624" s="2" t="n">
        <v>0.836453596</v>
      </c>
      <c r="AA624" s="2" t="n">
        <f aca="false">IF(AA$7=AA$5,AA$6,IF(NORMSDIST(AA$9*SQRT($C$11)*NORMSINV($B624)+SQRT(1-AA$9^2*$C$11)*NORMSINV(Z624))&lt;AA$8,AA$5+SQRT(NORMSDIST(AA$9*SQRT($C$11)*NORMSINV($B624)+SQRT(1-AA$9^2*$C$11)*NORMSINV(Z624))*(AA$7-AA$5)*(AA$6-AA$5)),AA$7-SQRT((1-NORMSDIST(AA$9*SQRT($C$11)*NORMSINV($B624)+SQRT(1-AA$9^2*$C$11)*NORMSINV(Z624)))*(AA$7-AA$5)*(AA$7-AA$6))))</f>
        <v>0.732224395018535</v>
      </c>
      <c r="AB624" s="2" t="n">
        <v>0.107715264</v>
      </c>
      <c r="AC624" s="2" t="n">
        <f aca="false">IF(AC$7=AC$5,AC$6,IF(NORMSDIST(AC$9*SQRT($C$11)*NORMSINV($B624)+SQRT(1-AC$9^2*$C$11)*NORMSINV(AB624))&lt;AC$8,AC$5+SQRT(NORMSDIST(AC$9*SQRT($C$11)*NORMSINV($B624)+SQRT(1-AC$9^2*$C$11)*NORMSINV(AB624))*(AC$7-AC$5)*(AC$6-AC$5)),AC$7-SQRT((1-NORMSDIST(AC$9*SQRT($C$11)*NORMSINV($B624)+SQRT(1-AC$9^2*$C$11)*NORMSINV(AB624)))*(AC$7-AC$5)*(AC$7-AC$6))))</f>
        <v>8.256979673915</v>
      </c>
      <c r="AD624" s="2" t="n">
        <f aca="false">Entrées!$C$8*(1+E624)</f>
        <v>7435.29555750797</v>
      </c>
      <c r="AE624" s="2" t="n">
        <f aca="false">I624*Hypothèses!$J$24/12/Hypothèses!$J$19</f>
        <v>97.014505887296</v>
      </c>
      <c r="AF624" s="2" t="n">
        <f aca="false">Entrées!$C$36*S624*1000</f>
        <v>163.219333920382</v>
      </c>
      <c r="AG624" s="2" t="n">
        <f aca="false">-AF624/W624</f>
        <v>-17.369727789023</v>
      </c>
      <c r="AH624" s="2" t="n">
        <f aca="false">AD624+AE624+AG624</f>
        <v>7514.94033560624</v>
      </c>
      <c r="AI624" s="2" t="n">
        <f aca="false">Entrées!$C$16-M624+Hypothèses!$J$22*1000-AF624+Hypothèses!$J$23</f>
        <v>22708.267319381</v>
      </c>
      <c r="AJ624" s="2" t="n">
        <f aca="false">AI624/AH624</f>
        <v>3.02174951566653</v>
      </c>
      <c r="AK624" s="2" t="n">
        <f aca="false">AI624/(AH624+I624*(12-Hypothèses!$J$24)/12/Hypothèses!$J$19)</f>
        <v>2.99414022560357</v>
      </c>
      <c r="AL624" s="2" t="n">
        <f aca="false">(AD624+AG624+I624/Hypothèses!$J$19)*(1+G624)</f>
        <v>7944.49890650793</v>
      </c>
      <c r="AM624" s="2" t="n">
        <f aca="false">Entrées!$C$54*K624/Hypothèses!$J$19</f>
        <v>24.8661535239966</v>
      </c>
      <c r="AN624" s="2" t="n">
        <f aca="false">Y624*1000/AC624</f>
        <v>32.1281842553615</v>
      </c>
      <c r="AO624" s="2" t="n">
        <f aca="false">(Entrées!$C$36*(1-S624)+MAX(0,Entrées!$C$30-Entrées!$C$35-Entrées!$C$36)*U624)*1000</f>
        <v>1086.66437854623</v>
      </c>
      <c r="AP624" s="2" t="n">
        <f aca="false">-AO624/W624</f>
        <v>-115.642332314523</v>
      </c>
      <c r="AQ624" s="2" t="n">
        <f aca="false">AL624+AM624+AN624+AP624</f>
        <v>7885.85091197277</v>
      </c>
      <c r="AR624" s="2" t="n">
        <f aca="false">O624*AQ624-Hypothèses!$J$25/Hypothèses!$J$19</f>
        <v>1232.66043019079</v>
      </c>
      <c r="AS624" s="2" t="n">
        <f aca="false">Entrées!$C$79*(1+Q624)+Hypothèses!$J$20</f>
        <v>1482.16360319558</v>
      </c>
      <c r="AT624" s="2" t="n">
        <f aca="false">AI624-AR624+AS624+Y624*1000-AO624+Hypothèses!$J$23</f>
        <v>22136.3878781959</v>
      </c>
      <c r="AU624" s="2" t="n">
        <f aca="false">AT624/AQ624</f>
        <v>2.80710200145772</v>
      </c>
      <c r="AV624" s="2" t="n">
        <f aca="false">Hypothèses!$J$26*AQ624-AT624</f>
        <v>1521.16485772239</v>
      </c>
      <c r="AW624" s="2" t="n">
        <f aca="false">IF(AC624&gt;Hypothèses!$J$26,MAX(0,AV624)/(1-Hypothèses!$J$26/AC624),0)</f>
        <v>2389.24783620738</v>
      </c>
      <c r="AX624" s="2" t="n">
        <f aca="false">AQ624-Entrées!$C$17*1000</f>
        <v>-114.14908802723</v>
      </c>
      <c r="AY624" s="2" t="n">
        <f aca="false">AI624+(Entrées!$C$244-Entrées!$C$13)</f>
        <v>28455.267319381</v>
      </c>
      <c r="AZ624" s="2" t="n">
        <f aca="false">AA624*AH624</f>
        <v>5502.62264083967</v>
      </c>
      <c r="BA624" s="2" t="n">
        <f aca="false">AZ624/AY624</f>
        <v>0.193377998494212</v>
      </c>
      <c r="BB624" s="2" t="n">
        <f aca="false">AZ624/(Entrées!$C$151/100)-AY624</f>
        <v>2114.85846306154</v>
      </c>
      <c r="BC624" s="2" t="n">
        <f aca="false">AT624+(Entrées!$C$244-Entrées!$C$13)</f>
        <v>27883.3878781959</v>
      </c>
      <c r="BD624" s="2" t="n">
        <f aca="false">AA624*AQ624</f>
        <v>5774.21241322562</v>
      </c>
      <c r="BE624" s="2" t="n">
        <f aca="false">BD624/BC624</f>
        <v>0.207084319826892</v>
      </c>
      <c r="BF624" s="2" t="n">
        <f aca="false">BD624/(Entrées!$C$151/100)-BC624</f>
        <v>4195.56997305753</v>
      </c>
      <c r="BG624" s="2" t="n">
        <f aca="false">MIN(AV624,BF624)</f>
        <v>1521.16485772239</v>
      </c>
      <c r="BH624" s="2" t="n">
        <f aca="false">IF(AC624&gt;Hypothèses!$J$26,MAX(0,BG624)/(1-Hypothèses!$J$26/AC624),0)</f>
        <v>2389.24783620738</v>
      </c>
    </row>
    <row r="625" customFormat="false" ht="15" hidden="false" customHeight="false" outlineLevel="0" collapsed="false">
      <c r="A625" s="2" t="n">
        <v>610</v>
      </c>
      <c r="B625" s="2" t="n">
        <v>0.242339121</v>
      </c>
      <c r="C625" s="2"/>
      <c r="D625" s="2" t="n">
        <v>0.578860037</v>
      </c>
      <c r="E625" s="2" t="n">
        <f aca="false">IF(E$7=E$5,E$6,IF(NORMSDIST(E$9*SQRT($C$11)*NORMSINV($B625)+SQRT(1-E$9^2*$C$11)*NORMSINV(D625))&lt;E$8,E$5+SQRT(NORMSDIST(E$9*SQRT($C$11)*NORMSINV($B625)+SQRT(1-E$9^2*$C$11)*NORMSINV(D625))*(E$7-E$5)*(E$6-E$5)),E$7-SQRT((1-NORMSDIST(E$9*SQRT($C$11)*NORMSINV($B625)+SQRT(1-E$9^2*$C$11)*NORMSINV(D625)))*(E$7-E$5)*(E$7-E$6))))</f>
        <v>0.054397374575362</v>
      </c>
      <c r="F625" s="2" t="n">
        <v>0.269143181</v>
      </c>
      <c r="G625" s="2" t="n">
        <f aca="false">IF(G$7=G$5,G$6,IF(NORMSDIST(G$9*SQRT($C$11)*NORMSINV($B625)+SQRT(1-G$9^2*$C$11)*NORMSINV(F625))&lt;G$8,G$5+SQRT(NORMSDIST(G$9*SQRT($C$11)*NORMSINV($B625)+SQRT(1-G$9^2*$C$11)*NORMSINV(F625))*(G$7-G$5)*(G$6-G$5)),G$7-SQRT((1-NORMSDIST(G$9*SQRT($C$11)*NORMSINV($B625)+SQRT(1-G$9^2*$C$11)*NORMSINV(F625)))*(G$7-G$5)*(G$7-G$6))))</f>
        <v>0.0489784546458053</v>
      </c>
      <c r="H625" s="2" t="n">
        <v>0.471740941</v>
      </c>
      <c r="I625" s="2" t="n">
        <f aca="false">IF(I$7=I$5,I$6,IF(NORMSDIST(I$9*SQRT($C$11)*NORMSINV($B625)+SQRT(1-I$9^2*$C$11)*NORMSINV(H625))&lt;I$8,I$5+SQRT(NORMSDIST(I$9*SQRT($C$11)*NORMSINV($B625)+SQRT(1-I$9^2*$C$11)*NORMSINV(H625))*(I$7-I$5)*(I$6-I$5)),I$7-SQRT((1-NORMSDIST(I$9*SQRT($C$11)*NORMSINV($B625)+SQRT(1-I$9^2*$C$11)*NORMSINV(H625)))*(I$7-I$5)*(I$7-I$6))))</f>
        <v>195.738849798455</v>
      </c>
      <c r="J625" s="2" t="n">
        <v>0.259152662</v>
      </c>
      <c r="K625" s="2" t="n">
        <f aca="false">IF(K$7=K$5,K$6,IF(NORMSDIST(K$9*SQRT($C$11)*NORMSINV($B625)+SQRT(1-K$9^2*$C$11)*NORMSINV(J625))&lt;K$8,K$5+SQRT(NORMSDIST(K$9*SQRT($C$11)*NORMSINV($B625)+SQRT(1-K$9^2*$C$11)*NORMSINV(J625))*(K$7-K$5)*(K$6-K$5)),K$7-SQRT((1-NORMSDIST(K$9*SQRT($C$11)*NORMSINV($B625)+SQRT(1-K$9^2*$C$11)*NORMSINV(J625)))*(K$7-K$5)*(K$7-K$6))))</f>
        <v>0.147060855340598</v>
      </c>
      <c r="L625" s="2" t="n">
        <v>0.81805017</v>
      </c>
      <c r="M625" s="2" t="n">
        <f aca="false">IF(M$7=M$5,M$6,IF(NORMSDIST(M$9*SQRT($C$11)*NORMSINV($B625)+SQRT(1-M$9^2*$C$11)*NORMSINV(L625))&lt;M$8,M$5+SQRT(NORMSDIST(M$9*SQRT($C$11)*NORMSINV($B625)+SQRT(1-M$9^2*$C$11)*NORMSINV(L625))*(M$7-M$5)*(M$6-M$5)),M$7-SQRT((1-NORMSDIST(M$9*SQRT($C$11)*NORMSINV($B625)+SQRT(1-M$9^2*$C$11)*NORMSINV(L625)))*(M$7-M$5)*(M$7-M$6))))</f>
        <v>1613.07491537126</v>
      </c>
      <c r="N625" s="2" t="n">
        <v>0.531073353</v>
      </c>
      <c r="O625" s="2" t="n">
        <f aca="false">IF(O$7=O$5,O$6,IF(NORMSDIST(O$9*SQRT($C$11)*NORMSINV($B625)+SQRT(1-O$9^2*$C$11)*NORMSINV(N625))&lt;O$8,O$5+SQRT(NORMSDIST(O$9*SQRT($C$11)*NORMSINV($B625)+SQRT(1-O$9^2*$C$11)*NORMSINV(N625))*(O$7-O$5)*(O$6-O$5)),O$7-SQRT((1-NORMSDIST(O$9*SQRT($C$11)*NORMSINV($B625)+SQRT(1-O$9^2*$C$11)*NORMSINV(N625)))*(O$7-O$5)*(O$7-O$6))))</f>
        <v>0.162454037959061</v>
      </c>
      <c r="P625" s="2" t="n">
        <v>0.779787988</v>
      </c>
      <c r="Q625" s="2" t="n">
        <f aca="false">IF(Q$7=Q$5,Q$6,IF(NORMSDIST(Q$9*SQRT($C$11)*NORMSINV($B625)+SQRT(1-Q$9^2*$C$11)*NORMSINV(P625))&lt;Q$8,Q$5+SQRT(NORMSDIST(Q$9*SQRT($C$11)*NORMSINV($B625)+SQRT(1-Q$9^2*$C$11)*NORMSINV(P625))*(Q$7-Q$5)*(Q$6-Q$5)),Q$7-SQRT((1-NORMSDIST(Q$9*SQRT($C$11)*NORMSINV($B625)+SQRT(1-Q$9^2*$C$11)*NORMSINV(P625)))*(Q$7-Q$5)*(Q$7-Q$6))))</f>
        <v>0.0934542199511862</v>
      </c>
      <c r="R625" s="2" t="n">
        <v>0.664840869</v>
      </c>
      <c r="S625" s="2" t="n">
        <f aca="false">IF(S$7=S$5,S$6,IF(NORMSDIST(S$9*SQRT($C$11)*NORMSINV($B625)+SQRT(1-S$9^2*$C$11)*NORMSINV(R625))&lt;S$8,S$5+SQRT(NORMSDIST(S$9*SQRT($C$11)*NORMSINV($B625)+SQRT(1-S$9^2*$C$11)*NORMSINV(R625))*(S$7-S$5)*(S$6-S$5)),S$7-SQRT((1-NORMSDIST(S$9*SQRT($C$11)*NORMSINV($B625)+SQRT(1-S$9^2*$C$11)*NORMSINV(R625)))*(S$7-S$5)*(S$7-S$6))))</f>
        <v>0.477142933220815</v>
      </c>
      <c r="T625" s="2" t="n">
        <v>0.548263567</v>
      </c>
      <c r="U625" s="2" t="n">
        <f aca="false">IF(U$7=U$5,U$6,IF(NORMSDIST(U$9*SQRT($C$11)*NORMSINV($B625)+SQRT(1-U$9^2*$C$11)*NORMSINV(T625))&lt;U$8,U$5+SQRT(NORMSDIST(U$9*SQRT($C$11)*NORMSINV($B625)+SQRT(1-U$9^2*$C$11)*NORMSINV(T625))*(U$7-U$5)*(U$6-U$5)),U$7-SQRT((1-NORMSDIST(U$9*SQRT($C$11)*NORMSINV($B625)+SQRT(1-U$9^2*$C$11)*NORMSINV(T625)))*(U$7-U$5)*(U$7-U$6))))</f>
        <v>0.426563538503197</v>
      </c>
      <c r="V625" s="2" t="n">
        <v>0.313364933</v>
      </c>
      <c r="W625" s="2" t="n">
        <f aca="false">IF(W$7=W$5,W$6,IF(NORMSDIST(W$9*SQRT($C$11)*NORMSINV($B625)+SQRT(1-W$9^2*$C$11)*NORMSINV(V625))&lt;W$8,W$5+SQRT(NORMSDIST(W$9*SQRT($C$11)*NORMSINV($B625)+SQRT(1-W$9^2*$C$11)*NORMSINV(V625))*(W$7-W$5)*(W$6-W$5)),W$7-SQRT((1-NORMSDIST(W$9*SQRT($C$11)*NORMSINV($B625)+SQRT(1-W$9^2*$C$11)*NORMSINV(V625)))*(W$7-W$5)*(W$7-W$6))))</f>
        <v>9.28526044516847</v>
      </c>
      <c r="X625" s="2" t="n">
        <v>0.926001303</v>
      </c>
      <c r="Y625" s="2" t="n">
        <f aca="false">IF(Y$7=Y$5,Y$6,IF(NORMSDIST(Y$9*SQRT($C$11)*NORMSINV($B625)+SQRT(1-Y$9^2*$C$11)*NORMSINV(X625))&lt;Y$8,Y$5+SQRT(NORMSDIST(Y$9*SQRT($C$11)*NORMSINV($B625)+SQRT(1-Y$9^2*$C$11)*NORMSINV(X625))*(Y$7-Y$5)*(Y$6-Y$5)),Y$7-SQRT((1-NORMSDIST(Y$9*SQRT($C$11)*NORMSINV($B625)+SQRT(1-Y$9^2*$C$11)*NORMSINV(X625)))*(Y$7-Y$5)*(Y$7-Y$6))))</f>
        <v>0.807647852884352</v>
      </c>
      <c r="Z625" s="2" t="n">
        <v>0.564028174</v>
      </c>
      <c r="AA625" s="2" t="n">
        <f aca="false">IF(AA$7=AA$5,AA$6,IF(NORMSDIST(AA$9*SQRT($C$11)*NORMSINV($B625)+SQRT(1-AA$9^2*$C$11)*NORMSINV(Z625))&lt;AA$8,AA$5+SQRT(NORMSDIST(AA$9*SQRT($C$11)*NORMSINV($B625)+SQRT(1-AA$9^2*$C$11)*NORMSINV(Z625))*(AA$7-AA$5)*(AA$6-AA$5)),AA$7-SQRT((1-NORMSDIST(AA$9*SQRT($C$11)*NORMSINV($B625)+SQRT(1-AA$9^2*$C$11)*NORMSINV(Z625)))*(AA$7-AA$5)*(AA$7-AA$6))))</f>
        <v>0.723688130460037</v>
      </c>
      <c r="AB625" s="2" t="n">
        <v>0.214295963</v>
      </c>
      <c r="AC625" s="2" t="n">
        <f aca="false">IF(AC$7=AC$5,AC$6,IF(NORMSDIST(AC$9*SQRT($C$11)*NORMSINV($B625)+SQRT(1-AC$9^2*$C$11)*NORMSINV(AB625))&lt;AC$8,AC$5+SQRT(NORMSDIST(AC$9*SQRT($C$11)*NORMSINV($B625)+SQRT(1-AC$9^2*$C$11)*NORMSINV(AB625))*(AC$7-AC$5)*(AC$6-AC$5)),AC$7-SQRT((1-NORMSDIST(AC$9*SQRT($C$11)*NORMSINV($B625)+SQRT(1-AC$9^2*$C$11)*NORMSINV(AB625)))*(AC$7-AC$5)*(AC$7-AC$6))))</f>
        <v>8.52191640216264</v>
      </c>
      <c r="AD625" s="2" t="n">
        <f aca="false">Entrées!$C$8*(1+E625)</f>
        <v>7433.5014907563</v>
      </c>
      <c r="AE625" s="2" t="n">
        <f aca="false">I625*Hypothèses!$J$24/12/Hypothèses!$J$19</f>
        <v>97.1054168984528</v>
      </c>
      <c r="AF625" s="2" t="n">
        <f aca="false">Entrées!$C$36*S625*1000</f>
        <v>238.571466610408</v>
      </c>
      <c r="AG625" s="2" t="n">
        <f aca="false">-AF625/W625</f>
        <v>-25.6935675654146</v>
      </c>
      <c r="AH625" s="2" t="n">
        <f aca="false">AD625+AE625+AG625</f>
        <v>7504.91334008934</v>
      </c>
      <c r="AI625" s="2" t="n">
        <f aca="false">Entrées!$C$16-M625+Hypothèses!$J$22*1000-AF625+Hypothèses!$J$23</f>
        <v>22696.3536180183</v>
      </c>
      <c r="AJ625" s="2" t="n">
        <f aca="false">AI625/AH625</f>
        <v>3.02419929311911</v>
      </c>
      <c r="AK625" s="2" t="n">
        <f aca="false">AI625/(AH625+I625*(12-Hypothèses!$J$24)/12/Hypothèses!$J$19)</f>
        <v>2.99650534992133</v>
      </c>
      <c r="AL625" s="2" t="n">
        <f aca="false">(AD625+AG625+I625/Hypothèses!$J$19)*(1+G625)</f>
        <v>7945.2506049918</v>
      </c>
      <c r="AM625" s="2" t="n">
        <f aca="false">Entrées!$C$54*K625/Hypothèses!$J$19</f>
        <v>15.0081777561378</v>
      </c>
      <c r="AN625" s="2" t="n">
        <f aca="false">Y625*1000/AC625</f>
        <v>94.7730316480682</v>
      </c>
      <c r="AO625" s="2" t="n">
        <f aca="false">(Entrées!$C$36*(1-S625)+MAX(0,Entrées!$C$30-Entrées!$C$35-Entrées!$C$36)*U625)*1000</f>
        <v>858.617487294068</v>
      </c>
      <c r="AP625" s="2" t="n">
        <f aca="false">-AO625/W625</f>
        <v>-92.4710181652303</v>
      </c>
      <c r="AQ625" s="2" t="n">
        <f aca="false">AL625+AM625+AN625+AP625</f>
        <v>7962.56079623078</v>
      </c>
      <c r="AR625" s="2" t="n">
        <f aca="false">O625*AQ625-Hypothèses!$J$25/Hypothèses!$J$19</f>
        <v>1274.41499158058</v>
      </c>
      <c r="AS625" s="2" t="n">
        <f aca="false">Entrées!$C$79*(1+Q625)+Hypothèses!$J$20</f>
        <v>1496.70618772635</v>
      </c>
      <c r="AT625" s="2" t="n">
        <f aca="false">AI625-AR625+AS625+Y625*1000-AO625+Hypothèses!$J$23</f>
        <v>22867.6751797544</v>
      </c>
      <c r="AU625" s="2" t="n">
        <f aca="false">AT625/AQ625</f>
        <v>2.87189960176872</v>
      </c>
      <c r="AV625" s="2" t="n">
        <f aca="false">Hypothèses!$J$26*AQ625-AT625</f>
        <v>1020.00720893794</v>
      </c>
      <c r="AW625" s="2" t="n">
        <f aca="false">IF(AC625&gt;Hypothèses!$J$26,MAX(0,AV625)/(1-Hypothèses!$J$26/AC625),0)</f>
        <v>1574.16656303743</v>
      </c>
      <c r="AX625" s="2" t="n">
        <f aca="false">AQ625-Entrées!$C$17*1000</f>
        <v>-37.4392037692205</v>
      </c>
      <c r="AY625" s="2" t="n">
        <f aca="false">AI625+(Entrées!$C$244-Entrées!$C$13)</f>
        <v>28443.3536180183</v>
      </c>
      <c r="AZ625" s="2" t="n">
        <f aca="false">AA625*AH625</f>
        <v>5431.21670435384</v>
      </c>
      <c r="BA625" s="2" t="n">
        <f aca="false">AZ625/AY625</f>
        <v>0.1909485350178</v>
      </c>
      <c r="BB625" s="2" t="n">
        <f aca="false">AZ625/(Entrées!$C$151/100)-AY625</f>
        <v>1730.07251728079</v>
      </c>
      <c r="BC625" s="2" t="n">
        <f aca="false">AT625+(Entrées!$C$244-Entrées!$C$13)</f>
        <v>28614.6751797544</v>
      </c>
      <c r="BD625" s="2" t="n">
        <f aca="false">AA625*AQ625</f>
        <v>5762.41073629863</v>
      </c>
      <c r="BE625" s="2" t="n">
        <f aca="false">BD625/BC625</f>
        <v>0.201379561364921</v>
      </c>
      <c r="BF625" s="2" t="n">
        <f aca="false">BD625/(Entrées!$C$151/100)-BC625</f>
        <v>3398.71779968246</v>
      </c>
      <c r="BG625" s="2" t="n">
        <f aca="false">MIN(AV625,BF625)</f>
        <v>1020.00720893794</v>
      </c>
      <c r="BH625" s="2" t="n">
        <f aca="false">IF(AC625&gt;Hypothèses!$J$26,MAX(0,BG625)/(1-Hypothèses!$J$26/AC625),0)</f>
        <v>1574.16656303743</v>
      </c>
    </row>
    <row r="626" customFormat="false" ht="15" hidden="false" customHeight="false" outlineLevel="0" collapsed="false">
      <c r="A626" s="2" t="n">
        <v>611</v>
      </c>
      <c r="B626" s="2" t="n">
        <v>0.341075451</v>
      </c>
      <c r="C626" s="2"/>
      <c r="D626" s="2" t="n">
        <v>0.440659968</v>
      </c>
      <c r="E626" s="2" t="n">
        <f aca="false">IF(E$7=E$5,E$6,IF(NORMSDIST(E$9*SQRT($C$11)*NORMSINV($B626)+SQRT(1-E$9^2*$C$11)*NORMSINV(D626))&lt;E$8,E$5+SQRT(NORMSDIST(E$9*SQRT($C$11)*NORMSINV($B626)+SQRT(1-E$9^2*$C$11)*NORMSINV(D626))*(E$7-E$5)*(E$6-E$5)),E$7-SQRT((1-NORMSDIST(E$9*SQRT($C$11)*NORMSINV($B626)+SQRT(1-E$9^2*$C$11)*NORMSINV(D626)))*(E$7-E$5)*(E$7-E$6))))</f>
        <v>0.054206893231505</v>
      </c>
      <c r="F626" s="2" t="n">
        <v>0.553034911</v>
      </c>
      <c r="G626" s="2" t="n">
        <f aca="false">IF(G$7=G$5,G$6,IF(NORMSDIST(G$9*SQRT($C$11)*NORMSINV($B626)+SQRT(1-G$9^2*$C$11)*NORMSINV(F626))&lt;G$8,G$5+SQRT(NORMSDIST(G$9*SQRT($C$11)*NORMSINV($B626)+SQRT(1-G$9^2*$C$11)*NORMSINV(F626))*(G$7-G$5)*(G$6-G$5)),G$7-SQRT((1-NORMSDIST(G$9*SQRT($C$11)*NORMSINV($B626)+SQRT(1-G$9^2*$C$11)*NORMSINV(F626)))*(G$7-G$5)*(G$7-G$6))))</f>
        <v>0.0540411991802949</v>
      </c>
      <c r="H626" s="2" t="n">
        <v>0.932984224</v>
      </c>
      <c r="I626" s="2" t="n">
        <f aca="false">IF(I$7=I$5,I$6,IF(NORMSDIST(I$9*SQRT($C$11)*NORMSINV($B626)+SQRT(1-I$9^2*$C$11)*NORMSINV(H626))&lt;I$8,I$5+SQRT(NORMSDIST(I$9*SQRT($C$11)*NORMSINV($B626)+SQRT(1-I$9^2*$C$11)*NORMSINV(H626))*(I$7-I$5)*(I$6-I$5)),I$7-SQRT((1-NORMSDIST(I$9*SQRT($C$11)*NORMSINV($B626)+SQRT(1-I$9^2*$C$11)*NORMSINV(H626)))*(I$7-I$5)*(I$7-I$6))))</f>
        <v>207.879797222127</v>
      </c>
      <c r="J626" s="2" t="n">
        <v>0.22371293</v>
      </c>
      <c r="K626" s="2" t="n">
        <f aca="false">IF(K$7=K$5,K$6,IF(NORMSDIST(K$9*SQRT($C$11)*NORMSINV($B626)+SQRT(1-K$9^2*$C$11)*NORMSINV(J626))&lt;K$8,K$5+SQRT(NORMSDIST(K$9*SQRT($C$11)*NORMSINV($B626)+SQRT(1-K$9^2*$C$11)*NORMSINV(J626))*(K$7-K$5)*(K$6-K$5)),K$7-SQRT((1-NORMSDIST(K$9*SQRT($C$11)*NORMSINV($B626)+SQRT(1-K$9^2*$C$11)*NORMSINV(J626)))*(K$7-K$5)*(K$7-K$6))))</f>
        <v>0.157465692972758</v>
      </c>
      <c r="L626" s="2" t="n">
        <v>0.708139103</v>
      </c>
      <c r="M626" s="2" t="n">
        <f aca="false">IF(M$7=M$5,M$6,IF(NORMSDIST(M$9*SQRT($C$11)*NORMSINV($B626)+SQRT(1-M$9^2*$C$11)*NORMSINV(L626))&lt;M$8,M$5+SQRT(NORMSDIST(M$9*SQRT($C$11)*NORMSINV($B626)+SQRT(1-M$9^2*$C$11)*NORMSINV(L626))*(M$7-M$5)*(M$6-M$5)),M$7-SQRT((1-NORMSDIST(M$9*SQRT($C$11)*NORMSINV($B626)+SQRT(1-M$9^2*$C$11)*NORMSINV(L626)))*(M$7-M$5)*(M$7-M$6))))</f>
        <v>1603.31632614189</v>
      </c>
      <c r="N626" s="2" t="n">
        <v>0.391616275</v>
      </c>
      <c r="O626" s="2" t="n">
        <f aca="false">IF(O$7=O$5,O$6,IF(NORMSDIST(O$9*SQRT($C$11)*NORMSINV($B626)+SQRT(1-O$9^2*$C$11)*NORMSINV(N626))&lt;O$8,O$5+SQRT(NORMSDIST(O$9*SQRT($C$11)*NORMSINV($B626)+SQRT(1-O$9^2*$C$11)*NORMSINV(N626))*(O$7-O$5)*(O$6-O$5)),O$7-SQRT((1-NORMSDIST(O$9*SQRT($C$11)*NORMSINV($B626)+SQRT(1-O$9^2*$C$11)*NORMSINV(N626)))*(O$7-O$5)*(O$7-O$6))))</f>
        <v>0.161374794883128</v>
      </c>
      <c r="P626" s="2" t="n">
        <v>0.681117135</v>
      </c>
      <c r="Q626" s="2" t="n">
        <f aca="false">IF(Q$7=Q$5,Q$6,IF(NORMSDIST(Q$9*SQRT($C$11)*NORMSINV($B626)+SQRT(1-Q$9^2*$C$11)*NORMSINV(P626))&lt;Q$8,Q$5+SQRT(NORMSDIST(Q$9*SQRT($C$11)*NORMSINV($B626)+SQRT(1-Q$9^2*$C$11)*NORMSINV(P626))*(Q$7-Q$5)*(Q$6-Q$5)),Q$7-SQRT((1-NORMSDIST(Q$9*SQRT($C$11)*NORMSINV($B626)+SQRT(1-Q$9^2*$C$11)*NORMSINV(P626)))*(Q$7-Q$5)*(Q$7-Q$6))))</f>
        <v>0.0880559055849129</v>
      </c>
      <c r="R626" s="2" t="n">
        <v>0.599382094</v>
      </c>
      <c r="S626" s="2" t="n">
        <f aca="false">IF(S$7=S$5,S$6,IF(NORMSDIST(S$9*SQRT($C$11)*NORMSINV($B626)+SQRT(1-S$9^2*$C$11)*NORMSINV(R626))&lt;S$8,S$5+SQRT(NORMSDIST(S$9*SQRT($C$11)*NORMSINV($B626)+SQRT(1-S$9^2*$C$11)*NORMSINV(R626))*(S$7-S$5)*(S$6-S$5)),S$7-SQRT((1-NORMSDIST(S$9*SQRT($C$11)*NORMSINV($B626)+SQRT(1-S$9^2*$C$11)*NORMSINV(R626)))*(S$7-S$5)*(S$7-S$6))))</f>
        <v>0.487074250603401</v>
      </c>
      <c r="T626" s="2" t="n">
        <v>0.028636065</v>
      </c>
      <c r="U626" s="2" t="n">
        <f aca="false">IF(U$7=U$5,U$6,IF(NORMSDIST(U$9*SQRT($C$11)*NORMSINV($B626)+SQRT(1-U$9^2*$C$11)*NORMSINV(T626))&lt;U$8,U$5+SQRT(NORMSDIST(U$9*SQRT($C$11)*NORMSINV($B626)+SQRT(1-U$9^2*$C$11)*NORMSINV(T626))*(U$7-U$5)*(U$6-U$5)),U$7-SQRT((1-NORMSDIST(U$9*SQRT($C$11)*NORMSINV($B626)+SQRT(1-U$9^2*$C$11)*NORMSINV(T626)))*(U$7-U$5)*(U$7-U$6))))</f>
        <v>0.144332936318515</v>
      </c>
      <c r="V626" s="2" t="n">
        <v>0.807526366</v>
      </c>
      <c r="W626" s="2" t="n">
        <f aca="false">IF(W$7=W$5,W$6,IF(NORMSDIST(W$9*SQRT($C$11)*NORMSINV($B626)+SQRT(1-W$9^2*$C$11)*NORMSINV(V626))&lt;W$8,W$5+SQRT(NORMSDIST(W$9*SQRT($C$11)*NORMSINV($B626)+SQRT(1-W$9^2*$C$11)*NORMSINV(V626))*(W$7-W$5)*(W$6-W$5)),W$7-SQRT((1-NORMSDIST(W$9*SQRT($C$11)*NORMSINV($B626)+SQRT(1-W$9^2*$C$11)*NORMSINV(V626)))*(W$7-W$5)*(W$7-W$6))))</f>
        <v>10.3520999446003</v>
      </c>
      <c r="X626" s="2" t="n">
        <v>0.775668384</v>
      </c>
      <c r="Y626" s="2" t="n">
        <f aca="false">IF(Y$7=Y$5,Y$6,IF(NORMSDIST(Y$9*SQRT($C$11)*NORMSINV($B626)+SQRT(1-Y$9^2*$C$11)*NORMSINV(X626))&lt;Y$8,Y$5+SQRT(NORMSDIST(Y$9*SQRT($C$11)*NORMSINV($B626)+SQRT(1-Y$9^2*$C$11)*NORMSINV(X626))*(Y$7-Y$5)*(Y$6-Y$5)),Y$7-SQRT((1-NORMSDIST(Y$9*SQRT($C$11)*NORMSINV($B626)+SQRT(1-Y$9^2*$C$11)*NORMSINV(X626)))*(Y$7-Y$5)*(Y$7-Y$6))))</f>
        <v>0.665088357921078</v>
      </c>
      <c r="Z626" s="2" t="n">
        <v>0.869105336</v>
      </c>
      <c r="AA626" s="2" t="n">
        <f aca="false">IF(AA$7=AA$5,AA$6,IF(NORMSDIST(AA$9*SQRT($C$11)*NORMSINV($B626)+SQRT(1-AA$9^2*$C$11)*NORMSINV(Z626))&lt;AA$8,AA$5+SQRT(NORMSDIST(AA$9*SQRT($C$11)*NORMSINV($B626)+SQRT(1-AA$9^2*$C$11)*NORMSINV(Z626))*(AA$7-AA$5)*(AA$6-AA$5)),AA$7-SQRT((1-NORMSDIST(AA$9*SQRT($C$11)*NORMSINV($B626)+SQRT(1-AA$9^2*$C$11)*NORMSINV(Z626)))*(AA$7-AA$5)*(AA$7-AA$6))))</f>
        <v>0.735211262266977</v>
      </c>
      <c r="AB626" s="2" t="n">
        <v>0.107307417</v>
      </c>
      <c r="AC626" s="2" t="n">
        <f aca="false">IF(AC$7=AC$5,AC$6,IF(NORMSDIST(AC$9*SQRT($C$11)*NORMSINV($B626)+SQRT(1-AC$9^2*$C$11)*NORMSINV(AB626))&lt;AC$8,AC$5+SQRT(NORMSDIST(AC$9*SQRT($C$11)*NORMSINV($B626)+SQRT(1-AC$9^2*$C$11)*NORMSINV(AB626))*(AC$7-AC$5)*(AC$6-AC$5)),AC$7-SQRT((1-NORMSDIST(AC$9*SQRT($C$11)*NORMSINV($B626)+SQRT(1-AC$9^2*$C$11)*NORMSINV(AB626)))*(AC$7-AC$5)*(AC$7-AC$6))))</f>
        <v>8.38010952005474</v>
      </c>
      <c r="AD626" s="2" t="n">
        <f aca="false">Entrées!$C$8*(1+E626)</f>
        <v>7432.15859728211</v>
      </c>
      <c r="AE626" s="2" t="n">
        <f aca="false">I626*Hypothèses!$J$24/12/Hypothèses!$J$19</f>
        <v>103.128502056722</v>
      </c>
      <c r="AF626" s="2" t="n">
        <f aca="false">Entrées!$C$36*S626*1000</f>
        <v>243.5371253017</v>
      </c>
      <c r="AG626" s="2" t="n">
        <f aca="false">-AF626/W626</f>
        <v>-23.5253838936062</v>
      </c>
      <c r="AH626" s="2" t="n">
        <f aca="false">AD626+AE626+AG626</f>
        <v>7511.76171544523</v>
      </c>
      <c r="AI626" s="2" t="n">
        <f aca="false">Entrées!$C$16-M626+Hypothèses!$J$22*1000-AF626+Hypothèses!$J$23</f>
        <v>22701.1465485564</v>
      </c>
      <c r="AJ626" s="2" t="n">
        <f aca="false">AI626/AH626</f>
        <v>3.02208022678351</v>
      </c>
      <c r="AK626" s="2" t="n">
        <f aca="false">AI626/(AH626+I626*(12-Hypothèses!$J$24)/12/Hypothèses!$J$19)</f>
        <v>2.99273234584171</v>
      </c>
      <c r="AL626" s="2" t="n">
        <f aca="false">(AD626+AG626+I626/Hypothèses!$J$19)*(1+G626)</f>
        <v>7995.35039077418</v>
      </c>
      <c r="AM626" s="2" t="n">
        <f aca="false">Entrées!$C$54*K626/Hypothèses!$J$19</f>
        <v>16.0700351235899</v>
      </c>
      <c r="AN626" s="2" t="n">
        <f aca="false">Y626*1000/AC626</f>
        <v>79.365115256481</v>
      </c>
      <c r="AO626" s="2" t="n">
        <f aca="false">(Entrées!$C$36*(1-S626)+MAX(0,Entrées!$C$30-Entrées!$C$35-Entrées!$C$36)*U626)*1000</f>
        <v>458.528985544221</v>
      </c>
      <c r="AP626" s="2" t="n">
        <f aca="false">-AO626/W626</f>
        <v>-44.2933306283807</v>
      </c>
      <c r="AQ626" s="2" t="n">
        <f aca="false">AL626+AM626+AN626+AP626</f>
        <v>8046.49221052588</v>
      </c>
      <c r="AR626" s="2" t="n">
        <f aca="false">O626*AQ626-Hypothèses!$J$25/Hypothèses!$J$19</f>
        <v>1279.36586774067</v>
      </c>
      <c r="AS626" s="2" t="n">
        <f aca="false">Entrées!$C$79*(1+Q626)+Hypothèses!$J$20</f>
        <v>1490.77344023782</v>
      </c>
      <c r="AT626" s="2" t="n">
        <f aca="false">AI626-AR626+AS626+Y626*1000-AO626+Hypothèses!$J$23</f>
        <v>23119.1134934304</v>
      </c>
      <c r="AU626" s="2" t="n">
        <f aca="false">AT626/AQ626</f>
        <v>2.87319155832744</v>
      </c>
      <c r="AV626" s="2" t="n">
        <f aca="false">Hypothèses!$J$26*AQ626-AT626</f>
        <v>1020.3631381472</v>
      </c>
      <c r="AW626" s="2" t="n">
        <f aca="false">IF(AC626&gt;Hypothèses!$J$26,MAX(0,AV626)/(1-Hypothèses!$J$26/AC626),0)</f>
        <v>1589.32728339949</v>
      </c>
      <c r="AX626" s="2" t="n">
        <f aca="false">AQ626-Entrées!$C$17*1000</f>
        <v>46.4922105258747</v>
      </c>
      <c r="AY626" s="2" t="n">
        <f aca="false">AI626+(Entrées!$C$244-Entrées!$C$13)</f>
        <v>28448.1465485564</v>
      </c>
      <c r="AZ626" s="2" t="n">
        <f aca="false">AA626*AH626</f>
        <v>5522.73181266123</v>
      </c>
      <c r="BA626" s="2" t="n">
        <f aca="false">AZ626/AY626</f>
        <v>0.194133273436103</v>
      </c>
      <c r="BB626" s="2" t="n">
        <f aca="false">AZ626/(Entrées!$C$151/100)-AY626</f>
        <v>2233.69685511711</v>
      </c>
      <c r="BC626" s="2" t="n">
        <f aca="false">AT626+(Entrées!$C$244-Entrées!$C$13)</f>
        <v>28866.1134934304</v>
      </c>
      <c r="BD626" s="2" t="n">
        <f aca="false">AA626*AQ626</f>
        <v>5915.87169492212</v>
      </c>
      <c r="BE626" s="2" t="n">
        <f aca="false">BD626/BC626</f>
        <v>0.204941745838715</v>
      </c>
      <c r="BF626" s="2" t="n">
        <f aca="false">BD626/(Entrées!$C$151/100)-BC626</f>
        <v>3999.84036724804</v>
      </c>
      <c r="BG626" s="2" t="n">
        <f aca="false">MIN(AV626,BF626)</f>
        <v>1020.3631381472</v>
      </c>
      <c r="BH626" s="2" t="n">
        <f aca="false">IF(AC626&gt;Hypothèses!$J$26,MAX(0,BG626)/(1-Hypothèses!$J$26/AC626),0)</f>
        <v>1589.32728339949</v>
      </c>
    </row>
    <row r="627" customFormat="false" ht="15" hidden="false" customHeight="false" outlineLevel="0" collapsed="false">
      <c r="A627" s="2" t="n">
        <v>612</v>
      </c>
      <c r="B627" s="2" t="n">
        <v>0.942545361</v>
      </c>
      <c r="C627" s="2"/>
      <c r="D627" s="2" t="n">
        <v>0.825394525</v>
      </c>
      <c r="E627" s="2" t="n">
        <f aca="false">IF(E$7=E$5,E$6,IF(NORMSDIST(E$9*SQRT($C$11)*NORMSINV($B627)+SQRT(1-E$9^2*$C$11)*NORMSINV(D627))&lt;E$8,E$5+SQRT(NORMSDIST(E$9*SQRT($C$11)*NORMSINV($B627)+SQRT(1-E$9^2*$C$11)*NORMSINV(D627))*(E$7-E$5)*(E$6-E$5)),E$7-SQRT((1-NORMSDIST(E$9*SQRT($C$11)*NORMSINV($B627)+SQRT(1-E$9^2*$C$11)*NORMSINV(D627)))*(E$7-E$5)*(E$7-E$6))))</f>
        <v>0.0585419547401127</v>
      </c>
      <c r="F627" s="2" t="n">
        <v>0.690729599</v>
      </c>
      <c r="G627" s="2" t="n">
        <f aca="false">IF(G$7=G$5,G$6,IF(NORMSDIST(G$9*SQRT($C$11)*NORMSINV($B627)+SQRT(1-G$9^2*$C$11)*NORMSINV(F627))&lt;G$8,G$5+SQRT(NORMSDIST(G$9*SQRT($C$11)*NORMSINV($B627)+SQRT(1-G$9^2*$C$11)*NORMSINV(F627))*(G$7-G$5)*(G$6-G$5)),G$7-SQRT((1-NORMSDIST(G$9*SQRT($C$11)*NORMSINV($B627)+SQRT(1-G$9^2*$C$11)*NORMSINV(F627)))*(G$7-G$5)*(G$7-G$6))))</f>
        <v>0.0638749375249736</v>
      </c>
      <c r="H627" s="2" t="n">
        <v>0.385904329</v>
      </c>
      <c r="I627" s="2" t="n">
        <f aca="false">IF(I$7=I$5,I$6,IF(NORMSDIST(I$9*SQRT($C$11)*NORMSINV($B627)+SQRT(1-I$9^2*$C$11)*NORMSINV(H627))&lt;I$8,I$5+SQRT(NORMSDIST(I$9*SQRT($C$11)*NORMSINV($B627)+SQRT(1-I$9^2*$C$11)*NORMSINV(H627))*(I$7-I$5)*(I$6-I$5)),I$7-SQRT((1-NORMSDIST(I$9*SQRT($C$11)*NORMSINV($B627)+SQRT(1-I$9^2*$C$11)*NORMSINV(H627)))*(I$7-I$5)*(I$7-I$6))))</f>
        <v>206.735606878169</v>
      </c>
      <c r="J627" s="2" t="n">
        <v>0.252434436</v>
      </c>
      <c r="K627" s="2" t="n">
        <f aca="false">IF(K$7=K$5,K$6,IF(NORMSDIST(K$9*SQRT($C$11)*NORMSINV($B627)+SQRT(1-K$9^2*$C$11)*NORMSINV(J627))&lt;K$8,K$5+SQRT(NORMSDIST(K$9*SQRT($C$11)*NORMSINV($B627)+SQRT(1-K$9^2*$C$11)*NORMSINV(J627))*(K$7-K$5)*(K$6-K$5)),K$7-SQRT((1-NORMSDIST(K$9*SQRT($C$11)*NORMSINV($B627)+SQRT(1-K$9^2*$C$11)*NORMSINV(J627)))*(K$7-K$5)*(K$7-K$6))))</f>
        <v>0.301434872992516</v>
      </c>
      <c r="L627" s="2" t="n">
        <v>0.759143391</v>
      </c>
      <c r="M627" s="2" t="n">
        <f aca="false">IF(M$7=M$5,M$6,IF(NORMSDIST(M$9*SQRT($C$11)*NORMSINV($B627)+SQRT(1-M$9^2*$C$11)*NORMSINV(L627))&lt;M$8,M$5+SQRT(NORMSDIST(M$9*SQRT($C$11)*NORMSINV($B627)+SQRT(1-M$9^2*$C$11)*NORMSINV(L627))*(M$7-M$5)*(M$6-M$5)),M$7-SQRT((1-NORMSDIST(M$9*SQRT($C$11)*NORMSINV($B627)+SQRT(1-M$9^2*$C$11)*NORMSINV(L627)))*(M$7-M$5)*(M$7-M$6))))</f>
        <v>1721.91044365258</v>
      </c>
      <c r="N627" s="2" t="n">
        <v>0.432212264</v>
      </c>
      <c r="O627" s="2" t="n">
        <f aca="false">IF(O$7=O$5,O$6,IF(NORMSDIST(O$9*SQRT($C$11)*NORMSINV($B627)+SQRT(1-O$9^2*$C$11)*NORMSINV(N627))&lt;O$8,O$5+SQRT(NORMSDIST(O$9*SQRT($C$11)*NORMSINV($B627)+SQRT(1-O$9^2*$C$11)*NORMSINV(N627))*(O$7-O$5)*(O$6-O$5)),O$7-SQRT((1-NORMSDIST(O$9*SQRT($C$11)*NORMSINV($B627)+SQRT(1-O$9^2*$C$11)*NORMSINV(N627)))*(O$7-O$5)*(O$7-O$6))))</f>
        <v>0.175640737499057</v>
      </c>
      <c r="P627" s="2" t="n">
        <v>0.761996825</v>
      </c>
      <c r="Q627" s="2" t="n">
        <f aca="false">IF(Q$7=Q$5,Q$6,IF(NORMSDIST(Q$9*SQRT($C$11)*NORMSINV($B627)+SQRT(1-Q$9^2*$C$11)*NORMSINV(P627))&lt;Q$8,Q$5+SQRT(NORMSDIST(Q$9*SQRT($C$11)*NORMSINV($B627)+SQRT(1-Q$9^2*$C$11)*NORMSINV(P627))*(Q$7-Q$5)*(Q$6-Q$5)),Q$7-SQRT((1-NORMSDIST(Q$9*SQRT($C$11)*NORMSINV($B627)+SQRT(1-Q$9^2*$C$11)*NORMSINV(P627)))*(Q$7-Q$5)*(Q$7-Q$6))))</f>
        <v>0.0924027146262536</v>
      </c>
      <c r="R627" s="2" t="n">
        <v>0.972764037</v>
      </c>
      <c r="S627" s="2" t="n">
        <f aca="false">IF(S$7=S$5,S$6,IF(NORMSDIST(S$9*SQRT($C$11)*NORMSINV($B627)+SQRT(1-S$9^2*$C$11)*NORMSINV(R627))&lt;S$8,S$5+SQRT(NORMSDIST(S$9*SQRT($C$11)*NORMSINV($B627)+SQRT(1-S$9^2*$C$11)*NORMSINV(R627))*(S$7-S$5)*(S$6-S$5)),S$7-SQRT((1-NORMSDIST(S$9*SQRT($C$11)*NORMSINV($B627)+SQRT(1-S$9^2*$C$11)*NORMSINV(R627)))*(S$7-S$5)*(S$7-S$6))))</f>
        <v>0.943222982634211</v>
      </c>
      <c r="T627" s="2" t="n">
        <v>0.153110064</v>
      </c>
      <c r="U627" s="2" t="n">
        <f aca="false">IF(U$7=U$5,U$6,IF(NORMSDIST(U$9*SQRT($C$11)*NORMSINV($B627)+SQRT(1-U$9^2*$C$11)*NORMSINV(T627))&lt;U$8,U$5+SQRT(NORMSDIST(U$9*SQRT($C$11)*NORMSINV($B627)+SQRT(1-U$9^2*$C$11)*NORMSINV(T627))*(U$7-U$5)*(U$6-U$5)),U$7-SQRT((1-NORMSDIST(U$9*SQRT($C$11)*NORMSINV($B627)+SQRT(1-U$9^2*$C$11)*NORMSINV(T627)))*(U$7-U$5)*(U$7-U$6))))</f>
        <v>0.542301388953771</v>
      </c>
      <c r="V627" s="2" t="n">
        <v>0.334251967</v>
      </c>
      <c r="W627" s="2" t="n">
        <f aca="false">IF(W$7=W$5,W$6,IF(NORMSDIST(W$9*SQRT($C$11)*NORMSINV($B627)+SQRT(1-W$9^2*$C$11)*NORMSINV(V627))&lt;W$8,W$5+SQRT(NORMSDIST(W$9*SQRT($C$11)*NORMSINV($B627)+SQRT(1-W$9^2*$C$11)*NORMSINV(V627))*(W$7-W$5)*(W$6-W$5)),W$7-SQRT((1-NORMSDIST(W$9*SQRT($C$11)*NORMSINV($B627)+SQRT(1-W$9^2*$C$11)*NORMSINV(V627)))*(W$7-W$5)*(W$7-W$6))))</f>
        <v>10.5776024013331</v>
      </c>
      <c r="X627" s="2" t="n">
        <v>0.679604433</v>
      </c>
      <c r="Y627" s="2" t="n">
        <f aca="false">IF(Y$7=Y$5,Y$6,IF(NORMSDIST(Y$9*SQRT($C$11)*NORMSINV($B627)+SQRT(1-Y$9^2*$C$11)*NORMSINV(X627))&lt;Y$8,Y$5+SQRT(NORMSDIST(Y$9*SQRT($C$11)*NORMSINV($B627)+SQRT(1-Y$9^2*$C$11)*NORMSINV(X627))*(Y$7-Y$5)*(Y$6-Y$5)),Y$7-SQRT((1-NORMSDIST(Y$9*SQRT($C$11)*NORMSINV($B627)+SQRT(1-Y$9^2*$C$11)*NORMSINV(X627)))*(Y$7-Y$5)*(Y$7-Y$6))))</f>
        <v>0.599752846980769</v>
      </c>
      <c r="Z627" s="2" t="n">
        <v>0.672317462</v>
      </c>
      <c r="AA627" s="2" t="n">
        <f aca="false">IF(AA$7=AA$5,AA$6,IF(NORMSDIST(AA$9*SQRT($C$11)*NORMSINV($B627)+SQRT(1-AA$9^2*$C$11)*NORMSINV(Z627))&lt;AA$8,AA$5+SQRT(NORMSDIST(AA$9*SQRT($C$11)*NORMSINV($B627)+SQRT(1-AA$9^2*$C$11)*NORMSINV(Z627))*(AA$7-AA$5)*(AA$6-AA$5)),AA$7-SQRT((1-NORMSDIST(AA$9*SQRT($C$11)*NORMSINV($B627)+SQRT(1-AA$9^2*$C$11)*NORMSINV(Z627)))*(AA$7-AA$5)*(AA$7-AA$6))))</f>
        <v>0.743135161487548</v>
      </c>
      <c r="AB627" s="2" t="n">
        <v>0.976299983</v>
      </c>
      <c r="AC627" s="2" t="n">
        <f aca="false">IF(AC$7=AC$5,AC$6,IF(NORMSDIST(AC$9*SQRT($C$11)*NORMSINV($B627)+SQRT(1-AC$9^2*$C$11)*NORMSINV(AB627))&lt;AC$8,AC$5+SQRT(NORMSDIST(AC$9*SQRT($C$11)*NORMSINV($B627)+SQRT(1-AC$9^2*$C$11)*NORMSINV(AB627))*(AC$7-AC$5)*(AC$6-AC$5)),AC$7-SQRT((1-NORMSDIST(AC$9*SQRT($C$11)*NORMSINV($B627)+SQRT(1-AC$9^2*$C$11)*NORMSINV(AB627)))*(AC$7-AC$5)*(AC$7-AC$6))))</f>
        <v>10.8436773300754</v>
      </c>
      <c r="AD627" s="2" t="n">
        <f aca="false">Entrées!$C$8*(1+E627)</f>
        <v>7462.72078091779</v>
      </c>
      <c r="AE627" s="2" t="n">
        <f aca="false">I627*Hypothèses!$J$24/12/Hypothèses!$J$19</f>
        <v>102.560872889209</v>
      </c>
      <c r="AF627" s="2" t="n">
        <f aca="false">Entrées!$C$36*S627*1000</f>
        <v>471.611491317106</v>
      </c>
      <c r="AG627" s="2" t="n">
        <f aca="false">-AF627/W627</f>
        <v>-44.5858591978905</v>
      </c>
      <c r="AH627" s="2" t="n">
        <f aca="false">AD627+AE627+AG627</f>
        <v>7520.69579460911</v>
      </c>
      <c r="AI627" s="2" t="n">
        <f aca="false">Entrées!$C$16-M627+Hypothèses!$J$22*1000-AF627+Hypothèses!$J$23</f>
        <v>22354.4780650303</v>
      </c>
      <c r="AJ627" s="2" t="n">
        <f aca="false">AI627/AH627</f>
        <v>2.97239493200272</v>
      </c>
      <c r="AK627" s="2" t="n">
        <f aca="false">AI627/(AH627+I627*(12-Hypothèses!$J$24)/12/Hypothèses!$J$19)</f>
        <v>2.94372067008119</v>
      </c>
      <c r="AL627" s="2" t="n">
        <f aca="false">(AD627+AG627+I627/Hypothèses!$J$19)*(1+G627)</f>
        <v>8079.01687023233</v>
      </c>
      <c r="AM627" s="2" t="n">
        <f aca="false">Entrées!$C$54*K627/Hypothèses!$J$19</f>
        <v>30.7626944321302</v>
      </c>
      <c r="AN627" s="2" t="n">
        <f aca="false">Y627*1000/AC627</f>
        <v>55.308990550404</v>
      </c>
      <c r="AO627" s="2" t="n">
        <f aca="false">(Entrées!$C$36*(1-S627)+MAX(0,Entrées!$C$30-Entrées!$C$35-Entrées!$C$36)*U627)*1000</f>
        <v>787.610453218174</v>
      </c>
      <c r="AP627" s="2" t="n">
        <f aca="false">-AO627/W627</f>
        <v>-74.4602059460008</v>
      </c>
      <c r="AQ627" s="2" t="n">
        <f aca="false">AL627+AM627+AN627+AP627</f>
        <v>8090.62834926886</v>
      </c>
      <c r="AR627" s="2" t="n">
        <f aca="false">O627*AQ627-Hypothèses!$J$25/Hypothèses!$J$19</f>
        <v>1401.90876783473</v>
      </c>
      <c r="AS627" s="2" t="n">
        <f aca="false">Entrées!$C$79*(1+Q627)+Hypothèses!$J$20</f>
        <v>1495.55058337425</v>
      </c>
      <c r="AT627" s="2" t="n">
        <f aca="false">AI627-AR627+AS627+Y627*1000-AO627+Hypothèses!$J$23</f>
        <v>22260.2622743324</v>
      </c>
      <c r="AU627" s="2" t="n">
        <f aca="false">AT627/AQ627</f>
        <v>2.75136383892162</v>
      </c>
      <c r="AV627" s="2" t="n">
        <f aca="false">Hypothèses!$J$26*AQ627-AT627</f>
        <v>2011.62277347414</v>
      </c>
      <c r="AW627" s="2" t="n">
        <f aca="false">IF(AC627&gt;Hypothèses!$J$26,MAX(0,AV627)/(1-Hypothèses!$J$26/AC627),0)</f>
        <v>2781.01550426416</v>
      </c>
      <c r="AX627" s="2" t="n">
        <f aca="false">AQ627-Entrées!$C$17*1000</f>
        <v>90.6283492688581</v>
      </c>
      <c r="AY627" s="2" t="n">
        <f aca="false">AI627+(Entrées!$C$244-Entrées!$C$13)</f>
        <v>28101.4780650303</v>
      </c>
      <c r="AZ627" s="2" t="n">
        <f aca="false">AA627*AH627</f>
        <v>5588.89348382557</v>
      </c>
      <c r="BA627" s="2" t="n">
        <f aca="false">AZ627/AY627</f>
        <v>0.19888254528435</v>
      </c>
      <c r="BB627" s="2" t="n">
        <f aca="false">AZ627/(Entrées!$C$151/100)-AY627</f>
        <v>2947.93017844507</v>
      </c>
      <c r="BC627" s="2" t="n">
        <f aca="false">AT627+(Entrées!$C$244-Entrées!$C$13)</f>
        <v>28007.2622743324</v>
      </c>
      <c r="BD627" s="2" t="n">
        <f aca="false">AA627*AQ627</f>
        <v>6012.43040486965</v>
      </c>
      <c r="BE627" s="2" t="n">
        <f aca="false">BD627/BC627</f>
        <v>0.214673977983911</v>
      </c>
      <c r="BF627" s="2" t="n">
        <f aca="false">BD627/(Entrées!$C$151/100)-BC627</f>
        <v>5395.1288638323</v>
      </c>
      <c r="BG627" s="2" t="n">
        <f aca="false">MIN(AV627,BF627)</f>
        <v>2011.62277347414</v>
      </c>
      <c r="BH627" s="2" t="n">
        <f aca="false">IF(AC627&gt;Hypothèses!$J$26,MAX(0,BG627)/(1-Hypothèses!$J$26/AC627),0)</f>
        <v>2781.01550426416</v>
      </c>
    </row>
    <row r="628" customFormat="false" ht="15" hidden="false" customHeight="false" outlineLevel="0" collapsed="false">
      <c r="A628" s="2" t="n">
        <v>613</v>
      </c>
      <c r="B628" s="2" t="n">
        <v>0.505315296</v>
      </c>
      <c r="C628" s="2"/>
      <c r="D628" s="2" t="n">
        <v>0.414214996</v>
      </c>
      <c r="E628" s="2" t="n">
        <f aca="false">IF(E$7=E$5,E$6,IF(NORMSDIST(E$9*SQRT($C$11)*NORMSINV($B628)+SQRT(1-E$9^2*$C$11)*NORMSINV(D628))&lt;E$8,E$5+SQRT(NORMSDIST(E$9*SQRT($C$11)*NORMSINV($B628)+SQRT(1-E$9^2*$C$11)*NORMSINV(D628))*(E$7-E$5)*(E$6-E$5)),E$7-SQRT((1-NORMSDIST(E$9*SQRT($C$11)*NORMSINV($B628)+SQRT(1-E$9^2*$C$11)*NORMSINV(D628)))*(E$7-E$5)*(E$7-E$6))))</f>
        <v>0.0546725846429243</v>
      </c>
      <c r="F628" s="2" t="n">
        <v>0.615681754</v>
      </c>
      <c r="G628" s="2" t="n">
        <f aca="false">IF(G$7=G$5,G$6,IF(NORMSDIST(G$9*SQRT($C$11)*NORMSINV($B628)+SQRT(1-G$9^2*$C$11)*NORMSINV(F628))&lt;G$8,G$5+SQRT(NORMSDIST(G$9*SQRT($C$11)*NORMSINV($B628)+SQRT(1-G$9^2*$C$11)*NORMSINV(F628))*(G$7-G$5)*(G$6-G$5)),G$7-SQRT((1-NORMSDIST(G$9*SQRT($C$11)*NORMSINV($B628)+SQRT(1-G$9^2*$C$11)*NORMSINV(F628)))*(G$7-G$5)*(G$7-G$6))))</f>
        <v>0.0564732395578289</v>
      </c>
      <c r="H628" s="2" t="n">
        <v>0.614193711</v>
      </c>
      <c r="I628" s="2" t="n">
        <f aca="false">IF(I$7=I$5,I$6,IF(NORMSDIST(I$9*SQRT($C$11)*NORMSINV($B628)+SQRT(1-I$9^2*$C$11)*NORMSINV(H628))&lt;I$8,I$5+SQRT(NORMSDIST(I$9*SQRT($C$11)*NORMSINV($B628)+SQRT(1-I$9^2*$C$11)*NORMSINV(H628))*(I$7-I$5)*(I$6-I$5)),I$7-SQRT((1-NORMSDIST(I$9*SQRT($C$11)*NORMSINV($B628)+SQRT(1-I$9^2*$C$11)*NORMSINV(H628)))*(I$7-I$5)*(I$7-I$6))))</f>
        <v>201.93838481581</v>
      </c>
      <c r="J628" s="2" t="n">
        <v>0.944760961</v>
      </c>
      <c r="K628" s="2" t="n">
        <f aca="false">IF(K$7=K$5,K$6,IF(NORMSDIST(K$9*SQRT($C$11)*NORMSINV($B628)+SQRT(1-K$9^2*$C$11)*NORMSINV(J628))&lt;K$8,K$5+SQRT(NORMSDIST(K$9*SQRT($C$11)*NORMSINV($B628)+SQRT(1-K$9^2*$C$11)*NORMSINV(J628))*(K$7-K$5)*(K$6-K$5)),K$7-SQRT((1-NORMSDIST(K$9*SQRT($C$11)*NORMSINV($B628)+SQRT(1-K$9^2*$C$11)*NORMSINV(J628)))*(K$7-K$5)*(K$7-K$6))))</f>
        <v>0.384556666231071</v>
      </c>
      <c r="L628" s="2" t="n">
        <v>0.027659428</v>
      </c>
      <c r="M628" s="2" t="n">
        <f aca="false">IF(M$7=M$5,M$6,IF(NORMSDIST(M$9*SQRT($C$11)*NORMSINV($B628)+SQRT(1-M$9^2*$C$11)*NORMSINV(L628))&lt;M$8,M$5+SQRT(NORMSDIST(M$9*SQRT($C$11)*NORMSINV($B628)+SQRT(1-M$9^2*$C$11)*NORMSINV(L628))*(M$7-M$5)*(M$6-M$5)),M$7-SQRT((1-NORMSDIST(M$9*SQRT($C$11)*NORMSINV($B628)+SQRT(1-M$9^2*$C$11)*NORMSINV(L628)))*(M$7-M$5)*(M$7-M$6))))</f>
        <v>1408.75193583652</v>
      </c>
      <c r="N628" s="2" t="n">
        <v>0.030351057</v>
      </c>
      <c r="O628" s="2" t="n">
        <f aca="false">IF(O$7=O$5,O$6,IF(NORMSDIST(O$9*SQRT($C$11)*NORMSINV($B628)+SQRT(1-O$9^2*$C$11)*NORMSINV(N628))&lt;O$8,O$5+SQRT(NORMSDIST(O$9*SQRT($C$11)*NORMSINV($B628)+SQRT(1-O$9^2*$C$11)*NORMSINV(N628))*(O$7-O$5)*(O$6-O$5)),O$7-SQRT((1-NORMSDIST(O$9*SQRT($C$11)*NORMSINV($B628)+SQRT(1-O$9^2*$C$11)*NORMSINV(N628)))*(O$7-O$5)*(O$7-O$6))))</f>
        <v>0.150325473955657</v>
      </c>
      <c r="P628" s="2" t="n">
        <v>0.359244514</v>
      </c>
      <c r="Q628" s="2" t="n">
        <f aca="false">IF(Q$7=Q$5,Q$6,IF(NORMSDIST(Q$9*SQRT($C$11)*NORMSINV($B628)+SQRT(1-Q$9^2*$C$11)*NORMSINV(P628))&lt;Q$8,Q$5+SQRT(NORMSDIST(Q$9*SQRT($C$11)*NORMSINV($B628)+SQRT(1-Q$9^2*$C$11)*NORMSINV(P628))*(Q$7-Q$5)*(Q$6-Q$5)),Q$7-SQRT((1-NORMSDIST(Q$9*SQRT($C$11)*NORMSINV($B628)+SQRT(1-Q$9^2*$C$11)*NORMSINV(P628)))*(Q$7-Q$5)*(Q$7-Q$6))))</f>
        <v>0.0739054928411312</v>
      </c>
      <c r="R628" s="2" t="n">
        <v>0.37681161</v>
      </c>
      <c r="S628" s="2" t="n">
        <f aca="false">IF(S$7=S$5,S$6,IF(NORMSDIST(S$9*SQRT($C$11)*NORMSINV($B628)+SQRT(1-S$9^2*$C$11)*NORMSINV(R628))&lt;S$8,S$5+SQRT(NORMSDIST(S$9*SQRT($C$11)*NORMSINV($B628)+SQRT(1-S$9^2*$C$11)*NORMSINV(R628))*(S$7-S$5)*(S$6-S$5)),S$7-SQRT((1-NORMSDIST(S$9*SQRT($C$11)*NORMSINV($B628)+SQRT(1-S$9^2*$C$11)*NORMSINV(R628)))*(S$7-S$5)*(S$7-S$6))))</f>
        <v>0.451233723522363</v>
      </c>
      <c r="T628" s="2" t="n">
        <v>0.341574545</v>
      </c>
      <c r="U628" s="2" t="n">
        <f aca="false">IF(U$7=U$5,U$6,IF(NORMSDIST(U$9*SQRT($C$11)*NORMSINV($B628)+SQRT(1-U$9^2*$C$11)*NORMSINV(T628))&lt;U$8,U$5+SQRT(NORMSDIST(U$9*SQRT($C$11)*NORMSINV($B628)+SQRT(1-U$9^2*$C$11)*NORMSINV(T628))*(U$7-U$5)*(U$6-U$5)),U$7-SQRT((1-NORMSDIST(U$9*SQRT($C$11)*NORMSINV($B628)+SQRT(1-U$9^2*$C$11)*NORMSINV(T628)))*(U$7-U$5)*(U$7-U$6))))</f>
        <v>0.4353963924072</v>
      </c>
      <c r="V628" s="2" t="n">
        <v>0.684433861</v>
      </c>
      <c r="W628" s="2" t="n">
        <f aca="false">IF(W$7=W$5,W$6,IF(NORMSDIST(W$9*SQRT($C$11)*NORMSINV($B628)+SQRT(1-W$9^2*$C$11)*NORMSINV(V628))&lt;W$8,W$5+SQRT(NORMSDIST(W$9*SQRT($C$11)*NORMSINV($B628)+SQRT(1-W$9^2*$C$11)*NORMSINV(V628))*(W$7-W$5)*(W$6-W$5)),W$7-SQRT((1-NORMSDIST(W$9*SQRT($C$11)*NORMSINV($B628)+SQRT(1-W$9^2*$C$11)*NORMSINV(V628)))*(W$7-W$5)*(W$7-W$6))))</f>
        <v>10.3222688606657</v>
      </c>
      <c r="X628" s="2" t="n">
        <v>0.696127726</v>
      </c>
      <c r="Y628" s="2" t="n">
        <f aca="false">IF(Y$7=Y$5,Y$6,IF(NORMSDIST(Y$9*SQRT($C$11)*NORMSINV($B628)+SQRT(1-Y$9^2*$C$11)*NORMSINV(X628))&lt;Y$8,Y$5+SQRT(NORMSDIST(Y$9*SQRT($C$11)*NORMSINV($B628)+SQRT(1-Y$9^2*$C$11)*NORMSINV(X628))*(Y$7-Y$5)*(Y$6-Y$5)),Y$7-SQRT((1-NORMSDIST(Y$9*SQRT($C$11)*NORMSINV($B628)+SQRT(1-Y$9^2*$C$11)*NORMSINV(X628)))*(Y$7-Y$5)*(Y$7-Y$6))))</f>
        <v>0.610210137381691</v>
      </c>
      <c r="Z628" s="2" t="n">
        <v>0.713447776</v>
      </c>
      <c r="AA628" s="2" t="n">
        <f aca="false">IF(AA$7=AA$5,AA$6,IF(NORMSDIST(AA$9*SQRT($C$11)*NORMSINV($B628)+SQRT(1-AA$9^2*$C$11)*NORMSINV(Z628))&lt;AA$8,AA$5+SQRT(NORMSDIST(AA$9*SQRT($C$11)*NORMSINV($B628)+SQRT(1-AA$9^2*$C$11)*NORMSINV(Z628))*(AA$7-AA$5)*(AA$6-AA$5)),AA$7-SQRT((1-NORMSDIST(AA$9*SQRT($C$11)*NORMSINV($B628)+SQRT(1-AA$9^2*$C$11)*NORMSINV(Z628)))*(AA$7-AA$5)*(AA$7-AA$6))))</f>
        <v>0.733330814179182</v>
      </c>
      <c r="AB628" s="2" t="n">
        <v>0.718074</v>
      </c>
      <c r="AC628" s="2" t="n">
        <f aca="false">IF(AC$7=AC$5,AC$6,IF(NORMSDIST(AC$9*SQRT($C$11)*NORMSINV($B628)+SQRT(1-AC$9^2*$C$11)*NORMSINV(AB628))&lt;AC$8,AC$5+SQRT(NORMSDIST(AC$9*SQRT($C$11)*NORMSINV($B628)+SQRT(1-AC$9^2*$C$11)*NORMSINV(AB628))*(AC$7-AC$5)*(AC$6-AC$5)),AC$7-SQRT((1-NORMSDIST(AC$9*SQRT($C$11)*NORMSINV($B628)+SQRT(1-AC$9^2*$C$11)*NORMSINV(AB628)))*(AC$7-AC$5)*(AC$7-AC$6))))</f>
        <v>9.81621507926487</v>
      </c>
      <c r="AD628" s="2" t="n">
        <f aca="false">Entrées!$C$8*(1+E628)</f>
        <v>7435.44172173262</v>
      </c>
      <c r="AE628" s="2" t="n">
        <f aca="false">I628*Hypothèses!$J$24/12/Hypothèses!$J$19</f>
        <v>100.180986378179</v>
      </c>
      <c r="AF628" s="2" t="n">
        <f aca="false">Entrées!$C$36*S628*1000</f>
        <v>225.616861761182</v>
      </c>
      <c r="AG628" s="2" t="n">
        <f aca="false">-AF628/W628</f>
        <v>-21.857293663501</v>
      </c>
      <c r="AH628" s="2" t="n">
        <f aca="false">AD628+AE628+AG628</f>
        <v>7513.76541444729</v>
      </c>
      <c r="AI628" s="2" t="n">
        <f aca="false">Entrées!$C$16-M628+Hypothèses!$J$22*1000-AF628+Hypothèses!$J$23</f>
        <v>22913.6312024023</v>
      </c>
      <c r="AJ628" s="2" t="n">
        <f aca="false">AI628/AH628</f>
        <v>3.04955371089234</v>
      </c>
      <c r="AK628" s="2" t="n">
        <f aca="false">AI628/(AH628+I628*(12-Hypothèses!$J$24)/12/Hypothèses!$J$19)</f>
        <v>3.02078506233402</v>
      </c>
      <c r="AL628" s="2" t="n">
        <f aca="false">(AD628+AG628+I628/Hypothèses!$J$19)*(1+G628)</f>
        <v>8013.69103955089</v>
      </c>
      <c r="AM628" s="2" t="n">
        <f aca="false">Entrées!$C$54*K628/Hypothèses!$J$19</f>
        <v>39.2456224379812</v>
      </c>
      <c r="AN628" s="2" t="n">
        <f aca="false">Y628*1000/AC628</f>
        <v>62.1634848517795</v>
      </c>
      <c r="AO628" s="2" t="n">
        <f aca="false">(Entrées!$C$36*(1-S628)+MAX(0,Entrées!$C$30-Entrées!$C$35-Entrées!$C$36)*U628)*1000</f>
        <v>883.938087608898</v>
      </c>
      <c r="AP628" s="2" t="n">
        <f aca="false">-AO628/W628</f>
        <v>-85.6340887396624</v>
      </c>
      <c r="AQ628" s="2" t="n">
        <f aca="false">AL628+AM628+AN628+AP628</f>
        <v>8029.46605810099</v>
      </c>
      <c r="AR628" s="2" t="n">
        <f aca="false">O628*AQ628-Hypothèses!$J$25/Hypothèses!$J$19</f>
        <v>1187.89812853326</v>
      </c>
      <c r="AS628" s="2" t="n">
        <f aca="false">Entrées!$C$79*(1+Q628)+Hypothèses!$J$20</f>
        <v>1475.2221366324</v>
      </c>
      <c r="AT628" s="2" t="n">
        <f aca="false">AI628-AR628+AS628+Y628*1000-AO628+Hypothèses!$J$23</f>
        <v>22927.2272602742</v>
      </c>
      <c r="AU628" s="2" t="n">
        <f aca="false">AT628/AQ628</f>
        <v>2.8553862852615</v>
      </c>
      <c r="AV628" s="2" t="n">
        <f aca="false">Hypothèses!$J$26*AQ628-AT628</f>
        <v>1161.17091402872</v>
      </c>
      <c r="AW628" s="2" t="n">
        <f aca="false">IF(AC628&gt;Hypothèses!$J$26,MAX(0,AV628)/(1-Hypothèses!$J$26/AC628),0)</f>
        <v>1672.23353479066</v>
      </c>
      <c r="AX628" s="2" t="n">
        <f aca="false">AQ628-Entrées!$C$17*1000</f>
        <v>29.4660581009848</v>
      </c>
      <c r="AY628" s="2" t="n">
        <f aca="false">AI628+(Entrées!$C$244-Entrées!$C$13)</f>
        <v>28660.6312024023</v>
      </c>
      <c r="AZ628" s="2" t="n">
        <f aca="false">AA628*AH628</f>
        <v>5510.07570892802</v>
      </c>
      <c r="BA628" s="2" t="n">
        <f aca="false">AZ628/AY628</f>
        <v>0.192252420053686</v>
      </c>
      <c r="BB628" s="2" t="n">
        <f aca="false">AZ628/(Entrées!$C$151/100)-AY628</f>
        <v>1950.90051386445</v>
      </c>
      <c r="BC628" s="2" t="n">
        <f aca="false">AT628+(Entrées!$C$244-Entrées!$C$13)</f>
        <v>28674.2272602742</v>
      </c>
      <c r="BD628" s="2" t="n">
        <f aca="false">AA628*AQ628</f>
        <v>5888.25488181131</v>
      </c>
      <c r="BE628" s="2" t="n">
        <f aca="false">BD628/BC628</f>
        <v>0.205350080696647</v>
      </c>
      <c r="BF628" s="2" t="n">
        <f aca="false">BD628/(Entrées!$C$151/100)-BC628</f>
        <v>4038.29986089968</v>
      </c>
      <c r="BG628" s="2" t="n">
        <f aca="false">MIN(AV628,BF628)</f>
        <v>1161.17091402872</v>
      </c>
      <c r="BH628" s="2" t="n">
        <f aca="false">IF(AC628&gt;Hypothèses!$J$26,MAX(0,BG628)/(1-Hypothèses!$J$26/AC628),0)</f>
        <v>1672.23353479066</v>
      </c>
    </row>
    <row r="629" customFormat="false" ht="15" hidden="false" customHeight="false" outlineLevel="0" collapsed="false">
      <c r="A629" s="2" t="n">
        <v>614</v>
      </c>
      <c r="B629" s="2" t="n">
        <v>0.137106193</v>
      </c>
      <c r="C629" s="2"/>
      <c r="D629" s="2" t="n">
        <v>0.228934152</v>
      </c>
      <c r="E629" s="2" t="n">
        <f aca="false">IF(E$7=E$5,E$6,IF(NORMSDIST(E$9*SQRT($C$11)*NORMSINV($B629)+SQRT(1-E$9^2*$C$11)*NORMSINV(D629))&lt;E$8,E$5+SQRT(NORMSDIST(E$9*SQRT($C$11)*NORMSINV($B629)+SQRT(1-E$9^2*$C$11)*NORMSINV(D629))*(E$7-E$5)*(E$6-E$5)),E$7-SQRT((1-NORMSDIST(E$9*SQRT($C$11)*NORMSINV($B629)+SQRT(1-E$9^2*$C$11)*NORMSINV(D629)))*(E$7-E$5)*(E$7-E$6))))</f>
        <v>0.0522655600412567</v>
      </c>
      <c r="F629" s="2" t="n">
        <v>0.352110465</v>
      </c>
      <c r="G629" s="2" t="n">
        <f aca="false">IF(G$7=G$5,G$6,IF(NORMSDIST(G$9*SQRT($C$11)*NORMSINV($B629)+SQRT(1-G$9^2*$C$11)*NORMSINV(F629))&lt;G$8,G$5+SQRT(NORMSDIST(G$9*SQRT($C$11)*NORMSINV($B629)+SQRT(1-G$9^2*$C$11)*NORMSINV(F629))*(G$7-G$5)*(G$6-G$5)),G$7-SQRT((1-NORMSDIST(G$9*SQRT($C$11)*NORMSINV($B629)+SQRT(1-G$9^2*$C$11)*NORMSINV(F629)))*(G$7-G$5)*(G$7-G$6))))</f>
        <v>0.0485425246559759</v>
      </c>
      <c r="H629" s="2" t="n">
        <v>0.47540305</v>
      </c>
      <c r="I629" s="2" t="n">
        <f aca="false">IF(I$7=I$5,I$6,IF(NORMSDIST(I$9*SQRT($C$11)*NORMSINV($B629)+SQRT(1-I$9^2*$C$11)*NORMSINV(H629))&lt;I$8,I$5+SQRT(NORMSDIST(I$9*SQRT($C$11)*NORMSINV($B629)+SQRT(1-I$9^2*$C$11)*NORMSINV(H629))*(I$7-I$5)*(I$6-I$5)),I$7-SQRT((1-NORMSDIST(I$9*SQRT($C$11)*NORMSINV($B629)+SQRT(1-I$9^2*$C$11)*NORMSINV(H629)))*(I$7-I$5)*(I$7-I$6))))</f>
        <v>193.560390722631</v>
      </c>
      <c r="J629" s="2" t="n">
        <v>0.718114468</v>
      </c>
      <c r="K629" s="2" t="n">
        <f aca="false">IF(K$7=K$5,K$6,IF(NORMSDIST(K$9*SQRT($C$11)*NORMSINV($B629)+SQRT(1-K$9^2*$C$11)*NORMSINV(J629))&lt;K$8,K$5+SQRT(NORMSDIST(K$9*SQRT($C$11)*NORMSINV($B629)+SQRT(1-K$9^2*$C$11)*NORMSINV(J629))*(K$7-K$5)*(K$6-K$5)),K$7-SQRT((1-NORMSDIST(K$9*SQRT($C$11)*NORMSINV($B629)+SQRT(1-K$9^2*$C$11)*NORMSINV(J629)))*(K$7-K$5)*(K$7-K$6))))</f>
        <v>0.224571970644315</v>
      </c>
      <c r="L629" s="2" t="n">
        <v>0.036008438</v>
      </c>
      <c r="M629" s="2" t="n">
        <f aca="false">IF(M$7=M$5,M$6,IF(NORMSDIST(M$9*SQRT($C$11)*NORMSINV($B629)+SQRT(1-M$9^2*$C$11)*NORMSINV(L629))&lt;M$8,M$5+SQRT(NORMSDIST(M$9*SQRT($C$11)*NORMSINV($B629)+SQRT(1-M$9^2*$C$11)*NORMSINV(L629))*(M$7-M$5)*(M$6-M$5)),M$7-SQRT((1-NORMSDIST(M$9*SQRT($C$11)*NORMSINV($B629)+SQRT(1-M$9^2*$C$11)*NORMSINV(L629)))*(M$7-M$5)*(M$7-M$6))))</f>
        <v>1357.52075093408</v>
      </c>
      <c r="N629" s="2" t="n">
        <v>0.412697286</v>
      </c>
      <c r="O629" s="2" t="n">
        <f aca="false">IF(O$7=O$5,O$6,IF(NORMSDIST(O$9*SQRT($C$11)*NORMSINV($B629)+SQRT(1-O$9^2*$C$11)*NORMSINV(N629))&lt;O$8,O$5+SQRT(NORMSDIST(O$9*SQRT($C$11)*NORMSINV($B629)+SQRT(1-O$9^2*$C$11)*NORMSINV(N629))*(O$7-O$5)*(O$6-O$5)),O$7-SQRT((1-NORMSDIST(O$9*SQRT($C$11)*NORMSINV($B629)+SQRT(1-O$9^2*$C$11)*NORMSINV(N629)))*(O$7-O$5)*(O$7-O$6))))</f>
        <v>0.15669377006263</v>
      </c>
      <c r="P629" s="2" t="n">
        <v>0.822473485</v>
      </c>
      <c r="Q629" s="2" t="n">
        <f aca="false">IF(Q$7=Q$5,Q$6,IF(NORMSDIST(Q$9*SQRT($C$11)*NORMSINV($B629)+SQRT(1-Q$9^2*$C$11)*NORMSINV(P629))&lt;Q$8,Q$5+SQRT(NORMSDIST(Q$9*SQRT($C$11)*NORMSINV($B629)+SQRT(1-Q$9^2*$C$11)*NORMSINV(P629))*(Q$7-Q$5)*(Q$6-Q$5)),Q$7-SQRT((1-NORMSDIST(Q$9*SQRT($C$11)*NORMSINV($B629)+SQRT(1-Q$9^2*$C$11)*NORMSINV(P629)))*(Q$7-Q$5)*(Q$7-Q$6))))</f>
        <v>0.0961654694193487</v>
      </c>
      <c r="R629" s="2" t="n">
        <v>0.398711958</v>
      </c>
      <c r="S629" s="2" t="n">
        <f aca="false">IF(S$7=S$5,S$6,IF(NORMSDIST(S$9*SQRT($C$11)*NORMSINV($B629)+SQRT(1-S$9^2*$C$11)*NORMSINV(R629))&lt;S$8,S$5+SQRT(NORMSDIST(S$9*SQRT($C$11)*NORMSINV($B629)+SQRT(1-S$9^2*$C$11)*NORMSINV(R629))*(S$7-S$5)*(S$6-S$5)),S$7-SQRT((1-NORMSDIST(S$9*SQRT($C$11)*NORMSINV($B629)+SQRT(1-S$9^2*$C$11)*NORMSINV(R629)))*(S$7-S$5)*(S$7-S$6))))</f>
        <v>0.305480057923462</v>
      </c>
      <c r="T629" s="2" t="n">
        <v>0.607069735</v>
      </c>
      <c r="U629" s="2" t="n">
        <f aca="false">IF(U$7=U$5,U$6,IF(NORMSDIST(U$9*SQRT($C$11)*NORMSINV($B629)+SQRT(1-U$9^2*$C$11)*NORMSINV(T629))&lt;U$8,U$5+SQRT(NORMSDIST(U$9*SQRT($C$11)*NORMSINV($B629)+SQRT(1-U$9^2*$C$11)*NORMSINV(T629))*(U$7-U$5)*(U$6-U$5)),U$7-SQRT((1-NORMSDIST(U$9*SQRT($C$11)*NORMSINV($B629)+SQRT(1-U$9^2*$C$11)*NORMSINV(T629)))*(U$7-U$5)*(U$7-U$6))))</f>
        <v>0.397006269579324</v>
      </c>
      <c r="V629" s="2" t="n">
        <v>0.428226376</v>
      </c>
      <c r="W629" s="2" t="n">
        <f aca="false">IF(W$7=W$5,W$6,IF(NORMSDIST(W$9*SQRT($C$11)*NORMSINV($B629)+SQRT(1-W$9^2*$C$11)*NORMSINV(V629))&lt;W$8,W$5+SQRT(NORMSDIST(W$9*SQRT($C$11)*NORMSINV($B629)+SQRT(1-W$9^2*$C$11)*NORMSINV(V629))*(W$7-W$5)*(W$6-W$5)),W$7-SQRT((1-NORMSDIST(W$9*SQRT($C$11)*NORMSINV($B629)+SQRT(1-W$9^2*$C$11)*NORMSINV(V629)))*(W$7-W$5)*(W$7-W$6))))</f>
        <v>9.27374206678376</v>
      </c>
      <c r="X629" s="2" t="n">
        <v>0.498319518</v>
      </c>
      <c r="Y629" s="2" t="n">
        <f aca="false">IF(Y$7=Y$5,Y$6,IF(NORMSDIST(Y$9*SQRT($C$11)*NORMSINV($B629)+SQRT(1-Y$9^2*$C$11)*NORMSINV(X629))&lt;Y$8,Y$5+SQRT(NORMSDIST(Y$9*SQRT($C$11)*NORMSINV($B629)+SQRT(1-Y$9^2*$C$11)*NORMSINV(X629))*(Y$7-Y$5)*(Y$6-Y$5)),Y$7-SQRT((1-NORMSDIST(Y$9*SQRT($C$11)*NORMSINV($B629)+SQRT(1-Y$9^2*$C$11)*NORMSINV(X629)))*(Y$7-Y$5)*(Y$7-Y$6))))</f>
        <v>0.499159051806135</v>
      </c>
      <c r="Z629" s="2" t="n">
        <v>0.370664388</v>
      </c>
      <c r="AA629" s="2" t="n">
        <f aca="false">IF(AA$7=AA$5,AA$6,IF(NORMSDIST(AA$9*SQRT($C$11)*NORMSINV($B629)+SQRT(1-AA$9^2*$C$11)*NORMSINV(Z629))&lt;AA$8,AA$5+SQRT(NORMSDIST(AA$9*SQRT($C$11)*NORMSINV($B629)+SQRT(1-AA$9^2*$C$11)*NORMSINV(Z629))*(AA$7-AA$5)*(AA$6-AA$5)),AA$7-SQRT((1-NORMSDIST(AA$9*SQRT($C$11)*NORMSINV($B629)+SQRT(1-AA$9^2*$C$11)*NORMSINV(Z629)))*(AA$7-AA$5)*(AA$7-AA$6))))</f>
        <v>0.714503811393845</v>
      </c>
      <c r="AB629" s="2" t="n">
        <v>0.078772233</v>
      </c>
      <c r="AC629" s="2" t="n">
        <f aca="false">IF(AC$7=AC$5,AC$6,IF(NORMSDIST(AC$9*SQRT($C$11)*NORMSINV($B629)+SQRT(1-AC$9^2*$C$11)*NORMSINV(AB629))&lt;AC$8,AC$5+SQRT(NORMSDIST(AC$9*SQRT($C$11)*NORMSINV($B629)+SQRT(1-AC$9^2*$C$11)*NORMSINV(AB629))*(AC$7-AC$5)*(AC$6-AC$5)),AC$7-SQRT((1-NORMSDIST(AC$9*SQRT($C$11)*NORMSINV($B629)+SQRT(1-AC$9^2*$C$11)*NORMSINV(AB629)))*(AC$7-AC$5)*(AC$7-AC$6))))</f>
        <v>7.96557542127564</v>
      </c>
      <c r="AD629" s="2" t="n">
        <f aca="false">Entrées!$C$8*(1+E629)</f>
        <v>7418.47219829086</v>
      </c>
      <c r="AE629" s="2" t="n">
        <f aca="false">I629*Hypothèses!$J$24/12/Hypothèses!$J$19</f>
        <v>96.024690323366</v>
      </c>
      <c r="AF629" s="2" t="n">
        <f aca="false">Entrées!$C$36*S629*1000</f>
        <v>152.740028961731</v>
      </c>
      <c r="AG629" s="2" t="n">
        <f aca="false">-AF629/W629</f>
        <v>-16.4701614366446</v>
      </c>
      <c r="AH629" s="2" t="n">
        <f aca="false">AD629+AE629+AG629</f>
        <v>7498.02672717758</v>
      </c>
      <c r="AI629" s="2" t="n">
        <f aca="false">Entrées!$C$16-M629+Hypothèses!$J$22*1000-AF629+Hypothèses!$J$23</f>
        <v>23037.7392201042</v>
      </c>
      <c r="AJ629" s="2" t="n">
        <f aca="false">AI629/AH629</f>
        <v>3.07250694860834</v>
      </c>
      <c r="AK629" s="2" t="n">
        <f aca="false">AI629/(AH629+I629*(12-Hypothèses!$J$24)/12/Hypothèses!$J$19)</f>
        <v>3.0446556101596</v>
      </c>
      <c r="AL629" s="2" t="n">
        <f aca="false">(AD629+AG629+I629/Hypothèses!$J$19)*(1+G629)</f>
        <v>7933.91842532489</v>
      </c>
      <c r="AM629" s="2" t="n">
        <f aca="false">Entrées!$C$54*K629/Hypothèses!$J$19</f>
        <v>22.9185125210243</v>
      </c>
      <c r="AN629" s="2" t="n">
        <f aca="false">Y629*1000/AC629</f>
        <v>62.6645314879459</v>
      </c>
      <c r="AO629" s="2" t="n">
        <f aca="false">(Entrées!$C$36*(1-S629)+MAX(0,Entrées!$C$30-Entrées!$C$35-Entrées!$C$36)*U629)*1000</f>
        <v>903.068748449323</v>
      </c>
      <c r="AP629" s="2" t="n">
        <f aca="false">-AO629/W629</f>
        <v>-97.3791099586315</v>
      </c>
      <c r="AQ629" s="2" t="n">
        <f aca="false">AL629+AM629+AN629+AP629</f>
        <v>7922.12235937523</v>
      </c>
      <c r="AR629" s="2" t="n">
        <f aca="false">O629*AQ629-Hypothèses!$J$25/Hypothèses!$J$19</f>
        <v>1222.21205712633</v>
      </c>
      <c r="AS629" s="2" t="n">
        <f aca="false">Entrées!$C$79*(1+Q629)+Hypothèses!$J$20</f>
        <v>1499.68585089186</v>
      </c>
      <c r="AT629" s="2" t="n">
        <f aca="false">AI629-AR629+AS629+Y629*1000-AO629+Hypothèses!$J$23</f>
        <v>22911.3033172265</v>
      </c>
      <c r="AU629" s="2" t="n">
        <f aca="false">AT629/AQ629</f>
        <v>2.89206632741702</v>
      </c>
      <c r="AV629" s="2" t="n">
        <f aca="false">Hypothèses!$J$26*AQ629-AT629</f>
        <v>855.063760899142</v>
      </c>
      <c r="AW629" s="2" t="n">
        <f aca="false">IF(AC629&gt;Hypothèses!$J$26,MAX(0,AV629)/(1-Hypothèses!$J$26/AC629),0)</f>
        <v>1371.65873027702</v>
      </c>
      <c r="AX629" s="2" t="n">
        <f aca="false">AQ629-Entrées!$C$17*1000</f>
        <v>-77.8776406247753</v>
      </c>
      <c r="AY629" s="2" t="n">
        <f aca="false">AI629+(Entrées!$C$244-Entrées!$C$13)</f>
        <v>28784.7392201042</v>
      </c>
      <c r="AZ629" s="2" t="n">
        <f aca="false">AA629*AH629</f>
        <v>5357.3686745013</v>
      </c>
      <c r="BA629" s="2" t="n">
        <f aca="false">AZ629/AY629</f>
        <v>0.186118367567476</v>
      </c>
      <c r="BB629" s="2" t="n">
        <f aca="false">AZ629/(Entrées!$C$151/100)-AY629</f>
        <v>978.420082680794</v>
      </c>
      <c r="BC629" s="2" t="n">
        <f aca="false">AT629+(Entrées!$C$244-Entrées!$C$13)</f>
        <v>28658.3033172265</v>
      </c>
      <c r="BD629" s="2" t="n">
        <f aca="false">AA629*AQ629</f>
        <v>5660.386620102</v>
      </c>
      <c r="BE629" s="2" t="n">
        <f aca="false">BD629/BC629</f>
        <v>0.197512970584673</v>
      </c>
      <c r="BF629" s="2" t="n">
        <f aca="false">BD629/(Entrées!$C$151/100)-BC629</f>
        <v>2788.28901667344</v>
      </c>
      <c r="BG629" s="2" t="n">
        <f aca="false">MIN(AV629,BF629)</f>
        <v>855.063760899142</v>
      </c>
      <c r="BH629" s="2" t="n">
        <f aca="false">IF(AC629&gt;Hypothèses!$J$26,MAX(0,BG629)/(1-Hypothèses!$J$26/AC629),0)</f>
        <v>1371.65873027702</v>
      </c>
    </row>
    <row r="630" customFormat="false" ht="15" hidden="false" customHeight="false" outlineLevel="0" collapsed="false">
      <c r="A630" s="2" t="n">
        <v>615</v>
      </c>
      <c r="B630" s="2" t="n">
        <v>0.117105674</v>
      </c>
      <c r="C630" s="2"/>
      <c r="D630" s="2" t="n">
        <v>0.16570651</v>
      </c>
      <c r="E630" s="2" t="n">
        <f aca="false">IF(E$7=E$5,E$6,IF(NORMSDIST(E$9*SQRT($C$11)*NORMSINV($B630)+SQRT(1-E$9^2*$C$11)*NORMSINV(D630))&lt;E$8,E$5+SQRT(NORMSDIST(E$9*SQRT($C$11)*NORMSINV($B630)+SQRT(1-E$9^2*$C$11)*NORMSINV(D630))*(E$7-E$5)*(E$6-E$5)),E$7-SQRT((1-NORMSDIST(E$9*SQRT($C$11)*NORMSINV($B630)+SQRT(1-E$9^2*$C$11)*NORMSINV(D630)))*(E$7-E$5)*(E$7-E$6))))</f>
        <v>0.0518193480562984</v>
      </c>
      <c r="F630" s="2" t="n">
        <v>0.940930279</v>
      </c>
      <c r="G630" s="2" t="n">
        <f aca="false">IF(G$7=G$5,G$6,IF(NORMSDIST(G$9*SQRT($C$11)*NORMSINV($B630)+SQRT(1-G$9^2*$C$11)*NORMSINV(F630))&lt;G$8,G$5+SQRT(NORMSDIST(G$9*SQRT($C$11)*NORMSINV($B630)+SQRT(1-G$9^2*$C$11)*NORMSINV(F630))*(G$7-G$5)*(G$6-G$5)),G$7-SQRT((1-NORMSDIST(G$9*SQRT($C$11)*NORMSINV($B630)+SQRT(1-G$9^2*$C$11)*NORMSINV(F630)))*(G$7-G$5)*(G$7-G$6))))</f>
        <v>0.0579353449884376</v>
      </c>
      <c r="H630" s="2" t="n">
        <v>0.129937797</v>
      </c>
      <c r="I630" s="2" t="n">
        <f aca="false">IF(I$7=I$5,I$6,IF(NORMSDIST(I$9*SQRT($C$11)*NORMSINV($B630)+SQRT(1-I$9^2*$C$11)*NORMSINV(H630))&lt;I$8,I$5+SQRT(NORMSDIST(I$9*SQRT($C$11)*NORMSINV($B630)+SQRT(1-I$9^2*$C$11)*NORMSINV(H630))*(I$7-I$5)*(I$6-I$5)),I$7-SQRT((1-NORMSDIST(I$9*SQRT($C$11)*NORMSINV($B630)+SQRT(1-I$9^2*$C$11)*NORMSINV(H630)))*(I$7-I$5)*(I$7-I$6))))</f>
        <v>186.454294821929</v>
      </c>
      <c r="J630" s="2" t="n">
        <v>0.554736572</v>
      </c>
      <c r="K630" s="2" t="n">
        <f aca="false">IF(K$7=K$5,K$6,IF(NORMSDIST(K$9*SQRT($C$11)*NORMSINV($B630)+SQRT(1-K$9^2*$C$11)*NORMSINV(J630))&lt;K$8,K$5+SQRT(NORMSDIST(K$9*SQRT($C$11)*NORMSINV($B630)+SQRT(1-K$9^2*$C$11)*NORMSINV(J630))*(K$7-K$5)*(K$6-K$5)),K$7-SQRT((1-NORMSDIST(K$9*SQRT($C$11)*NORMSINV($B630)+SQRT(1-K$9^2*$C$11)*NORMSINV(J630)))*(K$7-K$5)*(K$7-K$6))))</f>
        <v>0.180007940830796</v>
      </c>
      <c r="L630" s="2" t="n">
        <v>0.598622405</v>
      </c>
      <c r="M630" s="2" t="n">
        <f aca="false">IF(M$7=M$5,M$6,IF(NORMSDIST(M$9*SQRT($C$11)*NORMSINV($B630)+SQRT(1-M$9^2*$C$11)*NORMSINV(L630))&lt;M$8,M$5+SQRT(NORMSDIST(M$9*SQRT($C$11)*NORMSINV($B630)+SQRT(1-M$9^2*$C$11)*NORMSINV(L630))*(M$7-M$5)*(M$6-M$5)),M$7-SQRT((1-NORMSDIST(M$9*SQRT($C$11)*NORMSINV($B630)+SQRT(1-M$9^2*$C$11)*NORMSINV(L630)))*(M$7-M$5)*(M$7-M$6))))</f>
        <v>1517.38344211614</v>
      </c>
      <c r="N630" s="2" t="n">
        <v>0.383590885</v>
      </c>
      <c r="O630" s="2" t="n">
        <f aca="false">IF(O$7=O$5,O$6,IF(NORMSDIST(O$9*SQRT($C$11)*NORMSINV($B630)+SQRT(1-O$9^2*$C$11)*NORMSINV(N630))&lt;O$8,O$5+SQRT(NORMSDIST(O$9*SQRT($C$11)*NORMSINV($B630)+SQRT(1-O$9^2*$C$11)*NORMSINV(N630))*(O$7-O$5)*(O$6-O$5)),O$7-SQRT((1-NORMSDIST(O$9*SQRT($C$11)*NORMSINV($B630)+SQRT(1-O$9^2*$C$11)*NORMSINV(N630)))*(O$7-O$5)*(O$7-O$6))))</f>
        <v>0.155298950320504</v>
      </c>
      <c r="P630" s="2" t="n">
        <v>0.08567877</v>
      </c>
      <c r="Q630" s="2" t="n">
        <f aca="false">IF(Q$7=Q$5,Q$6,IF(NORMSDIST(Q$9*SQRT($C$11)*NORMSINV($B630)+SQRT(1-Q$9^2*$C$11)*NORMSINV(P630))&lt;Q$8,Q$5+SQRT(NORMSDIST(Q$9*SQRT($C$11)*NORMSINV($B630)+SQRT(1-Q$9^2*$C$11)*NORMSINV(P630))*(Q$7-Q$5)*(Q$6-Q$5)),Q$7-SQRT((1-NORMSDIST(Q$9*SQRT($C$11)*NORMSINV($B630)+SQRT(1-Q$9^2*$C$11)*NORMSINV(P630)))*(Q$7-Q$5)*(Q$7-Q$6))))</f>
        <v>0.0565581419247451</v>
      </c>
      <c r="R630" s="2" t="n">
        <v>0.874901206</v>
      </c>
      <c r="S630" s="2" t="n">
        <f aca="false">IF(S$7=S$5,S$6,IF(NORMSDIST(S$9*SQRT($C$11)*NORMSINV($B630)+SQRT(1-S$9^2*$C$11)*NORMSINV(R630))&lt;S$8,S$5+SQRT(NORMSDIST(S$9*SQRT($C$11)*NORMSINV($B630)+SQRT(1-S$9^2*$C$11)*NORMSINV(R630))*(S$7-S$5)*(S$6-S$5)),S$7-SQRT((1-NORMSDIST(S$9*SQRT($C$11)*NORMSINV($B630)+SQRT(1-S$9^2*$C$11)*NORMSINV(R630)))*(S$7-S$5)*(S$7-S$6))))</f>
        <v>0.528306018358205</v>
      </c>
      <c r="T630" s="2" t="n">
        <v>0.982911593</v>
      </c>
      <c r="U630" s="2" t="n">
        <f aca="false">IF(U$7=U$5,U$6,IF(NORMSDIST(U$9*SQRT($C$11)*NORMSINV($B630)+SQRT(1-U$9^2*$C$11)*NORMSINV(T630))&lt;U$8,U$5+SQRT(NORMSDIST(U$9*SQRT($C$11)*NORMSINV($B630)+SQRT(1-U$9^2*$C$11)*NORMSINV(T630))*(U$7-U$5)*(U$6-U$5)),U$7-SQRT((1-NORMSDIST(U$9*SQRT($C$11)*NORMSINV($B630)+SQRT(1-U$9^2*$C$11)*NORMSINV(T630)))*(U$7-U$5)*(U$7-U$6))))</f>
        <v>0.694050340466583</v>
      </c>
      <c r="V630" s="2" t="n">
        <v>0.75371877</v>
      </c>
      <c r="W630" s="2" t="n">
        <f aca="false">IF(W$7=W$5,W$6,IF(NORMSDIST(W$9*SQRT($C$11)*NORMSINV($B630)+SQRT(1-W$9^2*$C$11)*NORMSINV(V630))&lt;W$8,W$5+SQRT(NORMSDIST(W$9*SQRT($C$11)*NORMSINV($B630)+SQRT(1-W$9^2*$C$11)*NORMSINV(V630))*(W$7-W$5)*(W$6-W$5)),W$7-SQRT((1-NORMSDIST(W$9*SQRT($C$11)*NORMSINV($B630)+SQRT(1-W$9^2*$C$11)*NORMSINV(V630)))*(W$7-W$5)*(W$7-W$6))))</f>
        <v>9.81686483984682</v>
      </c>
      <c r="X630" s="2" t="n">
        <v>0.157759857</v>
      </c>
      <c r="Y630" s="2" t="n">
        <f aca="false">IF(Y$7=Y$5,Y$6,IF(NORMSDIST(Y$9*SQRT($C$11)*NORMSINV($B630)+SQRT(1-Y$9^2*$C$11)*NORMSINV(X630))&lt;Y$8,Y$5+SQRT(NORMSDIST(Y$9*SQRT($C$11)*NORMSINV($B630)+SQRT(1-Y$9^2*$C$11)*NORMSINV(X630))*(Y$7-Y$5)*(Y$6-Y$5)),Y$7-SQRT((1-NORMSDIST(Y$9*SQRT($C$11)*NORMSINV($B630)+SQRT(1-Y$9^2*$C$11)*NORMSINV(X630)))*(Y$7-Y$5)*(Y$7-Y$6))))</f>
        <v>0.280855707615138</v>
      </c>
      <c r="Z630" s="2" t="n">
        <v>0.662336463</v>
      </c>
      <c r="AA630" s="2" t="n">
        <f aca="false">IF(AA$7=AA$5,AA$6,IF(NORMSDIST(AA$9*SQRT($C$11)*NORMSINV($B630)+SQRT(1-AA$9^2*$C$11)*NORMSINV(Z630))&lt;AA$8,AA$5+SQRT(NORMSDIST(AA$9*SQRT($C$11)*NORMSINV($B630)+SQRT(1-AA$9^2*$C$11)*NORMSINV(Z630))*(AA$7-AA$5)*(AA$6-AA$5)),AA$7-SQRT((1-NORMSDIST(AA$9*SQRT($C$11)*NORMSINV($B630)+SQRT(1-AA$9^2*$C$11)*NORMSINV(Z630)))*(AA$7-AA$5)*(AA$7-AA$6))))</f>
        <v>0.722085840193029</v>
      </c>
      <c r="AB630" s="2" t="n">
        <v>0.092471854</v>
      </c>
      <c r="AC630" s="2" t="n">
        <f aca="false">IF(AC$7=AC$5,AC$6,IF(NORMSDIST(AC$9*SQRT($C$11)*NORMSINV($B630)+SQRT(1-AC$9^2*$C$11)*NORMSINV(AB630))&lt;AC$8,AC$5+SQRT(NORMSDIST(AC$9*SQRT($C$11)*NORMSINV($B630)+SQRT(1-AC$9^2*$C$11)*NORMSINV(AB630))*(AC$7-AC$5)*(AC$6-AC$5)),AC$7-SQRT((1-NORMSDIST(AC$9*SQRT($C$11)*NORMSINV($B630)+SQRT(1-AC$9^2*$C$11)*NORMSINV(AB630)))*(AC$7-AC$5)*(AC$7-AC$6))))</f>
        <v>7.96997703088457</v>
      </c>
      <c r="AD630" s="2" t="n">
        <f aca="false">Entrées!$C$8*(1+E630)</f>
        <v>7415.3264037969</v>
      </c>
      <c r="AE630" s="2" t="n">
        <f aca="false">I630*Hypothèses!$J$24/12/Hypothèses!$J$19</f>
        <v>92.4993788909725</v>
      </c>
      <c r="AF630" s="2" t="n">
        <f aca="false">Entrées!$C$36*S630*1000</f>
        <v>264.153009179103</v>
      </c>
      <c r="AG630" s="2" t="n">
        <f aca="false">-AF630/W630</f>
        <v>-26.908082518046</v>
      </c>
      <c r="AH630" s="2" t="n">
        <f aca="false">AD630+AE630+AG630</f>
        <v>7480.91770016983</v>
      </c>
      <c r="AI630" s="2" t="n">
        <f aca="false">Entrées!$C$16-M630+Hypothèses!$J$22*1000-AF630+Hypothèses!$J$23</f>
        <v>22766.4635487048</v>
      </c>
      <c r="AJ630" s="2" t="n">
        <f aca="false">AI630/AH630</f>
        <v>3.04327148902974</v>
      </c>
      <c r="AK630" s="2" t="n">
        <f aca="false">AI630/(AH630+I630*(12-Hypothèses!$J$24)/12/Hypothèses!$J$19)</f>
        <v>3.01662881695805</v>
      </c>
      <c r="AL630" s="2" t="n">
        <f aca="false">(AD630+AG630+I630/Hypothèses!$J$19)*(1+G630)</f>
        <v>7984.22607818659</v>
      </c>
      <c r="AM630" s="2" t="n">
        <f aca="false">Entrées!$C$54*K630/Hypothèses!$J$19</f>
        <v>18.3705661662851</v>
      </c>
      <c r="AN630" s="2" t="n">
        <f aca="false">Y630*1000/AC630</f>
        <v>35.2392116723537</v>
      </c>
      <c r="AO630" s="2" t="n">
        <f aca="false">(Entrées!$C$36*(1-S630)+MAX(0,Entrées!$C$30-Entrées!$C$35-Entrées!$C$36)*U630)*1000</f>
        <v>1207.51746747411</v>
      </c>
      <c r="AP630" s="2" t="n">
        <f aca="false">-AO630/W630</f>
        <v>-123.004389606423</v>
      </c>
      <c r="AQ630" s="2" t="n">
        <f aca="false">AL630+AM630+AN630+AP630</f>
        <v>7914.83146641881</v>
      </c>
      <c r="AR630" s="2" t="n">
        <f aca="false">O630*AQ630-Hypothèses!$J$25/Hypothèses!$J$19</f>
        <v>1210.02985643691</v>
      </c>
      <c r="AS630" s="2" t="n">
        <f aca="false">Entrées!$C$79*(1+Q630)+Hypothèses!$J$20</f>
        <v>1456.15739797529</v>
      </c>
      <c r="AT630" s="2" t="n">
        <f aca="false">AI630-AR630+AS630+Y630*1000-AO630+Hypothèses!$J$23</f>
        <v>22085.9293303842</v>
      </c>
      <c r="AU630" s="2" t="n">
        <f aca="false">AT630/AQ630</f>
        <v>2.79044846679184</v>
      </c>
      <c r="AV630" s="2" t="n">
        <f aca="false">Hypothèses!$J$26*AQ630-AT630</f>
        <v>1658.56506887225</v>
      </c>
      <c r="AW630" s="2" t="n">
        <f aca="false">IF(AC630&gt;Hypothèses!$J$26,MAX(0,AV630)/(1-Hypothèses!$J$26/AC630),0)</f>
        <v>2659.71561256624</v>
      </c>
      <c r="AX630" s="2" t="n">
        <f aca="false">AQ630-Entrées!$C$17*1000</f>
        <v>-85.1685335811944</v>
      </c>
      <c r="AY630" s="2" t="n">
        <f aca="false">AI630+(Entrées!$C$244-Entrées!$C$13)</f>
        <v>28513.4635487048</v>
      </c>
      <c r="AZ630" s="2" t="n">
        <f aca="false">AA630*AH630</f>
        <v>5401.86474294203</v>
      </c>
      <c r="BA630" s="2" t="n">
        <f aca="false">AZ630/AY630</f>
        <v>0.18944961679997</v>
      </c>
      <c r="BB630" s="2" t="n">
        <f aca="false">AZ630/(Entrées!$C$151/100)-AY630</f>
        <v>1496.89613430652</v>
      </c>
      <c r="BC630" s="2" t="n">
        <f aca="false">AT630+(Entrées!$C$244-Entrées!$C$13)</f>
        <v>27832.9293303842</v>
      </c>
      <c r="BD630" s="2" t="n">
        <f aca="false">AA630*AQ630</f>
        <v>5715.18772941524</v>
      </c>
      <c r="BE630" s="2" t="n">
        <f aca="false">BD630/BC630</f>
        <v>0.205339066598936</v>
      </c>
      <c r="BF630" s="2" t="n">
        <f aca="false">BD630/(Entrées!$C$151/100)-BC630</f>
        <v>3918.11361081163</v>
      </c>
      <c r="BG630" s="2" t="n">
        <f aca="false">MIN(AV630,BF630)</f>
        <v>1658.56506887225</v>
      </c>
      <c r="BH630" s="2" t="n">
        <f aca="false">IF(AC630&gt;Hypothèses!$J$26,MAX(0,BG630)/(1-Hypothèses!$J$26/AC630),0)</f>
        <v>2659.71561256624</v>
      </c>
    </row>
    <row r="631" customFormat="false" ht="15" hidden="false" customHeight="false" outlineLevel="0" collapsed="false">
      <c r="A631" s="2" t="n">
        <v>616</v>
      </c>
      <c r="B631" s="2" t="n">
        <v>0.385064482</v>
      </c>
      <c r="C631" s="2"/>
      <c r="D631" s="2" t="n">
        <v>0.271200008</v>
      </c>
      <c r="E631" s="2" t="n">
        <f aca="false">IF(E$7=E$5,E$6,IF(NORMSDIST(E$9*SQRT($C$11)*NORMSINV($B631)+SQRT(1-E$9^2*$C$11)*NORMSINV(D631))&lt;E$8,E$5+SQRT(NORMSDIST(E$9*SQRT($C$11)*NORMSINV($B631)+SQRT(1-E$9^2*$C$11)*NORMSINV(D631))*(E$7-E$5)*(E$6-E$5)),E$7-SQRT((1-NORMSDIST(E$9*SQRT($C$11)*NORMSINV($B631)+SQRT(1-E$9^2*$C$11)*NORMSINV(D631)))*(E$7-E$5)*(E$7-E$6))))</f>
        <v>0.0535755603466371</v>
      </c>
      <c r="F631" s="2" t="n">
        <v>0.678100075</v>
      </c>
      <c r="G631" s="2" t="n">
        <f aca="false">IF(G$7=G$5,G$6,IF(NORMSDIST(G$9*SQRT($C$11)*NORMSINV($B631)+SQRT(1-G$9^2*$C$11)*NORMSINV(F631))&lt;G$8,G$5+SQRT(NORMSDIST(G$9*SQRT($C$11)*NORMSINV($B631)+SQRT(1-G$9^2*$C$11)*NORMSINV(F631))*(G$7-G$5)*(G$6-G$5)),G$7-SQRT((1-NORMSDIST(G$9*SQRT($C$11)*NORMSINV($B631)+SQRT(1-G$9^2*$C$11)*NORMSINV(F631)))*(G$7-G$5)*(G$7-G$6))))</f>
        <v>0.0560704323822827</v>
      </c>
      <c r="H631" s="2" t="n">
        <v>0.583325855</v>
      </c>
      <c r="I631" s="2" t="n">
        <f aca="false">IF(I$7=I$5,I$6,IF(NORMSDIST(I$9*SQRT($C$11)*NORMSINV($B631)+SQRT(1-I$9^2*$C$11)*NORMSINV(H631))&lt;I$8,I$5+SQRT(NORMSDIST(I$9*SQRT($C$11)*NORMSINV($B631)+SQRT(1-I$9^2*$C$11)*NORMSINV(H631))*(I$7-I$5)*(I$6-I$5)),I$7-SQRT((1-NORMSDIST(I$9*SQRT($C$11)*NORMSINV($B631)+SQRT(1-I$9^2*$C$11)*NORMSINV(H631)))*(I$7-I$5)*(I$7-I$6))))</f>
        <v>199.825109690103</v>
      </c>
      <c r="J631" s="2" t="n">
        <v>0.185609949</v>
      </c>
      <c r="K631" s="2" t="n">
        <f aca="false">IF(K$7=K$5,K$6,IF(NORMSDIST(K$9*SQRT($C$11)*NORMSINV($B631)+SQRT(1-K$9^2*$C$11)*NORMSINV(J631))&lt;K$8,K$5+SQRT(NORMSDIST(K$9*SQRT($C$11)*NORMSINV($B631)+SQRT(1-K$9^2*$C$11)*NORMSINV(J631))*(K$7-K$5)*(K$6-K$5)),K$7-SQRT((1-NORMSDIST(K$9*SQRT($C$11)*NORMSINV($B631)+SQRT(1-K$9^2*$C$11)*NORMSINV(J631)))*(K$7-K$5)*(K$7-K$6))))</f>
        <v>0.154160070379309</v>
      </c>
      <c r="L631" s="2" t="n">
        <v>0.681883959</v>
      </c>
      <c r="M631" s="2" t="n">
        <f aca="false">IF(M$7=M$5,M$6,IF(NORMSDIST(M$9*SQRT($C$11)*NORMSINV($B631)+SQRT(1-M$9^2*$C$11)*NORMSINV(L631))&lt;M$8,M$5+SQRT(NORMSDIST(M$9*SQRT($C$11)*NORMSINV($B631)+SQRT(1-M$9^2*$C$11)*NORMSINV(L631))*(M$7-M$5)*(M$6-M$5)),M$7-SQRT((1-NORMSDIST(M$9*SQRT($C$11)*NORMSINV($B631)+SQRT(1-M$9^2*$C$11)*NORMSINV(L631)))*(M$7-M$5)*(M$7-M$6))))</f>
        <v>1604.99207148045</v>
      </c>
      <c r="N631" s="2" t="n">
        <v>0.37414503</v>
      </c>
      <c r="O631" s="2" t="n">
        <f aca="false">IF(O$7=O$5,O$6,IF(NORMSDIST(O$9*SQRT($C$11)*NORMSINV($B631)+SQRT(1-O$9^2*$C$11)*NORMSINV(N631))&lt;O$8,O$5+SQRT(NORMSDIST(O$9*SQRT($C$11)*NORMSINV($B631)+SQRT(1-O$9^2*$C$11)*NORMSINV(N631))*(O$7-O$5)*(O$6-O$5)),O$7-SQRT((1-NORMSDIST(O$9*SQRT($C$11)*NORMSINV($B631)+SQRT(1-O$9^2*$C$11)*NORMSINV(N631)))*(O$7-O$5)*(O$7-O$6))))</f>
        <v>0.161837903569577</v>
      </c>
      <c r="P631" s="2" t="n">
        <v>0.250115713</v>
      </c>
      <c r="Q631" s="2" t="n">
        <f aca="false">IF(Q$7=Q$5,Q$6,IF(NORMSDIST(Q$9*SQRT($C$11)*NORMSINV($B631)+SQRT(1-Q$9^2*$C$11)*NORMSINV(P631))&lt;Q$8,Q$5+SQRT(NORMSDIST(Q$9*SQRT($C$11)*NORMSINV($B631)+SQRT(1-Q$9^2*$C$11)*NORMSINV(P631))*(Q$7-Q$5)*(Q$6-Q$5)),Q$7-SQRT((1-NORMSDIST(Q$9*SQRT($C$11)*NORMSINV($B631)+SQRT(1-Q$9^2*$C$11)*NORMSINV(P631)))*(Q$7-Q$5)*(Q$7-Q$6))))</f>
        <v>0.0682908162059704</v>
      </c>
      <c r="R631" s="2" t="n">
        <v>0.738097773</v>
      </c>
      <c r="S631" s="2" t="n">
        <f aca="false">IF(S$7=S$5,S$6,IF(NORMSDIST(S$9*SQRT($C$11)*NORMSINV($B631)+SQRT(1-S$9^2*$C$11)*NORMSINV(R631))&lt;S$8,S$5+SQRT(NORMSDIST(S$9*SQRT($C$11)*NORMSINV($B631)+SQRT(1-S$9^2*$C$11)*NORMSINV(R631))*(S$7-S$5)*(S$6-S$5)),S$7-SQRT((1-NORMSDIST(S$9*SQRT($C$11)*NORMSINV($B631)+SQRT(1-S$9^2*$C$11)*NORMSINV(R631)))*(S$7-S$5)*(S$7-S$6))))</f>
        <v>0.564877075707049</v>
      </c>
      <c r="T631" s="2" t="n">
        <v>0.429461657</v>
      </c>
      <c r="U631" s="2" t="n">
        <f aca="false">IF(U$7=U$5,U$6,IF(NORMSDIST(U$9*SQRT($C$11)*NORMSINV($B631)+SQRT(1-U$9^2*$C$11)*NORMSINV(T631))&lt;U$8,U$5+SQRT(NORMSDIST(U$9*SQRT($C$11)*NORMSINV($B631)+SQRT(1-U$9^2*$C$11)*NORMSINV(T631))*(U$7-U$5)*(U$6-U$5)),U$7-SQRT((1-NORMSDIST(U$9*SQRT($C$11)*NORMSINV($B631)+SQRT(1-U$9^2*$C$11)*NORMSINV(T631)))*(U$7-U$5)*(U$7-U$6))))</f>
        <v>0.432169813325392</v>
      </c>
      <c r="V631" s="2" t="n">
        <v>0.520254459</v>
      </c>
      <c r="W631" s="2" t="n">
        <f aca="false">IF(W$7=W$5,W$6,IF(NORMSDIST(W$9*SQRT($C$11)*NORMSINV($B631)+SQRT(1-W$9^2*$C$11)*NORMSINV(V631))&lt;W$8,W$5+SQRT(NORMSDIST(W$9*SQRT($C$11)*NORMSINV($B631)+SQRT(1-W$9^2*$C$11)*NORMSINV(V631))*(W$7-W$5)*(W$6-W$5)),W$7-SQRT((1-NORMSDIST(W$9*SQRT($C$11)*NORMSINV($B631)+SQRT(1-W$9^2*$C$11)*NORMSINV(V631)))*(W$7-W$5)*(W$7-W$6))))</f>
        <v>9.8807919434084</v>
      </c>
      <c r="X631" s="2" t="n">
        <v>0.049212921</v>
      </c>
      <c r="Y631" s="2" t="n">
        <f aca="false">IF(Y$7=Y$5,Y$6,IF(NORMSDIST(Y$9*SQRT($C$11)*NORMSINV($B631)+SQRT(1-Y$9^2*$C$11)*NORMSINV(X631))&lt;Y$8,Y$5+SQRT(NORMSDIST(Y$9*SQRT($C$11)*NORMSINV($B631)+SQRT(1-Y$9^2*$C$11)*NORMSINV(X631))*(Y$7-Y$5)*(Y$6-Y$5)),Y$7-SQRT((1-NORMSDIST(Y$9*SQRT($C$11)*NORMSINV($B631)+SQRT(1-Y$9^2*$C$11)*NORMSINV(X631)))*(Y$7-Y$5)*(Y$7-Y$6))))</f>
        <v>0.156864465383337</v>
      </c>
      <c r="Z631" s="2" t="n">
        <v>0.390484058</v>
      </c>
      <c r="AA631" s="2" t="n">
        <f aca="false">IF(AA$7=AA$5,AA$6,IF(NORMSDIST(AA$9*SQRT($C$11)*NORMSINV($B631)+SQRT(1-AA$9^2*$C$11)*NORMSINV(Z631))&lt;AA$8,AA$5+SQRT(NORMSDIST(AA$9*SQRT($C$11)*NORMSINV($B631)+SQRT(1-AA$9^2*$C$11)*NORMSINV(Z631))*(AA$7-AA$5)*(AA$6-AA$5)),AA$7-SQRT((1-NORMSDIST(AA$9*SQRT($C$11)*NORMSINV($B631)+SQRT(1-AA$9^2*$C$11)*NORMSINV(Z631)))*(AA$7-AA$5)*(AA$7-AA$6))))</f>
        <v>0.722489198442275</v>
      </c>
      <c r="AB631" s="2" t="n">
        <v>0.826838899</v>
      </c>
      <c r="AC631" s="2" t="n">
        <f aca="false">IF(AC$7=AC$5,AC$6,IF(NORMSDIST(AC$9*SQRT($C$11)*NORMSINV($B631)+SQRT(1-AC$9^2*$C$11)*NORMSINV(AB631))&lt;AC$8,AC$5+SQRT(NORMSDIST(AC$9*SQRT($C$11)*NORMSINV($B631)+SQRT(1-AC$9^2*$C$11)*NORMSINV(AB631))*(AC$7-AC$5)*(AC$6-AC$5)),AC$7-SQRT((1-NORMSDIST(AC$9*SQRT($C$11)*NORMSINV($B631)+SQRT(1-AC$9^2*$C$11)*NORMSINV(AB631)))*(AC$7-AC$5)*(AC$7-AC$6))))</f>
        <v>9.87495649473328</v>
      </c>
      <c r="AD631" s="2" t="n">
        <f aca="false">Entrées!$C$8*(1+E631)</f>
        <v>7427.70770044379</v>
      </c>
      <c r="AE631" s="2" t="n">
        <f aca="false">I631*Hypothèses!$J$24/12/Hypothèses!$J$19</f>
        <v>99.1325973521157</v>
      </c>
      <c r="AF631" s="2" t="n">
        <f aca="false">Entrées!$C$36*S631*1000</f>
        <v>282.438537853524</v>
      </c>
      <c r="AG631" s="2" t="n">
        <f aca="false">-AF631/W631</f>
        <v>-28.5846053100979</v>
      </c>
      <c r="AH631" s="2" t="n">
        <f aca="false">AD631+AE631+AG631</f>
        <v>7498.25569248581</v>
      </c>
      <c r="AI631" s="2" t="n">
        <f aca="false">Entrées!$C$16-M631+Hypothèses!$J$22*1000-AF631+Hypothèses!$J$23</f>
        <v>22660.569390666</v>
      </c>
      <c r="AJ631" s="2" t="n">
        <f aca="false">AI631/AH631</f>
        <v>3.02211211780558</v>
      </c>
      <c r="AK631" s="2" t="n">
        <f aca="false">AI631/(AH631+I631*(12-Hypothèses!$J$24)/12/Hypothèses!$J$19)</f>
        <v>2.99384010006213</v>
      </c>
      <c r="AL631" s="2" t="n">
        <f aca="false">(AD631+AG631+I631/Hypothèses!$J$19)*(1+G631)</f>
        <v>7993.46542052556</v>
      </c>
      <c r="AM631" s="2" t="n">
        <f aca="false">Entrées!$C$54*K631/Hypothèses!$J$19</f>
        <v>15.7326824585161</v>
      </c>
      <c r="AN631" s="2" t="n">
        <f aca="false">Y631*1000/AC631</f>
        <v>15.8850791359941</v>
      </c>
      <c r="AO631" s="2" t="n">
        <f aca="false">(Entrées!$C$36*(1-S631)+MAX(0,Entrées!$C$30-Entrées!$C$35-Entrées!$C$36)*U631)*1000</f>
        <v>822.599200802025</v>
      </c>
      <c r="AP631" s="2" t="n">
        <f aca="false">-AO631/W631</f>
        <v>-83.2523552275373</v>
      </c>
      <c r="AQ631" s="2" t="n">
        <f aca="false">AL631+AM631+AN631+AP631</f>
        <v>7941.83082689254</v>
      </c>
      <c r="AR631" s="2" t="n">
        <f aca="false">O631*AQ631-Hypothèses!$J$25/Hypothèses!$J$19</f>
        <v>1266.1540892669</v>
      </c>
      <c r="AS631" s="2" t="n">
        <f aca="false">Entrées!$C$79*(1+Q631)+Hypothèses!$J$20</f>
        <v>1469.05160701036</v>
      </c>
      <c r="AT631" s="2" t="n">
        <f aca="false">AI631-AR631+AS631+Y631*1000-AO631+Hypothèses!$J$23</f>
        <v>22197.7321729908</v>
      </c>
      <c r="AU631" s="2" t="n">
        <f aca="false">AT631/AQ631</f>
        <v>2.79503966488748</v>
      </c>
      <c r="AV631" s="2" t="n">
        <f aca="false">Hypothèses!$J$26*AQ631-AT631</f>
        <v>1627.76030768682</v>
      </c>
      <c r="AW631" s="2" t="n">
        <f aca="false">IF(AC631&gt;Hypothèses!$J$26,MAX(0,AV631)/(1-Hypothèses!$J$26/AC631),0)</f>
        <v>2338.06020948277</v>
      </c>
      <c r="AX631" s="2" t="n">
        <f aca="false">AQ631-Entrées!$C$17*1000</f>
        <v>-58.1691731074634</v>
      </c>
      <c r="AY631" s="2" t="n">
        <f aca="false">AI631+(Entrées!$C$244-Entrées!$C$13)</f>
        <v>28407.569390666</v>
      </c>
      <c r="AZ631" s="2" t="n">
        <f aca="false">AA631*AH631</f>
        <v>5417.40874497929</v>
      </c>
      <c r="BA631" s="2" t="n">
        <f aca="false">AZ631/AY631</f>
        <v>0.190703001389458</v>
      </c>
      <c r="BB631" s="2" t="n">
        <f aca="false">AZ631/(Entrées!$C$151/100)-AY631</f>
        <v>1689.14585921894</v>
      </c>
      <c r="BC631" s="2" t="n">
        <f aca="false">AT631+(Entrées!$C$244-Entrées!$C$13)</f>
        <v>27944.7321729908</v>
      </c>
      <c r="BD631" s="2" t="n">
        <f aca="false">AA631*AQ631</f>
        <v>5737.88698828574</v>
      </c>
      <c r="BE631" s="2" t="n">
        <f aca="false">BD631/BC631</f>
        <v>0.205329825770581</v>
      </c>
      <c r="BF631" s="2" t="n">
        <f aca="false">BD631/(Entrées!$C$151/100)-BC631</f>
        <v>3932.41776192996</v>
      </c>
      <c r="BG631" s="2" t="n">
        <f aca="false">MIN(AV631,BF631)</f>
        <v>1627.76030768682</v>
      </c>
      <c r="BH631" s="2" t="n">
        <f aca="false">IF(AC631&gt;Hypothèses!$J$26,MAX(0,BG631)/(1-Hypothèses!$J$26/AC631),0)</f>
        <v>2338.06020948277</v>
      </c>
    </row>
    <row r="632" customFormat="false" ht="15" hidden="false" customHeight="false" outlineLevel="0" collapsed="false">
      <c r="A632" s="2" t="n">
        <v>617</v>
      </c>
      <c r="B632" s="2" t="n">
        <v>0.961276978</v>
      </c>
      <c r="C632" s="2"/>
      <c r="D632" s="2" t="n">
        <v>0.742325065</v>
      </c>
      <c r="E632" s="2" t="n">
        <f aca="false">IF(E$7=E$5,E$6,IF(NORMSDIST(E$9*SQRT($C$11)*NORMSINV($B632)+SQRT(1-E$9^2*$C$11)*NORMSINV(D632))&lt;E$8,E$5+SQRT(NORMSDIST(E$9*SQRT($C$11)*NORMSINV($B632)+SQRT(1-E$9^2*$C$11)*NORMSINV(D632))*(E$7-E$5)*(E$6-E$5)),E$7-SQRT((1-NORMSDIST(E$9*SQRT($C$11)*NORMSINV($B632)+SQRT(1-E$9^2*$C$11)*NORMSINV(D632)))*(E$7-E$5)*(E$7-E$6))))</f>
        <v>0.0583790594613672</v>
      </c>
      <c r="F632" s="2" t="n">
        <v>0.518127381</v>
      </c>
      <c r="G632" s="2" t="n">
        <f aca="false">IF(G$7=G$5,G$6,IF(NORMSDIST(G$9*SQRT($C$11)*NORMSINV($B632)+SQRT(1-G$9^2*$C$11)*NORMSINV(F632))&lt;G$8,G$5+SQRT(NORMSDIST(G$9*SQRT($C$11)*NORMSINV($B632)+SQRT(1-G$9^2*$C$11)*NORMSINV(F632))*(G$7-G$5)*(G$6-G$5)),G$7-SQRT((1-NORMSDIST(G$9*SQRT($C$11)*NORMSINV($B632)+SQRT(1-G$9^2*$C$11)*NORMSINV(F632)))*(G$7-G$5)*(G$7-G$6))))</f>
        <v>0.0625097958344852</v>
      </c>
      <c r="H632" s="2" t="n">
        <v>0.898812492</v>
      </c>
      <c r="I632" s="2" t="n">
        <f aca="false">IF(I$7=I$5,I$6,IF(NORMSDIST(I$9*SQRT($C$11)*NORMSINV($B632)+SQRT(1-I$9^2*$C$11)*NORMSINV(H632))&lt;I$8,I$5+SQRT(NORMSDIST(I$9*SQRT($C$11)*NORMSINV($B632)+SQRT(1-I$9^2*$C$11)*NORMSINV(H632))*(I$7-I$5)*(I$6-I$5)),I$7-SQRT((1-NORMSDIST(I$9*SQRT($C$11)*NORMSINV($B632)+SQRT(1-I$9^2*$C$11)*NORMSINV(H632)))*(I$7-I$5)*(I$7-I$6))))</f>
        <v>216.239068351898</v>
      </c>
      <c r="J632" s="2" t="n">
        <v>0.25326947</v>
      </c>
      <c r="K632" s="2" t="n">
        <f aca="false">IF(K$7=K$5,K$6,IF(NORMSDIST(K$9*SQRT($C$11)*NORMSINV($B632)+SQRT(1-K$9^2*$C$11)*NORMSINV(J632))&lt;K$8,K$5+SQRT(NORMSDIST(K$9*SQRT($C$11)*NORMSINV($B632)+SQRT(1-K$9^2*$C$11)*NORMSINV(J632))*(K$7-K$5)*(K$6-K$5)),K$7-SQRT((1-NORMSDIST(K$9*SQRT($C$11)*NORMSINV($B632)+SQRT(1-K$9^2*$C$11)*NORMSINV(J632)))*(K$7-K$5)*(K$7-K$6))))</f>
        <v>0.315095785025679</v>
      </c>
      <c r="L632" s="2" t="n">
        <v>0.680624994</v>
      </c>
      <c r="M632" s="2" t="n">
        <f aca="false">IF(M$7=M$5,M$6,IF(NORMSDIST(M$9*SQRT($C$11)*NORMSINV($B632)+SQRT(1-M$9^2*$C$11)*NORMSINV(L632))&lt;M$8,M$5+SQRT(NORMSDIST(M$9*SQRT($C$11)*NORMSINV($B632)+SQRT(1-M$9^2*$C$11)*NORMSINV(L632))*(M$7-M$5)*(M$6-M$5)),M$7-SQRT((1-NORMSDIST(M$9*SQRT($C$11)*NORMSINV($B632)+SQRT(1-M$9^2*$C$11)*NORMSINV(L632)))*(M$7-M$5)*(M$7-M$6))))</f>
        <v>1717.5765320383</v>
      </c>
      <c r="N632" s="2" t="n">
        <v>0.634199177</v>
      </c>
      <c r="O632" s="2" t="n">
        <f aca="false">IF(O$7=O$5,O$6,IF(NORMSDIST(O$9*SQRT($C$11)*NORMSINV($B632)+SQRT(1-O$9^2*$C$11)*NORMSINV(N632))&lt;O$8,O$5+SQRT(NORMSDIST(O$9*SQRT($C$11)*NORMSINV($B632)+SQRT(1-O$9^2*$C$11)*NORMSINV(N632))*(O$7-O$5)*(O$6-O$5)),O$7-SQRT((1-NORMSDIST(O$9*SQRT($C$11)*NORMSINV($B632)+SQRT(1-O$9^2*$C$11)*NORMSINV(N632)))*(O$7-O$5)*(O$7-O$6))))</f>
        <v>0.180573416927256</v>
      </c>
      <c r="P632" s="2" t="n">
        <v>0.493842331</v>
      </c>
      <c r="Q632" s="2" t="n">
        <f aca="false">IF(Q$7=Q$5,Q$6,IF(NORMSDIST(Q$9*SQRT($C$11)*NORMSINV($B632)+SQRT(1-Q$9^2*$C$11)*NORMSINV(P632))&lt;Q$8,Q$5+SQRT(NORMSDIST(Q$9*SQRT($C$11)*NORMSINV($B632)+SQRT(1-Q$9^2*$C$11)*NORMSINV(P632))*(Q$7-Q$5)*(Q$6-Q$5)),Q$7-SQRT((1-NORMSDIST(Q$9*SQRT($C$11)*NORMSINV($B632)+SQRT(1-Q$9^2*$C$11)*NORMSINV(P632)))*(Q$7-Q$5)*(Q$7-Q$6))))</f>
        <v>0.0797529301964019</v>
      </c>
      <c r="R632" s="2" t="n">
        <v>0.063154973</v>
      </c>
      <c r="S632" s="2" t="n">
        <f aca="false">IF(S$7=S$5,S$6,IF(NORMSDIST(S$9*SQRT($C$11)*NORMSINV($B632)+SQRT(1-S$9^2*$C$11)*NORMSINV(R632))&lt;S$8,S$5+SQRT(NORMSDIST(S$9*SQRT($C$11)*NORMSINV($B632)+SQRT(1-S$9^2*$C$11)*NORMSINV(R632))*(S$7-S$5)*(S$6-S$5)),S$7-SQRT((1-NORMSDIST(S$9*SQRT($C$11)*NORMSINV($B632)+SQRT(1-S$9^2*$C$11)*NORMSINV(R632)))*(S$7-S$5)*(S$7-S$6))))</f>
        <v>0.486362141597394</v>
      </c>
      <c r="T632" s="2" t="n">
        <v>0.914870924</v>
      </c>
      <c r="U632" s="2" t="n">
        <f aca="false">IF(U$7=U$5,U$6,IF(NORMSDIST(U$9*SQRT($C$11)*NORMSINV($B632)+SQRT(1-U$9^2*$C$11)*NORMSINV(T632))&lt;U$8,U$5+SQRT(NORMSDIST(U$9*SQRT($C$11)*NORMSINV($B632)+SQRT(1-U$9^2*$C$11)*NORMSINV(T632))*(U$7-U$5)*(U$6-U$5)),U$7-SQRT((1-NORMSDIST(U$9*SQRT($C$11)*NORMSINV($B632)+SQRT(1-U$9^2*$C$11)*NORMSINV(T632)))*(U$7-U$5)*(U$7-U$6))))</f>
        <v>0.914366423103205</v>
      </c>
      <c r="V632" s="2" t="n">
        <v>0.000179967</v>
      </c>
      <c r="W632" s="2" t="n">
        <f aca="false">IF(W$7=W$5,W$6,IF(NORMSDIST(W$9*SQRT($C$11)*NORMSINV($B632)+SQRT(1-W$9^2*$C$11)*NORMSINV(V632))&lt;W$8,W$5+SQRT(NORMSDIST(W$9*SQRT($C$11)*NORMSINV($B632)+SQRT(1-W$9^2*$C$11)*NORMSINV(V632))*(W$7-W$5)*(W$6-W$5)),W$7-SQRT((1-NORMSDIST(W$9*SQRT($C$11)*NORMSINV($B632)+SQRT(1-W$9^2*$C$11)*NORMSINV(V632)))*(W$7-W$5)*(W$7-W$6))))</f>
        <v>8.63111443904038</v>
      </c>
      <c r="X632" s="2" t="n">
        <v>0.028398894</v>
      </c>
      <c r="Y632" s="2" t="n">
        <f aca="false">IF(Y$7=Y$5,Y$6,IF(NORMSDIST(Y$9*SQRT($C$11)*NORMSINV($B632)+SQRT(1-Y$9^2*$C$11)*NORMSINV(X632))&lt;Y$8,Y$5+SQRT(NORMSDIST(Y$9*SQRT($C$11)*NORMSINV($B632)+SQRT(1-Y$9^2*$C$11)*NORMSINV(X632))*(Y$7-Y$5)*(Y$6-Y$5)),Y$7-SQRT((1-NORMSDIST(Y$9*SQRT($C$11)*NORMSINV($B632)+SQRT(1-Y$9^2*$C$11)*NORMSINV(X632)))*(Y$7-Y$5)*(Y$7-Y$6))))</f>
        <v>0.119161432519083</v>
      </c>
      <c r="Z632" s="2" t="n">
        <v>0.389292302</v>
      </c>
      <c r="AA632" s="2" t="n">
        <f aca="false">IF(AA$7=AA$5,AA$6,IF(NORMSDIST(AA$9*SQRT($C$11)*NORMSINV($B632)+SQRT(1-AA$9^2*$C$11)*NORMSINV(Z632))&lt;AA$8,AA$5+SQRT(NORMSDIST(AA$9*SQRT($C$11)*NORMSINV($B632)+SQRT(1-AA$9^2*$C$11)*NORMSINV(Z632))*(AA$7-AA$5)*(AA$6-AA$5)),AA$7-SQRT((1-NORMSDIST(AA$9*SQRT($C$11)*NORMSINV($B632)+SQRT(1-AA$9^2*$C$11)*NORMSINV(Z632)))*(AA$7-AA$5)*(AA$7-AA$6))))</f>
        <v>0.738477359236437</v>
      </c>
      <c r="AB632" s="2" t="n">
        <v>0.313430973</v>
      </c>
      <c r="AC632" s="2" t="n">
        <f aca="false">IF(AC$7=AC$5,AC$6,IF(NORMSDIST(AC$9*SQRT($C$11)*NORMSINV($B632)+SQRT(1-AC$9^2*$C$11)*NORMSINV(AB632))&lt;AC$8,AC$5+SQRT(NORMSDIST(AC$9*SQRT($C$11)*NORMSINV($B632)+SQRT(1-AC$9^2*$C$11)*NORMSINV(AB632))*(AC$7-AC$5)*(AC$6-AC$5)),AC$7-SQRT((1-NORMSDIST(AC$9*SQRT($C$11)*NORMSINV($B632)+SQRT(1-AC$9^2*$C$11)*NORMSINV(AB632)))*(AC$7-AC$5)*(AC$7-AC$6))))</f>
        <v>10.0040680475258</v>
      </c>
      <c r="AD632" s="2" t="n">
        <f aca="false">Entrées!$C$8*(1+E632)</f>
        <v>7461.57236920264</v>
      </c>
      <c r="AE632" s="2" t="n">
        <f aca="false">I632*Hypothèses!$J$24/12/Hypothèses!$J$19</f>
        <v>107.275509709314</v>
      </c>
      <c r="AF632" s="2" t="n">
        <f aca="false">Entrées!$C$36*S632*1000</f>
        <v>243.181070798697</v>
      </c>
      <c r="AG632" s="2" t="n">
        <f aca="false">-AF632/W632</f>
        <v>-28.1749329725877</v>
      </c>
      <c r="AH632" s="2" t="n">
        <f aca="false">AD632+AE632+AG632</f>
        <v>7540.67294593937</v>
      </c>
      <c r="AI632" s="2" t="n">
        <f aca="false">Entrées!$C$16-M632+Hypothèses!$J$22*1000-AF632+Hypothèses!$J$23</f>
        <v>22587.242397163</v>
      </c>
      <c r="AJ632" s="2" t="n">
        <f aca="false">AI632/AH632</f>
        <v>2.99538815157421</v>
      </c>
      <c r="AK632" s="2" t="n">
        <f aca="false">AI632/(AH632+I632*(12-Hypothèses!$J$24)/12/Hypothèses!$J$19)</f>
        <v>2.9652563780335</v>
      </c>
      <c r="AL632" s="2" t="n">
        <f aca="false">(AD632+AG632+I632/Hypothèses!$J$19)*(1+G632)</f>
        <v>8093.454072187</v>
      </c>
      <c r="AM632" s="2" t="n">
        <f aca="false">Entrées!$C$54*K632/Hypothèses!$J$19</f>
        <v>32.1568478635775</v>
      </c>
      <c r="AN632" s="2" t="n">
        <f aca="false">Y632*1000/AC632</f>
        <v>11.911297679403</v>
      </c>
      <c r="AO632" s="2" t="n">
        <f aca="false">(Entrées!$C$36*(1-S632)+MAX(0,Entrées!$C$30-Entrées!$C$35-Entrées!$C$36)*U632)*1000</f>
        <v>1536.93192154579</v>
      </c>
      <c r="AP632" s="2" t="n">
        <f aca="false">-AO632/W632</f>
        <v>-178.068768801618</v>
      </c>
      <c r="AQ632" s="2" t="n">
        <f aca="false">AL632+AM632+AN632+AP632</f>
        <v>7959.45344892837</v>
      </c>
      <c r="AR632" s="2" t="n">
        <f aca="false">O632*AQ632-Hypothèses!$J$25/Hypothèses!$J$19</f>
        <v>1418.1305438848</v>
      </c>
      <c r="AS632" s="2" t="n">
        <f aca="false">Entrées!$C$79*(1+Q632)+Hypothèses!$J$20</f>
        <v>1481.64847028585</v>
      </c>
      <c r="AT632" s="2" t="n">
        <f aca="false">AI632-AR632+AS632+Y632*1000-AO632+Hypothèses!$J$23</f>
        <v>21232.9898345373</v>
      </c>
      <c r="AU632" s="2" t="n">
        <f aca="false">AT632/AQ632</f>
        <v>2.66764420079573</v>
      </c>
      <c r="AV632" s="2" t="n">
        <f aca="false">Hypothèses!$J$26*AQ632-AT632</f>
        <v>2645.37051224776</v>
      </c>
      <c r="AW632" s="2" t="n">
        <f aca="false">IF(AC632&gt;Hypothèses!$J$26,MAX(0,AV632)/(1-Hypothèses!$J$26/AC632),0)</f>
        <v>3778.44224754404</v>
      </c>
      <c r="AX632" s="2" t="n">
        <f aca="false">AQ632-Entrées!$C$17*1000</f>
        <v>-40.5465510716331</v>
      </c>
      <c r="AY632" s="2" t="n">
        <f aca="false">AI632+(Entrées!$C$244-Entrées!$C$13)</f>
        <v>28334.242397163</v>
      </c>
      <c r="AZ632" s="2" t="n">
        <f aca="false">AA632*AH632</f>
        <v>5568.61624398295</v>
      </c>
      <c r="BA632" s="2" t="n">
        <f aca="false">AZ632/AY632</f>
        <v>0.19653309115971</v>
      </c>
      <c r="BB632" s="2" t="n">
        <f aca="false">AZ632/(Entrées!$C$151/100)-AY632</f>
        <v>2602.51451385336</v>
      </c>
      <c r="BC632" s="2" t="n">
        <f aca="false">AT632+(Entrées!$C$244-Entrées!$C$13)</f>
        <v>26979.9898345373</v>
      </c>
      <c r="BD632" s="2" t="n">
        <f aca="false">AA632*AQ632</f>
        <v>5877.87616392997</v>
      </c>
      <c r="BE632" s="2" t="n">
        <f aca="false">BD632/BC632</f>
        <v>0.217860577412288</v>
      </c>
      <c r="BF632" s="2" t="n">
        <f aca="false">BD632/(Entrées!$C$151/100)-BC632</f>
        <v>5674.87774285138</v>
      </c>
      <c r="BG632" s="2" t="n">
        <f aca="false">MIN(AV632,BF632)</f>
        <v>2645.37051224776</v>
      </c>
      <c r="BH632" s="2" t="n">
        <f aca="false">IF(AC632&gt;Hypothèses!$J$26,MAX(0,BG632)/(1-Hypothèses!$J$26/AC632),0)</f>
        <v>3778.44224754404</v>
      </c>
    </row>
    <row r="633" customFormat="false" ht="15" hidden="false" customHeight="false" outlineLevel="0" collapsed="false">
      <c r="A633" s="2" t="n">
        <v>618</v>
      </c>
      <c r="B633" s="2" t="n">
        <v>0.923300879</v>
      </c>
      <c r="C633" s="2"/>
      <c r="D633" s="2" t="n">
        <v>0.743507771</v>
      </c>
      <c r="E633" s="2" t="n">
        <f aca="false">IF(E$7=E$5,E$6,IF(NORMSDIST(E$9*SQRT($C$11)*NORMSINV($B633)+SQRT(1-E$9^2*$C$11)*NORMSINV(D633))&lt;E$8,E$5+SQRT(NORMSDIST(E$9*SQRT($C$11)*NORMSINV($B633)+SQRT(1-E$9^2*$C$11)*NORMSINV(D633))*(E$7-E$5)*(E$6-E$5)),E$7-SQRT((1-NORMSDIST(E$9*SQRT($C$11)*NORMSINV($B633)+SQRT(1-E$9^2*$C$11)*NORMSINV(D633)))*(E$7-E$5)*(E$7-E$6))))</f>
        <v>0.0580085029387557</v>
      </c>
      <c r="F633" s="2" t="n">
        <v>0.967203802</v>
      </c>
      <c r="G633" s="2" t="n">
        <f aca="false">IF(G$7=G$5,G$6,IF(NORMSDIST(G$9*SQRT($C$11)*NORMSINV($B633)+SQRT(1-G$9^2*$C$11)*NORMSINV(F633))&lt;G$8,G$5+SQRT(NORMSDIST(G$9*SQRT($C$11)*NORMSINV($B633)+SQRT(1-G$9^2*$C$11)*NORMSINV(F633))*(G$7-G$5)*(G$6-G$5)),G$7-SQRT((1-NORMSDIST(G$9*SQRT($C$11)*NORMSINV($B633)+SQRT(1-G$9^2*$C$11)*NORMSINV(F633)))*(G$7-G$5)*(G$7-G$6))))</f>
        <v>0.0678864474102588</v>
      </c>
      <c r="H633" s="2" t="n">
        <v>0.711960368</v>
      </c>
      <c r="I633" s="2" t="n">
        <f aca="false">IF(I$7=I$5,I$6,IF(NORMSDIST(I$9*SQRT($C$11)*NORMSINV($B633)+SQRT(1-I$9^2*$C$11)*NORMSINV(H633))&lt;I$8,I$5+SQRT(NORMSDIST(I$9*SQRT($C$11)*NORMSINV($B633)+SQRT(1-I$9^2*$C$11)*NORMSINV(H633))*(I$7-I$5)*(I$6-I$5)),I$7-SQRT((1-NORMSDIST(I$9*SQRT($C$11)*NORMSINV($B633)+SQRT(1-I$9^2*$C$11)*NORMSINV(H633)))*(I$7-I$5)*(I$7-I$6))))</f>
        <v>211.478325638085</v>
      </c>
      <c r="J633" s="2" t="n">
        <v>0.987286005</v>
      </c>
      <c r="K633" s="2" t="n">
        <f aca="false">IF(K$7=K$5,K$6,IF(NORMSDIST(K$9*SQRT($C$11)*NORMSINV($B633)+SQRT(1-K$9^2*$C$11)*NORMSINV(J633))&lt;K$8,K$5+SQRT(NORMSDIST(K$9*SQRT($C$11)*NORMSINV($B633)+SQRT(1-K$9^2*$C$11)*NORMSINV(J633))*(K$7-K$5)*(K$6-K$5)),K$7-SQRT((1-NORMSDIST(K$9*SQRT($C$11)*NORMSINV($B633)+SQRT(1-K$9^2*$C$11)*NORMSINV(J633)))*(K$7-K$5)*(K$7-K$6))))</f>
        <v>0.477034972674984</v>
      </c>
      <c r="L633" s="2" t="n">
        <v>0.39595451</v>
      </c>
      <c r="M633" s="2" t="n">
        <f aca="false">IF(M$7=M$5,M$6,IF(NORMSDIST(M$9*SQRT($C$11)*NORMSINV($B633)+SQRT(1-M$9^2*$C$11)*NORMSINV(L633))&lt;M$8,M$5+SQRT(NORMSDIST(M$9*SQRT($C$11)*NORMSINV($B633)+SQRT(1-M$9^2*$C$11)*NORMSINV(L633))*(M$7-M$5)*(M$6-M$5)),M$7-SQRT((1-NORMSDIST(M$9*SQRT($C$11)*NORMSINV($B633)+SQRT(1-M$9^2*$C$11)*NORMSINV(L633)))*(M$7-M$5)*(M$7-M$6))))</f>
        <v>1652.98050418951</v>
      </c>
      <c r="N633" s="2" t="n">
        <v>0.14892673</v>
      </c>
      <c r="O633" s="2" t="n">
        <f aca="false">IF(O$7=O$5,O$6,IF(NORMSDIST(O$9*SQRT($C$11)*NORMSINV($B633)+SQRT(1-O$9^2*$C$11)*NORMSINV(N633))&lt;O$8,O$5+SQRT(NORMSDIST(O$9*SQRT($C$11)*NORMSINV($B633)+SQRT(1-O$9^2*$C$11)*NORMSINV(N633))*(O$7-O$5)*(O$6-O$5)),O$7-SQRT((1-NORMSDIST(O$9*SQRT($C$11)*NORMSINV($B633)+SQRT(1-O$9^2*$C$11)*NORMSINV(N633)))*(O$7-O$5)*(O$7-O$6))))</f>
        <v>0.16779519536086</v>
      </c>
      <c r="P633" s="2" t="n">
        <v>0.662866155</v>
      </c>
      <c r="Q633" s="2" t="n">
        <f aca="false">IF(Q$7=Q$5,Q$6,IF(NORMSDIST(Q$9*SQRT($C$11)*NORMSINV($B633)+SQRT(1-Q$9^2*$C$11)*NORMSINV(P633))&lt;Q$8,Q$5+SQRT(NORMSDIST(Q$9*SQRT($C$11)*NORMSINV($B633)+SQRT(1-Q$9^2*$C$11)*NORMSINV(P633))*(Q$7-Q$5)*(Q$6-Q$5)),Q$7-SQRT((1-NORMSDIST(Q$9*SQRT($C$11)*NORMSINV($B633)+SQRT(1-Q$9^2*$C$11)*NORMSINV(P633)))*(Q$7-Q$5)*(Q$7-Q$6))))</f>
        <v>0.0871544781743386</v>
      </c>
      <c r="R633" s="2" t="n">
        <v>0.389455173</v>
      </c>
      <c r="S633" s="2" t="n">
        <f aca="false">IF(S$7=S$5,S$6,IF(NORMSDIST(S$9*SQRT($C$11)*NORMSINV($B633)+SQRT(1-S$9^2*$C$11)*NORMSINV(R633))&lt;S$8,S$5+SQRT(NORMSDIST(S$9*SQRT($C$11)*NORMSINV($B633)+SQRT(1-S$9^2*$C$11)*NORMSINV(R633))*(S$7-S$5)*(S$6-S$5)),S$7-SQRT((1-NORMSDIST(S$9*SQRT($C$11)*NORMSINV($B633)+SQRT(1-S$9^2*$C$11)*NORMSINV(R633)))*(S$7-S$5)*(S$7-S$6))))</f>
        <v>0.64890953008215</v>
      </c>
      <c r="T633" s="2" t="n">
        <v>0.726462276</v>
      </c>
      <c r="U633" s="2" t="n">
        <f aca="false">IF(U$7=U$5,U$6,IF(NORMSDIST(U$9*SQRT($C$11)*NORMSINV($B633)+SQRT(1-U$9^2*$C$11)*NORMSINV(T633))&lt;U$8,U$5+SQRT(NORMSDIST(U$9*SQRT($C$11)*NORMSINV($B633)+SQRT(1-U$9^2*$C$11)*NORMSINV(T633))*(U$7-U$5)*(U$6-U$5)),U$7-SQRT((1-NORMSDIST(U$9*SQRT($C$11)*NORMSINV($B633)+SQRT(1-U$9^2*$C$11)*NORMSINV(T633)))*(U$7-U$5)*(U$7-U$6))))</f>
        <v>0.793302981019114</v>
      </c>
      <c r="V633" s="2" t="n">
        <v>0.863631859</v>
      </c>
      <c r="W633" s="2" t="n">
        <f aca="false">IF(W$7=W$5,W$6,IF(NORMSDIST(W$9*SQRT($C$11)*NORMSINV($B633)+SQRT(1-W$9^2*$C$11)*NORMSINV(V633))&lt;W$8,W$5+SQRT(NORMSDIST(W$9*SQRT($C$11)*NORMSINV($B633)+SQRT(1-W$9^2*$C$11)*NORMSINV(V633))*(W$7-W$5)*(W$6-W$5)),W$7-SQRT((1-NORMSDIST(W$9*SQRT($C$11)*NORMSINV($B633)+SQRT(1-W$9^2*$C$11)*NORMSINV(V633)))*(W$7-W$5)*(W$7-W$6))))</f>
        <v>11.4354053415326</v>
      </c>
      <c r="X633" s="2" t="n">
        <v>0.938970973</v>
      </c>
      <c r="Y633" s="2" t="n">
        <f aca="false">IF(Y$7=Y$5,Y$6,IF(NORMSDIST(Y$9*SQRT($C$11)*NORMSINV($B633)+SQRT(1-Y$9^2*$C$11)*NORMSINV(X633))&lt;Y$8,Y$5+SQRT(NORMSDIST(Y$9*SQRT($C$11)*NORMSINV($B633)+SQRT(1-Y$9^2*$C$11)*NORMSINV(X633))*(Y$7-Y$5)*(Y$6-Y$5)),Y$7-SQRT((1-NORMSDIST(Y$9*SQRT($C$11)*NORMSINV($B633)+SQRT(1-Y$9^2*$C$11)*NORMSINV(X633)))*(Y$7-Y$5)*(Y$7-Y$6))))</f>
        <v>0.825315960946628</v>
      </c>
      <c r="Z633" s="2" t="n">
        <v>0.360150624</v>
      </c>
      <c r="AA633" s="2" t="n">
        <f aca="false">IF(AA$7=AA$5,AA$6,IF(NORMSDIST(AA$9*SQRT($C$11)*NORMSINV($B633)+SQRT(1-AA$9^2*$C$11)*NORMSINV(Z633))&lt;AA$8,AA$5+SQRT(NORMSDIST(AA$9*SQRT($C$11)*NORMSINV($B633)+SQRT(1-AA$9^2*$C$11)*NORMSINV(Z633))*(AA$7-AA$5)*(AA$6-AA$5)),AA$7-SQRT((1-NORMSDIST(AA$9*SQRT($C$11)*NORMSINV($B633)+SQRT(1-AA$9^2*$C$11)*NORMSINV(Z633)))*(AA$7-AA$5)*(AA$7-AA$6))))</f>
        <v>0.735386288116025</v>
      </c>
      <c r="AB633" s="2" t="n">
        <v>0.984060638</v>
      </c>
      <c r="AC633" s="2" t="n">
        <f aca="false">IF(AC$7=AC$5,AC$6,IF(NORMSDIST(AC$9*SQRT($C$11)*NORMSINV($B633)+SQRT(1-AC$9^2*$C$11)*NORMSINV(AB633))&lt;AC$8,AC$5+SQRT(NORMSDIST(AC$9*SQRT($C$11)*NORMSINV($B633)+SQRT(1-AC$9^2*$C$11)*NORMSINV(AB633))*(AC$7-AC$5)*(AC$6-AC$5)),AC$7-SQRT((1-NORMSDIST(AC$9*SQRT($C$11)*NORMSINV($B633)+SQRT(1-AC$9^2*$C$11)*NORMSINV(AB633)))*(AC$7-AC$5)*(AC$7-AC$6))))</f>
        <v>10.8507455581294</v>
      </c>
      <c r="AD633" s="2" t="n">
        <f aca="false">Entrées!$C$8*(1+E633)</f>
        <v>7458.95994571823</v>
      </c>
      <c r="AE633" s="2" t="n">
        <f aca="false">I633*Hypothèses!$J$24/12/Hypothèses!$J$19</f>
        <v>104.913720486341</v>
      </c>
      <c r="AF633" s="2" t="n">
        <f aca="false">Entrées!$C$36*S633*1000</f>
        <v>324.454765041075</v>
      </c>
      <c r="AG633" s="2" t="n">
        <f aca="false">-AF633/W633</f>
        <v>-28.372825916601</v>
      </c>
      <c r="AH633" s="2" t="n">
        <f aca="false">AD633+AE633+AG633</f>
        <v>7535.50084028797</v>
      </c>
      <c r="AI633" s="2" t="n">
        <f aca="false">Entrées!$C$16-M633+Hypothèses!$J$22*1000-AF633+Hypothèses!$J$23</f>
        <v>22570.5647307694</v>
      </c>
      <c r="AJ633" s="2" t="n">
        <f aca="false">AI633/AH633</f>
        <v>2.99523086907477</v>
      </c>
      <c r="AK633" s="2" t="n">
        <f aca="false">AI633/(AH633+I633*(12-Hypothèses!$J$24)/12/Hypothèses!$J$19)</f>
        <v>2.9657374695262</v>
      </c>
      <c r="AL633" s="2" t="n">
        <f aca="false">(AD633+AG633+I633/Hypothèses!$J$19)*(1+G633)</f>
        <v>8127.08489340267</v>
      </c>
      <c r="AM633" s="2" t="n">
        <f aca="false">Entrées!$C$54*K633/Hypothèses!$J$19</f>
        <v>48.6834219018993</v>
      </c>
      <c r="AN633" s="2" t="n">
        <f aca="false">Y633*1000/AC633</f>
        <v>76.060760666192</v>
      </c>
      <c r="AO633" s="2" t="n">
        <f aca="false">(Entrées!$C$36*(1-S633)+MAX(0,Entrées!$C$30-Entrées!$C$35-Entrées!$C$36)*U633)*1000</f>
        <v>1286.16940838569</v>
      </c>
      <c r="AP633" s="2" t="n">
        <f aca="false">-AO633/W633</f>
        <v>-112.472568306294</v>
      </c>
      <c r="AQ633" s="2" t="n">
        <f aca="false">AL633+AM633+AN633+AP633</f>
        <v>8139.35650766447</v>
      </c>
      <c r="AR633" s="2" t="n">
        <f aca="false">O633*AQ633-Hypothèses!$J$25/Hypothèses!$J$19</f>
        <v>1346.60975305362</v>
      </c>
      <c r="AS633" s="2" t="n">
        <f aca="false">Entrées!$C$79*(1+Q633)+Hypothèses!$J$20</f>
        <v>1489.7827715136</v>
      </c>
      <c r="AT633" s="2" t="n">
        <f aca="false">AI633-AR633+AS633+Y633*1000-AO633+Hypothèses!$J$23</f>
        <v>22252.8843017903</v>
      </c>
      <c r="AU633" s="2" t="n">
        <f aca="false">AT633/AQ633</f>
        <v>2.73398570032358</v>
      </c>
      <c r="AV633" s="2" t="n">
        <f aca="false">Hypothèses!$J$26*AQ633-AT633</f>
        <v>2165.18522120308</v>
      </c>
      <c r="AW633" s="2" t="n">
        <f aca="false">IF(AC633&gt;Hypothèses!$J$26,MAX(0,AV633)/(1-Hypothèses!$J$26/AC633),0)</f>
        <v>2992.56596046079</v>
      </c>
      <c r="AX633" s="2" t="n">
        <f aca="false">AQ633-Entrées!$C$17*1000</f>
        <v>139.35650766447</v>
      </c>
      <c r="AY633" s="2" t="n">
        <f aca="false">AI633+(Entrées!$C$244-Entrées!$C$13)</f>
        <v>28317.5647307694</v>
      </c>
      <c r="AZ633" s="2" t="n">
        <f aca="false">AA633*AH633</f>
        <v>5541.50399203455</v>
      </c>
      <c r="BA633" s="2" t="n">
        <f aca="false">AZ633/AY633</f>
        <v>0.195691403717822</v>
      </c>
      <c r="BB633" s="2" t="n">
        <f aca="false">AZ633/(Entrées!$C$151/100)-AY633</f>
        <v>2468.56855831145</v>
      </c>
      <c r="BC633" s="2" t="n">
        <f aca="false">AT633+(Entrées!$C$244-Entrées!$C$13)</f>
        <v>27999.8843017903</v>
      </c>
      <c r="BD633" s="2" t="n">
        <f aca="false">AA633*AQ633</f>
        <v>5985.57116982439</v>
      </c>
      <c r="BE633" s="2" t="n">
        <f aca="false">BD633/BC633</f>
        <v>0.213771282242108</v>
      </c>
      <c r="BF633" s="2" t="n">
        <f aca="false">BD633/(Entrées!$C$151/100)-BC633</f>
        <v>5253.28886390071</v>
      </c>
      <c r="BG633" s="2" t="n">
        <f aca="false">MIN(AV633,BF633)</f>
        <v>2165.18522120308</v>
      </c>
      <c r="BH633" s="2" t="n">
        <f aca="false">IF(AC633&gt;Hypothèses!$J$26,MAX(0,BG633)/(1-Hypothèses!$J$26/AC633),0)</f>
        <v>2992.56596046079</v>
      </c>
    </row>
    <row r="634" customFormat="false" ht="15" hidden="false" customHeight="false" outlineLevel="0" collapsed="false">
      <c r="A634" s="2" t="n">
        <v>619</v>
      </c>
      <c r="B634" s="2" t="n">
        <v>0.173179489</v>
      </c>
      <c r="C634" s="2"/>
      <c r="D634" s="2" t="n">
        <v>0.469745938</v>
      </c>
      <c r="E634" s="2" t="n">
        <f aca="false">IF(E$7=E$5,E$6,IF(NORMSDIST(E$9*SQRT($C$11)*NORMSINV($B634)+SQRT(1-E$9^2*$C$11)*NORMSINV(D634))&lt;E$8,E$5+SQRT(NORMSDIST(E$9*SQRT($C$11)*NORMSINV($B634)+SQRT(1-E$9^2*$C$11)*NORMSINV(D634))*(E$7-E$5)*(E$6-E$5)),E$7-SQRT((1-NORMSDIST(E$9*SQRT($C$11)*NORMSINV($B634)+SQRT(1-E$9^2*$C$11)*NORMSINV(D634)))*(E$7-E$5)*(E$7-E$6))))</f>
        <v>0.0535807678517447</v>
      </c>
      <c r="F634" s="2" t="n">
        <v>0.82531159</v>
      </c>
      <c r="G634" s="2" t="n">
        <f aca="false">IF(G$7=G$5,G$6,IF(NORMSDIST(G$9*SQRT($C$11)*NORMSINV($B634)+SQRT(1-G$9^2*$C$11)*NORMSINV(F634))&lt;G$8,G$5+SQRT(NORMSDIST(G$9*SQRT($C$11)*NORMSINV($B634)+SQRT(1-G$9^2*$C$11)*NORMSINV(F634))*(G$7-G$5)*(G$6-G$5)),G$7-SQRT((1-NORMSDIST(G$9*SQRT($C$11)*NORMSINV($B634)+SQRT(1-G$9^2*$C$11)*NORMSINV(F634)))*(G$7-G$5)*(G$7-G$6))))</f>
        <v>0.0557925282900444</v>
      </c>
      <c r="H634" s="2" t="n">
        <v>0.873825159</v>
      </c>
      <c r="I634" s="2" t="n">
        <f aca="false">IF(I$7=I$5,I$6,IF(NORMSDIST(I$9*SQRT($C$11)*NORMSINV($B634)+SQRT(1-I$9^2*$C$11)*NORMSINV(H634))&lt;I$8,I$5+SQRT(NORMSDIST(I$9*SQRT($C$11)*NORMSINV($B634)+SQRT(1-I$9^2*$C$11)*NORMSINV(H634))*(I$7-I$5)*(I$6-I$5)),I$7-SQRT((1-NORMSDIST(I$9*SQRT($C$11)*NORMSINV($B634)+SQRT(1-I$9^2*$C$11)*NORMSINV(H634)))*(I$7-I$5)*(I$7-I$6))))</f>
        <v>202.438815651188</v>
      </c>
      <c r="J634" s="2" t="n">
        <v>0.542281923</v>
      </c>
      <c r="K634" s="2" t="n">
        <f aca="false">IF(K$7=K$5,K$6,IF(NORMSDIST(K$9*SQRT($C$11)*NORMSINV($B634)+SQRT(1-K$9^2*$C$11)*NORMSINV(J634))&lt;K$8,K$5+SQRT(NORMSDIST(K$9*SQRT($C$11)*NORMSINV($B634)+SQRT(1-K$9^2*$C$11)*NORMSINV(J634))*(K$7-K$5)*(K$6-K$5)),K$7-SQRT((1-NORMSDIST(K$9*SQRT($C$11)*NORMSINV($B634)+SQRT(1-K$9^2*$C$11)*NORMSINV(J634)))*(K$7-K$5)*(K$7-K$6))))</f>
        <v>0.194892456941003</v>
      </c>
      <c r="L634" s="2" t="n">
        <v>0.475803522</v>
      </c>
      <c r="M634" s="2" t="n">
        <f aca="false">IF(M$7=M$5,M$6,IF(NORMSDIST(M$9*SQRT($C$11)*NORMSINV($B634)+SQRT(1-M$9^2*$C$11)*NORMSINV(L634))&lt;M$8,M$5+SQRT(NORMSDIST(M$9*SQRT($C$11)*NORMSINV($B634)+SQRT(1-M$9^2*$C$11)*NORMSINV(L634))*(M$7-M$5)*(M$6-M$5)),M$7-SQRT((1-NORMSDIST(M$9*SQRT($C$11)*NORMSINV($B634)+SQRT(1-M$9^2*$C$11)*NORMSINV(L634)))*(M$7-M$5)*(M$7-M$6))))</f>
        <v>1506.75955647535</v>
      </c>
      <c r="N634" s="2" t="n">
        <v>0.541506926</v>
      </c>
      <c r="O634" s="2" t="n">
        <f aca="false">IF(O$7=O$5,O$6,IF(NORMSDIST(O$9*SQRT($C$11)*NORMSINV($B634)+SQRT(1-O$9^2*$C$11)*NORMSINV(N634))&lt;O$8,O$5+SQRT(NORMSDIST(O$9*SQRT($C$11)*NORMSINV($B634)+SQRT(1-O$9^2*$C$11)*NORMSINV(N634))*(O$7-O$5)*(O$6-O$5)),O$7-SQRT((1-NORMSDIST(O$9*SQRT($C$11)*NORMSINV($B634)+SQRT(1-O$9^2*$C$11)*NORMSINV(N634)))*(O$7-O$5)*(O$7-O$6))))</f>
        <v>0.16086220256354</v>
      </c>
      <c r="P634" s="2" t="n">
        <v>0.178543124</v>
      </c>
      <c r="Q634" s="2" t="n">
        <f aca="false">IF(Q$7=Q$5,Q$6,IF(NORMSDIST(Q$9*SQRT($C$11)*NORMSINV($B634)+SQRT(1-Q$9^2*$C$11)*NORMSINV(P634))&lt;Q$8,Q$5+SQRT(NORMSDIST(Q$9*SQRT($C$11)*NORMSINV($B634)+SQRT(1-Q$9^2*$C$11)*NORMSINV(P634))*(Q$7-Q$5)*(Q$6-Q$5)),Q$7-SQRT((1-NORMSDIST(Q$9*SQRT($C$11)*NORMSINV($B634)+SQRT(1-Q$9^2*$C$11)*NORMSINV(P634)))*(Q$7-Q$5)*(Q$7-Q$6))))</f>
        <v>0.0639026776073309</v>
      </c>
      <c r="R634" s="2" t="n">
        <v>0.12965699</v>
      </c>
      <c r="S634" s="2" t="n">
        <f aca="false">IF(S$7=S$5,S$6,IF(NORMSDIST(S$9*SQRT($C$11)*NORMSINV($B634)+SQRT(1-S$9^2*$C$11)*NORMSINV(R634))&lt;S$8,S$5+SQRT(NORMSDIST(S$9*SQRT($C$11)*NORMSINV($B634)+SQRT(1-S$9^2*$C$11)*NORMSINV(R634))*(S$7-S$5)*(S$6-S$5)),S$7-SQRT((1-NORMSDIST(S$9*SQRT($C$11)*NORMSINV($B634)+SQRT(1-S$9^2*$C$11)*NORMSINV(R634)))*(S$7-S$5)*(S$7-S$6))))</f>
        <v>0.188245211797499</v>
      </c>
      <c r="T634" s="2" t="n">
        <v>0.206600096</v>
      </c>
      <c r="U634" s="2" t="n">
        <f aca="false">IF(U$7=U$5,U$6,IF(NORMSDIST(U$9*SQRT($C$11)*NORMSINV($B634)+SQRT(1-U$9^2*$C$11)*NORMSINV(T634))&lt;U$8,U$5+SQRT(NORMSDIST(U$9*SQRT($C$11)*NORMSINV($B634)+SQRT(1-U$9^2*$C$11)*NORMSINV(T634))*(U$7-U$5)*(U$6-U$5)),U$7-SQRT((1-NORMSDIST(U$9*SQRT($C$11)*NORMSINV($B634)+SQRT(1-U$9^2*$C$11)*NORMSINV(T634)))*(U$7-U$5)*(U$7-U$6))))</f>
        <v>0.233945290445639</v>
      </c>
      <c r="V634" s="2" t="n">
        <v>0.766877047</v>
      </c>
      <c r="W634" s="2" t="n">
        <f aca="false">IF(W$7=W$5,W$6,IF(NORMSDIST(W$9*SQRT($C$11)*NORMSINV($B634)+SQRT(1-W$9^2*$C$11)*NORMSINV(V634))&lt;W$8,W$5+SQRT(NORMSDIST(W$9*SQRT($C$11)*NORMSINV($B634)+SQRT(1-W$9^2*$C$11)*NORMSINV(V634))*(W$7-W$5)*(W$6-W$5)),W$7-SQRT((1-NORMSDIST(W$9*SQRT($C$11)*NORMSINV($B634)+SQRT(1-W$9^2*$C$11)*NORMSINV(V634)))*(W$7-W$5)*(W$7-W$6))))</f>
        <v>9.97495649067759</v>
      </c>
      <c r="X634" s="2" t="n">
        <v>0.031980631</v>
      </c>
      <c r="Y634" s="2" t="n">
        <f aca="false">IF(Y$7=Y$5,Y$6,IF(NORMSDIST(Y$9*SQRT($C$11)*NORMSINV($B634)+SQRT(1-Y$9^2*$C$11)*NORMSINV(X634))&lt;Y$8,Y$5+SQRT(NORMSDIST(Y$9*SQRT($C$11)*NORMSINV($B634)+SQRT(1-Y$9^2*$C$11)*NORMSINV(X634))*(Y$7-Y$5)*(Y$6-Y$5)),Y$7-SQRT((1-NORMSDIST(Y$9*SQRT($C$11)*NORMSINV($B634)+SQRT(1-Y$9^2*$C$11)*NORMSINV(X634)))*(Y$7-Y$5)*(Y$7-Y$6))))</f>
        <v>0.126452819264736</v>
      </c>
      <c r="Z634" s="2" t="n">
        <v>0.446522734</v>
      </c>
      <c r="AA634" s="2" t="n">
        <f aca="false">IF(AA$7=AA$5,AA$6,IF(NORMSDIST(AA$9*SQRT($C$11)*NORMSINV($B634)+SQRT(1-AA$9^2*$C$11)*NORMSINV(Z634))&lt;AA$8,AA$5+SQRT(NORMSDIST(AA$9*SQRT($C$11)*NORMSINV($B634)+SQRT(1-AA$9^2*$C$11)*NORMSINV(Z634))*(AA$7-AA$5)*(AA$6-AA$5)),AA$7-SQRT((1-NORMSDIST(AA$9*SQRT($C$11)*NORMSINV($B634)+SQRT(1-AA$9^2*$C$11)*NORMSINV(Z634)))*(AA$7-AA$5)*(AA$7-AA$6))))</f>
        <v>0.718093496398113</v>
      </c>
      <c r="AB634" s="2" t="n">
        <v>0.610056903</v>
      </c>
      <c r="AC634" s="2" t="n">
        <f aca="false">IF(AC$7=AC$5,AC$6,IF(NORMSDIST(AC$9*SQRT($C$11)*NORMSINV($B634)+SQRT(1-AC$9^2*$C$11)*NORMSINV(AB634))&lt;AC$8,AC$5+SQRT(NORMSDIST(AC$9*SQRT($C$11)*NORMSINV($B634)+SQRT(1-AC$9^2*$C$11)*NORMSINV(AB634))*(AC$7-AC$5)*(AC$6-AC$5)),AC$7-SQRT((1-NORMSDIST(AC$9*SQRT($C$11)*NORMSINV($B634)+SQRT(1-AC$9^2*$C$11)*NORMSINV(AB634)))*(AC$7-AC$5)*(AC$7-AC$6))))</f>
        <v>9.14469270515238</v>
      </c>
      <c r="AD634" s="2" t="n">
        <f aca="false">Entrées!$C$8*(1+E634)</f>
        <v>7427.7444133548</v>
      </c>
      <c r="AE634" s="2" t="n">
        <f aca="false">I634*Hypothèses!$J$24/12/Hypothèses!$J$19</f>
        <v>100.429248513919</v>
      </c>
      <c r="AF634" s="2" t="n">
        <f aca="false">Entrées!$C$36*S634*1000</f>
        <v>94.1226058987493</v>
      </c>
      <c r="AG634" s="2" t="n">
        <f aca="false">-AF634/W634</f>
        <v>-9.43589137323201</v>
      </c>
      <c r="AH634" s="2" t="n">
        <f aca="false">AD634+AE634+AG634</f>
        <v>7518.73777049549</v>
      </c>
      <c r="AI634" s="2" t="n">
        <f aca="false">Entrées!$C$16-M634+Hypothèses!$J$22*1000-AF634+Hypothèses!$J$23</f>
        <v>22947.1178376259</v>
      </c>
      <c r="AJ634" s="2" t="n">
        <f aca="false">AI634/AH634</f>
        <v>3.05199071148264</v>
      </c>
      <c r="AK634" s="2" t="n">
        <f aca="false">AI634/(AH634+I634*(12-Hypothèses!$J$24)/12/Hypothèses!$J$19)</f>
        <v>3.0231473051565</v>
      </c>
      <c r="AL634" s="2" t="n">
        <f aca="false">(AD634+AG634+I634/Hypothèses!$J$19)*(1+G634)</f>
        <v>8013.96462469184</v>
      </c>
      <c r="AM634" s="2" t="n">
        <f aca="false">Entrées!$C$54*K634/Hypothèses!$J$19</f>
        <v>19.8895935313762</v>
      </c>
      <c r="AN634" s="2" t="n">
        <f aca="false">Y634*1000/AC634</f>
        <v>13.8280009336442</v>
      </c>
      <c r="AO634" s="2" t="n">
        <f aca="false">(Entrées!$C$36*(1-S634)+MAX(0,Entrées!$C$30-Entrées!$C$35-Entrées!$C$36)*U634)*1000</f>
        <v>733.400800725145</v>
      </c>
      <c r="AP634" s="2" t="n">
        <f aca="false">-AO634/W634</f>
        <v>-73.5242104976165</v>
      </c>
      <c r="AQ634" s="2" t="n">
        <f aca="false">AL634+AM634+AN634+AP634</f>
        <v>7974.15800865924</v>
      </c>
      <c r="AR634" s="2" t="n">
        <f aca="false">O634*AQ634-Hypothèses!$J$25/Hypothèses!$J$19</f>
        <v>1263.60545860099</v>
      </c>
      <c r="AS634" s="2" t="n">
        <f aca="false">Entrées!$C$79*(1+Q634)+Hypothèses!$J$20</f>
        <v>1464.22904269046</v>
      </c>
      <c r="AT634" s="2" t="n">
        <f aca="false">AI634-AR634+AS634+Y634*1000-AO634+Hypothèses!$J$23</f>
        <v>22540.793440255</v>
      </c>
      <c r="AU634" s="2" t="n">
        <f aca="false">AT634/AQ634</f>
        <v>2.8267302222727</v>
      </c>
      <c r="AV634" s="2" t="n">
        <f aca="false">Hypothèses!$J$26*AQ634-AT634</f>
        <v>1381.68058572276</v>
      </c>
      <c r="AW634" s="2" t="n">
        <f aca="false">IF(AC634&gt;Hypothèses!$J$26,MAX(0,AV634)/(1-Hypothèses!$J$26/AC634),0)</f>
        <v>2056.25325453867</v>
      </c>
      <c r="AX634" s="2" t="n">
        <f aca="false">AQ634-Entrées!$C$17*1000</f>
        <v>-25.8419913407588</v>
      </c>
      <c r="AY634" s="2" t="n">
        <f aca="false">AI634+(Entrées!$C$244-Entrées!$C$13)</f>
        <v>28694.1178376259</v>
      </c>
      <c r="AZ634" s="2" t="n">
        <f aca="false">AA634*AH634</f>
        <v>5399.15669411566</v>
      </c>
      <c r="BA634" s="2" t="n">
        <f aca="false">AZ634/AY634</f>
        <v>0.188162491165206</v>
      </c>
      <c r="BB634" s="2" t="n">
        <f aca="false">AZ634/(Entrées!$C$151/100)-AY634</f>
        <v>1301.19712968332</v>
      </c>
      <c r="BC634" s="2" t="n">
        <f aca="false">AT634+(Entrées!$C$244-Entrées!$C$13)</f>
        <v>28287.793440255</v>
      </c>
      <c r="BD634" s="2" t="n">
        <f aca="false">AA634*AQ634</f>
        <v>5726.19100526913</v>
      </c>
      <c r="BE634" s="2" t="n">
        <f aca="false">BD634/BC634</f>
        <v>0.202426216712982</v>
      </c>
      <c r="BF634" s="2" t="n">
        <f aca="false">BD634/(Entrées!$C$151/100)-BC634</f>
        <v>3524.37881124022</v>
      </c>
      <c r="BG634" s="2" t="n">
        <f aca="false">MIN(AV634,BF634)</f>
        <v>1381.68058572276</v>
      </c>
      <c r="BH634" s="2" t="n">
        <f aca="false">IF(AC634&gt;Hypothèses!$J$26,MAX(0,BG634)/(1-Hypothèses!$J$26/AC634),0)</f>
        <v>2056.25325453867</v>
      </c>
    </row>
    <row r="635" customFormat="false" ht="15" hidden="false" customHeight="false" outlineLevel="0" collapsed="false">
      <c r="A635" s="2" t="n">
        <v>620</v>
      </c>
      <c r="B635" s="2" t="n">
        <v>0.269827902</v>
      </c>
      <c r="C635" s="2"/>
      <c r="D635" s="2" t="n">
        <v>0.502952971</v>
      </c>
      <c r="E635" s="2" t="n">
        <f aca="false">IF(E$7=E$5,E$6,IF(NORMSDIST(E$9*SQRT($C$11)*NORMSINV($B635)+SQRT(1-E$9^2*$C$11)*NORMSINV(D635))&lt;E$8,E$5+SQRT(NORMSDIST(E$9*SQRT($C$11)*NORMSINV($B635)+SQRT(1-E$9^2*$C$11)*NORMSINV(D635))*(E$7-E$5)*(E$6-E$5)),E$7-SQRT((1-NORMSDIST(E$9*SQRT($C$11)*NORMSINV($B635)+SQRT(1-E$9^2*$C$11)*NORMSINV(D635)))*(E$7-E$5)*(E$7-E$6))))</f>
        <v>0.0541902665560549</v>
      </c>
      <c r="F635" s="2" t="n">
        <v>0.914391278</v>
      </c>
      <c r="G635" s="2" t="n">
        <f aca="false">IF(G$7=G$5,G$6,IF(NORMSDIST(G$9*SQRT($C$11)*NORMSINV($B635)+SQRT(1-G$9^2*$C$11)*NORMSINV(F635))&lt;G$8,G$5+SQRT(NORMSDIST(G$9*SQRT($C$11)*NORMSINV($B635)+SQRT(1-G$9^2*$C$11)*NORMSINV(F635))*(G$7-G$5)*(G$6-G$5)),G$7-SQRT((1-NORMSDIST(G$9*SQRT($C$11)*NORMSINV($B635)+SQRT(1-G$9^2*$C$11)*NORMSINV(F635)))*(G$7-G$5)*(G$7-G$6))))</f>
        <v>0.0593764539130187</v>
      </c>
      <c r="H635" s="2" t="n">
        <v>0.298551904</v>
      </c>
      <c r="I635" s="2" t="n">
        <f aca="false">IF(I$7=I$5,I$6,IF(NORMSDIST(I$9*SQRT($C$11)*NORMSINV($B635)+SQRT(1-I$9^2*$C$11)*NORMSINV(H635))&lt;I$8,I$5+SQRT(NORMSDIST(I$9*SQRT($C$11)*NORMSINV($B635)+SQRT(1-I$9^2*$C$11)*NORMSINV(H635))*(I$7-I$5)*(I$6-I$5)),I$7-SQRT((1-NORMSDIST(I$9*SQRT($C$11)*NORMSINV($B635)+SQRT(1-I$9^2*$C$11)*NORMSINV(H635)))*(I$7-I$5)*(I$7-I$6))))</f>
        <v>193.042341110966</v>
      </c>
      <c r="J635" s="2" t="n">
        <v>0.536802543</v>
      </c>
      <c r="K635" s="2" t="n">
        <f aca="false">IF(K$7=K$5,K$6,IF(NORMSDIST(K$9*SQRT($C$11)*NORMSINV($B635)+SQRT(1-K$9^2*$C$11)*NORMSINV(J635))&lt;K$8,K$5+SQRT(NORMSDIST(K$9*SQRT($C$11)*NORMSINV($B635)+SQRT(1-K$9^2*$C$11)*NORMSINV(J635))*(K$7-K$5)*(K$6-K$5)),K$7-SQRT((1-NORMSDIST(K$9*SQRT($C$11)*NORMSINV($B635)+SQRT(1-K$9^2*$C$11)*NORMSINV(J635)))*(K$7-K$5)*(K$7-K$6))))</f>
        <v>0.216757143444669</v>
      </c>
      <c r="L635" s="2" t="n">
        <v>0.672828229</v>
      </c>
      <c r="M635" s="2" t="n">
        <f aca="false">IF(M$7=M$5,M$6,IF(NORMSDIST(M$9*SQRT($C$11)*NORMSINV($B635)+SQRT(1-M$9^2*$C$11)*NORMSINV(L635))&lt;M$8,M$5+SQRT(NORMSDIST(M$9*SQRT($C$11)*NORMSINV($B635)+SQRT(1-M$9^2*$C$11)*NORMSINV(L635))*(M$7-M$5)*(M$6-M$5)),M$7-SQRT((1-NORMSDIST(M$9*SQRT($C$11)*NORMSINV($B635)+SQRT(1-M$9^2*$C$11)*NORMSINV(L635)))*(M$7-M$5)*(M$7-M$6))))</f>
        <v>1580.68854843296</v>
      </c>
      <c r="N635" s="2" t="n">
        <v>0.229345733</v>
      </c>
      <c r="O635" s="2" t="n">
        <f aca="false">IF(O$7=O$5,O$6,IF(NORMSDIST(O$9*SQRT($C$11)*NORMSINV($B635)+SQRT(1-O$9^2*$C$11)*NORMSINV(N635))&lt;O$8,O$5+SQRT(NORMSDIST(O$9*SQRT($C$11)*NORMSINV($B635)+SQRT(1-O$9^2*$C$11)*NORMSINV(N635))*(O$7-O$5)*(O$6-O$5)),O$7-SQRT((1-NORMSDIST(O$9*SQRT($C$11)*NORMSINV($B635)+SQRT(1-O$9^2*$C$11)*NORMSINV(N635)))*(O$7-O$5)*(O$7-O$6))))</f>
        <v>0.155528249839368</v>
      </c>
      <c r="P635" s="2" t="n">
        <v>0.518253605</v>
      </c>
      <c r="Q635" s="2" t="n">
        <f aca="false">IF(Q$7=Q$5,Q$6,IF(NORMSDIST(Q$9*SQRT($C$11)*NORMSINV($B635)+SQRT(1-Q$9^2*$C$11)*NORMSINV(P635))&lt;Q$8,Q$5+SQRT(NORMSDIST(Q$9*SQRT($C$11)*NORMSINV($B635)+SQRT(1-Q$9^2*$C$11)*NORMSINV(P635))*(Q$7-Q$5)*(Q$6-Q$5)),Q$7-SQRT((1-NORMSDIST(Q$9*SQRT($C$11)*NORMSINV($B635)+SQRT(1-Q$9^2*$C$11)*NORMSINV(P635)))*(Q$7-Q$5)*(Q$7-Q$6))))</f>
        <v>0.0807369325701621</v>
      </c>
      <c r="R635" s="2" t="n">
        <v>0.244204158</v>
      </c>
      <c r="S635" s="2" t="n">
        <f aca="false">IF(S$7=S$5,S$6,IF(NORMSDIST(S$9*SQRT($C$11)*NORMSINV($B635)+SQRT(1-S$9^2*$C$11)*NORMSINV(R635))&lt;S$8,S$5+SQRT(NORMSDIST(S$9*SQRT($C$11)*NORMSINV($B635)+SQRT(1-S$9^2*$C$11)*NORMSINV(R635))*(S$7-S$5)*(S$6-S$5)),S$7-SQRT((1-NORMSDIST(S$9*SQRT($C$11)*NORMSINV($B635)+SQRT(1-S$9^2*$C$11)*NORMSINV(R635)))*(S$7-S$5)*(S$7-S$6))))</f>
        <v>0.297986796930345</v>
      </c>
      <c r="T635" s="2" t="n">
        <v>0.597404461</v>
      </c>
      <c r="U635" s="2" t="n">
        <f aca="false">IF(U$7=U$5,U$6,IF(NORMSDIST(U$9*SQRT($C$11)*NORMSINV($B635)+SQRT(1-U$9^2*$C$11)*NORMSINV(T635))&lt;U$8,U$5+SQRT(NORMSDIST(U$9*SQRT($C$11)*NORMSINV($B635)+SQRT(1-U$9^2*$C$11)*NORMSINV(T635))*(U$7-U$5)*(U$6-U$5)),U$7-SQRT((1-NORMSDIST(U$9*SQRT($C$11)*NORMSINV($B635)+SQRT(1-U$9^2*$C$11)*NORMSINV(T635)))*(U$7-U$5)*(U$7-U$6))))</f>
        <v>0.459329410351599</v>
      </c>
      <c r="V635" s="2" t="n">
        <v>0.874769775</v>
      </c>
      <c r="W635" s="2" t="n">
        <f aca="false">IF(W$7=W$5,W$6,IF(NORMSDIST(W$9*SQRT($C$11)*NORMSINV($B635)+SQRT(1-W$9^2*$C$11)*NORMSINV(V635))&lt;W$8,W$5+SQRT(NORMSDIST(W$9*SQRT($C$11)*NORMSINV($B635)+SQRT(1-W$9^2*$C$11)*NORMSINV(V635))*(W$7-W$5)*(W$6-W$5)),W$7-SQRT((1-NORMSDIST(W$9*SQRT($C$11)*NORMSINV($B635)+SQRT(1-W$9^2*$C$11)*NORMSINV(V635)))*(W$7-W$5)*(W$7-W$6))))</f>
        <v>10.430965688869</v>
      </c>
      <c r="X635" s="2" t="n">
        <v>0.644550411</v>
      </c>
      <c r="Y635" s="2" t="n">
        <f aca="false">IF(Y$7=Y$5,Y$6,IF(NORMSDIST(Y$9*SQRT($C$11)*NORMSINV($B635)+SQRT(1-Y$9^2*$C$11)*NORMSINV(X635))&lt;Y$8,Y$5+SQRT(NORMSDIST(Y$9*SQRT($C$11)*NORMSINV($B635)+SQRT(1-Y$9^2*$C$11)*NORMSINV(X635))*(Y$7-Y$5)*(Y$6-Y$5)),Y$7-SQRT((1-NORMSDIST(Y$9*SQRT($C$11)*NORMSINV($B635)+SQRT(1-Y$9^2*$C$11)*NORMSINV(X635)))*(Y$7-Y$5)*(Y$7-Y$6))))</f>
        <v>0.578425813764647</v>
      </c>
      <c r="Z635" s="2" t="n">
        <v>0.145365139</v>
      </c>
      <c r="AA635" s="2" t="n">
        <f aca="false">IF(AA$7=AA$5,AA$6,IF(NORMSDIST(AA$9*SQRT($C$11)*NORMSINV($B635)+SQRT(1-AA$9^2*$C$11)*NORMSINV(Z635))&lt;AA$8,AA$5+SQRT(NORMSDIST(AA$9*SQRT($C$11)*NORMSINV($B635)+SQRT(1-AA$9^2*$C$11)*NORMSINV(Z635))*(AA$7-AA$5)*(AA$6-AA$5)),AA$7-SQRT((1-NORMSDIST(AA$9*SQRT($C$11)*NORMSINV($B635)+SQRT(1-AA$9^2*$C$11)*NORMSINV(Z635)))*(AA$7-AA$5)*(AA$7-AA$6))))</f>
        <v>0.710938565284344</v>
      </c>
      <c r="AB635" s="2" t="n">
        <v>0.706847314</v>
      </c>
      <c r="AC635" s="2" t="n">
        <f aca="false">IF(AC$7=AC$5,AC$6,IF(NORMSDIST(AC$9*SQRT($C$11)*NORMSINV($B635)+SQRT(1-AC$9^2*$C$11)*NORMSINV(AB635))&lt;AC$8,AC$5+SQRT(NORMSDIST(AC$9*SQRT($C$11)*NORMSINV($B635)+SQRT(1-AC$9^2*$C$11)*NORMSINV(AB635))*(AC$7-AC$5)*(AC$6-AC$5)),AC$7-SQRT((1-NORMSDIST(AC$9*SQRT($C$11)*NORMSINV($B635)+SQRT(1-AC$9^2*$C$11)*NORMSINV(AB635)))*(AC$7-AC$5)*(AC$7-AC$6))))</f>
        <v>9.5061547418511</v>
      </c>
      <c r="AD635" s="2" t="n">
        <f aca="false">Entrées!$C$8*(1+E635)</f>
        <v>7432.04137922019</v>
      </c>
      <c r="AE635" s="2" t="n">
        <f aca="false">I635*Hypothèses!$J$24/12/Hypothèses!$J$19</f>
        <v>95.7676875691012</v>
      </c>
      <c r="AF635" s="2" t="n">
        <f aca="false">Entrées!$C$36*S635*1000</f>
        <v>148.993398465172</v>
      </c>
      <c r="AG635" s="2" t="n">
        <f aca="false">-AF635/W635</f>
        <v>-14.2837588493043</v>
      </c>
      <c r="AH635" s="2" t="n">
        <f aca="false">AD635+AE635+AG635</f>
        <v>7513.52530793998</v>
      </c>
      <c r="AI635" s="2" t="n">
        <f aca="false">Entrées!$C$16-M635+Hypothèses!$J$22*1000-AF635+Hypothèses!$J$23</f>
        <v>22818.3180531019</v>
      </c>
      <c r="AJ635" s="2" t="n">
        <f aca="false">AI635/AH635</f>
        <v>3.03696562104987</v>
      </c>
      <c r="AK635" s="2" t="n">
        <f aca="false">AI635/(AH635+I635*(12-Hypothèses!$J$24)/12/Hypothèses!$J$19)</f>
        <v>3.00956559191078</v>
      </c>
      <c r="AL635" s="2" t="n">
        <f aca="false">(AD635+AG635+I635/Hypothèses!$J$19)*(1+G635)</f>
        <v>8032.1189637229</v>
      </c>
      <c r="AM635" s="2" t="n">
        <f aca="false">Entrées!$C$54*K635/Hypothèses!$J$19</f>
        <v>22.1209765929615</v>
      </c>
      <c r="AN635" s="2" t="n">
        <f aca="false">Y635*1000/AC635</f>
        <v>60.8475066388423</v>
      </c>
      <c r="AO635" s="2" t="n">
        <f aca="false">(Entrées!$C$36*(1-S635)+MAX(0,Entrées!$C$30-Entrées!$C$35-Entrées!$C$36)*U635)*1000</f>
        <v>994.067776027066</v>
      </c>
      <c r="AP635" s="2" t="n">
        <f aca="false">-AO635/W635</f>
        <v>-95.2996880325129</v>
      </c>
      <c r="AQ635" s="2" t="n">
        <f aca="false">AL635+AM635+AN635+AP635</f>
        <v>8019.78775892219</v>
      </c>
      <c r="AR635" s="2" t="n">
        <f aca="false">O635*AQ635-Hypothèses!$J$25/Hypothèses!$J$19</f>
        <v>1228.16839196673</v>
      </c>
      <c r="AS635" s="2" t="n">
        <f aca="false">Entrées!$C$79*(1+Q635)+Hypothèses!$J$20</f>
        <v>1482.72988889461</v>
      </c>
      <c r="AT635" s="2" t="n">
        <f aca="false">AI635-AR635+AS635+Y635*1000-AO635+Hypothèses!$J$23</f>
        <v>22657.2375877673</v>
      </c>
      <c r="AU635" s="2" t="n">
        <f aca="false">AT635/AQ635</f>
        <v>2.82516673369076</v>
      </c>
      <c r="AV635" s="2" t="n">
        <f aca="false">Hypothèses!$J$26*AQ635-AT635</f>
        <v>1402.12568899925</v>
      </c>
      <c r="AW635" s="2" t="n">
        <f aca="false">IF(AC635&gt;Hypothèses!$J$26,MAX(0,AV635)/(1-Hypothèses!$J$26/AC635),0)</f>
        <v>2048.64844074692</v>
      </c>
      <c r="AX635" s="2" t="n">
        <f aca="false">AQ635-Entrées!$C$17*1000</f>
        <v>19.7877589221898</v>
      </c>
      <c r="AY635" s="2" t="n">
        <f aca="false">AI635+(Entrées!$C$244-Entrées!$C$13)</f>
        <v>28565.3180531019</v>
      </c>
      <c r="AZ635" s="2" t="n">
        <f aca="false">AA635*AH635</f>
        <v>5341.65490265446</v>
      </c>
      <c r="BA635" s="2" t="n">
        <f aca="false">AZ635/AY635</f>
        <v>0.18699791448933</v>
      </c>
      <c r="BB635" s="2" t="n">
        <f aca="false">AZ635/(Entrées!$C$151/100)-AY635</f>
        <v>1110.54251720069</v>
      </c>
      <c r="BC635" s="2" t="n">
        <f aca="false">AT635+(Entrées!$C$244-Entrées!$C$13)</f>
        <v>28404.2375877673</v>
      </c>
      <c r="BD635" s="2" t="n">
        <f aca="false">AA635*AQ635</f>
        <v>5701.57640321309</v>
      </c>
      <c r="BE635" s="2" t="n">
        <f aca="false">BD635/BC635</f>
        <v>0.200729781448827</v>
      </c>
      <c r="BF635" s="2" t="n">
        <f aca="false">BD635/(Entrées!$C$151/100)-BC635</f>
        <v>3271.1868745276</v>
      </c>
      <c r="BG635" s="2" t="n">
        <f aca="false">MIN(AV635,BF635)</f>
        <v>1402.12568899925</v>
      </c>
      <c r="BH635" s="2" t="n">
        <f aca="false">IF(AC635&gt;Hypothèses!$J$26,MAX(0,BG635)/(1-Hypothèses!$J$26/AC635),0)</f>
        <v>2048.64844074692</v>
      </c>
    </row>
    <row r="636" customFormat="false" ht="15" hidden="false" customHeight="false" outlineLevel="0" collapsed="false">
      <c r="A636" s="2" t="n">
        <v>621</v>
      </c>
      <c r="B636" s="2" t="n">
        <v>0.811524723</v>
      </c>
      <c r="C636" s="2"/>
      <c r="D636" s="2" t="n">
        <v>0.336403498</v>
      </c>
      <c r="E636" s="2" t="n">
        <f aca="false">IF(E$7=E$5,E$6,IF(NORMSDIST(E$9*SQRT($C$11)*NORMSINV($B636)+SQRT(1-E$9^2*$C$11)*NORMSINV(D636))&lt;E$8,E$5+SQRT(NORMSDIST(E$9*SQRT($C$11)*NORMSINV($B636)+SQRT(1-E$9^2*$C$11)*NORMSINV(D636))*(E$7-E$5)*(E$6-E$5)),E$7-SQRT((1-NORMSDIST(E$9*SQRT($C$11)*NORMSINV($B636)+SQRT(1-E$9^2*$C$11)*NORMSINV(D636)))*(E$7-E$5)*(E$7-E$6))))</f>
        <v>0.0554811911589762</v>
      </c>
      <c r="F636" s="2" t="n">
        <v>0.435578346</v>
      </c>
      <c r="G636" s="2" t="n">
        <f aca="false">IF(G$7=G$5,G$6,IF(NORMSDIST(G$9*SQRT($C$11)*NORMSINV($B636)+SQRT(1-G$9^2*$C$11)*NORMSINV(F636))&lt;G$8,G$5+SQRT(NORMSDIST(G$9*SQRT($C$11)*NORMSINV($B636)+SQRT(1-G$9^2*$C$11)*NORMSINV(F636))*(G$7-G$5)*(G$6-G$5)),G$7-SQRT((1-NORMSDIST(G$9*SQRT($C$11)*NORMSINV($B636)+SQRT(1-G$9^2*$C$11)*NORMSINV(F636)))*(G$7-G$5)*(G$7-G$6))))</f>
        <v>0.0577688126165043</v>
      </c>
      <c r="H636" s="2" t="n">
        <v>0.179011337</v>
      </c>
      <c r="I636" s="2" t="n">
        <f aca="false">IF(I$7=I$5,I$6,IF(NORMSDIST(I$9*SQRT($C$11)*NORMSINV($B636)+SQRT(1-I$9^2*$C$11)*NORMSINV(H636))&lt;I$8,I$5+SQRT(NORMSDIST(I$9*SQRT($C$11)*NORMSINV($B636)+SQRT(1-I$9^2*$C$11)*NORMSINV(H636))*(I$7-I$5)*(I$6-I$5)),I$7-SQRT((1-NORMSDIST(I$9*SQRT($C$11)*NORMSINV($B636)+SQRT(1-I$9^2*$C$11)*NORMSINV(H636)))*(I$7-I$5)*(I$7-I$6))))</f>
        <v>198.743154273941</v>
      </c>
      <c r="J636" s="2" t="n">
        <v>0.345325815</v>
      </c>
      <c r="K636" s="2" t="n">
        <f aca="false">IF(K$7=K$5,K$6,IF(NORMSDIST(K$9*SQRT($C$11)*NORMSINV($B636)+SQRT(1-K$9^2*$C$11)*NORMSINV(J636))&lt;K$8,K$5+SQRT(NORMSDIST(K$9*SQRT($C$11)*NORMSINV($B636)+SQRT(1-K$9^2*$C$11)*NORMSINV(J636))*(K$7-K$5)*(K$6-K$5)),K$7-SQRT((1-NORMSDIST(K$9*SQRT($C$11)*NORMSINV($B636)+SQRT(1-K$9^2*$C$11)*NORMSINV(J636)))*(K$7-K$5)*(K$7-K$6))))</f>
        <v>0.276088642551924</v>
      </c>
      <c r="L636" s="2" t="n">
        <v>0.447463309</v>
      </c>
      <c r="M636" s="2" t="n">
        <f aca="false">IF(M$7=M$5,M$6,IF(NORMSDIST(M$9*SQRT($C$11)*NORMSINV($B636)+SQRT(1-M$9^2*$C$11)*NORMSINV(L636))&lt;M$8,M$5+SQRT(NORMSDIST(M$9*SQRT($C$11)*NORMSINV($B636)+SQRT(1-M$9^2*$C$11)*NORMSINV(L636))*(M$7-M$5)*(M$6-M$5)),M$7-SQRT((1-NORMSDIST(M$9*SQRT($C$11)*NORMSINV($B636)+SQRT(1-M$9^2*$C$11)*NORMSINV(L636)))*(M$7-M$5)*(M$7-M$6))))</f>
        <v>1631.29208243373</v>
      </c>
      <c r="N636" s="2" t="n">
        <v>0.040661687</v>
      </c>
      <c r="O636" s="2" t="n">
        <f aca="false">IF(O$7=O$5,O$6,IF(NORMSDIST(O$9*SQRT($C$11)*NORMSINV($B636)+SQRT(1-O$9^2*$C$11)*NORMSINV(N636))&lt;O$8,O$5+SQRT(NORMSDIST(O$9*SQRT($C$11)*NORMSINV($B636)+SQRT(1-O$9^2*$C$11)*NORMSINV(N636))*(O$7-O$5)*(O$6-O$5)),O$7-SQRT((1-NORMSDIST(O$9*SQRT($C$11)*NORMSINV($B636)+SQRT(1-O$9^2*$C$11)*NORMSINV(N636)))*(O$7-O$5)*(O$7-O$6))))</f>
        <v>0.157537716774192</v>
      </c>
      <c r="P636" s="2" t="n">
        <v>0.845045587</v>
      </c>
      <c r="Q636" s="2" t="n">
        <f aca="false">IF(Q$7=Q$5,Q$6,IF(NORMSDIST(Q$9*SQRT($C$11)*NORMSINV($B636)+SQRT(1-Q$9^2*$C$11)*NORMSINV(P636))&lt;Q$8,Q$5+SQRT(NORMSDIST(Q$9*SQRT($C$11)*NORMSINV($B636)+SQRT(1-Q$9^2*$C$11)*NORMSINV(P636))*(Q$7-Q$5)*(Q$6-Q$5)),Q$7-SQRT((1-NORMSDIST(Q$9*SQRT($C$11)*NORMSINV($B636)+SQRT(1-Q$9^2*$C$11)*NORMSINV(P636)))*(Q$7-Q$5)*(Q$7-Q$6))))</f>
        <v>0.0977322178562839</v>
      </c>
      <c r="R636" s="2" t="n">
        <v>0.58267572</v>
      </c>
      <c r="S636" s="2" t="n">
        <f aca="false">IF(S$7=S$5,S$6,IF(NORMSDIST(S$9*SQRT($C$11)*NORMSINV($B636)+SQRT(1-S$9^2*$C$11)*NORMSINV(R636))&lt;S$8,S$5+SQRT(NORMSDIST(S$9*SQRT($C$11)*NORMSINV($B636)+SQRT(1-S$9^2*$C$11)*NORMSINV(R636))*(S$7-S$5)*(S$6-S$5)),S$7-SQRT((1-NORMSDIST(S$9*SQRT($C$11)*NORMSINV($B636)+SQRT(1-S$9^2*$C$11)*NORMSINV(R636)))*(S$7-S$5)*(S$7-S$6))))</f>
        <v>0.656770261642142</v>
      </c>
      <c r="T636" s="2" t="n">
        <v>0.941543852</v>
      </c>
      <c r="U636" s="2" t="n">
        <f aca="false">IF(U$7=U$5,U$6,IF(NORMSDIST(U$9*SQRT($C$11)*NORMSINV($B636)+SQRT(1-U$9^2*$C$11)*NORMSINV(T636))&lt;U$8,U$5+SQRT(NORMSDIST(U$9*SQRT($C$11)*NORMSINV($B636)+SQRT(1-U$9^2*$C$11)*NORMSINV(T636))*(U$7-U$5)*(U$6-U$5)),U$7-SQRT((1-NORMSDIST(U$9*SQRT($C$11)*NORMSINV($B636)+SQRT(1-U$9^2*$C$11)*NORMSINV(T636)))*(U$7-U$5)*(U$7-U$6))))</f>
        <v>0.861990811614383</v>
      </c>
      <c r="V636" s="2" t="n">
        <v>0.906318463</v>
      </c>
      <c r="W636" s="2" t="n">
        <f aca="false">IF(W$7=W$5,W$6,IF(NORMSDIST(W$9*SQRT($C$11)*NORMSINV($B636)+SQRT(1-W$9^2*$C$11)*NORMSINV(V636))&lt;W$8,W$5+SQRT(NORMSDIST(W$9*SQRT($C$11)*NORMSINV($B636)+SQRT(1-W$9^2*$C$11)*NORMSINV(V636))*(W$7-W$5)*(W$6-W$5)),W$7-SQRT((1-NORMSDIST(W$9*SQRT($C$11)*NORMSINV($B636)+SQRT(1-W$9^2*$C$11)*NORMSINV(V636)))*(W$7-W$5)*(W$7-W$6))))</f>
        <v>11.3244306151896</v>
      </c>
      <c r="X636" s="2" t="n">
        <v>0.200949562</v>
      </c>
      <c r="Y636" s="2" t="n">
        <f aca="false">IF(Y$7=Y$5,Y$6,IF(NORMSDIST(Y$9*SQRT($C$11)*NORMSINV($B636)+SQRT(1-Y$9^2*$C$11)*NORMSINV(X636))&lt;Y$8,Y$5+SQRT(NORMSDIST(Y$9*SQRT($C$11)*NORMSINV($B636)+SQRT(1-Y$9^2*$C$11)*NORMSINV(X636))*(Y$7-Y$5)*(Y$6-Y$5)),Y$7-SQRT((1-NORMSDIST(Y$9*SQRT($C$11)*NORMSINV($B636)+SQRT(1-Y$9^2*$C$11)*NORMSINV(X636)))*(Y$7-Y$5)*(Y$7-Y$6))))</f>
        <v>0.316977571761789</v>
      </c>
      <c r="Z636" s="2" t="n">
        <v>0.434453635</v>
      </c>
      <c r="AA636" s="2" t="n">
        <f aca="false">IF(AA$7=AA$5,AA$6,IF(NORMSDIST(AA$9*SQRT($C$11)*NORMSINV($B636)+SQRT(1-AA$9^2*$C$11)*NORMSINV(Z636))&lt;AA$8,AA$5+SQRT(NORMSDIST(AA$9*SQRT($C$11)*NORMSINV($B636)+SQRT(1-AA$9^2*$C$11)*NORMSINV(Z636))*(AA$7-AA$5)*(AA$6-AA$5)),AA$7-SQRT((1-NORMSDIST(AA$9*SQRT($C$11)*NORMSINV($B636)+SQRT(1-AA$9^2*$C$11)*NORMSINV(Z636)))*(AA$7-AA$5)*(AA$7-AA$6))))</f>
        <v>0.733173155034233</v>
      </c>
      <c r="AB636" s="2" t="n">
        <v>0.550964564</v>
      </c>
      <c r="AC636" s="2" t="n">
        <f aca="false">IF(AC$7=AC$5,AC$6,IF(NORMSDIST(AC$9*SQRT($C$11)*NORMSINV($B636)+SQRT(1-AC$9^2*$C$11)*NORMSINV(AB636))&lt;AC$8,AC$5+SQRT(NORMSDIST(AC$9*SQRT($C$11)*NORMSINV($B636)+SQRT(1-AC$9^2*$C$11)*NORMSINV(AB636))*(AC$7-AC$5)*(AC$6-AC$5)),AC$7-SQRT((1-NORMSDIST(AC$9*SQRT($C$11)*NORMSINV($B636)+SQRT(1-AC$9^2*$C$11)*NORMSINV(AB636)))*(AC$7-AC$5)*(AC$7-AC$6))))</f>
        <v>9.9498866933115</v>
      </c>
      <c r="AD636" s="2" t="n">
        <f aca="false">Entrées!$C$8*(1+E636)</f>
        <v>7441.14239767078</v>
      </c>
      <c r="AE636" s="2" t="n">
        <f aca="false">I636*Hypothèses!$J$24/12/Hypothèses!$J$19</f>
        <v>98.5958427330909</v>
      </c>
      <c r="AF636" s="2" t="n">
        <f aca="false">Entrées!$C$36*S636*1000</f>
        <v>328.385130821071</v>
      </c>
      <c r="AG636" s="2" t="n">
        <f aca="false">-AF636/W636</f>
        <v>-28.9979374663309</v>
      </c>
      <c r="AH636" s="2" t="n">
        <f aca="false">AD636+AE636+AG636</f>
        <v>7510.74030293754</v>
      </c>
      <c r="AI636" s="2" t="n">
        <f aca="false">Entrées!$C$16-M636+Hypothèses!$J$22*1000-AF636+Hypothèses!$J$23</f>
        <v>22588.3227867452</v>
      </c>
      <c r="AJ636" s="2" t="n">
        <f aca="false">AI636/AH636</f>
        <v>3.00746955368842</v>
      </c>
      <c r="AK636" s="2" t="n">
        <f aca="false">AI636/(AH636+I636*(12-Hypothèses!$J$24)/12/Hypothèses!$J$19)</f>
        <v>2.97953152194916</v>
      </c>
      <c r="AL636" s="2" t="n">
        <f aca="false">(AD636+AG636+I636/Hypothèses!$J$19)*(1+G636)</f>
        <v>8019.12085746396</v>
      </c>
      <c r="AM636" s="2" t="n">
        <f aca="false">Entrées!$C$54*K636/Hypothèses!$J$19</f>
        <v>28.1760051937233</v>
      </c>
      <c r="AN636" s="2" t="n">
        <f aca="false">Y636*1000/AC636</f>
        <v>31.8574051677259</v>
      </c>
      <c r="AO636" s="2" t="n">
        <f aca="false">(Entrées!$C$36*(1-S636)+MAX(0,Entrées!$C$30-Entrées!$C$35-Entrées!$C$36)*U636)*1000</f>
        <v>1378.40200543906</v>
      </c>
      <c r="AP636" s="2" t="n">
        <f aca="false">-AO636/W636</f>
        <v>-121.719321021774</v>
      </c>
      <c r="AQ636" s="2" t="n">
        <f aca="false">AL636+AM636+AN636+AP636</f>
        <v>7957.43494680363</v>
      </c>
      <c r="AR636" s="2" t="n">
        <f aca="false">O636*AQ636-Hypothèses!$J$25/Hypothèses!$J$19</f>
        <v>1234.46097063699</v>
      </c>
      <c r="AS636" s="2" t="n">
        <f aca="false">Entrées!$C$79*(1+Q636)+Hypothèses!$J$20</f>
        <v>1501.40770742406</v>
      </c>
      <c r="AT636" s="2" t="n">
        <f aca="false">AI636-AR636+AS636+Y636*1000-AO636+Hypothèses!$J$23</f>
        <v>21793.845089855</v>
      </c>
      <c r="AU636" s="2" t="n">
        <f aca="false">AT636/AQ636</f>
        <v>2.73880279707586</v>
      </c>
      <c r="AV636" s="2" t="n">
        <f aca="false">Hypothèses!$J$26*AQ636-AT636</f>
        <v>2078.4597505559</v>
      </c>
      <c r="AW636" s="2" t="n">
        <f aca="false">IF(AC636&gt;Hypothèses!$J$26,MAX(0,AV636)/(1-Hypothèses!$J$26/AC636),0)</f>
        <v>2975.65124832069</v>
      </c>
      <c r="AX636" s="2" t="n">
        <f aca="false">AQ636-Entrées!$C$17*1000</f>
        <v>-42.5650531963674</v>
      </c>
      <c r="AY636" s="2" t="n">
        <f aca="false">AI636+(Entrées!$C$244-Entrées!$C$13)</f>
        <v>28335.3227867452</v>
      </c>
      <c r="AZ636" s="2" t="n">
        <f aca="false">AA636*AH636</f>
        <v>5506.67316454749</v>
      </c>
      <c r="BA636" s="2" t="n">
        <f aca="false">AZ636/AY636</f>
        <v>0.194339524768831</v>
      </c>
      <c r="BB636" s="2" t="n">
        <f aca="false">AZ636/(Entrées!$C$151/100)-AY636</f>
        <v>2257.30590518527</v>
      </c>
      <c r="BC636" s="2" t="n">
        <f aca="false">AT636+(Entrées!$C$244-Entrées!$C$13)</f>
        <v>27540.845089855</v>
      </c>
      <c r="BD636" s="2" t="n">
        <f aca="false">AA636*AQ636</f>
        <v>5834.17768592768</v>
      </c>
      <c r="BE636" s="2" t="n">
        <f aca="false">BD636/BC636</f>
        <v>0.211837279026589</v>
      </c>
      <c r="BF636" s="2" t="n">
        <f aca="false">BD636/(Entrées!$C$151/100)-BC636</f>
        <v>4871.25316529879</v>
      </c>
      <c r="BG636" s="2" t="n">
        <f aca="false">MIN(AV636,BF636)</f>
        <v>2078.4597505559</v>
      </c>
      <c r="BH636" s="2" t="n">
        <f aca="false">IF(AC636&gt;Hypothèses!$J$26,MAX(0,BG636)/(1-Hypothèses!$J$26/AC636),0)</f>
        <v>2975.65124832069</v>
      </c>
    </row>
    <row r="637" customFormat="false" ht="15" hidden="false" customHeight="false" outlineLevel="0" collapsed="false">
      <c r="A637" s="2" t="n">
        <v>622</v>
      </c>
      <c r="B637" s="2" t="n">
        <v>0.099336224</v>
      </c>
      <c r="C637" s="2"/>
      <c r="D637" s="2" t="n">
        <v>0.171926635</v>
      </c>
      <c r="E637" s="2" t="n">
        <f aca="false">IF(E$7=E$5,E$6,IF(NORMSDIST(E$9*SQRT($C$11)*NORMSINV($B637)+SQRT(1-E$9^2*$C$11)*NORMSINV(D637))&lt;E$8,E$5+SQRT(NORMSDIST(E$9*SQRT($C$11)*NORMSINV($B637)+SQRT(1-E$9^2*$C$11)*NORMSINV(D637))*(E$7-E$5)*(E$6-E$5)),E$7-SQRT((1-NORMSDIST(E$9*SQRT($C$11)*NORMSINV($B637)+SQRT(1-E$9^2*$C$11)*NORMSINV(D637)))*(E$7-E$5)*(E$7-E$6))))</f>
        <v>0.05174693242482</v>
      </c>
      <c r="F637" s="2" t="n">
        <v>0.884768872</v>
      </c>
      <c r="G637" s="2" t="n">
        <f aca="false">IF(G$7=G$5,G$6,IF(NORMSDIST(G$9*SQRT($C$11)*NORMSINV($B637)+SQRT(1-G$9^2*$C$11)*NORMSINV(F637))&lt;G$8,G$5+SQRT(NORMSDIST(G$9*SQRT($C$11)*NORMSINV($B637)+SQRT(1-G$9^2*$C$11)*NORMSINV(F637))*(G$7-G$5)*(G$6-G$5)),G$7-SQRT((1-NORMSDIST(G$9*SQRT($C$11)*NORMSINV($B637)+SQRT(1-G$9^2*$C$11)*NORMSINV(F637)))*(G$7-G$5)*(G$7-G$6))))</f>
        <v>0.0557090678805328</v>
      </c>
      <c r="H637" s="2" t="n">
        <v>0.254029166</v>
      </c>
      <c r="I637" s="2" t="n">
        <f aca="false">IF(I$7=I$5,I$6,IF(NORMSDIST(I$9*SQRT($C$11)*NORMSINV($B637)+SQRT(1-I$9^2*$C$11)*NORMSINV(H637))&lt;I$8,I$5+SQRT(NORMSDIST(I$9*SQRT($C$11)*NORMSINV($B637)+SQRT(1-I$9^2*$C$11)*NORMSINV(H637))*(I$7-I$5)*(I$6-I$5)),I$7-SQRT((1-NORMSDIST(I$9*SQRT($C$11)*NORMSINV($B637)+SQRT(1-I$9^2*$C$11)*NORMSINV(H637)))*(I$7-I$5)*(I$7-I$6))))</f>
        <v>188.601679445563</v>
      </c>
      <c r="J637" s="2" t="n">
        <v>0.894005968</v>
      </c>
      <c r="K637" s="2" t="n">
        <f aca="false">IF(K$7=K$5,K$6,IF(NORMSDIST(K$9*SQRT($C$11)*NORMSINV($B637)+SQRT(1-K$9^2*$C$11)*NORMSINV(J637))&lt;K$8,K$5+SQRT(NORMSDIST(K$9*SQRT($C$11)*NORMSINV($B637)+SQRT(1-K$9^2*$C$11)*NORMSINV(J637))*(K$7-K$5)*(K$6-K$5)),K$7-SQRT((1-NORMSDIST(K$9*SQRT($C$11)*NORMSINV($B637)+SQRT(1-K$9^2*$C$11)*NORMSINV(J637)))*(K$7-K$5)*(K$7-K$6))))</f>
        <v>0.265783760339803</v>
      </c>
      <c r="L637" s="2" t="n">
        <v>0.65346004</v>
      </c>
      <c r="M637" s="2" t="n">
        <f aca="false">IF(M$7=M$5,M$6,IF(NORMSDIST(M$9*SQRT($C$11)*NORMSINV($B637)+SQRT(1-M$9^2*$C$11)*NORMSINV(L637))&lt;M$8,M$5+SQRT(NORMSDIST(M$9*SQRT($C$11)*NORMSINV($B637)+SQRT(1-M$9^2*$C$11)*NORMSINV(L637))*(M$7-M$5)*(M$6-M$5)),M$7-SQRT((1-NORMSDIST(M$9*SQRT($C$11)*NORMSINV($B637)+SQRT(1-M$9^2*$C$11)*NORMSINV(L637)))*(M$7-M$5)*(M$7-M$6))))</f>
        <v>1523.92993060618</v>
      </c>
      <c r="N637" s="2" t="n">
        <v>0.797902021</v>
      </c>
      <c r="O637" s="2" t="n">
        <f aca="false">IF(O$7=O$5,O$6,IF(NORMSDIST(O$9*SQRT($C$11)*NORMSINV($B637)+SQRT(1-O$9^2*$C$11)*NORMSINV(N637))&lt;O$8,O$5+SQRT(NORMSDIST(O$9*SQRT($C$11)*NORMSINV($B637)+SQRT(1-O$9^2*$C$11)*NORMSINV(N637))*(O$7-O$5)*(O$6-O$5)),O$7-SQRT((1-NORMSDIST(O$9*SQRT($C$11)*NORMSINV($B637)+SQRT(1-O$9^2*$C$11)*NORMSINV(N637)))*(O$7-O$5)*(O$7-O$6))))</f>
        <v>0.164947479022082</v>
      </c>
      <c r="P637" s="2" t="n">
        <v>0.21482576</v>
      </c>
      <c r="Q637" s="2" t="n">
        <f aca="false">IF(Q$7=Q$5,Q$6,IF(NORMSDIST(Q$9*SQRT($C$11)*NORMSINV($B637)+SQRT(1-Q$9^2*$C$11)*NORMSINV(P637))&lt;Q$8,Q$5+SQRT(NORMSDIST(Q$9*SQRT($C$11)*NORMSINV($B637)+SQRT(1-Q$9^2*$C$11)*NORMSINV(P637))*(Q$7-Q$5)*(Q$6-Q$5)),Q$7-SQRT((1-NORMSDIST(Q$9*SQRT($C$11)*NORMSINV($B637)+SQRT(1-Q$9^2*$C$11)*NORMSINV(P637)))*(Q$7-Q$5)*(Q$7-Q$6))))</f>
        <v>0.0662191234025854</v>
      </c>
      <c r="R637" s="2" t="n">
        <v>0.987642703</v>
      </c>
      <c r="S637" s="2" t="n">
        <f aca="false">IF(S$7=S$5,S$6,IF(NORMSDIST(S$9*SQRT($C$11)*NORMSINV($B637)+SQRT(1-S$9^2*$C$11)*NORMSINV(R637))&lt;S$8,S$5+SQRT(NORMSDIST(S$9*SQRT($C$11)*NORMSINV($B637)+SQRT(1-S$9^2*$C$11)*NORMSINV(R637))*(S$7-S$5)*(S$6-S$5)),S$7-SQRT((1-NORMSDIST(S$9*SQRT($C$11)*NORMSINV($B637)+SQRT(1-S$9^2*$C$11)*NORMSINV(R637)))*(S$7-S$5)*(S$7-S$6))))</f>
        <v>0.702474571511801</v>
      </c>
      <c r="T637" s="2" t="n">
        <v>0.990373604</v>
      </c>
      <c r="U637" s="2" t="n">
        <f aca="false">IF(U$7=U$5,U$6,IF(NORMSDIST(U$9*SQRT($C$11)*NORMSINV($B637)+SQRT(1-U$9^2*$C$11)*NORMSINV(T637))&lt;U$8,U$5+SQRT(NORMSDIST(U$9*SQRT($C$11)*NORMSINV($B637)+SQRT(1-U$9^2*$C$11)*NORMSINV(T637))*(U$7-U$5)*(U$6-U$5)),U$7-SQRT((1-NORMSDIST(U$9*SQRT($C$11)*NORMSINV($B637)+SQRT(1-U$9^2*$C$11)*NORMSINV(T637)))*(U$7-U$5)*(U$7-U$6))))</f>
        <v>0.718369553001925</v>
      </c>
      <c r="V637" s="2" t="n">
        <v>0.68748634</v>
      </c>
      <c r="W637" s="2" t="n">
        <f aca="false">IF(W$7=W$5,W$6,IF(NORMSDIST(W$9*SQRT($C$11)*NORMSINV($B637)+SQRT(1-W$9^2*$C$11)*NORMSINV(V637))&lt;W$8,W$5+SQRT(NORMSDIST(W$9*SQRT($C$11)*NORMSINV($B637)+SQRT(1-W$9^2*$C$11)*NORMSINV(V637))*(W$7-W$5)*(W$6-W$5)),W$7-SQRT((1-NORMSDIST(W$9*SQRT($C$11)*NORMSINV($B637)+SQRT(1-W$9^2*$C$11)*NORMSINV(V637)))*(W$7-W$5)*(W$7-W$6))))</f>
        <v>9.62976813234777</v>
      </c>
      <c r="X637" s="2" t="n">
        <v>0.429266249</v>
      </c>
      <c r="Y637" s="2" t="n">
        <f aca="false">IF(Y$7=Y$5,Y$6,IF(NORMSDIST(Y$9*SQRT($C$11)*NORMSINV($B637)+SQRT(1-Y$9^2*$C$11)*NORMSINV(X637))&lt;Y$8,Y$5+SQRT(NORMSDIST(Y$9*SQRT($C$11)*NORMSINV($B637)+SQRT(1-Y$9^2*$C$11)*NORMSINV(X637))*(Y$7-Y$5)*(Y$6-Y$5)),Y$7-SQRT((1-NORMSDIST(Y$9*SQRT($C$11)*NORMSINV($B637)+SQRT(1-Y$9^2*$C$11)*NORMSINV(X637)))*(Y$7-Y$5)*(Y$7-Y$6))))</f>
        <v>0.463285143836925</v>
      </c>
      <c r="Z637" s="2" t="n">
        <v>0.628117326</v>
      </c>
      <c r="AA637" s="2" t="n">
        <f aca="false">IF(AA$7=AA$5,AA$6,IF(NORMSDIST(AA$9*SQRT($C$11)*NORMSINV($B637)+SQRT(1-AA$9^2*$C$11)*NORMSINV(Z637))&lt;AA$8,AA$5+SQRT(NORMSDIST(AA$9*SQRT($C$11)*NORMSINV($B637)+SQRT(1-AA$9^2*$C$11)*NORMSINV(Z637))*(AA$7-AA$5)*(AA$6-AA$5)),AA$7-SQRT((1-NORMSDIST(AA$9*SQRT($C$11)*NORMSINV($B637)+SQRT(1-AA$9^2*$C$11)*NORMSINV(Z637)))*(AA$7-AA$5)*(AA$7-AA$6))))</f>
        <v>0.720153924040934</v>
      </c>
      <c r="AB637" s="2" t="n">
        <v>0.114613667</v>
      </c>
      <c r="AC637" s="2" t="n">
        <f aca="false">IF(AC$7=AC$5,AC$6,IF(NORMSDIST(AC$9*SQRT($C$11)*NORMSINV($B637)+SQRT(1-AC$9^2*$C$11)*NORMSINV(AB637))&lt;AC$8,AC$5+SQRT(NORMSDIST(AC$9*SQRT($C$11)*NORMSINV($B637)+SQRT(1-AC$9^2*$C$11)*NORMSINV(AB637))*(AC$7-AC$5)*(AC$6-AC$5)),AC$7-SQRT((1-NORMSDIST(AC$9*SQRT($C$11)*NORMSINV($B637)+SQRT(1-AC$9^2*$C$11)*NORMSINV(AB637)))*(AC$7-AC$5)*(AC$7-AC$6))))</f>
        <v>7.99195572427748</v>
      </c>
      <c r="AD637" s="2" t="n">
        <f aca="false">Entrées!$C$8*(1+E637)</f>
        <v>7414.81587359498</v>
      </c>
      <c r="AE637" s="2" t="n">
        <f aca="false">I637*Hypothèses!$J$24/12/Hypothèses!$J$19</f>
        <v>93.5646895297856</v>
      </c>
      <c r="AF637" s="2" t="n">
        <f aca="false">Entrées!$C$36*S637*1000</f>
        <v>351.2372857559</v>
      </c>
      <c r="AG637" s="2" t="n">
        <f aca="false">-AF637/W637</f>
        <v>-36.4741166068209</v>
      </c>
      <c r="AH637" s="2" t="n">
        <f aca="false">AD637+AE637+AG637</f>
        <v>7471.90644651795</v>
      </c>
      <c r="AI637" s="2" t="n">
        <f aca="false">Entrées!$C$16-M637+Hypothèses!$J$22*1000-AF637+Hypothèses!$J$23</f>
        <v>22672.8327836379</v>
      </c>
      <c r="AJ637" s="2" t="n">
        <f aca="false">AI637/AH637</f>
        <v>3.03441068834633</v>
      </c>
      <c r="AK637" s="2" t="n">
        <f aca="false">AI637/(AH637+I637*(12-Hypothèses!$J$24)/12/Hypothèses!$J$19)</f>
        <v>3.00751023288581</v>
      </c>
      <c r="AL637" s="2" t="n">
        <f aca="false">(AD637+AG637+I637/Hypothèses!$J$19)*(1+G637)</f>
        <v>7958.71445506545</v>
      </c>
      <c r="AM637" s="2" t="n">
        <f aca="false">Entrées!$C$54*K637/Hypothèses!$J$19</f>
        <v>27.1243486965719</v>
      </c>
      <c r="AN637" s="2" t="n">
        <f aca="false">Y637*1000/AC637</f>
        <v>57.9689327394026</v>
      </c>
      <c r="AO637" s="2" t="n">
        <f aca="false">(Entrées!$C$36*(1-S637)+MAX(0,Entrées!$C$30-Entrées!$C$35-Entrées!$C$36)*U637)*1000</f>
        <v>1154.4800884468</v>
      </c>
      <c r="AP637" s="2" t="n">
        <f aca="false">-AO637/W637</f>
        <v>-119.886592551355</v>
      </c>
      <c r="AQ637" s="2" t="n">
        <f aca="false">AL637+AM637+AN637+AP637</f>
        <v>7923.92114395007</v>
      </c>
      <c r="AR637" s="2" t="n">
        <f aca="false">O637*AQ637-Hypothèses!$J$25/Hypothèses!$J$19</f>
        <v>1287.89565440271</v>
      </c>
      <c r="AS637" s="2" t="n">
        <f aca="false">Entrées!$C$79*(1+Q637)+Hypothèses!$J$20</f>
        <v>1466.77481661944</v>
      </c>
      <c r="AT637" s="2" t="n">
        <f aca="false">AI637-AR637+AS637+Y637*1000-AO637+Hypothèses!$J$23</f>
        <v>22160.5170012448</v>
      </c>
      <c r="AU637" s="2" t="n">
        <f aca="false">AT637/AQ637</f>
        <v>2.79666046628498</v>
      </c>
      <c r="AV637" s="2" t="n">
        <f aca="false">Hypothèses!$J$26*AQ637-AT637</f>
        <v>1611.24643060543</v>
      </c>
      <c r="AW637" s="2" t="n">
        <f aca="false">IF(AC637&gt;Hypothèses!$J$26,MAX(0,AV637)/(1-Hypothèses!$J$26/AC637),0)</f>
        <v>2579.55215261099</v>
      </c>
      <c r="AX637" s="2" t="n">
        <f aca="false">AQ637-Entrées!$C$17*1000</f>
        <v>-76.0788560499304</v>
      </c>
      <c r="AY637" s="2" t="n">
        <f aca="false">AI637+(Entrées!$C$244-Entrées!$C$13)</f>
        <v>28419.8327836379</v>
      </c>
      <c r="AZ637" s="2" t="n">
        <f aca="false">AA637*AH637</f>
        <v>5380.92274752665</v>
      </c>
      <c r="BA637" s="2" t="n">
        <f aca="false">AZ637/AY637</f>
        <v>0.189336889787212</v>
      </c>
      <c r="BB637" s="2" t="n">
        <f aca="false">AZ637/(Entrées!$C$151/100)-AY637</f>
        <v>1474.18248039903</v>
      </c>
      <c r="BC637" s="2" t="n">
        <f aca="false">AT637+(Entrées!$C$244-Entrées!$C$13)</f>
        <v>27907.5170012448</v>
      </c>
      <c r="BD637" s="2" t="n">
        <f aca="false">AA637*AQ637</f>
        <v>5706.44290560657</v>
      </c>
      <c r="BE637" s="2" t="n">
        <f aca="false">BD637/BC637</f>
        <v>0.204476912272491</v>
      </c>
      <c r="BF637" s="2" t="n">
        <f aca="false">BD637/(Entrées!$C$151/100)-BC637</f>
        <v>3794.94358545839</v>
      </c>
      <c r="BG637" s="2" t="n">
        <f aca="false">MIN(AV637,BF637)</f>
        <v>1611.24643060543</v>
      </c>
      <c r="BH637" s="2" t="n">
        <f aca="false">IF(AC637&gt;Hypothèses!$J$26,MAX(0,BG637)/(1-Hypothèses!$J$26/AC637),0)</f>
        <v>2579.55215261099</v>
      </c>
    </row>
    <row r="638" customFormat="false" ht="15" hidden="false" customHeight="false" outlineLevel="0" collapsed="false">
      <c r="A638" s="2" t="n">
        <v>623</v>
      </c>
      <c r="B638" s="2" t="n">
        <v>0.274950593</v>
      </c>
      <c r="C638" s="2"/>
      <c r="D638" s="2" t="n">
        <v>0.508580516</v>
      </c>
      <c r="E638" s="2" t="n">
        <f aca="false">IF(E$7=E$5,E$6,IF(NORMSDIST(E$9*SQRT($C$11)*NORMSINV($B638)+SQRT(1-E$9^2*$C$11)*NORMSINV(D638))&lt;E$8,E$5+SQRT(NORMSDIST(E$9*SQRT($C$11)*NORMSINV($B638)+SQRT(1-E$9^2*$C$11)*NORMSINV(D638))*(E$7-E$5)*(E$6-E$5)),E$7-SQRT((1-NORMSDIST(E$9*SQRT($C$11)*NORMSINV($B638)+SQRT(1-E$9^2*$C$11)*NORMSINV(D638)))*(E$7-E$5)*(E$7-E$6))))</f>
        <v>0.0542359591327522</v>
      </c>
      <c r="F638" s="2" t="n">
        <v>0.914676918</v>
      </c>
      <c r="G638" s="2" t="n">
        <f aca="false">IF(G$7=G$5,G$6,IF(NORMSDIST(G$9*SQRT($C$11)*NORMSINV($B638)+SQRT(1-G$9^2*$C$11)*NORMSINV(F638))&lt;G$8,G$5+SQRT(NORMSDIST(G$9*SQRT($C$11)*NORMSINV($B638)+SQRT(1-G$9^2*$C$11)*NORMSINV(F638))*(G$7-G$5)*(G$6-G$5)),G$7-SQRT((1-NORMSDIST(G$9*SQRT($C$11)*NORMSINV($B638)+SQRT(1-G$9^2*$C$11)*NORMSINV(F638)))*(G$7-G$5)*(G$7-G$6))))</f>
        <v>0.0594517549931431</v>
      </c>
      <c r="H638" s="2" t="n">
        <v>0.734487715</v>
      </c>
      <c r="I638" s="2" t="n">
        <f aca="false">IF(I$7=I$5,I$6,IF(NORMSDIST(I$9*SQRT($C$11)*NORMSINV($B638)+SQRT(1-I$9^2*$C$11)*NORMSINV(H638))&lt;I$8,I$5+SQRT(NORMSDIST(I$9*SQRT($C$11)*NORMSINV($B638)+SQRT(1-I$9^2*$C$11)*NORMSINV(H638))*(I$7-I$5)*(I$6-I$5)),I$7-SQRT((1-NORMSDIST(I$9*SQRT($C$11)*NORMSINV($B638)+SQRT(1-I$9^2*$C$11)*NORMSINV(H638)))*(I$7-I$5)*(I$7-I$6))))</f>
        <v>200.871827255455</v>
      </c>
      <c r="J638" s="2" t="n">
        <v>0.865497258</v>
      </c>
      <c r="K638" s="2" t="n">
        <f aca="false">IF(K$7=K$5,K$6,IF(NORMSDIST(K$9*SQRT($C$11)*NORMSINV($B638)+SQRT(1-K$9^2*$C$11)*NORMSINV(J638))&lt;K$8,K$5+SQRT(NORMSDIST(K$9*SQRT($C$11)*NORMSINV($B638)+SQRT(1-K$9^2*$C$11)*NORMSINV(J638))*(K$7-K$5)*(K$6-K$5)),K$7-SQRT((1-NORMSDIST(K$9*SQRT($C$11)*NORMSINV($B638)+SQRT(1-K$9^2*$C$11)*NORMSINV(J638)))*(K$7-K$5)*(K$7-K$6))))</f>
        <v>0.301157818369617</v>
      </c>
      <c r="L638" s="2" t="n">
        <v>0.682498119</v>
      </c>
      <c r="M638" s="2" t="n">
        <f aca="false">IF(M$7=M$5,M$6,IF(NORMSDIST(M$9*SQRT($C$11)*NORMSINV($B638)+SQRT(1-M$9^2*$C$11)*NORMSINV(L638))&lt;M$8,M$5+SQRT(NORMSDIST(M$9*SQRT($C$11)*NORMSINV($B638)+SQRT(1-M$9^2*$C$11)*NORMSINV(L638))*(M$7-M$5)*(M$6-M$5)),M$7-SQRT((1-NORMSDIST(M$9*SQRT($C$11)*NORMSINV($B638)+SQRT(1-M$9^2*$C$11)*NORMSINV(L638)))*(M$7-M$5)*(M$7-M$6))))</f>
        <v>1584.17207923107</v>
      </c>
      <c r="N638" s="2" t="n">
        <v>0.073571625</v>
      </c>
      <c r="O638" s="2" t="n">
        <f aca="false">IF(O$7=O$5,O$6,IF(NORMSDIST(O$9*SQRT($C$11)*NORMSINV($B638)+SQRT(1-O$9^2*$C$11)*NORMSINV(N638))&lt;O$8,O$5+SQRT(NORMSDIST(O$9*SQRT($C$11)*NORMSINV($B638)+SQRT(1-O$9^2*$C$11)*NORMSINV(N638))*(O$7-O$5)*(O$6-O$5)),O$7-SQRT((1-NORMSDIST(O$9*SQRT($C$11)*NORMSINV($B638)+SQRT(1-O$9^2*$C$11)*NORMSINV(N638)))*(O$7-O$5)*(O$7-O$6))))</f>
        <v>0.149780368679117</v>
      </c>
      <c r="P638" s="2" t="n">
        <v>0.352395115</v>
      </c>
      <c r="Q638" s="2" t="n">
        <f aca="false">IF(Q$7=Q$5,Q$6,IF(NORMSDIST(Q$9*SQRT($C$11)*NORMSINV($B638)+SQRT(1-Q$9^2*$C$11)*NORMSINV(P638))&lt;Q$8,Q$5+SQRT(NORMSDIST(Q$9*SQRT($C$11)*NORMSINV($B638)+SQRT(1-Q$9^2*$C$11)*NORMSINV(P638))*(Q$7-Q$5)*(Q$6-Q$5)),Q$7-SQRT((1-NORMSDIST(Q$9*SQRT($C$11)*NORMSINV($B638)+SQRT(1-Q$9^2*$C$11)*NORMSINV(P638)))*(Q$7-Q$5)*(Q$7-Q$6))))</f>
        <v>0.0735807142270679</v>
      </c>
      <c r="R638" s="2" t="n">
        <v>0.854238588</v>
      </c>
      <c r="S638" s="2" t="n">
        <f aca="false">IF(S$7=S$5,S$6,IF(NORMSDIST(S$9*SQRT($C$11)*NORMSINV($B638)+SQRT(1-S$9^2*$C$11)*NORMSINV(R638))&lt;S$8,S$5+SQRT(NORMSDIST(S$9*SQRT($C$11)*NORMSINV($B638)+SQRT(1-S$9^2*$C$11)*NORMSINV(R638))*(S$7-S$5)*(S$6-S$5)),S$7-SQRT((1-NORMSDIST(S$9*SQRT($C$11)*NORMSINV($B638)+SQRT(1-S$9^2*$C$11)*NORMSINV(R638)))*(S$7-S$5)*(S$7-S$6))))</f>
        <v>0.593568710069906</v>
      </c>
      <c r="T638" s="2" t="n">
        <v>0.501590959</v>
      </c>
      <c r="U638" s="2" t="n">
        <f aca="false">IF(U$7=U$5,U$6,IF(NORMSDIST(U$9*SQRT($C$11)*NORMSINV($B638)+SQRT(1-U$9^2*$C$11)*NORMSINV(T638))&lt;U$8,U$5+SQRT(NORMSDIST(U$9*SQRT($C$11)*NORMSINV($B638)+SQRT(1-U$9^2*$C$11)*NORMSINV(T638))*(U$7-U$5)*(U$6-U$5)),U$7-SQRT((1-NORMSDIST(U$9*SQRT($C$11)*NORMSINV($B638)+SQRT(1-U$9^2*$C$11)*NORMSINV(T638)))*(U$7-U$5)*(U$7-U$6))))</f>
        <v>0.420599239537427</v>
      </c>
      <c r="V638" s="2" t="n">
        <v>0.332134749</v>
      </c>
      <c r="W638" s="2" t="n">
        <f aca="false">IF(W$7=W$5,W$6,IF(NORMSDIST(W$9*SQRT($C$11)*NORMSINV($B638)+SQRT(1-W$9^2*$C$11)*NORMSINV(V638))&lt;W$8,W$5+SQRT(NORMSDIST(W$9*SQRT($C$11)*NORMSINV($B638)+SQRT(1-W$9^2*$C$11)*NORMSINV(V638))*(W$7-W$5)*(W$6-W$5)),W$7-SQRT((1-NORMSDIST(W$9*SQRT($C$11)*NORMSINV($B638)+SQRT(1-W$9^2*$C$11)*NORMSINV(V638)))*(W$7-W$5)*(W$7-W$6))))</f>
        <v>9.37842454460265</v>
      </c>
      <c r="X638" s="2" t="n">
        <v>0.229030246</v>
      </c>
      <c r="Y638" s="2" t="n">
        <f aca="false">IF(Y$7=Y$5,Y$6,IF(NORMSDIST(Y$9*SQRT($C$11)*NORMSINV($B638)+SQRT(1-Y$9^2*$C$11)*NORMSINV(X638))&lt;Y$8,Y$5+SQRT(NORMSDIST(Y$9*SQRT($C$11)*NORMSINV($B638)+SQRT(1-Y$9^2*$C$11)*NORMSINV(X638))*(Y$7-Y$5)*(Y$6-Y$5)),Y$7-SQRT((1-NORMSDIST(Y$9*SQRT($C$11)*NORMSINV($B638)+SQRT(1-Y$9^2*$C$11)*NORMSINV(X638)))*(Y$7-Y$5)*(Y$7-Y$6))))</f>
        <v>0.33840083185477</v>
      </c>
      <c r="Z638" s="2" t="n">
        <v>0.122162858</v>
      </c>
      <c r="AA638" s="2" t="n">
        <f aca="false">IF(AA$7=AA$5,AA$6,IF(NORMSDIST(AA$9*SQRT($C$11)*NORMSINV($B638)+SQRT(1-AA$9^2*$C$11)*NORMSINV(Z638))&lt;AA$8,AA$5+SQRT(NORMSDIST(AA$9*SQRT($C$11)*NORMSINV($B638)+SQRT(1-AA$9^2*$C$11)*NORMSINV(Z638))*(AA$7-AA$5)*(AA$6-AA$5)),AA$7-SQRT((1-NORMSDIST(AA$9*SQRT($C$11)*NORMSINV($B638)+SQRT(1-AA$9^2*$C$11)*NORMSINV(Z638)))*(AA$7-AA$5)*(AA$7-AA$6))))</f>
        <v>0.709977784147971</v>
      </c>
      <c r="AB638" s="2" t="n">
        <v>0.004249056</v>
      </c>
      <c r="AC638" s="2" t="n">
        <f aca="false">IF(AC$7=AC$5,AC$6,IF(NORMSDIST(AC$9*SQRT($C$11)*NORMSINV($B638)+SQRT(1-AC$9^2*$C$11)*NORMSINV(AB638))&lt;AC$8,AC$5+SQRT(NORMSDIST(AC$9*SQRT($C$11)*NORMSINV($B638)+SQRT(1-AC$9^2*$C$11)*NORMSINV(AB638))*(AC$7-AC$5)*(AC$6-AC$5)),AC$7-SQRT((1-NORMSDIST(AC$9*SQRT($C$11)*NORMSINV($B638)+SQRT(1-AC$9^2*$C$11)*NORMSINV(AB638)))*(AC$7-AC$5)*(AC$7-AC$6))))</f>
        <v>7.6601546098174</v>
      </c>
      <c r="AD638" s="2" t="n">
        <f aca="false">Entrées!$C$8*(1+E638)</f>
        <v>7432.3635118859</v>
      </c>
      <c r="AE638" s="2" t="n">
        <f aca="false">I638*Hypothèses!$J$24/12/Hypothèses!$J$19</f>
        <v>99.6518705861369</v>
      </c>
      <c r="AF638" s="2" t="n">
        <f aca="false">Entrées!$C$36*S638*1000</f>
        <v>296.784355034953</v>
      </c>
      <c r="AG638" s="2" t="n">
        <f aca="false">-AF638/W638</f>
        <v>-31.6454382741454</v>
      </c>
      <c r="AH638" s="2" t="n">
        <f aca="false">AD638+AE638+AG638</f>
        <v>7500.36994419789</v>
      </c>
      <c r="AI638" s="2" t="n">
        <f aca="false">Entrées!$C$16-M638+Hypothèses!$J$22*1000-AF638+Hypothèses!$J$23</f>
        <v>22667.043565734</v>
      </c>
      <c r="AJ638" s="2" t="n">
        <f aca="false">AI638/AH638</f>
        <v>3.02212340649526</v>
      </c>
      <c r="AK638" s="2" t="n">
        <f aca="false">AI638/(AH638+I638*(12-Hypothèses!$J$24)/12/Hypothèses!$J$19)</f>
        <v>2.99371251718917</v>
      </c>
      <c r="AL638" s="2" t="n">
        <f aca="false">(AD638+AG638+I638/Hypothèses!$J$19)*(1+G638)</f>
        <v>8021.69177846459</v>
      </c>
      <c r="AM638" s="2" t="n">
        <f aca="false">Entrées!$C$54*K638/Hypothèses!$J$19</f>
        <v>30.7344198445861</v>
      </c>
      <c r="AN638" s="2" t="n">
        <f aca="false">Y638*1000/AC638</f>
        <v>44.1767626231811</v>
      </c>
      <c r="AO638" s="2" t="n">
        <f aca="false">(Entrées!$C$36*(1-S638)+MAX(0,Entrées!$C$30-Entrées!$C$35-Entrées!$C$36)*U638)*1000</f>
        <v>792.054580317445</v>
      </c>
      <c r="AP638" s="2" t="n">
        <f aca="false">-AO638/W638</f>
        <v>-84.454971786629</v>
      </c>
      <c r="AQ638" s="2" t="n">
        <f aca="false">AL638+AM638+AN638+AP638</f>
        <v>8012.14798914573</v>
      </c>
      <c r="AR638" s="2" t="n">
        <f aca="false">O638*AQ638-Hypothèses!$J$25/Hypothèses!$J$19</f>
        <v>1180.92731746427</v>
      </c>
      <c r="AS638" s="2" t="n">
        <f aca="false">Entrées!$C$79*(1+Q638)+Hypothèses!$J$20</f>
        <v>1474.86520493555</v>
      </c>
      <c r="AT638" s="2" t="n">
        <f aca="false">AI638-AR638+AS638+Y638*1000-AO638+Hypothèses!$J$23</f>
        <v>22507.3277047426</v>
      </c>
      <c r="AU638" s="2" t="n">
        <f aca="false">AT638/AQ638</f>
        <v>2.80915027221587</v>
      </c>
      <c r="AV638" s="2" t="n">
        <f aca="false">Hypothèses!$J$26*AQ638-AT638</f>
        <v>1529.1162626946</v>
      </c>
      <c r="AW638" s="2" t="n">
        <f aca="false">IF(AC638&gt;Hypothèses!$J$26,MAX(0,AV638)/(1-Hypothèses!$J$26/AC638),0)</f>
        <v>2513.49321414162</v>
      </c>
      <c r="AX638" s="2" t="n">
        <f aca="false">AQ638-Entrées!$C$17*1000</f>
        <v>12.1479891457284</v>
      </c>
      <c r="AY638" s="2" t="n">
        <f aca="false">AI638+(Entrées!$C$244-Entrées!$C$13)</f>
        <v>28414.043565734</v>
      </c>
      <c r="AZ638" s="2" t="n">
        <f aca="false">AA638*AH638</f>
        <v>5325.09603327166</v>
      </c>
      <c r="BA638" s="2" t="n">
        <f aca="false">AZ638/AY638</f>
        <v>0.187410708403836</v>
      </c>
      <c r="BB638" s="2" t="n">
        <f aca="false">AZ638/(Entrées!$C$151/100)-AY638</f>
        <v>1169.82328577527</v>
      </c>
      <c r="BC638" s="2" t="n">
        <f aca="false">AT638+(Entrées!$C$244-Entrées!$C$13)</f>
        <v>28254.3277047426</v>
      </c>
      <c r="BD638" s="2" t="n">
        <f aca="false">AA638*AQ638</f>
        <v>5688.44707559931</v>
      </c>
      <c r="BE638" s="2" t="n">
        <f aca="false">BD638/BC638</f>
        <v>0.201330116046063</v>
      </c>
      <c r="BF638" s="2" t="n">
        <f aca="false">BD638/(Entrées!$C$151/100)-BC638</f>
        <v>3348.15604858691</v>
      </c>
      <c r="BG638" s="2" t="n">
        <f aca="false">MIN(AV638,BF638)</f>
        <v>1529.1162626946</v>
      </c>
      <c r="BH638" s="2" t="n">
        <f aca="false">IF(AC638&gt;Hypothèses!$J$26,MAX(0,BG638)/(1-Hypothèses!$J$26/AC638),0)</f>
        <v>2513.49321414162</v>
      </c>
    </row>
    <row r="639" customFormat="false" ht="15" hidden="false" customHeight="false" outlineLevel="0" collapsed="false">
      <c r="A639" s="2" t="n">
        <v>624</v>
      </c>
      <c r="B639" s="2" t="n">
        <v>0.529846274</v>
      </c>
      <c r="C639" s="2"/>
      <c r="D639" s="2" t="n">
        <v>0.179804314</v>
      </c>
      <c r="E639" s="2" t="n">
        <f aca="false">IF(E$7=E$5,E$6,IF(NORMSDIST(E$9*SQRT($C$11)*NORMSINV($B639)+SQRT(1-E$9^2*$C$11)*NORMSINV(D639))&lt;E$8,E$5+SQRT(NORMSDIST(E$9*SQRT($C$11)*NORMSINV($B639)+SQRT(1-E$9^2*$C$11)*NORMSINV(D639))*(E$7-E$5)*(E$6-E$5)),E$7-SQRT((1-NORMSDIST(E$9*SQRT($C$11)*NORMSINV($B639)+SQRT(1-E$9^2*$C$11)*NORMSINV(D639)))*(E$7-E$5)*(E$7-E$6))))</f>
        <v>0.0535630291502444</v>
      </c>
      <c r="F639" s="2" t="n">
        <v>0.040623554</v>
      </c>
      <c r="G639" s="2" t="n">
        <f aca="false">IF(G$7=G$5,G$6,IF(NORMSDIST(G$9*SQRT($C$11)*NORMSINV($B639)+SQRT(1-G$9^2*$C$11)*NORMSINV(F639))&lt;G$8,G$5+SQRT(NORMSDIST(G$9*SQRT($C$11)*NORMSINV($B639)+SQRT(1-G$9^2*$C$11)*NORMSINV(F639))*(G$7-G$5)*(G$6-G$5)),G$7-SQRT((1-NORMSDIST(G$9*SQRT($C$11)*NORMSINV($B639)+SQRT(1-G$9^2*$C$11)*NORMSINV(F639)))*(G$7-G$5)*(G$7-G$6))))</f>
        <v>0.0465816532352484</v>
      </c>
      <c r="H639" s="2" t="n">
        <v>0.502667904</v>
      </c>
      <c r="I639" s="2" t="n">
        <f aca="false">IF(I$7=I$5,I$6,IF(NORMSDIST(I$9*SQRT($C$11)*NORMSINV($B639)+SQRT(1-I$9^2*$C$11)*NORMSINV(H639))&lt;I$8,I$5+SQRT(NORMSDIST(I$9*SQRT($C$11)*NORMSINV($B639)+SQRT(1-I$9^2*$C$11)*NORMSINV(H639))*(I$7-I$5)*(I$6-I$5)),I$7-SQRT((1-NORMSDIST(I$9*SQRT($C$11)*NORMSINV($B639)+SQRT(1-I$9^2*$C$11)*NORMSINV(H639)))*(I$7-I$5)*(I$7-I$6))))</f>
        <v>200.423504087115</v>
      </c>
      <c r="J639" s="2" t="n">
        <v>0.17171143</v>
      </c>
      <c r="K639" s="2" t="n">
        <f aca="false">IF(K$7=K$5,K$6,IF(NORMSDIST(K$9*SQRT($C$11)*NORMSINV($B639)+SQRT(1-K$9^2*$C$11)*NORMSINV(J639))&lt;K$8,K$5+SQRT(NORMSDIST(K$9*SQRT($C$11)*NORMSINV($B639)+SQRT(1-K$9^2*$C$11)*NORMSINV(J639))*(K$7-K$5)*(K$6-K$5)),K$7-SQRT((1-NORMSDIST(K$9*SQRT($C$11)*NORMSINV($B639)+SQRT(1-K$9^2*$C$11)*NORMSINV(J639)))*(K$7-K$5)*(K$7-K$6))))</f>
        <v>0.175426445062123</v>
      </c>
      <c r="L639" s="2" t="n">
        <v>0.995487508</v>
      </c>
      <c r="M639" s="2" t="n">
        <f aca="false">IF(M$7=M$5,M$6,IF(NORMSDIST(M$9*SQRT($C$11)*NORMSINV($B639)+SQRT(1-M$9^2*$C$11)*NORMSINV(L639))&lt;M$8,M$5+SQRT(NORMSDIST(M$9*SQRT($C$11)*NORMSINV($B639)+SQRT(1-M$9^2*$C$11)*NORMSINV(L639))*(M$7-M$5)*(M$6-M$5)),M$7-SQRT((1-NORMSDIST(M$9*SQRT($C$11)*NORMSINV($B639)+SQRT(1-M$9^2*$C$11)*NORMSINV(L639)))*(M$7-M$5)*(M$7-M$6))))</f>
        <v>1752.77329768898</v>
      </c>
      <c r="N639" s="2" t="n">
        <v>0.120072201</v>
      </c>
      <c r="O639" s="2" t="n">
        <f aca="false">IF(O$7=O$5,O$6,IF(NORMSDIST(O$9*SQRT($C$11)*NORMSINV($B639)+SQRT(1-O$9^2*$C$11)*NORMSINV(N639))&lt;O$8,O$5+SQRT(NORMSDIST(O$9*SQRT($C$11)*NORMSINV($B639)+SQRT(1-O$9^2*$C$11)*NORMSINV(N639))*(O$7-O$5)*(O$6-O$5)),O$7-SQRT((1-NORMSDIST(O$9*SQRT($C$11)*NORMSINV($B639)+SQRT(1-O$9^2*$C$11)*NORMSINV(N639)))*(O$7-O$5)*(O$7-O$6))))</f>
        <v>0.156692820811401</v>
      </c>
      <c r="P639" s="2" t="n">
        <v>0.287341733</v>
      </c>
      <c r="Q639" s="2" t="n">
        <f aca="false">IF(Q$7=Q$5,Q$6,IF(NORMSDIST(Q$9*SQRT($C$11)*NORMSINV($B639)+SQRT(1-Q$9^2*$C$11)*NORMSINV(P639))&lt;Q$8,Q$5+SQRT(NORMSDIST(Q$9*SQRT($C$11)*NORMSINV($B639)+SQRT(1-Q$9^2*$C$11)*NORMSINV(P639))*(Q$7-Q$5)*(Q$6-Q$5)),Q$7-SQRT((1-NORMSDIST(Q$9*SQRT($C$11)*NORMSINV($B639)+SQRT(1-Q$9^2*$C$11)*NORMSINV(P639)))*(Q$7-Q$5)*(Q$7-Q$6))))</f>
        <v>0.0703231519733685</v>
      </c>
      <c r="R639" s="2" t="n">
        <v>0.21485825</v>
      </c>
      <c r="S639" s="2" t="n">
        <f aca="false">IF(S$7=S$5,S$6,IF(NORMSDIST(S$9*SQRT($C$11)*NORMSINV($B639)+SQRT(1-S$9^2*$C$11)*NORMSINV(R639))&lt;S$8,S$5+SQRT(NORMSDIST(S$9*SQRT($C$11)*NORMSINV($B639)+SQRT(1-S$9^2*$C$11)*NORMSINV(R639))*(S$7-S$5)*(S$6-S$5)),S$7-SQRT((1-NORMSDIST(S$9*SQRT($C$11)*NORMSINV($B639)+SQRT(1-S$9^2*$C$11)*NORMSINV(R639)))*(S$7-S$5)*(S$7-S$6))))</f>
        <v>0.378330524637298</v>
      </c>
      <c r="T639" s="2" t="n">
        <v>0.647382023</v>
      </c>
      <c r="U639" s="2" t="n">
        <f aca="false">IF(U$7=U$5,U$6,IF(NORMSDIST(U$9*SQRT($C$11)*NORMSINV($B639)+SQRT(1-U$9^2*$C$11)*NORMSINV(T639))&lt;U$8,U$5+SQRT(NORMSDIST(U$9*SQRT($C$11)*NORMSINV($B639)+SQRT(1-U$9^2*$C$11)*NORMSINV(T639))*(U$7-U$5)*(U$6-U$5)),U$7-SQRT((1-NORMSDIST(U$9*SQRT($C$11)*NORMSINV($B639)+SQRT(1-U$9^2*$C$11)*NORMSINV(T639)))*(U$7-U$5)*(U$7-U$6))))</f>
        <v>0.571752197162479</v>
      </c>
      <c r="V639" s="2" t="n">
        <v>0.939378196</v>
      </c>
      <c r="W639" s="2" t="n">
        <f aca="false">IF(W$7=W$5,W$6,IF(NORMSDIST(W$9*SQRT($C$11)*NORMSINV($B639)+SQRT(1-W$9^2*$C$11)*NORMSINV(V639))&lt;W$8,W$5+SQRT(NORMSDIST(W$9*SQRT($C$11)*NORMSINV($B639)+SQRT(1-W$9^2*$C$11)*NORMSINV(V639))*(W$7-W$5)*(W$6-W$5)),W$7-SQRT((1-NORMSDIST(W$9*SQRT($C$11)*NORMSINV($B639)+SQRT(1-W$9^2*$C$11)*NORMSINV(V639)))*(W$7-W$5)*(W$7-W$6))))</f>
        <v>11.078789727073</v>
      </c>
      <c r="X639" s="2" t="n">
        <v>0.013532168</v>
      </c>
      <c r="Y639" s="2" t="n">
        <f aca="false">IF(Y$7=Y$5,Y$6,IF(NORMSDIST(Y$9*SQRT($C$11)*NORMSINV($B639)+SQRT(1-Y$9^2*$C$11)*NORMSINV(X639))&lt;Y$8,Y$5+SQRT(NORMSDIST(Y$9*SQRT($C$11)*NORMSINV($B639)+SQRT(1-Y$9^2*$C$11)*NORMSINV(X639))*(Y$7-Y$5)*(Y$6-Y$5)),Y$7-SQRT((1-NORMSDIST(Y$9*SQRT($C$11)*NORMSINV($B639)+SQRT(1-Y$9^2*$C$11)*NORMSINV(X639)))*(Y$7-Y$5)*(Y$7-Y$6))))</f>
        <v>0.08225620949205</v>
      </c>
      <c r="Z639" s="2" t="n">
        <v>0.00902951</v>
      </c>
      <c r="AA639" s="2" t="n">
        <f aca="false">IF(AA$7=AA$5,AA$6,IF(NORMSDIST(AA$9*SQRT($C$11)*NORMSINV($B639)+SQRT(1-AA$9^2*$C$11)*NORMSINV(Z639))&lt;AA$8,AA$5+SQRT(NORMSDIST(AA$9*SQRT($C$11)*NORMSINV($B639)+SQRT(1-AA$9^2*$C$11)*NORMSINV(Z639))*(AA$7-AA$5)*(AA$6-AA$5)),AA$7-SQRT((1-NORMSDIST(AA$9*SQRT($C$11)*NORMSINV($B639)+SQRT(1-AA$9^2*$C$11)*NORMSINV(Z639)))*(AA$7-AA$5)*(AA$7-AA$6))))</f>
        <v>0.70424775182871</v>
      </c>
      <c r="AB639" s="2" t="n">
        <v>0.346942243</v>
      </c>
      <c r="AC639" s="2" t="n">
        <f aca="false">IF(AC$7=AC$5,AC$6,IF(NORMSDIST(AC$9*SQRT($C$11)*NORMSINV($B639)+SQRT(1-AC$9^2*$C$11)*NORMSINV(AB639))&lt;AC$8,AC$5+SQRT(NORMSDIST(AC$9*SQRT($C$11)*NORMSINV($B639)+SQRT(1-AC$9^2*$C$11)*NORMSINV(AB639))*(AC$7-AC$5)*(AC$6-AC$5)),AC$7-SQRT((1-NORMSDIST(AC$9*SQRT($C$11)*NORMSINV($B639)+SQRT(1-AC$9^2*$C$11)*NORMSINV(AB639)))*(AC$7-AC$5)*(AC$7-AC$6))))</f>
        <v>9.25529079813141</v>
      </c>
      <c r="AD639" s="2" t="n">
        <f aca="false">Entrées!$C$8*(1+E639)</f>
        <v>7427.61935550922</v>
      </c>
      <c r="AE639" s="2" t="n">
        <f aca="false">I639*Hypothèses!$J$24/12/Hypothèses!$J$19</f>
        <v>99.4294588972377</v>
      </c>
      <c r="AF639" s="2" t="n">
        <f aca="false">Entrées!$C$36*S639*1000</f>
        <v>189.165262318649</v>
      </c>
      <c r="AG639" s="2" t="n">
        <f aca="false">-AF639/W639</f>
        <v>-17.074542163788</v>
      </c>
      <c r="AH639" s="2" t="n">
        <f aca="false">AD639+AE639+AG639</f>
        <v>7509.97427224267</v>
      </c>
      <c r="AI639" s="2" t="n">
        <f aca="false">Entrées!$C$16-M639+Hypothèses!$J$22*1000-AF639+Hypothèses!$J$23</f>
        <v>22606.0614399924</v>
      </c>
      <c r="AJ639" s="2" t="n">
        <f aca="false">AI639/AH639</f>
        <v>3.01013833343554</v>
      </c>
      <c r="AK639" s="2" t="n">
        <f aca="false">AI639/(AH639+I639*(12-Hypothèses!$J$24)/12/Hypothèses!$J$19)</f>
        <v>2.98193845303063</v>
      </c>
      <c r="AL639" s="2" t="n">
        <f aca="false">(AD639+AG639+I639/Hypothèses!$J$19)*(1+G639)</f>
        <v>7934.13060922146</v>
      </c>
      <c r="AM639" s="2" t="n">
        <f aca="false">Entrées!$C$54*K639/Hypothèses!$J$19</f>
        <v>17.9030052866344</v>
      </c>
      <c r="AN639" s="2" t="n">
        <f aca="false">Y639*1000/AC639</f>
        <v>8.88747974387331</v>
      </c>
      <c r="AO639" s="2" t="n">
        <f aca="false">(Entrées!$C$36*(1-S639)+MAX(0,Entrées!$C$30-Entrées!$C$35-Entrées!$C$36)*U639)*1000</f>
        <v>1111.28781370882</v>
      </c>
      <c r="AP639" s="2" t="n">
        <f aca="false">-AO639/W639</f>
        <v>-100.307690739286</v>
      </c>
      <c r="AQ639" s="2" t="n">
        <f aca="false">AL639+AM639+AN639+AP639</f>
        <v>7860.61340351268</v>
      </c>
      <c r="AR639" s="2" t="n">
        <f aca="false">O639*AQ639-Hypothèses!$J$25/Hypothèses!$J$19</f>
        <v>1212.56652524268</v>
      </c>
      <c r="AS639" s="2" t="n">
        <f aca="false">Entrées!$C$79*(1+Q639)+Hypothèses!$J$20</f>
        <v>1471.28514401873</v>
      </c>
      <c r="AT639" s="2" t="n">
        <f aca="false">AI639-AR639+AS639+Y639*1000-AO639+Hypothèses!$J$23</f>
        <v>21835.7484545517</v>
      </c>
      <c r="AU639" s="2" t="n">
        <f aca="false">AT639/AQ639</f>
        <v>2.77786825704898</v>
      </c>
      <c r="AV639" s="2" t="n">
        <f aca="false">Hypothèses!$J$26*AQ639-AT639</f>
        <v>1746.09175598639</v>
      </c>
      <c r="AW639" s="2" t="n">
        <f aca="false">IF(AC639&gt;Hypothèses!$J$26,MAX(0,AV639)/(1-Hypothèses!$J$26/AC639),0)</f>
        <v>2583.50690374003</v>
      </c>
      <c r="AX639" s="2" t="n">
        <f aca="false">AQ639-Entrées!$C$17*1000</f>
        <v>-139.386596487319</v>
      </c>
      <c r="AY639" s="2" t="n">
        <f aca="false">AI639+(Entrées!$C$244-Entrées!$C$13)</f>
        <v>28353.0614399924</v>
      </c>
      <c r="AZ639" s="2" t="n">
        <f aca="false">AA639*AH639</f>
        <v>5288.88249751835</v>
      </c>
      <c r="BA639" s="2" t="n">
        <f aca="false">AZ639/AY639</f>
        <v>0.186536558272974</v>
      </c>
      <c r="BB639" s="2" t="n">
        <f aca="false">AZ639/(Entrées!$C$151/100)-AY639</f>
        <v>1029.61910177625</v>
      </c>
      <c r="BC639" s="2" t="n">
        <f aca="false">AT639+(Entrées!$C$244-Entrées!$C$13)</f>
        <v>27582.7484545517</v>
      </c>
      <c r="BD639" s="2" t="n">
        <f aca="false">AA639*AQ639</f>
        <v>5535.81931741843</v>
      </c>
      <c r="BE639" s="2" t="n">
        <f aca="false">BD639/BC639</f>
        <v>0.200698611544816</v>
      </c>
      <c r="BF639" s="2" t="n">
        <f aca="false">BD639/(Entrées!$C$151/100)-BC639</f>
        <v>3171.80330888405</v>
      </c>
      <c r="BG639" s="2" t="n">
        <f aca="false">MIN(AV639,BF639)</f>
        <v>1746.09175598639</v>
      </c>
      <c r="BH639" s="2" t="n">
        <f aca="false">IF(AC639&gt;Hypothèses!$J$26,MAX(0,BG639)/(1-Hypothèses!$J$26/AC639),0)</f>
        <v>2583.50690374003</v>
      </c>
    </row>
    <row r="640" customFormat="false" ht="15" hidden="false" customHeight="false" outlineLevel="0" collapsed="false">
      <c r="A640" s="2" t="n">
        <v>625</v>
      </c>
      <c r="B640" s="2" t="n">
        <v>0.503462053</v>
      </c>
      <c r="C640" s="2"/>
      <c r="D640" s="2" t="n">
        <v>0.945535208</v>
      </c>
      <c r="E640" s="2" t="n">
        <f aca="false">IF(E$7=E$5,E$6,IF(NORMSDIST(E$9*SQRT($C$11)*NORMSINV($B640)+SQRT(1-E$9^2*$C$11)*NORMSINV(D640))&lt;E$8,E$5+SQRT(NORMSDIST(E$9*SQRT($C$11)*NORMSINV($B640)+SQRT(1-E$9^2*$C$11)*NORMSINV(D640))*(E$7-E$5)*(E$6-E$5)),E$7-SQRT((1-NORMSDIST(E$9*SQRT($C$11)*NORMSINV($B640)+SQRT(1-E$9^2*$C$11)*NORMSINV(D640)))*(E$7-E$5)*(E$7-E$6))))</f>
        <v>0.0576960374441212</v>
      </c>
      <c r="F640" s="2" t="n">
        <v>0.710248762</v>
      </c>
      <c r="G640" s="2" t="n">
        <f aca="false">IF(G$7=G$5,G$6,IF(NORMSDIST(G$9*SQRT($C$11)*NORMSINV($B640)+SQRT(1-G$9^2*$C$11)*NORMSINV(F640))&lt;G$8,G$5+SQRT(NORMSDIST(G$9*SQRT($C$11)*NORMSINV($B640)+SQRT(1-G$9^2*$C$11)*NORMSINV(F640))*(G$7-G$5)*(G$6-G$5)),G$7-SQRT((1-NORMSDIST(G$9*SQRT($C$11)*NORMSINV($B640)+SQRT(1-G$9^2*$C$11)*NORMSINV(F640)))*(G$7-G$5)*(G$7-G$6))))</f>
        <v>0.057779104401023</v>
      </c>
      <c r="H640" s="2" t="n">
        <v>0.735497512</v>
      </c>
      <c r="I640" s="2" t="n">
        <f aca="false">IF(I$7=I$5,I$6,IF(NORMSDIST(I$9*SQRT($C$11)*NORMSINV($B640)+SQRT(1-I$9^2*$C$11)*NORMSINV(H640))&lt;I$8,I$5+SQRT(NORMSDIST(I$9*SQRT($C$11)*NORMSINV($B640)+SQRT(1-I$9^2*$C$11)*NORMSINV(H640))*(I$7-I$5)*(I$6-I$5)),I$7-SQRT((1-NORMSDIST(I$9*SQRT($C$11)*NORMSINV($B640)+SQRT(1-I$9^2*$C$11)*NORMSINV(H640)))*(I$7-I$5)*(I$7-I$6))))</f>
        <v>204.227493712734</v>
      </c>
      <c r="J640" s="2" t="n">
        <v>0.506136252</v>
      </c>
      <c r="K640" s="2" t="n">
        <f aca="false">IF(K$7=K$5,K$6,IF(NORMSDIST(K$9*SQRT($C$11)*NORMSINV($B640)+SQRT(1-K$9^2*$C$11)*NORMSINV(J640))&lt;K$8,K$5+SQRT(NORMSDIST(K$9*SQRT($C$11)*NORMSINV($B640)+SQRT(1-K$9^2*$C$11)*NORMSINV(J640))*(K$7-K$5)*(K$6-K$5)),K$7-SQRT((1-NORMSDIST(K$9*SQRT($C$11)*NORMSINV($B640)+SQRT(1-K$9^2*$C$11)*NORMSINV(J640)))*(K$7-K$5)*(K$7-K$6))))</f>
        <v>0.251741711969146</v>
      </c>
      <c r="L640" s="2" t="n">
        <v>0.168142271</v>
      </c>
      <c r="M640" s="2" t="n">
        <f aca="false">IF(M$7=M$5,M$6,IF(NORMSDIST(M$9*SQRT($C$11)*NORMSINV($B640)+SQRT(1-M$9^2*$C$11)*NORMSINV(L640))&lt;M$8,M$5+SQRT(NORMSDIST(M$9*SQRT($C$11)*NORMSINV($B640)+SQRT(1-M$9^2*$C$11)*NORMSINV(L640))*(M$7-M$5)*(M$6-M$5)),M$7-SQRT((1-NORMSDIST(M$9*SQRT($C$11)*NORMSINV($B640)+SQRT(1-M$9^2*$C$11)*NORMSINV(L640)))*(M$7-M$5)*(M$7-M$6))))</f>
        <v>1494.50551134552</v>
      </c>
      <c r="N640" s="2" t="n">
        <v>0.911437874</v>
      </c>
      <c r="O640" s="2" t="n">
        <f aca="false">IF(O$7=O$5,O$6,IF(NORMSDIST(O$9*SQRT($C$11)*NORMSINV($B640)+SQRT(1-O$9^2*$C$11)*NORMSINV(N640))&lt;O$8,O$5+SQRT(NORMSDIST(O$9*SQRT($C$11)*NORMSINV($B640)+SQRT(1-O$9^2*$C$11)*NORMSINV(N640))*(O$7-O$5)*(O$6-O$5)),O$7-SQRT((1-NORMSDIST(O$9*SQRT($C$11)*NORMSINV($B640)+SQRT(1-O$9^2*$C$11)*NORMSINV(N640)))*(O$7-O$5)*(O$7-O$6))))</f>
        <v>0.177501867318381</v>
      </c>
      <c r="P640" s="2" t="n">
        <v>0.884320485</v>
      </c>
      <c r="Q640" s="2" t="n">
        <f aca="false">IF(Q$7=Q$5,Q$6,IF(NORMSDIST(Q$9*SQRT($C$11)*NORMSINV($B640)+SQRT(1-Q$9^2*$C$11)*NORMSINV(P640))&lt;Q$8,Q$5+SQRT(NORMSDIST(Q$9*SQRT($C$11)*NORMSINV($B640)+SQRT(1-Q$9^2*$C$11)*NORMSINV(P640))*(Q$7-Q$5)*(Q$6-Q$5)),Q$7-SQRT((1-NORMSDIST(Q$9*SQRT($C$11)*NORMSINV($B640)+SQRT(1-Q$9^2*$C$11)*NORMSINV(P640)))*(Q$7-Q$5)*(Q$7-Q$6))))</f>
        <v>0.100760081912856</v>
      </c>
      <c r="R640" s="2" t="n">
        <v>0.596434805</v>
      </c>
      <c r="S640" s="2" t="n">
        <f aca="false">IF(S$7=S$5,S$6,IF(NORMSDIST(S$9*SQRT($C$11)*NORMSINV($B640)+SQRT(1-S$9^2*$C$11)*NORMSINV(R640))&lt;S$8,S$5+SQRT(NORMSDIST(S$9*SQRT($C$11)*NORMSINV($B640)+SQRT(1-S$9^2*$C$11)*NORMSINV(R640))*(S$7-S$5)*(S$6-S$5)),S$7-SQRT((1-NORMSDIST(S$9*SQRT($C$11)*NORMSINV($B640)+SQRT(1-S$9^2*$C$11)*NORMSINV(R640)))*(S$7-S$5)*(S$7-S$6))))</f>
        <v>0.540186597390217</v>
      </c>
      <c r="T640" s="2" t="n">
        <v>0.023817911</v>
      </c>
      <c r="U640" s="2" t="n">
        <f aca="false">IF(U$7=U$5,U$6,IF(NORMSDIST(U$9*SQRT($C$11)*NORMSINV($B640)+SQRT(1-U$9^2*$C$11)*NORMSINV(T640))&lt;U$8,U$5+SQRT(NORMSDIST(U$9*SQRT($C$11)*NORMSINV($B640)+SQRT(1-U$9^2*$C$11)*NORMSINV(T640))*(U$7-U$5)*(U$6-U$5)),U$7-SQRT((1-NORMSDIST(U$9*SQRT($C$11)*NORMSINV($B640)+SQRT(1-U$9^2*$C$11)*NORMSINV(T640)))*(U$7-U$5)*(U$7-U$6))))</f>
        <v>0.177724386128688</v>
      </c>
      <c r="V640" s="2" t="n">
        <v>0.649443999</v>
      </c>
      <c r="W640" s="2" t="n">
        <f aca="false">IF(W$7=W$5,W$6,IF(NORMSDIST(W$9*SQRT($C$11)*NORMSINV($B640)+SQRT(1-W$9^2*$C$11)*NORMSINV(V640))&lt;W$8,W$5+SQRT(NORMSDIST(W$9*SQRT($C$11)*NORMSINV($B640)+SQRT(1-W$9^2*$C$11)*NORMSINV(V640))*(W$7-W$5)*(W$6-W$5)),W$7-SQRT((1-NORMSDIST(W$9*SQRT($C$11)*NORMSINV($B640)+SQRT(1-W$9^2*$C$11)*NORMSINV(V640)))*(W$7-W$5)*(W$7-W$6))))</f>
        <v>10.2540941987186</v>
      </c>
      <c r="X640" s="2" t="n">
        <v>0.998471728</v>
      </c>
      <c r="Y640" s="2" t="n">
        <f aca="false">IF(Y$7=Y$5,Y$6,IF(NORMSDIST(Y$9*SQRT($C$11)*NORMSINV($B640)+SQRT(1-Y$9^2*$C$11)*NORMSINV(X640))&lt;Y$8,Y$5+SQRT(NORMSDIST(Y$9*SQRT($C$11)*NORMSINV($B640)+SQRT(1-Y$9^2*$C$11)*NORMSINV(X640))*(Y$7-Y$5)*(Y$6-Y$5)),Y$7-SQRT((1-NORMSDIST(Y$9*SQRT($C$11)*NORMSINV($B640)+SQRT(1-Y$9^2*$C$11)*NORMSINV(X640)))*(Y$7-Y$5)*(Y$7-Y$6))))</f>
        <v>0.972356990033645</v>
      </c>
      <c r="Z640" s="2" t="n">
        <v>0.141780153</v>
      </c>
      <c r="AA640" s="2" t="n">
        <f aca="false">IF(AA$7=AA$5,AA$6,IF(NORMSDIST(AA$9*SQRT($C$11)*NORMSINV($B640)+SQRT(1-AA$9^2*$C$11)*NORMSINV(Z640))&lt;AA$8,AA$5+SQRT(NORMSDIST(AA$9*SQRT($C$11)*NORMSINV($B640)+SQRT(1-AA$9^2*$C$11)*NORMSINV(Z640))*(AA$7-AA$5)*(AA$6-AA$5)),AA$7-SQRT((1-NORMSDIST(AA$9*SQRT($C$11)*NORMSINV($B640)+SQRT(1-AA$9^2*$C$11)*NORMSINV(Z640)))*(AA$7-AA$5)*(AA$7-AA$6))))</f>
        <v>0.716259689190992</v>
      </c>
      <c r="AB640" s="2" t="n">
        <v>0.308426824</v>
      </c>
      <c r="AC640" s="2" t="n">
        <f aca="false">IF(AC$7=AC$5,AC$6,IF(NORMSDIST(AC$9*SQRT($C$11)*NORMSINV($B640)+SQRT(1-AC$9^2*$C$11)*NORMSINV(AB640))&lt;AC$8,AC$5+SQRT(NORMSDIST(AC$9*SQRT($C$11)*NORMSINV($B640)+SQRT(1-AC$9^2*$C$11)*NORMSINV(AB640))*(AC$7-AC$5)*(AC$6-AC$5)),AC$7-SQRT((1-NORMSDIST(AC$9*SQRT($C$11)*NORMSINV($B640)+SQRT(1-AC$9^2*$C$11)*NORMSINV(AB640)))*(AC$7-AC$5)*(AC$7-AC$6))))</f>
        <v>9.14197074268002</v>
      </c>
      <c r="AD640" s="2" t="n">
        <f aca="false">Entrées!$C$8*(1+E640)</f>
        <v>7456.75706398105</v>
      </c>
      <c r="AE640" s="2" t="n">
        <f aca="false">I640*Hypothèses!$J$24/12/Hypothèses!$J$19</f>
        <v>101.316605975365</v>
      </c>
      <c r="AF640" s="2" t="n">
        <f aca="false">Entrées!$C$36*S640*1000</f>
        <v>270.093298695109</v>
      </c>
      <c r="AG640" s="2" t="n">
        <f aca="false">-AF640/W640</f>
        <v>-26.340044616409</v>
      </c>
      <c r="AH640" s="2" t="n">
        <f aca="false">AD640+AE640+AG640</f>
        <v>7531.73362534001</v>
      </c>
      <c r="AI640" s="2" t="n">
        <f aca="false">Entrées!$C$16-M640+Hypothèses!$J$22*1000-AF640+Hypothèses!$J$23</f>
        <v>22783.4011899594</v>
      </c>
      <c r="AJ640" s="2" t="n">
        <f aca="false">AI640/AH640</f>
        <v>3.02498764870098</v>
      </c>
      <c r="AK640" s="2" t="n">
        <f aca="false">AI640/(AH640+I640*(12-Hypothèses!$J$24)/12/Hypothèses!$J$19)</f>
        <v>2.99619853909488</v>
      </c>
      <c r="AL640" s="2" t="n">
        <f aca="false">(AD640+AG640+I640/Hypothèses!$J$19)*(1+G640)</f>
        <v>8043.46086932035</v>
      </c>
      <c r="AM640" s="2" t="n">
        <f aca="false">Entrées!$C$54*K640/Hypothèses!$J$19</f>
        <v>25.6912987015953</v>
      </c>
      <c r="AN640" s="2" t="n">
        <f aca="false">Y640*1000/AC640</f>
        <v>106.361857569082</v>
      </c>
      <c r="AO640" s="2" t="n">
        <f aca="false">(Entrées!$C$36*(1-S640)+MAX(0,Entrées!$C$30-Entrées!$C$35-Entrées!$C$36)*U640)*1000</f>
        <v>478.720841885055</v>
      </c>
      <c r="AP640" s="2" t="n">
        <f aca="false">-AO640/W640</f>
        <v>-46.6858244724218</v>
      </c>
      <c r="AQ640" s="2" t="n">
        <f aca="false">AL640+AM640+AN640+AP640</f>
        <v>8128.8282011186</v>
      </c>
      <c r="AR640" s="2" t="n">
        <f aca="false">O640*AQ640-Hypothèses!$J$25/Hypothèses!$J$19</f>
        <v>1423.74702254724</v>
      </c>
      <c r="AS640" s="2" t="n">
        <f aca="false">Entrées!$C$79*(1+Q640)+Hypothèses!$J$20</f>
        <v>1504.73533002223</v>
      </c>
      <c r="AT640" s="2" t="n">
        <f aca="false">AI640-AR640+AS640+Y640*1000-AO640+Hypothèses!$J$23</f>
        <v>23358.025645583</v>
      </c>
      <c r="AU640" s="2" t="n">
        <f aca="false">AT640/AQ640</f>
        <v>2.87348004751394</v>
      </c>
      <c r="AV640" s="2" t="n">
        <f aca="false">Hypothèses!$J$26*AQ640-AT640</f>
        <v>1028.45895777286</v>
      </c>
      <c r="AW640" s="2" t="n">
        <f aca="false">IF(AC640&gt;Hypothèses!$J$26,MAX(0,AV640)/(1-Hypothèses!$J$26/AC640),0)</f>
        <v>1530.80209853037</v>
      </c>
      <c r="AX640" s="2" t="n">
        <f aca="false">AQ640-Entrées!$C$17*1000</f>
        <v>128.828201118604</v>
      </c>
      <c r="AY640" s="2" t="n">
        <f aca="false">AI640+(Entrées!$C$244-Entrées!$C$13)</f>
        <v>28530.4011899594</v>
      </c>
      <c r="AZ640" s="2" t="n">
        <f aca="false">AA640*AH640</f>
        <v>5394.67718555538</v>
      </c>
      <c r="BA640" s="2" t="n">
        <f aca="false">AZ640/AY640</f>
        <v>0.189085219995221</v>
      </c>
      <c r="BB640" s="2" t="n">
        <f aca="false">AZ640/(Entrées!$C$151/100)-AY640</f>
        <v>1440.02761868163</v>
      </c>
      <c r="BC640" s="2" t="n">
        <f aca="false">AT640+(Entrées!$C$244-Entrées!$C$13)</f>
        <v>29105.025645583</v>
      </c>
      <c r="BD640" s="2" t="n">
        <f aca="false">AA640*AQ640</f>
        <v>5822.35196082018</v>
      </c>
      <c r="BE640" s="2" t="n">
        <f aca="false">BD640/BC640</f>
        <v>0.200046274884619</v>
      </c>
      <c r="BF640" s="2" t="n">
        <f aca="false">BD640/(Entrées!$C$151/100)-BC640</f>
        <v>3241.37413675141</v>
      </c>
      <c r="BG640" s="2" t="n">
        <f aca="false">MIN(AV640,BF640)</f>
        <v>1028.45895777286</v>
      </c>
      <c r="BH640" s="2" t="n">
        <f aca="false">IF(AC640&gt;Hypothèses!$J$26,MAX(0,BG640)/(1-Hypothèses!$J$26/AC640),0)</f>
        <v>1530.80209853037</v>
      </c>
    </row>
    <row r="641" customFormat="false" ht="15" hidden="false" customHeight="false" outlineLevel="0" collapsed="false">
      <c r="A641" s="2" t="n">
        <v>626</v>
      </c>
      <c r="B641" s="2" t="n">
        <v>0.926693638</v>
      </c>
      <c r="C641" s="2"/>
      <c r="D641" s="2" t="n">
        <v>0.113582186</v>
      </c>
      <c r="E641" s="2" t="n">
        <f aca="false">IF(E$7=E$5,E$6,IF(NORMSDIST(E$9*SQRT($C$11)*NORMSINV($B641)+SQRT(1-E$9^2*$C$11)*NORMSINV(D641))&lt;E$8,E$5+SQRT(NORMSDIST(E$9*SQRT($C$11)*NORMSINV($B641)+SQRT(1-E$9^2*$C$11)*NORMSINV(D641))*(E$7-E$5)*(E$6-E$5)),E$7-SQRT((1-NORMSDIST(E$9*SQRT($C$11)*NORMSINV($B641)+SQRT(1-E$9^2*$C$11)*NORMSINV(D641)))*(E$7-E$5)*(E$7-E$6))))</f>
        <v>0.0549651639801581</v>
      </c>
      <c r="F641" s="2" t="n">
        <v>0.709450363</v>
      </c>
      <c r="G641" s="2" t="n">
        <f aca="false">IF(G$7=G$5,G$6,IF(NORMSDIST(G$9*SQRT($C$11)*NORMSINV($B641)+SQRT(1-G$9^2*$C$11)*NORMSINV(F641))&lt;G$8,G$5+SQRT(NORMSDIST(G$9*SQRT($C$11)*NORMSINV($B641)+SQRT(1-G$9^2*$C$11)*NORMSINV(F641))*(G$7-G$5)*(G$6-G$5)),G$7-SQRT((1-NORMSDIST(G$9*SQRT($C$11)*NORMSINV($B641)+SQRT(1-G$9^2*$C$11)*NORMSINV(F641)))*(G$7-G$5)*(G$7-G$6))))</f>
        <v>0.0636631357667152</v>
      </c>
      <c r="H641" s="2" t="n">
        <v>0.216698733</v>
      </c>
      <c r="I641" s="2" t="n">
        <f aca="false">IF(I$7=I$5,I$6,IF(NORMSDIST(I$9*SQRT($C$11)*NORMSINV($B641)+SQRT(1-I$9^2*$C$11)*NORMSINV(H641))&lt;I$8,I$5+SQRT(NORMSDIST(I$9*SQRT($C$11)*NORMSINV($B641)+SQRT(1-I$9^2*$C$11)*NORMSINV(H641))*(I$7-I$5)*(I$6-I$5)),I$7-SQRT((1-NORMSDIST(I$9*SQRT($C$11)*NORMSINV($B641)+SQRT(1-I$9^2*$C$11)*NORMSINV(H641)))*(I$7-I$5)*(I$7-I$6))))</f>
        <v>202.61491999388</v>
      </c>
      <c r="J641" s="2" t="n">
        <v>0.149501317</v>
      </c>
      <c r="K641" s="2" t="n">
        <f aca="false">IF(K$7=K$5,K$6,IF(NORMSDIST(K$9*SQRT($C$11)*NORMSINV($B641)+SQRT(1-K$9^2*$C$11)*NORMSINV(J641))&lt;K$8,K$5+SQRT(NORMSDIST(K$9*SQRT($C$11)*NORMSINV($B641)+SQRT(1-K$9^2*$C$11)*NORMSINV(J641))*(K$7-K$5)*(K$6-K$5)),K$7-SQRT((1-NORMSDIST(K$9*SQRT($C$11)*NORMSINV($B641)+SQRT(1-K$9^2*$C$11)*NORMSINV(J641)))*(K$7-K$5)*(K$7-K$6))))</f>
        <v>0.261573152891172</v>
      </c>
      <c r="L641" s="2" t="n">
        <v>0.091965236</v>
      </c>
      <c r="M641" s="2" t="n">
        <f aca="false">IF(M$7=M$5,M$6,IF(NORMSDIST(M$9*SQRT($C$11)*NORMSINV($B641)+SQRT(1-M$9^2*$C$11)*NORMSINV(L641))&lt;M$8,M$5+SQRT(NORMSDIST(M$9*SQRT($C$11)*NORMSINV($B641)+SQRT(1-M$9^2*$C$11)*NORMSINV(L641))*(M$7-M$5)*(M$6-M$5)),M$7-SQRT((1-NORMSDIST(M$9*SQRT($C$11)*NORMSINV($B641)+SQRT(1-M$9^2*$C$11)*NORMSINV(L641)))*(M$7-M$5)*(M$7-M$6))))</f>
        <v>1572.57368627218</v>
      </c>
      <c r="N641" s="2" t="n">
        <v>0.694592002</v>
      </c>
      <c r="O641" s="2" t="n">
        <f aca="false">IF(O$7=O$5,O$6,IF(NORMSDIST(O$9*SQRT($C$11)*NORMSINV($B641)+SQRT(1-O$9^2*$C$11)*NORMSINV(N641))&lt;O$8,O$5+SQRT(NORMSDIST(O$9*SQRT($C$11)*NORMSINV($B641)+SQRT(1-O$9^2*$C$11)*NORMSINV(N641))*(O$7-O$5)*(O$6-O$5)),O$7-SQRT((1-NORMSDIST(O$9*SQRT($C$11)*NORMSINV($B641)+SQRT(1-O$9^2*$C$11)*NORMSINV(N641)))*(O$7-O$5)*(O$7-O$6))))</f>
        <v>0.179955706649444</v>
      </c>
      <c r="P641" s="2" t="n">
        <v>0.627172541</v>
      </c>
      <c r="Q641" s="2" t="n">
        <f aca="false">IF(Q$7=Q$5,Q$6,IF(NORMSDIST(Q$9*SQRT($C$11)*NORMSINV($B641)+SQRT(1-Q$9^2*$C$11)*NORMSINV(P641))&lt;Q$8,Q$5+SQRT(NORMSDIST(Q$9*SQRT($C$11)*NORMSINV($B641)+SQRT(1-Q$9^2*$C$11)*NORMSINV(P641))*(Q$7-Q$5)*(Q$6-Q$5)),Q$7-SQRT((1-NORMSDIST(Q$9*SQRT($C$11)*NORMSINV($B641)+SQRT(1-Q$9^2*$C$11)*NORMSINV(P641)))*(Q$7-Q$5)*(Q$7-Q$6))))</f>
        <v>0.0854594749779335</v>
      </c>
      <c r="R641" s="2" t="n">
        <v>0.068820935</v>
      </c>
      <c r="S641" s="2" t="n">
        <f aca="false">IF(S$7=S$5,S$6,IF(NORMSDIST(S$9*SQRT($C$11)*NORMSINV($B641)+SQRT(1-S$9^2*$C$11)*NORMSINV(R641))&lt;S$8,S$5+SQRT(NORMSDIST(S$9*SQRT($C$11)*NORMSINV($B641)+SQRT(1-S$9^2*$C$11)*NORMSINV(R641))*(S$7-S$5)*(S$6-S$5)),S$7-SQRT((1-NORMSDIST(S$9*SQRT($C$11)*NORMSINV($B641)+SQRT(1-S$9^2*$C$11)*NORMSINV(R641)))*(S$7-S$5)*(S$7-S$6))))</f>
        <v>0.45183036914822</v>
      </c>
      <c r="T641" s="2" t="n">
        <v>0.249032978</v>
      </c>
      <c r="U641" s="2" t="n">
        <f aca="false">IF(U$7=U$5,U$6,IF(NORMSDIST(U$9*SQRT($C$11)*NORMSINV($B641)+SQRT(1-U$9^2*$C$11)*NORMSINV(T641))&lt;U$8,U$5+SQRT(NORMSDIST(U$9*SQRT($C$11)*NORMSINV($B641)+SQRT(1-U$9^2*$C$11)*NORMSINV(T641))*(U$7-U$5)*(U$6-U$5)),U$7-SQRT((1-NORMSDIST(U$9*SQRT($C$11)*NORMSINV($B641)+SQRT(1-U$9^2*$C$11)*NORMSINV(T641)))*(U$7-U$5)*(U$7-U$6))))</f>
        <v>0.583427476226208</v>
      </c>
      <c r="V641" s="2" t="n">
        <v>0.732201254</v>
      </c>
      <c r="W641" s="2" t="n">
        <f aca="false">IF(W$7=W$5,W$6,IF(NORMSDIST(W$9*SQRT($C$11)*NORMSINV($B641)+SQRT(1-W$9^2*$C$11)*NORMSINV(V641))&lt;W$8,W$5+SQRT(NORMSDIST(W$9*SQRT($C$11)*NORMSINV($B641)+SQRT(1-W$9^2*$C$11)*NORMSINV(V641))*(W$7-W$5)*(W$6-W$5)),W$7-SQRT((1-NORMSDIST(W$9*SQRT($C$11)*NORMSINV($B641)+SQRT(1-W$9^2*$C$11)*NORMSINV(V641)))*(W$7-W$5)*(W$7-W$6))))</f>
        <v>11.1946772884124</v>
      </c>
      <c r="X641" s="2" t="n">
        <v>0.289310492</v>
      </c>
      <c r="Y641" s="2" t="n">
        <f aca="false">IF(Y$7=Y$5,Y$6,IF(NORMSDIST(Y$9*SQRT($C$11)*NORMSINV($B641)+SQRT(1-Y$9^2*$C$11)*NORMSINV(X641))&lt;Y$8,Y$5+SQRT(NORMSDIST(Y$9*SQRT($C$11)*NORMSINV($B641)+SQRT(1-Y$9^2*$C$11)*NORMSINV(X641))*(Y$7-Y$5)*(Y$6-Y$5)),Y$7-SQRT((1-NORMSDIST(Y$9*SQRT($C$11)*NORMSINV($B641)+SQRT(1-Y$9^2*$C$11)*NORMSINV(X641)))*(Y$7-Y$5)*(Y$7-Y$6))))</f>
        <v>0.38033570171626</v>
      </c>
      <c r="Z641" s="2" t="n">
        <v>0.378732171</v>
      </c>
      <c r="AA641" s="2" t="n">
        <f aca="false">IF(AA$7=AA$5,AA$6,IF(NORMSDIST(AA$9*SQRT($C$11)*NORMSINV($B641)+SQRT(1-AA$9^2*$C$11)*NORMSINV(Z641))&lt;AA$8,AA$5+SQRT(NORMSDIST(AA$9*SQRT($C$11)*NORMSINV($B641)+SQRT(1-AA$9^2*$C$11)*NORMSINV(Z641))*(AA$7-AA$5)*(AA$6-AA$5)),AA$7-SQRT((1-NORMSDIST(AA$9*SQRT($C$11)*NORMSINV($B641)+SQRT(1-AA$9^2*$C$11)*NORMSINV(Z641)))*(AA$7-AA$5)*(AA$7-AA$6))))</f>
        <v>0.735994040784541</v>
      </c>
      <c r="AB641" s="2" t="n">
        <v>0.46927945</v>
      </c>
      <c r="AC641" s="2" t="n">
        <f aca="false">IF(AC$7=AC$5,AC$6,IF(NORMSDIST(AC$9*SQRT($C$11)*NORMSINV($B641)+SQRT(1-AC$9^2*$C$11)*NORMSINV(AB641))&lt;AC$8,AC$5+SQRT(NORMSDIST(AC$9*SQRT($C$11)*NORMSINV($B641)+SQRT(1-AC$9^2*$C$11)*NORMSINV(AB641))*(AC$7-AC$5)*(AC$6-AC$5)),AC$7-SQRT((1-NORMSDIST(AC$9*SQRT($C$11)*NORMSINV($B641)+SQRT(1-AC$9^2*$C$11)*NORMSINV(AB641)))*(AC$7-AC$5)*(AC$7-AC$6))))</f>
        <v>10.0813643749665</v>
      </c>
      <c r="AD641" s="2" t="n">
        <f aca="false">Entrées!$C$8*(1+E641)</f>
        <v>7437.50440606011</v>
      </c>
      <c r="AE641" s="2" t="n">
        <f aca="false">I641*Hypothèses!$J$24/12/Hypothèses!$J$19</f>
        <v>100.516613314685</v>
      </c>
      <c r="AF641" s="2" t="n">
        <f aca="false">Entrées!$C$36*S641*1000</f>
        <v>225.91518457411</v>
      </c>
      <c r="AG641" s="2" t="n">
        <f aca="false">-AF641/W641</f>
        <v>-20.1805892884429</v>
      </c>
      <c r="AH641" s="2" t="n">
        <f aca="false">AD641+AE641+AG641</f>
        <v>7517.84043008636</v>
      </c>
      <c r="AI641" s="2" t="n">
        <f aca="false">Entrées!$C$16-M641+Hypothèses!$J$22*1000-AF641+Hypothèses!$J$23</f>
        <v>22749.5111291537</v>
      </c>
      <c r="AJ641" s="2" t="n">
        <f aca="false">AI641/AH641</f>
        <v>3.02606996526693</v>
      </c>
      <c r="AK641" s="2" t="n">
        <f aca="false">AI641/(AH641+I641*(12-Hypothèses!$J$24)/12/Hypothèses!$J$19)</f>
        <v>2.99744350074479</v>
      </c>
      <c r="AL641" s="2" t="n">
        <f aca="false">(AD641+AG641+I641/Hypothèses!$J$19)*(1+G641)</f>
        <v>8072.81816614155</v>
      </c>
      <c r="AM641" s="2" t="n">
        <f aca="false">Entrées!$C$54*K641/Hypothèses!$J$19</f>
        <v>26.694638527241</v>
      </c>
      <c r="AN641" s="2" t="n">
        <f aca="false">Y641*1000/AC641</f>
        <v>37.7266099676635</v>
      </c>
      <c r="AO641" s="2" t="n">
        <f aca="false">(Entrées!$C$36*(1-S641)+MAX(0,Entrées!$C$30-Entrées!$C$35-Entrées!$C$36)*U641)*1000</f>
        <v>1090.88328214258</v>
      </c>
      <c r="AP641" s="2" t="n">
        <f aca="false">-AO641/W641</f>
        <v>-97.44660377765</v>
      </c>
      <c r="AQ641" s="2" t="n">
        <f aca="false">AL641+AM641+AN641+AP641</f>
        <v>8039.7928108588</v>
      </c>
      <c r="AR641" s="2" t="n">
        <f aca="false">O641*AQ641-Hypothèses!$J$25/Hypothèses!$J$19</f>
        <v>1427.67143433159</v>
      </c>
      <c r="AS641" s="2" t="n">
        <f aca="false">Entrées!$C$79*(1+Q641)+Hypothèses!$J$20</f>
        <v>1487.91996300075</v>
      </c>
      <c r="AT641" s="2" t="n">
        <f aca="false">AI641-AR641+AS641+Y641*1000-AO641+Hypothèses!$J$23</f>
        <v>22099.2120773966</v>
      </c>
      <c r="AU641" s="2" t="n">
        <f aca="false">AT641/AQ641</f>
        <v>2.74872905276224</v>
      </c>
      <c r="AV641" s="2" t="n">
        <f aca="false">Hypothèses!$J$26*AQ641-AT641</f>
        <v>2020.16635517986</v>
      </c>
      <c r="AW641" s="2" t="n">
        <f aca="false">IF(AC641&gt;Hypothèses!$J$26,MAX(0,AV641)/(1-Hypothèses!$J$26/AC641),0)</f>
        <v>2876.00412098728</v>
      </c>
      <c r="AX641" s="2" t="n">
        <f aca="false">AQ641-Entrées!$C$17*1000</f>
        <v>39.7928108588039</v>
      </c>
      <c r="AY641" s="2" t="n">
        <f aca="false">AI641+(Entrées!$C$244-Entrées!$C$13)</f>
        <v>28496.5111291537</v>
      </c>
      <c r="AZ641" s="2" t="n">
        <f aca="false">AA641*AH641</f>
        <v>5533.08575611265</v>
      </c>
      <c r="BA641" s="2" t="n">
        <f aca="false">AZ641/AY641</f>
        <v>0.194167129128027</v>
      </c>
      <c r="BB641" s="2" t="n">
        <f aca="false">AZ641/(Entrées!$C$151/100)-AY641</f>
        <v>2242.85418258324</v>
      </c>
      <c r="BC641" s="2" t="n">
        <f aca="false">AT641+(Entrées!$C$244-Entrées!$C$13)</f>
        <v>27846.2120773966</v>
      </c>
      <c r="BD641" s="2" t="n">
        <f aca="false">AA641*AQ641</f>
        <v>5917.23959793448</v>
      </c>
      <c r="BE641" s="2" t="n">
        <f aca="false">BD641/BC641</f>
        <v>0.212497110252839</v>
      </c>
      <c r="BF641" s="2" t="n">
        <f aca="false">BD641/(Entrées!$C$151/100)-BC641</f>
        <v>5027.34124446166</v>
      </c>
      <c r="BG641" s="2" t="n">
        <f aca="false">MIN(AV641,BF641)</f>
        <v>2020.16635517986</v>
      </c>
      <c r="BH641" s="2" t="n">
        <f aca="false">IF(AC641&gt;Hypothèses!$J$26,MAX(0,BG641)/(1-Hypothèses!$J$26/AC641),0)</f>
        <v>2876.00412098728</v>
      </c>
    </row>
    <row r="642" customFormat="false" ht="15" hidden="false" customHeight="false" outlineLevel="0" collapsed="false">
      <c r="A642" s="2" t="n">
        <v>627</v>
      </c>
      <c r="B642" s="2" t="n">
        <v>0.438175931</v>
      </c>
      <c r="C642" s="2"/>
      <c r="D642" s="2" t="n">
        <v>0.65312405</v>
      </c>
      <c r="E642" s="2" t="n">
        <f aca="false">IF(E$7=E$5,E$6,IF(NORMSDIST(E$9*SQRT($C$11)*NORMSINV($B642)+SQRT(1-E$9^2*$C$11)*NORMSINV(D642))&lt;E$8,E$5+SQRT(NORMSDIST(E$9*SQRT($C$11)*NORMSINV($B642)+SQRT(1-E$9^2*$C$11)*NORMSINV(D642))*(E$7-E$5)*(E$6-E$5)),E$7-SQRT((1-NORMSDIST(E$9*SQRT($C$11)*NORMSINV($B642)+SQRT(1-E$9^2*$C$11)*NORMSINV(D642)))*(E$7-E$5)*(E$7-E$6))))</f>
        <v>0.0554274769705734</v>
      </c>
      <c r="F642" s="2" t="n">
        <v>0.045815604</v>
      </c>
      <c r="G642" s="2" t="n">
        <f aca="false">IF(G$7=G$5,G$6,IF(NORMSDIST(G$9*SQRT($C$11)*NORMSINV($B642)+SQRT(1-G$9^2*$C$11)*NORMSINV(F642))&lt;G$8,G$5+SQRT(NORMSDIST(G$9*SQRT($C$11)*NORMSINV($B642)+SQRT(1-G$9^2*$C$11)*NORMSINV(F642))*(G$7-G$5)*(G$6-G$5)),G$7-SQRT((1-NORMSDIST(G$9*SQRT($C$11)*NORMSINV($B642)+SQRT(1-G$9^2*$C$11)*NORMSINV(F642)))*(G$7-G$5)*(G$7-G$6))))</f>
        <v>0.0460001780509154</v>
      </c>
      <c r="H642" s="2" t="n">
        <v>0.580624225</v>
      </c>
      <c r="I642" s="2" t="n">
        <f aca="false">IF(I$7=I$5,I$6,IF(NORMSDIST(I$9*SQRT($C$11)*NORMSINV($B642)+SQRT(1-I$9^2*$C$11)*NORMSINV(H642))&lt;I$8,I$5+SQRT(NORMSDIST(I$9*SQRT($C$11)*NORMSINV($B642)+SQRT(1-I$9^2*$C$11)*NORMSINV(H642))*(I$7-I$5)*(I$6-I$5)),I$7-SQRT((1-NORMSDIST(I$9*SQRT($C$11)*NORMSINV($B642)+SQRT(1-I$9^2*$C$11)*NORMSINV(H642)))*(I$7-I$5)*(I$7-I$6))))</f>
        <v>200.477908781926</v>
      </c>
      <c r="J642" s="2" t="n">
        <v>0.526914998</v>
      </c>
      <c r="K642" s="2" t="n">
        <f aca="false">IF(K$7=K$5,K$6,IF(NORMSDIST(K$9*SQRT($C$11)*NORMSINV($B642)+SQRT(1-K$9^2*$C$11)*NORMSINV(J642))&lt;K$8,K$5+SQRT(NORMSDIST(K$9*SQRT($C$11)*NORMSINV($B642)+SQRT(1-K$9^2*$C$11)*NORMSINV(J642))*(K$7-K$5)*(K$6-K$5)),K$7-SQRT((1-NORMSDIST(K$9*SQRT($C$11)*NORMSINV($B642)+SQRT(1-K$9^2*$C$11)*NORMSINV(J642)))*(K$7-K$5)*(K$7-K$6))))</f>
        <v>0.24535989245708</v>
      </c>
      <c r="L642" s="2" t="n">
        <v>0.565913355</v>
      </c>
      <c r="M642" s="2" t="n">
        <f aca="false">IF(M$7=M$5,M$6,IF(NORMSDIST(M$9*SQRT($C$11)*NORMSINV($B642)+SQRT(1-M$9^2*$C$11)*NORMSINV(L642))&lt;M$8,M$5+SQRT(NORMSDIST(M$9*SQRT($C$11)*NORMSINV($B642)+SQRT(1-M$9^2*$C$11)*NORMSINV(L642))*(M$7-M$5)*(M$6-M$5)),M$7-SQRT((1-NORMSDIST(M$9*SQRT($C$11)*NORMSINV($B642)+SQRT(1-M$9^2*$C$11)*NORMSINV(L642)))*(M$7-M$5)*(M$7-M$6))))</f>
        <v>1588.72522516726</v>
      </c>
      <c r="N642" s="2" t="n">
        <v>0.807927689</v>
      </c>
      <c r="O642" s="2" t="n">
        <f aca="false">IF(O$7=O$5,O$6,IF(NORMSDIST(O$9*SQRT($C$11)*NORMSINV($B642)+SQRT(1-O$9^2*$C$11)*NORMSINV(N642))&lt;O$8,O$5+SQRT(NORMSDIST(O$9*SQRT($C$11)*NORMSINV($B642)+SQRT(1-O$9^2*$C$11)*NORMSINV(N642))*(O$7-O$5)*(O$6-O$5)),O$7-SQRT((1-NORMSDIST(O$9*SQRT($C$11)*NORMSINV($B642)+SQRT(1-O$9^2*$C$11)*NORMSINV(N642)))*(O$7-O$5)*(O$7-O$6))))</f>
        <v>0.17265605762732</v>
      </c>
      <c r="P642" s="2" t="n">
        <v>0.156447078</v>
      </c>
      <c r="Q642" s="2" t="n">
        <f aca="false">IF(Q$7=Q$5,Q$6,IF(NORMSDIST(Q$9*SQRT($C$11)*NORMSINV($B642)+SQRT(1-Q$9^2*$C$11)*NORMSINV(P642))&lt;Q$8,Q$5+SQRT(NORMSDIST(Q$9*SQRT($C$11)*NORMSINV($B642)+SQRT(1-Q$9^2*$C$11)*NORMSINV(P642))*(Q$7-Q$5)*(Q$6-Q$5)),Q$7-SQRT((1-NORMSDIST(Q$9*SQRT($C$11)*NORMSINV($B642)+SQRT(1-Q$9^2*$C$11)*NORMSINV(P642)))*(Q$7-Q$5)*(Q$7-Q$6))))</f>
        <v>0.0623747770849231</v>
      </c>
      <c r="R642" s="2" t="n">
        <v>0.991249396</v>
      </c>
      <c r="S642" s="2" t="n">
        <f aca="false">IF(S$7=S$5,S$6,IF(NORMSDIST(S$9*SQRT($C$11)*NORMSINV($B642)+SQRT(1-S$9^2*$C$11)*NORMSINV(R642))&lt;S$8,S$5+SQRT(NORMSDIST(S$9*SQRT($C$11)*NORMSINV($B642)+SQRT(1-S$9^2*$C$11)*NORMSINV(R642))*(S$7-S$5)*(S$6-S$5)),S$7-SQRT((1-NORMSDIST(S$9*SQRT($C$11)*NORMSINV($B642)+SQRT(1-S$9^2*$C$11)*NORMSINV(R642)))*(S$7-S$5)*(S$7-S$6))))</f>
        <v>0.85725749634671</v>
      </c>
      <c r="T642" s="2" t="n">
        <v>0.323114121</v>
      </c>
      <c r="U642" s="2" t="n">
        <f aca="false">IF(U$7=U$5,U$6,IF(NORMSDIST(U$9*SQRT($C$11)*NORMSINV($B642)+SQRT(1-U$9^2*$C$11)*NORMSINV(T642))&lt;U$8,U$5+SQRT(NORMSDIST(U$9*SQRT($C$11)*NORMSINV($B642)+SQRT(1-U$9^2*$C$11)*NORMSINV(T642))*(U$7-U$5)*(U$6-U$5)),U$7-SQRT((1-NORMSDIST(U$9*SQRT($C$11)*NORMSINV($B642)+SQRT(1-U$9^2*$C$11)*NORMSINV(T642)))*(U$7-U$5)*(U$7-U$6))))</f>
        <v>0.403070183892463</v>
      </c>
      <c r="V642" s="2" t="n">
        <v>0.710222918</v>
      </c>
      <c r="W642" s="2" t="n">
        <f aca="false">IF(W$7=W$5,W$6,IF(NORMSDIST(W$9*SQRT($C$11)*NORMSINV($B642)+SQRT(1-W$9^2*$C$11)*NORMSINV(V642))&lt;W$8,W$5+SQRT(NORMSDIST(W$9*SQRT($C$11)*NORMSINV($B642)+SQRT(1-W$9^2*$C$11)*NORMSINV(V642))*(W$7-W$5)*(W$6-W$5)),W$7-SQRT((1-NORMSDIST(W$9*SQRT($C$11)*NORMSINV($B642)+SQRT(1-W$9^2*$C$11)*NORMSINV(V642)))*(W$7-W$5)*(W$7-W$6))))</f>
        <v>10.2785640756117</v>
      </c>
      <c r="X642" s="2" t="n">
        <v>0.030714286</v>
      </c>
      <c r="Y642" s="2" t="n">
        <f aca="false">IF(Y$7=Y$5,Y$6,IF(NORMSDIST(Y$9*SQRT($C$11)*NORMSINV($B642)+SQRT(1-Y$9^2*$C$11)*NORMSINV(X642))&lt;Y$8,Y$5+SQRT(NORMSDIST(Y$9*SQRT($C$11)*NORMSINV($B642)+SQRT(1-Y$9^2*$C$11)*NORMSINV(X642))*(Y$7-Y$5)*(Y$6-Y$5)),Y$7-SQRT((1-NORMSDIST(Y$9*SQRT($C$11)*NORMSINV($B642)+SQRT(1-Y$9^2*$C$11)*NORMSINV(X642)))*(Y$7-Y$5)*(Y$7-Y$6))))</f>
        <v>0.123923940382801</v>
      </c>
      <c r="Z642" s="2" t="n">
        <v>0.097660883</v>
      </c>
      <c r="AA642" s="2" t="n">
        <f aca="false">IF(AA$7=AA$5,AA$6,IF(NORMSDIST(AA$9*SQRT($C$11)*NORMSINV($B642)+SQRT(1-AA$9^2*$C$11)*NORMSINV(Z642))&lt;AA$8,AA$5+SQRT(NORMSDIST(AA$9*SQRT($C$11)*NORMSINV($B642)+SQRT(1-AA$9^2*$C$11)*NORMSINV(Z642))*(AA$7-AA$5)*(AA$6-AA$5)),AA$7-SQRT((1-NORMSDIST(AA$9*SQRT($C$11)*NORMSINV($B642)+SQRT(1-AA$9^2*$C$11)*NORMSINV(Z642)))*(AA$7-AA$5)*(AA$7-AA$6))))</f>
        <v>0.712348601489152</v>
      </c>
      <c r="AB642" s="2" t="n">
        <v>0.348889316</v>
      </c>
      <c r="AC642" s="2" t="n">
        <f aca="false">IF(AC$7=AC$5,AC$6,IF(NORMSDIST(AC$9*SQRT($C$11)*NORMSINV($B642)+SQRT(1-AC$9^2*$C$11)*NORMSINV(AB642))&lt;AC$8,AC$5+SQRT(NORMSDIST(AC$9*SQRT($C$11)*NORMSINV($B642)+SQRT(1-AC$9^2*$C$11)*NORMSINV(AB642))*(AC$7-AC$5)*(AC$6-AC$5)),AC$7-SQRT((1-NORMSDIST(AC$9*SQRT($C$11)*NORMSINV($B642)+SQRT(1-AC$9^2*$C$11)*NORMSINV(AB642)))*(AC$7-AC$5)*(AC$7-AC$6))))</f>
        <v>9.1261820325936</v>
      </c>
      <c r="AD642" s="2" t="n">
        <f aca="false">Entrées!$C$8*(1+E642)</f>
        <v>7440.76371264254</v>
      </c>
      <c r="AE642" s="2" t="n">
        <f aca="false">I642*Hypothèses!$J$24/12/Hypothèses!$J$19</f>
        <v>99.4564488922045</v>
      </c>
      <c r="AF642" s="2" t="n">
        <f aca="false">Entrées!$C$36*S642*1000</f>
        <v>428.628748173355</v>
      </c>
      <c r="AG642" s="2" t="n">
        <f aca="false">-AF642/W642</f>
        <v>-41.7012284031364</v>
      </c>
      <c r="AH642" s="2" t="n">
        <f aca="false">AD642+AE642+AG642</f>
        <v>7498.51893313161</v>
      </c>
      <c r="AI642" s="2" t="n">
        <f aca="false">Entrées!$C$16-M642+Hypothèses!$J$22*1000-AF642+Hypothèses!$J$23</f>
        <v>22530.6460266594</v>
      </c>
      <c r="AJ642" s="2" t="n">
        <f aca="false">AI642/AH642</f>
        <v>3.00467948771984</v>
      </c>
      <c r="AK642" s="2" t="n">
        <f aca="false">AI642/(AH642+I642*(12-Hypothèses!$J$24)/12/Hypothèses!$J$19)</f>
        <v>2.97648056793285</v>
      </c>
      <c r="AL642" s="2" t="n">
        <f aca="false">(AD642+AG642+I642/Hypothèses!$J$19)*(1+G642)</f>
        <v>7917.76032720922</v>
      </c>
      <c r="AM642" s="2" t="n">
        <f aca="false">Entrées!$C$54*K642/Hypothèses!$J$19</f>
        <v>25.0400072248604</v>
      </c>
      <c r="AN642" s="2" t="n">
        <f aca="false">Y642*1000/AC642</f>
        <v>13.5789468082287</v>
      </c>
      <c r="AO642" s="2" t="n">
        <f aca="false">(Entrées!$C$36*(1-S642)+MAX(0,Entrées!$C$30-Entrées!$C$35-Entrées!$C$36)*U642)*1000</f>
        <v>635.669509276093</v>
      </c>
      <c r="AP642" s="2" t="n">
        <f aca="false">-AO642/W642</f>
        <v>-61.8441938582034</v>
      </c>
      <c r="AQ642" s="2" t="n">
        <f aca="false">AL642+AM642+AN642+AP642</f>
        <v>7894.53508738411</v>
      </c>
      <c r="AR642" s="2" t="n">
        <f aca="false">O642*AQ642-Hypothèses!$J$25/Hypothèses!$J$19</f>
        <v>1343.90414272666</v>
      </c>
      <c r="AS642" s="2" t="n">
        <f aca="false">Entrées!$C$79*(1+Q642)+Hypothèses!$J$20</f>
        <v>1462.54988001633</v>
      </c>
      <c r="AT642" s="2" t="n">
        <f aca="false">AI642-AR642+AS642+Y642*1000-AO642+Hypothèses!$J$23</f>
        <v>22137.5461950558</v>
      </c>
      <c r="AU642" s="2" t="n">
        <f aca="false">AT642/AQ642</f>
        <v>2.80416084671443</v>
      </c>
      <c r="AV642" s="2" t="n">
        <f aca="false">Hypothèses!$J$26*AQ642-AT642</f>
        <v>1546.05906709656</v>
      </c>
      <c r="AW642" s="2" t="n">
        <f aca="false">IF(AC642&gt;Hypothèses!$J$26,MAX(0,AV642)/(1-Hypothèses!$J$26/AC642),0)</f>
        <v>2303.16637742669</v>
      </c>
      <c r="AX642" s="2" t="n">
        <f aca="false">AQ642-Entrées!$C$17*1000</f>
        <v>-105.464912615891</v>
      </c>
      <c r="AY642" s="2" t="n">
        <f aca="false">AI642+(Entrées!$C$244-Entrées!$C$13)</f>
        <v>28277.6460266594</v>
      </c>
      <c r="AZ642" s="2" t="n">
        <f aca="false">AA642*AH642</f>
        <v>5341.55947525623</v>
      </c>
      <c r="BA642" s="2" t="n">
        <f aca="false">AZ642/AY642</f>
        <v>0.188896892981133</v>
      </c>
      <c r="BB642" s="2" t="n">
        <f aca="false">AZ642/(Entrées!$C$151/100)-AY642</f>
        <v>1397.68439143077</v>
      </c>
      <c r="BC642" s="2" t="n">
        <f aca="false">AT642+(Entrées!$C$244-Entrées!$C$13)</f>
        <v>27884.5461950558</v>
      </c>
      <c r="BD642" s="2" t="n">
        <f aca="false">AA642*AQ642</f>
        <v>5623.66102890511</v>
      </c>
      <c r="BE642" s="2" t="n">
        <f aca="false">BD642/BC642</f>
        <v>0.201676620073603</v>
      </c>
      <c r="BF642" s="2" t="n">
        <f aca="false">BD642/(Entrées!$C$151/100)-BC642</f>
        <v>3358.01507663928</v>
      </c>
      <c r="BG642" s="2" t="n">
        <f aca="false">MIN(AV642,BF642)</f>
        <v>1546.05906709656</v>
      </c>
      <c r="BH642" s="2" t="n">
        <f aca="false">IF(AC642&gt;Hypothèses!$J$26,MAX(0,BG642)/(1-Hypothèses!$J$26/AC642),0)</f>
        <v>2303.16637742669</v>
      </c>
    </row>
    <row r="643" customFormat="false" ht="15" hidden="false" customHeight="false" outlineLevel="0" collapsed="false">
      <c r="A643" s="2" t="n">
        <v>628</v>
      </c>
      <c r="B643" s="2" t="n">
        <v>0.746968139</v>
      </c>
      <c r="C643" s="2"/>
      <c r="D643" s="2" t="n">
        <v>0.616682212</v>
      </c>
      <c r="E643" s="2" t="n">
        <f aca="false">IF(E$7=E$5,E$6,IF(NORMSDIST(E$9*SQRT($C$11)*NORMSINV($B643)+SQRT(1-E$9^2*$C$11)*NORMSINV(D643))&lt;E$8,E$5+SQRT(NORMSDIST(E$9*SQRT($C$11)*NORMSINV($B643)+SQRT(1-E$9^2*$C$11)*NORMSINV(D643))*(E$7-E$5)*(E$6-E$5)),E$7-SQRT((1-NORMSDIST(E$9*SQRT($C$11)*NORMSINV($B643)+SQRT(1-E$9^2*$C$11)*NORMSINV(D643)))*(E$7-E$5)*(E$7-E$6))))</f>
        <v>0.0564104341875911</v>
      </c>
      <c r="F643" s="2" t="n">
        <v>0.093445772</v>
      </c>
      <c r="G643" s="2" t="n">
        <f aca="false">IF(G$7=G$5,G$6,IF(NORMSDIST(G$9*SQRT($C$11)*NORMSINV($B643)+SQRT(1-G$9^2*$C$11)*NORMSINV(F643))&lt;G$8,G$5+SQRT(NORMSDIST(G$9*SQRT($C$11)*NORMSINV($B643)+SQRT(1-G$9^2*$C$11)*NORMSINV(F643))*(G$7-G$5)*(G$6-G$5)),G$7-SQRT((1-NORMSDIST(G$9*SQRT($C$11)*NORMSINV($B643)+SQRT(1-G$9^2*$C$11)*NORMSINV(F643)))*(G$7-G$5)*(G$7-G$6))))</f>
        <v>0.0510972580243125</v>
      </c>
      <c r="H643" s="2" t="n">
        <v>0.609856458</v>
      </c>
      <c r="I643" s="2" t="n">
        <f aca="false">IF(I$7=I$5,I$6,IF(NORMSDIST(I$9*SQRT($C$11)*NORMSINV($B643)+SQRT(1-I$9^2*$C$11)*NORMSINV(H643))&lt;I$8,I$5+SQRT(NORMSDIST(I$9*SQRT($C$11)*NORMSINV($B643)+SQRT(1-I$9^2*$C$11)*NORMSINV(H643))*(I$7-I$5)*(I$6-I$5)),I$7-SQRT((1-NORMSDIST(I$9*SQRT($C$11)*NORMSINV($B643)+SQRT(1-I$9^2*$C$11)*NORMSINV(H643)))*(I$7-I$5)*(I$7-I$6))))</f>
        <v>205.517464553355</v>
      </c>
      <c r="J643" s="2" t="n">
        <v>0.924941965</v>
      </c>
      <c r="K643" s="2" t="n">
        <f aca="false">IF(K$7=K$5,K$6,IF(NORMSDIST(K$9*SQRT($C$11)*NORMSINV($B643)+SQRT(1-K$9^2*$C$11)*NORMSINV(J643))&lt;K$8,K$5+SQRT(NORMSDIST(K$9*SQRT($C$11)*NORMSINV($B643)+SQRT(1-K$9^2*$C$11)*NORMSINV(J643))*(K$7-K$5)*(K$6-K$5)),K$7-SQRT((1-NORMSDIST(K$9*SQRT($C$11)*NORMSINV($B643)+SQRT(1-K$9^2*$C$11)*NORMSINV(J643)))*(K$7-K$5)*(K$7-K$6))))</f>
        <v>0.411714939929868</v>
      </c>
      <c r="L643" s="2" t="n">
        <v>0.299816647</v>
      </c>
      <c r="M643" s="2" t="n">
        <f aca="false">IF(M$7=M$5,M$6,IF(NORMSDIST(M$9*SQRT($C$11)*NORMSINV($B643)+SQRT(1-M$9^2*$C$11)*NORMSINV(L643))&lt;M$8,M$5+SQRT(NORMSDIST(M$9*SQRT($C$11)*NORMSINV($B643)+SQRT(1-M$9^2*$C$11)*NORMSINV(L643))*(M$7-M$5)*(M$6-M$5)),M$7-SQRT((1-NORMSDIST(M$9*SQRT($C$11)*NORMSINV($B643)+SQRT(1-M$9^2*$C$11)*NORMSINV(L643)))*(M$7-M$5)*(M$7-M$6))))</f>
        <v>1586.91831102172</v>
      </c>
      <c r="N643" s="2" t="n">
        <v>0.547052438</v>
      </c>
      <c r="O643" s="2" t="n">
        <f aca="false">IF(O$7=O$5,O$6,IF(NORMSDIST(O$9*SQRT($C$11)*NORMSINV($B643)+SQRT(1-O$9^2*$C$11)*NORMSINV(N643))&lt;O$8,O$5+SQRT(NORMSDIST(O$9*SQRT($C$11)*NORMSINV($B643)+SQRT(1-O$9^2*$C$11)*NORMSINV(N643))*(O$7-O$5)*(O$6-O$5)),O$7-SQRT((1-NORMSDIST(O$9*SQRT($C$11)*NORMSINV($B643)+SQRT(1-O$9^2*$C$11)*NORMSINV(N643)))*(O$7-O$5)*(O$7-O$6))))</f>
        <v>0.171996959845061</v>
      </c>
      <c r="P643" s="2" t="n">
        <v>0.49368547</v>
      </c>
      <c r="Q643" s="2" t="n">
        <f aca="false">IF(Q$7=Q$5,Q$6,IF(NORMSDIST(Q$9*SQRT($C$11)*NORMSINV($B643)+SQRT(1-Q$9^2*$C$11)*NORMSINV(P643))&lt;Q$8,Q$5+SQRT(NORMSDIST(Q$9*SQRT($C$11)*NORMSINV($B643)+SQRT(1-Q$9^2*$C$11)*NORMSINV(P643))*(Q$7-Q$5)*(Q$6-Q$5)),Q$7-SQRT((1-NORMSDIST(Q$9*SQRT($C$11)*NORMSINV($B643)+SQRT(1-Q$9^2*$C$11)*NORMSINV(P643)))*(Q$7-Q$5)*(Q$7-Q$6))))</f>
        <v>0.0797466162584943</v>
      </c>
      <c r="R643" s="2" t="n">
        <v>0.346310945</v>
      </c>
      <c r="S643" s="2" t="n">
        <f aca="false">IF(S$7=S$5,S$6,IF(NORMSDIST(S$9*SQRT($C$11)*NORMSINV($B643)+SQRT(1-S$9^2*$C$11)*NORMSINV(R643))&lt;S$8,S$5+SQRT(NORMSDIST(S$9*SQRT($C$11)*NORMSINV($B643)+SQRT(1-S$9^2*$C$11)*NORMSINV(R643))*(S$7-S$5)*(S$6-S$5)),S$7-SQRT((1-NORMSDIST(S$9*SQRT($C$11)*NORMSINV($B643)+SQRT(1-S$9^2*$C$11)*NORMSINV(R643)))*(S$7-S$5)*(S$7-S$6))))</f>
        <v>0.523307553314336</v>
      </c>
      <c r="T643" s="2" t="n">
        <v>0.253454356</v>
      </c>
      <c r="U643" s="2" t="n">
        <f aca="false">IF(U$7=U$5,U$6,IF(NORMSDIST(U$9*SQRT($C$11)*NORMSINV($B643)+SQRT(1-U$9^2*$C$11)*NORMSINV(T643))&lt;U$8,U$5+SQRT(NORMSDIST(U$9*SQRT($C$11)*NORMSINV($B643)+SQRT(1-U$9^2*$C$11)*NORMSINV(T643))*(U$7-U$5)*(U$6-U$5)),U$7-SQRT((1-NORMSDIST(U$9*SQRT($C$11)*NORMSINV($B643)+SQRT(1-U$9^2*$C$11)*NORMSINV(T643)))*(U$7-U$5)*(U$7-U$6))))</f>
        <v>0.481016605247975</v>
      </c>
      <c r="V643" s="2" t="n">
        <v>0.996340385</v>
      </c>
      <c r="W643" s="2" t="n">
        <f aca="false">IF(W$7=W$5,W$6,IF(NORMSDIST(W$9*SQRT($C$11)*NORMSINV($B643)+SQRT(1-W$9^2*$C$11)*NORMSINV(V643))&lt;W$8,W$5+SQRT(NORMSDIST(W$9*SQRT($C$11)*NORMSINV($B643)+SQRT(1-W$9^2*$C$11)*NORMSINV(V643))*(W$7-W$5)*(W$6-W$5)),W$7-SQRT((1-NORMSDIST(W$9*SQRT($C$11)*NORMSINV($B643)+SQRT(1-W$9^2*$C$11)*NORMSINV(V643)))*(W$7-W$5)*(W$7-W$6))))</f>
        <v>11.7764882170477</v>
      </c>
      <c r="X643" s="2" t="n">
        <v>0.424444342</v>
      </c>
      <c r="Y643" s="2" t="n">
        <f aca="false">IF(Y$7=Y$5,Y$6,IF(NORMSDIST(Y$9*SQRT($C$11)*NORMSINV($B643)+SQRT(1-Y$9^2*$C$11)*NORMSINV(X643))&lt;Y$8,Y$5+SQRT(NORMSDIST(Y$9*SQRT($C$11)*NORMSINV($B643)+SQRT(1-Y$9^2*$C$11)*NORMSINV(X643))*(Y$7-Y$5)*(Y$6-Y$5)),Y$7-SQRT((1-NORMSDIST(Y$9*SQRT($C$11)*NORMSINV($B643)+SQRT(1-Y$9^2*$C$11)*NORMSINV(X643)))*(Y$7-Y$5)*(Y$7-Y$6))))</f>
        <v>0.460675776441523</v>
      </c>
      <c r="Z643" s="2" t="n">
        <v>0.676421673</v>
      </c>
      <c r="AA643" s="2" t="n">
        <f aca="false">IF(AA$7=AA$5,AA$6,IF(NORMSDIST(AA$9*SQRT($C$11)*NORMSINV($B643)+SQRT(1-AA$9^2*$C$11)*NORMSINV(Z643))&lt;AA$8,AA$5+SQRT(NORMSDIST(AA$9*SQRT($C$11)*NORMSINV($B643)+SQRT(1-AA$9^2*$C$11)*NORMSINV(Z643))*(AA$7-AA$5)*(AA$6-AA$5)),AA$7-SQRT((1-NORMSDIST(AA$9*SQRT($C$11)*NORMSINV($B643)+SQRT(1-AA$9^2*$C$11)*NORMSINV(Z643)))*(AA$7-AA$5)*(AA$7-AA$6))))</f>
        <v>0.737087278902317</v>
      </c>
      <c r="AB643" s="2" t="n">
        <v>0.054531418</v>
      </c>
      <c r="AC643" s="2" t="n">
        <f aca="false">IF(AC$7=AC$5,AC$6,IF(NORMSDIST(AC$9*SQRT($C$11)*NORMSINV($B643)+SQRT(1-AC$9^2*$C$11)*NORMSINV(AB643))&lt;AC$8,AC$5+SQRT(NORMSDIST(AC$9*SQRT($C$11)*NORMSINV($B643)+SQRT(1-AC$9^2*$C$11)*NORMSINV(AB643))*(AC$7-AC$5)*(AC$6-AC$5)),AC$7-SQRT((1-NORMSDIST(AC$9*SQRT($C$11)*NORMSINV($B643)+SQRT(1-AC$9^2*$C$11)*NORMSINV(AB643)))*(AC$7-AC$5)*(AC$7-AC$6))))</f>
        <v>8.733848136347</v>
      </c>
      <c r="AD643" s="2" t="n">
        <f aca="false">Entrées!$C$8*(1+E643)</f>
        <v>7447.69356102252</v>
      </c>
      <c r="AE643" s="2" t="n">
        <f aca="false">I643*Hypothèses!$J$24/12/Hypothèses!$J$19</f>
        <v>101.956556380685</v>
      </c>
      <c r="AF643" s="2" t="n">
        <f aca="false">Entrées!$C$36*S643*1000</f>
        <v>261.653776657168</v>
      </c>
      <c r="AG643" s="2" t="n">
        <f aca="false">-AF643/W643</f>
        <v>-22.2183194034361</v>
      </c>
      <c r="AH643" s="2" t="n">
        <f aca="false">AD643+AE643+AG643</f>
        <v>7527.43179799977</v>
      </c>
      <c r="AI643" s="2" t="n">
        <f aca="false">Entrées!$C$16-M643+Hypothèses!$J$22*1000-AF643+Hypothèses!$J$23</f>
        <v>22699.4279123211</v>
      </c>
      <c r="AJ643" s="2" t="n">
        <f aca="false">AI643/AH643</f>
        <v>3.01556075451297</v>
      </c>
      <c r="AK643" s="2" t="n">
        <f aca="false">AI643/(AH643+I643*(12-Hypothèses!$J$24)/12/Hypothèses!$J$19)</f>
        <v>2.98666547662148</v>
      </c>
      <c r="AL643" s="2" t="n">
        <f aca="false">(AD643+AG643+I643/Hypothèses!$J$19)*(1+G643)</f>
        <v>7988.61024916353</v>
      </c>
      <c r="AM643" s="2" t="n">
        <f aca="false">Entrées!$C$54*K643/Hypothèses!$J$19</f>
        <v>42.0172382991659</v>
      </c>
      <c r="AN643" s="2" t="n">
        <f aca="false">Y643*1000/AC643</f>
        <v>52.7460254918291</v>
      </c>
      <c r="AO643" s="2" t="n">
        <f aca="false">(Entrées!$C$36*(1-S643)+MAX(0,Entrées!$C$30-Entrées!$C$35-Entrées!$C$36)*U643)*1000</f>
        <v>911.769470689997</v>
      </c>
      <c r="AP643" s="2" t="n">
        <f aca="false">-AO643/W643</f>
        <v>-77.422866128301</v>
      </c>
      <c r="AQ643" s="2" t="n">
        <f aca="false">AL643+AM643+AN643+AP643</f>
        <v>8005.95064682622</v>
      </c>
      <c r="AR643" s="2" t="n">
        <f aca="false">O643*AQ643-Hypothèses!$J$25/Hypothèses!$J$19</f>
        <v>1357.86400966208</v>
      </c>
      <c r="AS643" s="2" t="n">
        <f aca="false">Entrées!$C$79*(1+Q643)+Hypothèses!$J$20</f>
        <v>1481.64153126809</v>
      </c>
      <c r="AT643" s="2" t="n">
        <f aca="false">AI643-AR643+AS643+Y643*1000-AO643+Hypothèses!$J$23</f>
        <v>22372.1117396786</v>
      </c>
      <c r="AU643" s="2" t="n">
        <f aca="false">AT643/AQ643</f>
        <v>2.79443538020654</v>
      </c>
      <c r="AV643" s="2" t="n">
        <f aca="false">Hypothèses!$J$26*AQ643-AT643</f>
        <v>1645.74020080003</v>
      </c>
      <c r="AW643" s="2" t="n">
        <f aca="false">IF(AC643&gt;Hypothèses!$J$26,MAX(0,AV643)/(1-Hypothèses!$J$26/AC643),0)</f>
        <v>2506.806012973</v>
      </c>
      <c r="AX643" s="2" t="n">
        <f aca="false">AQ643-Entrées!$C$17*1000</f>
        <v>5.95064682622433</v>
      </c>
      <c r="AY643" s="2" t="n">
        <f aca="false">AI643+(Entrées!$C$244-Entrées!$C$13)</f>
        <v>28446.4279123211</v>
      </c>
      <c r="AZ643" s="2" t="n">
        <f aca="false">AA643*AH643</f>
        <v>5548.37422111042</v>
      </c>
      <c r="BA643" s="2" t="n">
        <f aca="false">AZ643/AY643</f>
        <v>0.195046430371218</v>
      </c>
      <c r="BB643" s="2" t="n">
        <f aca="false">AZ643/(Entrées!$C$151/100)-AY643</f>
        <v>2377.87331607012</v>
      </c>
      <c r="BC643" s="2" t="n">
        <f aca="false">AT643+(Entrées!$C$244-Entrées!$C$13)</f>
        <v>28119.1117396786</v>
      </c>
      <c r="BD643" s="2" t="n">
        <f aca="false">AA643*AQ643</f>
        <v>5901.08437729539</v>
      </c>
      <c r="BE643" s="2" t="n">
        <f aca="false">BD643/BC643</f>
        <v>0.209860269838055</v>
      </c>
      <c r="BF643" s="2" t="n">
        <f aca="false">BD643/(Entrées!$C$151/100)-BC643</f>
        <v>4664.69035640683</v>
      </c>
      <c r="BG643" s="2" t="n">
        <f aca="false">MIN(AV643,BF643)</f>
        <v>1645.74020080003</v>
      </c>
      <c r="BH643" s="2" t="n">
        <f aca="false">IF(AC643&gt;Hypothèses!$J$26,MAX(0,BG643)/(1-Hypothèses!$J$26/AC643),0)</f>
        <v>2506.806012973</v>
      </c>
    </row>
    <row r="644" customFormat="false" ht="15" hidden="false" customHeight="false" outlineLevel="0" collapsed="false">
      <c r="A644" s="2" t="n">
        <v>629</v>
      </c>
      <c r="B644" s="2" t="n">
        <v>0.705974171</v>
      </c>
      <c r="C644" s="2"/>
      <c r="D644" s="2" t="n">
        <v>0.809588296</v>
      </c>
      <c r="E644" s="2" t="n">
        <f aca="false">IF(E$7=E$5,E$6,IF(NORMSDIST(E$9*SQRT($C$11)*NORMSINV($B644)+SQRT(1-E$9^2*$C$11)*NORMSINV(D644))&lt;E$8,E$5+SQRT(NORMSDIST(E$9*SQRT($C$11)*NORMSINV($B644)+SQRT(1-E$9^2*$C$11)*NORMSINV(D644))*(E$7-E$5)*(E$6-E$5)),E$7-SQRT((1-NORMSDIST(E$9*SQRT($C$11)*NORMSINV($B644)+SQRT(1-E$9^2*$C$11)*NORMSINV(D644)))*(E$7-E$5)*(E$7-E$6))))</f>
        <v>0.0572293663311422</v>
      </c>
      <c r="F644" s="2" t="n">
        <v>0.542991422</v>
      </c>
      <c r="G644" s="2" t="n">
        <f aca="false">IF(G$7=G$5,G$6,IF(NORMSDIST(G$9*SQRT($C$11)*NORMSINV($B644)+SQRT(1-G$9^2*$C$11)*NORMSINV(F644))&lt;G$8,G$5+SQRT(NORMSDIST(G$9*SQRT($C$11)*NORMSINV($B644)+SQRT(1-G$9^2*$C$11)*NORMSINV(F644))*(G$7-G$5)*(G$6-G$5)),G$7-SQRT((1-NORMSDIST(G$9*SQRT($C$11)*NORMSINV($B644)+SQRT(1-G$9^2*$C$11)*NORMSINV(F644)))*(G$7-G$5)*(G$7-G$6))))</f>
        <v>0.057722400385556</v>
      </c>
      <c r="H644" s="2" t="n">
        <v>0.281161303</v>
      </c>
      <c r="I644" s="2" t="n">
        <f aca="false">IF(I$7=I$5,I$6,IF(NORMSDIST(I$9*SQRT($C$11)*NORMSINV($B644)+SQRT(1-I$9^2*$C$11)*NORMSINV(H644))&lt;I$8,I$5+SQRT(NORMSDIST(I$9*SQRT($C$11)*NORMSINV($B644)+SQRT(1-I$9^2*$C$11)*NORMSINV(H644))*(I$7-I$5)*(I$6-I$5)),I$7-SQRT((1-NORMSDIST(I$9*SQRT($C$11)*NORMSINV($B644)+SQRT(1-I$9^2*$C$11)*NORMSINV(H644)))*(I$7-I$5)*(I$7-I$6))))</f>
        <v>199.135383822074</v>
      </c>
      <c r="J644" s="2" t="n">
        <v>0.82564023</v>
      </c>
      <c r="K644" s="2" t="n">
        <f aca="false">IF(K$7=K$5,K$6,IF(NORMSDIST(K$9*SQRT($C$11)*NORMSINV($B644)+SQRT(1-K$9^2*$C$11)*NORMSINV(J644))&lt;K$8,K$5+SQRT(NORMSDIST(K$9*SQRT($C$11)*NORMSINV($B644)+SQRT(1-K$9^2*$C$11)*NORMSINV(J644))*(K$7-K$5)*(K$6-K$5)),K$7-SQRT((1-NORMSDIST(K$9*SQRT($C$11)*NORMSINV($B644)+SQRT(1-K$9^2*$C$11)*NORMSINV(J644)))*(K$7-K$5)*(K$7-K$6))))</f>
        <v>0.366460358881191</v>
      </c>
      <c r="L644" s="2" t="n">
        <v>0.726098373</v>
      </c>
      <c r="M644" s="2" t="n">
        <f aca="false">IF(M$7=M$5,M$6,IF(NORMSDIST(M$9*SQRT($C$11)*NORMSINV($B644)+SQRT(1-M$9^2*$C$11)*NORMSINV(L644))&lt;M$8,M$5+SQRT(NORMSDIST(M$9*SQRT($C$11)*NORMSINV($B644)+SQRT(1-M$9^2*$C$11)*NORMSINV(L644))*(M$7-M$5)*(M$6-M$5)),M$7-SQRT((1-NORMSDIST(M$9*SQRT($C$11)*NORMSINV($B644)+SQRT(1-M$9^2*$C$11)*NORMSINV(L644)))*(M$7-M$5)*(M$7-M$6))))</f>
        <v>1662.75569190493</v>
      </c>
      <c r="N644" s="2" t="n">
        <v>0.990462262</v>
      </c>
      <c r="O644" s="2" t="n">
        <f aca="false">IF(O$7=O$5,O$6,IF(NORMSDIST(O$9*SQRT($C$11)*NORMSINV($B644)+SQRT(1-O$9^2*$C$11)*NORMSINV(N644))&lt;O$8,O$5+SQRT(NORMSDIST(O$9*SQRT($C$11)*NORMSINV($B644)+SQRT(1-O$9^2*$C$11)*NORMSINV(N644))*(O$7-O$5)*(O$6-O$5)),O$7-SQRT((1-NORMSDIST(O$9*SQRT($C$11)*NORMSINV($B644)+SQRT(1-O$9^2*$C$11)*NORMSINV(N644)))*(O$7-O$5)*(O$7-O$6))))</f>
        <v>0.185942832247536</v>
      </c>
      <c r="P644" s="2" t="n">
        <v>0.587114706</v>
      </c>
      <c r="Q644" s="2" t="n">
        <f aca="false">IF(Q$7=Q$5,Q$6,IF(NORMSDIST(Q$9*SQRT($C$11)*NORMSINV($B644)+SQRT(1-Q$9^2*$C$11)*NORMSINV(P644))&lt;Q$8,Q$5+SQRT(NORMSDIST(Q$9*SQRT($C$11)*NORMSINV($B644)+SQRT(1-Q$9^2*$C$11)*NORMSINV(P644))*(Q$7-Q$5)*(Q$6-Q$5)),Q$7-SQRT((1-NORMSDIST(Q$9*SQRT($C$11)*NORMSINV($B644)+SQRT(1-Q$9^2*$C$11)*NORMSINV(P644)))*(Q$7-Q$5)*(Q$7-Q$6))))</f>
        <v>0.0836512319218381</v>
      </c>
      <c r="R644" s="2" t="n">
        <v>0.371484478</v>
      </c>
      <c r="S644" s="2" t="n">
        <f aca="false">IF(S$7=S$5,S$6,IF(NORMSDIST(S$9*SQRT($C$11)*NORMSINV($B644)+SQRT(1-S$9^2*$C$11)*NORMSINV(R644))&lt;S$8,S$5+SQRT(NORMSDIST(S$9*SQRT($C$11)*NORMSINV($B644)+SQRT(1-S$9^2*$C$11)*NORMSINV(R644))*(S$7-S$5)*(S$6-S$5)),S$7-SQRT((1-NORMSDIST(S$9*SQRT($C$11)*NORMSINV($B644)+SQRT(1-S$9^2*$C$11)*NORMSINV(R644)))*(S$7-S$5)*(S$7-S$6))))</f>
        <v>0.517966454120396</v>
      </c>
      <c r="T644" s="2" t="n">
        <v>0.38022454</v>
      </c>
      <c r="U644" s="2" t="n">
        <f aca="false">IF(U$7=U$5,U$6,IF(NORMSDIST(U$9*SQRT($C$11)*NORMSINV($B644)+SQRT(1-U$9^2*$C$11)*NORMSINV(T644))&lt;U$8,U$5+SQRT(NORMSDIST(U$9*SQRT($C$11)*NORMSINV($B644)+SQRT(1-U$9^2*$C$11)*NORMSINV(T644))*(U$7-U$5)*(U$6-U$5)),U$7-SQRT((1-NORMSDIST(U$9*SQRT($C$11)*NORMSINV($B644)+SQRT(1-U$9^2*$C$11)*NORMSINV(T644)))*(U$7-U$5)*(U$7-U$6))))</f>
        <v>0.521654497902091</v>
      </c>
      <c r="V644" s="2" t="n">
        <v>0.112850851</v>
      </c>
      <c r="W644" s="2" t="n">
        <f aca="false">IF(W$7=W$5,W$6,IF(NORMSDIST(W$9*SQRT($C$11)*NORMSINV($B644)+SQRT(1-W$9^2*$C$11)*NORMSINV(V644))&lt;W$8,W$5+SQRT(NORMSDIST(W$9*SQRT($C$11)*NORMSINV($B644)+SQRT(1-W$9^2*$C$11)*NORMSINV(V644))*(W$7-W$5)*(W$6-W$5)),W$7-SQRT((1-NORMSDIST(W$9*SQRT($C$11)*NORMSINV($B644)+SQRT(1-W$9^2*$C$11)*NORMSINV(V644)))*(W$7-W$5)*(W$7-W$6))))</f>
        <v>9.4849573213984</v>
      </c>
      <c r="X644" s="2" t="n">
        <v>0.868920395</v>
      </c>
      <c r="Y644" s="2" t="n">
        <f aca="false">IF(Y$7=Y$5,Y$6,IF(NORMSDIST(Y$9*SQRT($C$11)*NORMSINV($B644)+SQRT(1-Y$9^2*$C$11)*NORMSINV(X644))&lt;Y$8,Y$5+SQRT(NORMSDIST(Y$9*SQRT($C$11)*NORMSINV($B644)+SQRT(1-Y$9^2*$C$11)*NORMSINV(X644))*(Y$7-Y$5)*(Y$6-Y$5)),Y$7-SQRT((1-NORMSDIST(Y$9*SQRT($C$11)*NORMSINV($B644)+SQRT(1-Y$9^2*$C$11)*NORMSINV(X644)))*(Y$7-Y$5)*(Y$7-Y$6))))</f>
        <v>0.743992573349912</v>
      </c>
      <c r="Z644" s="2" t="n">
        <v>0.89030746</v>
      </c>
      <c r="AA644" s="2" t="n">
        <f aca="false">IF(AA$7=AA$5,AA$6,IF(NORMSDIST(AA$9*SQRT($C$11)*NORMSINV($B644)+SQRT(1-AA$9^2*$C$11)*NORMSINV(Z644))&lt;AA$8,AA$5+SQRT(NORMSDIST(AA$9*SQRT($C$11)*NORMSINV($B644)+SQRT(1-AA$9^2*$C$11)*NORMSINV(Z644))*(AA$7-AA$5)*(AA$6-AA$5)),AA$7-SQRT((1-NORMSDIST(AA$9*SQRT($C$11)*NORMSINV($B644)+SQRT(1-AA$9^2*$C$11)*NORMSINV(Z644)))*(AA$7-AA$5)*(AA$7-AA$6))))</f>
        <v>0.742656210796838</v>
      </c>
      <c r="AB644" s="2" t="n">
        <v>0.177707693</v>
      </c>
      <c r="AC644" s="2" t="n">
        <f aca="false">IF(AC$7=AC$5,AC$6,IF(NORMSDIST(AC$9*SQRT($C$11)*NORMSINV($B644)+SQRT(1-AC$9^2*$C$11)*NORMSINV(AB644))&lt;AC$8,AC$5+SQRT(NORMSDIST(AC$9*SQRT($C$11)*NORMSINV($B644)+SQRT(1-AC$9^2*$C$11)*NORMSINV(AB644))*(AC$7-AC$5)*(AC$6-AC$5)),AC$7-SQRT((1-NORMSDIST(AC$9*SQRT($C$11)*NORMSINV($B644)+SQRT(1-AC$9^2*$C$11)*NORMSINV(AB644)))*(AC$7-AC$5)*(AC$7-AC$6))))</f>
        <v>9.15005664280893</v>
      </c>
      <c r="AD644" s="2" t="n">
        <f aca="false">Entrées!$C$8*(1+E644)</f>
        <v>7453.46703263455</v>
      </c>
      <c r="AE644" s="2" t="n">
        <f aca="false">I644*Hypothèses!$J$24/12/Hypothèses!$J$19</f>
        <v>98.7904265565404</v>
      </c>
      <c r="AF644" s="2" t="n">
        <f aca="false">Entrées!$C$36*S644*1000</f>
        <v>258.983227060198</v>
      </c>
      <c r="AG644" s="2" t="n">
        <f aca="false">-AF644/W644</f>
        <v>-27.3046275575666</v>
      </c>
      <c r="AH644" s="2" t="n">
        <f aca="false">AD644+AE644+AG644</f>
        <v>7524.95283163353</v>
      </c>
      <c r="AI644" s="2" t="n">
        <f aca="false">Entrées!$C$16-M644+Hypothèses!$J$22*1000-AF644+Hypothèses!$J$23</f>
        <v>22626.2610810349</v>
      </c>
      <c r="AJ644" s="2" t="n">
        <f aca="false">AI644/AH644</f>
        <v>3.0068309512743</v>
      </c>
      <c r="AK644" s="2" t="n">
        <f aca="false">AI644/(AH644+I644*(12-Hypothèses!$J$24)/12/Hypothèses!$J$19)</f>
        <v>2.97889660754469</v>
      </c>
      <c r="AL644" s="2" t="n">
        <f aca="false">(AD644+AG644+I644/Hypothèses!$J$19)*(1+G644)</f>
        <v>8033.948919801</v>
      </c>
      <c r="AM644" s="2" t="n">
        <f aca="false">Entrées!$C$54*K644/Hypothèses!$J$19</f>
        <v>37.3988182914414</v>
      </c>
      <c r="AN644" s="2" t="n">
        <f aca="false">Y644*1000/AC644</f>
        <v>81.3101604059052</v>
      </c>
      <c r="AO644" s="2" t="n">
        <f aca="false">(Entrées!$C$36*(1-S644)+MAX(0,Entrées!$C$30-Entrées!$C$35-Entrées!$C$36)*U644)*1000</f>
        <v>971.33307000273</v>
      </c>
      <c r="AP644" s="2" t="n">
        <f aca="false">-AO644/W644</f>
        <v>-102.407742817289</v>
      </c>
      <c r="AQ644" s="2" t="n">
        <f aca="false">AL644+AM644+AN644+AP644</f>
        <v>8050.25015568106</v>
      </c>
      <c r="AR644" s="2" t="n">
        <f aca="false">O644*AQ644-Hypothèses!$J$25/Hypothèses!$J$19</f>
        <v>1477.75115198688</v>
      </c>
      <c r="AS644" s="2" t="n">
        <f aca="false">Entrées!$C$79*(1+Q644)+Hypothèses!$J$20</f>
        <v>1485.9327038821</v>
      </c>
      <c r="AT644" s="2" t="n">
        <f aca="false">AI644-AR644+AS644+Y644*1000-AO644+Hypothèses!$J$23</f>
        <v>22407.1021362773</v>
      </c>
      <c r="AU644" s="2" t="n">
        <f aca="false">AT644/AQ644</f>
        <v>2.78340445364479</v>
      </c>
      <c r="AV644" s="2" t="n">
        <f aca="false">Hypothèses!$J$26*AQ644-AT644</f>
        <v>1743.64833076589</v>
      </c>
      <c r="AW644" s="2" t="n">
        <f aca="false">IF(AC644&gt;Hypothèses!$J$26,MAX(0,AV644)/(1-Hypothèses!$J$26/AC644),0)</f>
        <v>2594.20065834714</v>
      </c>
      <c r="AX644" s="2" t="n">
        <f aca="false">AQ644-Entrées!$C$17*1000</f>
        <v>50.2501556810576</v>
      </c>
      <c r="AY644" s="2" t="n">
        <f aca="false">AI644+(Entrées!$C$244-Entrées!$C$13)</f>
        <v>28373.2610810349</v>
      </c>
      <c r="AZ644" s="2" t="n">
        <f aca="false">AA644*AH644</f>
        <v>5588.45295636589</v>
      </c>
      <c r="BA644" s="2" t="n">
        <f aca="false">AZ644/AY644</f>
        <v>0.196961954440313</v>
      </c>
      <c r="BB644" s="2" t="n">
        <f aca="false">AZ644/(Entrées!$C$151/100)-AY644</f>
        <v>2673.6997876645</v>
      </c>
      <c r="BC644" s="2" t="n">
        <f aca="false">AT644+(Entrées!$C$244-Entrées!$C$13)</f>
        <v>28154.1021362773</v>
      </c>
      <c r="BD644" s="2" t="n">
        <f aca="false">AA644*AQ644</f>
        <v>5978.56827658475</v>
      </c>
      <c r="BE644" s="2" t="n">
        <f aca="false">BD644/BC644</f>
        <v>0.212351587262348</v>
      </c>
      <c r="BF644" s="2" t="n">
        <f aca="false">BD644/(Entrées!$C$151/100)-BC644</f>
        <v>5060.16606697131</v>
      </c>
      <c r="BG644" s="2" t="n">
        <f aca="false">MIN(AV644,BF644)</f>
        <v>1743.64833076589</v>
      </c>
      <c r="BH644" s="2" t="n">
        <f aca="false">IF(AC644&gt;Hypothèses!$J$26,MAX(0,BG644)/(1-Hypothèses!$J$26/AC644),0)</f>
        <v>2594.20065834714</v>
      </c>
    </row>
    <row r="645" customFormat="false" ht="15" hidden="false" customHeight="false" outlineLevel="0" collapsed="false">
      <c r="A645" s="2" t="n">
        <v>630</v>
      </c>
      <c r="B645" s="2" t="n">
        <v>0.159212979</v>
      </c>
      <c r="C645" s="2"/>
      <c r="D645" s="2" t="n">
        <v>0.257576414</v>
      </c>
      <c r="E645" s="2" t="n">
        <f aca="false">IF(E$7=E$5,E$6,IF(NORMSDIST(E$9*SQRT($C$11)*NORMSINV($B645)+SQRT(1-E$9^2*$C$11)*NORMSINV(D645))&lt;E$8,E$5+SQRT(NORMSDIST(E$9*SQRT($C$11)*NORMSINV($B645)+SQRT(1-E$9^2*$C$11)*NORMSINV(D645))*(E$7-E$5)*(E$6-E$5)),E$7-SQRT((1-NORMSDIST(E$9*SQRT($C$11)*NORMSINV($B645)+SQRT(1-E$9^2*$C$11)*NORMSINV(D645)))*(E$7-E$5)*(E$7-E$6))))</f>
        <v>0.0525313981369347</v>
      </c>
      <c r="F645" s="2" t="n">
        <v>0.161776476</v>
      </c>
      <c r="G645" s="2" t="n">
        <f aca="false">IF(G$7=G$5,G$6,IF(NORMSDIST(G$9*SQRT($C$11)*NORMSINV($B645)+SQRT(1-G$9^2*$C$11)*NORMSINV(F645))&lt;G$8,G$5+SQRT(NORMSDIST(G$9*SQRT($C$11)*NORMSINV($B645)+SQRT(1-G$9^2*$C$11)*NORMSINV(F645))*(G$7-G$5)*(G$6-G$5)),G$7-SQRT((1-NORMSDIST(G$9*SQRT($C$11)*NORMSINV($B645)+SQRT(1-G$9^2*$C$11)*NORMSINV(F645)))*(G$7-G$5)*(G$7-G$6))))</f>
        <v>0.0460525412814622</v>
      </c>
      <c r="H645" s="2" t="n">
        <v>0.490013527</v>
      </c>
      <c r="I645" s="2" t="n">
        <f aca="false">IF(I$7=I$5,I$6,IF(NORMSDIST(I$9*SQRT($C$11)*NORMSINV($B645)+SQRT(1-I$9^2*$C$11)*NORMSINV(H645))&lt;I$8,I$5+SQRT(NORMSDIST(I$9*SQRT($C$11)*NORMSINV($B645)+SQRT(1-I$9^2*$C$11)*NORMSINV(H645))*(I$7-I$5)*(I$6-I$5)),I$7-SQRT((1-NORMSDIST(I$9*SQRT($C$11)*NORMSINV($B645)+SQRT(1-I$9^2*$C$11)*NORMSINV(H645)))*(I$7-I$5)*(I$7-I$6))))</f>
        <v>194.358821534729</v>
      </c>
      <c r="J645" s="2" t="n">
        <v>0.681254199</v>
      </c>
      <c r="K645" s="2" t="n">
        <f aca="false">IF(K$7=K$5,K$6,IF(NORMSDIST(K$9*SQRT($C$11)*NORMSINV($B645)+SQRT(1-K$9^2*$C$11)*NORMSINV(J645))&lt;K$8,K$5+SQRT(NORMSDIST(K$9*SQRT($C$11)*NORMSINV($B645)+SQRT(1-K$9^2*$C$11)*NORMSINV(J645))*(K$7-K$5)*(K$6-K$5)),K$7-SQRT((1-NORMSDIST(K$9*SQRT($C$11)*NORMSINV($B645)+SQRT(1-K$9^2*$C$11)*NORMSINV(J645)))*(K$7-K$5)*(K$7-K$6))))</f>
        <v>0.222238213290149</v>
      </c>
      <c r="L645" s="2" t="n">
        <v>0.870835787</v>
      </c>
      <c r="M645" s="2" t="n">
        <f aca="false">IF(M$7=M$5,M$6,IF(NORMSDIST(M$9*SQRT($C$11)*NORMSINV($B645)+SQRT(1-M$9^2*$C$11)*NORMSINV(L645))&lt;M$8,M$5+SQRT(NORMSDIST(M$9*SQRT($C$11)*NORMSINV($B645)+SQRT(1-M$9^2*$C$11)*NORMSINV(L645))*(M$7-M$5)*(M$6-M$5)),M$7-SQRT((1-NORMSDIST(M$9*SQRT($C$11)*NORMSINV($B645)+SQRT(1-M$9^2*$C$11)*NORMSINV(L645)))*(M$7-M$5)*(M$7-M$6))))</f>
        <v>1611.40506845665</v>
      </c>
      <c r="N645" s="2" t="n">
        <v>0.045414634</v>
      </c>
      <c r="O645" s="2" t="n">
        <f aca="false">IF(O$7=O$5,O$6,IF(NORMSDIST(O$9*SQRT($C$11)*NORMSINV($B645)+SQRT(1-O$9^2*$C$11)*NORMSINV(N645))&lt;O$8,O$5+SQRT(NORMSDIST(O$9*SQRT($C$11)*NORMSINV($B645)+SQRT(1-O$9^2*$C$11)*NORMSINV(N645))*(O$7-O$5)*(O$6-O$5)),O$7-SQRT((1-NORMSDIST(O$9*SQRT($C$11)*NORMSINV($B645)+SQRT(1-O$9^2*$C$11)*NORMSINV(N645)))*(O$7-O$5)*(O$7-O$6))))</f>
        <v>0.146123856590292</v>
      </c>
      <c r="P645" s="2" t="n">
        <v>0.326015424</v>
      </c>
      <c r="Q645" s="2" t="n">
        <f aca="false">IF(Q$7=Q$5,Q$6,IF(NORMSDIST(Q$9*SQRT($C$11)*NORMSINV($B645)+SQRT(1-Q$9^2*$C$11)*NORMSINV(P645))&lt;Q$8,Q$5+SQRT(NORMSDIST(Q$9*SQRT($C$11)*NORMSINV($B645)+SQRT(1-Q$9^2*$C$11)*NORMSINV(P645))*(Q$7-Q$5)*(Q$6-Q$5)),Q$7-SQRT((1-NORMSDIST(Q$9*SQRT($C$11)*NORMSINV($B645)+SQRT(1-Q$9^2*$C$11)*NORMSINV(P645)))*(Q$7-Q$5)*(Q$7-Q$6))))</f>
        <v>0.0722993708421697</v>
      </c>
      <c r="R645" s="2" t="n">
        <v>0.724812991</v>
      </c>
      <c r="S645" s="2" t="n">
        <f aca="false">IF(S$7=S$5,S$6,IF(NORMSDIST(S$9*SQRT($C$11)*NORMSINV($B645)+SQRT(1-S$9^2*$C$11)*NORMSINV(R645))&lt;S$8,S$5+SQRT(NORMSDIST(S$9*SQRT($C$11)*NORMSINV($B645)+SQRT(1-S$9^2*$C$11)*NORMSINV(R645))*(S$7-S$5)*(S$6-S$5)),S$7-SQRT((1-NORMSDIST(S$9*SQRT($C$11)*NORMSINV($B645)+SQRT(1-S$9^2*$C$11)*NORMSINV(R645)))*(S$7-S$5)*(S$7-S$6))))</f>
        <v>0.465365541935984</v>
      </c>
      <c r="T645" s="2" t="n">
        <v>0.759736109</v>
      </c>
      <c r="U645" s="2" t="n">
        <f aca="false">IF(U$7=U$5,U$6,IF(NORMSDIST(U$9*SQRT($C$11)*NORMSINV($B645)+SQRT(1-U$9^2*$C$11)*NORMSINV(T645))&lt;U$8,U$5+SQRT(NORMSDIST(U$9*SQRT($C$11)*NORMSINV($B645)+SQRT(1-U$9^2*$C$11)*NORMSINV(T645))*(U$7-U$5)*(U$6-U$5)),U$7-SQRT((1-NORMSDIST(U$9*SQRT($C$11)*NORMSINV($B645)+SQRT(1-U$9^2*$C$11)*NORMSINV(T645)))*(U$7-U$5)*(U$7-U$6))))</f>
        <v>0.482859568983252</v>
      </c>
      <c r="V645" s="2" t="n">
        <v>0.270269349</v>
      </c>
      <c r="W645" s="2" t="n">
        <f aca="false">IF(W$7=W$5,W$6,IF(NORMSDIST(W$9*SQRT($C$11)*NORMSINV($B645)+SQRT(1-W$9^2*$C$11)*NORMSINV(V645))&lt;W$8,W$5+SQRT(NORMSDIST(W$9*SQRT($C$11)*NORMSINV($B645)+SQRT(1-W$9^2*$C$11)*NORMSINV(V645))*(W$7-W$5)*(W$6-W$5)),W$7-SQRT((1-NORMSDIST(W$9*SQRT($C$11)*NORMSINV($B645)+SQRT(1-W$9^2*$C$11)*NORMSINV(V645)))*(W$7-W$5)*(W$7-W$6))))</f>
        <v>9.03756883618359</v>
      </c>
      <c r="X645" s="2" t="n">
        <v>0.702727721</v>
      </c>
      <c r="Y645" s="2" t="n">
        <f aca="false">IF(Y$7=Y$5,Y$6,IF(NORMSDIST(Y$9*SQRT($C$11)*NORMSINV($B645)+SQRT(1-Y$9^2*$C$11)*NORMSINV(X645))&lt;Y$8,Y$5+SQRT(NORMSDIST(Y$9*SQRT($C$11)*NORMSINV($B645)+SQRT(1-Y$9^2*$C$11)*NORMSINV(X645))*(Y$7-Y$5)*(Y$6-Y$5)),Y$7-SQRT((1-NORMSDIST(Y$9*SQRT($C$11)*NORMSINV($B645)+SQRT(1-Y$9^2*$C$11)*NORMSINV(X645)))*(Y$7-Y$5)*(Y$7-Y$6))))</f>
        <v>0.614466422344305</v>
      </c>
      <c r="Z645" s="2" t="n">
        <v>0.983536866</v>
      </c>
      <c r="AA645" s="2" t="n">
        <f aca="false">IF(AA$7=AA$5,AA$6,IF(NORMSDIST(AA$9*SQRT($C$11)*NORMSINV($B645)+SQRT(1-AA$9^2*$C$11)*NORMSINV(Z645))&lt;AA$8,AA$5+SQRT(NORMSDIST(AA$9*SQRT($C$11)*NORMSINV($B645)+SQRT(1-AA$9^2*$C$11)*NORMSINV(Z645))*(AA$7-AA$5)*(AA$6-AA$5)),AA$7-SQRT((1-NORMSDIST(AA$9*SQRT($C$11)*NORMSINV($B645)+SQRT(1-AA$9^2*$C$11)*NORMSINV(Z645)))*(AA$7-AA$5)*(AA$7-AA$6))))</f>
        <v>0.739820503942576</v>
      </c>
      <c r="AB645" s="2" t="n">
        <v>0.033866679</v>
      </c>
      <c r="AC645" s="2" t="n">
        <f aca="false">IF(AC$7=AC$5,AC$6,IF(NORMSDIST(AC$9*SQRT($C$11)*NORMSINV($B645)+SQRT(1-AC$9^2*$C$11)*NORMSINV(AB645))&lt;AC$8,AC$5+SQRT(NORMSDIST(AC$9*SQRT($C$11)*NORMSINV($B645)+SQRT(1-AC$9^2*$C$11)*NORMSINV(AB645))*(AC$7-AC$5)*(AC$6-AC$5)),AC$7-SQRT((1-NORMSDIST(AC$9*SQRT($C$11)*NORMSINV($B645)+SQRT(1-AC$9^2*$C$11)*NORMSINV(AB645)))*(AC$7-AC$5)*(AC$7-AC$6))))</f>
        <v>7.81959663501263</v>
      </c>
      <c r="AD645" s="2" t="n">
        <f aca="false">Entrées!$C$8*(1+E645)</f>
        <v>7420.34635686539</v>
      </c>
      <c r="AE645" s="2" t="n">
        <f aca="false">I645*Hypothèses!$J$24/12/Hypothèses!$J$19</f>
        <v>96.4207892937708</v>
      </c>
      <c r="AF645" s="2" t="n">
        <f aca="false">Entrées!$C$36*S645*1000</f>
        <v>232.682770967992</v>
      </c>
      <c r="AG645" s="2" t="n">
        <f aca="false">-AF645/W645</f>
        <v>-25.7461685975108</v>
      </c>
      <c r="AH645" s="2" t="n">
        <f aca="false">AD645+AE645+AG645</f>
        <v>7491.02097756165</v>
      </c>
      <c r="AI645" s="2" t="n">
        <f aca="false">Entrées!$C$16-M645+Hypothèses!$J$22*1000-AF645+Hypothèses!$J$23</f>
        <v>22703.9121605754</v>
      </c>
      <c r="AJ645" s="2" t="n">
        <f aca="false">AI645/AH645</f>
        <v>3.03081679100645</v>
      </c>
      <c r="AK645" s="2" t="n">
        <f aca="false">AI645/(AH645+I645*(12-Hypothèses!$J$24)/12/Hypothèses!$J$19)</f>
        <v>3.00320550184094</v>
      </c>
      <c r="AL645" s="2" t="n">
        <f aca="false">(AD645+AG645+I645/Hypothèses!$J$19)*(1+G645)</f>
        <v>7908.04525299476</v>
      </c>
      <c r="AM645" s="2" t="n">
        <f aca="false">Entrées!$C$54*K645/Hypothèses!$J$19</f>
        <v>22.6803427842178</v>
      </c>
      <c r="AN645" s="2" t="n">
        <f aca="false">Y645*1000/AC645</f>
        <v>78.5803221093274</v>
      </c>
      <c r="AO645" s="2" t="n">
        <f aca="false">(Entrées!$C$36*(1-S645)+MAX(0,Entrées!$C$30-Entrées!$C$35-Entrées!$C$36)*U645)*1000</f>
        <v>943.320625608561</v>
      </c>
      <c r="AP645" s="2" t="n">
        <f aca="false">-AO645/W645</f>
        <v>-104.377697443565</v>
      </c>
      <c r="AQ645" s="2" t="n">
        <f aca="false">AL645+AM645+AN645+AP645</f>
        <v>7904.92822044474</v>
      </c>
      <c r="AR645" s="2" t="n">
        <f aca="false">O645*AQ645-Hypothèses!$J$25/Hypothèses!$J$19</f>
        <v>1135.96343537919</v>
      </c>
      <c r="AS645" s="2" t="n">
        <f aca="false">Entrées!$C$79*(1+Q645)+Hypothèses!$J$20</f>
        <v>1473.45700855554</v>
      </c>
      <c r="AT645" s="2" t="n">
        <f aca="false">AI645-AR645+AS645+Y645*1000-AO645+Hypothèses!$J$23</f>
        <v>22712.5515304875</v>
      </c>
      <c r="AU645" s="2" t="n">
        <f aca="false">AT645/AQ645</f>
        <v>2.87321413896528</v>
      </c>
      <c r="AV645" s="2" t="n">
        <f aca="false">Hypothèses!$J$26*AQ645-AT645</f>
        <v>1002.23313084676</v>
      </c>
      <c r="AW645" s="2" t="n">
        <f aca="false">IF(AC645&gt;Hypothèses!$J$26,MAX(0,AV645)/(1-Hypothèses!$J$26/AC645),0)</f>
        <v>1626.0818925248</v>
      </c>
      <c r="AX645" s="2" t="n">
        <f aca="false">AQ645-Entrées!$C$17*1000</f>
        <v>-95.07177955526</v>
      </c>
      <c r="AY645" s="2" t="n">
        <f aca="false">AI645+(Entrées!$C$244-Entrées!$C$13)</f>
        <v>28450.9121605754</v>
      </c>
      <c r="AZ645" s="2" t="n">
        <f aca="false">AA645*AH645</f>
        <v>5542.01091466407</v>
      </c>
      <c r="BA645" s="2" t="n">
        <f aca="false">AZ645/AY645</f>
        <v>0.194792029281355</v>
      </c>
      <c r="BB645" s="2" t="n">
        <f aca="false">AZ645/(Entrées!$C$151/100)-AY645</f>
        <v>2338.03736533612</v>
      </c>
      <c r="BC645" s="2" t="n">
        <f aca="false">AT645+(Entrées!$C$244-Entrées!$C$13)</f>
        <v>28459.5515304875</v>
      </c>
      <c r="BD645" s="2" t="n">
        <f aca="false">AA645*AQ645</f>
        <v>5848.22797967932</v>
      </c>
      <c r="BE645" s="2" t="n">
        <f aca="false">BD645/BC645</f>
        <v>0.205492626031523</v>
      </c>
      <c r="BF645" s="2" t="n">
        <f aca="false">BD645/(Entrées!$C$151/100)-BC645</f>
        <v>4030.60391217541</v>
      </c>
      <c r="BG645" s="2" t="n">
        <f aca="false">MIN(AV645,BF645)</f>
        <v>1002.23313084676</v>
      </c>
      <c r="BH645" s="2" t="n">
        <f aca="false">IF(AC645&gt;Hypothèses!$J$26,MAX(0,BG645)/(1-Hypothèses!$J$26/AC645),0)</f>
        <v>1626.0818925248</v>
      </c>
    </row>
    <row r="646" customFormat="false" ht="15" hidden="false" customHeight="false" outlineLevel="0" collapsed="false">
      <c r="A646" s="2" t="n">
        <v>631</v>
      </c>
      <c r="B646" s="2" t="n">
        <v>0.370190147</v>
      </c>
      <c r="C646" s="2"/>
      <c r="D646" s="2" t="n">
        <v>0.860506424</v>
      </c>
      <c r="E646" s="2" t="n">
        <f aca="false">IF(E$7=E$5,E$6,IF(NORMSDIST(E$9*SQRT($C$11)*NORMSINV($B646)+SQRT(1-E$9^2*$C$11)*NORMSINV(D646))&lt;E$8,E$5+SQRT(NORMSDIST(E$9*SQRT($C$11)*NORMSINV($B646)+SQRT(1-E$9^2*$C$11)*NORMSINV(D646))*(E$7-E$5)*(E$6-E$5)),E$7-SQRT((1-NORMSDIST(E$9*SQRT($C$11)*NORMSINV($B646)+SQRT(1-E$9^2*$C$11)*NORMSINV(D646)))*(E$7-E$5)*(E$7-E$6))))</f>
        <v>0.0563622088878347</v>
      </c>
      <c r="F646" s="2" t="n">
        <v>0.355034028</v>
      </c>
      <c r="G646" s="2" t="n">
        <f aca="false">IF(G$7=G$5,G$6,IF(NORMSDIST(G$9*SQRT($C$11)*NORMSINV($B646)+SQRT(1-G$9^2*$C$11)*NORMSINV(F646))&lt;G$8,G$5+SQRT(NORMSDIST(G$9*SQRT($C$11)*NORMSINV($B646)+SQRT(1-G$9^2*$C$11)*NORMSINV(F646))*(G$7-G$5)*(G$6-G$5)),G$7-SQRT((1-NORMSDIST(G$9*SQRT($C$11)*NORMSINV($B646)+SQRT(1-G$9^2*$C$11)*NORMSINV(F646)))*(G$7-G$5)*(G$7-G$6))))</f>
        <v>0.0517997112696519</v>
      </c>
      <c r="H646" s="2" t="n">
        <v>0.24273105</v>
      </c>
      <c r="I646" s="2" t="n">
        <f aca="false">IF(I$7=I$5,I$6,IF(NORMSDIST(I$9*SQRT($C$11)*NORMSINV($B646)+SQRT(1-I$9^2*$C$11)*NORMSINV(H646))&lt;I$8,I$5+SQRT(NORMSDIST(I$9*SQRT($C$11)*NORMSINV($B646)+SQRT(1-I$9^2*$C$11)*NORMSINV(H646))*(I$7-I$5)*(I$6-I$5)),I$7-SQRT((1-NORMSDIST(I$9*SQRT($C$11)*NORMSINV($B646)+SQRT(1-I$9^2*$C$11)*NORMSINV(H646)))*(I$7-I$5)*(I$7-I$6))))</f>
        <v>193.465915382413</v>
      </c>
      <c r="J646" s="2" t="n">
        <v>0.193981761</v>
      </c>
      <c r="K646" s="2" t="n">
        <f aca="false">IF(K$7=K$5,K$6,IF(NORMSDIST(K$9*SQRT($C$11)*NORMSINV($B646)+SQRT(1-K$9^2*$C$11)*NORMSINV(J646))&lt;K$8,K$5+SQRT(NORMSDIST(K$9*SQRT($C$11)*NORMSINV($B646)+SQRT(1-K$9^2*$C$11)*NORMSINV(J646))*(K$7-K$5)*(K$6-K$5)),K$7-SQRT((1-NORMSDIST(K$9*SQRT($C$11)*NORMSINV($B646)+SQRT(1-K$9^2*$C$11)*NORMSINV(J646)))*(K$7-K$5)*(K$7-K$6))))</f>
        <v>0.15406746097555</v>
      </c>
      <c r="L646" s="2" t="n">
        <v>0.598195126</v>
      </c>
      <c r="M646" s="2" t="n">
        <f aca="false">IF(M$7=M$5,M$6,IF(NORMSDIST(M$9*SQRT($C$11)*NORMSINV($B646)+SQRT(1-M$9^2*$C$11)*NORMSINV(L646))&lt;M$8,M$5+SQRT(NORMSDIST(M$9*SQRT($C$11)*NORMSINV($B646)+SQRT(1-M$9^2*$C$11)*NORMSINV(L646))*(M$7-M$5)*(M$6-M$5)),M$7-SQRT((1-NORMSDIST(M$9*SQRT($C$11)*NORMSINV($B646)+SQRT(1-M$9^2*$C$11)*NORMSINV(L646)))*(M$7-M$5)*(M$7-M$6))))</f>
        <v>1583.43802492989</v>
      </c>
      <c r="N646" s="2" t="n">
        <v>0.683979771</v>
      </c>
      <c r="O646" s="2" t="n">
        <f aca="false">IF(O$7=O$5,O$6,IF(NORMSDIST(O$9*SQRT($C$11)*NORMSINV($B646)+SQRT(1-O$9^2*$C$11)*NORMSINV(N646))&lt;O$8,O$5+SQRT(NORMSDIST(O$9*SQRT($C$11)*NORMSINV($B646)+SQRT(1-O$9^2*$C$11)*NORMSINV(N646))*(O$7-O$5)*(O$6-O$5)),O$7-SQRT((1-NORMSDIST(O$9*SQRT($C$11)*NORMSINV($B646)+SQRT(1-O$9^2*$C$11)*NORMSINV(N646)))*(O$7-O$5)*(O$7-O$6))))</f>
        <v>0.16844946654072</v>
      </c>
      <c r="P646" s="2" t="n">
        <v>0.315598191</v>
      </c>
      <c r="Q646" s="2" t="n">
        <f aca="false">IF(Q$7=Q$5,Q$6,IF(NORMSDIST(Q$9*SQRT($C$11)*NORMSINV($B646)+SQRT(1-Q$9^2*$C$11)*NORMSINV(P646))&lt;Q$8,Q$5+SQRT(NORMSDIST(Q$9*SQRT($C$11)*NORMSINV($B646)+SQRT(1-Q$9^2*$C$11)*NORMSINV(P646))*(Q$7-Q$5)*(Q$6-Q$5)),Q$7-SQRT((1-NORMSDIST(Q$9*SQRT($C$11)*NORMSINV($B646)+SQRT(1-Q$9^2*$C$11)*NORMSINV(P646)))*(Q$7-Q$5)*(Q$7-Q$6))))</f>
        <v>0.0717791474272045</v>
      </c>
      <c r="R646" s="2" t="n">
        <v>0.246921009</v>
      </c>
      <c r="S646" s="2" t="n">
        <f aca="false">IF(S$7=S$5,S$6,IF(NORMSDIST(S$9*SQRT($C$11)*NORMSINV($B646)+SQRT(1-S$9^2*$C$11)*NORMSINV(R646))&lt;S$8,S$5+SQRT(NORMSDIST(S$9*SQRT($C$11)*NORMSINV($B646)+SQRT(1-S$9^2*$C$11)*NORMSINV(R646))*(S$7-S$5)*(S$6-S$5)),S$7-SQRT((1-NORMSDIST(S$9*SQRT($C$11)*NORMSINV($B646)+SQRT(1-S$9^2*$C$11)*NORMSINV(R646)))*(S$7-S$5)*(S$7-S$6))))</f>
        <v>0.338958773900195</v>
      </c>
      <c r="T646" s="2" t="n">
        <v>0.190676263</v>
      </c>
      <c r="U646" s="2" t="n">
        <f aca="false">IF(U$7=U$5,U$6,IF(NORMSDIST(U$9*SQRT($C$11)*NORMSINV($B646)+SQRT(1-U$9^2*$C$11)*NORMSINV(T646))&lt;U$8,U$5+SQRT(NORMSDIST(U$9*SQRT($C$11)*NORMSINV($B646)+SQRT(1-U$9^2*$C$11)*NORMSINV(T646))*(U$7-U$5)*(U$6-U$5)),U$7-SQRT((1-NORMSDIST(U$9*SQRT($C$11)*NORMSINV($B646)+SQRT(1-U$9^2*$C$11)*NORMSINV(T646)))*(U$7-U$5)*(U$7-U$6))))</f>
        <v>0.306075297006836</v>
      </c>
      <c r="V646" s="2" t="n">
        <v>0.611725021</v>
      </c>
      <c r="W646" s="2" t="n">
        <f aca="false">IF(W$7=W$5,W$6,IF(NORMSDIST(W$9*SQRT($C$11)*NORMSINV($B646)+SQRT(1-W$9^2*$C$11)*NORMSINV(V646))&lt;W$8,W$5+SQRT(NORMSDIST(W$9*SQRT($C$11)*NORMSINV($B646)+SQRT(1-W$9^2*$C$11)*NORMSINV(V646))*(W$7-W$5)*(W$6-W$5)),W$7-SQRT((1-NORMSDIST(W$9*SQRT($C$11)*NORMSINV($B646)+SQRT(1-W$9^2*$C$11)*NORMSINV(V646)))*(W$7-W$5)*(W$7-W$6))))</f>
        <v>10.0082192984912</v>
      </c>
      <c r="X646" s="2" t="n">
        <v>0.90390068</v>
      </c>
      <c r="Y646" s="2" t="n">
        <f aca="false">IF(Y$7=Y$5,Y$6,IF(NORMSDIST(Y$9*SQRT($C$11)*NORMSINV($B646)+SQRT(1-Y$9^2*$C$11)*NORMSINV(X646))&lt;Y$8,Y$5+SQRT(NORMSDIST(Y$9*SQRT($C$11)*NORMSINV($B646)+SQRT(1-Y$9^2*$C$11)*NORMSINV(X646))*(Y$7-Y$5)*(Y$6-Y$5)),Y$7-SQRT((1-NORMSDIST(Y$9*SQRT($C$11)*NORMSINV($B646)+SQRT(1-Y$9^2*$C$11)*NORMSINV(X646)))*(Y$7-Y$5)*(Y$7-Y$6))))</f>
        <v>0.780797673370012</v>
      </c>
      <c r="Z646" s="2" t="n">
        <v>0.055365131</v>
      </c>
      <c r="AA646" s="2" t="n">
        <f aca="false">IF(AA$7=AA$5,AA$6,IF(NORMSDIST(AA$9*SQRT($C$11)*NORMSINV($B646)+SQRT(1-AA$9^2*$C$11)*NORMSINV(Z646))&lt;AA$8,AA$5+SQRT(NORMSDIST(AA$9*SQRT($C$11)*NORMSINV($B646)+SQRT(1-AA$9^2*$C$11)*NORMSINV(Z646))*(AA$7-AA$5)*(AA$6-AA$5)),AA$7-SQRT((1-NORMSDIST(AA$9*SQRT($C$11)*NORMSINV($B646)+SQRT(1-AA$9^2*$C$11)*NORMSINV(Z646)))*(AA$7-AA$5)*(AA$7-AA$6))))</f>
        <v>0.70793115290668</v>
      </c>
      <c r="AB646" s="2" t="n">
        <v>0.235388248</v>
      </c>
      <c r="AC646" s="2" t="n">
        <f aca="false">IF(AC$7=AC$5,AC$6,IF(NORMSDIST(AC$9*SQRT($C$11)*NORMSINV($B646)+SQRT(1-AC$9^2*$C$11)*NORMSINV(AB646))&lt;AC$8,AC$5+SQRT(NORMSDIST(AC$9*SQRT($C$11)*NORMSINV($B646)+SQRT(1-AC$9^2*$C$11)*NORMSINV(AB646))*(AC$7-AC$5)*(AC$6-AC$5)),AC$7-SQRT((1-NORMSDIST(AC$9*SQRT($C$11)*NORMSINV($B646)+SQRT(1-AC$9^2*$C$11)*NORMSINV(AB646)))*(AC$7-AC$5)*(AC$7-AC$6))))</f>
        <v>8.78238602999174</v>
      </c>
      <c r="AD646" s="2" t="n">
        <f aca="false">Entrées!$C$8*(1+E646)</f>
        <v>7447.35357265924</v>
      </c>
      <c r="AE646" s="2" t="n">
        <f aca="false">I646*Hypothèses!$J$24/12/Hypothèses!$J$19</f>
        <v>95.9778214094639</v>
      </c>
      <c r="AF646" s="2" t="n">
        <f aca="false">Entrées!$C$36*S646*1000</f>
        <v>169.479386950098</v>
      </c>
      <c r="AG646" s="2" t="n">
        <f aca="false">-AF646/W646</f>
        <v>-16.9340201184088</v>
      </c>
      <c r="AH646" s="2" t="n">
        <f aca="false">AD646+AE646+AG646</f>
        <v>7526.39737395029</v>
      </c>
      <c r="AI646" s="2" t="n">
        <f aca="false">Entrées!$C$16-M646+Hypothèses!$J$22*1000-AF646+Hypothèses!$J$23</f>
        <v>22795.08258812</v>
      </c>
      <c r="AJ646" s="2" t="n">
        <f aca="false">AI646/AH646</f>
        <v>3.02868443633024</v>
      </c>
      <c r="AK646" s="2" t="n">
        <f aca="false">AI646/(AH646+I646*(12-Hypothèses!$J$24)/12/Hypothèses!$J$19)</f>
        <v>3.0013461184235</v>
      </c>
      <c r="AL646" s="2" t="n">
        <f aca="false">(AD646+AG646+I646/Hypothèses!$J$19)*(1+G646)</f>
        <v>7988.3693311407</v>
      </c>
      <c r="AM646" s="2" t="n">
        <f aca="false">Entrées!$C$54*K646/Hypothèses!$J$19</f>
        <v>15.7232312800206</v>
      </c>
      <c r="AN646" s="2" t="n">
        <f aca="false">Y646*1000/AC646</f>
        <v>88.9049593929938</v>
      </c>
      <c r="AO646" s="2" t="n">
        <f aca="false">(Entrées!$C$36*(1-S646)+MAX(0,Entrées!$C$30-Entrées!$C$35-Entrées!$C$36)*U646)*1000</f>
        <v>759.026028859473</v>
      </c>
      <c r="AP646" s="2" t="n">
        <f aca="false">-AO646/W646</f>
        <v>-75.8402675063186</v>
      </c>
      <c r="AQ646" s="2" t="n">
        <f aca="false">AL646+AM646+AN646+AP646</f>
        <v>8017.15725430739</v>
      </c>
      <c r="AR646" s="2" t="n">
        <f aca="false">O646*AQ646-Hypothèses!$J$25/Hypothèses!$J$19</f>
        <v>1331.35070039952</v>
      </c>
      <c r="AS646" s="2" t="n">
        <f aca="false">Entrées!$C$79*(1+Q646)+Hypothèses!$J$20</f>
        <v>1472.8852830225</v>
      </c>
      <c r="AT646" s="2" t="n">
        <f aca="false">AI646-AR646+AS646+Y646*1000-AO646+Hypothèses!$J$23</f>
        <v>22958.3888152535</v>
      </c>
      <c r="AU646" s="2" t="n">
        <f aca="false">AT646/AQ646</f>
        <v>2.86365704039529</v>
      </c>
      <c r="AV646" s="2" t="n">
        <f aca="false">Hypothèses!$J$26*AQ646-AT646</f>
        <v>1093.08294766866</v>
      </c>
      <c r="AW646" s="2" t="n">
        <f aca="false">IF(AC646&gt;Hypothèses!$J$26,MAX(0,AV646)/(1-Hypothèses!$J$26/AC646),0)</f>
        <v>1660.19293064062</v>
      </c>
      <c r="AX646" s="2" t="n">
        <f aca="false">AQ646-Entrées!$C$17*1000</f>
        <v>17.1572543073944</v>
      </c>
      <c r="AY646" s="2" t="n">
        <f aca="false">AI646+(Entrées!$C$244-Entrées!$C$13)</f>
        <v>28542.08258812</v>
      </c>
      <c r="AZ646" s="2" t="n">
        <f aca="false">AA646*AH646</f>
        <v>5328.17117017444</v>
      </c>
      <c r="BA646" s="2" t="n">
        <f aca="false">AZ646/AY646</f>
        <v>0.186677729409702</v>
      </c>
      <c r="BB646" s="2" t="n">
        <f aca="false">AZ646/(Entrées!$C$151/100)-AY646</f>
        <v>1058.86835729353</v>
      </c>
      <c r="BC646" s="2" t="n">
        <f aca="false">AT646+(Entrées!$C$244-Entrées!$C$13)</f>
        <v>28705.3888152535</v>
      </c>
      <c r="BD646" s="2" t="n">
        <f aca="false">AA646*AQ646</f>
        <v>5675.59537807599</v>
      </c>
      <c r="BE646" s="2" t="n">
        <f aca="false">BD646/BC646</f>
        <v>0.197718812122833</v>
      </c>
      <c r="BF646" s="2" t="n">
        <f aca="false">BD646/(Entrées!$C$151/100)-BC646</f>
        <v>2825.69661850195</v>
      </c>
      <c r="BG646" s="2" t="n">
        <f aca="false">MIN(AV646,BF646)</f>
        <v>1093.08294766866</v>
      </c>
      <c r="BH646" s="2" t="n">
        <f aca="false">IF(AC646&gt;Hypothèses!$J$26,MAX(0,BG646)/(1-Hypothèses!$J$26/AC646),0)</f>
        <v>1660.19293064062</v>
      </c>
    </row>
    <row r="647" customFormat="false" ht="15" hidden="false" customHeight="false" outlineLevel="0" collapsed="false">
      <c r="A647" s="2" t="n">
        <v>632</v>
      </c>
      <c r="B647" s="2" t="n">
        <v>0.66011958</v>
      </c>
      <c r="C647" s="2"/>
      <c r="D647" s="2" t="n">
        <v>0.636850564</v>
      </c>
      <c r="E647" s="2" t="n">
        <f aca="false">IF(E$7=E$5,E$6,IF(NORMSDIST(E$9*SQRT($C$11)*NORMSINV($B647)+SQRT(1-E$9^2*$C$11)*NORMSINV(D647))&lt;E$8,E$5+SQRT(NORMSDIST(E$9*SQRT($C$11)*NORMSINV($B647)+SQRT(1-E$9^2*$C$11)*NORMSINV(D647))*(E$7-E$5)*(E$6-E$5)),E$7-SQRT((1-NORMSDIST(E$9*SQRT($C$11)*NORMSINV($B647)+SQRT(1-E$9^2*$C$11)*NORMSINV(D647)))*(E$7-E$5)*(E$7-E$6))))</f>
        <v>0.056144572084119</v>
      </c>
      <c r="F647" s="2" t="n">
        <v>0.871642508</v>
      </c>
      <c r="G647" s="2" t="n">
        <f aca="false">IF(G$7=G$5,G$6,IF(NORMSDIST(G$9*SQRT($C$11)*NORMSINV($B647)+SQRT(1-G$9^2*$C$11)*NORMSINV(F647))&lt;G$8,G$5+SQRT(NORMSDIST(G$9*SQRT($C$11)*NORMSINV($B647)+SQRT(1-G$9^2*$C$11)*NORMSINV(F647))*(G$7-G$5)*(G$6-G$5)),G$7-SQRT((1-NORMSDIST(G$9*SQRT($C$11)*NORMSINV($B647)+SQRT(1-G$9^2*$C$11)*NORMSINV(F647)))*(G$7-G$5)*(G$7-G$6))))</f>
        <v>0.0624335655416306</v>
      </c>
      <c r="H647" s="2" t="n">
        <v>0.568133833</v>
      </c>
      <c r="I647" s="2" t="n">
        <f aca="false">IF(I$7=I$5,I$6,IF(NORMSDIST(I$9*SQRT($C$11)*NORMSINV($B647)+SQRT(1-I$9^2*$C$11)*NORMSINV(H647))&lt;I$8,I$5+SQRT(NORMSDIST(I$9*SQRT($C$11)*NORMSINV($B647)+SQRT(1-I$9^2*$C$11)*NORMSINV(H647))*(I$7-I$5)*(I$6-I$5)),I$7-SQRT((1-NORMSDIST(I$9*SQRT($C$11)*NORMSINV($B647)+SQRT(1-I$9^2*$C$11)*NORMSINV(H647)))*(I$7-I$5)*(I$7-I$6))))</f>
        <v>203.343796513729</v>
      </c>
      <c r="J647" s="2" t="n">
        <v>0.323961437</v>
      </c>
      <c r="K647" s="2" t="n">
        <f aca="false">IF(K$7=K$5,K$6,IF(NORMSDIST(K$9*SQRT($C$11)*NORMSINV($B647)+SQRT(1-K$9^2*$C$11)*NORMSINV(J647))&lt;K$8,K$5+SQRT(NORMSDIST(K$9*SQRT($C$11)*NORMSINV($B647)+SQRT(1-K$9^2*$C$11)*NORMSINV(J647))*(K$7-K$5)*(K$6-K$5)),K$7-SQRT((1-NORMSDIST(K$9*SQRT($C$11)*NORMSINV($B647)+SQRT(1-K$9^2*$C$11)*NORMSINV(J647)))*(K$7-K$5)*(K$7-K$6))))</f>
        <v>0.240596000561558</v>
      </c>
      <c r="L647" s="2" t="n">
        <v>0.267812871</v>
      </c>
      <c r="M647" s="2" t="n">
        <f aca="false">IF(M$7=M$5,M$6,IF(NORMSDIST(M$9*SQRT($C$11)*NORMSINV($B647)+SQRT(1-M$9^2*$C$11)*NORMSINV(L647))&lt;M$8,M$5+SQRT(NORMSDIST(M$9*SQRT($C$11)*NORMSINV($B647)+SQRT(1-M$9^2*$C$11)*NORMSINV(L647))*(M$7-M$5)*(M$6-M$5)),M$7-SQRT((1-NORMSDIST(M$9*SQRT($C$11)*NORMSINV($B647)+SQRT(1-M$9^2*$C$11)*NORMSINV(L647)))*(M$7-M$5)*(M$7-M$6))))</f>
        <v>1559.76328702556</v>
      </c>
      <c r="N647" s="2" t="n">
        <v>0.729330172</v>
      </c>
      <c r="O647" s="2" t="n">
        <f aca="false">IF(O$7=O$5,O$6,IF(NORMSDIST(O$9*SQRT($C$11)*NORMSINV($B647)+SQRT(1-O$9^2*$C$11)*NORMSINV(N647))&lt;O$8,O$5+SQRT(NORMSDIST(O$9*SQRT($C$11)*NORMSINV($B647)+SQRT(1-O$9^2*$C$11)*NORMSINV(N647))*(O$7-O$5)*(O$6-O$5)),O$7-SQRT((1-NORMSDIST(O$9*SQRT($C$11)*NORMSINV($B647)+SQRT(1-O$9^2*$C$11)*NORMSINV(N647)))*(O$7-O$5)*(O$7-O$6))))</f>
        <v>0.174299617522591</v>
      </c>
      <c r="P647" s="2" t="n">
        <v>0.027697043</v>
      </c>
      <c r="Q647" s="2" t="n">
        <f aca="false">IF(Q$7=Q$5,Q$6,IF(NORMSDIST(Q$9*SQRT($C$11)*NORMSINV($B647)+SQRT(1-Q$9^2*$C$11)*NORMSINV(P647))&lt;Q$8,Q$5+SQRT(NORMSDIST(Q$9*SQRT($C$11)*NORMSINV($B647)+SQRT(1-Q$9^2*$C$11)*NORMSINV(P647))*(Q$7-Q$5)*(Q$6-Q$5)),Q$7-SQRT((1-NORMSDIST(Q$9*SQRT($C$11)*NORMSINV($B647)+SQRT(1-Q$9^2*$C$11)*NORMSINV(P647)))*(Q$7-Q$5)*(Q$7-Q$6))))</f>
        <v>0.0494143792997733</v>
      </c>
      <c r="R647" s="2" t="n">
        <v>0.835630942</v>
      </c>
      <c r="S647" s="2" t="n">
        <f aca="false">IF(S$7=S$5,S$6,IF(NORMSDIST(S$9*SQRT($C$11)*NORMSINV($B647)+SQRT(1-S$9^2*$C$11)*NORMSINV(R647))&lt;S$8,S$5+SQRT(NORMSDIST(S$9*SQRT($C$11)*NORMSINV($B647)+SQRT(1-S$9^2*$C$11)*NORMSINV(R647))*(S$7-S$5)*(S$6-S$5)),S$7-SQRT((1-NORMSDIST(S$9*SQRT($C$11)*NORMSINV($B647)+SQRT(1-S$9^2*$C$11)*NORMSINV(R647)))*(S$7-S$5)*(S$7-S$6))))</f>
        <v>0.722117845622181</v>
      </c>
      <c r="T647" s="2" t="n">
        <v>0.98192008</v>
      </c>
      <c r="U647" s="2" t="n">
        <f aca="false">IF(U$7=U$5,U$6,IF(NORMSDIST(U$9*SQRT($C$11)*NORMSINV($B647)+SQRT(1-U$9^2*$C$11)*NORMSINV(T647))&lt;U$8,U$5+SQRT(NORMSDIST(U$9*SQRT($C$11)*NORMSINV($B647)+SQRT(1-U$9^2*$C$11)*NORMSINV(T647))*(U$7-U$5)*(U$6-U$5)),U$7-SQRT((1-NORMSDIST(U$9*SQRT($C$11)*NORMSINV($B647)+SQRT(1-U$9^2*$C$11)*NORMSINV(T647)))*(U$7-U$5)*(U$7-U$6))))</f>
        <v>0.87796314110091</v>
      </c>
      <c r="V647" s="2" t="n">
        <v>0.297989368</v>
      </c>
      <c r="W647" s="2" t="n">
        <f aca="false">IF(W$7=W$5,W$6,IF(NORMSDIST(W$9*SQRT($C$11)*NORMSINV($B647)+SQRT(1-W$9^2*$C$11)*NORMSINV(V647))&lt;W$8,W$5+SQRT(NORMSDIST(W$9*SQRT($C$11)*NORMSINV($B647)+SQRT(1-W$9^2*$C$11)*NORMSINV(V647))*(W$7-W$5)*(W$6-W$5)),W$7-SQRT((1-NORMSDIST(W$9*SQRT($C$11)*NORMSINV($B647)+SQRT(1-W$9^2*$C$11)*NORMSINV(V647)))*(W$7-W$5)*(W$7-W$6))))</f>
        <v>9.87730565432839</v>
      </c>
      <c r="X647" s="2" t="n">
        <v>0.302692377</v>
      </c>
      <c r="Y647" s="2" t="n">
        <f aca="false">IF(Y$7=Y$5,Y$6,IF(NORMSDIST(Y$9*SQRT($C$11)*NORMSINV($B647)+SQRT(1-Y$9^2*$C$11)*NORMSINV(X647))&lt;Y$8,Y$5+SQRT(NORMSDIST(Y$9*SQRT($C$11)*NORMSINV($B647)+SQRT(1-Y$9^2*$C$11)*NORMSINV(X647))*(Y$7-Y$5)*(Y$6-Y$5)),Y$7-SQRT((1-NORMSDIST(Y$9*SQRT($C$11)*NORMSINV($B647)+SQRT(1-Y$9^2*$C$11)*NORMSINV(X647)))*(Y$7-Y$5)*(Y$7-Y$6))))</f>
        <v>0.389032374616818</v>
      </c>
      <c r="Z647" s="2" t="n">
        <v>0.316091969</v>
      </c>
      <c r="AA647" s="2" t="n">
        <f aca="false">IF(AA$7=AA$5,AA$6,IF(NORMSDIST(AA$9*SQRT($C$11)*NORMSINV($B647)+SQRT(1-AA$9^2*$C$11)*NORMSINV(Z647))&lt;AA$8,AA$5+SQRT(NORMSDIST(AA$9*SQRT($C$11)*NORMSINV($B647)+SQRT(1-AA$9^2*$C$11)*NORMSINV(Z647))*(AA$7-AA$5)*(AA$6-AA$5)),AA$7-SQRT((1-NORMSDIST(AA$9*SQRT($C$11)*NORMSINV($B647)+SQRT(1-AA$9^2*$C$11)*NORMSINV(Z647)))*(AA$7-AA$5)*(AA$7-AA$6))))</f>
        <v>0.726589175787803</v>
      </c>
      <c r="AB647" s="2" t="n">
        <v>0.211657017</v>
      </c>
      <c r="AC647" s="2" t="n">
        <f aca="false">IF(AC$7=AC$5,AC$6,IF(NORMSDIST(AC$9*SQRT($C$11)*NORMSINV($B647)+SQRT(1-AC$9^2*$C$11)*NORMSINV(AB647))&lt;AC$8,AC$5+SQRT(NORMSDIST(AC$9*SQRT($C$11)*NORMSINV($B647)+SQRT(1-AC$9^2*$C$11)*NORMSINV(AB647))*(AC$7-AC$5)*(AC$6-AC$5)),AC$7-SQRT((1-NORMSDIST(AC$9*SQRT($C$11)*NORMSINV($B647)+SQRT(1-AC$9^2*$C$11)*NORMSINV(AB647)))*(AC$7-AC$5)*(AC$7-AC$6))))</f>
        <v>9.16301114766464</v>
      </c>
      <c r="AD647" s="2" t="n">
        <f aca="false">Entrées!$C$8*(1+E647)</f>
        <v>7445.81923319304</v>
      </c>
      <c r="AE647" s="2" t="n">
        <f aca="false">I647*Hypothèses!$J$24/12/Hypothèses!$J$19</f>
        <v>100.878206623321</v>
      </c>
      <c r="AF647" s="2" t="n">
        <f aca="false">Entrées!$C$36*S647*1000</f>
        <v>361.05892281109</v>
      </c>
      <c r="AG647" s="2" t="n">
        <f aca="false">-AF647/W647</f>
        <v>-36.5543940267626</v>
      </c>
      <c r="AH647" s="2" t="n">
        <f aca="false">AD647+AE647+AG647</f>
        <v>7510.1430457896</v>
      </c>
      <c r="AI647" s="2" t="n">
        <f aca="false">Entrées!$C$16-M647+Hypothèses!$J$22*1000-AF647+Hypothèses!$J$23</f>
        <v>22627.1777901633</v>
      </c>
      <c r="AJ647" s="2" t="n">
        <f aca="false">AI647/AH647</f>
        <v>3.01288239813871</v>
      </c>
      <c r="AK647" s="2" t="n">
        <f aca="false">AI647/(AH647+I647*(12-Hypothèses!$J$24)/12/Hypothèses!$J$19)</f>
        <v>2.98425009231739</v>
      </c>
      <c r="AL647" s="2" t="n">
        <f aca="false">(AD647+AG647+I647/Hypothèses!$J$19)*(1+G647)</f>
        <v>8055.58262011468</v>
      </c>
      <c r="AM647" s="2" t="n">
        <f aca="false">Entrées!$C$54*K647/Hypothèses!$J$19</f>
        <v>24.5538320546329</v>
      </c>
      <c r="AN647" s="2" t="n">
        <f aca="false">Y647*1000/AC647</f>
        <v>42.456826511225</v>
      </c>
      <c r="AO647" s="2" t="n">
        <f aca="false">(Entrées!$C$36*(1-S647)+MAX(0,Entrées!$C$30-Entrées!$C$35-Entrées!$C$36)*U647)*1000</f>
        <v>1368.08947473018</v>
      </c>
      <c r="AP647" s="2" t="n">
        <f aca="false">-AO647/W647</f>
        <v>-138.50836681668</v>
      </c>
      <c r="AQ647" s="2" t="n">
        <f aca="false">AL647+AM647+AN647+AP647</f>
        <v>7984.08491186386</v>
      </c>
      <c r="AR647" s="2" t="n">
        <f aca="false">O647*AQ647-Hypothèses!$J$25/Hypothèses!$J$19</f>
        <v>1372.48778414413</v>
      </c>
      <c r="AS647" s="2" t="n">
        <f aca="false">Entrées!$C$79*(1+Q647)+Hypothèses!$J$20</f>
        <v>1448.30640285045</v>
      </c>
      <c r="AT647" s="2" t="n">
        <f aca="false">AI647-AR647+AS647+Y647*1000-AO647+Hypothèses!$J$23</f>
        <v>21723.9393087563</v>
      </c>
      <c r="AU647" s="2" t="n">
        <f aca="false">AT647/AQ647</f>
        <v>2.72090534464079</v>
      </c>
      <c r="AV647" s="2" t="n">
        <f aca="false">Hypothèses!$J$26*AQ647-AT647</f>
        <v>2228.31542683528</v>
      </c>
      <c r="AW647" s="2" t="n">
        <f aca="false">IF(AC647&gt;Hypothèses!$J$26,MAX(0,AV647)/(1-Hypothèses!$J$26/AC647),0)</f>
        <v>3313.00375861592</v>
      </c>
      <c r="AX647" s="2" t="n">
        <f aca="false">AQ647-Entrées!$C$17*1000</f>
        <v>-15.9150881361411</v>
      </c>
      <c r="AY647" s="2" t="n">
        <f aca="false">AI647+(Entrées!$C$244-Entrées!$C$13)</f>
        <v>28374.1777901633</v>
      </c>
      <c r="AZ647" s="2" t="n">
        <f aca="false">AA647*AH647</f>
        <v>5456.78864568876</v>
      </c>
      <c r="BA647" s="2" t="n">
        <f aca="false">AZ647/AY647</f>
        <v>0.192315304642255</v>
      </c>
      <c r="BB647" s="2" t="n">
        <f aca="false">AZ647/(Entrées!$C$151/100)-AY647</f>
        <v>1941.31468588535</v>
      </c>
      <c r="BC647" s="2" t="n">
        <f aca="false">AT647+(Entrées!$C$244-Entrées!$C$13)</f>
        <v>27470.9393087563</v>
      </c>
      <c r="BD647" s="2" t="n">
        <f aca="false">AA647*AQ647</f>
        <v>5801.149675531</v>
      </c>
      <c r="BE647" s="2" t="n">
        <f aca="false">BD647/BC647</f>
        <v>0.211174055984387</v>
      </c>
      <c r="BF647" s="2" t="n">
        <f aca="false">BD647/(Entrées!$C$151/100)-BC647</f>
        <v>4757.66999974923</v>
      </c>
      <c r="BG647" s="2" t="n">
        <f aca="false">MIN(AV647,BF647)</f>
        <v>2228.31542683528</v>
      </c>
      <c r="BH647" s="2" t="n">
        <f aca="false">IF(AC647&gt;Hypothèses!$J$26,MAX(0,BG647)/(1-Hypothèses!$J$26/AC647),0)</f>
        <v>3313.00375861592</v>
      </c>
    </row>
    <row r="648" customFormat="false" ht="15" hidden="false" customHeight="false" outlineLevel="0" collapsed="false">
      <c r="A648" s="2" t="n">
        <v>633</v>
      </c>
      <c r="B648" s="2" t="n">
        <v>0.57578518</v>
      </c>
      <c r="C648" s="2"/>
      <c r="D648" s="2" t="n">
        <v>0.899775173</v>
      </c>
      <c r="E648" s="2" t="n">
        <f aca="false">IF(E$7=E$5,E$6,IF(NORMSDIST(E$9*SQRT($C$11)*NORMSINV($B648)+SQRT(1-E$9^2*$C$11)*NORMSINV(D648))&lt;E$8,E$5+SQRT(NORMSDIST(E$9*SQRT($C$11)*NORMSINV($B648)+SQRT(1-E$9^2*$C$11)*NORMSINV(D648))*(E$7-E$5)*(E$6-E$5)),E$7-SQRT((1-NORMSDIST(E$9*SQRT($C$11)*NORMSINV($B648)+SQRT(1-E$9^2*$C$11)*NORMSINV(D648)))*(E$7-E$5)*(E$7-E$6))))</f>
        <v>0.0574217597046636</v>
      </c>
      <c r="F648" s="2" t="n">
        <v>0.15517327</v>
      </c>
      <c r="G648" s="2" t="n">
        <f aca="false">IF(G$7=G$5,G$6,IF(NORMSDIST(G$9*SQRT($C$11)*NORMSINV($B648)+SQRT(1-G$9^2*$C$11)*NORMSINV(F648))&lt;G$8,G$5+SQRT(NORMSDIST(G$9*SQRT($C$11)*NORMSINV($B648)+SQRT(1-G$9^2*$C$11)*NORMSINV(F648))*(G$7-G$5)*(G$6-G$5)),G$7-SQRT((1-NORMSDIST(G$9*SQRT($C$11)*NORMSINV($B648)+SQRT(1-G$9^2*$C$11)*NORMSINV(F648)))*(G$7-G$5)*(G$7-G$6))))</f>
        <v>0.0506709338763609</v>
      </c>
      <c r="H648" s="2" t="n">
        <v>0.079648397</v>
      </c>
      <c r="I648" s="2" t="n">
        <f aca="false">IF(I$7=I$5,I$6,IF(NORMSDIST(I$9*SQRT($C$11)*NORMSINV($B648)+SQRT(1-I$9^2*$C$11)*NORMSINV(H648))&lt;I$8,I$5+SQRT(NORMSDIST(I$9*SQRT($C$11)*NORMSINV($B648)+SQRT(1-I$9^2*$C$11)*NORMSINV(H648))*(I$7-I$5)*(I$6-I$5)),I$7-SQRT((1-NORMSDIST(I$9*SQRT($C$11)*NORMSINV($B648)+SQRT(1-I$9^2*$C$11)*NORMSINV(H648)))*(I$7-I$5)*(I$7-I$6))))</f>
        <v>191.530557804669</v>
      </c>
      <c r="J648" s="2" t="n">
        <v>0.056670859</v>
      </c>
      <c r="K648" s="2" t="n">
        <f aca="false">IF(K$7=K$5,K$6,IF(NORMSDIST(K$9*SQRT($C$11)*NORMSINV($B648)+SQRT(1-K$9^2*$C$11)*NORMSINV(J648))&lt;K$8,K$5+SQRT(NORMSDIST(K$9*SQRT($C$11)*NORMSINV($B648)+SQRT(1-K$9^2*$C$11)*NORMSINV(J648))*(K$7-K$5)*(K$6-K$5)),K$7-SQRT((1-NORMSDIST(K$9*SQRT($C$11)*NORMSINV($B648)+SQRT(1-K$9^2*$C$11)*NORMSINV(J648)))*(K$7-K$5)*(K$7-K$6))))</f>
        <v>0.129640814329672</v>
      </c>
      <c r="L648" s="2" t="n">
        <v>0.527089685</v>
      </c>
      <c r="M648" s="2" t="n">
        <f aca="false">IF(M$7=M$5,M$6,IF(NORMSDIST(M$9*SQRT($C$11)*NORMSINV($B648)+SQRT(1-M$9^2*$C$11)*NORMSINV(L648))&lt;M$8,M$5+SQRT(NORMSDIST(M$9*SQRT($C$11)*NORMSINV($B648)+SQRT(1-M$9^2*$C$11)*NORMSINV(L648))*(M$7-M$5)*(M$6-M$5)),M$7-SQRT((1-NORMSDIST(M$9*SQRT($C$11)*NORMSINV($B648)+SQRT(1-M$9^2*$C$11)*NORMSINV(L648)))*(M$7-M$5)*(M$7-M$6))))</f>
        <v>1604.15791770837</v>
      </c>
      <c r="N648" s="2" t="n">
        <v>0.351827158</v>
      </c>
      <c r="O648" s="2" t="n">
        <f aca="false">IF(O$7=O$5,O$6,IF(NORMSDIST(O$9*SQRT($C$11)*NORMSINV($B648)+SQRT(1-O$9^2*$C$11)*NORMSINV(N648))&lt;O$8,O$5+SQRT(NORMSDIST(O$9*SQRT($C$11)*NORMSINV($B648)+SQRT(1-O$9^2*$C$11)*NORMSINV(N648))*(O$7-O$5)*(O$6-O$5)),O$7-SQRT((1-NORMSDIST(O$9*SQRT($C$11)*NORMSINV($B648)+SQRT(1-O$9^2*$C$11)*NORMSINV(N648)))*(O$7-O$5)*(O$7-O$6))))</f>
        <v>0.164868404247046</v>
      </c>
      <c r="P648" s="2" t="n">
        <v>0.930857385</v>
      </c>
      <c r="Q648" s="2" t="n">
        <f aca="false">IF(Q$7=Q$5,Q$6,IF(NORMSDIST(Q$9*SQRT($C$11)*NORMSINV($B648)+SQRT(1-Q$9^2*$C$11)*NORMSINV(P648))&lt;Q$8,Q$5+SQRT(NORMSDIST(Q$9*SQRT($C$11)*NORMSINV($B648)+SQRT(1-Q$9^2*$C$11)*NORMSINV(P648))*(Q$7-Q$5)*(Q$6-Q$5)),Q$7-SQRT((1-NORMSDIST(Q$9*SQRT($C$11)*NORMSINV($B648)+SQRT(1-Q$9^2*$C$11)*NORMSINV(P648)))*(Q$7-Q$5)*(Q$7-Q$6))))</f>
        <v>0.105125311162918</v>
      </c>
      <c r="R648" s="2" t="n">
        <v>0.964735183</v>
      </c>
      <c r="S648" s="2" t="n">
        <f aca="false">IF(S$7=S$5,S$6,IF(NORMSDIST(S$9*SQRT($C$11)*NORMSINV($B648)+SQRT(1-S$9^2*$C$11)*NORMSINV(R648))&lt;S$8,S$5+SQRT(NORMSDIST(S$9*SQRT($C$11)*NORMSINV($B648)+SQRT(1-S$9^2*$C$11)*NORMSINV(R648))*(S$7-S$5)*(S$6-S$5)),S$7-SQRT((1-NORMSDIST(S$9*SQRT($C$11)*NORMSINV($B648)+SQRT(1-S$9^2*$C$11)*NORMSINV(R648)))*(S$7-S$5)*(S$7-S$6))))</f>
        <v>0.821060936387761</v>
      </c>
      <c r="T648" s="2" t="n">
        <v>0.369703337</v>
      </c>
      <c r="U648" s="2" t="n">
        <f aca="false">IF(U$7=U$5,U$6,IF(NORMSDIST(U$9*SQRT($C$11)*NORMSINV($B648)+SQRT(1-U$9^2*$C$11)*NORMSINV(T648))&lt;U$8,U$5+SQRT(NORMSDIST(U$9*SQRT($C$11)*NORMSINV($B648)+SQRT(1-U$9^2*$C$11)*NORMSINV(T648))*(U$7-U$5)*(U$6-U$5)),U$7-SQRT((1-NORMSDIST(U$9*SQRT($C$11)*NORMSINV($B648)+SQRT(1-U$9^2*$C$11)*NORMSINV(T648)))*(U$7-U$5)*(U$7-U$6))))</f>
        <v>0.472017202528666</v>
      </c>
      <c r="V648" s="2" t="n">
        <v>0.807489768</v>
      </c>
      <c r="W648" s="2" t="n">
        <f aca="false">IF(W$7=W$5,W$6,IF(NORMSDIST(W$9*SQRT($C$11)*NORMSINV($B648)+SQRT(1-W$9^2*$C$11)*NORMSINV(V648))&lt;W$8,W$5+SQRT(NORMSDIST(W$9*SQRT($C$11)*NORMSINV($B648)+SQRT(1-W$9^2*$C$11)*NORMSINV(V648))*(W$7-W$5)*(W$6-W$5)),W$7-SQRT((1-NORMSDIST(W$9*SQRT($C$11)*NORMSINV($B648)+SQRT(1-W$9^2*$C$11)*NORMSINV(V648)))*(W$7-W$5)*(W$7-W$6))))</f>
        <v>10.6925784725569</v>
      </c>
      <c r="X648" s="2" t="n">
        <v>0.460828998</v>
      </c>
      <c r="Y648" s="2" t="n">
        <f aca="false">IF(Y$7=Y$5,Y$6,IF(NORMSDIST(Y$9*SQRT($C$11)*NORMSINV($B648)+SQRT(1-Y$9^2*$C$11)*NORMSINV(X648))&lt;Y$8,Y$5+SQRT(NORMSDIST(Y$9*SQRT($C$11)*NORMSINV($B648)+SQRT(1-Y$9^2*$C$11)*NORMSINV(X648))*(Y$7-Y$5)*(Y$6-Y$5)),Y$7-SQRT((1-NORMSDIST(Y$9*SQRT($C$11)*NORMSINV($B648)+SQRT(1-Y$9^2*$C$11)*NORMSINV(X648)))*(Y$7-Y$5)*(Y$7-Y$6))))</f>
        <v>0.480015102887399</v>
      </c>
      <c r="Z648" s="2" t="n">
        <v>0.790576315</v>
      </c>
      <c r="AA648" s="2" t="n">
        <f aca="false">IF(AA$7=AA$5,AA$6,IF(NORMSDIST(AA$9*SQRT($C$11)*NORMSINV($B648)+SQRT(1-AA$9^2*$C$11)*NORMSINV(Z648))&lt;AA$8,AA$5+SQRT(NORMSDIST(AA$9*SQRT($C$11)*NORMSINV($B648)+SQRT(1-AA$9^2*$C$11)*NORMSINV(Z648))*(AA$7-AA$5)*(AA$6-AA$5)),AA$7-SQRT((1-NORMSDIST(AA$9*SQRT($C$11)*NORMSINV($B648)+SQRT(1-AA$9^2*$C$11)*NORMSINV(Z648)))*(AA$7-AA$5)*(AA$7-AA$6))))</f>
        <v>0.736769635500778</v>
      </c>
      <c r="AB648" s="2" t="n">
        <v>0.156095075</v>
      </c>
      <c r="AC648" s="2" t="n">
        <f aca="false">IF(AC$7=AC$5,AC$6,IF(NORMSDIST(AC$9*SQRT($C$11)*NORMSINV($B648)+SQRT(1-AC$9^2*$C$11)*NORMSINV(AB648))&lt;AC$8,AC$5+SQRT(NORMSDIST(AC$9*SQRT($C$11)*NORMSINV($B648)+SQRT(1-AC$9^2*$C$11)*NORMSINV(AB648))*(AC$7-AC$5)*(AC$6-AC$5)),AC$7-SQRT((1-NORMSDIST(AC$9*SQRT($C$11)*NORMSINV($B648)+SQRT(1-AC$9^2*$C$11)*NORMSINV(AB648)))*(AC$7-AC$5)*(AC$7-AC$6))))</f>
        <v>8.88140046589749</v>
      </c>
      <c r="AD648" s="2" t="n">
        <f aca="false">Entrées!$C$8*(1+E648)</f>
        <v>7454.82340591788</v>
      </c>
      <c r="AE648" s="2" t="n">
        <f aca="false">I648*Hypothèses!$J$24/12/Hypothèses!$J$19</f>
        <v>95.0176967094981</v>
      </c>
      <c r="AF648" s="2" t="n">
        <f aca="false">Entrées!$C$36*S648*1000</f>
        <v>410.530468193881</v>
      </c>
      <c r="AG648" s="2" t="n">
        <f aca="false">-AF648/W648</f>
        <v>-38.3939635558935</v>
      </c>
      <c r="AH648" s="2" t="n">
        <f aca="false">AD648+AE648+AG648</f>
        <v>7511.44713907148</v>
      </c>
      <c r="AI648" s="2" t="n">
        <f aca="false">Entrées!$C$16-M648+Hypothèses!$J$22*1000-AF648+Hypothèses!$J$23</f>
        <v>22533.3116140977</v>
      </c>
      <c r="AJ648" s="2" t="n">
        <f aca="false">AI648/AH648</f>
        <v>2.99986290216817</v>
      </c>
      <c r="AK648" s="2" t="n">
        <f aca="false">AI648/(AH648+I648*(12-Hypothèses!$J$24)/12/Hypothèses!$J$19)</f>
        <v>2.97300031713904</v>
      </c>
      <c r="AL648" s="2" t="n">
        <f aca="false">(AD648+AG648+I648/Hypothèses!$J$19)*(1+G648)</f>
        <v>7963.36798904012</v>
      </c>
      <c r="AM648" s="2" t="n">
        <f aca="false">Entrées!$C$54*K648/Hypothèses!$J$19</f>
        <v>13.2303894289472</v>
      </c>
      <c r="AN648" s="2" t="n">
        <f aca="false">Y648*1000/AC648</f>
        <v>54.0472310341759</v>
      </c>
      <c r="AO648" s="2" t="n">
        <f aca="false">(Entrées!$C$36*(1-S648)+MAX(0,Entrées!$C$30-Entrées!$C$35-Entrées!$C$36)*U648)*1000</f>
        <v>750.293615346252</v>
      </c>
      <c r="AP648" s="2" t="n">
        <f aca="false">-AO648/W648</f>
        <v>-70.1695682918693</v>
      </c>
      <c r="AQ648" s="2" t="n">
        <f aca="false">AL648+AM648+AN648+AP648</f>
        <v>7960.47604121137</v>
      </c>
      <c r="AR648" s="2" t="n">
        <f aca="false">O648*AQ648-Hypothèses!$J$25/Hypothèses!$J$19</f>
        <v>1293.29581969974</v>
      </c>
      <c r="AS648" s="2" t="n">
        <f aca="false">Entrées!$C$79*(1+Q648)+Hypothèses!$J$20</f>
        <v>1509.53271696805</v>
      </c>
      <c r="AT648" s="2" t="n">
        <f aca="false">AI648-AR648+AS648+Y648*1000-AO648+Hypothèses!$J$23</f>
        <v>22479.2699989072</v>
      </c>
      <c r="AU648" s="2" t="n">
        <f aca="false">AT648/AQ648</f>
        <v>2.82386001572419</v>
      </c>
      <c r="AV648" s="2" t="n">
        <f aca="false">Hypothèses!$J$26*AQ648-AT648</f>
        <v>1402.15812472691</v>
      </c>
      <c r="AW648" s="2" t="n">
        <f aca="false">IF(AC648&gt;Hypothèses!$J$26,MAX(0,AV648)/(1-Hypothèses!$J$26/AC648),0)</f>
        <v>2117.37457675588</v>
      </c>
      <c r="AX648" s="2" t="n">
        <f aca="false">AQ648-Entrées!$C$17*1000</f>
        <v>-39.5239587886281</v>
      </c>
      <c r="AY648" s="2" t="n">
        <f aca="false">AI648+(Entrées!$C$244-Entrées!$C$13)</f>
        <v>28280.3116140977</v>
      </c>
      <c r="AZ648" s="2" t="n">
        <f aca="false">AA648*AH648</f>
        <v>5534.20617073706</v>
      </c>
      <c r="BA648" s="2" t="n">
        <f aca="false">AZ648/AY648</f>
        <v>0.195691131210105</v>
      </c>
      <c r="BB648" s="2" t="n">
        <f aca="false">AZ648/(Entrées!$C$151/100)-AY648</f>
        <v>2465.27822333034</v>
      </c>
      <c r="BC648" s="2" t="n">
        <f aca="false">AT648+(Entrées!$C$244-Entrées!$C$13)</f>
        <v>28226.2699989072</v>
      </c>
      <c r="BD648" s="2" t="n">
        <f aca="false">AA648*AQ648</f>
        <v>5865.03703129597</v>
      </c>
      <c r="BE648" s="2" t="n">
        <f aca="false">BD648/BC648</f>
        <v>0.207786470955002</v>
      </c>
      <c r="BF648" s="2" t="n">
        <f aca="false">BD648/(Entrées!$C$151/100)-BC648</f>
        <v>4357.26906384821</v>
      </c>
      <c r="BG648" s="2" t="n">
        <f aca="false">MIN(AV648,BF648)</f>
        <v>1402.15812472691</v>
      </c>
      <c r="BH648" s="2" t="n">
        <f aca="false">IF(AC648&gt;Hypothèses!$J$26,MAX(0,BG648)/(1-Hypothèses!$J$26/AC648),0)</f>
        <v>2117.37457675588</v>
      </c>
    </row>
    <row r="649" customFormat="false" ht="15" hidden="false" customHeight="false" outlineLevel="0" collapsed="false">
      <c r="A649" s="2" t="n">
        <v>634</v>
      </c>
      <c r="B649" s="2" t="n">
        <v>0.663945646</v>
      </c>
      <c r="C649" s="2"/>
      <c r="D649" s="2" t="n">
        <v>0.515337206</v>
      </c>
      <c r="E649" s="2" t="n">
        <f aca="false">IF(E$7=E$5,E$6,IF(NORMSDIST(E$9*SQRT($C$11)*NORMSINV($B649)+SQRT(1-E$9^2*$C$11)*NORMSINV(D649))&lt;E$8,E$5+SQRT(NORMSDIST(E$9*SQRT($C$11)*NORMSINV($B649)+SQRT(1-E$9^2*$C$11)*NORMSINV(D649))*(E$7-E$5)*(E$6-E$5)),E$7-SQRT((1-NORMSDIST(E$9*SQRT($C$11)*NORMSINV($B649)+SQRT(1-E$9^2*$C$11)*NORMSINV(D649)))*(E$7-E$5)*(E$7-E$6))))</f>
        <v>0.0556236360252361</v>
      </c>
      <c r="F649" s="2" t="n">
        <v>0.61937883</v>
      </c>
      <c r="G649" s="2" t="n">
        <f aca="false">IF(G$7=G$5,G$6,IF(NORMSDIST(G$9*SQRT($C$11)*NORMSINV($B649)+SQRT(1-G$9^2*$C$11)*NORMSINV(F649))&lt;G$8,G$5+SQRT(NORMSDIST(G$9*SQRT($C$11)*NORMSINV($B649)+SQRT(1-G$9^2*$C$11)*NORMSINV(F649))*(G$7-G$5)*(G$6-G$5)),G$7-SQRT((1-NORMSDIST(G$9*SQRT($C$11)*NORMSINV($B649)+SQRT(1-G$9^2*$C$11)*NORMSINV(F649)))*(G$7-G$5)*(G$7-G$6))))</f>
        <v>0.0582373972234774</v>
      </c>
      <c r="H649" s="2" t="n">
        <v>0.567120759</v>
      </c>
      <c r="I649" s="2" t="n">
        <f aca="false">IF(I$7=I$5,I$6,IF(NORMSDIST(I$9*SQRT($C$11)*NORMSINV($B649)+SQRT(1-I$9^2*$C$11)*NORMSINV(H649))&lt;I$8,I$5+SQRT(NORMSDIST(I$9*SQRT($C$11)*NORMSINV($B649)+SQRT(1-I$9^2*$C$11)*NORMSINV(H649))*(I$7-I$5)*(I$6-I$5)),I$7-SQRT((1-NORMSDIST(I$9*SQRT($C$11)*NORMSINV($B649)+SQRT(1-I$9^2*$C$11)*NORMSINV(H649)))*(I$7-I$5)*(I$7-I$6))))</f>
        <v>203.384798584226</v>
      </c>
      <c r="J649" s="2" t="n">
        <v>0.324954416</v>
      </c>
      <c r="K649" s="2" t="n">
        <f aca="false">IF(K$7=K$5,K$6,IF(NORMSDIST(K$9*SQRT($C$11)*NORMSINV($B649)+SQRT(1-K$9^2*$C$11)*NORMSINV(J649))&lt;K$8,K$5+SQRT(NORMSDIST(K$9*SQRT($C$11)*NORMSINV($B649)+SQRT(1-K$9^2*$C$11)*NORMSINV(J649))*(K$7-K$5)*(K$6-K$5)),K$7-SQRT((1-NORMSDIST(K$9*SQRT($C$11)*NORMSINV($B649)+SQRT(1-K$9^2*$C$11)*NORMSINV(J649)))*(K$7-K$5)*(K$7-K$6))))</f>
        <v>0.241498394320174</v>
      </c>
      <c r="L649" s="2" t="n">
        <v>0.8841906</v>
      </c>
      <c r="M649" s="2" t="n">
        <f aca="false">IF(M$7=M$5,M$6,IF(NORMSDIST(M$9*SQRT($C$11)*NORMSINV($B649)+SQRT(1-M$9^2*$C$11)*NORMSINV(L649))&lt;M$8,M$5+SQRT(NORMSDIST(M$9*SQRT($C$11)*NORMSINV($B649)+SQRT(1-M$9^2*$C$11)*NORMSINV(L649))*(M$7-M$5)*(M$6-M$5)),M$7-SQRT((1-NORMSDIST(M$9*SQRT($C$11)*NORMSINV($B649)+SQRT(1-M$9^2*$C$11)*NORMSINV(L649)))*(M$7-M$5)*(M$7-M$6))))</f>
        <v>1695.7251016658</v>
      </c>
      <c r="N649" s="2" t="n">
        <v>0.880628501</v>
      </c>
      <c r="O649" s="2" t="n">
        <f aca="false">IF(O$7=O$5,O$6,IF(NORMSDIST(O$9*SQRT($C$11)*NORMSINV($B649)+SQRT(1-O$9^2*$C$11)*NORMSINV(N649))&lt;O$8,O$5+SQRT(NORMSDIST(O$9*SQRT($C$11)*NORMSINV($B649)+SQRT(1-O$9^2*$C$11)*NORMSINV(N649))*(O$7-O$5)*(O$6-O$5)),O$7-SQRT((1-NORMSDIST(O$9*SQRT($C$11)*NORMSINV($B649)+SQRT(1-O$9^2*$C$11)*NORMSINV(N649)))*(O$7-O$5)*(O$7-O$6))))</f>
        <v>0.178743904883507</v>
      </c>
      <c r="P649" s="2" t="n">
        <v>0.355071631</v>
      </c>
      <c r="Q649" s="2" t="n">
        <f aca="false">IF(Q$7=Q$5,Q$6,IF(NORMSDIST(Q$9*SQRT($C$11)*NORMSINV($B649)+SQRT(1-Q$9^2*$C$11)*NORMSINV(P649))&lt;Q$8,Q$5+SQRT(NORMSDIST(Q$9*SQRT($C$11)*NORMSINV($B649)+SQRT(1-Q$9^2*$C$11)*NORMSINV(P649))*(Q$7-Q$5)*(Q$6-Q$5)),Q$7-SQRT((1-NORMSDIST(Q$9*SQRT($C$11)*NORMSINV($B649)+SQRT(1-Q$9^2*$C$11)*NORMSINV(P649)))*(Q$7-Q$5)*(Q$7-Q$6))))</f>
        <v>0.0737079993354693</v>
      </c>
      <c r="R649" s="2" t="n">
        <v>0.064390609</v>
      </c>
      <c r="S649" s="2" t="n">
        <f aca="false">IF(S$7=S$5,S$6,IF(NORMSDIST(S$9*SQRT($C$11)*NORMSINV($B649)+SQRT(1-S$9^2*$C$11)*NORMSINV(R649))&lt;S$8,S$5+SQRT(NORMSDIST(S$9*SQRT($C$11)*NORMSINV($B649)+SQRT(1-S$9^2*$C$11)*NORMSINV(R649))*(S$7-S$5)*(S$6-S$5)),S$7-SQRT((1-NORMSDIST(S$9*SQRT($C$11)*NORMSINV($B649)+SQRT(1-S$9^2*$C$11)*NORMSINV(R649)))*(S$7-S$5)*(S$7-S$6))))</f>
        <v>0.301422357678507</v>
      </c>
      <c r="T649" s="2" t="n">
        <v>0.410072577</v>
      </c>
      <c r="U649" s="2" t="n">
        <f aca="false">IF(U$7=U$5,U$6,IF(NORMSDIST(U$9*SQRT($C$11)*NORMSINV($B649)+SQRT(1-U$9^2*$C$11)*NORMSINV(T649))&lt;U$8,U$5+SQRT(NORMSDIST(U$9*SQRT($C$11)*NORMSINV($B649)+SQRT(1-U$9^2*$C$11)*NORMSINV(T649))*(U$7-U$5)*(U$6-U$5)),U$7-SQRT((1-NORMSDIST(U$9*SQRT($C$11)*NORMSINV($B649)+SQRT(1-U$9^2*$C$11)*NORMSINV(T649)))*(U$7-U$5)*(U$7-U$6))))</f>
        <v>0.518587446614273</v>
      </c>
      <c r="V649" s="2" t="n">
        <v>0.052653678</v>
      </c>
      <c r="W649" s="2" t="n">
        <f aca="false">IF(W$7=W$5,W$6,IF(NORMSDIST(W$9*SQRT($C$11)*NORMSINV($B649)+SQRT(1-W$9^2*$C$11)*NORMSINV(V649))&lt;W$8,W$5+SQRT(NORMSDIST(W$9*SQRT($C$11)*NORMSINV($B649)+SQRT(1-W$9^2*$C$11)*NORMSINV(V649))*(W$7-W$5)*(W$6-W$5)),W$7-SQRT((1-NORMSDIST(W$9*SQRT($C$11)*NORMSINV($B649)+SQRT(1-W$9^2*$C$11)*NORMSINV(V649)))*(W$7-W$5)*(W$7-W$6))))</f>
        <v>9.13789059986883</v>
      </c>
      <c r="X649" s="2" t="n">
        <v>0.602481459</v>
      </c>
      <c r="Y649" s="2" t="n">
        <f aca="false">IF(Y$7=Y$5,Y$6,IF(NORMSDIST(Y$9*SQRT($C$11)*NORMSINV($B649)+SQRT(1-Y$9^2*$C$11)*NORMSINV(X649))&lt;Y$8,Y$5+SQRT(NORMSDIST(Y$9*SQRT($C$11)*NORMSINV($B649)+SQRT(1-Y$9^2*$C$11)*NORMSINV(X649))*(Y$7-Y$5)*(Y$6-Y$5)),Y$7-SQRT((1-NORMSDIST(Y$9*SQRT($C$11)*NORMSINV($B649)+SQRT(1-Y$9^2*$C$11)*NORMSINV(X649)))*(Y$7-Y$5)*(Y$7-Y$6))))</f>
        <v>0.554175740341556</v>
      </c>
      <c r="Z649" s="2" t="n">
        <v>0.40530546</v>
      </c>
      <c r="AA649" s="2" t="n">
        <f aca="false">IF(AA$7=AA$5,AA$6,IF(NORMSDIST(AA$9*SQRT($C$11)*NORMSINV($B649)+SQRT(1-AA$9^2*$C$11)*NORMSINV(Z649))&lt;AA$8,AA$5+SQRT(NORMSDIST(AA$9*SQRT($C$11)*NORMSINV($B649)+SQRT(1-AA$9^2*$C$11)*NORMSINV(Z649))*(AA$7-AA$5)*(AA$6-AA$5)),AA$7-SQRT((1-NORMSDIST(AA$9*SQRT($C$11)*NORMSINV($B649)+SQRT(1-AA$9^2*$C$11)*NORMSINV(Z649)))*(AA$7-AA$5)*(AA$7-AA$6))))</f>
        <v>0.729104883778318</v>
      </c>
      <c r="AB649" s="2" t="n">
        <v>0.050705187</v>
      </c>
      <c r="AC649" s="2" t="n">
        <f aca="false">IF(AC$7=AC$5,AC$6,IF(NORMSDIST(AC$9*SQRT($C$11)*NORMSINV($B649)+SQRT(1-AC$9^2*$C$11)*NORMSINV(AB649))&lt;AC$8,AC$5+SQRT(NORMSDIST(AC$9*SQRT($C$11)*NORMSINV($B649)+SQRT(1-AC$9^2*$C$11)*NORMSINV(AB649))*(AC$7-AC$5)*(AC$6-AC$5)),AC$7-SQRT((1-NORMSDIST(AC$9*SQRT($C$11)*NORMSINV($B649)+SQRT(1-AC$9^2*$C$11)*NORMSINV(AB649)))*(AC$7-AC$5)*(AC$7-AC$6))))</f>
        <v>8.5697852020462</v>
      </c>
      <c r="AD649" s="2" t="n">
        <f aca="false">Entrées!$C$8*(1+E649)</f>
        <v>7442.14663397791</v>
      </c>
      <c r="AE649" s="2" t="n">
        <f aca="false">I649*Hypothèses!$J$24/12/Hypothèses!$J$19</f>
        <v>100.898547619263</v>
      </c>
      <c r="AF649" s="2" t="n">
        <f aca="false">Entrées!$C$36*S649*1000</f>
        <v>150.711178839253</v>
      </c>
      <c r="AG649" s="2" t="n">
        <f aca="false">-AF649/W649</f>
        <v>-16.4929944380618</v>
      </c>
      <c r="AH649" s="2" t="n">
        <f aca="false">AD649+AE649+AG649</f>
        <v>7526.55218715911</v>
      </c>
      <c r="AI649" s="2" t="n">
        <f aca="false">Entrées!$C$16-M649+Hypothèses!$J$22*1000-AF649+Hypothèses!$J$23</f>
        <v>22701.5637194949</v>
      </c>
      <c r="AJ649" s="2" t="n">
        <f aca="false">AI649/AH649</f>
        <v>3.01619694582409</v>
      </c>
      <c r="AK649" s="2" t="n">
        <f aca="false">AI649/(AH649+I649*(12-Hypothèses!$J$24)/12/Hypothèses!$J$19)</f>
        <v>2.9875893276077</v>
      </c>
      <c r="AL649" s="2" t="n">
        <f aca="false">(AD649+AG649+I649/Hypothèses!$J$19)*(1+G649)</f>
        <v>8041.14657976039</v>
      </c>
      <c r="AM649" s="2" t="n">
        <f aca="false">Entrées!$C$54*K649/Hypothèses!$J$19</f>
        <v>24.6459251266062</v>
      </c>
      <c r="AN649" s="2" t="n">
        <f aca="false">Y649*1000/AC649</f>
        <v>64.6662345993498</v>
      </c>
      <c r="AO649" s="2" t="n">
        <f aca="false">(Entrées!$C$36*(1-S649)+MAX(0,Entrées!$C$30-Entrées!$C$35-Entrées!$C$36)*U649)*1000</f>
        <v>1075.31124642073</v>
      </c>
      <c r="AP649" s="2" t="n">
        <f aca="false">-AO649/W649</f>
        <v>-117.676091070314</v>
      </c>
      <c r="AQ649" s="2" t="n">
        <f aca="false">AL649+AM649+AN649+AP649</f>
        <v>8012.78264841603</v>
      </c>
      <c r="AR649" s="2" t="n">
        <f aca="false">O649*AQ649-Hypothèses!$J$25/Hypothèses!$J$19</f>
        <v>1413.10089729906</v>
      </c>
      <c r="AS649" s="2" t="n">
        <f aca="false">Entrées!$C$79*(1+Q649)+Hypothèses!$J$20</f>
        <v>1475.00509126968</v>
      </c>
      <c r="AT649" s="2" t="n">
        <f aca="false">AI649-AR649+AS649+Y649*1000-AO649+Hypothèses!$J$23</f>
        <v>22242.3324073864</v>
      </c>
      <c r="AU649" s="2" t="n">
        <f aca="false">AT649/AQ649</f>
        <v>2.77585620168834</v>
      </c>
      <c r="AV649" s="2" t="n">
        <f aca="false">Hypothèses!$J$26*AQ649-AT649</f>
        <v>1796.01553786169</v>
      </c>
      <c r="AW649" s="2" t="n">
        <f aca="false">IF(AC649&gt;Hypothèses!$J$26,MAX(0,AV649)/(1-Hypothèses!$J$26/AC649),0)</f>
        <v>2763.38616673364</v>
      </c>
      <c r="AX649" s="2" t="n">
        <f aca="false">AQ649-Entrées!$C$17*1000</f>
        <v>12.7826484160287</v>
      </c>
      <c r="AY649" s="2" t="n">
        <f aca="false">AI649+(Entrées!$C$244-Entrées!$C$13)</f>
        <v>28448.5637194949</v>
      </c>
      <c r="AZ649" s="2" t="n">
        <f aca="false">AA649*AH649</f>
        <v>5487.64595767009</v>
      </c>
      <c r="BA649" s="2" t="n">
        <f aca="false">AZ649/AY649</f>
        <v>0.192897118173652</v>
      </c>
      <c r="BB649" s="2" t="n">
        <f aca="false">AZ649/(Entrées!$C$151/100)-AY649</f>
        <v>2038.3582675611</v>
      </c>
      <c r="BC649" s="2" t="n">
        <f aca="false">AT649+(Entrées!$C$244-Entrées!$C$13)</f>
        <v>27989.3324073864</v>
      </c>
      <c r="BD649" s="2" t="n">
        <f aca="false">AA649*AQ649</f>
        <v>5842.15896161429</v>
      </c>
      <c r="BE649" s="2" t="n">
        <f aca="false">BD649/BC649</f>
        <v>0.208728056696077</v>
      </c>
      <c r="BF649" s="2" t="n">
        <f aca="false">BD649/(Entrées!$C$151/100)-BC649</f>
        <v>4467.10626824855</v>
      </c>
      <c r="BG649" s="2" t="n">
        <f aca="false">MIN(AV649,BF649)</f>
        <v>1796.01553786169</v>
      </c>
      <c r="BH649" s="2" t="n">
        <f aca="false">IF(AC649&gt;Hypothèses!$J$26,MAX(0,BG649)/(1-Hypothèses!$J$26/AC649),0)</f>
        <v>2763.38616673364</v>
      </c>
    </row>
    <row r="650" customFormat="false" ht="15" hidden="false" customHeight="false" outlineLevel="0" collapsed="false">
      <c r="A650" s="2" t="n">
        <v>635</v>
      </c>
      <c r="B650" s="2" t="n">
        <v>0.459348337</v>
      </c>
      <c r="C650" s="2"/>
      <c r="D650" s="2" t="n">
        <v>0.062418351</v>
      </c>
      <c r="E650" s="2" t="n">
        <f aca="false">IF(E$7=E$5,E$6,IF(NORMSDIST(E$9*SQRT($C$11)*NORMSINV($B650)+SQRT(1-E$9^2*$C$11)*NORMSINV(D650))&lt;E$8,E$5+SQRT(NORMSDIST(E$9*SQRT($C$11)*NORMSINV($B650)+SQRT(1-E$9^2*$C$11)*NORMSINV(D650))*(E$7-E$5)*(E$6-E$5)),E$7-SQRT((1-NORMSDIST(E$9*SQRT($C$11)*NORMSINV($B650)+SQRT(1-E$9^2*$C$11)*NORMSINV(D650)))*(E$7-E$5)*(E$7-E$6))))</f>
        <v>0.0522916211384117</v>
      </c>
      <c r="F650" s="2" t="n">
        <v>0.385387573</v>
      </c>
      <c r="G650" s="2" t="n">
        <f aca="false">IF(G$7=G$5,G$6,IF(NORMSDIST(G$9*SQRT($C$11)*NORMSINV($B650)+SQRT(1-G$9^2*$C$11)*NORMSINV(F650))&lt;G$8,G$5+SQRT(NORMSDIST(G$9*SQRT($C$11)*NORMSINV($B650)+SQRT(1-G$9^2*$C$11)*NORMSINV(F650))*(G$7-G$5)*(G$6-G$5)),G$7-SQRT((1-NORMSDIST(G$9*SQRT($C$11)*NORMSINV($B650)+SQRT(1-G$9^2*$C$11)*NORMSINV(F650)))*(G$7-G$5)*(G$7-G$6))))</f>
        <v>0.0531763566568508</v>
      </c>
      <c r="H650" s="2" t="n">
        <v>0.44832588</v>
      </c>
      <c r="I650" s="2" t="n">
        <f aca="false">IF(I$7=I$5,I$6,IF(NORMSDIST(I$9*SQRT($C$11)*NORMSINV($B650)+SQRT(1-I$9^2*$C$11)*NORMSINV(H650))&lt;I$8,I$5+SQRT(NORMSDIST(I$9*SQRT($C$11)*NORMSINV($B650)+SQRT(1-I$9^2*$C$11)*NORMSINV(H650))*(I$7-I$5)*(I$6-I$5)),I$7-SQRT((1-NORMSDIST(I$9*SQRT($C$11)*NORMSINV($B650)+SQRT(1-I$9^2*$C$11)*NORMSINV(H650)))*(I$7-I$5)*(I$7-I$6))))</f>
        <v>198.641978124094</v>
      </c>
      <c r="J650" s="2" t="n">
        <v>0.407966293</v>
      </c>
      <c r="K650" s="2" t="n">
        <f aca="false">IF(K$7=K$5,K$6,IF(NORMSDIST(K$9*SQRT($C$11)*NORMSINV($B650)+SQRT(1-K$9^2*$C$11)*NORMSINV(J650))&lt;K$8,K$5+SQRT(NORMSDIST(K$9*SQRT($C$11)*NORMSINV($B650)+SQRT(1-K$9^2*$C$11)*NORMSINV(J650))*(K$7-K$5)*(K$6-K$5)),K$7-SQRT((1-NORMSDIST(K$9*SQRT($C$11)*NORMSINV($B650)+SQRT(1-K$9^2*$C$11)*NORMSINV(J650)))*(K$7-K$5)*(K$7-K$6))))</f>
        <v>0.22452146583063</v>
      </c>
      <c r="L650" s="2" t="n">
        <v>0.984520454</v>
      </c>
      <c r="M650" s="2" t="n">
        <f aca="false">IF(M$7=M$5,M$6,IF(NORMSDIST(M$9*SQRT($C$11)*NORMSINV($B650)+SQRT(1-M$9^2*$C$11)*NORMSINV(L650))&lt;M$8,M$5+SQRT(NORMSDIST(M$9*SQRT($C$11)*NORMSINV($B650)+SQRT(1-M$9^2*$C$11)*NORMSINV(L650))*(M$7-M$5)*(M$6-M$5)),M$7-SQRT((1-NORMSDIST(M$9*SQRT($C$11)*NORMSINV($B650)+SQRT(1-M$9^2*$C$11)*NORMSINV(L650)))*(M$7-M$5)*(M$7-M$6))))</f>
        <v>1726.29820867857</v>
      </c>
      <c r="N650" s="2" t="n">
        <v>0.504111612</v>
      </c>
      <c r="O650" s="2" t="n">
        <f aca="false">IF(O$7=O$5,O$6,IF(NORMSDIST(O$9*SQRT($C$11)*NORMSINV($B650)+SQRT(1-O$9^2*$C$11)*NORMSINV(N650))&lt;O$8,O$5+SQRT(NORMSDIST(O$9*SQRT($C$11)*NORMSINV($B650)+SQRT(1-O$9^2*$C$11)*NORMSINV(N650))*(O$7-O$5)*(O$6-O$5)),O$7-SQRT((1-NORMSDIST(O$9*SQRT($C$11)*NORMSINV($B650)+SQRT(1-O$9^2*$C$11)*NORMSINV(N650)))*(O$7-O$5)*(O$7-O$6))))</f>
        <v>0.166173313672039</v>
      </c>
      <c r="P650" s="2" t="n">
        <v>0.458891549</v>
      </c>
      <c r="Q650" s="2" t="n">
        <f aca="false">IF(Q$7=Q$5,Q$6,IF(NORMSDIST(Q$9*SQRT($C$11)*NORMSINV($B650)+SQRT(1-Q$9^2*$C$11)*NORMSINV(P650))&lt;Q$8,Q$5+SQRT(NORMSDIST(Q$9*SQRT($C$11)*NORMSINV($B650)+SQRT(1-Q$9^2*$C$11)*NORMSINV(P650))*(Q$7-Q$5)*(Q$6-Q$5)),Q$7-SQRT((1-NORMSDIST(Q$9*SQRT($C$11)*NORMSINV($B650)+SQRT(1-Q$9^2*$C$11)*NORMSINV(P650)))*(Q$7-Q$5)*(Q$7-Q$6))))</f>
        <v>0.0783203987035626</v>
      </c>
      <c r="R650" s="2" t="n">
        <v>0.22721726</v>
      </c>
      <c r="S650" s="2" t="n">
        <f aca="false">IF(S$7=S$5,S$6,IF(NORMSDIST(S$9*SQRT($C$11)*NORMSINV($B650)+SQRT(1-S$9^2*$C$11)*NORMSINV(R650))&lt;S$8,S$5+SQRT(NORMSDIST(S$9*SQRT($C$11)*NORMSINV($B650)+SQRT(1-S$9^2*$C$11)*NORMSINV(R650))*(S$7-S$5)*(S$6-S$5)),S$7-SQRT((1-NORMSDIST(S$9*SQRT($C$11)*NORMSINV($B650)+SQRT(1-S$9^2*$C$11)*NORMSINV(R650)))*(S$7-S$5)*(S$7-S$6))))</f>
        <v>0.360410265859738</v>
      </c>
      <c r="T650" s="2" t="n">
        <v>0.159372849</v>
      </c>
      <c r="U650" s="2" t="n">
        <f aca="false">IF(U$7=U$5,U$6,IF(NORMSDIST(U$9*SQRT($C$11)*NORMSINV($B650)+SQRT(1-U$9^2*$C$11)*NORMSINV(T650))&lt;U$8,U$5+SQRT(NORMSDIST(U$9*SQRT($C$11)*NORMSINV($B650)+SQRT(1-U$9^2*$C$11)*NORMSINV(T650))*(U$7-U$5)*(U$6-U$5)),U$7-SQRT((1-NORMSDIST(U$9*SQRT($C$11)*NORMSINV($B650)+SQRT(1-U$9^2*$C$11)*NORMSINV(T650)))*(U$7-U$5)*(U$7-U$6))))</f>
        <v>0.317281659946105</v>
      </c>
      <c r="V650" s="2" t="n">
        <v>0.90757964</v>
      </c>
      <c r="W650" s="2" t="n">
        <f aca="false">IF(W$7=W$5,W$6,IF(NORMSDIST(W$9*SQRT($C$11)*NORMSINV($B650)+SQRT(1-W$9^2*$C$11)*NORMSINV(V650))&lt;W$8,W$5+SQRT(NORMSDIST(W$9*SQRT($C$11)*NORMSINV($B650)+SQRT(1-W$9^2*$C$11)*NORMSINV(V650))*(W$7-W$5)*(W$6-W$5)),W$7-SQRT((1-NORMSDIST(W$9*SQRT($C$11)*NORMSINV($B650)+SQRT(1-W$9^2*$C$11)*NORMSINV(V650)))*(W$7-W$5)*(W$7-W$6))))</f>
        <v>10.841084763891</v>
      </c>
      <c r="X650" s="2" t="n">
        <v>0.950852205</v>
      </c>
      <c r="Y650" s="2" t="n">
        <f aca="false">IF(Y$7=Y$5,Y$6,IF(NORMSDIST(Y$9*SQRT($C$11)*NORMSINV($B650)+SQRT(1-Y$9^2*$C$11)*NORMSINV(X650))&lt;Y$8,Y$5+SQRT(NORMSDIST(Y$9*SQRT($C$11)*NORMSINV($B650)+SQRT(1-Y$9^2*$C$11)*NORMSINV(X650))*(Y$7-Y$5)*(Y$6-Y$5)),Y$7-SQRT((1-NORMSDIST(Y$9*SQRT($C$11)*NORMSINV($B650)+SQRT(1-Y$9^2*$C$11)*NORMSINV(X650)))*(Y$7-Y$5)*(Y$7-Y$6))))</f>
        <v>0.843239362402419</v>
      </c>
      <c r="Z650" s="2" t="n">
        <v>0.391761365</v>
      </c>
      <c r="AA650" s="2" t="n">
        <f aca="false">IF(AA$7=AA$5,AA$6,IF(NORMSDIST(AA$9*SQRT($C$11)*NORMSINV($B650)+SQRT(1-AA$9^2*$C$11)*NORMSINV(Z650))&lt;AA$8,AA$5+SQRT(NORMSDIST(AA$9*SQRT($C$11)*NORMSINV($B650)+SQRT(1-AA$9^2*$C$11)*NORMSINV(Z650))*(AA$7-AA$5)*(AA$6-AA$5)),AA$7-SQRT((1-NORMSDIST(AA$9*SQRT($C$11)*NORMSINV($B650)+SQRT(1-AA$9^2*$C$11)*NORMSINV(Z650)))*(AA$7-AA$5)*(AA$7-AA$6))))</f>
        <v>0.724255263084746</v>
      </c>
      <c r="AB650" s="2" t="n">
        <v>0.976585651</v>
      </c>
      <c r="AC650" s="2" t="n">
        <f aca="false">IF(AC$7=AC$5,AC$6,IF(NORMSDIST(AC$9*SQRT($C$11)*NORMSINV($B650)+SQRT(1-AC$9^2*$C$11)*NORMSINV(AB650))&lt;AC$8,AC$5+SQRT(NORMSDIST(AC$9*SQRT($C$11)*NORMSINV($B650)+SQRT(1-AC$9^2*$C$11)*NORMSINV(AB650))*(AC$7-AC$5)*(AC$6-AC$5)),AC$7-SQRT((1-NORMSDIST(AC$9*SQRT($C$11)*NORMSINV($B650)+SQRT(1-AC$9^2*$C$11)*NORMSINV(AB650)))*(AC$7-AC$5)*(AC$7-AC$6))))</f>
        <v>10.4497901389273</v>
      </c>
      <c r="AD650" s="2" t="n">
        <f aca="false">Entrées!$C$8*(1+E650)</f>
        <v>7418.6559290258</v>
      </c>
      <c r="AE650" s="2" t="n">
        <f aca="false">I650*Hypothèses!$J$24/12/Hypothèses!$J$19</f>
        <v>98.5456495689788</v>
      </c>
      <c r="AF650" s="2" t="n">
        <f aca="false">Entrées!$C$36*S650*1000</f>
        <v>180.205132929869</v>
      </c>
      <c r="AG650" s="2" t="n">
        <f aca="false">-AF650/W650</f>
        <v>-16.6224263396675</v>
      </c>
      <c r="AH650" s="2" t="n">
        <f aca="false">AD650+AE650+AG650</f>
        <v>7500.57915225511</v>
      </c>
      <c r="AI650" s="2" t="n">
        <f aca="false">Entrées!$C$16-M650+Hypothèses!$J$22*1000-AF650+Hypothèses!$J$23</f>
        <v>22641.4966583916</v>
      </c>
      <c r="AJ650" s="2" t="n">
        <f aca="false">AI650/AH650</f>
        <v>3.0186331213616</v>
      </c>
      <c r="AK650" s="2" t="n">
        <f aca="false">AI650/(AH650+I650*(12-Hypothèses!$J$24)/12/Hypothèses!$J$19)</f>
        <v>2.99056791166692</v>
      </c>
      <c r="AL650" s="2" t="n">
        <f aca="false">(AD650+AG650+I650/Hypothèses!$J$19)*(1+G650)</f>
        <v>7973.56544451512</v>
      </c>
      <c r="AM650" s="2" t="n">
        <f aca="false">Entrées!$C$54*K650/Hypothèses!$J$19</f>
        <v>22.9133582927318</v>
      </c>
      <c r="AN650" s="2" t="n">
        <f aca="false">Y650*1000/AC650</f>
        <v>80.6943824891948</v>
      </c>
      <c r="AO650" s="2" t="n">
        <f aca="false">(Entrées!$C$36*(1-S650)+MAX(0,Entrées!$C$30-Entrées!$C$35-Entrées!$C$36)*U650)*1000</f>
        <v>763.989190994678</v>
      </c>
      <c r="AP650" s="2" t="n">
        <f aca="false">-AO650/W650</f>
        <v>-70.4716555246705</v>
      </c>
      <c r="AQ650" s="2" t="n">
        <f aca="false">AL650+AM650+AN650+AP650</f>
        <v>8006.70152977237</v>
      </c>
      <c r="AR650" s="2" t="n">
        <f aca="false">O650*AQ650-Hypothèses!$J$25/Hypothèses!$J$19</f>
        <v>1311.36496252363</v>
      </c>
      <c r="AS650" s="2" t="n">
        <f aca="false">Entrées!$C$79*(1+Q650)+Hypothèses!$J$20</f>
        <v>1480.07411817522</v>
      </c>
      <c r="AT650" s="2" t="n">
        <f aca="false">AI650-AR650+AS650+Y650*1000-AO650+Hypothèses!$J$23</f>
        <v>22889.4559854509</v>
      </c>
      <c r="AU650" s="2" t="n">
        <f aca="false">AT650/AQ650</f>
        <v>2.85878721722522</v>
      </c>
      <c r="AV650" s="2" t="n">
        <f aca="false">Hypothèses!$J$26*AQ650-AT650</f>
        <v>1130.64860386623</v>
      </c>
      <c r="AW650" s="2" t="n">
        <f aca="false">IF(AC650&gt;Hypothèses!$J$26,MAX(0,AV650)/(1-Hypothèses!$J$26/AC650),0)</f>
        <v>1585.95616936056</v>
      </c>
      <c r="AX650" s="2" t="n">
        <f aca="false">AQ650-Entrées!$C$17*1000</f>
        <v>6.70152977237103</v>
      </c>
      <c r="AY650" s="2" t="n">
        <f aca="false">AI650+(Entrées!$C$244-Entrées!$C$13)</f>
        <v>28388.4966583916</v>
      </c>
      <c r="AZ650" s="2" t="n">
        <f aca="false">AA650*AH650</f>
        <v>5432.33392720449</v>
      </c>
      <c r="BA650" s="2" t="n">
        <f aca="false">AZ650/AY650</f>
        <v>0.191356872206852</v>
      </c>
      <c r="BB650" s="2" t="n">
        <f aca="false">AZ650/(Entrées!$C$151/100)-AY650</f>
        <v>1791.13627052226</v>
      </c>
      <c r="BC650" s="2" t="n">
        <f aca="false">AT650+(Entrées!$C$244-Entrées!$C$13)</f>
        <v>28636.4559854509</v>
      </c>
      <c r="BD650" s="2" t="n">
        <f aca="false">AA650*AQ650</f>
        <v>5798.89572288633</v>
      </c>
      <c r="BE650" s="2" t="n">
        <f aca="false">BD650/BC650</f>
        <v>0.202500467440263</v>
      </c>
      <c r="BF650" s="2" t="n">
        <f aca="false">BD650/(Entrées!$C$151/100)-BC650</f>
        <v>3579.63136391759</v>
      </c>
      <c r="BG650" s="2" t="n">
        <f aca="false">MIN(AV650,BF650)</f>
        <v>1130.64860386623</v>
      </c>
      <c r="BH650" s="2" t="n">
        <f aca="false">IF(AC650&gt;Hypothèses!$J$26,MAX(0,BG650)/(1-Hypothèses!$J$26/AC650),0)</f>
        <v>1585.95616936056</v>
      </c>
    </row>
    <row r="651" customFormat="false" ht="15" hidden="false" customHeight="false" outlineLevel="0" collapsed="false">
      <c r="A651" s="2" t="n">
        <v>636</v>
      </c>
      <c r="B651" s="2" t="n">
        <v>0.605085858</v>
      </c>
      <c r="C651" s="2"/>
      <c r="D651" s="2" t="n">
        <v>0.584191669</v>
      </c>
      <c r="E651" s="2" t="n">
        <f aca="false">IF(E$7=E$5,E$6,IF(NORMSDIST(E$9*SQRT($C$11)*NORMSINV($B651)+SQRT(1-E$9^2*$C$11)*NORMSINV(D651))&lt;E$8,E$5+SQRT(NORMSDIST(E$9*SQRT($C$11)*NORMSINV($B651)+SQRT(1-E$9^2*$C$11)*NORMSINV(D651))*(E$7-E$5)*(E$6-E$5)),E$7-SQRT((1-NORMSDIST(E$9*SQRT($C$11)*NORMSINV($B651)+SQRT(1-E$9^2*$C$11)*NORMSINV(D651)))*(E$7-E$5)*(E$7-E$6))))</f>
        <v>0.0557019512263506</v>
      </c>
      <c r="F651" s="2" t="n">
        <v>0.394805014</v>
      </c>
      <c r="G651" s="2" t="n">
        <f aca="false">IF(G$7=G$5,G$6,IF(NORMSDIST(G$9*SQRT($C$11)*NORMSINV($B651)+SQRT(1-G$9^2*$C$11)*NORMSINV(F651))&lt;G$8,G$5+SQRT(NORMSDIST(G$9*SQRT($C$11)*NORMSINV($B651)+SQRT(1-G$9^2*$C$11)*NORMSINV(F651))*(G$7-G$5)*(G$6-G$5)),G$7-SQRT((1-NORMSDIST(G$9*SQRT($C$11)*NORMSINV($B651)+SQRT(1-G$9^2*$C$11)*NORMSINV(F651)))*(G$7-G$5)*(G$7-G$6))))</f>
        <v>0.0547702708833045</v>
      </c>
      <c r="H651" s="2" t="n">
        <v>0.994561916</v>
      </c>
      <c r="I651" s="2" t="n">
        <f aca="false">IF(I$7=I$5,I$6,IF(NORMSDIST(I$9*SQRT($C$11)*NORMSINV($B651)+SQRT(1-I$9^2*$C$11)*NORMSINV(H651))&lt;I$8,I$5+SQRT(NORMSDIST(I$9*SQRT($C$11)*NORMSINV($B651)+SQRT(1-I$9^2*$C$11)*NORMSINV(H651))*(I$7-I$5)*(I$6-I$5)),I$7-SQRT((1-NORMSDIST(I$9*SQRT($C$11)*NORMSINV($B651)+SQRT(1-I$9^2*$C$11)*NORMSINV(H651)))*(I$7-I$5)*(I$7-I$6))))</f>
        <v>216.407898761355</v>
      </c>
      <c r="J651" s="2" t="n">
        <v>0.891510919</v>
      </c>
      <c r="K651" s="2" t="n">
        <f aca="false">IF(K$7=K$5,K$6,IF(NORMSDIST(K$9*SQRT($C$11)*NORMSINV($B651)+SQRT(1-K$9^2*$C$11)*NORMSINV(J651))&lt;K$8,K$5+SQRT(NORMSDIST(K$9*SQRT($C$11)*NORMSINV($B651)+SQRT(1-K$9^2*$C$11)*NORMSINV(J651))*(K$7-K$5)*(K$6-K$5)),K$7-SQRT((1-NORMSDIST(K$9*SQRT($C$11)*NORMSINV($B651)+SQRT(1-K$9^2*$C$11)*NORMSINV(J651)))*(K$7-K$5)*(K$7-K$6))))</f>
        <v>0.372368811192609</v>
      </c>
      <c r="L651" s="2" t="n">
        <v>0.257360564</v>
      </c>
      <c r="M651" s="2" t="n">
        <f aca="false">IF(M$7=M$5,M$6,IF(NORMSDIST(M$9*SQRT($C$11)*NORMSINV($B651)+SQRT(1-M$9^2*$C$11)*NORMSINV(L651))&lt;M$8,M$5+SQRT(NORMSDIST(M$9*SQRT($C$11)*NORMSINV($B651)+SQRT(1-M$9^2*$C$11)*NORMSINV(L651))*(M$7-M$5)*(M$6-M$5)),M$7-SQRT((1-NORMSDIST(M$9*SQRT($C$11)*NORMSINV($B651)+SQRT(1-M$9^2*$C$11)*NORMSINV(L651)))*(M$7-M$5)*(M$7-M$6))))</f>
        <v>1545.39162692733</v>
      </c>
      <c r="N651" s="2" t="n">
        <v>0.678433525</v>
      </c>
      <c r="O651" s="2" t="n">
        <f aca="false">IF(O$7=O$5,O$6,IF(NORMSDIST(O$9*SQRT($C$11)*NORMSINV($B651)+SQRT(1-O$9^2*$C$11)*NORMSINV(N651))&lt;O$8,O$5+SQRT(NORMSDIST(O$9*SQRT($C$11)*NORMSINV($B651)+SQRT(1-O$9^2*$C$11)*NORMSINV(N651))*(O$7-O$5)*(O$6-O$5)),O$7-SQRT((1-NORMSDIST(O$9*SQRT($C$11)*NORMSINV($B651)+SQRT(1-O$9^2*$C$11)*NORMSINV(N651)))*(O$7-O$5)*(O$7-O$6))))</f>
        <v>0.172155597214318</v>
      </c>
      <c r="P651" s="2" t="n">
        <v>0.624766002</v>
      </c>
      <c r="Q651" s="2" t="n">
        <f aca="false">IF(Q$7=Q$5,Q$6,IF(NORMSDIST(Q$9*SQRT($C$11)*NORMSINV($B651)+SQRT(1-Q$9^2*$C$11)*NORMSINV(P651))&lt;Q$8,Q$5+SQRT(NORMSDIST(Q$9*SQRT($C$11)*NORMSINV($B651)+SQRT(1-Q$9^2*$C$11)*NORMSINV(P651))*(Q$7-Q$5)*(Q$6-Q$5)),Q$7-SQRT((1-NORMSDIST(Q$9*SQRT($C$11)*NORMSINV($B651)+SQRT(1-Q$9^2*$C$11)*NORMSINV(P651)))*(Q$7-Q$5)*(Q$7-Q$6))))</f>
        <v>0.0853481776294522</v>
      </c>
      <c r="R651" s="2" t="n">
        <v>0.273897665</v>
      </c>
      <c r="S651" s="2" t="n">
        <f aca="false">IF(S$7=S$5,S$6,IF(NORMSDIST(S$9*SQRT($C$11)*NORMSINV($B651)+SQRT(1-S$9^2*$C$11)*NORMSINV(R651))&lt;S$8,S$5+SQRT(NORMSDIST(S$9*SQRT($C$11)*NORMSINV($B651)+SQRT(1-S$9^2*$C$11)*NORMSINV(R651))*(S$7-S$5)*(S$6-S$5)),S$7-SQRT((1-NORMSDIST(S$9*SQRT($C$11)*NORMSINV($B651)+SQRT(1-S$9^2*$C$11)*NORMSINV(R651)))*(S$7-S$5)*(S$7-S$6))))</f>
        <v>0.437737338727902</v>
      </c>
      <c r="T651" s="2" t="n">
        <v>0.637850861</v>
      </c>
      <c r="U651" s="2" t="n">
        <f aca="false">IF(U$7=U$5,U$6,IF(NORMSDIST(U$9*SQRT($C$11)*NORMSINV($B651)+SQRT(1-U$9^2*$C$11)*NORMSINV(T651))&lt;U$8,U$5+SQRT(NORMSDIST(U$9*SQRT($C$11)*NORMSINV($B651)+SQRT(1-U$9^2*$C$11)*NORMSINV(T651))*(U$7-U$5)*(U$6-U$5)),U$7-SQRT((1-NORMSDIST(U$9*SQRT($C$11)*NORMSINV($B651)+SQRT(1-U$9^2*$C$11)*NORMSINV(T651)))*(U$7-U$5)*(U$7-U$6))))</f>
        <v>0.594215659238211</v>
      </c>
      <c r="V651" s="2" t="n">
        <v>0.428536004</v>
      </c>
      <c r="W651" s="2" t="n">
        <f aca="false">IF(W$7=W$5,W$6,IF(NORMSDIST(W$9*SQRT($C$11)*NORMSINV($B651)+SQRT(1-W$9^2*$C$11)*NORMSINV(V651))&lt;W$8,W$5+SQRT(NORMSDIST(W$9*SQRT($C$11)*NORMSINV($B651)+SQRT(1-W$9^2*$C$11)*NORMSINV(V651))*(W$7-W$5)*(W$6-W$5)),W$7-SQRT((1-NORMSDIST(W$9*SQRT($C$11)*NORMSINV($B651)+SQRT(1-W$9^2*$C$11)*NORMSINV(V651)))*(W$7-W$5)*(W$7-W$6))))</f>
        <v>10.0233222460511</v>
      </c>
      <c r="X651" s="2" t="n">
        <v>0.42850812</v>
      </c>
      <c r="Y651" s="2" t="n">
        <f aca="false">IF(Y$7=Y$5,Y$6,IF(NORMSDIST(Y$9*SQRT($C$11)*NORMSINV($B651)+SQRT(1-Y$9^2*$C$11)*NORMSINV(X651))&lt;Y$8,Y$5+SQRT(NORMSDIST(Y$9*SQRT($C$11)*NORMSINV($B651)+SQRT(1-Y$9^2*$C$11)*NORMSINV(X651))*(Y$7-Y$5)*(Y$6-Y$5)),Y$7-SQRT((1-NORMSDIST(Y$9*SQRT($C$11)*NORMSINV($B651)+SQRT(1-Y$9^2*$C$11)*NORMSINV(X651)))*(Y$7-Y$5)*(Y$7-Y$6))))</f>
        <v>0.462875858087241</v>
      </c>
      <c r="Z651" s="2" t="n">
        <v>0.429545022</v>
      </c>
      <c r="AA651" s="2" t="n">
        <f aca="false">IF(AA$7=AA$5,AA$6,IF(NORMSDIST(AA$9*SQRT($C$11)*NORMSINV($B651)+SQRT(1-AA$9^2*$C$11)*NORMSINV(Z651))&lt;AA$8,AA$5+SQRT(NORMSDIST(AA$9*SQRT($C$11)*NORMSINV($B651)+SQRT(1-AA$9^2*$C$11)*NORMSINV(Z651))*(AA$7-AA$5)*(AA$6-AA$5)),AA$7-SQRT((1-NORMSDIST(AA$9*SQRT($C$11)*NORMSINV($B651)+SQRT(1-AA$9^2*$C$11)*NORMSINV(Z651)))*(AA$7-AA$5)*(AA$7-AA$6))))</f>
        <v>0.728454350067715</v>
      </c>
      <c r="AB651" s="2" t="n">
        <v>0.399208435</v>
      </c>
      <c r="AC651" s="2" t="n">
        <f aca="false">IF(AC$7=AC$5,AC$6,IF(NORMSDIST(AC$9*SQRT($C$11)*NORMSINV($B651)+SQRT(1-AC$9^2*$C$11)*NORMSINV(AB651))&lt;AC$8,AC$5+SQRT(NORMSDIST(AC$9*SQRT($C$11)*NORMSINV($B651)+SQRT(1-AC$9^2*$C$11)*NORMSINV(AB651))*(AC$7-AC$5)*(AC$6-AC$5)),AC$7-SQRT((1-NORMSDIST(AC$9*SQRT($C$11)*NORMSINV($B651)+SQRT(1-AC$9^2*$C$11)*NORMSINV(AB651)))*(AC$7-AC$5)*(AC$7-AC$6))))</f>
        <v>9.4540603558509</v>
      </c>
      <c r="AD651" s="2" t="n">
        <f aca="false">Entrées!$C$8*(1+E651)</f>
        <v>7442.69875614577</v>
      </c>
      <c r="AE651" s="2" t="n">
        <f aca="false">I651*Hypothèses!$J$24/12/Hypothèses!$J$19</f>
        <v>107.359265935083</v>
      </c>
      <c r="AF651" s="2" t="n">
        <f aca="false">Entrées!$C$36*S651*1000</f>
        <v>218.868669363951</v>
      </c>
      <c r="AG651" s="2" t="n">
        <f aca="false">-AF651/W651</f>
        <v>-21.8359406184091</v>
      </c>
      <c r="AH651" s="2" t="n">
        <f aca="false">AD651+AE651+AG651</f>
        <v>7528.22208146245</v>
      </c>
      <c r="AI651" s="2" t="n">
        <f aca="false">Entrées!$C$16-M651+Hypothèses!$J$22*1000-AF651+Hypothèses!$J$23</f>
        <v>22783.7397037087</v>
      </c>
      <c r="AJ651" s="2" t="n">
        <f aca="false">AI651/AH651</f>
        <v>3.02644362203549</v>
      </c>
      <c r="AK651" s="2" t="n">
        <f aca="false">AI651/(AH651+I651*(12-Hypothèses!$J$24)/12/Hypothèses!$J$19)</f>
        <v>2.9959260370398</v>
      </c>
      <c r="AL651" s="2" t="n">
        <f aca="false">(AD651+AG651+I651/Hypothèses!$J$19)*(1+G651)</f>
        <v>8021.43010271395</v>
      </c>
      <c r="AM651" s="2" t="n">
        <f aca="false">Entrées!$C$54*K651/Hypothèses!$J$19</f>
        <v>38.0018006578098</v>
      </c>
      <c r="AN651" s="2" t="n">
        <f aca="false">Y651*1000/AC651</f>
        <v>48.9605355439452</v>
      </c>
      <c r="AO651" s="2" t="n">
        <f aca="false">(Entrées!$C$36*(1-S651)+MAX(0,Entrées!$C$30-Entrées!$C$35-Entrées!$C$36)*U651)*1000</f>
        <v>1113.03325356955</v>
      </c>
      <c r="AP651" s="2" t="n">
        <f aca="false">-AO651/W651</f>
        <v>-111.044345003279</v>
      </c>
      <c r="AQ651" s="2" t="n">
        <f aca="false">AL651+AM651+AN651+AP651</f>
        <v>7997.34809391242</v>
      </c>
      <c r="AR651" s="2" t="n">
        <f aca="false">O651*AQ651-Hypothèses!$J$25/Hypothèses!$J$19</f>
        <v>1357.65307497665</v>
      </c>
      <c r="AS651" s="2" t="n">
        <f aca="false">Entrées!$C$79*(1+Q651)+Hypothèses!$J$20</f>
        <v>1487.79764721477</v>
      </c>
      <c r="AT651" s="2" t="n">
        <f aca="false">AI651-AR651+AS651+Y651*1000-AO651+Hypothèses!$J$23</f>
        <v>22263.7268804645</v>
      </c>
      <c r="AU651" s="2" t="n">
        <f aca="false">AT651/AQ651</f>
        <v>2.78388868647742</v>
      </c>
      <c r="AV651" s="2" t="n">
        <f aca="false">Hypothèses!$J$26*AQ651-AT651</f>
        <v>1728.31740127273</v>
      </c>
      <c r="AW651" s="2" t="n">
        <f aca="false">IF(AC651&gt;Hypothèses!$J$26,MAX(0,AV651)/(1-Hypothèses!$J$26/AC651),0)</f>
        <v>2531.68023303147</v>
      </c>
      <c r="AX651" s="2" t="n">
        <f aca="false">AQ651-Entrées!$C$17*1000</f>
        <v>-2.65190608757894</v>
      </c>
      <c r="AY651" s="2" t="n">
        <f aca="false">AI651+(Entrées!$C$244-Entrées!$C$13)</f>
        <v>28530.7397037087</v>
      </c>
      <c r="AZ651" s="2" t="n">
        <f aca="false">AA651*AH651</f>
        <v>5483.96612351714</v>
      </c>
      <c r="BA651" s="2" t="n">
        <f aca="false">AZ651/AY651</f>
        <v>0.19221254620343</v>
      </c>
      <c r="BB651" s="2" t="n">
        <f aca="false">AZ651/(Entrées!$C$151/100)-AY651</f>
        <v>1935.7387602754</v>
      </c>
      <c r="BC651" s="2" t="n">
        <f aca="false">AT651+(Entrées!$C$244-Entrées!$C$13)</f>
        <v>28010.7268804645</v>
      </c>
      <c r="BD651" s="2" t="n">
        <f aca="false">AA651*AQ651</f>
        <v>5825.70300801625</v>
      </c>
      <c r="BE651" s="2" t="n">
        <f aca="false">BD651/BC651</f>
        <v>0.207981143541093</v>
      </c>
      <c r="BF651" s="2" t="n">
        <f aca="false">BD651/(Entrées!$C$151/100)-BC651</f>
        <v>4354.28983073685</v>
      </c>
      <c r="BG651" s="2" t="n">
        <f aca="false">MIN(AV651,BF651)</f>
        <v>1728.31740127273</v>
      </c>
      <c r="BH651" s="2" t="n">
        <f aca="false">IF(AC651&gt;Hypothèses!$J$26,MAX(0,BG651)/(1-Hypothèses!$J$26/AC651),0)</f>
        <v>2531.68023303147</v>
      </c>
    </row>
    <row r="652" customFormat="false" ht="15" hidden="false" customHeight="false" outlineLevel="0" collapsed="false">
      <c r="A652" s="2" t="n">
        <v>637</v>
      </c>
      <c r="B652" s="2" t="n">
        <v>0.955870512</v>
      </c>
      <c r="C652" s="2"/>
      <c r="D652" s="2" t="n">
        <v>0.698182789</v>
      </c>
      <c r="E652" s="2" t="n">
        <f aca="false">IF(E$7=E$5,E$6,IF(NORMSDIST(E$9*SQRT($C$11)*NORMSINV($B652)+SQRT(1-E$9^2*$C$11)*NORMSINV(D652))&lt;E$8,E$5+SQRT(NORMSDIST(E$9*SQRT($C$11)*NORMSINV($B652)+SQRT(1-E$9^2*$C$11)*NORMSINV(D652))*(E$7-E$5)*(E$6-E$5)),E$7-SQRT((1-NORMSDIST(E$9*SQRT($C$11)*NORMSINV($B652)+SQRT(1-E$9^2*$C$11)*NORMSINV(D652)))*(E$7-E$5)*(E$7-E$6))))</f>
        <v>0.0581372051717211</v>
      </c>
      <c r="F652" s="2" t="n">
        <v>0.770681462</v>
      </c>
      <c r="G652" s="2" t="n">
        <f aca="false">IF(G$7=G$5,G$6,IF(NORMSDIST(G$9*SQRT($C$11)*NORMSINV($B652)+SQRT(1-G$9^2*$C$11)*NORMSINV(F652))&lt;G$8,G$5+SQRT(NORMSDIST(G$9*SQRT($C$11)*NORMSINV($B652)+SQRT(1-G$9^2*$C$11)*NORMSINV(F652))*(G$7-G$5)*(G$6-G$5)),G$7-SQRT((1-NORMSDIST(G$9*SQRT($C$11)*NORMSINV($B652)+SQRT(1-G$9^2*$C$11)*NORMSINV(F652)))*(G$7-G$5)*(G$7-G$6))))</f>
        <v>0.0652922763853013</v>
      </c>
      <c r="H652" s="2" t="n">
        <v>0.51449216</v>
      </c>
      <c r="I652" s="2" t="n">
        <f aca="false">IF(I$7=I$5,I$6,IF(NORMSDIST(I$9*SQRT($C$11)*NORMSINV($B652)+SQRT(1-I$9^2*$C$11)*NORMSINV(H652))&lt;I$8,I$5+SQRT(NORMSDIST(I$9*SQRT($C$11)*NORMSINV($B652)+SQRT(1-I$9^2*$C$11)*NORMSINV(H652))*(I$7-I$5)*(I$6-I$5)),I$7-SQRT((1-NORMSDIST(I$9*SQRT($C$11)*NORMSINV($B652)+SQRT(1-I$9^2*$C$11)*NORMSINV(H652)))*(I$7-I$5)*(I$7-I$6))))</f>
        <v>209.634423014885</v>
      </c>
      <c r="J652" s="2" t="n">
        <v>0.013299202</v>
      </c>
      <c r="K652" s="2" t="n">
        <f aca="false">IF(K$7=K$5,K$6,IF(NORMSDIST(K$9*SQRT($C$11)*NORMSINV($B652)+SQRT(1-K$9^2*$C$11)*NORMSINV(J652))&lt;K$8,K$5+SQRT(NORMSDIST(K$9*SQRT($C$11)*NORMSINV($B652)+SQRT(1-K$9^2*$C$11)*NORMSINV(J652))*(K$7-K$5)*(K$6-K$5)),K$7-SQRT((1-NORMSDIST(K$9*SQRT($C$11)*NORMSINV($B652)+SQRT(1-K$9^2*$C$11)*NORMSINV(J652)))*(K$7-K$5)*(K$7-K$6))))</f>
        <v>0.180716427172532</v>
      </c>
      <c r="L652" s="2" t="n">
        <v>0.467410627</v>
      </c>
      <c r="M652" s="2" t="n">
        <f aca="false">IF(M$7=M$5,M$6,IF(NORMSDIST(M$9*SQRT($C$11)*NORMSINV($B652)+SQRT(1-M$9^2*$C$11)*NORMSINV(L652))&lt;M$8,M$5+SQRT(NORMSDIST(M$9*SQRT($C$11)*NORMSINV($B652)+SQRT(1-M$9^2*$C$11)*NORMSINV(L652))*(M$7-M$5)*(M$6-M$5)),M$7-SQRT((1-NORMSDIST(M$9*SQRT($C$11)*NORMSINV($B652)+SQRT(1-M$9^2*$C$11)*NORMSINV(L652)))*(M$7-M$5)*(M$7-M$6))))</f>
        <v>1680.77849024846</v>
      </c>
      <c r="N652" s="2" t="n">
        <v>0.541328775</v>
      </c>
      <c r="O652" s="2" t="n">
        <f aca="false">IF(O$7=O$5,O$6,IF(NORMSDIST(O$9*SQRT($C$11)*NORMSINV($B652)+SQRT(1-O$9^2*$C$11)*NORMSINV(N652))&lt;O$8,O$5+SQRT(NORMSDIST(O$9*SQRT($C$11)*NORMSINV($B652)+SQRT(1-O$9^2*$C$11)*NORMSINV(N652))*(O$7-O$5)*(O$6-O$5)),O$7-SQRT((1-NORMSDIST(O$9*SQRT($C$11)*NORMSINV($B652)+SQRT(1-O$9^2*$C$11)*NORMSINV(N652)))*(O$7-O$5)*(O$7-O$6))))</f>
        <v>0.178538438651324</v>
      </c>
      <c r="P652" s="2" t="n">
        <v>0.066498843</v>
      </c>
      <c r="Q652" s="2" t="n">
        <f aca="false">IF(Q$7=Q$5,Q$6,IF(NORMSDIST(Q$9*SQRT($C$11)*NORMSINV($B652)+SQRT(1-Q$9^2*$C$11)*NORMSINV(P652))&lt;Q$8,Q$5+SQRT(NORMSDIST(Q$9*SQRT($C$11)*NORMSINV($B652)+SQRT(1-Q$9^2*$C$11)*NORMSINV(P652))*(Q$7-Q$5)*(Q$6-Q$5)),Q$7-SQRT((1-NORMSDIST(Q$9*SQRT($C$11)*NORMSINV($B652)+SQRT(1-Q$9^2*$C$11)*NORMSINV(P652)))*(Q$7-Q$5)*(Q$7-Q$6))))</f>
        <v>0.0545875391207702</v>
      </c>
      <c r="R652" s="2" t="n">
        <v>0.486307596</v>
      </c>
      <c r="S652" s="2" t="n">
        <f aca="false">IF(S$7=S$5,S$6,IF(NORMSDIST(S$9*SQRT($C$11)*NORMSINV($B652)+SQRT(1-S$9^2*$C$11)*NORMSINV(R652))&lt;S$8,S$5+SQRT(NORMSDIST(S$9*SQRT($C$11)*NORMSINV($B652)+SQRT(1-S$9^2*$C$11)*NORMSINV(R652))*(S$7-S$5)*(S$6-S$5)),S$7-SQRT((1-NORMSDIST(S$9*SQRT($C$11)*NORMSINV($B652)+SQRT(1-S$9^2*$C$11)*NORMSINV(R652)))*(S$7-S$5)*(S$7-S$6))))</f>
        <v>0.729344974618546</v>
      </c>
      <c r="T652" s="2" t="n">
        <v>0.44266874</v>
      </c>
      <c r="U652" s="2" t="n">
        <f aca="false">IF(U$7=U$5,U$6,IF(NORMSDIST(U$9*SQRT($C$11)*NORMSINV($B652)+SQRT(1-U$9^2*$C$11)*NORMSINV(T652))&lt;U$8,U$5+SQRT(NORMSDIST(U$9*SQRT($C$11)*NORMSINV($B652)+SQRT(1-U$9^2*$C$11)*NORMSINV(T652))*(U$7-U$5)*(U$6-U$5)),U$7-SQRT((1-NORMSDIST(U$9*SQRT($C$11)*NORMSINV($B652)+SQRT(1-U$9^2*$C$11)*NORMSINV(T652)))*(U$7-U$5)*(U$7-U$6))))</f>
        <v>0.711107268744935</v>
      </c>
      <c r="V652" s="2" t="n">
        <v>0.814221304</v>
      </c>
      <c r="W652" s="2" t="n">
        <f aca="false">IF(W$7=W$5,W$6,IF(NORMSDIST(W$9*SQRT($C$11)*NORMSINV($B652)+SQRT(1-W$9^2*$C$11)*NORMSINV(V652))&lt;W$8,W$5+SQRT(NORMSDIST(W$9*SQRT($C$11)*NORMSINV($B652)+SQRT(1-W$9^2*$C$11)*NORMSINV(V652))*(W$7-W$5)*(W$6-W$5)),W$7-SQRT((1-NORMSDIST(W$9*SQRT($C$11)*NORMSINV($B652)+SQRT(1-W$9^2*$C$11)*NORMSINV(V652)))*(W$7-W$5)*(W$7-W$6))))</f>
        <v>11.4461669067707</v>
      </c>
      <c r="X652" s="2" t="n">
        <v>0.969309135</v>
      </c>
      <c r="Y652" s="2" t="n">
        <f aca="false">IF(Y$7=Y$5,Y$6,IF(NORMSDIST(Y$9*SQRT($C$11)*NORMSINV($B652)+SQRT(1-Y$9^2*$C$11)*NORMSINV(X652))&lt;Y$8,Y$5+SQRT(NORMSDIST(Y$9*SQRT($C$11)*NORMSINV($B652)+SQRT(1-Y$9^2*$C$11)*NORMSINV(X652))*(Y$7-Y$5)*(Y$6-Y$5)),Y$7-SQRT((1-NORMSDIST(Y$9*SQRT($C$11)*NORMSINV($B652)+SQRT(1-Y$9^2*$C$11)*NORMSINV(X652)))*(Y$7-Y$5)*(Y$7-Y$6))))</f>
        <v>0.876123317367634</v>
      </c>
      <c r="Z652" s="2" t="n">
        <v>0.862998641</v>
      </c>
      <c r="AA652" s="2" t="n">
        <f aca="false">IF(AA$7=AA$5,AA$6,IF(NORMSDIST(AA$9*SQRT($C$11)*NORMSINV($B652)+SQRT(1-AA$9^2*$C$11)*NORMSINV(Z652))&lt;AA$8,AA$5+SQRT(NORMSDIST(AA$9*SQRT($C$11)*NORMSINV($B652)+SQRT(1-AA$9^2*$C$11)*NORMSINV(Z652))*(AA$7-AA$5)*(AA$6-AA$5)),AA$7-SQRT((1-NORMSDIST(AA$9*SQRT($C$11)*NORMSINV($B652)+SQRT(1-AA$9^2*$C$11)*NORMSINV(Z652)))*(AA$7-AA$5)*(AA$7-AA$6))))</f>
        <v>0.747971051798169</v>
      </c>
      <c r="AB652" s="2" t="n">
        <v>0.997021662</v>
      </c>
      <c r="AC652" s="2" t="n">
        <f aca="false">IF(AC$7=AC$5,AC$6,IF(NORMSDIST(AC$9*SQRT($C$11)*NORMSINV($B652)+SQRT(1-AC$9^2*$C$11)*NORMSINV(AB652))&lt;AC$8,AC$5+SQRT(NORMSDIST(AC$9*SQRT($C$11)*NORMSINV($B652)+SQRT(1-AC$9^2*$C$11)*NORMSINV(AB652))*(AC$7-AC$5)*(AC$6-AC$5)),AC$7-SQRT((1-NORMSDIST(AC$9*SQRT($C$11)*NORMSINV($B652)+SQRT(1-AC$9^2*$C$11)*NORMSINV(AB652)))*(AC$7-AC$5)*(AC$7-AC$6))))</f>
        <v>10.9463038654066</v>
      </c>
      <c r="AD652" s="2" t="n">
        <f aca="false">Entrées!$C$8*(1+E652)</f>
        <v>7459.86729646063</v>
      </c>
      <c r="AE652" s="2" t="n">
        <f aca="false">I652*Hypothèses!$J$24/12/Hypothèses!$J$19</f>
        <v>103.998966296612</v>
      </c>
      <c r="AF652" s="2" t="n">
        <f aca="false">Entrées!$C$36*S652*1000</f>
        <v>364.672487309273</v>
      </c>
      <c r="AG652" s="2" t="n">
        <f aca="false">-AF652/W652</f>
        <v>-31.8597911667321</v>
      </c>
      <c r="AH652" s="2" t="n">
        <f aca="false">AD652+AE652+AG652</f>
        <v>7532.00647159051</v>
      </c>
      <c r="AI652" s="2" t="n">
        <f aca="false">Entrées!$C$16-M652+Hypothèses!$J$22*1000-AF652+Hypothèses!$J$23</f>
        <v>22502.5490224423</v>
      </c>
      <c r="AJ652" s="2" t="n">
        <f aca="false">AI652/AH652</f>
        <v>2.98759024004004</v>
      </c>
      <c r="AK652" s="2" t="n">
        <f aca="false">AI652/(AH652+I652*(12-Hypothèses!$J$24)/12/Hypothèses!$J$19)</f>
        <v>2.95841267425915</v>
      </c>
      <c r="AL652" s="2" t="n">
        <f aca="false">(AD652+AG652+I652/Hypothèses!$J$19)*(1+G652)</f>
        <v>8102.92353097508</v>
      </c>
      <c r="AM652" s="2" t="n">
        <f aca="false">Entrées!$C$54*K652/Hypothèses!$J$19</f>
        <v>18.4428701722012</v>
      </c>
      <c r="AN652" s="2" t="n">
        <f aca="false">Y652*1000/AC652</f>
        <v>80.038278503891</v>
      </c>
      <c r="AO652" s="2" t="n">
        <f aca="false">(Entrées!$C$36*(1-S652)+MAX(0,Entrées!$C$30-Entrées!$C$35-Entrées!$C$36)*U652)*1000</f>
        <v>1130.87768893364</v>
      </c>
      <c r="AP652" s="2" t="n">
        <f aca="false">-AO652/W652</f>
        <v>-98.7996853570863</v>
      </c>
      <c r="AQ652" s="2" t="n">
        <f aca="false">AL652+AM652+AN652+AP652</f>
        <v>8102.60499429408</v>
      </c>
      <c r="AR652" s="2" t="n">
        <f aca="false">O652*AQ652-Hypothèses!$J$25/Hypothèses!$J$19</f>
        <v>1427.49128242806</v>
      </c>
      <c r="AS652" s="2" t="n">
        <f aca="false">Entrées!$C$79*(1+Q652)+Hypothèses!$J$20</f>
        <v>1453.99170549373</v>
      </c>
      <c r="AT652" s="2" t="n">
        <f aca="false">AI652-AR652+AS652+Y652*1000-AO652+Hypothèses!$J$23</f>
        <v>22274.2950739419</v>
      </c>
      <c r="AU652" s="2" t="n">
        <f aca="false">AT652/AQ652</f>
        <v>2.74902887276717</v>
      </c>
      <c r="AV652" s="2" t="n">
        <f aca="false">Hypothèses!$J$26*AQ652-AT652</f>
        <v>2033.51990894032</v>
      </c>
      <c r="AW652" s="2" t="n">
        <f aca="false">IF(AC652&gt;Hypothèses!$J$26,MAX(0,AV652)/(1-Hypothèses!$J$26/AC652),0)</f>
        <v>2801.24284404969</v>
      </c>
      <c r="AX652" s="2" t="n">
        <f aca="false">AQ652-Entrées!$C$17*1000</f>
        <v>102.604994294082</v>
      </c>
      <c r="AY652" s="2" t="n">
        <f aca="false">AI652+(Entrées!$C$244-Entrées!$C$13)</f>
        <v>28249.5490224423</v>
      </c>
      <c r="AZ652" s="2" t="n">
        <f aca="false">AA652*AH652</f>
        <v>5633.72280270617</v>
      </c>
      <c r="BA652" s="2" t="n">
        <f aca="false">AZ652/AY652</f>
        <v>0.199426999639201</v>
      </c>
      <c r="BB652" s="2" t="n">
        <f aca="false">AZ652/(Entrées!$C$151/100)-AY652</f>
        <v>3048.91099259202</v>
      </c>
      <c r="BC652" s="2" t="n">
        <f aca="false">AT652+(Entrées!$C$244-Entrées!$C$13)</f>
        <v>28021.2950739419</v>
      </c>
      <c r="BD652" s="2" t="n">
        <f aca="false">AA652*AQ652</f>
        <v>6060.51397988724</v>
      </c>
      <c r="BE652" s="2" t="n">
        <f aca="false">BD652/BC652</f>
        <v>0.216282436764429</v>
      </c>
      <c r="BF652" s="2" t="n">
        <f aca="false">BD652/(Entrées!$C$151/100)-BC652</f>
        <v>5648.22703654275</v>
      </c>
      <c r="BG652" s="2" t="n">
        <f aca="false">MIN(AV652,BF652)</f>
        <v>2033.51990894032</v>
      </c>
      <c r="BH652" s="2" t="n">
        <f aca="false">IF(AC652&gt;Hypothèses!$J$26,MAX(0,BG652)/(1-Hypothèses!$J$26/AC652),0)</f>
        <v>2801.24284404969</v>
      </c>
    </row>
    <row r="653" customFormat="false" ht="15" hidden="false" customHeight="false" outlineLevel="0" collapsed="false">
      <c r="A653" s="2" t="n">
        <v>638</v>
      </c>
      <c r="B653" s="2" t="n">
        <v>0.530089744</v>
      </c>
      <c r="C653" s="2"/>
      <c r="D653" s="2" t="n">
        <v>0.345331178</v>
      </c>
      <c r="E653" s="2" t="n">
        <f aca="false">IF(E$7=E$5,E$6,IF(NORMSDIST(E$9*SQRT($C$11)*NORMSINV($B653)+SQRT(1-E$9^2*$C$11)*NORMSINV(D653))&lt;E$8,E$5+SQRT(NORMSDIST(E$9*SQRT($C$11)*NORMSINV($B653)+SQRT(1-E$9^2*$C$11)*NORMSINV(D653))*(E$7-E$5)*(E$6-E$5)),E$7-SQRT((1-NORMSDIST(E$9*SQRT($C$11)*NORMSINV($B653)+SQRT(1-E$9^2*$C$11)*NORMSINV(D653)))*(E$7-E$5)*(E$7-E$6))))</f>
        <v>0.0544566574629814</v>
      </c>
      <c r="F653" s="2" t="n">
        <v>0.233882241</v>
      </c>
      <c r="G653" s="2" t="n">
        <f aca="false">IF(G$7=G$5,G$6,IF(NORMSDIST(G$9*SQRT($C$11)*NORMSINV($B653)+SQRT(1-G$9^2*$C$11)*NORMSINV(F653))&lt;G$8,G$5+SQRT(NORMSDIST(G$9*SQRT($C$11)*NORMSINV($B653)+SQRT(1-G$9^2*$C$11)*NORMSINV(F653))*(G$7-G$5)*(G$6-G$5)),G$7-SQRT((1-NORMSDIST(G$9*SQRT($C$11)*NORMSINV($B653)+SQRT(1-G$9^2*$C$11)*NORMSINV(F653)))*(G$7-G$5)*(G$7-G$6))))</f>
        <v>0.0516842220940884</v>
      </c>
      <c r="H653" s="2" t="n">
        <v>0.929701196</v>
      </c>
      <c r="I653" s="2" t="n">
        <f aca="false">IF(I$7=I$5,I$6,IF(NORMSDIST(I$9*SQRT($C$11)*NORMSINV($B653)+SQRT(1-I$9^2*$C$11)*NORMSINV(H653))&lt;I$8,I$5+SQRT(NORMSDIST(I$9*SQRT($C$11)*NORMSINV($B653)+SQRT(1-I$9^2*$C$11)*NORMSINV(H653))*(I$7-I$5)*(I$6-I$5)),I$7-SQRT((1-NORMSDIST(I$9*SQRT($C$11)*NORMSINV($B653)+SQRT(1-I$9^2*$C$11)*NORMSINV(H653)))*(I$7-I$5)*(I$7-I$6))))</f>
        <v>210.317582233243</v>
      </c>
      <c r="J653" s="2" t="n">
        <v>0.501763525</v>
      </c>
      <c r="K653" s="2" t="n">
        <f aca="false">IF(K$7=K$5,K$6,IF(NORMSDIST(K$9*SQRT($C$11)*NORMSINV($B653)+SQRT(1-K$9^2*$C$11)*NORMSINV(J653))&lt;K$8,K$5+SQRT(NORMSDIST(K$9*SQRT($C$11)*NORMSINV($B653)+SQRT(1-K$9^2*$C$11)*NORMSINV(J653))*(K$7-K$5)*(K$6-K$5)),K$7-SQRT((1-NORMSDIST(K$9*SQRT($C$11)*NORMSINV($B653)+SQRT(1-K$9^2*$C$11)*NORMSINV(J653)))*(K$7-K$5)*(K$7-K$6))))</f>
        <v>0.255154544523416</v>
      </c>
      <c r="L653" s="2" t="n">
        <v>0.873696712</v>
      </c>
      <c r="M653" s="2" t="n">
        <f aca="false">IF(M$7=M$5,M$6,IF(NORMSDIST(M$9*SQRT($C$11)*NORMSINV($B653)+SQRT(1-M$9^2*$C$11)*NORMSINV(L653))&lt;M$8,M$5+SQRT(NORMSDIST(M$9*SQRT($C$11)*NORMSINV($B653)+SQRT(1-M$9^2*$C$11)*NORMSINV(L653))*(M$7-M$5)*(M$6-M$5)),M$7-SQRT((1-NORMSDIST(M$9*SQRT($C$11)*NORMSINV($B653)+SQRT(1-M$9^2*$C$11)*NORMSINV(L653)))*(M$7-M$5)*(M$7-M$6))))</f>
        <v>1673.80937451937</v>
      </c>
      <c r="N653" s="2" t="n">
        <v>0.803403536</v>
      </c>
      <c r="O653" s="2" t="n">
        <f aca="false">IF(O$7=O$5,O$6,IF(NORMSDIST(O$9*SQRT($C$11)*NORMSINV($B653)+SQRT(1-O$9^2*$C$11)*NORMSINV(N653))&lt;O$8,O$5+SQRT(NORMSDIST(O$9*SQRT($C$11)*NORMSINV($B653)+SQRT(1-O$9^2*$C$11)*NORMSINV(N653))*(O$7-O$5)*(O$6-O$5)),O$7-SQRT((1-NORMSDIST(O$9*SQRT($C$11)*NORMSINV($B653)+SQRT(1-O$9^2*$C$11)*NORMSINV(N653)))*(O$7-O$5)*(O$7-O$6))))</f>
        <v>0.174040418358028</v>
      </c>
      <c r="P653" s="2" t="n">
        <v>0.934353887</v>
      </c>
      <c r="Q653" s="2" t="n">
        <f aca="false">IF(Q$7=Q$5,Q$6,IF(NORMSDIST(Q$9*SQRT($C$11)*NORMSINV($B653)+SQRT(1-Q$9^2*$C$11)*NORMSINV(P653))&lt;Q$8,Q$5+SQRT(NORMSDIST(Q$9*SQRT($C$11)*NORMSINV($B653)+SQRT(1-Q$9^2*$C$11)*NORMSINV(P653))*(Q$7-Q$5)*(Q$6-Q$5)),Q$7-SQRT((1-NORMSDIST(Q$9*SQRT($C$11)*NORMSINV($B653)+SQRT(1-Q$9^2*$C$11)*NORMSINV(P653)))*(Q$7-Q$5)*(Q$7-Q$6))))</f>
        <v>0.105506292344607</v>
      </c>
      <c r="R653" s="2" t="n">
        <v>0.260957821</v>
      </c>
      <c r="S653" s="2" t="n">
        <f aca="false">IF(S$7=S$5,S$6,IF(NORMSDIST(S$9*SQRT($C$11)*NORMSINV($B653)+SQRT(1-S$9^2*$C$11)*NORMSINV(R653))&lt;S$8,S$5+SQRT(NORMSDIST(S$9*SQRT($C$11)*NORMSINV($B653)+SQRT(1-S$9^2*$C$11)*NORMSINV(R653))*(S$7-S$5)*(S$6-S$5)),S$7-SQRT((1-NORMSDIST(S$9*SQRT($C$11)*NORMSINV($B653)+SQRT(1-S$9^2*$C$11)*NORMSINV(R653)))*(S$7-S$5)*(S$7-S$6))))</f>
        <v>0.404331642864411</v>
      </c>
      <c r="T653" s="2" t="n">
        <v>0.075145476</v>
      </c>
      <c r="U653" s="2" t="n">
        <f aca="false">IF(U$7=U$5,U$6,IF(NORMSDIST(U$9*SQRT($C$11)*NORMSINV($B653)+SQRT(1-U$9^2*$C$11)*NORMSINV(T653))&lt;U$8,U$5+SQRT(NORMSDIST(U$9*SQRT($C$11)*NORMSINV($B653)+SQRT(1-U$9^2*$C$11)*NORMSINV(T653))*(U$7-U$5)*(U$6-U$5)),U$7-SQRT((1-NORMSDIST(U$9*SQRT($C$11)*NORMSINV($B653)+SQRT(1-U$9^2*$C$11)*NORMSINV(T653)))*(U$7-U$5)*(U$7-U$6))))</f>
        <v>0.267484424410066</v>
      </c>
      <c r="V653" s="2" t="n">
        <v>0.380709428</v>
      </c>
      <c r="W653" s="2" t="n">
        <f aca="false">IF(W$7=W$5,W$6,IF(NORMSDIST(W$9*SQRT($C$11)*NORMSINV($B653)+SQRT(1-W$9^2*$C$11)*NORMSINV(V653))&lt;W$8,W$5+SQRT(NORMSDIST(W$9*SQRT($C$11)*NORMSINV($B653)+SQRT(1-W$9^2*$C$11)*NORMSINV(V653))*(W$7-W$5)*(W$6-W$5)),W$7-SQRT((1-NORMSDIST(W$9*SQRT($C$11)*NORMSINV($B653)+SQRT(1-W$9^2*$C$11)*NORMSINV(V653)))*(W$7-W$5)*(W$7-W$6))))</f>
        <v>9.84534042873149</v>
      </c>
      <c r="X653" s="2" t="n">
        <v>0.884920521</v>
      </c>
      <c r="Y653" s="2" t="n">
        <f aca="false">IF(Y$7=Y$5,Y$6,IF(NORMSDIST(Y$9*SQRT($C$11)*NORMSINV($B653)+SQRT(1-Y$9^2*$C$11)*NORMSINV(X653))&lt;Y$8,Y$5+SQRT(NORMSDIST(Y$9*SQRT($C$11)*NORMSINV($B653)+SQRT(1-Y$9^2*$C$11)*NORMSINV(X653))*(Y$7-Y$5)*(Y$6-Y$5)),Y$7-SQRT((1-NORMSDIST(Y$9*SQRT($C$11)*NORMSINV($B653)+SQRT(1-Y$9^2*$C$11)*NORMSINV(X653)))*(Y$7-Y$5)*(Y$7-Y$6))))</f>
        <v>0.760125575560878</v>
      </c>
      <c r="Z653" s="2" t="n">
        <v>0.616627116</v>
      </c>
      <c r="AA653" s="2" t="n">
        <f aca="false">IF(AA$7=AA$5,AA$6,IF(NORMSDIST(AA$9*SQRT($C$11)*NORMSINV($B653)+SQRT(1-AA$9^2*$C$11)*NORMSINV(Z653))&lt;AA$8,AA$5+SQRT(NORMSDIST(AA$9*SQRT($C$11)*NORMSINV($B653)+SQRT(1-AA$9^2*$C$11)*NORMSINV(Z653))*(AA$7-AA$5)*(AA$6-AA$5)),AA$7-SQRT((1-NORMSDIST(AA$9*SQRT($C$11)*NORMSINV($B653)+SQRT(1-AA$9^2*$C$11)*NORMSINV(Z653)))*(AA$7-AA$5)*(AA$7-AA$6))))</f>
        <v>0.731452604887428</v>
      </c>
      <c r="AB653" s="2" t="n">
        <v>0.723781932</v>
      </c>
      <c r="AC653" s="2" t="n">
        <f aca="false">IF(AC$7=AC$5,AC$6,IF(NORMSDIST(AC$9*SQRT($C$11)*NORMSINV($B653)+SQRT(1-AC$9^2*$C$11)*NORMSINV(AB653))&lt;AC$8,AC$5+SQRT(NORMSDIST(AC$9*SQRT($C$11)*NORMSINV($B653)+SQRT(1-AC$9^2*$C$11)*NORMSINV(AB653))*(AC$7-AC$5)*(AC$6-AC$5)),AC$7-SQRT((1-NORMSDIST(AC$9*SQRT($C$11)*NORMSINV($B653)+SQRT(1-AC$9^2*$C$11)*NORMSINV(AB653)))*(AC$7-AC$5)*(AC$7-AC$6))))</f>
        <v>9.85073017903857</v>
      </c>
      <c r="AD653" s="2" t="n">
        <f aca="false">Entrées!$C$8*(1+E653)</f>
        <v>7433.91943511402</v>
      </c>
      <c r="AE653" s="2" t="n">
        <f aca="false">I653*Hypothèses!$J$24/12/Hypothèses!$J$19</f>
        <v>104.337879398303</v>
      </c>
      <c r="AF653" s="2" t="n">
        <f aca="false">Entrées!$C$36*S653*1000</f>
        <v>202.165821432205</v>
      </c>
      <c r="AG653" s="2" t="n">
        <f aca="false">-AF653/W653</f>
        <v>-20.5341626219677</v>
      </c>
      <c r="AH653" s="2" t="n">
        <f aca="false">AD653+AE653+AG653</f>
        <v>7517.72315189035</v>
      </c>
      <c r="AI653" s="2" t="n">
        <f aca="false">Entrées!$C$16-M653+Hypothèses!$J$22*1000-AF653+Hypothèses!$J$23</f>
        <v>22672.0248040484</v>
      </c>
      <c r="AJ653" s="2" t="n">
        <f aca="false">AI653/AH653</f>
        <v>3.01581001933378</v>
      </c>
      <c r="AK653" s="2" t="n">
        <f aca="false">AI653/(AH653+I653*(12-Hypothèses!$J$24)/12/Hypothèses!$J$19)</f>
        <v>2.98620622096422</v>
      </c>
      <c r="AL653" s="2" t="n">
        <f aca="false">(AD653+AG653+I653/Hypothèses!$J$19)*(1+G653)</f>
        <v>7984.64975457878</v>
      </c>
      <c r="AM653" s="2" t="n">
        <f aca="false">Entrées!$C$54*K653/Hypothèses!$J$19</f>
        <v>26.0395925933165</v>
      </c>
      <c r="AN653" s="2" t="n">
        <f aca="false">Y653*1000/AC653</f>
        <v>77.1643890092893</v>
      </c>
      <c r="AO653" s="2" t="n">
        <f aca="false">(Entrées!$C$36*(1-S653)+MAX(0,Entrées!$C$30-Entrées!$C$35-Entrées!$C$36)*U653)*1000</f>
        <v>672.312372741888</v>
      </c>
      <c r="AP653" s="2" t="n">
        <f aca="false">-AO653/W653</f>
        <v>-68.2873667608171</v>
      </c>
      <c r="AQ653" s="2" t="n">
        <f aca="false">AL653+AM653+AN653+AP653</f>
        <v>8019.56636942056</v>
      </c>
      <c r="AR653" s="2" t="n">
        <f aca="false">O653*AQ653-Hypothèses!$J$25/Hypothèses!$J$19</f>
        <v>1376.5935237223</v>
      </c>
      <c r="AS653" s="2" t="n">
        <f aca="false">Entrées!$C$79*(1+Q653)+Hypothèses!$J$20</f>
        <v>1509.95141528672</v>
      </c>
      <c r="AT653" s="2" t="n">
        <f aca="false">AI653-AR653+AS653+Y653*1000-AO653+Hypothèses!$J$23</f>
        <v>22893.1958984318</v>
      </c>
      <c r="AU653" s="2" t="n">
        <f aca="false">AT653/AQ653</f>
        <v>2.85466755231629</v>
      </c>
      <c r="AV653" s="2" t="n">
        <f aca="false">Hypothèses!$J$26*AQ653-AT653</f>
        <v>1165.50320982985</v>
      </c>
      <c r="AW653" s="2" t="n">
        <f aca="false">IF(AC653&gt;Hypothèses!$J$26,MAX(0,AV653)/(1-Hypothèses!$J$26/AC653),0)</f>
        <v>1675.88816706959</v>
      </c>
      <c r="AX653" s="2" t="n">
        <f aca="false">AQ653-Entrées!$C$17*1000</f>
        <v>19.5663694205641</v>
      </c>
      <c r="AY653" s="2" t="n">
        <f aca="false">AI653+(Entrées!$C$244-Entrées!$C$13)</f>
        <v>28419.0248040484</v>
      </c>
      <c r="AZ653" s="2" t="n">
        <f aca="false">AA653*AH653</f>
        <v>5498.85818227273</v>
      </c>
      <c r="BA653" s="2" t="n">
        <f aca="false">AZ653/AY653</f>
        <v>0.193492149015943</v>
      </c>
      <c r="BB653" s="2" t="n">
        <f aca="false">AZ653/(Entrées!$C$151/100)-AY653</f>
        <v>2130.18731968895</v>
      </c>
      <c r="BC653" s="2" t="n">
        <f aca="false">AT653+(Entrées!$C$244-Entrées!$C$13)</f>
        <v>28640.1958984318</v>
      </c>
      <c r="BD653" s="2" t="n">
        <f aca="false">AA653*AQ653</f>
        <v>5865.93271098029</v>
      </c>
      <c r="BE653" s="2" t="n">
        <f aca="false">BD653/BC653</f>
        <v>0.204814685338848</v>
      </c>
      <c r="BF653" s="2" t="n">
        <f aca="false">BD653/(Entrées!$C$151/100)-BC653</f>
        <v>3948.31916256976</v>
      </c>
      <c r="BG653" s="2" t="n">
        <f aca="false">MIN(AV653,BF653)</f>
        <v>1165.50320982985</v>
      </c>
      <c r="BH653" s="2" t="n">
        <f aca="false">IF(AC653&gt;Hypothèses!$J$26,MAX(0,BG653)/(1-Hypothèses!$J$26/AC653),0)</f>
        <v>1675.88816706959</v>
      </c>
    </row>
    <row r="654" customFormat="false" ht="15" hidden="false" customHeight="false" outlineLevel="0" collapsed="false">
      <c r="A654" s="2" t="n">
        <v>639</v>
      </c>
      <c r="B654" s="2" t="n">
        <v>0.193552368</v>
      </c>
      <c r="C654" s="2"/>
      <c r="D654" s="2" t="n">
        <v>0.271822727</v>
      </c>
      <c r="E654" s="2" t="n">
        <f aca="false">IF(E$7=E$5,E$6,IF(NORMSDIST(E$9*SQRT($C$11)*NORMSINV($B654)+SQRT(1-E$9^2*$C$11)*NORMSINV(D654))&lt;E$8,E$5+SQRT(NORMSDIST(E$9*SQRT($C$11)*NORMSINV($B654)+SQRT(1-E$9^2*$C$11)*NORMSINV(D654))*(E$7-E$5)*(E$6-E$5)),E$7-SQRT((1-NORMSDIST(E$9*SQRT($C$11)*NORMSINV($B654)+SQRT(1-E$9^2*$C$11)*NORMSINV(D654)))*(E$7-E$5)*(E$7-E$6))))</f>
        <v>0.0527791842094631</v>
      </c>
      <c r="F654" s="2" t="n">
        <v>0.149370921</v>
      </c>
      <c r="G654" s="2" t="n">
        <f aca="false">IF(G$7=G$5,G$6,IF(NORMSDIST(G$9*SQRT($C$11)*NORMSINV($B654)+SQRT(1-G$9^2*$C$11)*NORMSINV(F654))&lt;G$8,G$5+SQRT(NORMSDIST(G$9*SQRT($C$11)*NORMSINV($B654)+SQRT(1-G$9^2*$C$11)*NORMSINV(F654))*(G$7-G$5)*(G$6-G$5)),G$7-SQRT((1-NORMSDIST(G$9*SQRT($C$11)*NORMSINV($B654)+SQRT(1-G$9^2*$C$11)*NORMSINV(F654)))*(G$7-G$5)*(G$7-G$6))))</f>
        <v>0.0463000805186822</v>
      </c>
      <c r="H654" s="2" t="n">
        <v>0.956739156</v>
      </c>
      <c r="I654" s="2" t="n">
        <f aca="false">IF(I$7=I$5,I$6,IF(NORMSDIST(I$9*SQRT($C$11)*NORMSINV($B654)+SQRT(1-I$9^2*$C$11)*NORMSINV(H654))&lt;I$8,I$5+SQRT(NORMSDIST(I$9*SQRT($C$11)*NORMSINV($B654)+SQRT(1-I$9^2*$C$11)*NORMSINV(H654))*(I$7-I$5)*(I$6-I$5)),I$7-SQRT((1-NORMSDIST(I$9*SQRT($C$11)*NORMSINV($B654)+SQRT(1-I$9^2*$C$11)*NORMSINV(H654)))*(I$7-I$5)*(I$7-I$6))))</f>
        <v>206.809326762011</v>
      </c>
      <c r="J654" s="2" t="n">
        <v>0.210856334</v>
      </c>
      <c r="K654" s="2" t="n">
        <f aca="false">IF(K$7=K$5,K$6,IF(NORMSDIST(K$9*SQRT($C$11)*NORMSINV($B654)+SQRT(1-K$9^2*$C$11)*NORMSINV(J654))&lt;K$8,K$5+SQRT(NORMSDIST(K$9*SQRT($C$11)*NORMSINV($B654)+SQRT(1-K$9^2*$C$11)*NORMSINV(J654))*(K$7-K$5)*(K$6-K$5)),K$7-SQRT((1-NORMSDIST(K$9*SQRT($C$11)*NORMSINV($B654)+SQRT(1-K$9^2*$C$11)*NORMSINV(J654)))*(K$7-K$5)*(K$7-K$6))))</f>
        <v>0.123050412946988</v>
      </c>
      <c r="L654" s="2" t="n">
        <v>0.978734388</v>
      </c>
      <c r="M654" s="2" t="n">
        <f aca="false">IF(M$7=M$5,M$6,IF(NORMSDIST(M$9*SQRT($C$11)*NORMSINV($B654)+SQRT(1-M$9^2*$C$11)*NORMSINV(L654))&lt;M$8,M$5+SQRT(NORMSDIST(M$9*SQRT($C$11)*NORMSINV($B654)+SQRT(1-M$9^2*$C$11)*NORMSINV(L654))*(M$7-M$5)*(M$6-M$5)),M$7-SQRT((1-NORMSDIST(M$9*SQRT($C$11)*NORMSINV($B654)+SQRT(1-M$9^2*$C$11)*NORMSINV(L654)))*(M$7-M$5)*(M$7-M$6))))</f>
        <v>1681.57460035367</v>
      </c>
      <c r="N654" s="2" t="n">
        <v>0.274702203</v>
      </c>
      <c r="O654" s="2" t="n">
        <f aca="false">IF(O$7=O$5,O$6,IF(NORMSDIST(O$9*SQRT($C$11)*NORMSINV($B654)+SQRT(1-O$9^2*$C$11)*NORMSINV(N654))&lt;O$8,O$5+SQRT(NORMSDIST(O$9*SQRT($C$11)*NORMSINV($B654)+SQRT(1-O$9^2*$C$11)*NORMSINV(N654))*(O$7-O$5)*(O$6-O$5)),O$7-SQRT((1-NORMSDIST(O$9*SQRT($C$11)*NORMSINV($B654)+SQRT(1-O$9^2*$C$11)*NORMSINV(N654)))*(O$7-O$5)*(O$7-O$6))))</f>
        <v>0.15496469658907</v>
      </c>
      <c r="P654" s="2" t="n">
        <v>0.480794159</v>
      </c>
      <c r="Q654" s="2" t="n">
        <f aca="false">IF(Q$7=Q$5,Q$6,IF(NORMSDIST(Q$9*SQRT($C$11)*NORMSINV($B654)+SQRT(1-Q$9^2*$C$11)*NORMSINV(P654))&lt;Q$8,Q$5+SQRT(NORMSDIST(Q$9*SQRT($C$11)*NORMSINV($B654)+SQRT(1-Q$9^2*$C$11)*NORMSINV(P654))*(Q$7-Q$5)*(Q$6-Q$5)),Q$7-SQRT((1-NORMSDIST(Q$9*SQRT($C$11)*NORMSINV($B654)+SQRT(1-Q$9^2*$C$11)*NORMSINV(P654)))*(Q$7-Q$5)*(Q$7-Q$6))))</f>
        <v>0.0792242438907368</v>
      </c>
      <c r="R654" s="2" t="n">
        <v>0.852546314</v>
      </c>
      <c r="S654" s="2" t="n">
        <f aca="false">IF(S$7=S$5,S$6,IF(NORMSDIST(S$9*SQRT($C$11)*NORMSINV($B654)+SQRT(1-S$9^2*$C$11)*NORMSINV(R654))&lt;S$8,S$5+SQRT(NORMSDIST(S$9*SQRT($C$11)*NORMSINV($B654)+SQRT(1-S$9^2*$C$11)*NORMSINV(R654))*(S$7-S$5)*(S$6-S$5)),S$7-SQRT((1-NORMSDIST(S$9*SQRT($C$11)*NORMSINV($B654)+SQRT(1-S$9^2*$C$11)*NORMSINV(R654)))*(S$7-S$5)*(S$7-S$6))))</f>
        <v>0.555160832397527</v>
      </c>
      <c r="T654" s="2" t="n">
        <v>0.979183923</v>
      </c>
      <c r="U654" s="2" t="n">
        <f aca="false">IF(U$7=U$5,U$6,IF(NORMSDIST(U$9*SQRT($C$11)*NORMSINV($B654)+SQRT(1-U$9^2*$C$11)*NORMSINV(T654))&lt;U$8,U$5+SQRT(NORMSDIST(U$9*SQRT($C$11)*NORMSINV($B654)+SQRT(1-U$9^2*$C$11)*NORMSINV(T654))*(U$7-U$5)*(U$6-U$5)),U$7-SQRT((1-NORMSDIST(U$9*SQRT($C$11)*NORMSINV($B654)+SQRT(1-U$9^2*$C$11)*NORMSINV(T654)))*(U$7-U$5)*(U$7-U$6))))</f>
        <v>0.724980094859963</v>
      </c>
      <c r="V654" s="2" t="n">
        <v>0.624585531</v>
      </c>
      <c r="W654" s="2" t="n">
        <f aca="false">IF(W$7=W$5,W$6,IF(NORMSDIST(W$9*SQRT($C$11)*NORMSINV($B654)+SQRT(1-W$9^2*$C$11)*NORMSINV(V654))&lt;W$8,W$5+SQRT(NORMSDIST(W$9*SQRT($C$11)*NORMSINV($B654)+SQRT(1-W$9^2*$C$11)*NORMSINV(V654))*(W$7-W$5)*(W$6-W$5)),W$7-SQRT((1-NORMSDIST(W$9*SQRT($C$11)*NORMSINV($B654)+SQRT(1-W$9^2*$C$11)*NORMSINV(V654)))*(W$7-W$5)*(W$7-W$6))))</f>
        <v>9.74744782664971</v>
      </c>
      <c r="X654" s="2" t="n">
        <v>0.908833251</v>
      </c>
      <c r="Y654" s="2" t="n">
        <f aca="false">IF(Y$7=Y$5,Y$6,IF(NORMSDIST(Y$9*SQRT($C$11)*NORMSINV($B654)+SQRT(1-Y$9^2*$C$11)*NORMSINV(X654))&lt;Y$8,Y$5+SQRT(NORMSDIST(Y$9*SQRT($C$11)*NORMSINV($B654)+SQRT(1-Y$9^2*$C$11)*NORMSINV(X654))*(Y$7-Y$5)*(Y$6-Y$5)),Y$7-SQRT((1-NORMSDIST(Y$9*SQRT($C$11)*NORMSINV($B654)+SQRT(1-Y$9^2*$C$11)*NORMSINV(X654)))*(Y$7-Y$5)*(Y$7-Y$6))))</f>
        <v>0.78649736652678</v>
      </c>
      <c r="Z654" s="2" t="n">
        <v>0.455015164</v>
      </c>
      <c r="AA654" s="2" t="n">
        <f aca="false">IF(AA$7=AA$5,AA$6,IF(NORMSDIST(AA$9*SQRT($C$11)*NORMSINV($B654)+SQRT(1-AA$9^2*$C$11)*NORMSINV(Z654))&lt;AA$8,AA$5+SQRT(NORMSDIST(AA$9*SQRT($C$11)*NORMSINV($B654)+SQRT(1-AA$9^2*$C$11)*NORMSINV(Z654))*(AA$7-AA$5)*(AA$6-AA$5)),AA$7-SQRT((1-NORMSDIST(AA$9*SQRT($C$11)*NORMSINV($B654)+SQRT(1-AA$9^2*$C$11)*NORMSINV(Z654)))*(AA$7-AA$5)*(AA$7-AA$6))))</f>
        <v>0.719052531891762</v>
      </c>
      <c r="AB654" s="2" t="n">
        <v>0.585372297</v>
      </c>
      <c r="AC654" s="2" t="n">
        <f aca="false">IF(AC$7=AC$5,AC$6,IF(NORMSDIST(AC$9*SQRT($C$11)*NORMSINV($B654)+SQRT(1-AC$9^2*$C$11)*NORMSINV(AB654))&lt;AC$8,AC$5+SQRT(NORMSDIST(AC$9*SQRT($C$11)*NORMSINV($B654)+SQRT(1-AC$9^2*$C$11)*NORMSINV(AB654))*(AC$7-AC$5)*(AC$6-AC$5)),AC$7-SQRT((1-NORMSDIST(AC$9*SQRT($C$11)*NORMSINV($B654)+SQRT(1-AC$9^2*$C$11)*NORMSINV(AB654)))*(AC$7-AC$5)*(AC$7-AC$6))))</f>
        <v>9.14390392136238</v>
      </c>
      <c r="AD654" s="2" t="n">
        <f aca="false">Entrées!$C$8*(1+E654)</f>
        <v>7422.09324867672</v>
      </c>
      <c r="AE654" s="2" t="n">
        <f aca="false">I654*Hypothèses!$J$24/12/Hypothèses!$J$19</f>
        <v>102.597445087633</v>
      </c>
      <c r="AF654" s="2" t="n">
        <f aca="false">Entrées!$C$36*S654*1000</f>
        <v>277.580416198763</v>
      </c>
      <c r="AG654" s="2" t="n">
        <f aca="false">-AF654/W654</f>
        <v>-28.4772405182671</v>
      </c>
      <c r="AH654" s="2" t="n">
        <f aca="false">AD654+AE654+AG654</f>
        <v>7496.21345324608</v>
      </c>
      <c r="AI654" s="2" t="n">
        <f aca="false">Entrées!$C$16-M654+Hypothèses!$J$22*1000-AF654+Hypothèses!$J$23</f>
        <v>22588.8449834476</v>
      </c>
      <c r="AJ654" s="2" t="n">
        <f aca="false">AI654/AH654</f>
        <v>3.01336736531508</v>
      </c>
      <c r="AK654" s="2" t="n">
        <f aca="false">AI654/(AH654+I654*(12-Hypothèses!$J$24)/12/Hypothèses!$J$19)</f>
        <v>2.98419352845765</v>
      </c>
      <c r="AL654" s="2" t="n">
        <f aca="false">(AD654+AG654+I654/Hypothèses!$J$19)*(1+G654)</f>
        <v>7919.96567904246</v>
      </c>
      <c r="AM654" s="2" t="n">
        <f aca="false">Entrées!$C$54*K654/Hypothèses!$J$19</f>
        <v>12.557811296537</v>
      </c>
      <c r="AN654" s="2" t="n">
        <f aca="false">Y654*1000/AC654</f>
        <v>86.0133016806237</v>
      </c>
      <c r="AO654" s="2" t="n">
        <f aca="false">(Entrées!$C$36*(1-S654)+MAX(0,Entrées!$C$30-Entrées!$C$35-Entrées!$C$36)*U654)*1000</f>
        <v>1237.39171660519</v>
      </c>
      <c r="AP654" s="2" t="n">
        <f aca="false">-AO654/W654</f>
        <v>-126.945200283312</v>
      </c>
      <c r="AQ654" s="2" t="n">
        <f aca="false">AL654+AM654+AN654+AP654</f>
        <v>7891.59159173631</v>
      </c>
      <c r="AR654" s="2" t="n">
        <f aca="false">O654*AQ654-Hypothèses!$J$25/Hypothèses!$J$19</f>
        <v>1203.78293435665</v>
      </c>
      <c r="AS654" s="2" t="n">
        <f aca="false">Entrées!$C$79*(1+Q654)+Hypothèses!$J$20</f>
        <v>1481.06744403592</v>
      </c>
      <c r="AT654" s="2" t="n">
        <f aca="false">AI654-AR654+AS654+Y654*1000-AO654+Hypothèses!$J$23</f>
        <v>22415.2351430484</v>
      </c>
      <c r="AU654" s="2" t="n">
        <f aca="false">AT654/AQ654</f>
        <v>2.84039472677737</v>
      </c>
      <c r="AV654" s="2" t="n">
        <f aca="false">Hypothèses!$J$26*AQ654-AT654</f>
        <v>1259.5396321605</v>
      </c>
      <c r="AW654" s="2" t="n">
        <f aca="false">IF(AC654&gt;Hypothèses!$J$26,MAX(0,AV654)/(1-Hypothèses!$J$26/AC654),0)</f>
        <v>1874.55883572311</v>
      </c>
      <c r="AX654" s="2" t="n">
        <f aca="false">AQ654-Entrées!$C$17*1000</f>
        <v>-108.40840826369</v>
      </c>
      <c r="AY654" s="2" t="n">
        <f aca="false">AI654+(Entrées!$C$244-Entrées!$C$13)</f>
        <v>28335.8449834476</v>
      </c>
      <c r="AZ654" s="2" t="n">
        <f aca="false">AA654*AH654</f>
        <v>5390.17126315769</v>
      </c>
      <c r="BA654" s="2" t="n">
        <f aca="false">AZ654/AY654</f>
        <v>0.190224475970502</v>
      </c>
      <c r="BB654" s="2" t="n">
        <f aca="false">AZ654/(Entrées!$C$151/100)-AY654</f>
        <v>1609.55092298401</v>
      </c>
      <c r="BC654" s="2" t="n">
        <f aca="false">AT654+(Entrées!$C$244-Entrées!$C$13)</f>
        <v>28162.2351430484</v>
      </c>
      <c r="BD654" s="2" t="n">
        <f aca="false">AA654*AQ654</f>
        <v>5674.46891469374</v>
      </c>
      <c r="BE654" s="2" t="n">
        <f aca="false">BD654/BC654</f>
        <v>0.201492136042136</v>
      </c>
      <c r="BF654" s="2" t="n">
        <f aca="false">BD654/(Entrées!$C$151/100)-BC654</f>
        <v>3362.59216080565</v>
      </c>
      <c r="BG654" s="2" t="n">
        <f aca="false">MIN(AV654,BF654)</f>
        <v>1259.5396321605</v>
      </c>
      <c r="BH654" s="2" t="n">
        <f aca="false">IF(AC654&gt;Hypothèses!$J$26,MAX(0,BG654)/(1-Hypothèses!$J$26/AC654),0)</f>
        <v>1874.55883572311</v>
      </c>
    </row>
    <row r="655" customFormat="false" ht="15" hidden="false" customHeight="false" outlineLevel="0" collapsed="false">
      <c r="A655" s="2" t="n">
        <v>640</v>
      </c>
      <c r="B655" s="2" t="n">
        <v>0.603682599</v>
      </c>
      <c r="C655" s="2"/>
      <c r="D655" s="2" t="n">
        <v>0.454756745</v>
      </c>
      <c r="E655" s="2" t="n">
        <f aca="false">IF(E$7=E$5,E$6,IF(NORMSDIST(E$9*SQRT($C$11)*NORMSINV($B655)+SQRT(1-E$9^2*$C$11)*NORMSINV(D655))&lt;E$8,E$5+SQRT(NORMSDIST(E$9*SQRT($C$11)*NORMSINV($B655)+SQRT(1-E$9^2*$C$11)*NORMSINV(D655))*(E$7-E$5)*(E$6-E$5)),E$7-SQRT((1-NORMSDIST(E$9*SQRT($C$11)*NORMSINV($B655)+SQRT(1-E$9^2*$C$11)*NORMSINV(D655)))*(E$7-E$5)*(E$7-E$6))))</f>
        <v>0.0551584004298121</v>
      </c>
      <c r="F655" s="2" t="n">
        <v>0.299702056</v>
      </c>
      <c r="G655" s="2" t="n">
        <f aca="false">IF(G$7=G$5,G$6,IF(NORMSDIST(G$9*SQRT($C$11)*NORMSINV($B655)+SQRT(1-G$9^2*$C$11)*NORMSINV(F655))&lt;G$8,G$5+SQRT(NORMSDIST(G$9*SQRT($C$11)*NORMSINV($B655)+SQRT(1-G$9^2*$C$11)*NORMSINV(F655))*(G$7-G$5)*(G$6-G$5)),G$7-SQRT((1-NORMSDIST(G$9*SQRT($C$11)*NORMSINV($B655)+SQRT(1-G$9^2*$C$11)*NORMSINV(F655)))*(G$7-G$5)*(G$7-G$6))))</f>
        <v>0.0534989013377074</v>
      </c>
      <c r="H655" s="2" t="n">
        <v>0.81256154</v>
      </c>
      <c r="I655" s="2" t="n">
        <f aca="false">IF(I$7=I$5,I$6,IF(NORMSDIST(I$9*SQRT($C$11)*NORMSINV($B655)+SQRT(1-I$9^2*$C$11)*NORMSINV(H655))&lt;I$8,I$5+SQRT(NORMSDIST(I$9*SQRT($C$11)*NORMSINV($B655)+SQRT(1-I$9^2*$C$11)*NORMSINV(H655))*(I$7-I$5)*(I$6-I$5)),I$7-SQRT((1-NORMSDIST(I$9*SQRT($C$11)*NORMSINV($B655)+SQRT(1-I$9^2*$C$11)*NORMSINV(H655)))*(I$7-I$5)*(I$7-I$6))))</f>
        <v>207.457065233257</v>
      </c>
      <c r="J655" s="2" t="n">
        <v>0.012471492</v>
      </c>
      <c r="K655" s="2" t="n">
        <f aca="false">IF(K$7=K$5,K$6,IF(NORMSDIST(K$9*SQRT($C$11)*NORMSINV($B655)+SQRT(1-K$9^2*$C$11)*NORMSINV(J655))&lt;K$8,K$5+SQRT(NORMSDIST(K$9*SQRT($C$11)*NORMSINV($B655)+SQRT(1-K$9^2*$C$11)*NORMSINV(J655))*(K$7-K$5)*(K$6-K$5)),K$7-SQRT((1-NORMSDIST(K$9*SQRT($C$11)*NORMSINV($B655)+SQRT(1-K$9^2*$C$11)*NORMSINV(J655)))*(K$7-K$5)*(K$7-K$6))))</f>
        <v>0.0852480601506677</v>
      </c>
      <c r="L655" s="2" t="n">
        <v>0.700927761</v>
      </c>
      <c r="M655" s="2" t="n">
        <f aca="false">IF(M$7=M$5,M$6,IF(NORMSDIST(M$9*SQRT($C$11)*NORMSINV($B655)+SQRT(1-M$9^2*$C$11)*NORMSINV(L655))&lt;M$8,M$5+SQRT(NORMSDIST(M$9*SQRT($C$11)*NORMSINV($B655)+SQRT(1-M$9^2*$C$11)*NORMSINV(L655))*(M$7-M$5)*(M$6-M$5)),M$7-SQRT((1-NORMSDIST(M$9*SQRT($C$11)*NORMSINV($B655)+SQRT(1-M$9^2*$C$11)*NORMSINV(L655)))*(M$7-M$5)*(M$7-M$6))))</f>
        <v>1641.85417006858</v>
      </c>
      <c r="N655" s="2" t="n">
        <v>0.107900487</v>
      </c>
      <c r="O655" s="2" t="n">
        <f aca="false">IF(O$7=O$5,O$6,IF(NORMSDIST(O$9*SQRT($C$11)*NORMSINV($B655)+SQRT(1-O$9^2*$C$11)*NORMSINV(N655))&lt;O$8,O$5+SQRT(NORMSDIST(O$9*SQRT($C$11)*NORMSINV($B655)+SQRT(1-O$9^2*$C$11)*NORMSINV(N655))*(O$7-O$5)*(O$6-O$5)),O$7-SQRT((1-NORMSDIST(O$9*SQRT($C$11)*NORMSINV($B655)+SQRT(1-O$9^2*$C$11)*NORMSINV(N655)))*(O$7-O$5)*(O$7-O$6))))</f>
        <v>0.157524210988307</v>
      </c>
      <c r="P655" s="2" t="n">
        <v>0.951197938</v>
      </c>
      <c r="Q655" s="2" t="n">
        <f aca="false">IF(Q$7=Q$5,Q$6,IF(NORMSDIST(Q$9*SQRT($C$11)*NORMSINV($B655)+SQRT(1-Q$9^2*$C$11)*NORMSINV(P655))&lt;Q$8,Q$5+SQRT(NORMSDIST(Q$9*SQRT($C$11)*NORMSINV($B655)+SQRT(1-Q$9^2*$C$11)*NORMSINV(P655))*(Q$7-Q$5)*(Q$6-Q$5)),Q$7-SQRT((1-NORMSDIST(Q$9*SQRT($C$11)*NORMSINV($B655)+SQRT(1-Q$9^2*$C$11)*NORMSINV(P655)))*(Q$7-Q$5)*(Q$7-Q$6))))</f>
        <v>0.107503336509292</v>
      </c>
      <c r="R655" s="2" t="n">
        <v>0.863055999</v>
      </c>
      <c r="S655" s="2" t="n">
        <f aca="false">IF(S$7=S$5,S$6,IF(NORMSDIST(S$9*SQRT($C$11)*NORMSINV($B655)+SQRT(1-S$9^2*$C$11)*NORMSINV(R655))&lt;S$8,S$5+SQRT(NORMSDIST(S$9*SQRT($C$11)*NORMSINV($B655)+SQRT(1-S$9^2*$C$11)*NORMSINV(R655))*(S$7-S$5)*(S$6-S$5)),S$7-SQRT((1-NORMSDIST(S$9*SQRT($C$11)*NORMSINV($B655)+SQRT(1-S$9^2*$C$11)*NORMSINV(R655)))*(S$7-S$5)*(S$7-S$6))))</f>
        <v>0.721306091963633</v>
      </c>
      <c r="T655" s="2" t="n">
        <v>0.388704909</v>
      </c>
      <c r="U655" s="2" t="n">
        <f aca="false">IF(U$7=U$5,U$6,IF(NORMSDIST(U$9*SQRT($C$11)*NORMSINV($B655)+SQRT(1-U$9^2*$C$11)*NORMSINV(T655))&lt;U$8,U$5+SQRT(NORMSDIST(U$9*SQRT($C$11)*NORMSINV($B655)+SQRT(1-U$9^2*$C$11)*NORMSINV(T655))*(U$7-U$5)*(U$6-U$5)),U$7-SQRT((1-NORMSDIST(U$9*SQRT($C$11)*NORMSINV($B655)+SQRT(1-U$9^2*$C$11)*NORMSINV(T655)))*(U$7-U$5)*(U$7-U$6))))</f>
        <v>0.489378168629855</v>
      </c>
      <c r="V655" s="2" t="n">
        <v>0.907787733</v>
      </c>
      <c r="W655" s="2" t="n">
        <f aca="false">IF(W$7=W$5,W$6,IF(NORMSDIST(W$9*SQRT($C$11)*NORMSINV($B655)+SQRT(1-W$9^2*$C$11)*NORMSINV(V655))&lt;W$8,W$5+SQRT(NORMSDIST(W$9*SQRT($C$11)*NORMSINV($B655)+SQRT(1-W$9^2*$C$11)*NORMSINV(V655))*(W$7-W$5)*(W$6-W$5)),W$7-SQRT((1-NORMSDIST(W$9*SQRT($C$11)*NORMSINV($B655)+SQRT(1-W$9^2*$C$11)*NORMSINV(V655)))*(W$7-W$5)*(W$7-W$6))))</f>
        <v>11.0359674338274</v>
      </c>
      <c r="X655" s="2" t="n">
        <v>0.50659181</v>
      </c>
      <c r="Y655" s="2" t="n">
        <f aca="false">IF(Y$7=Y$5,Y$6,IF(NORMSDIST(Y$9*SQRT($C$11)*NORMSINV($B655)+SQRT(1-Y$9^2*$C$11)*NORMSINV(X655))&lt;Y$8,Y$5+SQRT(NORMSDIST(Y$9*SQRT($C$11)*NORMSINV($B655)+SQRT(1-Y$9^2*$C$11)*NORMSINV(X655))*(Y$7-Y$5)*(Y$6-Y$5)),Y$7-SQRT((1-NORMSDIST(Y$9*SQRT($C$11)*NORMSINV($B655)+SQRT(1-Y$9^2*$C$11)*NORMSINV(X655)))*(Y$7-Y$5)*(Y$7-Y$6))))</f>
        <v>0.503306840192056</v>
      </c>
      <c r="Z655" s="2" t="n">
        <v>0.210172883</v>
      </c>
      <c r="AA655" s="2" t="n">
        <f aca="false">IF(AA$7=AA$5,AA$6,IF(NORMSDIST(AA$9*SQRT($C$11)*NORMSINV($B655)+SQRT(1-AA$9^2*$C$11)*NORMSINV(Z655))&lt;AA$8,AA$5+SQRT(NORMSDIST(AA$9*SQRT($C$11)*NORMSINV($B655)+SQRT(1-AA$9^2*$C$11)*NORMSINV(Z655))*(AA$7-AA$5)*(AA$6-AA$5)),AA$7-SQRT((1-NORMSDIST(AA$9*SQRT($C$11)*NORMSINV($B655)+SQRT(1-AA$9^2*$C$11)*NORMSINV(Z655)))*(AA$7-AA$5)*(AA$7-AA$6))))</f>
        <v>0.721647948488418</v>
      </c>
      <c r="AB655" s="2" t="n">
        <v>0.46856207</v>
      </c>
      <c r="AC655" s="2" t="n">
        <f aca="false">IF(AC$7=AC$5,AC$6,IF(NORMSDIST(AC$9*SQRT($C$11)*NORMSINV($B655)+SQRT(1-AC$9^2*$C$11)*NORMSINV(AB655))&lt;AC$8,AC$5+SQRT(NORMSDIST(AC$9*SQRT($C$11)*NORMSINV($B655)+SQRT(1-AC$9^2*$C$11)*NORMSINV(AB655))*(AC$7-AC$5)*(AC$6-AC$5)),AC$7-SQRT((1-NORMSDIST(AC$9*SQRT($C$11)*NORMSINV($B655)+SQRT(1-AC$9^2*$C$11)*NORMSINV(AB655)))*(AC$7-AC$5)*(AC$7-AC$6))))</f>
        <v>9.56375002306238</v>
      </c>
      <c r="AD655" s="2" t="n">
        <f aca="false">Entrées!$C$8*(1+E655)</f>
        <v>7438.86672303017</v>
      </c>
      <c r="AE655" s="2" t="n">
        <f aca="false">I655*Hypothèses!$J$24/12/Hypothèses!$J$19</f>
        <v>102.918786070051</v>
      </c>
      <c r="AF655" s="2" t="n">
        <f aca="false">Entrées!$C$36*S655*1000</f>
        <v>360.653045981816</v>
      </c>
      <c r="AG655" s="2" t="n">
        <f aca="false">-AF655/W655</f>
        <v>-32.6797852697846</v>
      </c>
      <c r="AH655" s="2" t="n">
        <f aca="false">AD655+AE655+AG655</f>
        <v>7509.10572383044</v>
      </c>
      <c r="AI655" s="2" t="n">
        <f aca="false">Entrées!$C$16-M655+Hypothèses!$J$22*1000-AF655+Hypothèses!$J$23</f>
        <v>22545.4927839496</v>
      </c>
      <c r="AJ655" s="2" t="n">
        <f aca="false">AI655/AH655</f>
        <v>3.00242047630261</v>
      </c>
      <c r="AK655" s="2" t="n">
        <f aca="false">AI655/(AH655+I655*(12-Hypothèses!$J$24)/12/Hypothèses!$J$19)</f>
        <v>2.97331203907194</v>
      </c>
      <c r="AL655" s="2" t="n">
        <f aca="false">(AD655+AG655+I655/Hypothèses!$J$19)*(1+G655)</f>
        <v>7988.28093583535</v>
      </c>
      <c r="AM655" s="2" t="n">
        <f aca="false">Entrées!$C$54*K655/Hypothèses!$J$19</f>
        <v>8.69992247185001</v>
      </c>
      <c r="AN655" s="2" t="n">
        <f aca="false">Y655*1000/AC655</f>
        <v>52.6265156427514</v>
      </c>
      <c r="AO655" s="2" t="n">
        <f aca="false">(Entrées!$C$36*(1-S655)+MAX(0,Entrées!$C$30-Entrées!$C$35-Entrées!$C$36)*U655)*1000</f>
        <v>824.476390099981</v>
      </c>
      <c r="AP655" s="2" t="n">
        <f aca="false">-AO655/W655</f>
        <v>-74.7081209729558</v>
      </c>
      <c r="AQ655" s="2" t="n">
        <f aca="false">AL655+AM655+AN655+AP655</f>
        <v>7974.899252977</v>
      </c>
      <c r="AR655" s="2" t="n">
        <f aca="false">O655*AQ655-Hypothèses!$J$25/Hypothèses!$J$19</f>
        <v>1237.10455027481</v>
      </c>
      <c r="AS655" s="2" t="n">
        <f aca="false">Entrées!$C$79*(1+Q655)+Hypothèses!$J$20</f>
        <v>1512.14616682371</v>
      </c>
      <c r="AT655" s="2" t="n">
        <f aca="false">AI655-AR655+AS655+Y655*1000-AO655+Hypothèses!$J$23</f>
        <v>22499.3648505906</v>
      </c>
      <c r="AU655" s="2" t="n">
        <f aca="false">AT655/AQ655</f>
        <v>2.82127261259027</v>
      </c>
      <c r="AV655" s="2" t="n">
        <f aca="false">Hypothèses!$J$26*AQ655-AT655</f>
        <v>1425.33290834041</v>
      </c>
      <c r="AW655" s="2" t="n">
        <f aca="false">IF(AC655&gt;Hypothèses!$J$26,MAX(0,AV655)/(1-Hypothèses!$J$26/AC655),0)</f>
        <v>2076.78957716496</v>
      </c>
      <c r="AX655" s="2" t="n">
        <f aca="false">AQ655-Entrées!$C$17*1000</f>
        <v>-25.1007470230024</v>
      </c>
      <c r="AY655" s="2" t="n">
        <f aca="false">AI655+(Entrées!$C$244-Entrées!$C$13)</f>
        <v>28292.4927839496</v>
      </c>
      <c r="AZ655" s="2" t="n">
        <f aca="false">AA655*AH655</f>
        <v>5418.93074058487</v>
      </c>
      <c r="BA655" s="2" t="n">
        <f aca="false">AZ655/AY655</f>
        <v>0.191532459934356</v>
      </c>
      <c r="BB655" s="2" t="n">
        <f aca="false">AZ655/(Entrées!$C$151/100)-AY655</f>
        <v>1812.67799707746</v>
      </c>
      <c r="BC655" s="2" t="n">
        <f aca="false">AT655+(Entrées!$C$244-Entrées!$C$13)</f>
        <v>28246.3648505906</v>
      </c>
      <c r="BD655" s="2" t="n">
        <f aca="false">AA655*AQ655</f>
        <v>5755.06968531267</v>
      </c>
      <c r="BE655" s="2" t="n">
        <f aca="false">BD655/BC655</f>
        <v>0.203745498429768</v>
      </c>
      <c r="BF655" s="2" t="n">
        <f aca="false">BD655/(Entrées!$C$151/100)-BC655</f>
        <v>3726.24451225756</v>
      </c>
      <c r="BG655" s="2" t="n">
        <f aca="false">MIN(AV655,BF655)</f>
        <v>1425.33290834041</v>
      </c>
      <c r="BH655" s="2" t="n">
        <f aca="false">IF(AC655&gt;Hypothèses!$J$26,MAX(0,BG655)/(1-Hypothèses!$J$26/AC655),0)</f>
        <v>2076.78957716496</v>
      </c>
    </row>
    <row r="656" customFormat="false" ht="15" hidden="false" customHeight="false" outlineLevel="0" collapsed="false">
      <c r="A656" s="2" t="n">
        <v>641</v>
      </c>
      <c r="B656" s="2" t="n">
        <v>0.344332378</v>
      </c>
      <c r="C656" s="2"/>
      <c r="D656" s="2" t="n">
        <v>0.997828013</v>
      </c>
      <c r="E656" s="2" t="n">
        <f aca="false">IF(E$7=E$5,E$6,IF(NORMSDIST(E$9*SQRT($C$11)*NORMSINV($B656)+SQRT(1-E$9^2*$C$11)*NORMSINV(D656))&lt;E$8,E$5+SQRT(NORMSDIST(E$9*SQRT($C$11)*NORMSINV($B656)+SQRT(1-E$9^2*$C$11)*NORMSINV(D656))*(E$7-E$5)*(E$6-E$5)),E$7-SQRT((1-NORMSDIST(E$9*SQRT($C$11)*NORMSINV($B656)+SQRT(1-E$9^2*$C$11)*NORMSINV(D656)))*(E$7-E$5)*(E$7-E$6))))</f>
        <v>0.0588764831926369</v>
      </c>
      <c r="F656" s="2" t="n">
        <v>0.019905511</v>
      </c>
      <c r="G656" s="2" t="n">
        <f aca="false">IF(G$7=G$5,G$6,IF(NORMSDIST(G$9*SQRT($C$11)*NORMSINV($B656)+SQRT(1-G$9^2*$C$11)*NORMSINV(F656))&lt;G$8,G$5+SQRT(NORMSDIST(G$9*SQRT($C$11)*NORMSINV($B656)+SQRT(1-G$9^2*$C$11)*NORMSINV(F656))*(G$7-G$5)*(G$6-G$5)),G$7-SQRT((1-NORMSDIST(G$9*SQRT($C$11)*NORMSINV($B656)+SQRT(1-G$9^2*$C$11)*NORMSINV(F656)))*(G$7-G$5)*(G$7-G$6))))</f>
        <v>0.0438221770078724</v>
      </c>
      <c r="H656" s="2" t="n">
        <v>0.531015332</v>
      </c>
      <c r="I656" s="2" t="n">
        <f aca="false">IF(I$7=I$5,I$6,IF(NORMSDIST(I$9*SQRT($C$11)*NORMSINV($B656)+SQRT(1-I$9^2*$C$11)*NORMSINV(H656))&lt;I$8,I$5+SQRT(NORMSDIST(I$9*SQRT($C$11)*NORMSINV($B656)+SQRT(1-I$9^2*$C$11)*NORMSINV(H656))*(I$7-I$5)*(I$6-I$5)),I$7-SQRT((1-NORMSDIST(I$9*SQRT($C$11)*NORMSINV($B656)+SQRT(1-I$9^2*$C$11)*NORMSINV(H656)))*(I$7-I$5)*(I$7-I$6))))</f>
        <v>198.405023139553</v>
      </c>
      <c r="J656" s="2" t="n">
        <v>0.944296464</v>
      </c>
      <c r="K656" s="2" t="n">
        <f aca="false">IF(K$7=K$5,K$6,IF(NORMSDIST(K$9*SQRT($C$11)*NORMSINV($B656)+SQRT(1-K$9^2*$C$11)*NORMSINV(J656))&lt;K$8,K$5+SQRT(NORMSDIST(K$9*SQRT($C$11)*NORMSINV($B656)+SQRT(1-K$9^2*$C$11)*NORMSINV(J656))*(K$7-K$5)*(K$6-K$5)),K$7-SQRT((1-NORMSDIST(K$9*SQRT($C$11)*NORMSINV($B656)+SQRT(1-K$9^2*$C$11)*NORMSINV(J656)))*(K$7-K$5)*(K$7-K$6))))</f>
        <v>0.356986462821199</v>
      </c>
      <c r="L656" s="2" t="n">
        <v>0.823336579</v>
      </c>
      <c r="M656" s="2" t="n">
        <f aca="false">IF(M$7=M$5,M$6,IF(NORMSDIST(M$9*SQRT($C$11)*NORMSINV($B656)+SQRT(1-M$9^2*$C$11)*NORMSINV(L656))&lt;M$8,M$5+SQRT(NORMSDIST(M$9*SQRT($C$11)*NORMSINV($B656)+SQRT(1-M$9^2*$C$11)*NORMSINV(L656))*(M$7-M$5)*(M$6-M$5)),M$7-SQRT((1-NORMSDIST(M$9*SQRT($C$11)*NORMSINV($B656)+SQRT(1-M$9^2*$C$11)*NORMSINV(L656)))*(M$7-M$5)*(M$7-M$6))))</f>
        <v>1632.09889100904</v>
      </c>
      <c r="N656" s="2" t="n">
        <v>0.16500768</v>
      </c>
      <c r="O656" s="2" t="n">
        <f aca="false">IF(O$7=O$5,O$6,IF(NORMSDIST(O$9*SQRT($C$11)*NORMSINV($B656)+SQRT(1-O$9^2*$C$11)*NORMSINV(N656))&lt;O$8,O$5+SQRT(NORMSDIST(O$9*SQRT($C$11)*NORMSINV($B656)+SQRT(1-O$9^2*$C$11)*NORMSINV(N656))*(O$7-O$5)*(O$6-O$5)),O$7-SQRT((1-NORMSDIST(O$9*SQRT($C$11)*NORMSINV($B656)+SQRT(1-O$9^2*$C$11)*NORMSINV(N656)))*(O$7-O$5)*(O$7-O$6))))</f>
        <v>0.154996686173993</v>
      </c>
      <c r="P656" s="2" t="n">
        <v>0.355191894</v>
      </c>
      <c r="Q656" s="2" t="n">
        <f aca="false">IF(Q$7=Q$5,Q$6,IF(NORMSDIST(Q$9*SQRT($C$11)*NORMSINV($B656)+SQRT(1-Q$9^2*$C$11)*NORMSINV(P656))&lt;Q$8,Q$5+SQRT(NORMSDIST(Q$9*SQRT($C$11)*NORMSINV($B656)+SQRT(1-Q$9^2*$C$11)*NORMSINV(P656))*(Q$7-Q$5)*(Q$6-Q$5)),Q$7-SQRT((1-NORMSDIST(Q$9*SQRT($C$11)*NORMSINV($B656)+SQRT(1-Q$9^2*$C$11)*NORMSINV(P656)))*(Q$7-Q$5)*(Q$7-Q$6))))</f>
        <v>0.0737137073131983</v>
      </c>
      <c r="R656" s="2" t="n">
        <v>0.146967889</v>
      </c>
      <c r="S656" s="2" t="n">
        <f aca="false">IF(S$7=S$5,S$6,IF(NORMSDIST(S$9*SQRT($C$11)*NORMSINV($B656)+SQRT(1-S$9^2*$C$11)*NORMSINV(R656))&lt;S$8,S$5+SQRT(NORMSDIST(S$9*SQRT($C$11)*NORMSINV($B656)+SQRT(1-S$9^2*$C$11)*NORMSINV(R656))*(S$7-S$5)*(S$6-S$5)),S$7-SQRT((1-NORMSDIST(S$9*SQRT($C$11)*NORMSINV($B656)+SQRT(1-S$9^2*$C$11)*NORMSINV(R656)))*(S$7-S$5)*(S$7-S$6))))</f>
        <v>0.267515860005935</v>
      </c>
      <c r="T656" s="2" t="n">
        <v>0.590868229</v>
      </c>
      <c r="U656" s="2" t="n">
        <f aca="false">IF(U$7=U$5,U$6,IF(NORMSDIST(U$9*SQRT($C$11)*NORMSINV($B656)+SQRT(1-U$9^2*$C$11)*NORMSINV(T656))&lt;U$8,U$5+SQRT(NORMSDIST(U$9*SQRT($C$11)*NORMSINV($B656)+SQRT(1-U$9^2*$C$11)*NORMSINV(T656))*(U$7-U$5)*(U$6-U$5)),U$7-SQRT((1-NORMSDIST(U$9*SQRT($C$11)*NORMSINV($B656)+SQRT(1-U$9^2*$C$11)*NORMSINV(T656)))*(U$7-U$5)*(U$7-U$6))))</f>
        <v>0.484737485427269</v>
      </c>
      <c r="V656" s="2" t="n">
        <v>0.943077124</v>
      </c>
      <c r="W656" s="2" t="n">
        <f aca="false">IF(W$7=W$5,W$6,IF(NORMSDIST(W$9*SQRT($C$11)*NORMSINV($B656)+SQRT(1-W$9^2*$C$11)*NORMSINV(V656))&lt;W$8,W$5+SQRT(NORMSDIST(W$9*SQRT($C$11)*NORMSINV($B656)+SQRT(1-W$9^2*$C$11)*NORMSINV(V656))*(W$7-W$5)*(W$6-W$5)),W$7-SQRT((1-NORMSDIST(W$9*SQRT($C$11)*NORMSINV($B656)+SQRT(1-W$9^2*$C$11)*NORMSINV(V656)))*(W$7-W$5)*(W$7-W$6))))</f>
        <v>10.8486913387187</v>
      </c>
      <c r="X656" s="2" t="n">
        <v>0.967999608</v>
      </c>
      <c r="Y656" s="2" t="n">
        <f aca="false">IF(Y$7=Y$5,Y$6,IF(NORMSDIST(Y$9*SQRT($C$11)*NORMSINV($B656)+SQRT(1-Y$9^2*$C$11)*NORMSINV(X656))&lt;Y$8,Y$5+SQRT(NORMSDIST(Y$9*SQRT($C$11)*NORMSINV($B656)+SQRT(1-Y$9^2*$C$11)*NORMSINV(X656))*(Y$7-Y$5)*(Y$6-Y$5)),Y$7-SQRT((1-NORMSDIST(Y$9*SQRT($C$11)*NORMSINV($B656)+SQRT(1-Y$9^2*$C$11)*NORMSINV(X656)))*(Y$7-Y$5)*(Y$7-Y$6))))</f>
        <v>0.873508118837611</v>
      </c>
      <c r="Z656" s="2" t="n">
        <v>0.394504067</v>
      </c>
      <c r="AA656" s="2" t="n">
        <f aca="false">IF(AA$7=AA$5,AA$6,IF(NORMSDIST(AA$9*SQRT($C$11)*NORMSINV($B656)+SQRT(1-AA$9^2*$C$11)*NORMSINV(Z656))&lt;AA$8,AA$5+SQRT(NORMSDIST(AA$9*SQRT($C$11)*NORMSINV($B656)+SQRT(1-AA$9^2*$C$11)*NORMSINV(Z656))*(AA$7-AA$5)*(AA$6-AA$5)),AA$7-SQRT((1-NORMSDIST(AA$9*SQRT($C$11)*NORMSINV($B656)+SQRT(1-AA$9^2*$C$11)*NORMSINV(Z656)))*(AA$7-AA$5)*(AA$7-AA$6))))</f>
        <v>0.721607512928051</v>
      </c>
      <c r="AB656" s="2" t="n">
        <v>0.236888715</v>
      </c>
      <c r="AC656" s="2" t="n">
        <f aca="false">IF(AC$7=AC$5,AC$6,IF(NORMSDIST(AC$9*SQRT($C$11)*NORMSINV($B656)+SQRT(1-AC$9^2*$C$11)*NORMSINV(AB656))&lt;AC$8,AC$5+SQRT(NORMSDIST(AC$9*SQRT($C$11)*NORMSINV($B656)+SQRT(1-AC$9^2*$C$11)*NORMSINV(AB656))*(AC$7-AC$5)*(AC$6-AC$5)),AC$7-SQRT((1-NORMSDIST(AC$9*SQRT($C$11)*NORMSINV($B656)+SQRT(1-AC$9^2*$C$11)*NORMSINV(AB656)))*(AC$7-AC$5)*(AC$7-AC$6))))</f>
        <v>8.74527498177331</v>
      </c>
      <c r="AD656" s="2" t="n">
        <f aca="false">Entrées!$C$8*(1+E656)</f>
        <v>7465.07920650809</v>
      </c>
      <c r="AE656" s="2" t="n">
        <f aca="false">I656*Hypothèses!$J$24/12/Hypothèses!$J$19</f>
        <v>98.4280969595519</v>
      </c>
      <c r="AF656" s="2" t="n">
        <f aca="false">Entrées!$C$36*S656*1000</f>
        <v>133.757930002968</v>
      </c>
      <c r="AG656" s="2" t="n">
        <f aca="false">-AF656/W656</f>
        <v>-12.3294069143242</v>
      </c>
      <c r="AH656" s="2" t="n">
        <f aca="false">AD656+AE656+AG656</f>
        <v>7551.17789655332</v>
      </c>
      <c r="AI656" s="2" t="n">
        <f aca="false">Entrées!$C$16-M656+Hypothèses!$J$22*1000-AF656+Hypothèses!$J$23</f>
        <v>22782.143178988</v>
      </c>
      <c r="AJ656" s="2" t="n">
        <f aca="false">AI656/AH656</f>
        <v>3.0170317122825</v>
      </c>
      <c r="AK656" s="2" t="n">
        <f aca="false">AI656/(AH656+I656*(12-Hypothèses!$J$24)/12/Hypothèses!$J$19)</f>
        <v>2.98920054614635</v>
      </c>
      <c r="AL656" s="2" t="n">
        <f aca="false">(AD656+AG656+I656/Hypothèses!$J$19)*(1+G656)</f>
        <v>7955.47368698763</v>
      </c>
      <c r="AM656" s="2" t="n">
        <f aca="false">Entrées!$C$54*K656/Hypothèses!$J$19</f>
        <v>36.4319674202002</v>
      </c>
      <c r="AN656" s="2" t="n">
        <f aca="false">Y656*1000/AC656</f>
        <v>99.8834365595314</v>
      </c>
      <c r="AO656" s="2" t="n">
        <f aca="false">(Entrées!$C$36*(1-S656)+MAX(0,Entrées!$C$30-Entrées!$C$35-Entrées!$C$36)*U656)*1000</f>
        <v>1044.87454959521</v>
      </c>
      <c r="AP656" s="2" t="n">
        <f aca="false">-AO656/W656</f>
        <v>-96.3134185471828</v>
      </c>
      <c r="AQ656" s="2" t="n">
        <f aca="false">AL656+AM656+AN656+AP656</f>
        <v>7995.47567242018</v>
      </c>
      <c r="AR656" s="2" t="n">
        <f aca="false">O656*AQ656-Hypothèses!$J$25/Hypothèses!$J$19</f>
        <v>1220.13707134828</v>
      </c>
      <c r="AS656" s="2" t="n">
        <f aca="false">Entrées!$C$79*(1+Q656)+Hypothèses!$J$20</f>
        <v>1475.01136433721</v>
      </c>
      <c r="AT656" s="2" t="n">
        <f aca="false">AI656-AR656+AS656+Y656*1000-AO656+Hypothèses!$J$23</f>
        <v>22865.6510412193</v>
      </c>
      <c r="AU656" s="2" t="n">
        <f aca="false">AT656/AQ656</f>
        <v>2.85982372757293</v>
      </c>
      <c r="AV656" s="2" t="n">
        <f aca="false">Hypothèses!$J$26*AQ656-AT656</f>
        <v>1120.7759760412</v>
      </c>
      <c r="AW656" s="2" t="n">
        <f aca="false">IF(AC656&gt;Hypothèses!$J$26,MAX(0,AV656)/(1-Hypothèses!$J$26/AC656),0)</f>
        <v>1706.00957039316</v>
      </c>
      <c r="AX656" s="2" t="n">
        <f aca="false">AQ656-Entrées!$C$17*1000</f>
        <v>-4.52432757982388</v>
      </c>
      <c r="AY656" s="2" t="n">
        <f aca="false">AI656+(Entrées!$C$244-Entrées!$C$13)</f>
        <v>28529.143178988</v>
      </c>
      <c r="AZ656" s="2" t="n">
        <f aca="false">AA656*AH656</f>
        <v>5448.98670160911</v>
      </c>
      <c r="BA656" s="2" t="n">
        <f aca="false">AZ656/AY656</f>
        <v>0.19099720827306</v>
      </c>
      <c r="BB656" s="2" t="n">
        <f aca="false">AZ656/(Entrées!$C$151/100)-AY656</f>
        <v>1743.00516328482</v>
      </c>
      <c r="BC656" s="2" t="n">
        <f aca="false">AT656+(Entrées!$C$244-Entrées!$C$13)</f>
        <v>28612.6510412193</v>
      </c>
      <c r="BD656" s="2" t="n">
        <f aca="false">AA656*AQ656</f>
        <v>5769.59531465186</v>
      </c>
      <c r="BE656" s="2" t="n">
        <f aca="false">BD656/BC656</f>
        <v>0.201644905476958</v>
      </c>
      <c r="BF656" s="2" t="n">
        <f aca="false">BD656/(Entrées!$C$151/100)-BC656</f>
        <v>3440.65626240209</v>
      </c>
      <c r="BG656" s="2" t="n">
        <f aca="false">MIN(AV656,BF656)</f>
        <v>1120.7759760412</v>
      </c>
      <c r="BH656" s="2" t="n">
        <f aca="false">IF(AC656&gt;Hypothèses!$J$26,MAX(0,BG656)/(1-Hypothèses!$J$26/AC656),0)</f>
        <v>1706.00957039316</v>
      </c>
    </row>
    <row r="657" customFormat="false" ht="15" hidden="false" customHeight="false" outlineLevel="0" collapsed="false">
      <c r="A657" s="2" t="n">
        <v>642</v>
      </c>
      <c r="B657" s="2" t="n">
        <v>0.988622427</v>
      </c>
      <c r="C657" s="2"/>
      <c r="D657" s="2" t="n">
        <v>0.642163992</v>
      </c>
      <c r="E657" s="2" t="n">
        <f aca="false">IF(E$7=E$5,E$6,IF(NORMSDIST(E$9*SQRT($C$11)*NORMSINV($B657)+SQRT(1-E$9^2*$C$11)*NORMSINV(D657))&lt;E$8,E$5+SQRT(NORMSDIST(E$9*SQRT($C$11)*NORMSINV($B657)+SQRT(1-E$9^2*$C$11)*NORMSINV(D657))*(E$7-E$5)*(E$6-E$5)),E$7-SQRT((1-NORMSDIST(E$9*SQRT($C$11)*NORMSINV($B657)+SQRT(1-E$9^2*$C$11)*NORMSINV(D657)))*(E$7-E$5)*(E$7-E$6))))</f>
        <v>0.0585425613651874</v>
      </c>
      <c r="F657" s="2" t="n">
        <v>0.15119359</v>
      </c>
      <c r="G657" s="2" t="n">
        <f aca="false">IF(G$7=G$5,G$6,IF(NORMSDIST(G$9*SQRT($C$11)*NORMSINV($B657)+SQRT(1-G$9^2*$C$11)*NORMSINV(F657))&lt;G$8,G$5+SQRT(NORMSDIST(G$9*SQRT($C$11)*NORMSINV($B657)+SQRT(1-G$9^2*$C$11)*NORMSINV(F657))*(G$7-G$5)*(G$6-G$5)),G$7-SQRT((1-NORMSDIST(G$9*SQRT($C$11)*NORMSINV($B657)+SQRT(1-G$9^2*$C$11)*NORMSINV(F657)))*(G$7-G$5)*(G$7-G$6))))</f>
        <v>0.0591713508770303</v>
      </c>
      <c r="H657" s="2" t="n">
        <v>0.970756008</v>
      </c>
      <c r="I657" s="2" t="n">
        <f aca="false">IF(I$7=I$5,I$6,IF(NORMSDIST(I$9*SQRT($C$11)*NORMSINV($B657)+SQRT(1-I$9^2*$C$11)*NORMSINV(H657))&lt;I$8,I$5+SQRT(NORMSDIST(I$9*SQRT($C$11)*NORMSINV($B657)+SQRT(1-I$9^2*$C$11)*NORMSINV(H657))*(I$7-I$5)*(I$6-I$5)),I$7-SQRT((1-NORMSDIST(I$9*SQRT($C$11)*NORMSINV($B657)+SQRT(1-I$9^2*$C$11)*NORMSINV(H657)))*(I$7-I$5)*(I$7-I$6))))</f>
        <v>218.789877556724</v>
      </c>
      <c r="J657" s="2" t="n">
        <v>0.450781181</v>
      </c>
      <c r="K657" s="2" t="n">
        <f aca="false">IF(K$7=K$5,K$6,IF(NORMSDIST(K$9*SQRT($C$11)*NORMSINV($B657)+SQRT(1-K$9^2*$C$11)*NORMSINV(J657))&lt;K$8,K$5+SQRT(NORMSDIST(K$9*SQRT($C$11)*NORMSINV($B657)+SQRT(1-K$9^2*$C$11)*NORMSINV(J657))*(K$7-K$5)*(K$6-K$5)),K$7-SQRT((1-NORMSDIST(K$9*SQRT($C$11)*NORMSINV($B657)+SQRT(1-K$9^2*$C$11)*NORMSINV(J657)))*(K$7-K$5)*(K$7-K$6))))</f>
        <v>0.394303729854378</v>
      </c>
      <c r="L657" s="2" t="n">
        <v>0.554174982</v>
      </c>
      <c r="M657" s="2" t="n">
        <f aca="false">IF(M$7=M$5,M$6,IF(NORMSDIST(M$9*SQRT($C$11)*NORMSINV($B657)+SQRT(1-M$9^2*$C$11)*NORMSINV(L657))&lt;M$8,M$5+SQRT(NORMSDIST(M$9*SQRT($C$11)*NORMSINV($B657)+SQRT(1-M$9^2*$C$11)*NORMSINV(L657))*(M$7-M$5)*(M$6-M$5)),M$7-SQRT((1-NORMSDIST(M$9*SQRT($C$11)*NORMSINV($B657)+SQRT(1-M$9^2*$C$11)*NORMSINV(L657)))*(M$7-M$5)*(M$7-M$6))))</f>
        <v>1722.18007450736</v>
      </c>
      <c r="N657" s="2" t="n">
        <v>0.26216369</v>
      </c>
      <c r="O657" s="2" t="n">
        <f aca="false">IF(O$7=O$5,O$6,IF(NORMSDIST(O$9*SQRT($C$11)*NORMSINV($B657)+SQRT(1-O$9^2*$C$11)*NORMSINV(N657))&lt;O$8,O$5+SQRT(NORMSDIST(O$9*SQRT($C$11)*NORMSINV($B657)+SQRT(1-O$9^2*$C$11)*NORMSINV(N657))*(O$7-O$5)*(O$6-O$5)),O$7-SQRT((1-NORMSDIST(O$9*SQRT($C$11)*NORMSINV($B657)+SQRT(1-O$9^2*$C$11)*NORMSINV(N657)))*(O$7-O$5)*(O$7-O$6))))</f>
        <v>0.176474094041403</v>
      </c>
      <c r="P657" s="2" t="n">
        <v>0.094113966</v>
      </c>
      <c r="Q657" s="2" t="n">
        <f aca="false">IF(Q$7=Q$5,Q$6,IF(NORMSDIST(Q$9*SQRT($C$11)*NORMSINV($B657)+SQRT(1-Q$9^2*$C$11)*NORMSINV(P657))&lt;Q$8,Q$5+SQRT(NORMSDIST(Q$9*SQRT($C$11)*NORMSINV($B657)+SQRT(1-Q$9^2*$C$11)*NORMSINV(P657))*(Q$7-Q$5)*(Q$6-Q$5)),Q$7-SQRT((1-NORMSDIST(Q$9*SQRT($C$11)*NORMSINV($B657)+SQRT(1-Q$9^2*$C$11)*NORMSINV(P657)))*(Q$7-Q$5)*(Q$7-Q$6))))</f>
        <v>0.0573540972453193</v>
      </c>
      <c r="R657" s="2" t="n">
        <v>0.645361004</v>
      </c>
      <c r="S657" s="2" t="n">
        <f aca="false">IF(S$7=S$5,S$6,IF(NORMSDIST(S$9*SQRT($C$11)*NORMSINV($B657)+SQRT(1-S$9^2*$C$11)*NORMSINV(R657))&lt;S$8,S$5+SQRT(NORMSDIST(S$9*SQRT($C$11)*NORMSINV($B657)+SQRT(1-S$9^2*$C$11)*NORMSINV(R657))*(S$7-S$5)*(S$6-S$5)),S$7-SQRT((1-NORMSDIST(S$9*SQRT($C$11)*NORMSINV($B657)+SQRT(1-S$9^2*$C$11)*NORMSINV(R657)))*(S$7-S$5)*(S$7-S$6))))</f>
        <v>0.855285050106001</v>
      </c>
      <c r="T657" s="2" t="n">
        <v>0.314003783</v>
      </c>
      <c r="U657" s="2" t="n">
        <f aca="false">IF(U$7=U$5,U$6,IF(NORMSDIST(U$9*SQRT($C$11)*NORMSINV($B657)+SQRT(1-U$9^2*$C$11)*NORMSINV(T657))&lt;U$8,U$5+SQRT(NORMSDIST(U$9*SQRT($C$11)*NORMSINV($B657)+SQRT(1-U$9^2*$C$11)*NORMSINV(T657))*(U$7-U$5)*(U$6-U$5)),U$7-SQRT((1-NORMSDIST(U$9*SQRT($C$11)*NORMSINV($B657)+SQRT(1-U$9^2*$C$11)*NORMSINV(T657)))*(U$7-U$5)*(U$7-U$6))))</f>
        <v>0.73221983977825</v>
      </c>
      <c r="V657" s="2" t="n">
        <v>0.266518232</v>
      </c>
      <c r="W657" s="2" t="n">
        <f aca="false">IF(W$7=W$5,W$6,IF(NORMSDIST(W$9*SQRT($C$11)*NORMSINV($B657)+SQRT(1-W$9^2*$C$11)*NORMSINV(V657))&lt;W$8,W$5+SQRT(NORMSDIST(W$9*SQRT($C$11)*NORMSINV($B657)+SQRT(1-W$9^2*$C$11)*NORMSINV(V657))*(W$7-W$5)*(W$6-W$5)),W$7-SQRT((1-NORMSDIST(W$9*SQRT($C$11)*NORMSINV($B657)+SQRT(1-W$9^2*$C$11)*NORMSINV(V657)))*(W$7-W$5)*(W$7-W$6))))</f>
        <v>10.8367589575022</v>
      </c>
      <c r="X657" s="2" t="n">
        <v>0.395689958</v>
      </c>
      <c r="Y657" s="2" t="n">
        <f aca="false">IF(Y$7=Y$5,Y$6,IF(NORMSDIST(Y$9*SQRT($C$11)*NORMSINV($B657)+SQRT(1-Y$9^2*$C$11)*NORMSINV(X657))&lt;Y$8,Y$5+SQRT(NORMSDIST(Y$9*SQRT($C$11)*NORMSINV($B657)+SQRT(1-Y$9^2*$C$11)*NORMSINV(X657))*(Y$7-Y$5)*(Y$6-Y$5)),Y$7-SQRT((1-NORMSDIST(Y$9*SQRT($C$11)*NORMSINV($B657)+SQRT(1-Y$9^2*$C$11)*NORMSINV(X657)))*(Y$7-Y$5)*(Y$7-Y$6))))</f>
        <v>0.444797683222384</v>
      </c>
      <c r="Z657" s="2" t="n">
        <v>0.366848977</v>
      </c>
      <c r="AA657" s="2" t="n">
        <f aca="false">IF(AA$7=AA$5,AA$6,IF(NORMSDIST(AA$9*SQRT($C$11)*NORMSINV($B657)+SQRT(1-AA$9^2*$C$11)*NORMSINV(Z657))&lt;AA$8,AA$5+SQRT(NORMSDIST(AA$9*SQRT($C$11)*NORMSINV($B657)+SQRT(1-AA$9^2*$C$11)*NORMSINV(Z657))*(AA$7-AA$5)*(AA$6-AA$5)),AA$7-SQRT((1-NORMSDIST(AA$9*SQRT($C$11)*NORMSINV($B657)+SQRT(1-AA$9^2*$C$11)*NORMSINV(Z657)))*(AA$7-AA$5)*(AA$7-AA$6))))</f>
        <v>0.741471181526232</v>
      </c>
      <c r="AB657" s="2" t="n">
        <v>0.349534487</v>
      </c>
      <c r="AC657" s="2" t="n">
        <f aca="false">IF(AC$7=AC$5,AC$6,IF(NORMSDIST(AC$9*SQRT($C$11)*NORMSINV($B657)+SQRT(1-AC$9^2*$C$11)*NORMSINV(AB657))&lt;AC$8,AC$5+SQRT(NORMSDIST(AC$9*SQRT($C$11)*NORMSINV($B657)+SQRT(1-AC$9^2*$C$11)*NORMSINV(AB657))*(AC$7-AC$5)*(AC$6-AC$5)),AC$7-SQRT((1-NORMSDIST(AC$9*SQRT($C$11)*NORMSINV($B657)+SQRT(1-AC$9^2*$C$11)*NORMSINV(AB657)))*(AC$7-AC$5)*(AC$7-AC$6))))</f>
        <v>10.25948059122</v>
      </c>
      <c r="AD657" s="2" t="n">
        <f aca="false">Entrées!$C$8*(1+E657)</f>
        <v>7462.72505762457</v>
      </c>
      <c r="AE657" s="2" t="n">
        <f aca="false">I657*Hypothèses!$J$24/12/Hypothèses!$J$19</f>
        <v>108.540957991646</v>
      </c>
      <c r="AF657" s="2" t="n">
        <f aca="false">Entrées!$C$36*S657*1000</f>
        <v>427.642525053001</v>
      </c>
      <c r="AG657" s="2" t="n">
        <f aca="false">-AF657/W657</f>
        <v>-39.4622162152038</v>
      </c>
      <c r="AH657" s="2" t="n">
        <f aca="false">AD657+AE657+AG657</f>
        <v>7531.80379940101</v>
      </c>
      <c r="AI657" s="2" t="n">
        <f aca="false">Entrées!$C$16-M657+Hypothèses!$J$22*1000-AF657+Hypothèses!$J$23</f>
        <v>22398.1774004396</v>
      </c>
      <c r="AJ657" s="2" t="n">
        <f aca="false">AI657/AH657</f>
        <v>2.97381317901841</v>
      </c>
      <c r="AK657" s="2" t="n">
        <f aca="false">AI657/(AH657+I657*(12-Hypothèses!$J$24)/12/Hypothèses!$J$19)</f>
        <v>2.94351387148185</v>
      </c>
      <c r="AL657" s="2" t="n">
        <f aca="false">(AD657+AG657+I657/Hypothèses!$J$19)*(1+G657)</f>
        <v>8059.58757125339</v>
      </c>
      <c r="AM657" s="2" t="n">
        <f aca="false">Entrées!$C$54*K657/Hypothèses!$J$19</f>
        <v>40.2403512060152</v>
      </c>
      <c r="AN657" s="2" t="n">
        <f aca="false">Y657*1000/AC657</f>
        <v>43.3547955247401</v>
      </c>
      <c r="AO657" s="2" t="n">
        <f aca="false">(Entrées!$C$36*(1-S657)+MAX(0,Entrées!$C$30-Entrées!$C$35-Entrées!$C$36)*U657)*1000</f>
        <v>1097.46525063655</v>
      </c>
      <c r="AP657" s="2" t="n">
        <f aca="false">-AO657/W657</f>
        <v>-101.272461161165</v>
      </c>
      <c r="AQ657" s="2" t="n">
        <f aca="false">AL657+AM657+AN657+AP657</f>
        <v>8041.91025682298</v>
      </c>
      <c r="AR657" s="2" t="n">
        <f aca="false">O657*AQ657-Hypothèses!$J$25/Hypothèses!$J$19</f>
        <v>1400.05366467348</v>
      </c>
      <c r="AS657" s="2" t="n">
        <f aca="false">Entrées!$C$79*(1+Q657)+Hypothèses!$J$20</f>
        <v>1457.03215287261</v>
      </c>
      <c r="AT657" s="2" t="n">
        <f aca="false">AI657-AR657+AS657+Y657*1000-AO657+Hypothèses!$J$23</f>
        <v>21802.4883212246</v>
      </c>
      <c r="AU657" s="2" t="n">
        <f aca="false">AT657/AQ657</f>
        <v>2.71110813537452</v>
      </c>
      <c r="AV657" s="2" t="n">
        <f aca="false">Hypothèses!$J$26*AQ657-AT657</f>
        <v>2323.24244924434</v>
      </c>
      <c r="AW657" s="2" t="n">
        <f aca="false">IF(AC657&gt;Hypothèses!$J$26,MAX(0,AV657)/(1-Hypothèses!$J$26/AC657),0)</f>
        <v>3283.3286785763</v>
      </c>
      <c r="AX657" s="2" t="n">
        <f aca="false">AQ657-Entrées!$C$17*1000</f>
        <v>41.910256822981</v>
      </c>
      <c r="AY657" s="2" t="n">
        <f aca="false">AI657+(Entrées!$C$244-Entrées!$C$13)</f>
        <v>28145.1774004396</v>
      </c>
      <c r="AZ657" s="2" t="n">
        <f aca="false">AA657*AH657</f>
        <v>5584.61546216563</v>
      </c>
      <c r="BA657" s="2" t="n">
        <f aca="false">AZ657/AY657</f>
        <v>0.19842175384826</v>
      </c>
      <c r="BB657" s="2" t="n">
        <f aca="false">AZ657/(Entrées!$C$151/100)-AY657</f>
        <v>2880.46405603609</v>
      </c>
      <c r="BC657" s="2" t="n">
        <f aca="false">AT657+(Entrées!$C$244-Entrées!$C$13)</f>
        <v>27549.4883212246</v>
      </c>
      <c r="BD657" s="2" t="n">
        <f aca="false">AA657*AQ657</f>
        <v>5962.84469985446</v>
      </c>
      <c r="BE657" s="2" t="n">
        <f aca="false">BD657/BC657</f>
        <v>0.216441214091827</v>
      </c>
      <c r="BF657" s="2" t="n">
        <f aca="false">BD657/(Entrées!$C$151/100)-BC657</f>
        <v>5577.42667796683</v>
      </c>
      <c r="BG657" s="2" t="n">
        <f aca="false">MIN(AV657,BF657)</f>
        <v>2323.24244924434</v>
      </c>
      <c r="BH657" s="2" t="n">
        <f aca="false">IF(AC657&gt;Hypothèses!$J$26,MAX(0,BG657)/(1-Hypothèses!$J$26/AC657),0)</f>
        <v>3283.3286785763</v>
      </c>
    </row>
    <row r="658" customFormat="false" ht="15" hidden="false" customHeight="false" outlineLevel="0" collapsed="false">
      <c r="A658" s="2" t="n">
        <v>643</v>
      </c>
      <c r="B658" s="2" t="n">
        <v>0.410841089</v>
      </c>
      <c r="C658" s="2"/>
      <c r="D658" s="2" t="n">
        <v>0.832344752</v>
      </c>
      <c r="E658" s="2" t="n">
        <f aca="false">IF(E$7=E$5,E$6,IF(NORMSDIST(E$9*SQRT($C$11)*NORMSINV($B658)+SQRT(1-E$9^2*$C$11)*NORMSINV(D658))&lt;E$8,E$5+SQRT(NORMSDIST(E$9*SQRT($C$11)*NORMSINV($B658)+SQRT(1-E$9^2*$C$11)*NORMSINV(D658))*(E$7-E$5)*(E$6-E$5)),E$7-SQRT((1-NORMSDIST(E$9*SQRT($C$11)*NORMSINV($B658)+SQRT(1-E$9^2*$C$11)*NORMSINV(D658)))*(E$7-E$5)*(E$7-E$6))))</f>
        <v>0.0563053950811119</v>
      </c>
      <c r="F658" s="2" t="n">
        <v>0.241363996</v>
      </c>
      <c r="G658" s="2" t="n">
        <f aca="false">IF(G$7=G$5,G$6,IF(NORMSDIST(G$9*SQRT($C$11)*NORMSINV($B658)+SQRT(1-G$9^2*$C$11)*NORMSINV(F658))&lt;G$8,G$5+SQRT(NORMSDIST(G$9*SQRT($C$11)*NORMSINV($B658)+SQRT(1-G$9^2*$C$11)*NORMSINV(F658))*(G$7-G$5)*(G$6-G$5)),G$7-SQRT((1-NORMSDIST(G$9*SQRT($C$11)*NORMSINV($B658)+SQRT(1-G$9^2*$C$11)*NORMSINV(F658)))*(G$7-G$5)*(G$7-G$6))))</f>
        <v>0.0505273427417835</v>
      </c>
      <c r="H658" s="2" t="n">
        <v>0.649160863</v>
      </c>
      <c r="I658" s="2" t="n">
        <f aca="false">IF(I$7=I$5,I$6,IF(NORMSDIST(I$9*SQRT($C$11)*NORMSINV($B658)+SQRT(1-I$9^2*$C$11)*NORMSINV(H658))&lt;I$8,I$5+SQRT(NORMSDIST(I$9*SQRT($C$11)*NORMSINV($B658)+SQRT(1-I$9^2*$C$11)*NORMSINV(H658))*(I$7-I$5)*(I$6-I$5)),I$7-SQRT((1-NORMSDIST(I$9*SQRT($C$11)*NORMSINV($B658)+SQRT(1-I$9^2*$C$11)*NORMSINV(H658)))*(I$7-I$5)*(I$7-I$6))))</f>
        <v>201.265264018874</v>
      </c>
      <c r="J658" s="2" t="n">
        <v>0.739784679</v>
      </c>
      <c r="K658" s="2" t="n">
        <f aca="false">IF(K$7=K$5,K$6,IF(NORMSDIST(K$9*SQRT($C$11)*NORMSINV($B658)+SQRT(1-K$9^2*$C$11)*NORMSINV(J658))&lt;K$8,K$5+SQRT(NORMSDIST(K$9*SQRT($C$11)*NORMSINV($B658)+SQRT(1-K$9^2*$C$11)*NORMSINV(J658))*(K$7-K$5)*(K$6-K$5)),K$7-SQRT((1-NORMSDIST(K$9*SQRT($C$11)*NORMSINV($B658)+SQRT(1-K$9^2*$C$11)*NORMSINV(J658)))*(K$7-K$5)*(K$7-K$6))))</f>
        <v>0.287517130037555</v>
      </c>
      <c r="L658" s="2" t="n">
        <v>0.949236208</v>
      </c>
      <c r="M658" s="2" t="n">
        <f aca="false">IF(M$7=M$5,M$6,IF(NORMSDIST(M$9*SQRT($C$11)*NORMSINV($B658)+SQRT(1-M$9^2*$C$11)*NORMSINV(L658))&lt;M$8,M$5+SQRT(NORMSDIST(M$9*SQRT($C$11)*NORMSINV($B658)+SQRT(1-M$9^2*$C$11)*NORMSINV(L658))*(M$7-M$5)*(M$6-M$5)),M$7-SQRT((1-NORMSDIST(M$9*SQRT($C$11)*NORMSINV($B658)+SQRT(1-M$9^2*$C$11)*NORMSINV(L658)))*(M$7-M$5)*(M$7-M$6))))</f>
        <v>1690.12437672459</v>
      </c>
      <c r="N658" s="2" t="n">
        <v>0.044449544</v>
      </c>
      <c r="O658" s="2" t="n">
        <f aca="false">IF(O$7=O$5,O$6,IF(NORMSDIST(O$9*SQRT($C$11)*NORMSINV($B658)+SQRT(1-O$9^2*$C$11)*NORMSINV(N658))&lt;O$8,O$5+SQRT(NORMSDIST(O$9*SQRT($C$11)*NORMSINV($B658)+SQRT(1-O$9^2*$C$11)*NORMSINV(N658))*(O$7-O$5)*(O$6-O$5)),O$7-SQRT((1-NORMSDIST(O$9*SQRT($C$11)*NORMSINV($B658)+SQRT(1-O$9^2*$C$11)*NORMSINV(N658)))*(O$7-O$5)*(O$7-O$6))))</f>
        <v>0.15017118961285</v>
      </c>
      <c r="P658" s="2" t="n">
        <v>0.424986829</v>
      </c>
      <c r="Q658" s="2" t="n">
        <f aca="false">IF(Q$7=Q$5,Q$6,IF(NORMSDIST(Q$9*SQRT($C$11)*NORMSINV($B658)+SQRT(1-Q$9^2*$C$11)*NORMSINV(P658))&lt;Q$8,Q$5+SQRT(NORMSDIST(Q$9*SQRT($C$11)*NORMSINV($B658)+SQRT(1-Q$9^2*$C$11)*NORMSINV(P658))*(Q$7-Q$5)*(Q$6-Q$5)),Q$7-SQRT((1-NORMSDIST(Q$9*SQRT($C$11)*NORMSINV($B658)+SQRT(1-Q$9^2*$C$11)*NORMSINV(P658)))*(Q$7-Q$5)*(Q$7-Q$6))))</f>
        <v>0.0768776063865322</v>
      </c>
      <c r="R658" s="2" t="n">
        <v>0.975363093</v>
      </c>
      <c r="S658" s="2" t="n">
        <f aca="false">IF(S$7=S$5,S$6,IF(NORMSDIST(S$9*SQRT($C$11)*NORMSINV($B658)+SQRT(1-S$9^2*$C$11)*NORMSINV(R658))&lt;S$8,S$5+SQRT(NORMSDIST(S$9*SQRT($C$11)*NORMSINV($B658)+SQRT(1-S$9^2*$C$11)*NORMSINV(R658))*(S$7-S$5)*(S$6-S$5)),S$7-SQRT((1-NORMSDIST(S$9*SQRT($C$11)*NORMSINV($B658)+SQRT(1-S$9^2*$C$11)*NORMSINV(R658)))*(S$7-S$5)*(S$7-S$6))))</f>
        <v>0.795403377906406</v>
      </c>
      <c r="T658" s="2" t="n">
        <v>0.128288924</v>
      </c>
      <c r="U658" s="2" t="n">
        <f aca="false">IF(U$7=U$5,U$6,IF(NORMSDIST(U$9*SQRT($C$11)*NORMSINV($B658)+SQRT(1-U$9^2*$C$11)*NORMSINV(T658))&lt;U$8,U$5+SQRT(NORMSDIST(U$9*SQRT($C$11)*NORMSINV($B658)+SQRT(1-U$9^2*$C$11)*NORMSINV(T658))*(U$7-U$5)*(U$6-U$5)),U$7-SQRT((1-NORMSDIST(U$9*SQRT($C$11)*NORMSINV($B658)+SQRT(1-U$9^2*$C$11)*NORMSINV(T658)))*(U$7-U$5)*(U$7-U$6))))</f>
        <v>0.277080687422942</v>
      </c>
      <c r="V658" s="2" t="n">
        <v>0.220228318</v>
      </c>
      <c r="W658" s="2" t="n">
        <f aca="false">IF(W$7=W$5,W$6,IF(NORMSDIST(W$9*SQRT($C$11)*NORMSINV($B658)+SQRT(1-W$9^2*$C$11)*NORMSINV(V658))&lt;W$8,W$5+SQRT(NORMSDIST(W$9*SQRT($C$11)*NORMSINV($B658)+SQRT(1-W$9^2*$C$11)*NORMSINV(V658))*(W$7-W$5)*(W$6-W$5)),W$7-SQRT((1-NORMSDIST(W$9*SQRT($C$11)*NORMSINV($B658)+SQRT(1-W$9^2*$C$11)*NORMSINV(V658)))*(W$7-W$5)*(W$7-W$6))))</f>
        <v>9.35535720432222</v>
      </c>
      <c r="X658" s="2" t="n">
        <v>0.181191256</v>
      </c>
      <c r="Y658" s="2" t="n">
        <f aca="false">IF(Y$7=Y$5,Y$6,IF(NORMSDIST(Y$9*SQRT($C$11)*NORMSINV($B658)+SQRT(1-Y$9^2*$C$11)*NORMSINV(X658))&lt;Y$8,Y$5+SQRT(NORMSDIST(Y$9*SQRT($C$11)*NORMSINV($B658)+SQRT(1-Y$9^2*$C$11)*NORMSINV(X658))*(Y$7-Y$5)*(Y$6-Y$5)),Y$7-SQRT((1-NORMSDIST(Y$9*SQRT($C$11)*NORMSINV($B658)+SQRT(1-Y$9^2*$C$11)*NORMSINV(X658)))*(Y$7-Y$5)*(Y$7-Y$6))))</f>
        <v>0.30099107627968</v>
      </c>
      <c r="Z658" s="2" t="n">
        <v>0.802232742</v>
      </c>
      <c r="AA658" s="2" t="n">
        <f aca="false">IF(AA$7=AA$5,AA$6,IF(NORMSDIST(AA$9*SQRT($C$11)*NORMSINV($B658)+SQRT(1-AA$9^2*$C$11)*NORMSINV(Z658))&lt;AA$8,AA$5+SQRT(NORMSDIST(AA$9*SQRT($C$11)*NORMSINV($B658)+SQRT(1-AA$9^2*$C$11)*NORMSINV(Z658))*(AA$7-AA$5)*(AA$6-AA$5)),AA$7-SQRT((1-NORMSDIST(AA$9*SQRT($C$11)*NORMSINV($B658)+SQRT(1-AA$9^2*$C$11)*NORMSINV(Z658)))*(AA$7-AA$5)*(AA$7-AA$6))))</f>
        <v>0.734132546141369</v>
      </c>
      <c r="AB658" s="2" t="n">
        <v>0.903587225</v>
      </c>
      <c r="AC658" s="2" t="n">
        <f aca="false">IF(AC$7=AC$5,AC$6,IF(NORMSDIST(AC$9*SQRT($C$11)*NORMSINV($B658)+SQRT(1-AC$9^2*$C$11)*NORMSINV(AB658))&lt;AC$8,AC$5+SQRT(NORMSDIST(AC$9*SQRT($C$11)*NORMSINV($B658)+SQRT(1-AC$9^2*$C$11)*NORMSINV(AB658))*(AC$7-AC$5)*(AC$6-AC$5)),AC$7-SQRT((1-NORMSDIST(AC$9*SQRT($C$11)*NORMSINV($B658)+SQRT(1-AC$9^2*$C$11)*NORMSINV(AB658)))*(AC$7-AC$5)*(AC$7-AC$6))))</f>
        <v>10.0864368467334</v>
      </c>
      <c r="AD658" s="2" t="n">
        <f aca="false">Entrées!$C$8*(1+E658)</f>
        <v>7446.95303532184</v>
      </c>
      <c r="AE658" s="2" t="n">
        <f aca="false">I658*Hypothèses!$J$24/12/Hypothèses!$J$19</f>
        <v>99.8470533052259</v>
      </c>
      <c r="AF658" s="2" t="n">
        <f aca="false">Entrées!$C$36*S658*1000</f>
        <v>397.701688953203</v>
      </c>
      <c r="AG658" s="2" t="n">
        <f aca="false">-AF658/W658</f>
        <v>-42.5105830025884</v>
      </c>
      <c r="AH658" s="2" t="n">
        <f aca="false">AD658+AE658+AG658</f>
        <v>7504.28950562448</v>
      </c>
      <c r="AI658" s="2" t="n">
        <f aca="false">Entrées!$C$16-M658+Hypothèses!$J$22*1000-AF658+Hypothèses!$J$23</f>
        <v>22460.1739343222</v>
      </c>
      <c r="AJ658" s="2" t="n">
        <f aca="false">AI658/AH658</f>
        <v>2.99297807173994</v>
      </c>
      <c r="AK658" s="2" t="n">
        <f aca="false">AI658/(AH658+I658*(12-Hypothèses!$J$24)/12/Hypothèses!$J$19)</f>
        <v>2.96480117177061</v>
      </c>
      <c r="AL658" s="2" t="n">
        <f aca="false">(AD658+AG658+I658/Hypothèses!$J$19)*(1+G658)</f>
        <v>7958.3842132154</v>
      </c>
      <c r="AM658" s="2" t="n">
        <f aca="false">Entrées!$C$54*K658/Hypothèses!$J$19</f>
        <v>29.3423303267501</v>
      </c>
      <c r="AN658" s="2" t="n">
        <f aca="false">Y658*1000/AC658</f>
        <v>29.8411699645111</v>
      </c>
      <c r="AO658" s="2" t="n">
        <f aca="false">(Entrées!$C$36*(1-S658)+MAX(0,Entrées!$C$30-Entrées!$C$35-Entrées!$C$36)*U658)*1000</f>
        <v>490.211273438916</v>
      </c>
      <c r="AP658" s="2" t="n">
        <f aca="false">-AO658/W658</f>
        <v>-52.3989905176936</v>
      </c>
      <c r="AQ658" s="2" t="n">
        <f aca="false">AL658+AM658+AN658+AP658</f>
        <v>7965.16872298897</v>
      </c>
      <c r="AR658" s="2" t="n">
        <f aca="false">O658*AQ658-Hypothèses!$J$25/Hypothèses!$J$19</f>
        <v>1177.00370033669</v>
      </c>
      <c r="AS658" s="2" t="n">
        <f aca="false">Entrées!$C$79*(1+Q658)+Hypothèses!$J$20</f>
        <v>1478.4884894188</v>
      </c>
      <c r="AT658" s="2" t="n">
        <f aca="false">AI658-AR658+AS658+Y658*1000-AO658+Hypothèses!$J$23</f>
        <v>22572.4385262451</v>
      </c>
      <c r="AU658" s="2" t="n">
        <f aca="false">AT658/AQ658</f>
        <v>2.83389333123563</v>
      </c>
      <c r="AV658" s="2" t="n">
        <f aca="false">Hypothèses!$J$26*AQ658-AT658</f>
        <v>1323.06764272183</v>
      </c>
      <c r="AW658" s="2" t="n">
        <f aca="false">IF(AC658&gt;Hypothèses!$J$26,MAX(0,AV658)/(1-Hypothèses!$J$26/AC658),0)</f>
        <v>1883.18029369326</v>
      </c>
      <c r="AX658" s="2" t="n">
        <f aca="false">AQ658-Entrées!$C$17*1000</f>
        <v>-34.8312770110306</v>
      </c>
      <c r="AY658" s="2" t="n">
        <f aca="false">AI658+(Entrées!$C$244-Entrées!$C$13)</f>
        <v>28207.1739343222</v>
      </c>
      <c r="AZ658" s="2" t="n">
        <f aca="false">AA658*AH658</f>
        <v>5509.14316174605</v>
      </c>
      <c r="BA658" s="2" t="n">
        <f aca="false">AZ658/AY658</f>
        <v>0.195310000731501</v>
      </c>
      <c r="BB658" s="2" t="n">
        <f aca="false">AZ658/(Entrées!$C$151/100)-AY658</f>
        <v>2399.17696426696</v>
      </c>
      <c r="BC658" s="2" t="n">
        <f aca="false">AT658+(Entrées!$C$244-Entrées!$C$13)</f>
        <v>28319.4385262451</v>
      </c>
      <c r="BD658" s="2" t="n">
        <f aca="false">AA658*AQ658</f>
        <v>5847.48959505349</v>
      </c>
      <c r="BE658" s="2" t="n">
        <f aca="false">BD658/BC658</f>
        <v>0.206483246115007</v>
      </c>
      <c r="BF658" s="2" t="n">
        <f aca="false">BD658/(Entrées!$C$151/100)-BC658</f>
        <v>4166.61477960762</v>
      </c>
      <c r="BG658" s="2" t="n">
        <f aca="false">MIN(AV658,BF658)</f>
        <v>1323.06764272183</v>
      </c>
      <c r="BH658" s="2" t="n">
        <f aca="false">IF(AC658&gt;Hypothèses!$J$26,MAX(0,BG658)/(1-Hypothèses!$J$26/AC658),0)</f>
        <v>1883.18029369326</v>
      </c>
    </row>
    <row r="659" customFormat="false" ht="15" hidden="false" customHeight="false" outlineLevel="0" collapsed="false">
      <c r="A659" s="2" t="n">
        <v>644</v>
      </c>
      <c r="B659" s="2" t="n">
        <v>0.256723389</v>
      </c>
      <c r="C659" s="2"/>
      <c r="D659" s="2" t="n">
        <v>0.958603512</v>
      </c>
      <c r="E659" s="2" t="n">
        <f aca="false">IF(E$7=E$5,E$6,IF(NORMSDIST(E$9*SQRT($C$11)*NORMSINV($B659)+SQRT(1-E$9^2*$C$11)*NORMSINV(D659))&lt;E$8,E$5+SQRT(NORMSDIST(E$9*SQRT($C$11)*NORMSINV($B659)+SQRT(1-E$9^2*$C$11)*NORMSINV(D659))*(E$7-E$5)*(E$6-E$5)),E$7-SQRT((1-NORMSDIST(E$9*SQRT($C$11)*NORMSINV($B659)+SQRT(1-E$9^2*$C$11)*NORMSINV(D659)))*(E$7-E$5)*(E$7-E$6))))</f>
        <v>0.0570328295238776</v>
      </c>
      <c r="F659" s="2" t="n">
        <v>0.888368548</v>
      </c>
      <c r="G659" s="2" t="n">
        <f aca="false">IF(G$7=G$5,G$6,IF(NORMSDIST(G$9*SQRT($C$11)*NORMSINV($B659)+SQRT(1-G$9^2*$C$11)*NORMSINV(F659))&lt;G$8,G$5+SQRT(NORMSDIST(G$9*SQRT($C$11)*NORMSINV($B659)+SQRT(1-G$9^2*$C$11)*NORMSINV(F659))*(G$7-G$5)*(G$6-G$5)),G$7-SQRT((1-NORMSDIST(G$9*SQRT($C$11)*NORMSINV($B659)+SQRT(1-G$9^2*$C$11)*NORMSINV(F659)))*(G$7-G$5)*(G$7-G$6))))</f>
        <v>0.0584193111910024</v>
      </c>
      <c r="H659" s="2" t="n">
        <v>0.917555948</v>
      </c>
      <c r="I659" s="2" t="n">
        <f aca="false">IF(I$7=I$5,I$6,IF(NORMSDIST(I$9*SQRT($C$11)*NORMSINV($B659)+SQRT(1-I$9^2*$C$11)*NORMSINV(H659))&lt;I$8,I$5+SQRT(NORMSDIST(I$9*SQRT($C$11)*NORMSINV($B659)+SQRT(1-I$9^2*$C$11)*NORMSINV(H659))*(I$7-I$5)*(I$6-I$5)),I$7-SQRT((1-NORMSDIST(I$9*SQRT($C$11)*NORMSINV($B659)+SQRT(1-I$9^2*$C$11)*NORMSINV(H659)))*(I$7-I$5)*(I$7-I$6))))</f>
        <v>205.749866018985</v>
      </c>
      <c r="J659" s="2" t="n">
        <v>0.87864039</v>
      </c>
      <c r="K659" s="2" t="n">
        <f aca="false">IF(K$7=K$5,K$6,IF(NORMSDIST(K$9*SQRT($C$11)*NORMSINV($B659)+SQRT(1-K$9^2*$C$11)*NORMSINV(J659))&lt;K$8,K$5+SQRT(NORMSDIST(K$9*SQRT($C$11)*NORMSINV($B659)+SQRT(1-K$9^2*$C$11)*NORMSINV(J659))*(K$7-K$5)*(K$6-K$5)),K$7-SQRT((1-NORMSDIST(K$9*SQRT($C$11)*NORMSINV($B659)+SQRT(1-K$9^2*$C$11)*NORMSINV(J659)))*(K$7-K$5)*(K$7-K$6))))</f>
        <v>0.302673777284665</v>
      </c>
      <c r="L659" s="2" t="n">
        <v>0.371029204</v>
      </c>
      <c r="M659" s="2" t="n">
        <f aca="false">IF(M$7=M$5,M$6,IF(NORMSDIST(M$9*SQRT($C$11)*NORMSINV($B659)+SQRT(1-M$9^2*$C$11)*NORMSINV(L659))&lt;M$8,M$5+SQRT(NORMSDIST(M$9*SQRT($C$11)*NORMSINV($B659)+SQRT(1-M$9^2*$C$11)*NORMSINV(L659))*(M$7-M$5)*(M$6-M$5)),M$7-SQRT((1-NORMSDIST(M$9*SQRT($C$11)*NORMSINV($B659)+SQRT(1-M$9^2*$C$11)*NORMSINV(L659)))*(M$7-M$5)*(M$7-M$6))))</f>
        <v>1503.50360905911</v>
      </c>
      <c r="N659" s="2" t="n">
        <v>0.026668894</v>
      </c>
      <c r="O659" s="2" t="n">
        <f aca="false">IF(O$7=O$5,O$6,IF(NORMSDIST(O$9*SQRT($C$11)*NORMSINV($B659)+SQRT(1-O$9^2*$C$11)*NORMSINV(N659))&lt;O$8,O$5+SQRT(NORMSDIST(O$9*SQRT($C$11)*NORMSINV($B659)+SQRT(1-O$9^2*$C$11)*NORMSINV(N659))*(O$7-O$5)*(O$6-O$5)),O$7-SQRT((1-NORMSDIST(O$9*SQRT($C$11)*NORMSINV($B659)+SQRT(1-O$9^2*$C$11)*NORMSINV(N659)))*(O$7-O$5)*(O$7-O$6))))</f>
        <v>0.146346235674048</v>
      </c>
      <c r="P659" s="2" t="n">
        <v>0.846755858</v>
      </c>
      <c r="Q659" s="2" t="n">
        <f aca="false">IF(Q$7=Q$5,Q$6,IF(NORMSDIST(Q$9*SQRT($C$11)*NORMSINV($B659)+SQRT(1-Q$9^2*$C$11)*NORMSINV(P659))&lt;Q$8,Q$5+SQRT(NORMSDIST(Q$9*SQRT($C$11)*NORMSINV($B659)+SQRT(1-Q$9^2*$C$11)*NORMSINV(P659))*(Q$7-Q$5)*(Q$6-Q$5)),Q$7-SQRT((1-NORMSDIST(Q$9*SQRT($C$11)*NORMSINV($B659)+SQRT(1-Q$9^2*$C$11)*NORMSINV(P659)))*(Q$7-Q$5)*(Q$7-Q$6))))</f>
        <v>0.0978554463942034</v>
      </c>
      <c r="R659" s="2" t="n">
        <v>0.550305573</v>
      </c>
      <c r="S659" s="2" t="n">
        <f aca="false">IF(S$7=S$5,S$6,IF(NORMSDIST(S$9*SQRT($C$11)*NORMSINV($B659)+SQRT(1-S$9^2*$C$11)*NORMSINV(R659))&lt;S$8,S$5+SQRT(NORMSDIST(S$9*SQRT($C$11)*NORMSINV($B659)+SQRT(1-S$9^2*$C$11)*NORMSINV(R659))*(S$7-S$5)*(S$6-S$5)),S$7-SQRT((1-NORMSDIST(S$9*SQRT($C$11)*NORMSINV($B659)+SQRT(1-S$9^2*$C$11)*NORMSINV(R659)))*(S$7-S$5)*(S$7-S$6))))</f>
        <v>0.433729937300208</v>
      </c>
      <c r="T659" s="2" t="n">
        <v>0.376983463</v>
      </c>
      <c r="U659" s="2" t="n">
        <f aca="false">IF(U$7=U$5,U$6,IF(NORMSDIST(U$9*SQRT($C$11)*NORMSINV($B659)+SQRT(1-U$9^2*$C$11)*NORMSINV(T659))&lt;U$8,U$5+SQRT(NORMSDIST(U$9*SQRT($C$11)*NORMSINV($B659)+SQRT(1-U$9^2*$C$11)*NORMSINV(T659))*(U$7-U$5)*(U$6-U$5)),U$7-SQRT((1-NORMSDIST(U$9*SQRT($C$11)*NORMSINV($B659)+SQRT(1-U$9^2*$C$11)*NORMSINV(T659)))*(U$7-U$5)*(U$7-U$6))))</f>
        <v>0.357694630776791</v>
      </c>
      <c r="V659" s="2" t="n">
        <v>0.0320084</v>
      </c>
      <c r="W659" s="2" t="n">
        <f aca="false">IF(W$7=W$5,W$6,IF(NORMSDIST(W$9*SQRT($C$11)*NORMSINV($B659)+SQRT(1-W$9^2*$C$11)*NORMSINV(V659))&lt;W$8,W$5+SQRT(NORMSDIST(W$9*SQRT($C$11)*NORMSINV($B659)+SQRT(1-W$9^2*$C$11)*NORMSINV(V659))*(W$7-W$5)*(W$6-W$5)),W$7-SQRT((1-NORMSDIST(W$9*SQRT($C$11)*NORMSINV($B659)+SQRT(1-W$9^2*$C$11)*NORMSINV(V659)))*(W$7-W$5)*(W$7-W$6))))</f>
        <v>8.50839739378856</v>
      </c>
      <c r="X659" s="2" t="n">
        <v>0.51361767</v>
      </c>
      <c r="Y659" s="2" t="n">
        <f aca="false">IF(Y$7=Y$5,Y$6,IF(NORMSDIST(Y$9*SQRT($C$11)*NORMSINV($B659)+SQRT(1-Y$9^2*$C$11)*NORMSINV(X659))&lt;Y$8,Y$5+SQRT(NORMSDIST(Y$9*SQRT($C$11)*NORMSINV($B659)+SQRT(1-Y$9^2*$C$11)*NORMSINV(X659))*(Y$7-Y$5)*(Y$6-Y$5)),Y$7-SQRT((1-NORMSDIST(Y$9*SQRT($C$11)*NORMSINV($B659)+SQRT(1-Y$9^2*$C$11)*NORMSINV(X659)))*(Y$7-Y$5)*(Y$7-Y$6))))</f>
        <v>0.506855837507935</v>
      </c>
      <c r="Z659" s="2" t="n">
        <v>0.717721815</v>
      </c>
      <c r="AA659" s="2" t="n">
        <f aca="false">IF(AA$7=AA$5,AA$6,IF(NORMSDIST(AA$9*SQRT($C$11)*NORMSINV($B659)+SQRT(1-AA$9^2*$C$11)*NORMSINV(Z659))&lt;AA$8,AA$5+SQRT(NORMSDIST(AA$9*SQRT($C$11)*NORMSINV($B659)+SQRT(1-AA$9^2*$C$11)*NORMSINV(Z659))*(AA$7-AA$5)*(AA$6-AA$5)),AA$7-SQRT((1-NORMSDIST(AA$9*SQRT($C$11)*NORMSINV($B659)+SQRT(1-AA$9^2*$C$11)*NORMSINV(Z659)))*(AA$7-AA$5)*(AA$7-AA$6))))</f>
        <v>0.728478624441549</v>
      </c>
      <c r="AB659" s="2" t="n">
        <v>0.076860268</v>
      </c>
      <c r="AC659" s="2" t="n">
        <f aca="false">IF(AC$7=AC$5,AC$6,IF(NORMSDIST(AC$9*SQRT($C$11)*NORMSINV($B659)+SQRT(1-AC$9^2*$C$11)*NORMSINV(AB659))&lt;AC$8,AC$5+SQRT(NORMSDIST(AC$9*SQRT($C$11)*NORMSINV($B659)+SQRT(1-AC$9^2*$C$11)*NORMSINV(AB659))*(AC$7-AC$5)*(AC$6-AC$5)),AC$7-SQRT((1-NORMSDIST(AC$9*SQRT($C$11)*NORMSINV($B659)+SQRT(1-AC$9^2*$C$11)*NORMSINV(AB659)))*(AC$7-AC$5)*(AC$7-AC$6))))</f>
        <v>8.14635752704242</v>
      </c>
      <c r="AD659" s="2" t="n">
        <f aca="false">Entrées!$C$8*(1+E659)</f>
        <v>7452.08144814334</v>
      </c>
      <c r="AE659" s="2" t="n">
        <f aca="false">I659*Hypothèses!$J$24/12/Hypothèses!$J$19</f>
        <v>102.071850003954</v>
      </c>
      <c r="AF659" s="2" t="n">
        <f aca="false">Entrées!$C$36*S659*1000</f>
        <v>216.864968650104</v>
      </c>
      <c r="AG659" s="2" t="n">
        <f aca="false">-AF659/W659</f>
        <v>-25.488345056429</v>
      </c>
      <c r="AH659" s="2" t="n">
        <f aca="false">AD659+AE659+AG659</f>
        <v>7528.66495309086</v>
      </c>
      <c r="AI659" s="2" t="n">
        <f aca="false">Entrées!$C$16-M659+Hypothèses!$J$22*1000-AF659+Hypothèses!$J$23</f>
        <v>22827.6314222908</v>
      </c>
      <c r="AJ659" s="2" t="n">
        <f aca="false">AI659/AH659</f>
        <v>3.03209553945139</v>
      </c>
      <c r="AK659" s="2" t="n">
        <f aca="false">AI659/(AH659+I659*(12-Hypothèses!$J$24)/12/Hypothèses!$J$19)</f>
        <v>3.00301400366669</v>
      </c>
      <c r="AL659" s="2" t="n">
        <f aca="false">(AD659+AG659+I659/Hypothèses!$J$19)*(1+G659)</f>
        <v>8045.65210039054</v>
      </c>
      <c r="AM659" s="2" t="n">
        <f aca="false">Entrées!$C$54*K659/Hypothèses!$J$19</f>
        <v>30.8891298169669</v>
      </c>
      <c r="AN659" s="2" t="n">
        <f aca="false">Y659*1000/AC659</f>
        <v>62.2187076647927</v>
      </c>
      <c r="AO659" s="2" t="n">
        <f aca="false">(Entrées!$C$36*(1-S659)+MAX(0,Entrées!$C$30-Entrées!$C$35-Entrées!$C$36)*U659)*1000</f>
        <v>783.907514437404</v>
      </c>
      <c r="AP659" s="2" t="n">
        <f aca="false">-AO659/W659</f>
        <v>-92.1333922425491</v>
      </c>
      <c r="AQ659" s="2" t="n">
        <f aca="false">AL659+AM659+AN659+AP659</f>
        <v>8046.62654562975</v>
      </c>
      <c r="AR659" s="2" t="n">
        <f aca="false">O659*AQ659-Hypothèses!$J$25/Hypothèses!$J$19</f>
        <v>1158.45834256616</v>
      </c>
      <c r="AS659" s="2" t="n">
        <f aca="false">Entrées!$C$79*(1+Q659)+Hypothèses!$J$20</f>
        <v>1501.54313558723</v>
      </c>
      <c r="AT659" s="2" t="n">
        <f aca="false">AI659-AR659+AS659+Y659*1000-AO659+Hypothèses!$J$23</f>
        <v>22893.6645383824</v>
      </c>
      <c r="AU659" s="2" t="n">
        <f aca="false">AT659/AQ659</f>
        <v>2.84512576898655</v>
      </c>
      <c r="AV659" s="2" t="n">
        <f aca="false">Hypothèses!$J$26*AQ659-AT659</f>
        <v>1246.21509850685</v>
      </c>
      <c r="AW659" s="2" t="n">
        <f aca="false">IF(AC659&gt;Hypothèses!$J$26,MAX(0,AV659)/(1-Hypothèses!$J$26/AC659),0)</f>
        <v>1972.67945234842</v>
      </c>
      <c r="AX659" s="2" t="n">
        <f aca="false">AQ659-Entrées!$C$17*1000</f>
        <v>46.6265456297479</v>
      </c>
      <c r="AY659" s="2" t="n">
        <f aca="false">AI659+(Entrées!$C$244-Entrées!$C$13)</f>
        <v>28574.6314222908</v>
      </c>
      <c r="AZ659" s="2" t="n">
        <f aca="false">AA659*AH659</f>
        <v>5484.47148890893</v>
      </c>
      <c r="BA659" s="2" t="n">
        <f aca="false">AZ659/AY659</f>
        <v>0.191934986242046</v>
      </c>
      <c r="BB659" s="2" t="n">
        <f aca="false">AZ659/(Entrées!$C$151/100)-AY659</f>
        <v>1894.65462720326</v>
      </c>
      <c r="BC659" s="2" t="n">
        <f aca="false">AT659+(Entrées!$C$244-Entrées!$C$13)</f>
        <v>28640.6645383824</v>
      </c>
      <c r="BD659" s="2" t="n">
        <f aca="false">AA659*AQ659</f>
        <v>5861.79543735521</v>
      </c>
      <c r="BE659" s="2" t="n">
        <f aca="false">BD659/BC659</f>
        <v>0.20466687948178</v>
      </c>
      <c r="BF659" s="2" t="n">
        <f aca="false">BD659/(Entrées!$C$151/100)-BC659</f>
        <v>3924.86566914656</v>
      </c>
      <c r="BG659" s="2" t="n">
        <f aca="false">MIN(AV659,BF659)</f>
        <v>1246.21509850685</v>
      </c>
      <c r="BH659" s="2" t="n">
        <f aca="false">IF(AC659&gt;Hypothèses!$J$26,MAX(0,BG659)/(1-Hypothèses!$J$26/AC659),0)</f>
        <v>1972.67945234842</v>
      </c>
    </row>
    <row r="660" customFormat="false" ht="15" hidden="false" customHeight="false" outlineLevel="0" collapsed="false">
      <c r="A660" s="2" t="n">
        <v>645</v>
      </c>
      <c r="B660" s="2" t="n">
        <v>0.136719777</v>
      </c>
      <c r="C660" s="2"/>
      <c r="D660" s="2" t="n">
        <v>0.990270726</v>
      </c>
      <c r="E660" s="2" t="n">
        <f aca="false">IF(E$7=E$5,E$6,IF(NORMSDIST(E$9*SQRT($C$11)*NORMSINV($B660)+SQRT(1-E$9^2*$C$11)*NORMSINV(D660))&lt;E$8,E$5+SQRT(NORMSDIST(E$9*SQRT($C$11)*NORMSINV($B660)+SQRT(1-E$9^2*$C$11)*NORMSINV(D660))*(E$7-E$5)*(E$6-E$5)),E$7-SQRT((1-NORMSDIST(E$9*SQRT($C$11)*NORMSINV($B660)+SQRT(1-E$9^2*$C$11)*NORMSINV(D660)))*(E$7-E$5)*(E$7-E$6))))</f>
        <v>0.0574315926686943</v>
      </c>
      <c r="F660" s="2" t="n">
        <v>0.52141627</v>
      </c>
      <c r="G660" s="2" t="n">
        <f aca="false">IF(G$7=G$5,G$6,IF(NORMSDIST(G$9*SQRT($C$11)*NORMSINV($B660)+SQRT(1-G$9^2*$C$11)*NORMSINV(F660))&lt;G$8,G$5+SQRT(NORMSDIST(G$9*SQRT($C$11)*NORMSINV($B660)+SQRT(1-G$9^2*$C$11)*NORMSINV(F660))*(G$7-G$5)*(G$6-G$5)),G$7-SQRT((1-NORMSDIST(G$9*SQRT($C$11)*NORMSINV($B660)+SQRT(1-G$9^2*$C$11)*NORMSINV(F660)))*(G$7-G$5)*(G$7-G$6))))</f>
        <v>0.0507646889752337</v>
      </c>
      <c r="H660" s="2" t="n">
        <v>0.499772711</v>
      </c>
      <c r="I660" s="2" t="n">
        <f aca="false">IF(I$7=I$5,I$6,IF(NORMSDIST(I$9*SQRT($C$11)*NORMSINV($B660)+SQRT(1-I$9^2*$C$11)*NORMSINV(H660))&lt;I$8,I$5+SQRT(NORMSDIST(I$9*SQRT($C$11)*NORMSINV($B660)+SQRT(1-I$9^2*$C$11)*NORMSINV(H660))*(I$7-I$5)*(I$6-I$5)),I$7-SQRT((1-NORMSDIST(I$9*SQRT($C$11)*NORMSINV($B660)+SQRT(1-I$9^2*$C$11)*NORMSINV(H660)))*(I$7-I$5)*(I$7-I$6))))</f>
        <v>193.97500898066</v>
      </c>
      <c r="J660" s="2" t="n">
        <v>0.749477662</v>
      </c>
      <c r="K660" s="2" t="n">
        <f aca="false">IF(K$7=K$5,K$6,IF(NORMSDIST(K$9*SQRT($C$11)*NORMSINV($B660)+SQRT(1-K$9^2*$C$11)*NORMSINV(J660))&lt;K$8,K$5+SQRT(NORMSDIST(K$9*SQRT($C$11)*NORMSINV($B660)+SQRT(1-K$9^2*$C$11)*NORMSINV(J660))*(K$7-K$5)*(K$6-K$5)),K$7-SQRT((1-NORMSDIST(K$9*SQRT($C$11)*NORMSINV($B660)+SQRT(1-K$9^2*$C$11)*NORMSINV(J660)))*(K$7-K$5)*(K$7-K$6))))</f>
        <v>0.232359913085612</v>
      </c>
      <c r="L660" s="2" t="n">
        <v>0.903057654</v>
      </c>
      <c r="M660" s="2" t="n">
        <f aca="false">IF(M$7=M$5,M$6,IF(NORMSDIST(M$9*SQRT($C$11)*NORMSINV($B660)+SQRT(1-M$9^2*$C$11)*NORMSINV(L660))&lt;M$8,M$5+SQRT(NORMSDIST(M$9*SQRT($C$11)*NORMSINV($B660)+SQRT(1-M$9^2*$C$11)*NORMSINV(L660))*(M$7-M$5)*(M$6-M$5)),M$7-SQRT((1-NORMSDIST(M$9*SQRT($C$11)*NORMSINV($B660)+SQRT(1-M$9^2*$C$11)*NORMSINV(L660)))*(M$7-M$5)*(M$7-M$6))))</f>
        <v>1618.17962625322</v>
      </c>
      <c r="N660" s="2" t="n">
        <v>0.121367762</v>
      </c>
      <c r="O660" s="2" t="n">
        <f aca="false">IF(O$7=O$5,O$6,IF(NORMSDIST(O$9*SQRT($C$11)*NORMSINV($B660)+SQRT(1-O$9^2*$C$11)*NORMSINV(N660))&lt;O$8,O$5+SQRT(NORMSDIST(O$9*SQRT($C$11)*NORMSINV($B660)+SQRT(1-O$9^2*$C$11)*NORMSINV(N660))*(O$7-O$5)*(O$6-O$5)),O$7-SQRT((1-NORMSDIST(O$9*SQRT($C$11)*NORMSINV($B660)+SQRT(1-O$9^2*$C$11)*NORMSINV(N660)))*(O$7-O$5)*(O$7-O$6))))</f>
        <v>0.148889497630973</v>
      </c>
      <c r="P660" s="2" t="n">
        <v>0.743012799</v>
      </c>
      <c r="Q660" s="2" t="n">
        <f aca="false">IF(Q$7=Q$5,Q$6,IF(NORMSDIST(Q$9*SQRT($C$11)*NORMSINV($B660)+SQRT(1-Q$9^2*$C$11)*NORMSINV(P660))&lt;Q$8,Q$5+SQRT(NORMSDIST(Q$9*SQRT($C$11)*NORMSINV($B660)+SQRT(1-Q$9^2*$C$11)*NORMSINV(P660))*(Q$7-Q$5)*(Q$6-Q$5)),Q$7-SQRT((1-NORMSDIST(Q$9*SQRT($C$11)*NORMSINV($B660)+SQRT(1-Q$9^2*$C$11)*NORMSINV(P660)))*(Q$7-Q$5)*(Q$7-Q$6))))</f>
        <v>0.0913231967750936</v>
      </c>
      <c r="R660" s="2" t="n">
        <v>0.048071921</v>
      </c>
      <c r="S660" s="2" t="n">
        <f aca="false">IF(S$7=S$5,S$6,IF(NORMSDIST(S$9*SQRT($C$11)*NORMSINV($B660)+SQRT(1-S$9^2*$C$11)*NORMSINV(R660))&lt;S$8,S$5+SQRT(NORMSDIST(S$9*SQRT($C$11)*NORMSINV($B660)+SQRT(1-S$9^2*$C$11)*NORMSINV(R660))*(S$7-S$5)*(S$6-S$5)),S$7-SQRT((1-NORMSDIST(S$9*SQRT($C$11)*NORMSINV($B660)+SQRT(1-S$9^2*$C$11)*NORMSINV(R660)))*(S$7-S$5)*(S$7-S$6))))</f>
        <v>0.10901837370814</v>
      </c>
      <c r="T660" s="2" t="n">
        <v>0.193827267</v>
      </c>
      <c r="U660" s="2" t="n">
        <f aca="false">IF(U$7=U$5,U$6,IF(NORMSDIST(U$9*SQRT($C$11)*NORMSINV($B660)+SQRT(1-U$9^2*$C$11)*NORMSINV(T660))&lt;U$8,U$5+SQRT(NORMSDIST(U$9*SQRT($C$11)*NORMSINV($B660)+SQRT(1-U$9^2*$C$11)*NORMSINV(T660))*(U$7-U$5)*(U$6-U$5)),U$7-SQRT((1-NORMSDIST(U$9*SQRT($C$11)*NORMSINV($B660)+SQRT(1-U$9^2*$C$11)*NORMSINV(T660)))*(U$7-U$5)*(U$7-U$6))))</f>
        <v>0.20812171662336</v>
      </c>
      <c r="V660" s="2" t="n">
        <v>0.49002402</v>
      </c>
      <c r="W660" s="2" t="n">
        <f aca="false">IF(W$7=W$5,W$6,IF(NORMSDIST(W$9*SQRT($C$11)*NORMSINV($B660)+SQRT(1-W$9^2*$C$11)*NORMSINV(V660))&lt;W$8,W$5+SQRT(NORMSDIST(W$9*SQRT($C$11)*NORMSINV($B660)+SQRT(1-W$9^2*$C$11)*NORMSINV(V660))*(W$7-W$5)*(W$6-W$5)),W$7-SQRT((1-NORMSDIST(W$9*SQRT($C$11)*NORMSINV($B660)+SQRT(1-W$9^2*$C$11)*NORMSINV(V660)))*(W$7-W$5)*(W$7-W$6))))</f>
        <v>9.38050905933342</v>
      </c>
      <c r="X660" s="2" t="n">
        <v>0.798166816</v>
      </c>
      <c r="Y660" s="2" t="n">
        <f aca="false">IF(Y$7=Y$5,Y$6,IF(NORMSDIST(Y$9*SQRT($C$11)*NORMSINV($B660)+SQRT(1-Y$9^2*$C$11)*NORMSINV(X660))&lt;Y$8,Y$5+SQRT(NORMSDIST(Y$9*SQRT($C$11)*NORMSINV($B660)+SQRT(1-Y$9^2*$C$11)*NORMSINV(X660))*(Y$7-Y$5)*(Y$6-Y$5)),Y$7-SQRT((1-NORMSDIST(Y$9*SQRT($C$11)*NORMSINV($B660)+SQRT(1-Y$9^2*$C$11)*NORMSINV(X660)))*(Y$7-Y$5)*(Y$7-Y$6))))</f>
        <v>0.682326280595955</v>
      </c>
      <c r="Z660" s="2" t="n">
        <v>0.158390373</v>
      </c>
      <c r="AA660" s="2" t="n">
        <f aca="false">IF(AA$7=AA$5,AA$6,IF(NORMSDIST(AA$9*SQRT($C$11)*NORMSINV($B660)+SQRT(1-AA$9^2*$C$11)*NORMSINV(Z660))&lt;AA$8,AA$5+SQRT(NORMSDIST(AA$9*SQRT($C$11)*NORMSINV($B660)+SQRT(1-AA$9^2*$C$11)*NORMSINV(Z660))*(AA$7-AA$5)*(AA$6-AA$5)),AA$7-SQRT((1-NORMSDIST(AA$9*SQRT($C$11)*NORMSINV($B660)+SQRT(1-AA$9^2*$C$11)*NORMSINV(Z660)))*(AA$7-AA$5)*(AA$7-AA$6))))</f>
        <v>0.70765700137555</v>
      </c>
      <c r="AB660" s="2" t="n">
        <v>0.972654622</v>
      </c>
      <c r="AC660" s="2" t="n">
        <f aca="false">IF(AC$7=AC$5,AC$6,IF(NORMSDIST(AC$9*SQRT($C$11)*NORMSINV($B660)+SQRT(1-AC$9^2*$C$11)*NORMSINV(AB660))&lt;AC$8,AC$5+SQRT(NORMSDIST(AC$9*SQRT($C$11)*NORMSINV($B660)+SQRT(1-AC$9^2*$C$11)*NORMSINV(AB660))*(AC$7-AC$5)*(AC$6-AC$5)),AC$7-SQRT((1-NORMSDIST(AC$9*SQRT($C$11)*NORMSINV($B660)+SQRT(1-AC$9^2*$C$11)*NORMSINV(AB660)))*(AC$7-AC$5)*(AC$7-AC$6))))</f>
        <v>10.0404536440466</v>
      </c>
      <c r="AD660" s="2" t="n">
        <f aca="false">Entrées!$C$8*(1+E660)</f>
        <v>7454.8927283143</v>
      </c>
      <c r="AE660" s="2" t="n">
        <f aca="false">I660*Hypothèses!$J$24/12/Hypothèses!$J$19</f>
        <v>96.2303811141369</v>
      </c>
      <c r="AF660" s="2" t="n">
        <f aca="false">Entrées!$C$36*S660*1000</f>
        <v>54.5091868540698</v>
      </c>
      <c r="AG660" s="2" t="n">
        <f aca="false">-AF660/W660</f>
        <v>-5.81089858868951</v>
      </c>
      <c r="AH660" s="2" t="n">
        <f aca="false">AD660+AE660+AG660</f>
        <v>7545.31221083974</v>
      </c>
      <c r="AI660" s="2" t="n">
        <f aca="false">Entrées!$C$16-M660+Hypothèses!$J$22*1000-AF660+Hypothèses!$J$23</f>
        <v>22875.3111868927</v>
      </c>
      <c r="AJ660" s="2" t="n">
        <f aca="false">AI660/AH660</f>
        <v>3.0317249369787</v>
      </c>
      <c r="AK660" s="2" t="n">
        <f aca="false">AI660/(AH660+I660*(12-Hypothèses!$J$24)/12/Hypothèses!$J$19)</f>
        <v>3.00435597385038</v>
      </c>
      <c r="AL660" s="2" t="n">
        <f aca="false">(AD660+AG660+I660/Hypothèses!$J$19)*(1+G660)</f>
        <v>8000.57298593074</v>
      </c>
      <c r="AM660" s="2" t="n">
        <f aca="false">Entrées!$C$54*K660/Hypothèses!$J$19</f>
        <v>23.713304746616</v>
      </c>
      <c r="AN660" s="2" t="n">
        <f aca="false">Y660*1000/AC660</f>
        <v>67.9577143409787</v>
      </c>
      <c r="AO660" s="2" t="n">
        <f aca="false">(Entrées!$C$36*(1-S660)+MAX(0,Entrées!$C$30-Entrées!$C$35-Entrées!$C$36)*U660)*1000</f>
        <v>736.861216418634</v>
      </c>
      <c r="AP660" s="2" t="n">
        <f aca="false">-AO660/W660</f>
        <v>-78.5523697869543</v>
      </c>
      <c r="AQ660" s="2" t="n">
        <f aca="false">AL660+AM660+AN660+AP660</f>
        <v>8013.69163523139</v>
      </c>
      <c r="AR660" s="2" t="n">
        <f aca="false">O660*AQ660-Hypothèses!$J$25/Hypothèses!$J$19</f>
        <v>1174.0193594775</v>
      </c>
      <c r="AS660" s="2" t="n">
        <f aca="false">Entrées!$C$79*(1+Q660)+Hypothèses!$J$20</f>
        <v>1494.36419325583</v>
      </c>
      <c r="AT660" s="2" t="n">
        <f aca="false">AI660-AR660+AS660+Y660*1000-AO660+Hypothèses!$J$23</f>
        <v>23141.1210848484</v>
      </c>
      <c r="AU660" s="2" t="n">
        <f aca="false">AT660/AQ660</f>
        <v>2.88769797219433</v>
      </c>
      <c r="AV660" s="2" t="n">
        <f aca="false">Hypothèses!$J$26*AQ660-AT660</f>
        <v>899.953820845796</v>
      </c>
      <c r="AW660" s="2" t="n">
        <f aca="false">IF(AC660&gt;Hypothèses!$J$26,MAX(0,AV660)/(1-Hypothèses!$J$26/AC660),0)</f>
        <v>1283.43215889585</v>
      </c>
      <c r="AX660" s="2" t="n">
        <f aca="false">AQ660-Entrées!$C$17*1000</f>
        <v>13.6916352313847</v>
      </c>
      <c r="AY660" s="2" t="n">
        <f aca="false">AI660+(Entrées!$C$244-Entrées!$C$13)</f>
        <v>28622.3111868927</v>
      </c>
      <c r="AZ660" s="2" t="n">
        <f aca="false">AA660*AH660</f>
        <v>5339.49301356517</v>
      </c>
      <c r="BA660" s="2" t="n">
        <f aca="false">AZ660/AY660</f>
        <v>0.18655003010415</v>
      </c>
      <c r="BB660" s="2" t="n">
        <f aca="false">AZ660/(Entrées!$C$151/100)-AY660</f>
        <v>1041.53888846936</v>
      </c>
      <c r="BC660" s="2" t="n">
        <f aca="false">AT660+(Entrées!$C$244-Entrées!$C$13)</f>
        <v>28888.1210848484</v>
      </c>
      <c r="BD660" s="2" t="n">
        <f aca="false">AA660*AQ660</f>
        <v>5670.94499253617</v>
      </c>
      <c r="BE660" s="2" t="n">
        <f aca="false">BD660/BC660</f>
        <v>0.196307159468068</v>
      </c>
      <c r="BF660" s="2" t="n">
        <f aca="false">BD660/(Entrées!$C$151/100)-BC660</f>
        <v>2617.12887368592</v>
      </c>
      <c r="BG660" s="2" t="n">
        <f aca="false">MIN(AV660,BF660)</f>
        <v>899.953820845796</v>
      </c>
      <c r="BH660" s="2" t="n">
        <f aca="false">IF(AC660&gt;Hypothèses!$J$26,MAX(0,BG660)/(1-Hypothèses!$J$26/AC660),0)</f>
        <v>1283.43215889585</v>
      </c>
    </row>
    <row r="661" customFormat="false" ht="15" hidden="false" customHeight="false" outlineLevel="0" collapsed="false">
      <c r="A661" s="2" t="n">
        <v>646</v>
      </c>
      <c r="B661" s="2" t="n">
        <v>0.985204127</v>
      </c>
      <c r="C661" s="2"/>
      <c r="D661" s="2" t="n">
        <v>0.923672642</v>
      </c>
      <c r="E661" s="2" t="n">
        <f aca="false">IF(E$7=E$5,E$6,IF(NORMSDIST(E$9*SQRT($C$11)*NORMSINV($B661)+SQRT(1-E$9^2*$C$11)*NORMSINV(D661))&lt;E$8,E$5+SQRT(NORMSDIST(E$9*SQRT($C$11)*NORMSINV($B661)+SQRT(1-E$9^2*$C$11)*NORMSINV(D661))*(E$7-E$5)*(E$6-E$5)),E$7-SQRT((1-NORMSDIST(E$9*SQRT($C$11)*NORMSINV($B661)+SQRT(1-E$9^2*$C$11)*NORMSINV(D661)))*(E$7-E$5)*(E$7-E$6))))</f>
        <v>0.0594299018166138</v>
      </c>
      <c r="F661" s="2" t="n">
        <v>0.959785168</v>
      </c>
      <c r="G661" s="2" t="n">
        <f aca="false">IF(G$7=G$5,G$6,IF(NORMSDIST(G$9*SQRT($C$11)*NORMSINV($B661)+SQRT(1-G$9^2*$C$11)*NORMSINV(F661))&lt;G$8,G$5+SQRT(NORMSDIST(G$9*SQRT($C$11)*NORMSINV($B661)+SQRT(1-G$9^2*$C$11)*NORMSINV(F661))*(G$7-G$5)*(G$6-G$5)),G$7-SQRT((1-NORMSDIST(G$9*SQRT($C$11)*NORMSINV($B661)+SQRT(1-G$9^2*$C$11)*NORMSINV(F661)))*(G$7-G$5)*(G$7-G$6))))</f>
        <v>0.0688063720180838</v>
      </c>
      <c r="H661" s="2" t="n">
        <v>0.469116627</v>
      </c>
      <c r="I661" s="2" t="n">
        <f aca="false">IF(I$7=I$5,I$6,IF(NORMSDIST(I$9*SQRT($C$11)*NORMSINV($B661)+SQRT(1-I$9^2*$C$11)*NORMSINV(H661))&lt;I$8,I$5+SQRT(NORMSDIST(I$9*SQRT($C$11)*NORMSINV($B661)+SQRT(1-I$9^2*$C$11)*NORMSINV(H661))*(I$7-I$5)*(I$6-I$5)),I$7-SQRT((1-NORMSDIST(I$9*SQRT($C$11)*NORMSINV($B661)+SQRT(1-I$9^2*$C$11)*NORMSINV(H661)))*(I$7-I$5)*(I$7-I$6))))</f>
        <v>211.323348839399</v>
      </c>
      <c r="J661" s="2" t="n">
        <v>0.100933995</v>
      </c>
      <c r="K661" s="2" t="n">
        <f aca="false">IF(K$7=K$5,K$6,IF(NORMSDIST(K$9*SQRT($C$11)*NORMSINV($B661)+SQRT(1-K$9^2*$C$11)*NORMSINV(J661))&lt;K$8,K$5+SQRT(NORMSDIST(K$9*SQRT($C$11)*NORMSINV($B661)+SQRT(1-K$9^2*$C$11)*NORMSINV(J661))*(K$7-K$5)*(K$6-K$5)),K$7-SQRT((1-NORMSDIST(K$9*SQRT($C$11)*NORMSINV($B661)+SQRT(1-K$9^2*$C$11)*NORMSINV(J661)))*(K$7-K$5)*(K$7-K$6))))</f>
        <v>0.29105828032917</v>
      </c>
      <c r="L661" s="2" t="n">
        <v>0.258819719</v>
      </c>
      <c r="M661" s="2" t="n">
        <f aca="false">IF(M$7=M$5,M$6,IF(NORMSDIST(M$9*SQRT($C$11)*NORMSINV($B661)+SQRT(1-M$9^2*$C$11)*NORMSINV(L661))&lt;M$8,M$5+SQRT(NORMSDIST(M$9*SQRT($C$11)*NORMSINV($B661)+SQRT(1-M$9^2*$C$11)*NORMSINV(L661))*(M$7-M$5)*(M$6-M$5)),M$7-SQRT((1-NORMSDIST(M$9*SQRT($C$11)*NORMSINV($B661)+SQRT(1-M$9^2*$C$11)*NORMSINV(L661)))*(M$7-M$5)*(M$7-M$6))))</f>
        <v>1668.63765035414</v>
      </c>
      <c r="N661" s="2" t="n">
        <v>0.799601847</v>
      </c>
      <c r="O661" s="2" t="n">
        <f aca="false">IF(O$7=O$5,O$6,IF(NORMSDIST(O$9*SQRT($C$11)*NORMSINV($B661)+SQRT(1-O$9^2*$C$11)*NORMSINV(N661))&lt;O$8,O$5+SQRT(NORMSDIST(O$9*SQRT($C$11)*NORMSINV($B661)+SQRT(1-O$9^2*$C$11)*NORMSINV(N661))*(O$7-O$5)*(O$6-O$5)),O$7-SQRT((1-NORMSDIST(O$9*SQRT($C$11)*NORMSINV($B661)+SQRT(1-O$9^2*$C$11)*NORMSINV(N661)))*(O$7-O$5)*(O$7-O$6))))</f>
        <v>0.185231742904093</v>
      </c>
      <c r="P661" s="2" t="n">
        <v>0.509053927</v>
      </c>
      <c r="Q661" s="2" t="n">
        <f aca="false">IF(Q$7=Q$5,Q$6,IF(NORMSDIST(Q$9*SQRT($C$11)*NORMSINV($B661)+SQRT(1-Q$9^2*$C$11)*NORMSINV(P661))&lt;Q$8,Q$5+SQRT(NORMSDIST(Q$9*SQRT($C$11)*NORMSINV($B661)+SQRT(1-Q$9^2*$C$11)*NORMSINV(P661))*(Q$7-Q$5)*(Q$6-Q$5)),Q$7-SQRT((1-NORMSDIST(Q$9*SQRT($C$11)*NORMSINV($B661)+SQRT(1-Q$9^2*$C$11)*NORMSINV(P661)))*(Q$7-Q$5)*(Q$7-Q$6))))</f>
        <v>0.0803638115656916</v>
      </c>
      <c r="R661" s="2" t="n">
        <v>0.405282616</v>
      </c>
      <c r="S661" s="2" t="n">
        <f aca="false">IF(S$7=S$5,S$6,IF(NORMSDIST(S$9*SQRT($C$11)*NORMSINV($B661)+SQRT(1-S$9^2*$C$11)*NORMSINV(R661))&lt;S$8,S$5+SQRT(NORMSDIST(S$9*SQRT($C$11)*NORMSINV($B661)+SQRT(1-S$9^2*$C$11)*NORMSINV(R661))*(S$7-S$5)*(S$6-S$5)),S$7-SQRT((1-NORMSDIST(S$9*SQRT($C$11)*NORMSINV($B661)+SQRT(1-S$9^2*$C$11)*NORMSINV(R661)))*(S$7-S$5)*(S$7-S$6))))</f>
        <v>0.758158331212518</v>
      </c>
      <c r="T661" s="2" t="n">
        <v>0.468024687</v>
      </c>
      <c r="U661" s="2" t="n">
        <f aca="false">IF(U$7=U$5,U$6,IF(NORMSDIST(U$9*SQRT($C$11)*NORMSINV($B661)+SQRT(1-U$9^2*$C$11)*NORMSINV(T661))&lt;U$8,U$5+SQRT(NORMSDIST(U$9*SQRT($C$11)*NORMSINV($B661)+SQRT(1-U$9^2*$C$11)*NORMSINV(T661))*(U$7-U$5)*(U$6-U$5)),U$7-SQRT((1-NORMSDIST(U$9*SQRT($C$11)*NORMSINV($B661)+SQRT(1-U$9^2*$C$11)*NORMSINV(T661)))*(U$7-U$5)*(U$7-U$6))))</f>
        <v>0.782672132460705</v>
      </c>
      <c r="V661" s="2" t="n">
        <v>0.34299507</v>
      </c>
      <c r="W661" s="2" t="n">
        <f aca="false">IF(W$7=W$5,W$6,IF(NORMSDIST(W$9*SQRT($C$11)*NORMSINV($B661)+SQRT(1-W$9^2*$C$11)*NORMSINV(V661))&lt;W$8,W$5+SQRT(NORMSDIST(W$9*SQRT($C$11)*NORMSINV($B661)+SQRT(1-W$9^2*$C$11)*NORMSINV(V661))*(W$7-W$5)*(W$6-W$5)),W$7-SQRT((1-NORMSDIST(W$9*SQRT($C$11)*NORMSINV($B661)+SQRT(1-W$9^2*$C$11)*NORMSINV(V661)))*(W$7-W$5)*(W$7-W$6))))</f>
        <v>10.9268767270275</v>
      </c>
      <c r="X661" s="2" t="n">
        <v>0.163809566</v>
      </c>
      <c r="Y661" s="2" t="n">
        <f aca="false">IF(Y$7=Y$5,Y$6,IF(NORMSDIST(Y$9*SQRT($C$11)*NORMSINV($B661)+SQRT(1-Y$9^2*$C$11)*NORMSINV(X661))&lt;Y$8,Y$5+SQRT(NORMSDIST(Y$9*SQRT($C$11)*NORMSINV($B661)+SQRT(1-Y$9^2*$C$11)*NORMSINV(X661))*(Y$7-Y$5)*(Y$6-Y$5)),Y$7-SQRT((1-NORMSDIST(Y$9*SQRT($C$11)*NORMSINV($B661)+SQRT(1-Y$9^2*$C$11)*NORMSINV(X661)))*(Y$7-Y$5)*(Y$7-Y$6))))</f>
        <v>0.28619011688037</v>
      </c>
      <c r="Z661" s="2" t="n">
        <v>0.910712439</v>
      </c>
      <c r="AA661" s="2" t="n">
        <f aca="false">IF(AA$7=AA$5,AA$6,IF(NORMSDIST(AA$9*SQRT($C$11)*NORMSINV($B661)+SQRT(1-AA$9^2*$C$11)*NORMSINV(Z661))&lt;AA$8,AA$5+SQRT(NORMSDIST(AA$9*SQRT($C$11)*NORMSINV($B661)+SQRT(1-AA$9^2*$C$11)*NORMSINV(Z661))*(AA$7-AA$5)*(AA$6-AA$5)),AA$7-SQRT((1-NORMSDIST(AA$9*SQRT($C$11)*NORMSINV($B661)+SQRT(1-AA$9^2*$C$11)*NORMSINV(Z661)))*(AA$7-AA$5)*(AA$7-AA$6))))</f>
        <v>0.750704399120893</v>
      </c>
      <c r="AB661" s="2" t="n">
        <v>0.83179245</v>
      </c>
      <c r="AC661" s="2" t="n">
        <f aca="false">IF(AC$7=AC$5,AC$6,IF(NORMSDIST(AC$9*SQRT($C$11)*NORMSINV($B661)+SQRT(1-AC$9^2*$C$11)*NORMSINV(AB661))&lt;AC$8,AC$5+SQRT(NORMSDIST(AC$9*SQRT($C$11)*NORMSINV($B661)+SQRT(1-AC$9^2*$C$11)*NORMSINV(AB661))*(AC$7-AC$5)*(AC$6-AC$5)),AC$7-SQRT((1-NORMSDIST(AC$9*SQRT($C$11)*NORMSINV($B661)+SQRT(1-AC$9^2*$C$11)*NORMSINV(AB661)))*(AC$7-AC$5)*(AC$7-AC$6))))</f>
        <v>10.7291502422377</v>
      </c>
      <c r="AD661" s="2" t="n">
        <f aca="false">Entrées!$C$8*(1+E661)</f>
        <v>7468.98080780713</v>
      </c>
      <c r="AE661" s="2" t="n">
        <f aca="false">I661*Hypothèses!$J$24/12/Hypothèses!$J$19</f>
        <v>104.836836992535</v>
      </c>
      <c r="AF661" s="2" t="n">
        <f aca="false">Entrées!$C$36*S661*1000</f>
        <v>379.079165606259</v>
      </c>
      <c r="AG661" s="2" t="n">
        <f aca="false">-AF661/W661</f>
        <v>-34.692362243697</v>
      </c>
      <c r="AH661" s="2" t="n">
        <f aca="false">AD661+AE661+AG661</f>
        <v>7539.12528255597</v>
      </c>
      <c r="AI661" s="2" t="n">
        <f aca="false">Entrées!$C$16-M661+Hypothèses!$J$22*1000-AF661+Hypothèses!$J$23</f>
        <v>22500.2831840396</v>
      </c>
      <c r="AJ661" s="2" t="n">
        <f aca="false">AI661/AH661</f>
        <v>2.98446866722069</v>
      </c>
      <c r="AK661" s="2" t="n">
        <f aca="false">AI661/(AH661+I661*(12-Hypothèses!$J$24)/12/Hypothèses!$J$19)</f>
        <v>2.95511654367733</v>
      </c>
      <c r="AL661" s="2" t="n">
        <f aca="false">(AD661+AG661+I661/Hypothèses!$J$19)*(1+G661)</f>
        <v>8137.90105529548</v>
      </c>
      <c r="AM661" s="2" t="n">
        <f aca="false">Entrées!$C$54*K661/Hypothèses!$J$19</f>
        <v>29.7037195823386</v>
      </c>
      <c r="AN661" s="2" t="n">
        <f aca="false">Y661*1000/AC661</f>
        <v>26.6740711443968</v>
      </c>
      <c r="AO661" s="2" t="n">
        <f aca="false">(Entrées!$C$36*(1-S661)+MAX(0,Entrées!$C$30-Entrées!$C$35-Entrées!$C$36)*U661)*1000</f>
        <v>1216.66181983873</v>
      </c>
      <c r="AP661" s="2" t="n">
        <f aca="false">-AO661/W661</f>
        <v>-111.345799008543</v>
      </c>
      <c r="AQ661" s="2" t="n">
        <f aca="false">AL661+AM661+AN661+AP661</f>
        <v>8082.93304701368</v>
      </c>
      <c r="AR661" s="2" t="n">
        <f aca="false">O661*AQ661-Hypothèses!$J$25/Hypothèses!$J$19</f>
        <v>1478.08061381381</v>
      </c>
      <c r="AS661" s="2" t="n">
        <f aca="false">Entrées!$C$79*(1+Q661)+Hypothèses!$J$20</f>
        <v>1482.3198289107</v>
      </c>
      <c r="AT661" s="2" t="n">
        <f aca="false">AI661-AR661+AS661+Y661*1000-AO661+Hypothèses!$J$23</f>
        <v>21574.0506961781</v>
      </c>
      <c r="AU661" s="2" t="n">
        <f aca="false">AT661/AQ661</f>
        <v>2.66908689836901</v>
      </c>
      <c r="AV661" s="2" t="n">
        <f aca="false">Hypothèses!$J$26*AQ661-AT661</f>
        <v>2674.74844486289</v>
      </c>
      <c r="AW661" s="2" t="n">
        <f aca="false">IF(AC661&gt;Hypothèses!$J$26,MAX(0,AV661)/(1-Hypothèses!$J$26/AC661),0)</f>
        <v>3712.92794495054</v>
      </c>
      <c r="AX661" s="2" t="n">
        <f aca="false">AQ661-Entrées!$C$17*1000</f>
        <v>82.9330470136756</v>
      </c>
      <c r="AY661" s="2" t="n">
        <f aca="false">AI661+(Entrées!$C$244-Entrées!$C$13)</f>
        <v>28247.2831840396</v>
      </c>
      <c r="AZ661" s="2" t="n">
        <f aca="false">AA661*AH661</f>
        <v>5659.65451513831</v>
      </c>
      <c r="BA661" s="2" t="n">
        <f aca="false">AZ661/AY661</f>
        <v>0.200361021563169</v>
      </c>
      <c r="BB661" s="2" t="n">
        <f aca="false">AZ661/(Entrées!$C$151/100)-AY661</f>
        <v>3195.24190006211</v>
      </c>
      <c r="BC661" s="2" t="n">
        <f aca="false">AT661+(Entrées!$C$244-Entrées!$C$13)</f>
        <v>27321.0506961781</v>
      </c>
      <c r="BD661" s="2" t="n">
        <f aca="false">AA661*AQ661</f>
        <v>6067.89339619281</v>
      </c>
      <c r="BE661" s="2" t="n">
        <f aca="false">BD661/BC661</f>
        <v>0.222095901935486</v>
      </c>
      <c r="BF661" s="2" t="n">
        <f aca="false">BD661/(Entrées!$C$151/100)-BC661</f>
        <v>6389.4681715597</v>
      </c>
      <c r="BG661" s="2" t="n">
        <f aca="false">MIN(AV661,BF661)</f>
        <v>2674.74844486289</v>
      </c>
      <c r="BH661" s="2" t="n">
        <f aca="false">IF(AC661&gt;Hypothèses!$J$26,MAX(0,BG661)/(1-Hypothèses!$J$26/AC661),0)</f>
        <v>3712.92794495054</v>
      </c>
    </row>
    <row r="662" customFormat="false" ht="15" hidden="false" customHeight="false" outlineLevel="0" collapsed="false">
      <c r="A662" s="2" t="n">
        <v>647</v>
      </c>
      <c r="B662" s="2" t="n">
        <v>0.49260133</v>
      </c>
      <c r="C662" s="2"/>
      <c r="D662" s="2" t="n">
        <v>0.042433596</v>
      </c>
      <c r="E662" s="2" t="n">
        <f aca="false">IF(E$7=E$5,E$6,IF(NORMSDIST(E$9*SQRT($C$11)*NORMSINV($B662)+SQRT(1-E$9^2*$C$11)*NORMSINV(D662))&lt;E$8,E$5+SQRT(NORMSDIST(E$9*SQRT($C$11)*NORMSINV($B662)+SQRT(1-E$9^2*$C$11)*NORMSINV(D662))*(E$7-E$5)*(E$6-E$5)),E$7-SQRT((1-NORMSDIST(E$9*SQRT($C$11)*NORMSINV($B662)+SQRT(1-E$9^2*$C$11)*NORMSINV(D662)))*(E$7-E$5)*(E$7-E$6))))</f>
        <v>0.052110432208862</v>
      </c>
      <c r="F662" s="2" t="n">
        <v>0.324857506</v>
      </c>
      <c r="G662" s="2" t="n">
        <f aca="false">IF(G$7=G$5,G$6,IF(NORMSDIST(G$9*SQRT($C$11)*NORMSINV($B662)+SQRT(1-G$9^2*$C$11)*NORMSINV(F662))&lt;G$8,G$5+SQRT(NORMSDIST(G$9*SQRT($C$11)*NORMSINV($B662)+SQRT(1-G$9^2*$C$11)*NORMSINV(F662))*(G$7-G$5)*(G$6-G$5)),G$7-SQRT((1-NORMSDIST(G$9*SQRT($C$11)*NORMSINV($B662)+SQRT(1-G$9^2*$C$11)*NORMSINV(F662)))*(G$7-G$5)*(G$7-G$6))))</f>
        <v>0.0526944400848679</v>
      </c>
      <c r="H662" s="2" t="n">
        <v>0.026851589</v>
      </c>
      <c r="I662" s="2" t="n">
        <f aca="false">IF(I$7=I$5,I$6,IF(NORMSDIST(I$9*SQRT($C$11)*NORMSINV($B662)+SQRT(1-I$9^2*$C$11)*NORMSINV(H662))&lt;I$8,I$5+SQRT(NORMSDIST(I$9*SQRT($C$11)*NORMSINV($B662)+SQRT(1-I$9^2*$C$11)*NORMSINV(H662))*(I$7-I$5)*(I$6-I$5)),I$7-SQRT((1-NORMSDIST(I$9*SQRT($C$11)*NORMSINV($B662)+SQRT(1-I$9^2*$C$11)*NORMSINV(H662)))*(I$7-I$5)*(I$7-I$6))))</f>
        <v>187.267504829369</v>
      </c>
      <c r="J662" s="2" t="n">
        <v>0.845767795</v>
      </c>
      <c r="K662" s="2" t="n">
        <f aca="false">IF(K$7=K$5,K$6,IF(NORMSDIST(K$9*SQRT($C$11)*NORMSINV($B662)+SQRT(1-K$9^2*$C$11)*NORMSINV(J662))&lt;K$8,K$5+SQRT(NORMSDIST(K$9*SQRT($C$11)*NORMSINV($B662)+SQRT(1-K$9^2*$C$11)*NORMSINV(J662))*(K$7-K$5)*(K$6-K$5)),K$7-SQRT((1-NORMSDIST(K$9*SQRT($C$11)*NORMSINV($B662)+SQRT(1-K$9^2*$C$11)*NORMSINV(J662)))*(K$7-K$5)*(K$7-K$6))))</f>
        <v>0.334722614207236</v>
      </c>
      <c r="L662" s="2" t="n">
        <v>0.350011575</v>
      </c>
      <c r="M662" s="2" t="n">
        <f aca="false">IF(M$7=M$5,M$6,IF(NORMSDIST(M$9*SQRT($C$11)*NORMSINV($B662)+SQRT(1-M$9^2*$C$11)*NORMSINV(L662))&lt;M$8,M$5+SQRT(NORMSDIST(M$9*SQRT($C$11)*NORMSINV($B662)+SQRT(1-M$9^2*$C$11)*NORMSINV(L662))*(M$7-M$5)*(M$6-M$5)),M$7-SQRT((1-NORMSDIST(M$9*SQRT($C$11)*NORMSINV($B662)+SQRT(1-M$9^2*$C$11)*NORMSINV(L662)))*(M$7-M$5)*(M$7-M$6))))</f>
        <v>1548.59502115677</v>
      </c>
      <c r="N662" s="2" t="n">
        <v>0.674116262</v>
      </c>
      <c r="O662" s="2" t="n">
        <f aca="false">IF(O$7=O$5,O$6,IF(NORMSDIST(O$9*SQRT($C$11)*NORMSINV($B662)+SQRT(1-O$9^2*$C$11)*NORMSINV(N662))&lt;O$8,O$5+SQRT(NORMSDIST(O$9*SQRT($C$11)*NORMSINV($B662)+SQRT(1-O$9^2*$C$11)*NORMSINV(N662))*(O$7-O$5)*(O$6-O$5)),O$7-SQRT((1-NORMSDIST(O$9*SQRT($C$11)*NORMSINV($B662)+SQRT(1-O$9^2*$C$11)*NORMSINV(N662)))*(O$7-O$5)*(O$7-O$6))))</f>
        <v>0.170208405156119</v>
      </c>
      <c r="P662" s="2" t="n">
        <v>0.838322903</v>
      </c>
      <c r="Q662" s="2" t="n">
        <f aca="false">IF(Q$7=Q$5,Q$6,IF(NORMSDIST(Q$9*SQRT($C$11)*NORMSINV($B662)+SQRT(1-Q$9^2*$C$11)*NORMSINV(P662))&lt;Q$8,Q$5+SQRT(NORMSDIST(Q$9*SQRT($C$11)*NORMSINV($B662)+SQRT(1-Q$9^2*$C$11)*NORMSINV(P662))*(Q$7-Q$5)*(Q$6-Q$5)),Q$7-SQRT((1-NORMSDIST(Q$9*SQRT($C$11)*NORMSINV($B662)+SQRT(1-Q$9^2*$C$11)*NORMSINV(P662)))*(Q$7-Q$5)*(Q$7-Q$6))))</f>
        <v>0.0972543034751626</v>
      </c>
      <c r="R662" s="2" t="n">
        <v>0.020087082</v>
      </c>
      <c r="S662" s="2" t="n">
        <f aca="false">IF(S$7=S$5,S$6,IF(NORMSDIST(S$9*SQRT($C$11)*NORMSINV($B662)+SQRT(1-S$9^2*$C$11)*NORMSINV(R662))&lt;S$8,S$5+SQRT(NORMSDIST(S$9*SQRT($C$11)*NORMSINV($B662)+SQRT(1-S$9^2*$C$11)*NORMSINV(R662))*(S$7-S$5)*(S$6-S$5)),S$7-SQRT((1-NORMSDIST(S$9*SQRT($C$11)*NORMSINV($B662)+SQRT(1-S$9^2*$C$11)*NORMSINV(R662)))*(S$7-S$5)*(S$7-S$6))))</f>
        <v>0.165333032383443</v>
      </c>
      <c r="T662" s="2" t="n">
        <v>0.037339595</v>
      </c>
      <c r="U662" s="2" t="n">
        <f aca="false">IF(U$7=U$5,U$6,IF(NORMSDIST(U$9*SQRT($C$11)*NORMSINV($B662)+SQRT(1-U$9^2*$C$11)*NORMSINV(T662))&lt;U$8,U$5+SQRT(NORMSDIST(U$9*SQRT($C$11)*NORMSINV($B662)+SQRT(1-U$9^2*$C$11)*NORMSINV(T662))*(U$7-U$5)*(U$6-U$5)),U$7-SQRT((1-NORMSDIST(U$9*SQRT($C$11)*NORMSINV($B662)+SQRT(1-U$9^2*$C$11)*NORMSINV(T662)))*(U$7-U$5)*(U$7-U$6))))</f>
        <v>0.202362971924922</v>
      </c>
      <c r="V662" s="2" t="n">
        <v>0.801015911</v>
      </c>
      <c r="W662" s="2" t="n">
        <f aca="false">IF(W$7=W$5,W$6,IF(NORMSDIST(W$9*SQRT($C$11)*NORMSINV($B662)+SQRT(1-W$9^2*$C$11)*NORMSINV(V662))&lt;W$8,W$5+SQRT(NORMSDIST(W$9*SQRT($C$11)*NORMSINV($B662)+SQRT(1-W$9^2*$C$11)*NORMSINV(V662))*(W$7-W$5)*(W$6-W$5)),W$7-SQRT((1-NORMSDIST(W$9*SQRT($C$11)*NORMSINV($B662)+SQRT(1-W$9^2*$C$11)*NORMSINV(V662)))*(W$7-W$5)*(W$7-W$6))))</f>
        <v>10.5574706545291</v>
      </c>
      <c r="X662" s="2" t="n">
        <v>0.650808832</v>
      </c>
      <c r="Y662" s="2" t="n">
        <f aca="false">IF(Y$7=Y$5,Y$6,IF(NORMSDIST(Y$9*SQRT($C$11)*NORMSINV($B662)+SQRT(1-Y$9^2*$C$11)*NORMSINV(X662))&lt;Y$8,Y$5+SQRT(NORMSDIST(Y$9*SQRT($C$11)*NORMSINV($B662)+SQRT(1-Y$9^2*$C$11)*NORMSINV(X662))*(Y$7-Y$5)*(Y$6-Y$5)),Y$7-SQRT((1-NORMSDIST(Y$9*SQRT($C$11)*NORMSINV($B662)+SQRT(1-Y$9^2*$C$11)*NORMSINV(X662)))*(Y$7-Y$5)*(Y$7-Y$6))))</f>
        <v>0.582153635889936</v>
      </c>
      <c r="Z662" s="2" t="n">
        <v>0.107440742</v>
      </c>
      <c r="AA662" s="2" t="n">
        <f aca="false">IF(AA$7=AA$5,AA$6,IF(NORMSDIST(AA$9*SQRT($C$11)*NORMSINV($B662)+SQRT(1-AA$9^2*$C$11)*NORMSINV(Z662))&lt;AA$8,AA$5+SQRT(NORMSDIST(AA$9*SQRT($C$11)*NORMSINV($B662)+SQRT(1-AA$9^2*$C$11)*NORMSINV(Z662))*(AA$7-AA$5)*(AA$6-AA$5)),AA$7-SQRT((1-NORMSDIST(AA$9*SQRT($C$11)*NORMSINV($B662)+SQRT(1-AA$9^2*$C$11)*NORMSINV(Z662)))*(AA$7-AA$5)*(AA$7-AA$6))))</f>
        <v>0.714146252900486</v>
      </c>
      <c r="AB662" s="2" t="n">
        <v>0.888864677</v>
      </c>
      <c r="AC662" s="2" t="n">
        <f aca="false">IF(AC$7=AC$5,AC$6,IF(NORMSDIST(AC$9*SQRT($C$11)*NORMSINV($B662)+SQRT(1-AC$9^2*$C$11)*NORMSINV(AB662))&lt;AC$8,AC$5+SQRT(NORMSDIST(AC$9*SQRT($C$11)*NORMSINV($B662)+SQRT(1-AC$9^2*$C$11)*NORMSINV(AB662))*(AC$7-AC$5)*(AC$6-AC$5)),AC$7-SQRT((1-NORMSDIST(AC$9*SQRT($C$11)*NORMSINV($B662)+SQRT(1-AC$9^2*$C$11)*NORMSINV(AB662)))*(AC$7-AC$5)*(AC$7-AC$6))))</f>
        <v>10.1299318026281</v>
      </c>
      <c r="AD662" s="2" t="n">
        <f aca="false">Entrées!$C$8*(1+E662)</f>
        <v>7417.37854707248</v>
      </c>
      <c r="AE662" s="2" t="n">
        <f aca="false">I662*Hypothèses!$J$24/12/Hypothèses!$J$19</f>
        <v>92.9028097728836</v>
      </c>
      <c r="AF662" s="2" t="n">
        <f aca="false">Entrées!$C$36*S662*1000</f>
        <v>82.6665161917216</v>
      </c>
      <c r="AG662" s="2" t="n">
        <f aca="false">-AF662/W662</f>
        <v>-7.83014406544981</v>
      </c>
      <c r="AH662" s="2" t="n">
        <f aca="false">AD662+AE662+AG662</f>
        <v>7502.45121277991</v>
      </c>
      <c r="AI662" s="2" t="n">
        <f aca="false">Entrées!$C$16-M662+Hypothèses!$J$22*1000-AF662+Hypothèses!$J$23</f>
        <v>22916.7384626515</v>
      </c>
      <c r="AJ662" s="2" t="n">
        <f aca="false">AI662/AH662</f>
        <v>3.05456680926021</v>
      </c>
      <c r="AK662" s="2" t="n">
        <f aca="false">AI662/(AH662+I662*(12-Hypothèses!$J$24)/12/Hypothèses!$J$19)</f>
        <v>3.02778605417797</v>
      </c>
      <c r="AL662" s="2" t="n">
        <f aca="false">(AD662+AG662+I662/Hypothèses!$J$19)*(1+G662)</f>
        <v>7967.64458678437</v>
      </c>
      <c r="AM662" s="2" t="n">
        <f aca="false">Entrées!$C$54*K662/Hypothèses!$J$19</f>
        <v>34.1598481892858</v>
      </c>
      <c r="AN662" s="2" t="n">
        <f aca="false">Y662*1000/AC662</f>
        <v>57.4686628925678</v>
      </c>
      <c r="AO662" s="2" t="n">
        <f aca="false">(Entrées!$C$36*(1-S662)+MAX(0,Entrées!$C$30-Entrées!$C$35-Entrées!$C$36)*U662)*1000</f>
        <v>700.641644503168</v>
      </c>
      <c r="AP662" s="2" t="n">
        <f aca="false">-AO662/W662</f>
        <v>-66.3645363013722</v>
      </c>
      <c r="AQ662" s="2" t="n">
        <f aca="false">AL662+AM662+AN662+AP662</f>
        <v>7992.90856156485</v>
      </c>
      <c r="AR662" s="2" t="n">
        <f aca="false">O662*AQ662-Hypothèses!$J$25/Hypothèses!$J$19</f>
        <v>1341.32505656102</v>
      </c>
      <c r="AS662" s="2" t="n">
        <f aca="false">Entrées!$C$79*(1+Q662)+Hypothèses!$J$20</f>
        <v>1500.8824795192</v>
      </c>
      <c r="AT662" s="2" t="n">
        <f aca="false">AI662-AR662+AS662+Y662*1000-AO662+Hypothèses!$J$23</f>
        <v>22957.8078769965</v>
      </c>
      <c r="AU662" s="2" t="n">
        <f aca="false">AT662/AQ662</f>
        <v>2.87227205217794</v>
      </c>
      <c r="AV662" s="2" t="n">
        <f aca="false">Hypothèses!$J$26*AQ662-AT662</f>
        <v>1020.91780769809</v>
      </c>
      <c r="AW662" s="2" t="n">
        <f aca="false">IF(AC662&gt;Hypothèses!$J$26,MAX(0,AV662)/(1-Hypothèses!$J$26/AC662),0)</f>
        <v>1450.48060126721</v>
      </c>
      <c r="AX662" s="2" t="n">
        <f aca="false">AQ662-Entrées!$C$17*1000</f>
        <v>-7.09143843514903</v>
      </c>
      <c r="AY662" s="2" t="n">
        <f aca="false">AI662+(Entrées!$C$244-Entrées!$C$13)</f>
        <v>28663.7384626515</v>
      </c>
      <c r="AZ662" s="2" t="n">
        <f aca="false">AA662*AH662</f>
        <v>5357.84742117548</v>
      </c>
      <c r="BA662" s="2" t="n">
        <f aca="false">AZ662/AY662</f>
        <v>0.186920747555546</v>
      </c>
      <c r="BB662" s="2" t="n">
        <f aca="false">AZ662/(Entrées!$C$151/100)-AY662</f>
        <v>1102.08054387892</v>
      </c>
      <c r="BC662" s="2" t="n">
        <f aca="false">AT662+(Entrées!$C$244-Entrées!$C$13)</f>
        <v>28704.8078769965</v>
      </c>
      <c r="BD662" s="2" t="n">
        <f aca="false">AA662*AQ662</f>
        <v>5708.10569901775</v>
      </c>
      <c r="BE662" s="2" t="n">
        <f aca="false">BD662/BC662</f>
        <v>0.198855387692461</v>
      </c>
      <c r="BF662" s="2" t="n">
        <f aca="false">BD662/(Entrées!$C$151/100)-BC662</f>
        <v>3006.89045087992</v>
      </c>
      <c r="BG662" s="2" t="n">
        <f aca="false">MIN(AV662,BF662)</f>
        <v>1020.91780769809</v>
      </c>
      <c r="BH662" s="2" t="n">
        <f aca="false">IF(AC662&gt;Hypothèses!$J$26,MAX(0,BG662)/(1-Hypothèses!$J$26/AC662),0)</f>
        <v>1450.48060126721</v>
      </c>
    </row>
    <row r="663" customFormat="false" ht="15" hidden="false" customHeight="false" outlineLevel="0" collapsed="false">
      <c r="A663" s="2" t="n">
        <v>648</v>
      </c>
      <c r="B663" s="2" t="n">
        <v>0.294317964</v>
      </c>
      <c r="C663" s="2"/>
      <c r="D663" s="2" t="n">
        <v>0.299555293</v>
      </c>
      <c r="E663" s="2" t="n">
        <f aca="false">IF(E$7=E$5,E$6,IF(NORMSDIST(E$9*SQRT($C$11)*NORMSINV($B663)+SQRT(1-E$9^2*$C$11)*NORMSINV(D663))&lt;E$8,E$5+SQRT(NORMSDIST(E$9*SQRT($C$11)*NORMSINV($B663)+SQRT(1-E$9^2*$C$11)*NORMSINV(D663))*(E$7-E$5)*(E$6-E$5)),E$7-SQRT((1-NORMSDIST(E$9*SQRT($C$11)*NORMSINV($B663)+SQRT(1-E$9^2*$C$11)*NORMSINV(D663)))*(E$7-E$5)*(E$7-E$6))))</f>
        <v>0.0533679304085977</v>
      </c>
      <c r="F663" s="2" t="n">
        <v>0.427744361</v>
      </c>
      <c r="G663" s="2" t="n">
        <f aca="false">IF(G$7=G$5,G$6,IF(NORMSDIST(G$9*SQRT($C$11)*NORMSINV($B663)+SQRT(1-G$9^2*$C$11)*NORMSINV(F663))&lt;G$8,G$5+SQRT(NORMSDIST(G$9*SQRT($C$11)*NORMSINV($B663)+SQRT(1-G$9^2*$C$11)*NORMSINV(F663))*(G$7-G$5)*(G$6-G$5)),G$7-SQRT((1-NORMSDIST(G$9*SQRT($C$11)*NORMSINV($B663)+SQRT(1-G$9^2*$C$11)*NORMSINV(F663)))*(G$7-G$5)*(G$7-G$6))))</f>
        <v>0.051896594386332</v>
      </c>
      <c r="H663" s="2" t="n">
        <v>0.808538711</v>
      </c>
      <c r="I663" s="2" t="n">
        <f aca="false">IF(I$7=I$5,I$6,IF(NORMSDIST(I$9*SQRT($C$11)*NORMSINV($B663)+SQRT(1-I$9^2*$C$11)*NORMSINV(H663))&lt;I$8,I$5+SQRT(NORMSDIST(I$9*SQRT($C$11)*NORMSINV($B663)+SQRT(1-I$9^2*$C$11)*NORMSINV(H663))*(I$7-I$5)*(I$6-I$5)),I$7-SQRT((1-NORMSDIST(I$9*SQRT($C$11)*NORMSINV($B663)+SQRT(1-I$9^2*$C$11)*NORMSINV(H663)))*(I$7-I$5)*(I$7-I$6))))</f>
        <v>202.812559349781</v>
      </c>
      <c r="J663" s="2" t="n">
        <v>0.882913868</v>
      </c>
      <c r="K663" s="2" t="n">
        <f aca="false">IF(K$7=K$5,K$6,IF(NORMSDIST(K$9*SQRT($C$11)*NORMSINV($B663)+SQRT(1-K$9^2*$C$11)*NORMSINV(J663))&lt;K$8,K$5+SQRT(NORMSDIST(K$9*SQRT($C$11)*NORMSINV($B663)+SQRT(1-K$9^2*$C$11)*NORMSINV(J663))*(K$7-K$5)*(K$6-K$5)),K$7-SQRT((1-NORMSDIST(K$9*SQRT($C$11)*NORMSINV($B663)+SQRT(1-K$9^2*$C$11)*NORMSINV(J663)))*(K$7-K$5)*(K$7-K$6))))</f>
        <v>0.312539264732954</v>
      </c>
      <c r="L663" s="2" t="n">
        <v>0.55082879</v>
      </c>
      <c r="M663" s="2" t="n">
        <f aca="false">IF(M$7=M$5,M$6,IF(NORMSDIST(M$9*SQRT($C$11)*NORMSINV($B663)+SQRT(1-M$9^2*$C$11)*NORMSINV(L663))&lt;M$8,M$5+SQRT(NORMSDIST(M$9*SQRT($C$11)*NORMSINV($B663)+SQRT(1-M$9^2*$C$11)*NORMSINV(L663))*(M$7-M$5)*(M$6-M$5)),M$7-SQRT((1-NORMSDIST(M$9*SQRT($C$11)*NORMSINV($B663)+SQRT(1-M$9^2*$C$11)*NORMSINV(L663)))*(M$7-M$5)*(M$7-M$6))))</f>
        <v>1556.81319388255</v>
      </c>
      <c r="N663" s="2" t="n">
        <v>0.64011318</v>
      </c>
      <c r="O663" s="2" t="n">
        <f aca="false">IF(O$7=O$5,O$6,IF(NORMSDIST(O$9*SQRT($C$11)*NORMSINV($B663)+SQRT(1-O$9^2*$C$11)*NORMSINV(N663))&lt;O$8,O$5+SQRT(NORMSDIST(O$9*SQRT($C$11)*NORMSINV($B663)+SQRT(1-O$9^2*$C$11)*NORMSINV(N663))*(O$7-O$5)*(O$6-O$5)),O$7-SQRT((1-NORMSDIST(O$9*SQRT($C$11)*NORMSINV($B663)+SQRT(1-O$9^2*$C$11)*NORMSINV(N663)))*(O$7-O$5)*(O$7-O$6))))</f>
        <v>0.166090551167841</v>
      </c>
      <c r="P663" s="2" t="n">
        <v>0.864172186</v>
      </c>
      <c r="Q663" s="2" t="n">
        <f aca="false">IF(Q$7=Q$5,Q$6,IF(NORMSDIST(Q$9*SQRT($C$11)*NORMSINV($B663)+SQRT(1-Q$9^2*$C$11)*NORMSINV(P663))&lt;Q$8,Q$5+SQRT(NORMSDIST(Q$9*SQRT($C$11)*NORMSINV($B663)+SQRT(1-Q$9^2*$C$11)*NORMSINV(P663))*(Q$7-Q$5)*(Q$6-Q$5)),Q$7-SQRT((1-NORMSDIST(Q$9*SQRT($C$11)*NORMSINV($B663)+SQRT(1-Q$9^2*$C$11)*NORMSINV(P663)))*(Q$7-Q$5)*(Q$7-Q$6))))</f>
        <v>0.0991517625493185</v>
      </c>
      <c r="R663" s="2" t="n">
        <v>0.578010305</v>
      </c>
      <c r="S663" s="2" t="n">
        <f aca="false">IF(S$7=S$5,S$6,IF(NORMSDIST(S$9*SQRT($C$11)*NORMSINV($B663)+SQRT(1-S$9^2*$C$11)*NORMSINV(R663))&lt;S$8,S$5+SQRT(NORMSDIST(S$9*SQRT($C$11)*NORMSINV($B663)+SQRT(1-S$9^2*$C$11)*NORMSINV(R663))*(S$7-S$5)*(S$6-S$5)),S$7-SQRT((1-NORMSDIST(S$9*SQRT($C$11)*NORMSINV($B663)+SQRT(1-S$9^2*$C$11)*NORMSINV(R663)))*(S$7-S$5)*(S$7-S$6))))</f>
        <v>0.460875839596519</v>
      </c>
      <c r="T663" s="2" t="n">
        <v>0.583349748</v>
      </c>
      <c r="U663" s="2" t="n">
        <f aca="false">IF(U$7=U$5,U$6,IF(NORMSDIST(U$9*SQRT($C$11)*NORMSINV($B663)+SQRT(1-U$9^2*$C$11)*NORMSINV(T663))&lt;U$8,U$5+SQRT(NORMSDIST(U$9*SQRT($C$11)*NORMSINV($B663)+SQRT(1-U$9^2*$C$11)*NORMSINV(T663))*(U$7-U$5)*(U$6-U$5)),U$7-SQRT((1-NORMSDIST(U$9*SQRT($C$11)*NORMSINV($B663)+SQRT(1-U$9^2*$C$11)*NORMSINV(T663)))*(U$7-U$5)*(U$7-U$6))))</f>
        <v>0.463122309227925</v>
      </c>
      <c r="V663" s="2" t="n">
        <v>0.528356502</v>
      </c>
      <c r="W663" s="2" t="n">
        <f aca="false">IF(W$7=W$5,W$6,IF(NORMSDIST(W$9*SQRT($C$11)*NORMSINV($B663)+SQRT(1-W$9^2*$C$11)*NORMSINV(V663))&lt;W$8,W$5+SQRT(NORMSDIST(W$9*SQRT($C$11)*NORMSINV($B663)+SQRT(1-W$9^2*$C$11)*NORMSINV(V663))*(W$7-W$5)*(W$6-W$5)),W$7-SQRT((1-NORMSDIST(W$9*SQRT($C$11)*NORMSINV($B663)+SQRT(1-W$9^2*$C$11)*NORMSINV(V663)))*(W$7-W$5)*(W$7-W$6))))</f>
        <v>9.75972830552628</v>
      </c>
      <c r="X663" s="2" t="n">
        <v>0.898992644</v>
      </c>
      <c r="Y663" s="2" t="n">
        <f aca="false">IF(Y$7=Y$5,Y$6,IF(NORMSDIST(Y$9*SQRT($C$11)*NORMSINV($B663)+SQRT(1-Y$9^2*$C$11)*NORMSINV(X663))&lt;Y$8,Y$5+SQRT(NORMSDIST(Y$9*SQRT($C$11)*NORMSINV($B663)+SQRT(1-Y$9^2*$C$11)*NORMSINV(X663))*(Y$7-Y$5)*(Y$6-Y$5)),Y$7-SQRT((1-NORMSDIST(Y$9*SQRT($C$11)*NORMSINV($B663)+SQRT(1-Y$9^2*$C$11)*NORMSINV(X663)))*(Y$7-Y$5)*(Y$7-Y$6))))</f>
        <v>0.775269766163963</v>
      </c>
      <c r="Z663" s="2" t="n">
        <v>0.108906362</v>
      </c>
      <c r="AA663" s="2" t="n">
        <f aca="false">IF(AA$7=AA$5,AA$6,IF(NORMSDIST(AA$9*SQRT($C$11)*NORMSINV($B663)+SQRT(1-AA$9^2*$C$11)*NORMSINV(Z663))&lt;AA$8,AA$5+SQRT(NORMSDIST(AA$9*SQRT($C$11)*NORMSINV($B663)+SQRT(1-AA$9^2*$C$11)*NORMSINV(Z663))*(AA$7-AA$5)*(AA$6-AA$5)),AA$7-SQRT((1-NORMSDIST(AA$9*SQRT($C$11)*NORMSINV($B663)+SQRT(1-AA$9^2*$C$11)*NORMSINV(Z663)))*(AA$7-AA$5)*(AA$7-AA$6))))</f>
        <v>0.709764401056876</v>
      </c>
      <c r="AB663" s="2" t="n">
        <v>0.96838514</v>
      </c>
      <c r="AC663" s="2" t="n">
        <f aca="false">IF(AC$7=AC$5,AC$6,IF(NORMSDIST(AC$9*SQRT($C$11)*NORMSINV($B663)+SQRT(1-AC$9^2*$C$11)*NORMSINV(AB663))&lt;AC$8,AC$5+SQRT(NORMSDIST(AC$9*SQRT($C$11)*NORMSINV($B663)+SQRT(1-AC$9^2*$C$11)*NORMSINV(AB663))*(AC$7-AC$5)*(AC$6-AC$5)),AC$7-SQRT((1-NORMSDIST(AC$9*SQRT($C$11)*NORMSINV($B663)+SQRT(1-AC$9^2*$C$11)*NORMSINV(AB663)))*(AC$7-AC$5)*(AC$7-AC$6))))</f>
        <v>10.2324930321089</v>
      </c>
      <c r="AD663" s="2" t="n">
        <f aca="false">Entrées!$C$8*(1+E663)</f>
        <v>7426.24390938061</v>
      </c>
      <c r="AE663" s="2" t="n">
        <f aca="false">I663*Hypothèses!$J$24/12/Hypothèses!$J$19</f>
        <v>100.614661566578</v>
      </c>
      <c r="AF663" s="2" t="n">
        <f aca="false">Entrées!$C$36*S663*1000</f>
        <v>230.43791979826</v>
      </c>
      <c r="AG663" s="2" t="n">
        <f aca="false">-AF663/W663</f>
        <v>-23.6110998774195</v>
      </c>
      <c r="AH663" s="2" t="n">
        <f aca="false">AD663+AE663+AG663</f>
        <v>7503.24747106977</v>
      </c>
      <c r="AI663" s="2" t="n">
        <f aca="false">Entrées!$C$16-M663+Hypothèses!$J$22*1000-AF663+Hypothèses!$J$23</f>
        <v>22760.7488863192</v>
      </c>
      <c r="AJ663" s="2" t="n">
        <f aca="false">AI663/AH663</f>
        <v>3.03345304470866</v>
      </c>
      <c r="AK663" s="2" t="n">
        <f aca="false">AI663/(AH663+I663*(12-Hypothèses!$J$24)/12/Hypothèses!$J$19)</f>
        <v>3.00467367511802</v>
      </c>
      <c r="AL663" s="2" t="n">
        <f aca="false">(AD663+AG663+I663/Hypothèses!$J$19)*(1+G663)</f>
        <v>7968.23776154702</v>
      </c>
      <c r="AM663" s="2" t="n">
        <f aca="false">Entrées!$C$54*K663/Hypothèses!$J$19</f>
        <v>31.8959442335699</v>
      </c>
      <c r="AN663" s="2" t="n">
        <f aca="false">Y663*1000/AC663</f>
        <v>75.765481953539</v>
      </c>
      <c r="AO663" s="2" t="n">
        <f aca="false">(Entrées!$C$36*(1-S663)+MAX(0,Entrées!$C$30-Entrées!$C$35-Entrées!$C$36)*U663)*1000</f>
        <v>917.933313120835</v>
      </c>
      <c r="AP663" s="2" t="n">
        <f aca="false">-AO663/W663</f>
        <v>-94.0531625866133</v>
      </c>
      <c r="AQ663" s="2" t="n">
        <f aca="false">AL663+AM663+AN663+AP663</f>
        <v>7981.84602514752</v>
      </c>
      <c r="AR663" s="2" t="n">
        <f aca="false">O663*AQ663-Hypothèses!$J$25/Hypothèses!$J$19</f>
        <v>1306.57404339197</v>
      </c>
      <c r="AS663" s="2" t="n">
        <f aca="false">Entrées!$C$79*(1+Q663)+Hypothèses!$J$20</f>
        <v>1502.9677870417</v>
      </c>
      <c r="AT663" s="2" t="n">
        <f aca="false">AI663-AR663+AS663+Y663*1000-AO663+Hypothèses!$J$23</f>
        <v>22814.479083012</v>
      </c>
      <c r="AU663" s="2" t="n">
        <f aca="false">AT663/AQ663</f>
        <v>2.85829606473653</v>
      </c>
      <c r="AV663" s="2" t="n">
        <f aca="false">Hypothèses!$J$26*AQ663-AT663</f>
        <v>1131.0589924305</v>
      </c>
      <c r="AW663" s="2" t="n">
        <f aca="false">IF(AC663&gt;Hypothèses!$J$26,MAX(0,AV663)/(1-Hypothèses!$J$26/AC663),0)</f>
        <v>1600.21630267295</v>
      </c>
      <c r="AX663" s="2" t="n">
        <f aca="false">AQ663-Entrées!$C$17*1000</f>
        <v>-18.1539748524838</v>
      </c>
      <c r="AY663" s="2" t="n">
        <f aca="false">AI663+(Entrées!$C$244-Entrées!$C$13)</f>
        <v>28507.7488863192</v>
      </c>
      <c r="AZ663" s="2" t="n">
        <f aca="false">AA663*AH663</f>
        <v>5325.53794728536</v>
      </c>
      <c r="BA663" s="2" t="n">
        <f aca="false">AZ663/AY663</f>
        <v>0.186810188644571</v>
      </c>
      <c r="BB663" s="2" t="n">
        <f aca="false">AZ663/(Entrées!$C$151/100)-AY663</f>
        <v>1078.5730430439</v>
      </c>
      <c r="BC663" s="2" t="n">
        <f aca="false">AT663+(Entrées!$C$244-Entrées!$C$13)</f>
        <v>28561.479083012</v>
      </c>
      <c r="BD663" s="2" t="n">
        <f aca="false">AA663*AQ663</f>
        <v>5665.23016336703</v>
      </c>
      <c r="BE663" s="2" t="n">
        <f aca="false">BD663/BC663</f>
        <v>0.198352128294946</v>
      </c>
      <c r="BF663" s="2" t="n">
        <f aca="false">BD663/(Entrées!$C$151/100)-BC663</f>
        <v>2912.02182458257</v>
      </c>
      <c r="BG663" s="2" t="n">
        <f aca="false">MIN(AV663,BF663)</f>
        <v>1131.0589924305</v>
      </c>
      <c r="BH663" s="2" t="n">
        <f aca="false">IF(AC663&gt;Hypothèses!$J$26,MAX(0,BG663)/(1-Hypothèses!$J$26/AC663),0)</f>
        <v>1600.21630267295</v>
      </c>
    </row>
    <row r="664" customFormat="false" ht="15" hidden="false" customHeight="false" outlineLevel="0" collapsed="false">
      <c r="A664" s="2" t="n">
        <v>649</v>
      </c>
      <c r="B664" s="2" t="n">
        <v>0.469601462</v>
      </c>
      <c r="C664" s="2"/>
      <c r="D664" s="2" t="n">
        <v>0.070979302</v>
      </c>
      <c r="E664" s="2" t="n">
        <f aca="false">IF(E$7=E$5,E$6,IF(NORMSDIST(E$9*SQRT($C$11)*NORMSINV($B664)+SQRT(1-E$9^2*$C$11)*NORMSINV(D664))&lt;E$8,E$5+SQRT(NORMSDIST(E$9*SQRT($C$11)*NORMSINV($B664)+SQRT(1-E$9^2*$C$11)*NORMSINV(D664))*(E$7-E$5)*(E$6-E$5)),E$7-SQRT((1-NORMSDIST(E$9*SQRT($C$11)*NORMSINV($B664)+SQRT(1-E$9^2*$C$11)*NORMSINV(D664)))*(E$7-E$5)*(E$7-E$6))))</f>
        <v>0.052427531577684</v>
      </c>
      <c r="F664" s="2" t="n">
        <v>0.488274795</v>
      </c>
      <c r="G664" s="2" t="n">
        <f aca="false">IF(G$7=G$5,G$6,IF(NORMSDIST(G$9*SQRT($C$11)*NORMSINV($B664)+SQRT(1-G$9^2*$C$11)*NORMSINV(F664))&lt;G$8,G$5+SQRT(NORMSDIST(G$9*SQRT($C$11)*NORMSINV($B664)+SQRT(1-G$9^2*$C$11)*NORMSINV(F664))*(G$7-G$5)*(G$6-G$5)),G$7-SQRT((1-NORMSDIST(G$9*SQRT($C$11)*NORMSINV($B664)+SQRT(1-G$9^2*$C$11)*NORMSINV(F664)))*(G$7-G$5)*(G$7-G$6))))</f>
        <v>0.0545692523476912</v>
      </c>
      <c r="H664" s="2" t="n">
        <v>0.170570436</v>
      </c>
      <c r="I664" s="2" t="n">
        <f aca="false">IF(I$7=I$5,I$6,IF(NORMSDIST(I$9*SQRT($C$11)*NORMSINV($B664)+SQRT(1-I$9^2*$C$11)*NORMSINV(H664))&lt;I$8,I$5+SQRT(NORMSDIST(I$9*SQRT($C$11)*NORMSINV($B664)+SQRT(1-I$9^2*$C$11)*NORMSINV(H664))*(I$7-I$5)*(I$6-I$5)),I$7-SQRT((1-NORMSDIST(I$9*SQRT($C$11)*NORMSINV($B664)+SQRT(1-I$9^2*$C$11)*NORMSINV(H664)))*(I$7-I$5)*(I$7-I$6))))</f>
        <v>193.147002831202</v>
      </c>
      <c r="J664" s="2" t="n">
        <v>0.672878351</v>
      </c>
      <c r="K664" s="2" t="n">
        <f aca="false">IF(K$7=K$5,K$6,IF(NORMSDIST(K$9*SQRT($C$11)*NORMSINV($B664)+SQRT(1-K$9^2*$C$11)*NORMSINV(J664))&lt;K$8,K$5+SQRT(NORMSDIST(K$9*SQRT($C$11)*NORMSINV($B664)+SQRT(1-K$9^2*$C$11)*NORMSINV(J664))*(K$7-K$5)*(K$6-K$5)),K$7-SQRT((1-NORMSDIST(K$9*SQRT($C$11)*NORMSINV($B664)+SQRT(1-K$9^2*$C$11)*NORMSINV(J664)))*(K$7-K$5)*(K$7-K$6))))</f>
        <v>0.281313428604667</v>
      </c>
      <c r="L664" s="2" t="n">
        <v>0.875817956</v>
      </c>
      <c r="M664" s="2" t="n">
        <f aca="false">IF(M$7=M$5,M$6,IF(NORMSDIST(M$9*SQRT($C$11)*NORMSINV($B664)+SQRT(1-M$9^2*$C$11)*NORMSINV(L664))&lt;M$8,M$5+SQRT(NORMSDIST(M$9*SQRT($C$11)*NORMSINV($B664)+SQRT(1-M$9^2*$C$11)*NORMSINV(L664))*(M$7-M$5)*(M$6-M$5)),M$7-SQRT((1-NORMSDIST(M$9*SQRT($C$11)*NORMSINV($B664)+SQRT(1-M$9^2*$C$11)*NORMSINV(L664)))*(M$7-M$5)*(M$7-M$6))))</f>
        <v>1666.09625355499</v>
      </c>
      <c r="N664" s="2" t="n">
        <v>0.568200552</v>
      </c>
      <c r="O664" s="2" t="n">
        <f aca="false">IF(O$7=O$5,O$6,IF(NORMSDIST(O$9*SQRT($C$11)*NORMSINV($B664)+SQRT(1-O$9^2*$C$11)*NORMSINV(N664))&lt;O$8,O$5+SQRT(NORMSDIST(O$9*SQRT($C$11)*NORMSINV($B664)+SQRT(1-O$9^2*$C$11)*NORMSINV(N664))*(O$7-O$5)*(O$6-O$5)),O$7-SQRT((1-NORMSDIST(O$9*SQRT($C$11)*NORMSINV($B664)+SQRT(1-O$9^2*$C$11)*NORMSINV(N664)))*(O$7-O$5)*(O$7-O$6))))</f>
        <v>0.167675083627332</v>
      </c>
      <c r="P664" s="2" t="n">
        <v>0.879476169</v>
      </c>
      <c r="Q664" s="2" t="n">
        <f aca="false">IF(Q$7=Q$5,Q$6,IF(NORMSDIST(Q$9*SQRT($C$11)*NORMSINV($B664)+SQRT(1-Q$9^2*$C$11)*NORMSINV(P664))&lt;Q$8,Q$5+SQRT(NORMSDIST(Q$9*SQRT($C$11)*NORMSINV($B664)+SQRT(1-Q$9^2*$C$11)*NORMSINV(P664))*(Q$7-Q$5)*(Q$6-Q$5)),Q$7-SQRT((1-NORMSDIST(Q$9*SQRT($C$11)*NORMSINV($B664)+SQRT(1-Q$9^2*$C$11)*NORMSINV(P664)))*(Q$7-Q$5)*(Q$7-Q$6))))</f>
        <v>0.10036135801029</v>
      </c>
      <c r="R664" s="2" t="n">
        <v>0.64096938</v>
      </c>
      <c r="S664" s="2" t="n">
        <f aca="false">IF(S$7=S$5,S$6,IF(NORMSDIST(S$9*SQRT($C$11)*NORMSINV($B664)+SQRT(1-S$9^2*$C$11)*NORMSINV(R664))&lt;S$8,S$5+SQRT(NORMSDIST(S$9*SQRT($C$11)*NORMSINV($B664)+SQRT(1-S$9^2*$C$11)*NORMSINV(R664))*(S$7-S$5)*(S$6-S$5)),S$7-SQRT((1-NORMSDIST(S$9*SQRT($C$11)*NORMSINV($B664)+SQRT(1-S$9^2*$C$11)*NORMSINV(R664)))*(S$7-S$5)*(S$7-S$6))))</f>
        <v>0.548065170494399</v>
      </c>
      <c r="T664" s="2" t="n">
        <v>0.296195963</v>
      </c>
      <c r="U664" s="2" t="n">
        <f aca="false">IF(U$7=U$5,U$6,IF(NORMSDIST(U$9*SQRT($C$11)*NORMSINV($B664)+SQRT(1-U$9^2*$C$11)*NORMSINV(T664))&lt;U$8,U$5+SQRT(NORMSDIST(U$9*SQRT($C$11)*NORMSINV($B664)+SQRT(1-U$9^2*$C$11)*NORMSINV(T664))*(U$7-U$5)*(U$6-U$5)),U$7-SQRT((1-NORMSDIST(U$9*SQRT($C$11)*NORMSINV($B664)+SQRT(1-U$9^2*$C$11)*NORMSINV(T664)))*(U$7-U$5)*(U$7-U$6))))</f>
        <v>0.401064139936502</v>
      </c>
      <c r="V664" s="2" t="n">
        <v>0.084582016</v>
      </c>
      <c r="W664" s="2" t="n">
        <f aca="false">IF(W$7=W$5,W$6,IF(NORMSDIST(W$9*SQRT($C$11)*NORMSINV($B664)+SQRT(1-W$9^2*$C$11)*NORMSINV(V664))&lt;W$8,W$5+SQRT(NORMSDIST(W$9*SQRT($C$11)*NORMSINV($B664)+SQRT(1-W$9^2*$C$11)*NORMSINV(V664))*(W$7-W$5)*(W$6-W$5)),W$7-SQRT((1-NORMSDIST(W$9*SQRT($C$11)*NORMSINV($B664)+SQRT(1-W$9^2*$C$11)*NORMSINV(V664)))*(W$7-W$5)*(W$7-W$6))))</f>
        <v>9.03074874544399</v>
      </c>
      <c r="X664" s="2" t="n">
        <v>0.993846615</v>
      </c>
      <c r="Y664" s="2" t="n">
        <f aca="false">IF(Y$7=Y$5,Y$6,IF(NORMSDIST(Y$9*SQRT($C$11)*NORMSINV($B664)+SQRT(1-Y$9^2*$C$11)*NORMSINV(X664))&lt;Y$8,Y$5+SQRT(NORMSDIST(Y$9*SQRT($C$11)*NORMSINV($B664)+SQRT(1-Y$9^2*$C$11)*NORMSINV(X664))*(Y$7-Y$5)*(Y$6-Y$5)),Y$7-SQRT((1-NORMSDIST(Y$9*SQRT($C$11)*NORMSINV($B664)+SQRT(1-Y$9^2*$C$11)*NORMSINV(X664)))*(Y$7-Y$5)*(Y$7-Y$6))))</f>
        <v>0.944532058808714</v>
      </c>
      <c r="Z664" s="2" t="n">
        <v>0.23579803</v>
      </c>
      <c r="AA664" s="2" t="n">
        <f aca="false">IF(AA$7=AA$5,AA$6,IF(NORMSDIST(AA$9*SQRT($C$11)*NORMSINV($B664)+SQRT(1-AA$9^2*$C$11)*NORMSINV(Z664))&lt;AA$8,AA$5+SQRT(NORMSDIST(AA$9*SQRT($C$11)*NORMSINV($B664)+SQRT(1-AA$9^2*$C$11)*NORMSINV(Z664))*(AA$7-AA$5)*(AA$6-AA$5)),AA$7-SQRT((1-NORMSDIST(AA$9*SQRT($C$11)*NORMSINV($B664)+SQRT(1-AA$9^2*$C$11)*NORMSINV(Z664)))*(AA$7-AA$5)*(AA$7-AA$6))))</f>
        <v>0.719474749064751</v>
      </c>
      <c r="AB664" s="2" t="n">
        <v>0.726933755</v>
      </c>
      <c r="AC664" s="2" t="n">
        <f aca="false">IF(AC$7=AC$5,AC$6,IF(NORMSDIST(AC$9*SQRT($C$11)*NORMSINV($B664)+SQRT(1-AC$9^2*$C$11)*NORMSINV(AB664))&lt;AC$8,AC$5+SQRT(NORMSDIST(AC$9*SQRT($C$11)*NORMSINV($B664)+SQRT(1-AC$9^2*$C$11)*NORMSINV(AB664))*(AC$7-AC$5)*(AC$6-AC$5)),AC$7-SQRT((1-NORMSDIST(AC$9*SQRT($C$11)*NORMSINV($B664)+SQRT(1-AC$9^2*$C$11)*NORMSINV(AB664)))*(AC$7-AC$5)*(AC$7-AC$6))))</f>
        <v>9.79247879572495</v>
      </c>
      <c r="AD664" s="2" t="n">
        <f aca="false">Entrées!$C$8*(1+E664)</f>
        <v>7419.61409762267</v>
      </c>
      <c r="AE664" s="2" t="n">
        <f aca="false">I664*Hypothèses!$J$24/12/Hypothèses!$J$19</f>
        <v>95.8196099135276</v>
      </c>
      <c r="AF664" s="2" t="n">
        <f aca="false">Entrées!$C$36*S664*1000</f>
        <v>274.0325852472</v>
      </c>
      <c r="AG664" s="2" t="n">
        <f aca="false">-AF664/W664</f>
        <v>-30.3443925826692</v>
      </c>
      <c r="AH664" s="2" t="n">
        <f aca="false">AD664+AE664+AG664</f>
        <v>7485.08931495353</v>
      </c>
      <c r="AI664" s="2" t="n">
        <f aca="false">Entrées!$C$16-M664+Hypothèses!$J$22*1000-AF664+Hypothèses!$J$23</f>
        <v>22607.8711611978</v>
      </c>
      <c r="AJ664" s="2" t="n">
        <f aca="false">AI664/AH664</f>
        <v>3.02038762797825</v>
      </c>
      <c r="AK664" s="2" t="n">
        <f aca="false">AI664/(AH664+I664*(12-Hypothèses!$J$24)/12/Hypothèses!$J$19)</f>
        <v>2.99301988527547</v>
      </c>
      <c r="AL664" s="2" t="n">
        <f aca="false">(AD664+AG664+I664/Hypothèses!$J$19)*(1+G664)</f>
        <v>7965.72248147392</v>
      </c>
      <c r="AM664" s="2" t="n">
        <f aca="false">Entrées!$C$54*K664/Hypothèses!$J$19</f>
        <v>28.7092165478648</v>
      </c>
      <c r="AN664" s="2" t="n">
        <f aca="false">Y664*1000/AC664</f>
        <v>96.4548485130305</v>
      </c>
      <c r="AO664" s="2" t="n">
        <f aca="false">(Entrées!$C$36*(1-S664)+MAX(0,Entrées!$C$30-Entrées!$C$35-Entrées!$C$36)*U664)*1000</f>
        <v>787.457210663904</v>
      </c>
      <c r="AP664" s="2" t="n">
        <f aca="false">-AO664/W664</f>
        <v>-87.197333561204</v>
      </c>
      <c r="AQ664" s="2" t="n">
        <f aca="false">AL664+AM664+AN664+AP664</f>
        <v>8003.68921297361</v>
      </c>
      <c r="AR664" s="2" t="n">
        <f aca="false">O664*AQ664-Hypothèses!$J$25/Hypothèses!$J$19</f>
        <v>1322.8840958509</v>
      </c>
      <c r="AS664" s="2" t="n">
        <f aca="false">Entrées!$C$79*(1+Q664)+Hypothèses!$J$20</f>
        <v>1504.29713245331</v>
      </c>
      <c r="AT664" s="2" t="n">
        <f aca="false">AI664-AR664+AS664+Y664*1000-AO664+Hypothèses!$J$23</f>
        <v>22946.359045945</v>
      </c>
      <c r="AU664" s="2" t="n">
        <f aca="false">AT664/AQ664</f>
        <v>2.86697277160013</v>
      </c>
      <c r="AV664" s="2" t="n">
        <f aca="false">Hypothèses!$J$26*AQ664-AT664</f>
        <v>1064.7085929758</v>
      </c>
      <c r="AW664" s="2" t="n">
        <f aca="false">IF(AC664&gt;Hypothèses!$J$26,MAX(0,AV664)/(1-Hypothèses!$J$26/AC664),0)</f>
        <v>1534.95309060128</v>
      </c>
      <c r="AX664" s="2" t="n">
        <f aca="false">AQ664-Entrées!$C$17*1000</f>
        <v>3.68921297361067</v>
      </c>
      <c r="AY664" s="2" t="n">
        <f aca="false">AI664+(Entrées!$C$244-Entrées!$C$13)</f>
        <v>28354.8711611978</v>
      </c>
      <c r="AZ664" s="2" t="n">
        <f aca="false">AA664*AH664</f>
        <v>5385.33275660344</v>
      </c>
      <c r="BA664" s="2" t="n">
        <f aca="false">AZ664/AY664</f>
        <v>0.18992619384471</v>
      </c>
      <c r="BB664" s="2" t="n">
        <f aca="false">AZ664/(Entrées!$C$151/100)-AY664</f>
        <v>1563.64415326573</v>
      </c>
      <c r="BC664" s="2" t="n">
        <f aca="false">AT664+(Entrées!$C$244-Entrées!$C$13)</f>
        <v>28693.359045945</v>
      </c>
      <c r="BD664" s="2" t="n">
        <f aca="false">AA664*AQ664</f>
        <v>5758.45228809644</v>
      </c>
      <c r="BE664" s="2" t="n">
        <f aca="false">BD664/BC664</f>
        <v>0.200689374808846</v>
      </c>
      <c r="BF664" s="2" t="n">
        <f aca="false">BD664/(Entrées!$C$151/100)-BC664</f>
        <v>3298.04255459075</v>
      </c>
      <c r="BG664" s="2" t="n">
        <f aca="false">MIN(AV664,BF664)</f>
        <v>1064.7085929758</v>
      </c>
      <c r="BH664" s="2" t="n">
        <f aca="false">IF(AC664&gt;Hypothèses!$J$26,MAX(0,BG664)/(1-Hypothèses!$J$26/AC664),0)</f>
        <v>1534.95309060128</v>
      </c>
    </row>
    <row r="665" customFormat="false" ht="15" hidden="false" customHeight="false" outlineLevel="0" collapsed="false">
      <c r="A665" s="2" t="n">
        <v>650</v>
      </c>
      <c r="B665" s="2" t="n">
        <v>0.502522688</v>
      </c>
      <c r="C665" s="2"/>
      <c r="D665" s="2" t="n">
        <v>0.935245876</v>
      </c>
      <c r="E665" s="2" t="n">
        <f aca="false">IF(E$7=E$5,E$6,IF(NORMSDIST(E$9*SQRT($C$11)*NORMSINV($B665)+SQRT(1-E$9^2*$C$11)*NORMSINV(D665))&lt;E$8,E$5+SQRT(NORMSDIST(E$9*SQRT($C$11)*NORMSINV($B665)+SQRT(1-E$9^2*$C$11)*NORMSINV(D665))*(E$7-E$5)*(E$6-E$5)),E$7-SQRT((1-NORMSDIST(E$9*SQRT($C$11)*NORMSINV($B665)+SQRT(1-E$9^2*$C$11)*NORMSINV(D665)))*(E$7-E$5)*(E$7-E$6))))</f>
        <v>0.057557315492497</v>
      </c>
      <c r="F665" s="2" t="n">
        <v>0.159537453</v>
      </c>
      <c r="G665" s="2" t="n">
        <f aca="false">IF(G$7=G$5,G$6,IF(NORMSDIST(G$9*SQRT($C$11)*NORMSINV($B665)+SQRT(1-G$9^2*$C$11)*NORMSINV(F665))&lt;G$8,G$5+SQRT(NORMSDIST(G$9*SQRT($C$11)*NORMSINV($B665)+SQRT(1-G$9^2*$C$11)*NORMSINV(F665))*(G$7-G$5)*(G$6-G$5)),G$7-SQRT((1-NORMSDIST(G$9*SQRT($C$11)*NORMSINV($B665)+SQRT(1-G$9^2*$C$11)*NORMSINV(F665)))*(G$7-G$5)*(G$7-G$6))))</f>
        <v>0.049979441046036</v>
      </c>
      <c r="H665" s="2" t="n">
        <v>0.713820686</v>
      </c>
      <c r="I665" s="2" t="n">
        <f aca="false">IF(I$7=I$5,I$6,IF(NORMSDIST(I$9*SQRT($C$11)*NORMSINV($B665)+SQRT(1-I$9^2*$C$11)*NORMSINV(H665))&lt;I$8,I$5+SQRT(NORMSDIST(I$9*SQRT($C$11)*NORMSINV($B665)+SQRT(1-I$9^2*$C$11)*NORMSINV(H665))*(I$7-I$5)*(I$6-I$5)),I$7-SQRT((1-NORMSDIST(I$9*SQRT($C$11)*NORMSINV($B665)+SQRT(1-I$9^2*$C$11)*NORMSINV(H665)))*(I$7-I$5)*(I$7-I$6))))</f>
        <v>203.76448521932</v>
      </c>
      <c r="J665" s="2" t="n">
        <v>0.928801117</v>
      </c>
      <c r="K665" s="2" t="n">
        <f aca="false">IF(K$7=K$5,K$6,IF(NORMSDIST(K$9*SQRT($C$11)*NORMSINV($B665)+SQRT(1-K$9^2*$C$11)*NORMSINV(J665))&lt;K$8,K$5+SQRT(NORMSDIST(K$9*SQRT($C$11)*NORMSINV($B665)+SQRT(1-K$9^2*$C$11)*NORMSINV(J665))*(K$7-K$5)*(K$6-K$5)),K$7-SQRT((1-NORMSDIST(K$9*SQRT($C$11)*NORMSINV($B665)+SQRT(1-K$9^2*$C$11)*NORMSINV(J665)))*(K$7-K$5)*(K$7-K$6))))</f>
        <v>0.373960945793103</v>
      </c>
      <c r="L665" s="2" t="n">
        <v>0.988344964</v>
      </c>
      <c r="M665" s="2" t="n">
        <f aca="false">IF(M$7=M$5,M$6,IF(NORMSDIST(M$9*SQRT($C$11)*NORMSINV($B665)+SQRT(1-M$9^2*$C$11)*NORMSINV(L665))&lt;M$8,M$5+SQRT(NORMSDIST(M$9*SQRT($C$11)*NORMSINV($B665)+SQRT(1-M$9^2*$C$11)*NORMSINV(L665))*(M$7-M$5)*(M$6-M$5)),M$7-SQRT((1-NORMSDIST(M$9*SQRT($C$11)*NORMSINV($B665)+SQRT(1-M$9^2*$C$11)*NORMSINV(L665)))*(M$7-M$5)*(M$7-M$6))))</f>
        <v>1736.09621871395</v>
      </c>
      <c r="N665" s="2" t="n">
        <v>0.623620954</v>
      </c>
      <c r="O665" s="2" t="n">
        <f aca="false">IF(O$7=O$5,O$6,IF(NORMSDIST(O$9*SQRT($C$11)*NORMSINV($B665)+SQRT(1-O$9^2*$C$11)*NORMSINV(N665))&lt;O$8,O$5+SQRT(NORMSDIST(O$9*SQRT($C$11)*NORMSINV($B665)+SQRT(1-O$9^2*$C$11)*NORMSINV(N665))*(O$7-O$5)*(O$6-O$5)),O$7-SQRT((1-NORMSDIST(O$9*SQRT($C$11)*NORMSINV($B665)+SQRT(1-O$9^2*$C$11)*NORMSINV(N665)))*(O$7-O$5)*(O$7-O$6))))</f>
        <v>0.169305211174413</v>
      </c>
      <c r="P665" s="2" t="n">
        <v>0.048907506</v>
      </c>
      <c r="Q665" s="2" t="n">
        <f aca="false">IF(Q$7=Q$5,Q$6,IF(NORMSDIST(Q$9*SQRT($C$11)*NORMSINV($B665)+SQRT(1-Q$9^2*$C$11)*NORMSINV(P665))&lt;Q$8,Q$5+SQRT(NORMSDIST(Q$9*SQRT($C$11)*NORMSINV($B665)+SQRT(1-Q$9^2*$C$11)*NORMSINV(P665))*(Q$7-Q$5)*(Q$6-Q$5)),Q$7-SQRT((1-NORMSDIST(Q$9*SQRT($C$11)*NORMSINV($B665)+SQRT(1-Q$9^2*$C$11)*NORMSINV(P665)))*(Q$7-Q$5)*(Q$7-Q$6))))</f>
        <v>0.0525101566417052</v>
      </c>
      <c r="R665" s="2" t="n">
        <v>0.765077574</v>
      </c>
      <c r="S665" s="2" t="n">
        <f aca="false">IF(S$7=S$5,S$6,IF(NORMSDIST(S$9*SQRT($C$11)*NORMSINV($B665)+SQRT(1-S$9^2*$C$11)*NORMSINV(R665))&lt;S$8,S$5+SQRT(NORMSDIST(S$9*SQRT($C$11)*NORMSINV($B665)+SQRT(1-S$9^2*$C$11)*NORMSINV(R665))*(S$7-S$5)*(S$6-S$5)),S$7-SQRT((1-NORMSDIST(S$9*SQRT($C$11)*NORMSINV($B665)+SQRT(1-S$9^2*$C$11)*NORMSINV(R665)))*(S$7-S$5)*(S$7-S$6))))</f>
        <v>0.621557992971733</v>
      </c>
      <c r="T665" s="2" t="n">
        <v>0.837519745</v>
      </c>
      <c r="U665" s="2" t="n">
        <f aca="false">IF(U$7=U$5,U$6,IF(NORMSDIST(U$9*SQRT($C$11)*NORMSINV($B665)+SQRT(1-U$9^2*$C$11)*NORMSINV(T665))&lt;U$8,U$5+SQRT(NORMSDIST(U$9*SQRT($C$11)*NORMSINV($B665)+SQRT(1-U$9^2*$C$11)*NORMSINV(T665))*(U$7-U$5)*(U$6-U$5)),U$7-SQRT((1-NORMSDIST(U$9*SQRT($C$11)*NORMSINV($B665)+SQRT(1-U$9^2*$C$11)*NORMSINV(T665)))*(U$7-U$5)*(U$7-U$6))))</f>
        <v>0.667054595113902</v>
      </c>
      <c r="V665" s="2" t="n">
        <v>0.805517372</v>
      </c>
      <c r="W665" s="2" t="n">
        <f aca="false">IF(W$7=W$5,W$6,IF(NORMSDIST(W$9*SQRT($C$11)*NORMSINV($B665)+SQRT(1-W$9^2*$C$11)*NORMSINV(V665))&lt;W$8,W$5+SQRT(NORMSDIST(W$9*SQRT($C$11)*NORMSINV($B665)+SQRT(1-W$9^2*$C$11)*NORMSINV(V665))*(W$7-W$5)*(W$6-W$5)),W$7-SQRT((1-NORMSDIST(W$9*SQRT($C$11)*NORMSINV($B665)+SQRT(1-W$9^2*$C$11)*NORMSINV(V665)))*(W$7-W$5)*(W$7-W$6))))</f>
        <v>10.5829289856639</v>
      </c>
      <c r="X665" s="2" t="n">
        <v>0.803285053</v>
      </c>
      <c r="Y665" s="2" t="n">
        <f aca="false">IF(Y$7=Y$5,Y$6,IF(NORMSDIST(Y$9*SQRT($C$11)*NORMSINV($B665)+SQRT(1-Y$9^2*$C$11)*NORMSINV(X665))&lt;Y$8,Y$5+SQRT(NORMSDIST(Y$9*SQRT($C$11)*NORMSINV($B665)+SQRT(1-Y$9^2*$C$11)*NORMSINV(X665))*(Y$7-Y$5)*(Y$6-Y$5)),Y$7-SQRT((1-NORMSDIST(Y$9*SQRT($C$11)*NORMSINV($B665)+SQRT(1-Y$9^2*$C$11)*NORMSINV(X665)))*(Y$7-Y$5)*(Y$7-Y$6))))</f>
        <v>0.686380049263444</v>
      </c>
      <c r="Z665" s="2" t="n">
        <v>0.232531754</v>
      </c>
      <c r="AA665" s="2" t="n">
        <f aca="false">IF(AA$7=AA$5,AA$6,IF(NORMSDIST(AA$9*SQRT($C$11)*NORMSINV($B665)+SQRT(1-AA$9^2*$C$11)*NORMSINV(Z665))&lt;AA$8,AA$5+SQRT(NORMSDIST(AA$9*SQRT($C$11)*NORMSINV($B665)+SQRT(1-AA$9^2*$C$11)*NORMSINV(Z665))*(AA$7-AA$5)*(AA$6-AA$5)),AA$7-SQRT((1-NORMSDIST(AA$9*SQRT($C$11)*NORMSINV($B665)+SQRT(1-AA$9^2*$C$11)*NORMSINV(Z665)))*(AA$7-AA$5)*(AA$7-AA$6))))</f>
        <v>0.72012241299965</v>
      </c>
      <c r="AB665" s="2" t="n">
        <v>0.613641479</v>
      </c>
      <c r="AC665" s="2" t="n">
        <f aca="false">IF(AC$7=AC$5,AC$6,IF(NORMSDIST(AC$9*SQRT($C$11)*NORMSINV($B665)+SQRT(1-AC$9^2*$C$11)*NORMSINV(AB665))&lt;AC$8,AC$5+SQRT(NORMSDIST(AC$9*SQRT($C$11)*NORMSINV($B665)+SQRT(1-AC$9^2*$C$11)*NORMSINV(AB665))*(AC$7-AC$5)*(AC$6-AC$5)),AC$7-SQRT((1-NORMSDIST(AC$9*SQRT($C$11)*NORMSINV($B665)+SQRT(1-AC$9^2*$C$11)*NORMSINV(AB665)))*(AC$7-AC$5)*(AC$7-AC$6))))</f>
        <v>9.65791703457143</v>
      </c>
      <c r="AD665" s="2" t="n">
        <f aca="false">Entrées!$C$8*(1+E665)</f>
        <v>7455.7790742221</v>
      </c>
      <c r="AE665" s="2" t="n">
        <f aca="false">I665*Hypothèses!$J$24/12/Hypothèses!$J$19</f>
        <v>101.086908943699</v>
      </c>
      <c r="AF665" s="2" t="n">
        <f aca="false">Entrées!$C$36*S665*1000</f>
        <v>310.778996485867</v>
      </c>
      <c r="AG665" s="2" t="n">
        <f aca="false">-AF665/W665</f>
        <v>-29.3660665121029</v>
      </c>
      <c r="AH665" s="2" t="n">
        <f aca="false">AD665+AE665+AG665</f>
        <v>7527.4999166537</v>
      </c>
      <c r="AI665" s="2" t="n">
        <f aca="false">Entrées!$C$16-M665+Hypothèses!$J$22*1000-AF665+Hypothèses!$J$23</f>
        <v>22501.1247848002</v>
      </c>
      <c r="AJ665" s="2" t="n">
        <f aca="false">AI665/AH665</f>
        <v>2.98918964250257</v>
      </c>
      <c r="AK665" s="2" t="n">
        <f aca="false">AI665/(AH665+I665*(12-Hypothèses!$J$24)/12/Hypothèses!$J$19)</f>
        <v>2.96078929697158</v>
      </c>
      <c r="AL665" s="2" t="n">
        <f aca="false">(AD665+AG665+I665/Hypothèses!$J$19)*(1+G665)</f>
        <v>7979.53385221197</v>
      </c>
      <c r="AM665" s="2" t="n">
        <f aca="false">Entrées!$C$54*K665/Hypothèses!$J$19</f>
        <v>38.1642846787314</v>
      </c>
      <c r="AN665" s="2" t="n">
        <f aca="false">Y665*1000/AC665</f>
        <v>71.069159820537</v>
      </c>
      <c r="AO665" s="2" t="n">
        <f aca="false">(Entrées!$C$36*(1-S665)+MAX(0,Entrées!$C$30-Entrées!$C$35-Entrées!$C$36)*U665)*1000</f>
        <v>1123.0974366736</v>
      </c>
      <c r="AP665" s="2" t="n">
        <f aca="false">-AO665/W665</f>
        <v>-106.123497398026</v>
      </c>
      <c r="AQ665" s="2" t="n">
        <f aca="false">AL665+AM665+AN665+AP665</f>
        <v>7982.64379931322</v>
      </c>
      <c r="AR665" s="2" t="n">
        <f aca="false">O665*AQ665-Hypothèses!$J$25/Hypothèses!$J$19</f>
        <v>1332.36803191122</v>
      </c>
      <c r="AS665" s="2" t="n">
        <f aca="false">Entrées!$C$79*(1+Q665)+Hypothèses!$J$20</f>
        <v>1451.70866214923</v>
      </c>
      <c r="AT665" s="2" t="n">
        <f aca="false">AI665-AR665+AS665+Y665*1000-AO665+Hypothèses!$J$23</f>
        <v>22183.748027628</v>
      </c>
      <c r="AU665" s="2" t="n">
        <f aca="false">AT665/AQ665</f>
        <v>2.77899760847861</v>
      </c>
      <c r="AV665" s="2" t="n">
        <f aca="false">Hypothèses!$J$26*AQ665-AT665</f>
        <v>1764.1833703116</v>
      </c>
      <c r="AW665" s="2" t="n">
        <f aca="false">IF(AC665&gt;Hypothèses!$J$26,MAX(0,AV665)/(1-Hypothèses!$J$26/AC665),0)</f>
        <v>2559.1091832127</v>
      </c>
      <c r="AX665" s="2" t="n">
        <f aca="false">AQ665-Entrées!$C$17*1000</f>
        <v>-17.3562006867842</v>
      </c>
      <c r="AY665" s="2" t="n">
        <f aca="false">AI665+(Entrées!$C$244-Entrées!$C$13)</f>
        <v>28248.1247848002</v>
      </c>
      <c r="AZ665" s="2" t="n">
        <f aca="false">AA665*AH665</f>
        <v>5420.72140383533</v>
      </c>
      <c r="BA665" s="2" t="n">
        <f aca="false">AZ665/AY665</f>
        <v>0.191896681465813</v>
      </c>
      <c r="BB665" s="2" t="n">
        <f aca="false">AZ665/(Entrées!$C$151/100)-AY665</f>
        <v>1866.99412539606</v>
      </c>
      <c r="BC665" s="2" t="n">
        <f aca="false">AT665+(Entrées!$C$244-Entrées!$C$13)</f>
        <v>27930.748027628</v>
      </c>
      <c r="BD665" s="2" t="n">
        <f aca="false">AA665*AQ665</f>
        <v>5748.48071487813</v>
      </c>
      <c r="BE665" s="2" t="n">
        <f aca="false">BD665/BC665</f>
        <v>0.205811914138209</v>
      </c>
      <c r="BF665" s="2" t="n">
        <f aca="false">BD665/(Entrées!$C$151/100)-BC665</f>
        <v>4005.25594391709</v>
      </c>
      <c r="BG665" s="2" t="n">
        <f aca="false">MIN(AV665,BF665)</f>
        <v>1764.1833703116</v>
      </c>
      <c r="BH665" s="2" t="n">
        <f aca="false">IF(AC665&gt;Hypothèses!$J$26,MAX(0,BG665)/(1-Hypothèses!$J$26/AC665),0)</f>
        <v>2559.1091832127</v>
      </c>
    </row>
    <row r="666" customFormat="false" ht="15" hidden="false" customHeight="false" outlineLevel="0" collapsed="false">
      <c r="A666" s="2" t="n">
        <v>651</v>
      </c>
      <c r="B666" s="2" t="n">
        <v>0.610106856</v>
      </c>
      <c r="C666" s="2"/>
      <c r="D666" s="2" t="n">
        <v>0.83702214</v>
      </c>
      <c r="E666" s="2" t="n">
        <f aca="false">IF(E$7=E$5,E$6,IF(NORMSDIST(E$9*SQRT($C$11)*NORMSINV($B666)+SQRT(1-E$9^2*$C$11)*NORMSINV(D666))&lt;E$8,E$5+SQRT(NORMSDIST(E$9*SQRT($C$11)*NORMSINV($B666)+SQRT(1-E$9^2*$C$11)*NORMSINV(D666))*(E$7-E$5)*(E$6-E$5)),E$7-SQRT((1-NORMSDIST(E$9*SQRT($C$11)*NORMSINV($B666)+SQRT(1-E$9^2*$C$11)*NORMSINV(D666)))*(E$7-E$5)*(E$7-E$6))))</f>
        <v>0.0570487645920775</v>
      </c>
      <c r="F666" s="2" t="n">
        <v>0.680720807</v>
      </c>
      <c r="G666" s="2" t="n">
        <f aca="false">IF(G$7=G$5,G$6,IF(NORMSDIST(G$9*SQRT($C$11)*NORMSINV($B666)+SQRT(1-G$9^2*$C$11)*NORMSINV(F666))&lt;G$8,G$5+SQRT(NORMSDIST(G$9*SQRT($C$11)*NORMSINV($B666)+SQRT(1-G$9^2*$C$11)*NORMSINV(F666))*(G$7-G$5)*(G$6-G$5)),G$7-SQRT((1-NORMSDIST(G$9*SQRT($C$11)*NORMSINV($B666)+SQRT(1-G$9^2*$C$11)*NORMSINV(F666)))*(G$7-G$5)*(G$7-G$6))))</f>
        <v>0.0584906591516784</v>
      </c>
      <c r="H666" s="2" t="n">
        <v>0.282440639</v>
      </c>
      <c r="I666" s="2" t="n">
        <f aca="false">IF(I$7=I$5,I$6,IF(NORMSDIST(I$9*SQRT($C$11)*NORMSINV($B666)+SQRT(1-I$9^2*$C$11)*NORMSINV(H666))&lt;I$8,I$5+SQRT(NORMSDIST(I$9*SQRT($C$11)*NORMSINV($B666)+SQRT(1-I$9^2*$C$11)*NORMSINV(H666))*(I$7-I$5)*(I$6-I$5)),I$7-SQRT((1-NORMSDIST(I$9*SQRT($C$11)*NORMSINV($B666)+SQRT(1-I$9^2*$C$11)*NORMSINV(H666)))*(I$7-I$5)*(I$7-I$6))))</f>
        <v>197.752822695325</v>
      </c>
      <c r="J666" s="2" t="n">
        <v>0.436692116</v>
      </c>
      <c r="K666" s="2" t="n">
        <f aca="false">IF(K$7=K$5,K$6,IF(NORMSDIST(K$9*SQRT($C$11)*NORMSINV($B666)+SQRT(1-K$9^2*$C$11)*NORMSINV(J666))&lt;K$8,K$5+SQRT(NORMSDIST(K$9*SQRT($C$11)*NORMSINV($B666)+SQRT(1-K$9^2*$C$11)*NORMSINV(J666))*(K$7-K$5)*(K$6-K$5)),K$7-SQRT((1-NORMSDIST(K$9*SQRT($C$11)*NORMSINV($B666)+SQRT(1-K$9^2*$C$11)*NORMSINV(J666)))*(K$7-K$5)*(K$7-K$6))))</f>
        <v>0.25538048050383</v>
      </c>
      <c r="L666" s="2" t="n">
        <v>0.759672461</v>
      </c>
      <c r="M666" s="2" t="n">
        <f aca="false">IF(M$7=M$5,M$6,IF(NORMSDIST(M$9*SQRT($C$11)*NORMSINV($B666)+SQRT(1-M$9^2*$C$11)*NORMSINV(L666))&lt;M$8,M$5+SQRT(NORMSDIST(M$9*SQRT($C$11)*NORMSINV($B666)+SQRT(1-M$9^2*$C$11)*NORMSINV(L666))*(M$7-M$5)*(M$6-M$5)),M$7-SQRT((1-NORMSDIST(M$9*SQRT($C$11)*NORMSINV($B666)+SQRT(1-M$9^2*$C$11)*NORMSINV(L666)))*(M$7-M$5)*(M$7-M$6))))</f>
        <v>1655.17922425326</v>
      </c>
      <c r="N666" s="2" t="n">
        <v>0.338781771</v>
      </c>
      <c r="O666" s="2" t="n">
        <f aca="false">IF(O$7=O$5,O$6,IF(NORMSDIST(O$9*SQRT($C$11)*NORMSINV($B666)+SQRT(1-O$9^2*$C$11)*NORMSINV(N666))&lt;O$8,O$5+SQRT(NORMSDIST(O$9*SQRT($C$11)*NORMSINV($B666)+SQRT(1-O$9^2*$C$11)*NORMSINV(N666))*(O$7-O$5)*(O$6-O$5)),O$7-SQRT((1-NORMSDIST(O$9*SQRT($C$11)*NORMSINV($B666)+SQRT(1-O$9^2*$C$11)*NORMSINV(N666)))*(O$7-O$5)*(O$7-O$6))))</f>
        <v>0.165190585229788</v>
      </c>
      <c r="P666" s="2" t="n">
        <v>0.320250184</v>
      </c>
      <c r="Q666" s="2" t="n">
        <f aca="false">IF(Q$7=Q$5,Q$6,IF(NORMSDIST(Q$9*SQRT($C$11)*NORMSINV($B666)+SQRT(1-Q$9^2*$C$11)*NORMSINV(P666))&lt;Q$8,Q$5+SQRT(NORMSDIST(Q$9*SQRT($C$11)*NORMSINV($B666)+SQRT(1-Q$9^2*$C$11)*NORMSINV(P666))*(Q$7-Q$5)*(Q$6-Q$5)),Q$7-SQRT((1-NORMSDIST(Q$9*SQRT($C$11)*NORMSINV($B666)+SQRT(1-Q$9^2*$C$11)*NORMSINV(P666)))*(Q$7-Q$5)*(Q$7-Q$6))))</f>
        <v>0.072012506755954</v>
      </c>
      <c r="R666" s="2" t="n">
        <v>0.661876911</v>
      </c>
      <c r="S666" s="2" t="n">
        <f aca="false">IF(S$7=S$5,S$6,IF(NORMSDIST(S$9*SQRT($C$11)*NORMSINV($B666)+SQRT(1-S$9^2*$C$11)*NORMSINV(R666))&lt;S$8,S$5+SQRT(NORMSDIST(S$9*SQRT($C$11)*NORMSINV($B666)+SQRT(1-S$9^2*$C$11)*NORMSINV(R666))*(S$7-S$5)*(S$6-S$5)),S$7-SQRT((1-NORMSDIST(S$9*SQRT($C$11)*NORMSINV($B666)+SQRT(1-S$9^2*$C$11)*NORMSINV(R666)))*(S$7-S$5)*(S$7-S$6))))</f>
        <v>0.607296061347934</v>
      </c>
      <c r="T666" s="2" t="n">
        <v>0.225315201</v>
      </c>
      <c r="U666" s="2" t="n">
        <f aca="false">IF(U$7=U$5,U$6,IF(NORMSDIST(U$9*SQRT($C$11)*NORMSINV($B666)+SQRT(1-U$9^2*$C$11)*NORMSINV(T666))&lt;U$8,U$5+SQRT(NORMSDIST(U$9*SQRT($C$11)*NORMSINV($B666)+SQRT(1-U$9^2*$C$11)*NORMSINV(T666))*(U$7-U$5)*(U$6-U$5)),U$7-SQRT((1-NORMSDIST(U$9*SQRT($C$11)*NORMSINV($B666)+SQRT(1-U$9^2*$C$11)*NORMSINV(T666)))*(U$7-U$5)*(U$7-U$6))))</f>
        <v>0.413413935570168</v>
      </c>
      <c r="V666" s="2" t="n">
        <v>0.274720057</v>
      </c>
      <c r="W666" s="2" t="n">
        <f aca="false">IF(W$7=W$5,W$6,IF(NORMSDIST(W$9*SQRT($C$11)*NORMSINV($B666)+SQRT(1-W$9^2*$C$11)*NORMSINV(V666))&lt;W$8,W$5+SQRT(NORMSDIST(W$9*SQRT($C$11)*NORMSINV($B666)+SQRT(1-W$9^2*$C$11)*NORMSINV(V666))*(W$7-W$5)*(W$6-W$5)),W$7-SQRT((1-NORMSDIST(W$9*SQRT($C$11)*NORMSINV($B666)+SQRT(1-W$9^2*$C$11)*NORMSINV(V666)))*(W$7-W$5)*(W$7-W$6))))</f>
        <v>9.75981228533897</v>
      </c>
      <c r="X666" s="2" t="n">
        <v>0.748608857</v>
      </c>
      <c r="Y666" s="2" t="n">
        <f aca="false">IF(Y$7=Y$5,Y$6,IF(NORMSDIST(Y$9*SQRT($C$11)*NORMSINV($B666)+SQRT(1-Y$9^2*$C$11)*NORMSINV(X666))&lt;Y$8,Y$5+SQRT(NORMSDIST(Y$9*SQRT($C$11)*NORMSINV($B666)+SQRT(1-Y$9^2*$C$11)*NORMSINV(X666))*(Y$7-Y$5)*(Y$6-Y$5)),Y$7-SQRT((1-NORMSDIST(Y$9*SQRT($C$11)*NORMSINV($B666)+SQRT(1-Y$9^2*$C$11)*NORMSINV(X666)))*(Y$7-Y$5)*(Y$7-Y$6))))</f>
        <v>0.645464287412396</v>
      </c>
      <c r="Z666" s="2" t="n">
        <v>0.909365593</v>
      </c>
      <c r="AA666" s="2" t="n">
        <f aca="false">IF(AA$7=AA$5,AA$6,IF(NORMSDIST(AA$9*SQRT($C$11)*NORMSINV($B666)+SQRT(1-AA$9^2*$C$11)*NORMSINV(Z666))&lt;AA$8,AA$5+SQRT(NORMSDIST(AA$9*SQRT($C$11)*NORMSINV($B666)+SQRT(1-AA$9^2*$C$11)*NORMSINV(Z666))*(AA$7-AA$5)*(AA$6-AA$5)),AA$7-SQRT((1-NORMSDIST(AA$9*SQRT($C$11)*NORMSINV($B666)+SQRT(1-AA$9^2*$C$11)*NORMSINV(Z666)))*(AA$7-AA$5)*(AA$7-AA$6))))</f>
        <v>0.741835735818637</v>
      </c>
      <c r="AB666" s="2" t="n">
        <v>0.691416061</v>
      </c>
      <c r="AC666" s="2" t="n">
        <f aca="false">IF(AC$7=AC$5,AC$6,IF(NORMSDIST(AC$9*SQRT($C$11)*NORMSINV($B666)+SQRT(1-AC$9^2*$C$11)*NORMSINV(AB666))&lt;AC$8,AC$5+SQRT(NORMSDIST(AC$9*SQRT($C$11)*NORMSINV($B666)+SQRT(1-AC$9^2*$C$11)*NORMSINV(AB666))*(AC$7-AC$5)*(AC$6-AC$5)),AC$7-SQRT((1-NORMSDIST(AC$9*SQRT($C$11)*NORMSINV($B666)+SQRT(1-AC$9^2*$C$11)*NORMSINV(AB666)))*(AC$7-AC$5)*(AC$7-AC$6))))</f>
        <v>9.88774737433337</v>
      </c>
      <c r="AD666" s="2" t="n">
        <f aca="false">Entrées!$C$8*(1+E666)</f>
        <v>7452.19379037415</v>
      </c>
      <c r="AE666" s="2" t="n">
        <f aca="false">I666*Hypothèses!$J$24/12/Hypothèses!$J$19</f>
        <v>98.1045424066193</v>
      </c>
      <c r="AF666" s="2" t="n">
        <f aca="false">Entrées!$C$36*S666*1000</f>
        <v>303.648030673967</v>
      </c>
      <c r="AG666" s="2" t="n">
        <f aca="false">-AF666/W666</f>
        <v>-31.1120769330884</v>
      </c>
      <c r="AH666" s="2" t="n">
        <f aca="false">AD666+AE666+AG666</f>
        <v>7519.18625584768</v>
      </c>
      <c r="AI666" s="2" t="n">
        <f aca="false">Entrées!$C$16-M666+Hypothèses!$J$22*1000-AF666+Hypothèses!$J$23</f>
        <v>22589.1727450728</v>
      </c>
      <c r="AJ666" s="2" t="n">
        <f aca="false">AI666/AH666</f>
        <v>3.004204441339</v>
      </c>
      <c r="AK666" s="2" t="n">
        <f aca="false">AI666/(AH666+I666*(12-Hypothèses!$J$24)/12/Hypothèses!$J$19)</f>
        <v>2.97646542349985</v>
      </c>
      <c r="AL666" s="2" t="n">
        <f aca="false">(AD666+AG666+I666/Hypothèses!$J$19)*(1+G666)</f>
        <v>8033.16180320627</v>
      </c>
      <c r="AM666" s="2" t="n">
        <f aca="false">Entrées!$C$54*K666/Hypothèses!$J$19</f>
        <v>26.0626503087616</v>
      </c>
      <c r="AN666" s="2" t="n">
        <f aca="false">Y666*1000/AC666</f>
        <v>65.2792049570252</v>
      </c>
      <c r="AO666" s="2" t="n">
        <f aca="false">(Entrées!$C$36*(1-S666)+MAX(0,Entrées!$C$30-Entrées!$C$35-Entrées!$C$36)*U666)*1000</f>
        <v>775.131479124267</v>
      </c>
      <c r="AP666" s="2" t="n">
        <f aca="false">-AO666/W666</f>
        <v>-79.4207364304185</v>
      </c>
      <c r="AQ666" s="2" t="n">
        <f aca="false">AL666+AM666+AN666+AP666</f>
        <v>8045.08292204164</v>
      </c>
      <c r="AR666" s="2" t="n">
        <f aca="false">O666*AQ666-Hypothèses!$J$25/Hypothèses!$J$19</f>
        <v>1309.83679385261</v>
      </c>
      <c r="AS666" s="2" t="n">
        <f aca="false">Entrées!$C$79*(1+Q666)+Hypothèses!$J$20</f>
        <v>1473.14174492479</v>
      </c>
      <c r="AT666" s="2" t="n">
        <f aca="false">AI666-AR666+AS666+Y666*1000-AO666+Hypothèses!$J$23</f>
        <v>22622.8105044331</v>
      </c>
      <c r="AU666" s="2" t="n">
        <f aca="false">AT666/AQ666</f>
        <v>2.81200463980948</v>
      </c>
      <c r="AV666" s="2" t="n">
        <f aca="false">Hypothèses!$J$26*AQ666-AT666</f>
        <v>1512.43826169183</v>
      </c>
      <c r="AW666" s="2" t="n">
        <f aca="false">IF(AC666&gt;Hypothèses!$J$26,MAX(0,AV666)/(1-Hypothèses!$J$26/AC666),0)</f>
        <v>2171.18988809198</v>
      </c>
      <c r="AX666" s="2" t="n">
        <f aca="false">AQ666-Entrées!$C$17*1000</f>
        <v>45.0829220416408</v>
      </c>
      <c r="AY666" s="2" t="n">
        <f aca="false">AI666+(Entrées!$C$244-Entrées!$C$13)</f>
        <v>28336.1727450728</v>
      </c>
      <c r="AZ666" s="2" t="n">
        <f aca="false">AA666*AH666</f>
        <v>5578.00106886415</v>
      </c>
      <c r="BA666" s="2" t="n">
        <f aca="false">AZ666/AY666</f>
        <v>0.196850898639234</v>
      </c>
      <c r="BB666" s="2" t="n">
        <f aca="false">AZ666/(Entrées!$C$151/100)-AY666</f>
        <v>2652.72208195025</v>
      </c>
      <c r="BC666" s="2" t="n">
        <f aca="false">AT666+(Entrées!$C$244-Entrées!$C$13)</f>
        <v>28369.8105044331</v>
      </c>
      <c r="BD666" s="2" t="n">
        <f aca="false">AA666*AQ666</f>
        <v>5968.13000919471</v>
      </c>
      <c r="BE666" s="2" t="n">
        <f aca="false">BD666/BC666</f>
        <v>0.210369047345668</v>
      </c>
      <c r="BF666" s="2" t="n">
        <f aca="false">BD666/(Entrées!$C$151/100)-BC666</f>
        <v>4786.46732442642</v>
      </c>
      <c r="BG666" s="2" t="n">
        <f aca="false">MIN(AV666,BF666)</f>
        <v>1512.43826169183</v>
      </c>
      <c r="BH666" s="2" t="n">
        <f aca="false">IF(AC666&gt;Hypothèses!$J$26,MAX(0,BG666)/(1-Hypothèses!$J$26/AC666),0)</f>
        <v>2171.18988809198</v>
      </c>
    </row>
    <row r="667" customFormat="false" ht="15" hidden="false" customHeight="false" outlineLevel="0" collapsed="false">
      <c r="A667" s="2" t="n">
        <v>652</v>
      </c>
      <c r="B667" s="2" t="n">
        <v>0.160629006</v>
      </c>
      <c r="C667" s="2"/>
      <c r="D667" s="2" t="n">
        <v>0.697825243</v>
      </c>
      <c r="E667" s="2" t="n">
        <f aca="false">IF(E$7=E$5,E$6,IF(NORMSDIST(E$9*SQRT($C$11)*NORMSINV($B667)+SQRT(1-E$9^2*$C$11)*NORMSINV(D667))&lt;E$8,E$5+SQRT(NORMSDIST(E$9*SQRT($C$11)*NORMSINV($B667)+SQRT(1-E$9^2*$C$11)*NORMSINV(D667))*(E$7-E$5)*(E$6-E$5)),E$7-SQRT((1-NORMSDIST(E$9*SQRT($C$11)*NORMSINV($B667)+SQRT(1-E$9^2*$C$11)*NORMSINV(D667)))*(E$7-E$5)*(E$7-E$6))))</f>
        <v>0.0545311033796199</v>
      </c>
      <c r="F667" s="2" t="n">
        <v>0.432688464</v>
      </c>
      <c r="G667" s="2" t="n">
        <f aca="false">IF(G$7=G$5,G$6,IF(NORMSDIST(G$9*SQRT($C$11)*NORMSINV($B667)+SQRT(1-G$9^2*$C$11)*NORMSINV(F667))&lt;G$8,G$5+SQRT(NORMSDIST(G$9*SQRT($C$11)*NORMSINV($B667)+SQRT(1-G$9^2*$C$11)*NORMSINV(F667))*(G$7-G$5)*(G$6-G$5)),G$7-SQRT((1-NORMSDIST(G$9*SQRT($C$11)*NORMSINV($B667)+SQRT(1-G$9^2*$C$11)*NORMSINV(F667)))*(G$7-G$5)*(G$7-G$6))))</f>
        <v>0.0500406973031584</v>
      </c>
      <c r="H667" s="2" t="n">
        <v>0.573923269</v>
      </c>
      <c r="I667" s="2" t="n">
        <f aca="false">IF(I$7=I$5,I$6,IF(NORMSDIST(I$9*SQRT($C$11)*NORMSINV($B667)+SQRT(1-I$9^2*$C$11)*NORMSINV(H667))&lt;I$8,I$5+SQRT(NORMSDIST(I$9*SQRT($C$11)*NORMSINV($B667)+SQRT(1-I$9^2*$C$11)*NORMSINV(H667))*(I$7-I$5)*(I$6-I$5)),I$7-SQRT((1-NORMSDIST(I$9*SQRT($C$11)*NORMSINV($B667)+SQRT(1-I$9^2*$C$11)*NORMSINV(H667)))*(I$7-I$5)*(I$7-I$6))))</f>
        <v>195.863516211975</v>
      </c>
      <c r="J667" s="2" t="n">
        <v>0.012985831</v>
      </c>
      <c r="K667" s="2" t="n">
        <f aca="false">IF(K$7=K$5,K$6,IF(NORMSDIST(K$9*SQRT($C$11)*NORMSINV($B667)+SQRT(1-K$9^2*$C$11)*NORMSINV(J667))&lt;K$8,K$5+SQRT(NORMSDIST(K$9*SQRT($C$11)*NORMSINV($B667)+SQRT(1-K$9^2*$C$11)*NORMSINV(J667))*(K$7-K$5)*(K$6-K$5)),K$7-SQRT((1-NORMSDIST(K$9*SQRT($C$11)*NORMSINV($B667)+SQRT(1-K$9^2*$C$11)*NORMSINV(J667)))*(K$7-K$5)*(K$7-K$6))))</f>
        <v>0.0341592569756349</v>
      </c>
      <c r="L667" s="2" t="n">
        <v>0.82629386</v>
      </c>
      <c r="M667" s="2" t="n">
        <f aca="false">IF(M$7=M$5,M$6,IF(NORMSDIST(M$9*SQRT($C$11)*NORMSINV($B667)+SQRT(1-M$9^2*$C$11)*NORMSINV(L667))&lt;M$8,M$5+SQRT(NORMSDIST(M$9*SQRT($C$11)*NORMSINV($B667)+SQRT(1-M$9^2*$C$11)*NORMSINV(L667))*(M$7-M$5)*(M$6-M$5)),M$7-SQRT((1-NORMSDIST(M$9*SQRT($C$11)*NORMSINV($B667)+SQRT(1-M$9^2*$C$11)*NORMSINV(L667)))*(M$7-M$5)*(M$7-M$6))))</f>
        <v>1596.42815612057</v>
      </c>
      <c r="N667" s="2" t="n">
        <v>0.830323344</v>
      </c>
      <c r="O667" s="2" t="n">
        <f aca="false">IF(O$7=O$5,O$6,IF(NORMSDIST(O$9*SQRT($C$11)*NORMSINV($B667)+SQRT(1-O$9^2*$C$11)*NORMSINV(N667))&lt;O$8,O$5+SQRT(NORMSDIST(O$9*SQRT($C$11)*NORMSINV($B667)+SQRT(1-O$9^2*$C$11)*NORMSINV(N667))*(O$7-O$5)*(O$6-O$5)),O$7-SQRT((1-NORMSDIST(O$9*SQRT($C$11)*NORMSINV($B667)+SQRT(1-O$9^2*$C$11)*NORMSINV(N667)))*(O$7-O$5)*(O$7-O$6))))</f>
        <v>0.16796106192155</v>
      </c>
      <c r="P667" s="2" t="n">
        <v>0.763236717</v>
      </c>
      <c r="Q667" s="2" t="n">
        <f aca="false">IF(Q$7=Q$5,Q$6,IF(NORMSDIST(Q$9*SQRT($C$11)*NORMSINV($B667)+SQRT(1-Q$9^2*$C$11)*NORMSINV(P667))&lt;Q$8,Q$5+SQRT(NORMSDIST(Q$9*SQRT($C$11)*NORMSINV($B667)+SQRT(1-Q$9^2*$C$11)*NORMSINV(P667))*(Q$7-Q$5)*(Q$6-Q$5)),Q$7-SQRT((1-NORMSDIST(Q$9*SQRT($C$11)*NORMSINV($B667)+SQRT(1-Q$9^2*$C$11)*NORMSINV(P667)))*(Q$7-Q$5)*(Q$7-Q$6))))</f>
        <v>0.0924746933604728</v>
      </c>
      <c r="R667" s="2" t="n">
        <v>0.479436743</v>
      </c>
      <c r="S667" s="2" t="n">
        <f aca="false">IF(S$7=S$5,S$6,IF(NORMSDIST(S$9*SQRT($C$11)*NORMSINV($B667)+SQRT(1-S$9^2*$C$11)*NORMSINV(R667))&lt;S$8,S$5+SQRT(NORMSDIST(S$9*SQRT($C$11)*NORMSINV($B667)+SQRT(1-S$9^2*$C$11)*NORMSINV(R667))*(S$7-S$5)*(S$6-S$5)),S$7-SQRT((1-NORMSDIST(S$9*SQRT($C$11)*NORMSINV($B667)+SQRT(1-S$9^2*$C$11)*NORMSINV(R667)))*(S$7-S$5)*(S$7-S$6))))</f>
        <v>0.355177852997484</v>
      </c>
      <c r="T667" s="2" t="n">
        <v>0.620932945</v>
      </c>
      <c r="U667" s="2" t="n">
        <f aca="false">IF(U$7=U$5,U$6,IF(NORMSDIST(U$9*SQRT($C$11)*NORMSINV($B667)+SQRT(1-U$9^2*$C$11)*NORMSINV(T667))&lt;U$8,U$5+SQRT(NORMSDIST(U$9*SQRT($C$11)*NORMSINV($B667)+SQRT(1-U$9^2*$C$11)*NORMSINV(T667))*(U$7-U$5)*(U$6-U$5)),U$7-SQRT((1-NORMSDIST(U$9*SQRT($C$11)*NORMSINV($B667)+SQRT(1-U$9^2*$C$11)*NORMSINV(T667)))*(U$7-U$5)*(U$7-U$6))))</f>
        <v>0.417560846000194</v>
      </c>
      <c r="V667" s="2" t="n">
        <v>0.203599281</v>
      </c>
      <c r="W667" s="2" t="n">
        <f aca="false">IF(W$7=W$5,W$6,IF(NORMSDIST(W$9*SQRT($C$11)*NORMSINV($B667)+SQRT(1-W$9^2*$C$11)*NORMSINV(V667))&lt;W$8,W$5+SQRT(NORMSDIST(W$9*SQRT($C$11)*NORMSINV($B667)+SQRT(1-W$9^2*$C$11)*NORMSINV(V667))*(W$7-W$5)*(W$6-W$5)),W$7-SQRT((1-NORMSDIST(W$9*SQRT($C$11)*NORMSINV($B667)+SQRT(1-W$9^2*$C$11)*NORMSINV(V667)))*(W$7-W$5)*(W$7-W$6))))</f>
        <v>8.90404350535473</v>
      </c>
      <c r="X667" s="2" t="n">
        <v>0.819074318</v>
      </c>
      <c r="Y667" s="2" t="n">
        <f aca="false">IF(Y$7=Y$5,Y$6,IF(NORMSDIST(Y$9*SQRT($C$11)*NORMSINV($B667)+SQRT(1-Y$9^2*$C$11)*NORMSINV(X667))&lt;Y$8,Y$5+SQRT(NORMSDIST(Y$9*SQRT($C$11)*NORMSINV($B667)+SQRT(1-Y$9^2*$C$11)*NORMSINV(X667))*(Y$7-Y$5)*(Y$6-Y$5)),Y$7-SQRT((1-NORMSDIST(Y$9*SQRT($C$11)*NORMSINV($B667)+SQRT(1-Y$9^2*$C$11)*NORMSINV(X667)))*(Y$7-Y$5)*(Y$7-Y$6))))</f>
        <v>0.699229587558882</v>
      </c>
      <c r="Z667" s="2" t="n">
        <v>0.674806137</v>
      </c>
      <c r="AA667" s="2" t="n">
        <f aca="false">IF(AA$7=AA$5,AA$6,IF(NORMSDIST(AA$9*SQRT($C$11)*NORMSINV($B667)+SQRT(1-AA$9^2*$C$11)*NORMSINV(Z667))&lt;AA$8,AA$5+SQRT(NORMSDIST(AA$9*SQRT($C$11)*NORMSINV($B667)+SQRT(1-AA$9^2*$C$11)*NORMSINV(Z667))*(AA$7-AA$5)*(AA$6-AA$5)),AA$7-SQRT((1-NORMSDIST(AA$9*SQRT($C$11)*NORMSINV($B667)+SQRT(1-AA$9^2*$C$11)*NORMSINV(Z667)))*(AA$7-AA$5)*(AA$7-AA$6))))</f>
        <v>0.724271070137854</v>
      </c>
      <c r="AB667" s="2" t="n">
        <v>0.675647262</v>
      </c>
      <c r="AC667" s="2" t="n">
        <f aca="false">IF(AC$7=AC$5,AC$6,IF(NORMSDIST(AC$9*SQRT($C$11)*NORMSINV($B667)+SQRT(1-AC$9^2*$C$11)*NORMSINV(AB667))&lt;AC$8,AC$5+SQRT(NORMSDIST(AC$9*SQRT($C$11)*NORMSINV($B667)+SQRT(1-AC$9^2*$C$11)*NORMSINV(AB667))*(AC$7-AC$5)*(AC$6-AC$5)),AC$7-SQRT((1-NORMSDIST(AC$9*SQRT($C$11)*NORMSINV($B667)+SQRT(1-AC$9^2*$C$11)*NORMSINV(AB667)))*(AC$7-AC$5)*(AC$7-AC$6))))</f>
        <v>9.24004916087771</v>
      </c>
      <c r="AD667" s="2" t="n">
        <f aca="false">Entrées!$C$8*(1+E667)</f>
        <v>7434.44427882632</v>
      </c>
      <c r="AE667" s="2" t="n">
        <f aca="false">I667*Hypothèses!$J$24/12/Hypothèses!$J$19</f>
        <v>97.1672635071899</v>
      </c>
      <c r="AF667" s="2" t="n">
        <f aca="false">Entrées!$C$36*S667*1000</f>
        <v>177.588926498742</v>
      </c>
      <c r="AG667" s="2" t="n">
        <f aca="false">-AF667/W667</f>
        <v>-19.9447505385551</v>
      </c>
      <c r="AH667" s="2" t="n">
        <f aca="false">AD667+AE667+AG667</f>
        <v>7511.66679179496</v>
      </c>
      <c r="AI667" s="2" t="n">
        <f aca="false">Entrées!$C$16-M667+Hypothèses!$J$22*1000-AF667+Hypothèses!$J$23</f>
        <v>22773.9829173807</v>
      </c>
      <c r="AJ667" s="2" t="n">
        <f aca="false">AI667/AH667</f>
        <v>3.03181484863744</v>
      </c>
      <c r="AK667" s="2" t="n">
        <f aca="false">AI667/(AH667+I667*(12-Hypothèses!$J$24)/12/Hypothèses!$J$19)</f>
        <v>3.00405839403961</v>
      </c>
      <c r="AL667" s="2" t="n">
        <f aca="false">(AD667+AG667+I667/Hypothèses!$J$19)*(1+G667)</f>
        <v>7960.43410819973</v>
      </c>
      <c r="AM667" s="2" t="n">
        <f aca="false">Entrées!$C$54*K667/Hypothèses!$J$19</f>
        <v>3.48609559981522</v>
      </c>
      <c r="AN667" s="2" t="n">
        <f aca="false">Y667*1000/AC667</f>
        <v>75.6737951697719</v>
      </c>
      <c r="AO667" s="2" t="n">
        <f aca="false">(Entrées!$C$36*(1-S667)+MAX(0,Entrées!$C$30-Entrées!$C$35-Entrées!$C$36)*U667)*1000</f>
        <v>906.99625790153</v>
      </c>
      <c r="AP667" s="2" t="n">
        <f aca="false">-AO667/W667</f>
        <v>-101.863412656966</v>
      </c>
      <c r="AQ667" s="2" t="n">
        <f aca="false">AL667+AM667+AN667+AP667</f>
        <v>7937.73058631235</v>
      </c>
      <c r="AR667" s="2" t="n">
        <f aca="false">O667*AQ667-Hypothèses!$J$25/Hypothèses!$J$19</f>
        <v>1314.09449626256</v>
      </c>
      <c r="AS667" s="2" t="n">
        <f aca="false">Entrées!$C$79*(1+Q667)+Hypothèses!$J$20</f>
        <v>1495.62968800316</v>
      </c>
      <c r="AT667" s="2" t="n">
        <f aca="false">AI667-AR667+AS667+Y667*1000-AO667+Hypothèses!$J$23</f>
        <v>22747.7514387786</v>
      </c>
      <c r="AU667" s="2" t="n">
        <f aca="false">AT667/AQ667</f>
        <v>2.86577519751103</v>
      </c>
      <c r="AV667" s="2" t="n">
        <f aca="false">Hypothèses!$J$26*AQ667-AT667</f>
        <v>1065.44032015841</v>
      </c>
      <c r="AW667" s="2" t="n">
        <f aca="false">IF(AC667&gt;Hypothèses!$J$26,MAX(0,AV667)/(1-Hypothèses!$J$26/AC667),0)</f>
        <v>1577.66720781096</v>
      </c>
      <c r="AX667" s="2" t="n">
        <f aca="false">AQ667-Entrées!$C$17*1000</f>
        <v>-62.269413687648</v>
      </c>
      <c r="AY667" s="2" t="n">
        <f aca="false">AI667+(Entrées!$C$244-Entrées!$C$13)</f>
        <v>28520.9829173807</v>
      </c>
      <c r="AZ667" s="2" t="n">
        <f aca="false">AA667*AH667</f>
        <v>5440.48294581231</v>
      </c>
      <c r="BA667" s="2" t="n">
        <f aca="false">AZ667/AY667</f>
        <v>0.190753697429442</v>
      </c>
      <c r="BB667" s="2" t="n">
        <f aca="false">AZ667/(Entrées!$C$151/100)-AY667</f>
        <v>1703.92233713216</v>
      </c>
      <c r="BC667" s="2" t="n">
        <f aca="false">AT667+(Entrées!$C$244-Entrées!$C$13)</f>
        <v>28494.7514387786</v>
      </c>
      <c r="BD667" s="2" t="n">
        <f aca="false">AA667*AQ667</f>
        <v>5749.06862621442</v>
      </c>
      <c r="BE667" s="2" t="n">
        <f aca="false">BD667/BC667</f>
        <v>0.201758862103654</v>
      </c>
      <c r="BF667" s="2" t="n">
        <f aca="false">BD667/(Entrées!$C$151/100)-BC667</f>
        <v>3444.51870685705</v>
      </c>
      <c r="BG667" s="2" t="n">
        <f aca="false">MIN(AV667,BF667)</f>
        <v>1065.44032015841</v>
      </c>
      <c r="BH667" s="2" t="n">
        <f aca="false">IF(AC667&gt;Hypothèses!$J$26,MAX(0,BG667)/(1-Hypothèses!$J$26/AC667),0)</f>
        <v>1577.66720781096</v>
      </c>
    </row>
    <row r="668" customFormat="false" ht="15" hidden="false" customHeight="false" outlineLevel="0" collapsed="false">
      <c r="A668" s="2" t="n">
        <v>653</v>
      </c>
      <c r="B668" s="2" t="n">
        <v>0.55552803</v>
      </c>
      <c r="C668" s="2"/>
      <c r="D668" s="2" t="n">
        <v>0.725990915</v>
      </c>
      <c r="E668" s="2" t="n">
        <f aca="false">IF(E$7=E$5,E$6,IF(NORMSDIST(E$9*SQRT($C$11)*NORMSINV($B668)+SQRT(1-E$9^2*$C$11)*NORMSINV(D668))&lt;E$8,E$5+SQRT(NORMSDIST(E$9*SQRT($C$11)*NORMSINV($B668)+SQRT(1-E$9^2*$C$11)*NORMSINV(D668))*(E$7-E$5)*(E$6-E$5)),E$7-SQRT((1-NORMSDIST(E$9*SQRT($C$11)*NORMSINV($B668)+SQRT(1-E$9^2*$C$11)*NORMSINV(D668)))*(E$7-E$5)*(E$7-E$6))))</f>
        <v>0.0561926913729064</v>
      </c>
      <c r="F668" s="2" t="n">
        <v>0.406185843</v>
      </c>
      <c r="G668" s="2" t="n">
        <f aca="false">IF(G$7=G$5,G$6,IF(NORMSDIST(G$9*SQRT($C$11)*NORMSINV($B668)+SQRT(1-G$9^2*$C$11)*NORMSINV(F668))&lt;G$8,G$5+SQRT(NORMSDIST(G$9*SQRT($C$11)*NORMSINV($B668)+SQRT(1-G$9^2*$C$11)*NORMSINV(F668))*(G$7-G$5)*(G$6-G$5)),G$7-SQRT((1-NORMSDIST(G$9*SQRT($C$11)*NORMSINV($B668)+SQRT(1-G$9^2*$C$11)*NORMSINV(F668)))*(G$7-G$5)*(G$7-G$6))))</f>
        <v>0.0544178005726089</v>
      </c>
      <c r="H668" s="2" t="n">
        <v>0.40637817</v>
      </c>
      <c r="I668" s="2" t="n">
        <f aca="false">IF(I$7=I$5,I$6,IF(NORMSDIST(I$9*SQRT($C$11)*NORMSINV($B668)+SQRT(1-I$9^2*$C$11)*NORMSINV(H668))&lt;I$8,I$5+SQRT(NORMSDIST(I$9*SQRT($C$11)*NORMSINV($B668)+SQRT(1-I$9^2*$C$11)*NORMSINV(H668))*(I$7-I$5)*(I$6-I$5)),I$7-SQRT((1-NORMSDIST(I$9*SQRT($C$11)*NORMSINV($B668)+SQRT(1-I$9^2*$C$11)*NORMSINV(H668)))*(I$7-I$5)*(I$7-I$6))))</f>
        <v>199.22690758645</v>
      </c>
      <c r="J668" s="2" t="n">
        <v>0.628470727</v>
      </c>
      <c r="K668" s="2" t="n">
        <f aca="false">IF(K$7=K$5,K$6,IF(NORMSDIST(K$9*SQRT($C$11)*NORMSINV($B668)+SQRT(1-K$9^2*$C$11)*NORMSINV(J668))&lt;K$8,K$5+SQRT(NORMSDIST(K$9*SQRT($C$11)*NORMSINV($B668)+SQRT(1-K$9^2*$C$11)*NORMSINV(J668))*(K$7-K$5)*(K$6-K$5)),K$7-SQRT((1-NORMSDIST(K$9*SQRT($C$11)*NORMSINV($B668)+SQRT(1-K$9^2*$C$11)*NORMSINV(J668)))*(K$7-K$5)*(K$7-K$6))))</f>
        <v>0.286081936060928</v>
      </c>
      <c r="L668" s="2" t="n">
        <v>0.115567096</v>
      </c>
      <c r="M668" s="2" t="n">
        <f aca="false">IF(M$7=M$5,M$6,IF(NORMSDIST(M$9*SQRT($C$11)*NORMSINV($B668)+SQRT(1-M$9^2*$C$11)*NORMSINV(L668))&lt;M$8,M$5+SQRT(NORMSDIST(M$9*SQRT($C$11)*NORMSINV($B668)+SQRT(1-M$9^2*$C$11)*NORMSINV(L668))*(M$7-M$5)*(M$6-M$5)),M$7-SQRT((1-NORMSDIST(M$9*SQRT($C$11)*NORMSINV($B668)+SQRT(1-M$9^2*$C$11)*NORMSINV(L668)))*(M$7-M$5)*(M$7-M$6))))</f>
        <v>1481.94817146905</v>
      </c>
      <c r="N668" s="2" t="n">
        <v>0.624426776</v>
      </c>
      <c r="O668" s="2" t="n">
        <f aca="false">IF(O$7=O$5,O$6,IF(NORMSDIST(O$9*SQRT($C$11)*NORMSINV($B668)+SQRT(1-O$9^2*$C$11)*NORMSINV(N668))&lt;O$8,O$5+SQRT(NORMSDIST(O$9*SQRT($C$11)*NORMSINV($B668)+SQRT(1-O$9^2*$C$11)*NORMSINV(N668))*(O$7-O$5)*(O$6-O$5)),O$7-SQRT((1-NORMSDIST(O$9*SQRT($C$11)*NORMSINV($B668)+SQRT(1-O$9^2*$C$11)*NORMSINV(N668)))*(O$7-O$5)*(O$7-O$6))))</f>
        <v>0.170168984619338</v>
      </c>
      <c r="P668" s="2" t="n">
        <v>0.493443214</v>
      </c>
      <c r="Q668" s="2" t="n">
        <f aca="false">IF(Q$7=Q$5,Q$6,IF(NORMSDIST(Q$9*SQRT($C$11)*NORMSINV($B668)+SQRT(1-Q$9^2*$C$11)*NORMSINV(P668))&lt;Q$8,Q$5+SQRT(NORMSDIST(Q$9*SQRT($C$11)*NORMSINV($B668)+SQRT(1-Q$9^2*$C$11)*NORMSINV(P668))*(Q$7-Q$5)*(Q$6-Q$5)),Q$7-SQRT((1-NORMSDIST(Q$9*SQRT($C$11)*NORMSINV($B668)+SQRT(1-Q$9^2*$C$11)*NORMSINV(P668)))*(Q$7-Q$5)*(Q$7-Q$6))))</f>
        <v>0.0797368630467983</v>
      </c>
      <c r="R668" s="2" t="n">
        <v>0.306958297</v>
      </c>
      <c r="S668" s="2" t="n">
        <f aca="false">IF(S$7=S$5,S$6,IF(NORMSDIST(S$9*SQRT($C$11)*NORMSINV($B668)+SQRT(1-S$9^2*$C$11)*NORMSINV(R668))&lt;S$8,S$5+SQRT(NORMSDIST(S$9*SQRT($C$11)*NORMSINV($B668)+SQRT(1-S$9^2*$C$11)*NORMSINV(R668))*(S$7-S$5)*(S$6-S$5)),S$7-SQRT((1-NORMSDIST(S$9*SQRT($C$11)*NORMSINV($B668)+SQRT(1-S$9^2*$C$11)*NORMSINV(R668)))*(S$7-S$5)*(S$7-S$6))))</f>
        <v>0.436549301092991</v>
      </c>
      <c r="T668" s="2" t="n">
        <v>0.431341752</v>
      </c>
      <c r="U668" s="2" t="n">
        <f aca="false">IF(U$7=U$5,U$6,IF(NORMSDIST(U$9*SQRT($C$11)*NORMSINV($B668)+SQRT(1-U$9^2*$C$11)*NORMSINV(T668))&lt;U$8,U$5+SQRT(NORMSDIST(U$9*SQRT($C$11)*NORMSINV($B668)+SQRT(1-U$9^2*$C$11)*NORMSINV(T668))*(U$7-U$5)*(U$6-U$5)),U$7-SQRT((1-NORMSDIST(U$9*SQRT($C$11)*NORMSINV($B668)+SQRT(1-U$9^2*$C$11)*NORMSINV(T668)))*(U$7-U$5)*(U$7-U$6))))</f>
        <v>0.490811454457549</v>
      </c>
      <c r="V668" s="2" t="n">
        <v>0.81176581</v>
      </c>
      <c r="W668" s="2" t="n">
        <f aca="false">IF(W$7=W$5,W$6,IF(NORMSDIST(W$9*SQRT($C$11)*NORMSINV($B668)+SQRT(1-W$9^2*$C$11)*NORMSINV(V668))&lt;W$8,W$5+SQRT(NORMSDIST(W$9*SQRT($C$11)*NORMSINV($B668)+SQRT(1-W$9^2*$C$11)*NORMSINV(V668))*(W$7-W$5)*(W$6-W$5)),W$7-SQRT((1-NORMSDIST(W$9*SQRT($C$11)*NORMSINV($B668)+SQRT(1-W$9^2*$C$11)*NORMSINV(V668)))*(W$7-W$5)*(W$7-W$6))))</f>
        <v>10.674415712069</v>
      </c>
      <c r="X668" s="2" t="n">
        <v>0.73649841</v>
      </c>
      <c r="Y668" s="2" t="n">
        <f aca="false">IF(Y$7=Y$5,Y$6,IF(NORMSDIST(Y$9*SQRT($C$11)*NORMSINV($B668)+SQRT(1-Y$9^2*$C$11)*NORMSINV(X668))&lt;Y$8,Y$5+SQRT(NORMSDIST(Y$9*SQRT($C$11)*NORMSINV($B668)+SQRT(1-Y$9^2*$C$11)*NORMSINV(X668))*(Y$7-Y$5)*(Y$6-Y$5)),Y$7-SQRT((1-NORMSDIST(Y$9*SQRT($C$11)*NORMSINV($B668)+SQRT(1-Y$9^2*$C$11)*NORMSINV(X668)))*(Y$7-Y$5)*(Y$7-Y$6))))</f>
        <v>0.637025076623743</v>
      </c>
      <c r="Z668" s="2" t="n">
        <v>0.159086216</v>
      </c>
      <c r="AA668" s="2" t="n">
        <f aca="false">IF(AA$7=AA$5,AA$6,IF(NORMSDIST(AA$9*SQRT($C$11)*NORMSINV($B668)+SQRT(1-AA$9^2*$C$11)*NORMSINV(Z668))&lt;AA$8,AA$5+SQRT(NORMSDIST(AA$9*SQRT($C$11)*NORMSINV($B668)+SQRT(1-AA$9^2*$C$11)*NORMSINV(Z668))*(AA$7-AA$5)*(AA$6-AA$5)),AA$7-SQRT((1-NORMSDIST(AA$9*SQRT($C$11)*NORMSINV($B668)+SQRT(1-AA$9^2*$C$11)*NORMSINV(Z668)))*(AA$7-AA$5)*(AA$7-AA$6))))</f>
        <v>0.71831120149532</v>
      </c>
      <c r="AB668" s="2" t="n">
        <v>0.597278605</v>
      </c>
      <c r="AC668" s="2" t="n">
        <f aca="false">IF(AC$7=AC$5,AC$6,IF(NORMSDIST(AC$9*SQRT($C$11)*NORMSINV($B668)+SQRT(1-AC$9^2*$C$11)*NORMSINV(AB668))&lt;AC$8,AC$5+SQRT(NORMSDIST(AC$9*SQRT($C$11)*NORMSINV($B668)+SQRT(1-AC$9^2*$C$11)*NORMSINV(AB668))*(AC$7-AC$5)*(AC$6-AC$5)),AC$7-SQRT((1-NORMSDIST(AC$9*SQRT($C$11)*NORMSINV($B668)+SQRT(1-AC$9^2*$C$11)*NORMSINV(AB668)))*(AC$7-AC$5)*(AC$7-AC$6))))</f>
        <v>9.69558198730293</v>
      </c>
      <c r="AD668" s="2" t="n">
        <f aca="false">Entrées!$C$8*(1+E668)</f>
        <v>7446.15847417899</v>
      </c>
      <c r="AE668" s="2" t="n">
        <f aca="false">I668*Hypothèses!$J$24/12/Hypothèses!$J$19</f>
        <v>98.8358312031138</v>
      </c>
      <c r="AF668" s="2" t="n">
        <f aca="false">Entrées!$C$36*S668*1000</f>
        <v>218.274650546496</v>
      </c>
      <c r="AG668" s="2" t="n">
        <f aca="false">-AF668/W668</f>
        <v>-20.4483932829883</v>
      </c>
      <c r="AH668" s="2" t="n">
        <f aca="false">AD668+AE668+AG668</f>
        <v>7524.54591209912</v>
      </c>
      <c r="AI668" s="2" t="n">
        <f aca="false">Entrées!$C$16-M668+Hypothèses!$J$22*1000-AF668+Hypothèses!$J$23</f>
        <v>22847.7771779844</v>
      </c>
      <c r="AJ668" s="2" t="n">
        <f aca="false">AI668/AH668</f>
        <v>3.03643268908045</v>
      </c>
      <c r="AK668" s="2" t="n">
        <f aca="false">AI668/(AH668+I668*(12-Hypothèses!$J$24)/12/Hypothèses!$J$19)</f>
        <v>3.00820897978641</v>
      </c>
      <c r="AL668" s="2" t="n">
        <f aca="false">(AD668+AG668+I668/Hypothèses!$J$19)*(1+G668)</f>
        <v>8008.45390791099</v>
      </c>
      <c r="AM668" s="2" t="n">
        <f aca="false">Entrées!$C$54*K668/Hypothèses!$J$19</f>
        <v>29.1958627554451</v>
      </c>
      <c r="AN668" s="2" t="n">
        <f aca="false">Y668*1000/AC668</f>
        <v>65.7026135674963</v>
      </c>
      <c r="AO668" s="2" t="n">
        <f aca="false">(Entrées!$C$36*(1-S668)+MAX(0,Entrées!$C$30-Entrées!$C$35-Entrées!$C$36)*U668)*1000</f>
        <v>968.861385694073</v>
      </c>
      <c r="AP668" s="2" t="n">
        <f aca="false">-AO668/W668</f>
        <v>-90.7648167195357</v>
      </c>
      <c r="AQ668" s="2" t="n">
        <f aca="false">AL668+AM668+AN668+AP668</f>
        <v>8012.58756751439</v>
      </c>
      <c r="AR668" s="2" t="n">
        <f aca="false">O668*AQ668-Hypothèses!$J$25/Hypothèses!$J$19</f>
        <v>1344.35872827583</v>
      </c>
      <c r="AS668" s="2" t="n">
        <f aca="false">Entrées!$C$79*(1+Q668)+Hypothèses!$J$20</f>
        <v>1481.63081248843</v>
      </c>
      <c r="AT668" s="2" t="n">
        <f aca="false">AI668-AR668+AS668+Y668*1000-AO668+Hypothèses!$J$23</f>
        <v>22653.2129531267</v>
      </c>
      <c r="AU668" s="2" t="n">
        <f aca="false">AT668/AQ668</f>
        <v>2.8272031677969</v>
      </c>
      <c r="AV668" s="2" t="n">
        <f aca="false">Hypothèses!$J$26*AQ668-AT668</f>
        <v>1384.54974941646</v>
      </c>
      <c r="AW668" s="2" t="n">
        <f aca="false">IF(AC668&gt;Hypothèses!$J$26,MAX(0,AV668)/(1-Hypothèses!$J$26/AC668),0)</f>
        <v>2004.90646465438</v>
      </c>
      <c r="AX668" s="2" t="n">
        <f aca="false">AQ668-Entrées!$C$17*1000</f>
        <v>12.5875675143943</v>
      </c>
      <c r="AY668" s="2" t="n">
        <f aca="false">AI668+(Entrées!$C$244-Entrées!$C$13)</f>
        <v>28594.7771779844</v>
      </c>
      <c r="AZ668" s="2" t="n">
        <f aca="false">AA668*AH668</f>
        <v>5404.96561482662</v>
      </c>
      <c r="BA668" s="2" t="n">
        <f aca="false">AZ668/AY668</f>
        <v>0.189019329690318</v>
      </c>
      <c r="BB668" s="2" t="n">
        <f aca="false">AZ668/(Entrées!$C$151/100)-AY668</f>
        <v>1432.8095710523</v>
      </c>
      <c r="BC668" s="2" t="n">
        <f aca="false">AT668+(Entrées!$C$244-Entrées!$C$13)</f>
        <v>28400.2129531267</v>
      </c>
      <c r="BD668" s="2" t="n">
        <f aca="false">AA668*AQ668</f>
        <v>5755.53140270773</v>
      </c>
      <c r="BE668" s="2" t="n">
        <f aca="false">BD668/BC668</f>
        <v>0.202658036832575</v>
      </c>
      <c r="BF668" s="2" t="n">
        <f aca="false">BD668/(Entrées!$C$151/100)-BC668</f>
        <v>3574.96150636065</v>
      </c>
      <c r="BG668" s="2" t="n">
        <f aca="false">MIN(AV668,BF668)</f>
        <v>1384.54974941646</v>
      </c>
      <c r="BH668" s="2" t="n">
        <f aca="false">IF(AC668&gt;Hypothèses!$J$26,MAX(0,BG668)/(1-Hypothèses!$J$26/AC668),0)</f>
        <v>2004.90646465438</v>
      </c>
    </row>
    <row r="669" customFormat="false" ht="15" hidden="false" customHeight="false" outlineLevel="0" collapsed="false">
      <c r="A669" s="2" t="n">
        <v>654</v>
      </c>
      <c r="B669" s="2" t="n">
        <v>0.637050628</v>
      </c>
      <c r="C669" s="2"/>
      <c r="D669" s="2" t="n">
        <v>0.112850724</v>
      </c>
      <c r="E669" s="2" t="n">
        <f aca="false">IF(E$7=E$5,E$6,IF(NORMSDIST(E$9*SQRT($C$11)*NORMSINV($B669)+SQRT(1-E$9^2*$C$11)*NORMSINV(D669))&lt;E$8,E$5+SQRT(NORMSDIST(E$9*SQRT($C$11)*NORMSINV($B669)+SQRT(1-E$9^2*$C$11)*NORMSINV(D669))*(E$7-E$5)*(E$6-E$5)),E$7-SQRT((1-NORMSDIST(E$9*SQRT($C$11)*NORMSINV($B669)+SQRT(1-E$9^2*$C$11)*NORMSINV(D669)))*(E$7-E$5)*(E$7-E$6))))</f>
        <v>0.0534407854498928</v>
      </c>
      <c r="F669" s="2" t="n">
        <v>0.123403656</v>
      </c>
      <c r="G669" s="2" t="n">
        <f aca="false">IF(G$7=G$5,G$6,IF(NORMSDIST(G$9*SQRT($C$11)*NORMSINV($B669)+SQRT(1-G$9^2*$C$11)*NORMSINV(F669))&lt;G$8,G$5+SQRT(NORMSDIST(G$9*SQRT($C$11)*NORMSINV($B669)+SQRT(1-G$9^2*$C$11)*NORMSINV(F669))*(G$7-G$5)*(G$6-G$5)),G$7-SQRT((1-NORMSDIST(G$9*SQRT($C$11)*NORMSINV($B669)+SQRT(1-G$9^2*$C$11)*NORMSINV(F669)))*(G$7-G$5)*(G$7-G$6))))</f>
        <v>0.0506007328312776</v>
      </c>
      <c r="H669" s="2" t="n">
        <v>0.951003915</v>
      </c>
      <c r="I669" s="2" t="n">
        <f aca="false">IF(I$7=I$5,I$6,IF(NORMSDIST(I$9*SQRT($C$11)*NORMSINV($B669)+SQRT(1-I$9^2*$C$11)*NORMSINV(H669))&lt;I$8,I$5+SQRT(NORMSDIST(I$9*SQRT($C$11)*NORMSINV($B669)+SQRT(1-I$9^2*$C$11)*NORMSINV(H669))*(I$7-I$5)*(I$6-I$5)),I$7-SQRT((1-NORMSDIST(I$9*SQRT($C$11)*NORMSINV($B669)+SQRT(1-I$9^2*$C$11)*NORMSINV(H669)))*(I$7-I$5)*(I$7-I$6))))</f>
        <v>212.713619432974</v>
      </c>
      <c r="J669" s="2" t="n">
        <v>0.777434382</v>
      </c>
      <c r="K669" s="2" t="n">
        <f aca="false">IF(K$7=K$5,K$6,IF(NORMSDIST(K$9*SQRT($C$11)*NORMSINV($B669)+SQRT(1-K$9^2*$C$11)*NORMSINV(J669))&lt;K$8,K$5+SQRT(NORMSDIST(K$9*SQRT($C$11)*NORMSINV($B669)+SQRT(1-K$9^2*$C$11)*NORMSINV(J669))*(K$7-K$5)*(K$6-K$5)),K$7-SQRT((1-NORMSDIST(K$9*SQRT($C$11)*NORMSINV($B669)+SQRT(1-K$9^2*$C$11)*NORMSINV(J669)))*(K$7-K$5)*(K$7-K$6))))</f>
        <v>0.338732475075524</v>
      </c>
      <c r="L669" s="2" t="n">
        <v>0.169243522</v>
      </c>
      <c r="M669" s="2" t="n">
        <f aca="false">IF(M$7=M$5,M$6,IF(NORMSDIST(M$9*SQRT($C$11)*NORMSINV($B669)+SQRT(1-M$9^2*$C$11)*NORMSINV(L669))&lt;M$8,M$5+SQRT(NORMSDIST(M$9*SQRT($C$11)*NORMSINV($B669)+SQRT(1-M$9^2*$C$11)*NORMSINV(L669))*(M$7-M$5)*(M$6-M$5)),M$7-SQRT((1-NORMSDIST(M$9*SQRT($C$11)*NORMSINV($B669)+SQRT(1-M$9^2*$C$11)*NORMSINV(L669)))*(M$7-M$5)*(M$7-M$6))))</f>
        <v>1522.35081492664</v>
      </c>
      <c r="N669" s="2" t="n">
        <v>0.572245433</v>
      </c>
      <c r="O669" s="2" t="n">
        <f aca="false">IF(O$7=O$5,O$6,IF(NORMSDIST(O$9*SQRT($C$11)*NORMSINV($B669)+SQRT(1-O$9^2*$C$11)*NORMSINV(N669))&lt;O$8,O$5+SQRT(NORMSDIST(O$9*SQRT($C$11)*NORMSINV($B669)+SQRT(1-O$9^2*$C$11)*NORMSINV(N669))*(O$7-O$5)*(O$6-O$5)),O$7-SQRT((1-NORMSDIST(O$9*SQRT($C$11)*NORMSINV($B669)+SQRT(1-O$9^2*$C$11)*NORMSINV(N669)))*(O$7-O$5)*(O$7-O$6))))</f>
        <v>0.170461704943482</v>
      </c>
      <c r="P669" s="2" t="n">
        <v>0.983176001</v>
      </c>
      <c r="Q669" s="2" t="n">
        <f aca="false">IF(Q$7=Q$5,Q$6,IF(NORMSDIST(Q$9*SQRT($C$11)*NORMSINV($B669)+SQRT(1-Q$9^2*$C$11)*NORMSINV(P669))&lt;Q$8,Q$5+SQRT(NORMSDIST(Q$9*SQRT($C$11)*NORMSINV($B669)+SQRT(1-Q$9^2*$C$11)*NORMSINV(P669))*(Q$7-Q$5)*(Q$6-Q$5)),Q$7-SQRT((1-NORMSDIST(Q$9*SQRT($C$11)*NORMSINV($B669)+SQRT(1-Q$9^2*$C$11)*NORMSINV(P669)))*(Q$7-Q$5)*(Q$7-Q$6))))</f>
        <v>0.112662643745871</v>
      </c>
      <c r="R669" s="2" t="n">
        <v>0.293642503</v>
      </c>
      <c r="S669" s="2" t="n">
        <f aca="false">IF(S$7=S$5,S$6,IF(NORMSDIST(S$9*SQRT($C$11)*NORMSINV($B669)+SQRT(1-S$9^2*$C$11)*NORMSINV(R669))&lt;S$8,S$5+SQRT(NORMSDIST(S$9*SQRT($C$11)*NORMSINV($B669)+SQRT(1-S$9^2*$C$11)*NORMSINV(R669))*(S$7-S$5)*(S$6-S$5)),S$7-SQRT((1-NORMSDIST(S$9*SQRT($C$11)*NORMSINV($B669)+SQRT(1-S$9^2*$C$11)*NORMSINV(R669)))*(S$7-S$5)*(S$7-S$6))))</f>
        <v>0.458938045751677</v>
      </c>
      <c r="T669" s="2" t="n">
        <v>0.455392173</v>
      </c>
      <c r="U669" s="2" t="n">
        <f aca="false">IF(U$7=U$5,U$6,IF(NORMSDIST(U$9*SQRT($C$11)*NORMSINV($B669)+SQRT(1-U$9^2*$C$11)*NORMSINV(T669))&lt;U$8,U$5+SQRT(NORMSDIST(U$9*SQRT($C$11)*NORMSINV($B669)+SQRT(1-U$9^2*$C$11)*NORMSINV(T669))*(U$7-U$5)*(U$6-U$5)),U$7-SQRT((1-NORMSDIST(U$9*SQRT($C$11)*NORMSINV($B669)+SQRT(1-U$9^2*$C$11)*NORMSINV(T669)))*(U$7-U$5)*(U$7-U$6))))</f>
        <v>0.527596177495937</v>
      </c>
      <c r="V669" s="2" t="n">
        <v>0.30821088</v>
      </c>
      <c r="W669" s="2" t="n">
        <f aca="false">IF(W$7=W$5,W$6,IF(NORMSDIST(W$9*SQRT($C$11)*NORMSINV($B669)+SQRT(1-W$9^2*$C$11)*NORMSINV(V669))&lt;W$8,W$5+SQRT(NORMSDIST(W$9*SQRT($C$11)*NORMSINV($B669)+SQRT(1-W$9^2*$C$11)*NORMSINV(V669))*(W$7-W$5)*(W$6-W$5)),W$7-SQRT((1-NORMSDIST(W$9*SQRT($C$11)*NORMSINV($B669)+SQRT(1-W$9^2*$C$11)*NORMSINV(V669)))*(W$7-W$5)*(W$7-W$6))))</f>
        <v>9.86325642494349</v>
      </c>
      <c r="X669" s="2" t="n">
        <v>0.142166685</v>
      </c>
      <c r="Y669" s="2" t="n">
        <f aca="false">IF(Y$7=Y$5,Y$6,IF(NORMSDIST(Y$9*SQRT($C$11)*NORMSINV($B669)+SQRT(1-Y$9^2*$C$11)*NORMSINV(X669))&lt;Y$8,Y$5+SQRT(NORMSDIST(Y$9*SQRT($C$11)*NORMSINV($B669)+SQRT(1-Y$9^2*$C$11)*NORMSINV(X669))*(Y$7-Y$5)*(Y$6-Y$5)),Y$7-SQRT((1-NORMSDIST(Y$9*SQRT($C$11)*NORMSINV($B669)+SQRT(1-Y$9^2*$C$11)*NORMSINV(X669)))*(Y$7-Y$5)*(Y$7-Y$6))))</f>
        <v>0.266614595436934</v>
      </c>
      <c r="Z669" s="2" t="n">
        <v>0.020985136</v>
      </c>
      <c r="AA669" s="2" t="n">
        <f aca="false">IF(AA$7=AA$5,AA$6,IF(NORMSDIST(AA$9*SQRT($C$11)*NORMSINV($B669)+SQRT(1-AA$9^2*$C$11)*NORMSINV(Z669))&lt;AA$8,AA$5+SQRT(NORMSDIST(AA$9*SQRT($C$11)*NORMSINV($B669)+SQRT(1-AA$9^2*$C$11)*NORMSINV(Z669))*(AA$7-AA$5)*(AA$6-AA$5)),AA$7-SQRT((1-NORMSDIST(AA$9*SQRT($C$11)*NORMSINV($B669)+SQRT(1-AA$9^2*$C$11)*NORMSINV(Z669)))*(AA$7-AA$5)*(AA$7-AA$6))))</f>
        <v>0.709045087305744</v>
      </c>
      <c r="AB669" s="2" t="n">
        <v>0.387197809</v>
      </c>
      <c r="AC669" s="2" t="n">
        <f aca="false">IF(AC$7=AC$5,AC$6,IF(NORMSDIST(AC$9*SQRT($C$11)*NORMSINV($B669)+SQRT(1-AC$9^2*$C$11)*NORMSINV(AB669))&lt;AC$8,AC$5+SQRT(NORMSDIST(AC$9*SQRT($C$11)*NORMSINV($B669)+SQRT(1-AC$9^2*$C$11)*NORMSINV(AB669))*(AC$7-AC$5)*(AC$6-AC$5)),AC$7-SQRT((1-NORMSDIST(AC$9*SQRT($C$11)*NORMSINV($B669)+SQRT(1-AC$9^2*$C$11)*NORMSINV(AB669)))*(AC$7-AC$5)*(AC$7-AC$6))))</f>
        <v>9.47821847726473</v>
      </c>
      <c r="AD669" s="2" t="n">
        <f aca="false">Entrées!$C$8*(1+E669)</f>
        <v>7426.75753742175</v>
      </c>
      <c r="AE669" s="2" t="n">
        <f aca="false">I669*Hypothèses!$J$24/12/Hypothèses!$J$19</f>
        <v>105.526545784274</v>
      </c>
      <c r="AF669" s="2" t="n">
        <f aca="false">Entrées!$C$36*S669*1000</f>
        <v>229.469022875838</v>
      </c>
      <c r="AG669" s="2" t="n">
        <f aca="false">-AF669/W669</f>
        <v>-23.2650367170347</v>
      </c>
      <c r="AH669" s="2" t="n">
        <f aca="false">AD669+AE669+AG669</f>
        <v>7509.01904648898</v>
      </c>
      <c r="AI669" s="2" t="n">
        <f aca="false">Entrées!$C$16-M669+Hypothèses!$J$22*1000-AF669+Hypothèses!$J$23</f>
        <v>22796.1801621975</v>
      </c>
      <c r="AJ669" s="2" t="n">
        <f aca="false">AI669/AH669</f>
        <v>3.0358399707158</v>
      </c>
      <c r="AK669" s="2" t="n">
        <f aca="false">AI669/(AH669+I669*(12-Hypothèses!$J$24)/12/Hypothèses!$J$19)</f>
        <v>3.00566883838221</v>
      </c>
      <c r="AL669" s="2" t="n">
        <f aca="false">(AD669+AG669+I669/Hypothèses!$J$19)*(1+G669)</f>
        <v>7968.171103324</v>
      </c>
      <c r="AM669" s="2" t="n">
        <f aca="false">Entrées!$C$54*K669/Hypothèses!$J$19</f>
        <v>34.5690713272124</v>
      </c>
      <c r="AN669" s="2" t="n">
        <f aca="false">Y669*1000/AC669</f>
        <v>28.1291886314352</v>
      </c>
      <c r="AO669" s="2" t="n">
        <f aca="false">(Entrées!$C$36*(1-S669)+MAX(0,Entrées!$C$30-Entrées!$C$35-Entrées!$C$36)*U669)*1000</f>
        <v>1009.16562561847</v>
      </c>
      <c r="AP669" s="2" t="n">
        <f aca="false">-AO669/W669</f>
        <v>-102.315663523293</v>
      </c>
      <c r="AQ669" s="2" t="n">
        <f aca="false">AL669+AM669+AN669+AP669</f>
        <v>7928.55369975935</v>
      </c>
      <c r="AR669" s="2" t="n">
        <f aca="false">O669*AQ669-Hypothèses!$J$25/Hypothèses!$J$19</f>
        <v>1332.3796191353</v>
      </c>
      <c r="AS669" s="2" t="n">
        <f aca="false">Entrées!$C$79*(1+Q669)+Hypothèses!$J$20</f>
        <v>1517.81624547671</v>
      </c>
      <c r="AT669" s="2" t="n">
        <f aca="false">AI669-AR669+AS669+Y669*1000-AO669+Hypothèses!$J$23</f>
        <v>22239.0657583574</v>
      </c>
      <c r="AU669" s="2" t="n">
        <f aca="false">AT669/AQ669</f>
        <v>2.80493348478328</v>
      </c>
      <c r="AV669" s="2" t="n">
        <f aca="false">Hypothèses!$J$26*AQ669-AT669</f>
        <v>1546.59534092067</v>
      </c>
      <c r="AW669" s="2" t="n">
        <f aca="false">IF(AC669&gt;Hypothèses!$J$26,MAX(0,AV669)/(1-Hypothèses!$J$26/AC669),0)</f>
        <v>2262.80860835605</v>
      </c>
      <c r="AX669" s="2" t="n">
        <f aca="false">AQ669-Entrées!$C$17*1000</f>
        <v>-71.4463002406455</v>
      </c>
      <c r="AY669" s="2" t="n">
        <f aca="false">AI669+(Entrées!$C$244-Entrées!$C$13)</f>
        <v>28543.1801621975</v>
      </c>
      <c r="AZ669" s="2" t="n">
        <f aca="false">AA669*AH669</f>
        <v>5324.23306539828</v>
      </c>
      <c r="BA669" s="2" t="n">
        <f aca="false">AZ669/AY669</f>
        <v>0.186532580992838</v>
      </c>
      <c r="BB669" s="2" t="n">
        <f aca="false">AZ669/(Entrées!$C$151/100)-AY669</f>
        <v>1035.89242334846</v>
      </c>
      <c r="BC669" s="2" t="n">
        <f aca="false">AT669+(Entrées!$C$244-Entrées!$C$13)</f>
        <v>27986.0657583574</v>
      </c>
      <c r="BD669" s="2" t="n">
        <f aca="false">AA669*AQ669</f>
        <v>5621.70205025415</v>
      </c>
      <c r="BE669" s="2" t="n">
        <f aca="false">BD669/BC669</f>
        <v>0.200875038985262</v>
      </c>
      <c r="BF669" s="2" t="n">
        <f aca="false">BD669/(Entrées!$C$151/100)-BC669</f>
        <v>3245.61229861011</v>
      </c>
      <c r="BG669" s="2" t="n">
        <f aca="false">MIN(AV669,BF669)</f>
        <v>1546.59534092067</v>
      </c>
      <c r="BH669" s="2" t="n">
        <f aca="false">IF(AC669&gt;Hypothèses!$J$26,MAX(0,BG669)/(1-Hypothèses!$J$26/AC669),0)</f>
        <v>2262.80860835605</v>
      </c>
    </row>
    <row r="670" customFormat="false" ht="15" hidden="false" customHeight="false" outlineLevel="0" collapsed="false">
      <c r="A670" s="2" t="n">
        <v>655</v>
      </c>
      <c r="B670" s="2" t="n">
        <v>0.850965695</v>
      </c>
      <c r="C670" s="2"/>
      <c r="D670" s="2" t="n">
        <v>0.331438363</v>
      </c>
      <c r="E670" s="2" t="n">
        <f aca="false">IF(E$7=E$5,E$6,IF(NORMSDIST(E$9*SQRT($C$11)*NORMSINV($B670)+SQRT(1-E$9^2*$C$11)*NORMSINV(D670))&lt;E$8,E$5+SQRT(NORMSDIST(E$9*SQRT($C$11)*NORMSINV($B670)+SQRT(1-E$9^2*$C$11)*NORMSINV(D670))*(E$7-E$5)*(E$6-E$5)),E$7-SQRT((1-NORMSDIST(E$9*SQRT($C$11)*NORMSINV($B670)+SQRT(1-E$9^2*$C$11)*NORMSINV(D670)))*(E$7-E$5)*(E$7-E$6))))</f>
        <v>0.0556738195329322</v>
      </c>
      <c r="F670" s="2" t="n">
        <v>0.60570645</v>
      </c>
      <c r="G670" s="2" t="n">
        <f aca="false">IF(G$7=G$5,G$6,IF(NORMSDIST(G$9*SQRT($C$11)*NORMSINV($B670)+SQRT(1-G$9^2*$C$11)*NORMSINV(F670))&lt;G$8,G$5+SQRT(NORMSDIST(G$9*SQRT($C$11)*NORMSINV($B670)+SQRT(1-G$9^2*$C$11)*NORMSINV(F670))*(G$7-G$5)*(G$6-G$5)),G$7-SQRT((1-NORMSDIST(G$9*SQRT($C$11)*NORMSINV($B670)+SQRT(1-G$9^2*$C$11)*NORMSINV(F670)))*(G$7-G$5)*(G$7-G$6))))</f>
        <v>0.0606736122123351</v>
      </c>
      <c r="H670" s="2" t="n">
        <v>0.262791603</v>
      </c>
      <c r="I670" s="2" t="n">
        <f aca="false">IF(I$7=I$5,I$6,IF(NORMSDIST(I$9*SQRT($C$11)*NORMSINV($B670)+SQRT(1-I$9^2*$C$11)*NORMSINV(H670))&lt;I$8,I$5+SQRT(NORMSDIST(I$9*SQRT($C$11)*NORMSINV($B670)+SQRT(1-I$9^2*$C$11)*NORMSINV(H670))*(I$7-I$5)*(I$6-I$5)),I$7-SQRT((1-NORMSDIST(I$9*SQRT($C$11)*NORMSINV($B670)+SQRT(1-I$9^2*$C$11)*NORMSINV(H670)))*(I$7-I$5)*(I$7-I$6))))</f>
        <v>201.36871255975</v>
      </c>
      <c r="J670" s="2" t="n">
        <v>0.449382194</v>
      </c>
      <c r="K670" s="2" t="n">
        <f aca="false">IF(K$7=K$5,K$6,IF(NORMSDIST(K$9*SQRT($C$11)*NORMSINV($B670)+SQRT(1-K$9^2*$C$11)*NORMSINV(J670))&lt;K$8,K$5+SQRT(NORMSDIST(K$9*SQRT($C$11)*NORMSINV($B670)+SQRT(1-K$9^2*$C$11)*NORMSINV(J670))*(K$7-K$5)*(K$6-K$5)),K$7-SQRT((1-NORMSDIST(K$9*SQRT($C$11)*NORMSINV($B670)+SQRT(1-K$9^2*$C$11)*NORMSINV(J670)))*(K$7-K$5)*(K$7-K$6))))</f>
        <v>0.310301571312973</v>
      </c>
      <c r="L670" s="2" t="n">
        <v>0.265013644</v>
      </c>
      <c r="M670" s="2" t="n">
        <f aca="false">IF(M$7=M$5,M$6,IF(NORMSDIST(M$9*SQRT($C$11)*NORMSINV($B670)+SQRT(1-M$9^2*$C$11)*NORMSINV(L670))&lt;M$8,M$5+SQRT(NORMSDIST(M$9*SQRT($C$11)*NORMSINV($B670)+SQRT(1-M$9^2*$C$11)*NORMSINV(L670))*(M$7-M$5)*(M$6-M$5)),M$7-SQRT((1-NORMSDIST(M$9*SQRT($C$11)*NORMSINV($B670)+SQRT(1-M$9^2*$C$11)*NORMSINV(L670)))*(M$7-M$5)*(M$7-M$6))))</f>
        <v>1603.96958257194</v>
      </c>
      <c r="N670" s="2" t="n">
        <v>0.888572842</v>
      </c>
      <c r="O670" s="2" t="n">
        <f aca="false">IF(O$7=O$5,O$6,IF(NORMSDIST(O$9*SQRT($C$11)*NORMSINV($B670)+SQRT(1-O$9^2*$C$11)*NORMSINV(N670))&lt;O$8,O$5+SQRT(NORMSDIST(O$9*SQRT($C$11)*NORMSINV($B670)+SQRT(1-O$9^2*$C$11)*NORMSINV(N670))*(O$7-O$5)*(O$6-O$5)),O$7-SQRT((1-NORMSDIST(O$9*SQRT($C$11)*NORMSINV($B670)+SQRT(1-O$9^2*$C$11)*NORMSINV(N670)))*(O$7-O$5)*(O$7-O$6))))</f>
        <v>0.182377943917196</v>
      </c>
      <c r="P670" s="2" t="n">
        <v>0.789610096</v>
      </c>
      <c r="Q670" s="2" t="n">
        <f aca="false">IF(Q$7=Q$5,Q$6,IF(NORMSDIST(Q$9*SQRT($C$11)*NORMSINV($B670)+SQRT(1-Q$9^2*$C$11)*NORMSINV(P670))&lt;Q$8,Q$5+SQRT(NORMSDIST(Q$9*SQRT($C$11)*NORMSINV($B670)+SQRT(1-Q$9^2*$C$11)*NORMSINV(P670))*(Q$7-Q$5)*(Q$6-Q$5)),Q$7-SQRT((1-NORMSDIST(Q$9*SQRT($C$11)*NORMSINV($B670)+SQRT(1-Q$9^2*$C$11)*NORMSINV(P670)))*(Q$7-Q$5)*(Q$7-Q$6))))</f>
        <v>0.094052982969135</v>
      </c>
      <c r="R670" s="2" t="n">
        <v>0.561989933</v>
      </c>
      <c r="S670" s="2" t="n">
        <f aca="false">IF(S$7=S$5,S$6,IF(NORMSDIST(S$9*SQRT($C$11)*NORMSINV($B670)+SQRT(1-S$9^2*$C$11)*NORMSINV(R670))&lt;S$8,S$5+SQRT(NORMSDIST(S$9*SQRT($C$11)*NORMSINV($B670)+SQRT(1-S$9^2*$C$11)*NORMSINV(R670))*(S$7-S$5)*(S$6-S$5)),S$7-SQRT((1-NORMSDIST(S$9*SQRT($C$11)*NORMSINV($B670)+SQRT(1-S$9^2*$C$11)*NORMSINV(R670)))*(S$7-S$5)*(S$7-S$6))))</f>
        <v>0.66985016026193</v>
      </c>
      <c r="T670" s="2" t="n">
        <v>0.838682252</v>
      </c>
      <c r="U670" s="2" t="n">
        <f aca="false">IF(U$7=U$5,U$6,IF(NORMSDIST(U$9*SQRT($C$11)*NORMSINV($B670)+SQRT(1-U$9^2*$C$11)*NORMSINV(T670))&lt;U$8,U$5+SQRT(NORMSDIST(U$9*SQRT($C$11)*NORMSINV($B670)+SQRT(1-U$9^2*$C$11)*NORMSINV(T670))*(U$7-U$5)*(U$6-U$5)),U$7-SQRT((1-NORMSDIST(U$9*SQRT($C$11)*NORMSINV($B670)+SQRT(1-U$9^2*$C$11)*NORMSINV(T670)))*(U$7-U$5)*(U$7-U$6))))</f>
        <v>0.803546362615227</v>
      </c>
      <c r="V670" s="2" t="n">
        <v>0.148424097</v>
      </c>
      <c r="W670" s="2" t="n">
        <f aca="false">IF(W$7=W$5,W$6,IF(NORMSDIST(W$9*SQRT($C$11)*NORMSINV($B670)+SQRT(1-W$9^2*$C$11)*NORMSINV(V670))&lt;W$8,W$5+SQRT(NORMSDIST(W$9*SQRT($C$11)*NORMSINV($B670)+SQRT(1-W$9^2*$C$11)*NORMSINV(V670))*(W$7-W$5)*(W$6-W$5)),W$7-SQRT((1-NORMSDIST(W$9*SQRT($C$11)*NORMSINV($B670)+SQRT(1-W$9^2*$C$11)*NORMSINV(V670)))*(W$7-W$5)*(W$7-W$6))))</f>
        <v>9.87702443497223</v>
      </c>
      <c r="X670" s="2" t="n">
        <v>0.401085873</v>
      </c>
      <c r="Y670" s="2" t="n">
        <f aca="false">IF(Y$7=Y$5,Y$6,IF(NORMSDIST(Y$9*SQRT($C$11)*NORMSINV($B670)+SQRT(1-Y$9^2*$C$11)*NORMSINV(X670))&lt;Y$8,Y$5+SQRT(NORMSDIST(Y$9*SQRT($C$11)*NORMSINV($B670)+SQRT(1-Y$9^2*$C$11)*NORMSINV(X670))*(Y$7-Y$5)*(Y$6-Y$5)),Y$7-SQRT((1-NORMSDIST(Y$9*SQRT($C$11)*NORMSINV($B670)+SQRT(1-Y$9^2*$C$11)*NORMSINV(X670)))*(Y$7-Y$5)*(Y$7-Y$6))))</f>
        <v>0.44782020555129</v>
      </c>
      <c r="Z670" s="2" t="n">
        <v>0.823973661</v>
      </c>
      <c r="AA670" s="2" t="n">
        <f aca="false">IF(AA$7=AA$5,AA$6,IF(NORMSDIST(AA$9*SQRT($C$11)*NORMSINV($B670)+SQRT(1-AA$9^2*$C$11)*NORMSINV(Z670))&lt;AA$8,AA$5+SQRT(NORMSDIST(AA$9*SQRT($C$11)*NORMSINV($B670)+SQRT(1-AA$9^2*$C$11)*NORMSINV(Z670))*(AA$7-AA$5)*(AA$6-AA$5)),AA$7-SQRT((1-NORMSDIST(AA$9*SQRT($C$11)*NORMSINV($B670)+SQRT(1-AA$9^2*$C$11)*NORMSINV(Z670)))*(AA$7-AA$5)*(AA$7-AA$6))))</f>
        <v>0.743483192911511</v>
      </c>
      <c r="AB670" s="2" t="n">
        <v>0.882880447</v>
      </c>
      <c r="AC670" s="2" t="n">
        <f aca="false">IF(AC$7=AC$5,AC$6,IF(NORMSDIST(AC$9*SQRT($C$11)*NORMSINV($B670)+SQRT(1-AC$9^2*$C$11)*NORMSINV(AB670))&lt;AC$8,AC$5+SQRT(NORMSDIST(AC$9*SQRT($C$11)*NORMSINV($B670)+SQRT(1-AC$9^2*$C$11)*NORMSINV(AB670))*(AC$7-AC$5)*(AC$6-AC$5)),AC$7-SQRT((1-NORMSDIST(AC$9*SQRT($C$11)*NORMSINV($B670)+SQRT(1-AC$9^2*$C$11)*NORMSINV(AB670)))*(AC$7-AC$5)*(AC$7-AC$6))))</f>
        <v>10.5032993220165</v>
      </c>
      <c r="AD670" s="2" t="n">
        <f aca="false">Entrées!$C$8*(1+E670)</f>
        <v>7442.50042770717</v>
      </c>
      <c r="AE670" s="2" t="n">
        <f aca="false">I670*Hypothèses!$J$24/12/Hypothèses!$J$19</f>
        <v>99.8983737952545</v>
      </c>
      <c r="AF670" s="2" t="n">
        <f aca="false">Entrées!$C$36*S670*1000</f>
        <v>334.925080130965</v>
      </c>
      <c r="AG670" s="2" t="n">
        <f aca="false">-AF670/W670</f>
        <v>-33.9095121548018</v>
      </c>
      <c r="AH670" s="2" t="n">
        <f aca="false">AD670+AE670+AG670</f>
        <v>7508.48928934762</v>
      </c>
      <c r="AI670" s="2" t="n">
        <f aca="false">Entrées!$C$16-M670+Hypothèses!$J$22*1000-AF670+Hypothèses!$J$23</f>
        <v>22609.1053372971</v>
      </c>
      <c r="AJ670" s="2" t="n">
        <f aca="false">AI670/AH670</f>
        <v>3.01113905421333</v>
      </c>
      <c r="AK670" s="2" t="n">
        <f aca="false">AI670/(AH670+I670*(12-Hypothèses!$J$24)/12/Hypothèses!$J$19)</f>
        <v>2.98279246212345</v>
      </c>
      <c r="AL670" s="2" t="n">
        <f aca="false">(AD670+AG670+I670/Hypothèses!$J$19)*(1+G670)</f>
        <v>8039.74186320965</v>
      </c>
      <c r="AM670" s="2" t="n">
        <f aca="false">Entrées!$C$54*K670/Hypothèses!$J$19</f>
        <v>31.6675782245932</v>
      </c>
      <c r="AN670" s="2" t="n">
        <f aca="false">Y670*1000/AC670</f>
        <v>42.6361462071819</v>
      </c>
      <c r="AO670" s="2" t="n">
        <f aca="false">(Entrées!$C$36*(1-S670)+MAX(0,Entrées!$C$30-Entrées!$C$35-Entrées!$C$36)*U670)*1000</f>
        <v>1290.03982753035</v>
      </c>
      <c r="AP670" s="2" t="n">
        <f aca="false">-AO670/W670</f>
        <v>-130.610168682242</v>
      </c>
      <c r="AQ670" s="2" t="n">
        <f aca="false">AL670+AM670+AN670+AP670</f>
        <v>7983.43541895918</v>
      </c>
      <c r="AR670" s="2" t="n">
        <f aca="false">O670*AQ670-Hypothèses!$J$25/Hypothèses!$J$19</f>
        <v>1436.86737484387</v>
      </c>
      <c r="AS670" s="2" t="n">
        <f aca="false">Entrées!$C$79*(1+Q670)+Hypothèses!$J$20</f>
        <v>1497.36422828308</v>
      </c>
      <c r="AT670" s="2" t="n">
        <f aca="false">AI670-AR670+AS670+Y670*1000-AO670+Hypothèses!$J$23</f>
        <v>21827.3825687572</v>
      </c>
      <c r="AU670" s="2" t="n">
        <f aca="false">AT670/AQ670</f>
        <v>2.73408394047019</v>
      </c>
      <c r="AV670" s="2" t="n">
        <f aca="false">Hypothèses!$J$26*AQ670-AT670</f>
        <v>2122.92368812031</v>
      </c>
      <c r="AW670" s="2" t="n">
        <f aca="false">IF(AC670&gt;Hypothèses!$J$26,MAX(0,AV670)/(1-Hypothèses!$J$26/AC670),0)</f>
        <v>2971.71976982178</v>
      </c>
      <c r="AX670" s="2" t="n">
        <f aca="false">AQ670-Entrées!$C$17*1000</f>
        <v>-16.5645810408159</v>
      </c>
      <c r="AY670" s="2" t="n">
        <f aca="false">AI670+(Entrées!$C$244-Entrées!$C$13)</f>
        <v>28356.1053372971</v>
      </c>
      <c r="AZ670" s="2" t="n">
        <f aca="false">AA670*AH670</f>
        <v>5582.43559078605</v>
      </c>
      <c r="BA670" s="2" t="n">
        <f aca="false">AZ670/AY670</f>
        <v>0.196868911452498</v>
      </c>
      <c r="BB670" s="2" t="n">
        <f aca="false">AZ670/(Entrées!$C$151/100)-AY670</f>
        <v>2657.42572262542</v>
      </c>
      <c r="BC670" s="2" t="n">
        <f aca="false">AT670+(Entrées!$C$244-Entrées!$C$13)</f>
        <v>27574.3825687572</v>
      </c>
      <c r="BD670" s="2" t="n">
        <f aca="false">AA670*AQ670</f>
        <v>5935.55005569062</v>
      </c>
      <c r="BE670" s="2" t="n">
        <f aca="false">BD670/BC670</f>
        <v>0.215255955084043</v>
      </c>
      <c r="BF670" s="2" t="n">
        <f aca="false">BD670/(Entrées!$C$151/100)-BC670</f>
        <v>5400.89551841287</v>
      </c>
      <c r="BG670" s="2" t="n">
        <f aca="false">MIN(AV670,BF670)</f>
        <v>2122.92368812031</v>
      </c>
      <c r="BH670" s="2" t="n">
        <f aca="false">IF(AC670&gt;Hypothèses!$J$26,MAX(0,BG670)/(1-Hypothèses!$J$26/AC670),0)</f>
        <v>2971.71976982178</v>
      </c>
    </row>
    <row r="671" customFormat="false" ht="15" hidden="false" customHeight="false" outlineLevel="0" collapsed="false">
      <c r="A671" s="2" t="n">
        <v>656</v>
      </c>
      <c r="B671" s="2" t="n">
        <v>0.810050066</v>
      </c>
      <c r="C671" s="2"/>
      <c r="D671" s="2" t="n">
        <v>0.189842257</v>
      </c>
      <c r="E671" s="2" t="n">
        <f aca="false">IF(E$7=E$5,E$6,IF(NORMSDIST(E$9*SQRT($C$11)*NORMSINV($B671)+SQRT(1-E$9^2*$C$11)*NORMSINV(D671))&lt;E$8,E$5+SQRT(NORMSDIST(E$9*SQRT($C$11)*NORMSINV($B671)+SQRT(1-E$9^2*$C$11)*NORMSINV(D671))*(E$7-E$5)*(E$6-E$5)),E$7-SQRT((1-NORMSDIST(E$9*SQRT($C$11)*NORMSINV($B671)+SQRT(1-E$9^2*$C$11)*NORMSINV(D671)))*(E$7-E$5)*(E$7-E$6))))</f>
        <v>0.0547445480502215</v>
      </c>
      <c r="F671" s="2" t="n">
        <v>0.38669564</v>
      </c>
      <c r="G671" s="2" t="n">
        <f aca="false">IF(G$7=G$5,G$6,IF(NORMSDIST(G$9*SQRT($C$11)*NORMSINV($B671)+SQRT(1-G$9^2*$C$11)*NORMSINV(F671))&lt;G$8,G$5+SQRT(NORMSDIST(G$9*SQRT($C$11)*NORMSINV($B671)+SQRT(1-G$9^2*$C$11)*NORMSINV(F671))*(G$7-G$5)*(G$6-G$5)),G$7-SQRT((1-NORMSDIST(G$9*SQRT($C$11)*NORMSINV($B671)+SQRT(1-G$9^2*$C$11)*NORMSINV(F671)))*(G$7-G$5)*(G$7-G$6))))</f>
        <v>0.0570995074774964</v>
      </c>
      <c r="H671" s="2" t="n">
        <v>0.614005254</v>
      </c>
      <c r="I671" s="2" t="n">
        <f aca="false">IF(I$7=I$5,I$6,IF(NORMSDIST(I$9*SQRT($C$11)*NORMSINV($B671)+SQRT(1-I$9^2*$C$11)*NORMSINV(H671))&lt;I$8,I$5+SQRT(NORMSDIST(I$9*SQRT($C$11)*NORMSINV($B671)+SQRT(1-I$9^2*$C$11)*NORMSINV(H671))*(I$7-I$5)*(I$6-I$5)),I$7-SQRT((1-NORMSDIST(I$9*SQRT($C$11)*NORMSINV($B671)+SQRT(1-I$9^2*$C$11)*NORMSINV(H671)))*(I$7-I$5)*(I$7-I$6))))</f>
        <v>206.801426595462</v>
      </c>
      <c r="J671" s="2" t="n">
        <v>0.665342105</v>
      </c>
      <c r="K671" s="2" t="n">
        <f aca="false">IF(K$7=K$5,K$6,IF(NORMSDIST(K$9*SQRT($C$11)*NORMSINV($B671)+SQRT(1-K$9^2*$C$11)*NORMSINV(J671))&lt;K$8,K$5+SQRT(NORMSDIST(K$9*SQRT($C$11)*NORMSINV($B671)+SQRT(1-K$9^2*$C$11)*NORMSINV(J671))*(K$7-K$5)*(K$6-K$5)),K$7-SQRT((1-NORMSDIST(K$9*SQRT($C$11)*NORMSINV($B671)+SQRT(1-K$9^2*$C$11)*NORMSINV(J671)))*(K$7-K$5)*(K$7-K$6))))</f>
        <v>0.34679929004831</v>
      </c>
      <c r="L671" s="2" t="n">
        <v>0.892235863</v>
      </c>
      <c r="M671" s="2" t="n">
        <f aca="false">IF(M$7=M$5,M$6,IF(NORMSDIST(M$9*SQRT($C$11)*NORMSINV($B671)+SQRT(1-M$9^2*$C$11)*NORMSINV(L671))&lt;M$8,M$5+SQRT(NORMSDIST(M$9*SQRT($C$11)*NORMSINV($B671)+SQRT(1-M$9^2*$C$11)*NORMSINV(L671))*(M$7-M$5)*(M$6-M$5)),M$7-SQRT((1-NORMSDIST(M$9*SQRT($C$11)*NORMSINV($B671)+SQRT(1-M$9^2*$C$11)*NORMSINV(L671)))*(M$7-M$5)*(M$7-M$6))))</f>
        <v>1720.00657453395</v>
      </c>
      <c r="N671" s="2" t="n">
        <v>0.80109475</v>
      </c>
      <c r="O671" s="2" t="n">
        <f aca="false">IF(O$7=O$5,O$6,IF(NORMSDIST(O$9*SQRT($C$11)*NORMSINV($B671)+SQRT(1-O$9^2*$C$11)*NORMSINV(N671))&lt;O$8,O$5+SQRT(NORMSDIST(O$9*SQRT($C$11)*NORMSINV($B671)+SQRT(1-O$9^2*$C$11)*NORMSINV(N671))*(O$7-O$5)*(O$6-O$5)),O$7-SQRT((1-NORMSDIST(O$9*SQRT($C$11)*NORMSINV($B671)+SQRT(1-O$9^2*$C$11)*NORMSINV(N671)))*(O$7-O$5)*(O$7-O$6))))</f>
        <v>0.179024883466345</v>
      </c>
      <c r="P671" s="2" t="n">
        <v>0.785000698</v>
      </c>
      <c r="Q671" s="2" t="n">
        <f aca="false">IF(Q$7=Q$5,Q$6,IF(NORMSDIST(Q$9*SQRT($C$11)*NORMSINV($B671)+SQRT(1-Q$9^2*$C$11)*NORMSINV(P671))&lt;Q$8,Q$5+SQRT(NORMSDIST(Q$9*SQRT($C$11)*NORMSINV($B671)+SQRT(1-Q$9^2*$C$11)*NORMSINV(P671))*(Q$7-Q$5)*(Q$6-Q$5)),Q$7-SQRT((1-NORMSDIST(Q$9*SQRT($C$11)*NORMSINV($B671)+SQRT(1-Q$9^2*$C$11)*NORMSINV(P671)))*(Q$7-Q$5)*(Q$7-Q$6))))</f>
        <v>0.0937702884804274</v>
      </c>
      <c r="R671" s="2" t="n">
        <v>0.765480704</v>
      </c>
      <c r="S671" s="2" t="n">
        <f aca="false">IF(S$7=S$5,S$6,IF(NORMSDIST(S$9*SQRT($C$11)*NORMSINV($B671)+SQRT(1-S$9^2*$C$11)*NORMSINV(R671))&lt;S$8,S$5+SQRT(NORMSDIST(S$9*SQRT($C$11)*NORMSINV($B671)+SQRT(1-S$9^2*$C$11)*NORMSINV(R671))*(S$7-S$5)*(S$6-S$5)),S$7-SQRT((1-NORMSDIST(S$9*SQRT($C$11)*NORMSINV($B671)+SQRT(1-S$9^2*$C$11)*NORMSINV(R671)))*(S$7-S$5)*(S$7-S$6))))</f>
        <v>0.742929429022913</v>
      </c>
      <c r="T671" s="2" t="n">
        <v>0.85173809</v>
      </c>
      <c r="U671" s="2" t="n">
        <f aca="false">IF(U$7=U$5,U$6,IF(NORMSDIST(U$9*SQRT($C$11)*NORMSINV($B671)+SQRT(1-U$9^2*$C$11)*NORMSINV(T671))&lt;U$8,U$5+SQRT(NORMSDIST(U$9*SQRT($C$11)*NORMSINV($B671)+SQRT(1-U$9^2*$C$11)*NORMSINV(T671))*(U$7-U$5)*(U$6-U$5)),U$7-SQRT((1-NORMSDIST(U$9*SQRT($C$11)*NORMSINV($B671)+SQRT(1-U$9^2*$C$11)*NORMSINV(T671)))*(U$7-U$5)*(U$7-U$6))))</f>
        <v>0.792286473484608</v>
      </c>
      <c r="V671" s="2" t="n">
        <v>0.810601032</v>
      </c>
      <c r="W671" s="2" t="n">
        <f aca="false">IF(W$7=W$5,W$6,IF(NORMSDIST(W$9*SQRT($C$11)*NORMSINV($B671)+SQRT(1-W$9^2*$C$11)*NORMSINV(V671))&lt;W$8,W$5+SQRT(NORMSDIST(W$9*SQRT($C$11)*NORMSINV($B671)+SQRT(1-W$9^2*$C$11)*NORMSINV(V671))*(W$7-W$5)*(W$6-W$5)),W$7-SQRT((1-NORMSDIST(W$9*SQRT($C$11)*NORMSINV($B671)+SQRT(1-W$9^2*$C$11)*NORMSINV(V671)))*(W$7-W$5)*(W$7-W$6))))</f>
        <v>11.0703604488538</v>
      </c>
      <c r="X671" s="2" t="n">
        <v>0.874832215</v>
      </c>
      <c r="Y671" s="2" t="n">
        <f aca="false">IF(Y$7=Y$5,Y$6,IF(NORMSDIST(Y$9*SQRT($C$11)*NORMSINV($B671)+SQRT(1-Y$9^2*$C$11)*NORMSINV(X671))&lt;Y$8,Y$5+SQRT(NORMSDIST(Y$9*SQRT($C$11)*NORMSINV($B671)+SQRT(1-Y$9^2*$C$11)*NORMSINV(X671))*(Y$7-Y$5)*(Y$6-Y$5)),Y$7-SQRT((1-NORMSDIST(Y$9*SQRT($C$11)*NORMSINV($B671)+SQRT(1-Y$9^2*$C$11)*NORMSINV(X671)))*(Y$7-Y$5)*(Y$7-Y$6))))</f>
        <v>0.749832271265857</v>
      </c>
      <c r="Z671" s="2" t="n">
        <v>0.152385028</v>
      </c>
      <c r="AA671" s="2" t="n">
        <f aca="false">IF(AA$7=AA$5,AA$6,IF(NORMSDIST(AA$9*SQRT($C$11)*NORMSINV($B671)+SQRT(1-AA$9^2*$C$11)*NORMSINV(Z671))&lt;AA$8,AA$5+SQRT(NORMSDIST(AA$9*SQRT($C$11)*NORMSINV($B671)+SQRT(1-AA$9^2*$C$11)*NORMSINV(Z671))*(AA$7-AA$5)*(AA$6-AA$5)),AA$7-SQRT((1-NORMSDIST(AA$9*SQRT($C$11)*NORMSINV($B671)+SQRT(1-AA$9^2*$C$11)*NORMSINV(Z671)))*(AA$7-AA$5)*(AA$7-AA$6))))</f>
        <v>0.724789954676136</v>
      </c>
      <c r="AB671" s="2" t="n">
        <v>0.586078706</v>
      </c>
      <c r="AC671" s="2" t="n">
        <f aca="false">IF(AC$7=AC$5,AC$6,IF(NORMSDIST(AC$9*SQRT($C$11)*NORMSINV($B671)+SQRT(1-AC$9^2*$C$11)*NORMSINV(AB671))&lt;AC$8,AC$5+SQRT(NORMSDIST(AC$9*SQRT($C$11)*NORMSINV($B671)+SQRT(1-AC$9^2*$C$11)*NORMSINV(AB671))*(AC$7-AC$5)*(AC$6-AC$5)),AC$7-SQRT((1-NORMSDIST(AC$9*SQRT($C$11)*NORMSINV($B671)+SQRT(1-AC$9^2*$C$11)*NORMSINV(AB671)))*(AC$7-AC$5)*(AC$7-AC$6))))</f>
        <v>9.99329758983321</v>
      </c>
      <c r="AD671" s="2" t="n">
        <f aca="false">Entrées!$C$8*(1+E671)</f>
        <v>7435.94906375406</v>
      </c>
      <c r="AE671" s="2" t="n">
        <f aca="false">I671*Hypothèses!$J$24/12/Hypothèses!$J$19</f>
        <v>102.593525840293</v>
      </c>
      <c r="AF671" s="2" t="n">
        <f aca="false">Entrées!$C$36*S671*1000</f>
        <v>371.464714511456</v>
      </c>
      <c r="AG671" s="2" t="n">
        <f aca="false">-AF671/W671</f>
        <v>-33.5548888609058</v>
      </c>
      <c r="AH671" s="2" t="n">
        <f aca="false">AD671+AE671+AG671</f>
        <v>7504.98770073345</v>
      </c>
      <c r="AI671" s="2" t="n">
        <f aca="false">Entrées!$C$16-M671+Hypothèses!$J$22*1000-AF671+Hypothèses!$J$23</f>
        <v>22456.5287109546</v>
      </c>
      <c r="AJ671" s="2" t="n">
        <f aca="false">AI671/AH671</f>
        <v>2.99221392578164</v>
      </c>
      <c r="AK671" s="2" t="n">
        <f aca="false">AI671/(AH671+I671*(12-Hypothèses!$J$24)/12/Hypothèses!$J$19)</f>
        <v>2.96327952087844</v>
      </c>
      <c r="AL671" s="2" t="n">
        <f aca="false">(AD671+AG671+I671/Hypothèses!$J$19)*(1+G671)</f>
        <v>8010.98420609582</v>
      </c>
      <c r="AM671" s="2" t="n">
        <f aca="false">Entrées!$C$54*K671/Hypothèses!$J$19</f>
        <v>35.3923236655525</v>
      </c>
      <c r="AN671" s="2" t="n">
        <f aca="false">Y671*1000/AC671</f>
        <v>75.0335176677523</v>
      </c>
      <c r="AO671" s="2" t="n">
        <f aca="false">(Entrées!$C$36*(1-S671)+MAX(0,Entrées!$C$30-Entrées!$C$35-Entrées!$C$36)*U671)*1000</f>
        <v>1237.73634836699</v>
      </c>
      <c r="AP671" s="2" t="n">
        <f aca="false">-AO671/W671</f>
        <v>-111.806327723967</v>
      </c>
      <c r="AQ671" s="2" t="n">
        <f aca="false">AL671+AM671+AN671+AP671</f>
        <v>8009.60371970516</v>
      </c>
      <c r="AR671" s="2" t="n">
        <f aca="false">O671*AQ671-Hypothèses!$J$25/Hypothèses!$J$19</f>
        <v>1414.78321027019</v>
      </c>
      <c r="AS671" s="2" t="n">
        <f aca="false">Entrées!$C$79*(1+Q671)+Hypothèses!$J$20</f>
        <v>1497.05354703999</v>
      </c>
      <c r="AT671" s="2" t="n">
        <f aca="false">AI671-AR671+AS671+Y671*1000-AO671+Hypothèses!$J$23</f>
        <v>22050.8949706233</v>
      </c>
      <c r="AU671" s="2" t="n">
        <f aca="false">AT671/AQ671</f>
        <v>2.75305692295036</v>
      </c>
      <c r="AV671" s="2" t="n">
        <f aca="false">Hypothèses!$J$26*AQ671-AT671</f>
        <v>1977.91618849223</v>
      </c>
      <c r="AW671" s="2" t="n">
        <f aca="false">IF(AC671&gt;Hypothèses!$J$26,MAX(0,AV671)/(1-Hypothèses!$J$26/AC671),0)</f>
        <v>2826.4069740271</v>
      </c>
      <c r="AX671" s="2" t="n">
        <f aca="false">AQ671-Entrées!$C$17*1000</f>
        <v>9.60371970516007</v>
      </c>
      <c r="AY671" s="2" t="n">
        <f aca="false">AI671+(Entrées!$C$244-Entrées!$C$13)</f>
        <v>28203.5287109546</v>
      </c>
      <c r="AZ671" s="2" t="n">
        <f aca="false">AA671*AH671</f>
        <v>5439.53969545955</v>
      </c>
      <c r="BA671" s="2" t="n">
        <f aca="false">AZ671/AY671</f>
        <v>0.192867344764089</v>
      </c>
      <c r="BB671" s="2" t="n">
        <f aca="false">AZ671/(Entrées!$C$151/100)-AY671</f>
        <v>2016.13626382071</v>
      </c>
      <c r="BC671" s="2" t="n">
        <f aca="false">AT671+(Entrées!$C$244-Entrées!$C$13)</f>
        <v>27797.8949706233</v>
      </c>
      <c r="BD671" s="2" t="n">
        <f aca="false">AA671*AQ671</f>
        <v>5805.28031697891</v>
      </c>
      <c r="BE671" s="2" t="n">
        <f aca="false">BD671/BC671</f>
        <v>0.208838846362788</v>
      </c>
      <c r="BF671" s="2" t="n">
        <f aca="false">BD671/(Entrées!$C$151/100)-BC671</f>
        <v>4453.66234592626</v>
      </c>
      <c r="BG671" s="2" t="n">
        <f aca="false">MIN(AV671,BF671)</f>
        <v>1977.91618849223</v>
      </c>
      <c r="BH671" s="2" t="n">
        <f aca="false">IF(AC671&gt;Hypothèses!$J$26,MAX(0,BG671)/(1-Hypothèses!$J$26/AC671),0)</f>
        <v>2826.4069740271</v>
      </c>
    </row>
    <row r="672" customFormat="false" ht="15" hidden="false" customHeight="false" outlineLevel="0" collapsed="false">
      <c r="A672" s="2" t="n">
        <v>657</v>
      </c>
      <c r="B672" s="2" t="n">
        <v>0.205873583</v>
      </c>
      <c r="C672" s="2"/>
      <c r="D672" s="2" t="n">
        <v>0.695306612</v>
      </c>
      <c r="E672" s="2" t="n">
        <f aca="false">IF(E$7=E$5,E$6,IF(NORMSDIST(E$9*SQRT($C$11)*NORMSINV($B672)+SQRT(1-E$9^2*$C$11)*NORMSINV(D672))&lt;E$8,E$5+SQRT(NORMSDIST(E$9*SQRT($C$11)*NORMSINV($B672)+SQRT(1-E$9^2*$C$11)*NORMSINV(D672))*(E$7-E$5)*(E$6-E$5)),E$7-SQRT((1-NORMSDIST(E$9*SQRT($C$11)*NORMSINV($B672)+SQRT(1-E$9^2*$C$11)*NORMSINV(D672)))*(E$7-E$5)*(E$7-E$6))))</f>
        <v>0.05474822682544</v>
      </c>
      <c r="F672" s="2" t="n">
        <v>0.54914645</v>
      </c>
      <c r="G672" s="2" t="n">
        <f aca="false">IF(G$7=G$5,G$6,IF(NORMSDIST(G$9*SQRT($C$11)*NORMSINV($B672)+SQRT(1-G$9^2*$C$11)*NORMSINV(F672))&lt;G$8,G$5+SQRT(NORMSDIST(G$9*SQRT($C$11)*NORMSINV($B672)+SQRT(1-G$9^2*$C$11)*NORMSINV(F672))*(G$7-G$5)*(G$6-G$5)),G$7-SQRT((1-NORMSDIST(G$9*SQRT($C$11)*NORMSINV($B672)+SQRT(1-G$9^2*$C$11)*NORMSINV(F672)))*(G$7-G$5)*(G$7-G$6))))</f>
        <v>0.0522959233074928</v>
      </c>
      <c r="H672" s="2" t="n">
        <v>0.546083548</v>
      </c>
      <c r="I672" s="2" t="n">
        <f aca="false">IF(I$7=I$5,I$6,IF(NORMSDIST(I$9*SQRT($C$11)*NORMSINV($B672)+SQRT(1-I$9^2*$C$11)*NORMSINV(H672))&lt;I$8,I$5+SQRT(NORMSDIST(I$9*SQRT($C$11)*NORMSINV($B672)+SQRT(1-I$9^2*$C$11)*NORMSINV(H672))*(I$7-I$5)*(I$6-I$5)),I$7-SQRT((1-NORMSDIST(I$9*SQRT($C$11)*NORMSINV($B672)+SQRT(1-I$9^2*$C$11)*NORMSINV(H672)))*(I$7-I$5)*(I$7-I$6))))</f>
        <v>196.341244214144</v>
      </c>
      <c r="J672" s="2" t="n">
        <v>0.044180371</v>
      </c>
      <c r="K672" s="2" t="n">
        <f aca="false">IF(K$7=K$5,K$6,IF(NORMSDIST(K$9*SQRT($C$11)*NORMSINV($B672)+SQRT(1-K$9^2*$C$11)*NORMSINV(J672))&lt;K$8,K$5+SQRT(NORMSDIST(K$9*SQRT($C$11)*NORMSINV($B672)+SQRT(1-K$9^2*$C$11)*NORMSINV(J672))*(K$7-K$5)*(K$6-K$5)),K$7-SQRT((1-NORMSDIST(K$9*SQRT($C$11)*NORMSINV($B672)+SQRT(1-K$9^2*$C$11)*NORMSINV(J672)))*(K$7-K$5)*(K$7-K$6))))</f>
        <v>0.0641754977214223</v>
      </c>
      <c r="L672" s="2" t="n">
        <v>0.134028408</v>
      </c>
      <c r="M672" s="2" t="n">
        <f aca="false">IF(M$7=M$5,M$6,IF(NORMSDIST(M$9*SQRT($C$11)*NORMSINV($B672)+SQRT(1-M$9^2*$C$11)*NORMSINV(L672))&lt;M$8,M$5+SQRT(NORMSDIST(M$9*SQRT($C$11)*NORMSINV($B672)+SQRT(1-M$9^2*$C$11)*NORMSINV(L672))*(M$7-M$5)*(M$6-M$5)),M$7-SQRT((1-NORMSDIST(M$9*SQRT($C$11)*NORMSINV($B672)+SQRT(1-M$9^2*$C$11)*NORMSINV(L672)))*(M$7-M$5)*(M$7-M$6))))</f>
        <v>1419.01972772586</v>
      </c>
      <c r="N672" s="2" t="n">
        <v>0.213456726</v>
      </c>
      <c r="O672" s="2" t="n">
        <f aca="false">IF(O$7=O$5,O$6,IF(NORMSDIST(O$9*SQRT($C$11)*NORMSINV($B672)+SQRT(1-O$9^2*$C$11)*NORMSINV(N672))&lt;O$8,O$5+SQRT(NORMSDIST(O$9*SQRT($C$11)*NORMSINV($B672)+SQRT(1-O$9^2*$C$11)*NORMSINV(N672))*(O$7-O$5)*(O$6-O$5)),O$7-SQRT((1-NORMSDIST(O$9*SQRT($C$11)*NORMSINV($B672)+SQRT(1-O$9^2*$C$11)*NORMSINV(N672)))*(O$7-O$5)*(O$7-O$6))))</f>
        <v>0.153567040990713</v>
      </c>
      <c r="P672" s="2" t="n">
        <v>0.366253559</v>
      </c>
      <c r="Q672" s="2" t="n">
        <f aca="false">IF(Q$7=Q$5,Q$6,IF(NORMSDIST(Q$9*SQRT($C$11)*NORMSINV($B672)+SQRT(1-Q$9^2*$C$11)*NORMSINV(P672))&lt;Q$8,Q$5+SQRT(NORMSDIST(Q$9*SQRT($C$11)*NORMSINV($B672)+SQRT(1-Q$9^2*$C$11)*NORMSINV(P672))*(Q$7-Q$5)*(Q$6-Q$5)),Q$7-SQRT((1-NORMSDIST(Q$9*SQRT($C$11)*NORMSINV($B672)+SQRT(1-Q$9^2*$C$11)*NORMSINV(P672)))*(Q$7-Q$5)*(Q$7-Q$6))))</f>
        <v>0.0742346518720433</v>
      </c>
      <c r="R672" s="2" t="n">
        <v>0.046504481</v>
      </c>
      <c r="S672" s="2" t="n">
        <f aca="false">IF(S$7=S$5,S$6,IF(NORMSDIST(S$9*SQRT($C$11)*NORMSINV($B672)+SQRT(1-S$9^2*$C$11)*NORMSINV(R672))&lt;S$8,S$5+SQRT(NORMSDIST(S$9*SQRT($C$11)*NORMSINV($B672)+SQRT(1-S$9^2*$C$11)*NORMSINV(R672))*(S$7-S$5)*(S$6-S$5)),S$7-SQRT((1-NORMSDIST(S$9*SQRT($C$11)*NORMSINV($B672)+SQRT(1-S$9^2*$C$11)*NORMSINV(R672)))*(S$7-S$5)*(S$7-S$6))))</f>
        <v>0.131073280284679</v>
      </c>
      <c r="T672" s="2" t="n">
        <v>0.049803854</v>
      </c>
      <c r="U672" s="2" t="n">
        <f aca="false">IF(U$7=U$5,U$6,IF(NORMSDIST(U$9*SQRT($C$11)*NORMSINV($B672)+SQRT(1-U$9^2*$C$11)*NORMSINV(T672))&lt;U$8,U$5+SQRT(NORMSDIST(U$9*SQRT($C$11)*NORMSINV($B672)+SQRT(1-U$9^2*$C$11)*NORMSINV(T672))*(U$7-U$5)*(U$6-U$5)),U$7-SQRT((1-NORMSDIST(U$9*SQRT($C$11)*NORMSINV($B672)+SQRT(1-U$9^2*$C$11)*NORMSINV(T672)))*(U$7-U$5)*(U$7-U$6))))</f>
        <v>0.134814969693027</v>
      </c>
      <c r="V672" s="2" t="n">
        <v>0.697103077</v>
      </c>
      <c r="W672" s="2" t="n">
        <f aca="false">IF(W$7=W$5,W$6,IF(NORMSDIST(W$9*SQRT($C$11)*NORMSINV($B672)+SQRT(1-W$9^2*$C$11)*NORMSINV(V672))&lt;W$8,W$5+SQRT(NORMSDIST(W$9*SQRT($C$11)*NORMSINV($B672)+SQRT(1-W$9^2*$C$11)*NORMSINV(V672))*(W$7-W$5)*(W$6-W$5)),W$7-SQRT((1-NORMSDIST(W$9*SQRT($C$11)*NORMSINV($B672)+SQRT(1-W$9^2*$C$11)*NORMSINV(V672)))*(W$7-W$5)*(W$7-W$6))))</f>
        <v>9.90260698136707</v>
      </c>
      <c r="X672" s="2" t="n">
        <v>0.1191195</v>
      </c>
      <c r="Y672" s="2" t="n">
        <f aca="false">IF(Y$7=Y$5,Y$6,IF(NORMSDIST(Y$9*SQRT($C$11)*NORMSINV($B672)+SQRT(1-Y$9^2*$C$11)*NORMSINV(X672))&lt;Y$8,Y$5+SQRT(NORMSDIST(Y$9*SQRT($C$11)*NORMSINV($B672)+SQRT(1-Y$9^2*$C$11)*NORMSINV(X672))*(Y$7-Y$5)*(Y$6-Y$5)),Y$7-SQRT((1-NORMSDIST(Y$9*SQRT($C$11)*NORMSINV($B672)+SQRT(1-Y$9^2*$C$11)*NORMSINV(X672)))*(Y$7-Y$5)*(Y$7-Y$6))))</f>
        <v>0.244048663180112</v>
      </c>
      <c r="Z672" s="2" t="n">
        <v>0.384478073</v>
      </c>
      <c r="AA672" s="2" t="n">
        <f aca="false">IF(AA$7=AA$5,AA$6,IF(NORMSDIST(AA$9*SQRT($C$11)*NORMSINV($B672)+SQRT(1-AA$9^2*$C$11)*NORMSINV(Z672))&lt;AA$8,AA$5+SQRT(NORMSDIST(AA$9*SQRT($C$11)*NORMSINV($B672)+SQRT(1-AA$9^2*$C$11)*NORMSINV(Z672))*(AA$7-AA$5)*(AA$6-AA$5)),AA$7-SQRT((1-NORMSDIST(AA$9*SQRT($C$11)*NORMSINV($B672)+SQRT(1-AA$9^2*$C$11)*NORMSINV(Z672)))*(AA$7-AA$5)*(AA$7-AA$6))))</f>
        <v>0.717404700904849</v>
      </c>
      <c r="AB672" s="2" t="n">
        <v>0.057559431</v>
      </c>
      <c r="AC672" s="2" t="n">
        <f aca="false">IF(AC$7=AC$5,AC$6,IF(NORMSDIST(AC$9*SQRT($C$11)*NORMSINV($B672)+SQRT(1-AC$9^2*$C$11)*NORMSINV(AB672))&lt;AC$8,AC$5+SQRT(NORMSDIST(AC$9*SQRT($C$11)*NORMSINV($B672)+SQRT(1-AC$9^2*$C$11)*NORMSINV(AB672))*(AC$7-AC$5)*(AC$6-AC$5)),AC$7-SQRT((1-NORMSDIST(AC$9*SQRT($C$11)*NORMSINV($B672)+SQRT(1-AC$9^2*$C$11)*NORMSINV(AB672)))*(AC$7-AC$5)*(AC$7-AC$6))))</f>
        <v>7.99493309461593</v>
      </c>
      <c r="AD672" s="2" t="n">
        <f aca="false">Entrées!$C$8*(1+E672)</f>
        <v>7435.97499911935</v>
      </c>
      <c r="AE672" s="2" t="n">
        <f aca="false">I672*Hypothèses!$J$24/12/Hypothèses!$J$19</f>
        <v>97.4042628400378</v>
      </c>
      <c r="AF672" s="2" t="n">
        <f aca="false">Entrées!$C$36*S672*1000</f>
        <v>65.5366401423397</v>
      </c>
      <c r="AG672" s="2" t="n">
        <f aca="false">-AF672/W672</f>
        <v>-6.61811988152763</v>
      </c>
      <c r="AH672" s="2" t="n">
        <f aca="false">AD672+AE672+AG672</f>
        <v>7526.76114207786</v>
      </c>
      <c r="AI672" s="2" t="n">
        <f aca="false">Entrées!$C$16-M672+Hypothèses!$J$22*1000-AF672+Hypothèses!$J$23</f>
        <v>23063.4436321318</v>
      </c>
      <c r="AJ672" s="2" t="n">
        <f aca="false">AI672/AH672</f>
        <v>3.0641923128392</v>
      </c>
      <c r="AK672" s="2" t="n">
        <f aca="false">AI672/(AH672+I672*(12-Hypothèses!$J$24)/12/Hypothèses!$J$19)</f>
        <v>3.0361275224551</v>
      </c>
      <c r="AL672" s="2" t="n">
        <f aca="false">(AD672+AG672+I672/Hypothèses!$J$19)*(1+G672)</f>
        <v>7993.59300030303</v>
      </c>
      <c r="AM672" s="2" t="n">
        <f aca="false">Entrées!$C$54*K672/Hypothèses!$J$19</f>
        <v>6.54937899797346</v>
      </c>
      <c r="AN672" s="2" t="n">
        <f aca="false">Y672*1000/AC672</f>
        <v>30.5254165722117</v>
      </c>
      <c r="AO672" s="2" t="n">
        <f aca="false">(Entrées!$C$36*(1-S672)+MAX(0,Entrées!$C$30-Entrées!$C$35-Entrées!$C$36)*U672)*1000</f>
        <v>623.204317427898</v>
      </c>
      <c r="AP672" s="2" t="n">
        <f aca="false">-AO672/W672</f>
        <v>-62.933358720641</v>
      </c>
      <c r="AQ672" s="2" t="n">
        <f aca="false">AL672+AM672+AN672+AP672</f>
        <v>7967.73443715257</v>
      </c>
      <c r="AR672" s="2" t="n">
        <f aca="false">O672*AQ672-Hypothèses!$J$25/Hypothèses!$J$19</f>
        <v>1204.4462386517</v>
      </c>
      <c r="AS672" s="2" t="n">
        <f aca="false">Entrées!$C$79*(1+Q672)+Hypothèses!$J$20</f>
        <v>1475.58388240738</v>
      </c>
      <c r="AT672" s="2" t="n">
        <f aca="false">AI672-AR672+AS672+Y672*1000-AO672+Hypothèses!$J$23</f>
        <v>22955.4256216397</v>
      </c>
      <c r="AU672" s="2" t="n">
        <f aca="false">AT672/AQ672</f>
        <v>2.88104803224884</v>
      </c>
      <c r="AV672" s="2" t="n">
        <f aca="false">Hypothèses!$J$26*AQ672-AT672</f>
        <v>947.77768981802</v>
      </c>
      <c r="AW672" s="2" t="n">
        <f aca="false">IF(AC672&gt;Hypothèses!$J$26,MAX(0,AV672)/(1-Hypothèses!$J$26/AC672),0)</f>
        <v>1517.02116427395</v>
      </c>
      <c r="AX672" s="2" t="n">
        <f aca="false">AQ672-Entrées!$C$17*1000</f>
        <v>-32.2655628474286</v>
      </c>
      <c r="AY672" s="2" t="n">
        <f aca="false">AI672+(Entrées!$C$244-Entrées!$C$13)</f>
        <v>28810.4436321318</v>
      </c>
      <c r="AZ672" s="2" t="n">
        <f aca="false">AA672*AH672</f>
        <v>5399.73382591461</v>
      </c>
      <c r="BA672" s="2" t="n">
        <f aca="false">AZ672/AY672</f>
        <v>0.187422793444679</v>
      </c>
      <c r="BB672" s="2" t="n">
        <f aca="false">AZ672/(Entrées!$C$151/100)-AY672</f>
        <v>1188.07762294935</v>
      </c>
      <c r="BC672" s="2" t="n">
        <f aca="false">AT672+(Entrées!$C$244-Entrées!$C$13)</f>
        <v>28702.4256216397</v>
      </c>
      <c r="BD672" s="2" t="n">
        <f aca="false">AA672*AQ672</f>
        <v>5716.0901407747</v>
      </c>
      <c r="BE672" s="2" t="n">
        <f aca="false">BD672/BC672</f>
        <v>0.199150072405907</v>
      </c>
      <c r="BF672" s="2" t="n">
        <f aca="false">BD672/(Entrées!$C$151/100)-BC672</f>
        <v>3053.63071599756</v>
      </c>
      <c r="BG672" s="2" t="n">
        <f aca="false">MIN(AV672,BF672)</f>
        <v>947.77768981802</v>
      </c>
      <c r="BH672" s="2" t="n">
        <f aca="false">IF(AC672&gt;Hypothèses!$J$26,MAX(0,BG672)/(1-Hypothèses!$J$26/AC672),0)</f>
        <v>1517.02116427395</v>
      </c>
    </row>
    <row r="673" customFormat="false" ht="15" hidden="false" customHeight="false" outlineLevel="0" collapsed="false">
      <c r="A673" s="2" t="n">
        <v>658</v>
      </c>
      <c r="B673" s="2" t="n">
        <v>0.602532093</v>
      </c>
      <c r="C673" s="2"/>
      <c r="D673" s="2" t="n">
        <v>0.35723941</v>
      </c>
      <c r="E673" s="2" t="n">
        <f aca="false">IF(E$7=E$5,E$6,IF(NORMSDIST(E$9*SQRT($C$11)*NORMSINV($B673)+SQRT(1-E$9^2*$C$11)*NORMSINV(D673))&lt;E$8,E$5+SQRT(NORMSDIST(E$9*SQRT($C$11)*NORMSINV($B673)+SQRT(1-E$9^2*$C$11)*NORMSINV(D673))*(E$7-E$5)*(E$6-E$5)),E$7-SQRT((1-NORMSDIST(E$9*SQRT($C$11)*NORMSINV($B673)+SQRT(1-E$9^2*$C$11)*NORMSINV(D673)))*(E$7-E$5)*(E$7-E$6))))</f>
        <v>0.054757287681433</v>
      </c>
      <c r="F673" s="2" t="n">
        <v>0.40472728</v>
      </c>
      <c r="G673" s="2" t="n">
        <f aca="false">IF(G$7=G$5,G$6,IF(NORMSDIST(G$9*SQRT($C$11)*NORMSINV($B673)+SQRT(1-G$9^2*$C$11)*NORMSINV(F673))&lt;G$8,G$5+SQRT(NORMSDIST(G$9*SQRT($C$11)*NORMSINV($B673)+SQRT(1-G$9^2*$C$11)*NORMSINV(F673))*(G$7-G$5)*(G$6-G$5)),G$7-SQRT((1-NORMSDIST(G$9*SQRT($C$11)*NORMSINV($B673)+SQRT(1-G$9^2*$C$11)*NORMSINV(F673)))*(G$7-G$5)*(G$7-G$6))))</f>
        <v>0.0548653688492227</v>
      </c>
      <c r="H673" s="2" t="n">
        <v>0.120787133</v>
      </c>
      <c r="I673" s="2" t="n">
        <f aca="false">IF(I$7=I$5,I$6,IF(NORMSDIST(I$9*SQRT($C$11)*NORMSINV($B673)+SQRT(1-I$9^2*$C$11)*NORMSINV(H673))&lt;I$8,I$5+SQRT(NORMSDIST(I$9*SQRT($C$11)*NORMSINV($B673)+SQRT(1-I$9^2*$C$11)*NORMSINV(H673))*(I$7-I$5)*(I$6-I$5)),I$7-SQRT((1-NORMSDIST(I$9*SQRT($C$11)*NORMSINV($B673)+SQRT(1-I$9^2*$C$11)*NORMSINV(H673)))*(I$7-I$5)*(I$7-I$6))))</f>
        <v>193.529979704591</v>
      </c>
      <c r="J673" s="2" t="n">
        <v>0.787229105</v>
      </c>
      <c r="K673" s="2" t="n">
        <f aca="false">IF(K$7=K$5,K$6,IF(NORMSDIST(K$9*SQRT($C$11)*NORMSINV($B673)+SQRT(1-K$9^2*$C$11)*NORMSINV(J673))&lt;K$8,K$5+SQRT(NORMSDIST(K$9*SQRT($C$11)*NORMSINV($B673)+SQRT(1-K$9^2*$C$11)*NORMSINV(J673))*(K$7-K$5)*(K$6-K$5)),K$7-SQRT((1-NORMSDIST(K$9*SQRT($C$11)*NORMSINV($B673)+SQRT(1-K$9^2*$C$11)*NORMSINV(J673)))*(K$7-K$5)*(K$7-K$6))))</f>
        <v>0.335219330475454</v>
      </c>
      <c r="L673" s="2" t="n">
        <v>0.220167506</v>
      </c>
      <c r="M673" s="2" t="n">
        <f aca="false">IF(M$7=M$5,M$6,IF(NORMSDIST(M$9*SQRT($C$11)*NORMSINV($B673)+SQRT(1-M$9^2*$C$11)*NORMSINV(L673))&lt;M$8,M$5+SQRT(NORMSDIST(M$9*SQRT($C$11)*NORMSINV($B673)+SQRT(1-M$9^2*$C$11)*NORMSINV(L673))*(M$7-M$5)*(M$6-M$5)),M$7-SQRT((1-NORMSDIST(M$9*SQRT($C$11)*NORMSINV($B673)+SQRT(1-M$9^2*$C$11)*NORMSINV(L673)))*(M$7-M$5)*(M$7-M$6))))</f>
        <v>1533.24947503645</v>
      </c>
      <c r="N673" s="2" t="n">
        <v>0.458693018</v>
      </c>
      <c r="O673" s="2" t="n">
        <f aca="false">IF(O$7=O$5,O$6,IF(NORMSDIST(O$9*SQRT($C$11)*NORMSINV($B673)+SQRT(1-O$9^2*$C$11)*NORMSINV(N673))&lt;O$8,O$5+SQRT(NORMSDIST(O$9*SQRT($C$11)*NORMSINV($B673)+SQRT(1-O$9^2*$C$11)*NORMSINV(N673))*(O$7-O$5)*(O$6-O$5)),O$7-SQRT((1-NORMSDIST(O$9*SQRT($C$11)*NORMSINV($B673)+SQRT(1-O$9^2*$C$11)*NORMSINV(N673)))*(O$7-O$5)*(O$7-O$6))))</f>
        <v>0.167666834969071</v>
      </c>
      <c r="P673" s="2" t="n">
        <v>0.295915869</v>
      </c>
      <c r="Q673" s="2" t="n">
        <f aca="false">IF(Q$7=Q$5,Q$6,IF(NORMSDIST(Q$9*SQRT($C$11)*NORMSINV($B673)+SQRT(1-Q$9^2*$C$11)*NORMSINV(P673))&lt;Q$8,Q$5+SQRT(NORMSDIST(Q$9*SQRT($C$11)*NORMSINV($B673)+SQRT(1-Q$9^2*$C$11)*NORMSINV(P673))*(Q$7-Q$5)*(Q$6-Q$5)),Q$7-SQRT((1-NORMSDIST(Q$9*SQRT($C$11)*NORMSINV($B673)+SQRT(1-Q$9^2*$C$11)*NORMSINV(P673)))*(Q$7-Q$5)*(Q$7-Q$6))))</f>
        <v>0.0707722404254224</v>
      </c>
      <c r="R673" s="2" t="n">
        <v>0.506621572</v>
      </c>
      <c r="S673" s="2" t="n">
        <f aca="false">IF(S$7=S$5,S$6,IF(NORMSDIST(S$9*SQRT($C$11)*NORMSINV($B673)+SQRT(1-S$9^2*$C$11)*NORMSINV(R673))&lt;S$8,S$5+SQRT(NORMSDIST(S$9*SQRT($C$11)*NORMSINV($B673)+SQRT(1-S$9^2*$C$11)*NORMSINV(R673))*(S$7-S$5)*(S$6-S$5)),S$7-SQRT((1-NORMSDIST(S$9*SQRT($C$11)*NORMSINV($B673)+SQRT(1-S$9^2*$C$11)*NORMSINV(R673)))*(S$7-S$5)*(S$7-S$6))))</f>
        <v>0.536501735373583</v>
      </c>
      <c r="T673" s="2" t="n">
        <v>0.094810664</v>
      </c>
      <c r="U673" s="2" t="n">
        <f aca="false">IF(U$7=U$5,U$6,IF(NORMSDIST(U$9*SQRT($C$11)*NORMSINV($B673)+SQRT(1-U$9^2*$C$11)*NORMSINV(T673))&lt;U$8,U$5+SQRT(NORMSDIST(U$9*SQRT($C$11)*NORMSINV($B673)+SQRT(1-U$9^2*$C$11)*NORMSINV(T673))*(U$7-U$5)*(U$6-U$5)),U$7-SQRT((1-NORMSDIST(U$9*SQRT($C$11)*NORMSINV($B673)+SQRT(1-U$9^2*$C$11)*NORMSINV(T673)))*(U$7-U$5)*(U$7-U$6))))</f>
        <v>0.314007673796155</v>
      </c>
      <c r="V673" s="2" t="n">
        <v>0.340177103</v>
      </c>
      <c r="W673" s="2" t="n">
        <f aca="false">IF(W$7=W$5,W$6,IF(NORMSDIST(W$9*SQRT($C$11)*NORMSINV($B673)+SQRT(1-W$9^2*$C$11)*NORMSINV(V673))&lt;W$8,W$5+SQRT(NORMSDIST(W$9*SQRT($C$11)*NORMSINV($B673)+SQRT(1-W$9^2*$C$11)*NORMSINV(V673))*(W$7-W$5)*(W$6-W$5)),W$7-SQRT((1-NORMSDIST(W$9*SQRT($C$11)*NORMSINV($B673)+SQRT(1-W$9^2*$C$11)*NORMSINV(V673)))*(W$7-W$5)*(W$7-W$6))))</f>
        <v>9.87299462269895</v>
      </c>
      <c r="X673" s="2" t="n">
        <v>0.837949823</v>
      </c>
      <c r="Y673" s="2" t="n">
        <f aca="false">IF(Y$7=Y$5,Y$6,IF(NORMSDIST(Y$9*SQRT($C$11)*NORMSINV($B673)+SQRT(1-Y$9^2*$C$11)*NORMSINV(X673))&lt;Y$8,Y$5+SQRT(NORMSDIST(Y$9*SQRT($C$11)*NORMSINV($B673)+SQRT(1-Y$9^2*$C$11)*NORMSINV(X673))*(Y$7-Y$5)*(Y$6-Y$5)),Y$7-SQRT((1-NORMSDIST(Y$9*SQRT($C$11)*NORMSINV($B673)+SQRT(1-Y$9^2*$C$11)*NORMSINV(X673)))*(Y$7-Y$5)*(Y$7-Y$6))))</f>
        <v>0.715350937995573</v>
      </c>
      <c r="Z673" s="2" t="n">
        <v>0.313186385</v>
      </c>
      <c r="AA673" s="2" t="n">
        <f aca="false">IF(AA$7=AA$5,AA$6,IF(NORMSDIST(AA$9*SQRT($C$11)*NORMSINV($B673)+SQRT(1-AA$9^2*$C$11)*NORMSINV(Z673))&lt;AA$8,AA$5+SQRT(NORMSDIST(AA$9*SQRT($C$11)*NORMSINV($B673)+SQRT(1-AA$9^2*$C$11)*NORMSINV(Z673))*(AA$7-AA$5)*(AA$6-AA$5)),AA$7-SQRT((1-NORMSDIST(AA$9*SQRT($C$11)*NORMSINV($B673)+SQRT(1-AA$9^2*$C$11)*NORMSINV(Z673)))*(AA$7-AA$5)*(AA$7-AA$6))))</f>
        <v>0.725167319392648</v>
      </c>
      <c r="AB673" s="2" t="n">
        <v>0.527894752</v>
      </c>
      <c r="AC673" s="2" t="n">
        <f aca="false">IF(AC$7=AC$5,AC$6,IF(NORMSDIST(AC$9*SQRT($C$11)*NORMSINV($B673)+SQRT(1-AC$9^2*$C$11)*NORMSINV(AB673))&lt;AC$8,AC$5+SQRT(NORMSDIST(AC$9*SQRT($C$11)*NORMSINV($B673)+SQRT(1-AC$9^2*$C$11)*NORMSINV(AB673))*(AC$7-AC$5)*(AC$6-AC$5)),AC$7-SQRT((1-NORMSDIST(AC$9*SQRT($C$11)*NORMSINV($B673)+SQRT(1-AC$9^2*$C$11)*NORMSINV(AB673)))*(AC$7-AC$5)*(AC$7-AC$6))))</f>
        <v>9.65110513949237</v>
      </c>
      <c r="AD673" s="2" t="n">
        <f aca="false">Entrées!$C$8*(1+E673)</f>
        <v>7436.0388781541</v>
      </c>
      <c r="AE673" s="2" t="n">
        <f aca="false">I673*Hypothèses!$J$24/12/Hypothèses!$J$19</f>
        <v>96.0096035146507</v>
      </c>
      <c r="AF673" s="2" t="n">
        <f aca="false">Entrées!$C$36*S673*1000</f>
        <v>268.250867686791</v>
      </c>
      <c r="AG673" s="2" t="n">
        <f aca="false">-AF673/W673</f>
        <v>-27.1701624419056</v>
      </c>
      <c r="AH673" s="2" t="n">
        <f aca="false">AD673+AE673+AG673</f>
        <v>7504.87831922685</v>
      </c>
      <c r="AI673" s="2" t="n">
        <f aca="false">Entrées!$C$16-M673+Hypothèses!$J$22*1000-AF673+Hypothèses!$J$23</f>
        <v>22746.4996572768</v>
      </c>
      <c r="AJ673" s="2" t="n">
        <f aca="false">AI673/AH673</f>
        <v>3.03089519772788</v>
      </c>
      <c r="AK673" s="2" t="n">
        <f aca="false">AI673/(AH673+I673*(12-Hypothèses!$J$24)/12/Hypothèses!$J$19)</f>
        <v>3.0034501861272</v>
      </c>
      <c r="AL673" s="2" t="n">
        <f aca="false">(AD673+AG673+I673/Hypothèses!$J$19)*(1+G673)</f>
        <v>7988.97709768301</v>
      </c>
      <c r="AM673" s="2" t="n">
        <f aca="false">Entrées!$C$54*K673/Hypothèses!$J$19</f>
        <v>34.2105401700343</v>
      </c>
      <c r="AN673" s="2" t="n">
        <f aca="false">Y673*1000/AC673</f>
        <v>74.1211423620652</v>
      </c>
      <c r="AO673" s="2" t="n">
        <f aca="false">(Entrées!$C$36*(1-S673)+MAX(0,Entrées!$C$30-Entrées!$C$35-Entrées!$C$36)*U673)*1000</f>
        <v>671.359875627826</v>
      </c>
      <c r="AP673" s="2" t="n">
        <f aca="false">-AO673/W673</f>
        <v>-67.9996192932492</v>
      </c>
      <c r="AQ673" s="2" t="n">
        <f aca="false">AL673+AM673+AN673+AP673</f>
        <v>8029.30916092186</v>
      </c>
      <c r="AR673" s="2" t="n">
        <f aca="false">O673*AQ673-Hypothèses!$J$25/Hypothèses!$J$19</f>
        <v>1327.11369173831</v>
      </c>
      <c r="AS673" s="2" t="n">
        <f aca="false">Entrées!$C$79*(1+Q673)+Hypothèses!$J$20</f>
        <v>1471.77869222754</v>
      </c>
      <c r="AT673" s="2" t="n">
        <f aca="false">AI673-AR673+AS673+Y673*1000-AO673+Hypothèses!$J$23</f>
        <v>22935.1557201337</v>
      </c>
      <c r="AU673" s="2" t="n">
        <f aca="false">AT673/AQ673</f>
        <v>2.85642952095526</v>
      </c>
      <c r="AV673" s="2" t="n">
        <f aca="false">Hypothèses!$J$26*AQ673-AT673</f>
        <v>1152.77176263185</v>
      </c>
      <c r="AW673" s="2" t="n">
        <f aca="false">IF(AC673&gt;Hypothèses!$J$26,MAX(0,AV673)/(1-Hypothèses!$J$26/AC673),0)</f>
        <v>1672.73276390382</v>
      </c>
      <c r="AX673" s="2" t="n">
        <f aca="false">AQ673-Entrées!$C$17*1000</f>
        <v>29.3091609218636</v>
      </c>
      <c r="AY673" s="2" t="n">
        <f aca="false">AI673+(Entrées!$C$244-Entrées!$C$13)</f>
        <v>28493.4996572768</v>
      </c>
      <c r="AZ673" s="2" t="n">
        <f aca="false">AA673*AH673</f>
        <v>5442.29249312174</v>
      </c>
      <c r="BA673" s="2" t="n">
        <f aca="false">AZ673/AY673</f>
        <v>0.19100119531059</v>
      </c>
      <c r="BB673" s="2" t="n">
        <f aca="false">AZ673/(Entrées!$C$151/100)-AY673</f>
        <v>1741.458637844</v>
      </c>
      <c r="BC673" s="2" t="n">
        <f aca="false">AT673+(Entrées!$C$244-Entrées!$C$13)</f>
        <v>28682.1557201337</v>
      </c>
      <c r="BD673" s="2" t="n">
        <f aca="false">AA673*AQ673</f>
        <v>5822.59260080054</v>
      </c>
      <c r="BE673" s="2" t="n">
        <f aca="false">BD673/BC673</f>
        <v>0.203004009099404</v>
      </c>
      <c r="BF673" s="2" t="n">
        <f aca="false">BD673/(Entrées!$C$151/100)-BC673</f>
        <v>3665.58095098038</v>
      </c>
      <c r="BG673" s="2" t="n">
        <f aca="false">MIN(AV673,BF673)</f>
        <v>1152.77176263185</v>
      </c>
      <c r="BH673" s="2" t="n">
        <f aca="false">IF(AC673&gt;Hypothèses!$J$26,MAX(0,BG673)/(1-Hypothèses!$J$26/AC673),0)</f>
        <v>1672.73276390382</v>
      </c>
    </row>
    <row r="674" customFormat="false" ht="15" hidden="false" customHeight="false" outlineLevel="0" collapsed="false">
      <c r="A674" s="2" t="n">
        <v>659</v>
      </c>
      <c r="B674" s="2" t="n">
        <v>0.302163587</v>
      </c>
      <c r="C674" s="2"/>
      <c r="D674" s="2" t="n">
        <v>0.136858799</v>
      </c>
      <c r="E674" s="2" t="n">
        <f aca="false">IF(E$7=E$5,E$6,IF(NORMSDIST(E$9*SQRT($C$11)*NORMSINV($B674)+SQRT(1-E$9^2*$C$11)*NORMSINV(D674))&lt;E$8,E$5+SQRT(NORMSDIST(E$9*SQRT($C$11)*NORMSINV($B674)+SQRT(1-E$9^2*$C$11)*NORMSINV(D674))*(E$7-E$5)*(E$6-E$5)),E$7-SQRT((1-NORMSDIST(E$9*SQRT($C$11)*NORMSINV($B674)+SQRT(1-E$9^2*$C$11)*NORMSINV(D674)))*(E$7-E$5)*(E$7-E$6))))</f>
        <v>0.0524483217425431</v>
      </c>
      <c r="F674" s="2" t="n">
        <v>0.328761167</v>
      </c>
      <c r="G674" s="2" t="n">
        <f aca="false">IF(G$7=G$5,G$6,IF(NORMSDIST(G$9*SQRT($C$11)*NORMSINV($B674)+SQRT(1-G$9^2*$C$11)*NORMSINV(F674))&lt;G$8,G$5+SQRT(NORMSDIST(G$9*SQRT($C$11)*NORMSINV($B674)+SQRT(1-G$9^2*$C$11)*NORMSINV(F674))*(G$7-G$5)*(G$6-G$5)),G$7-SQRT((1-NORMSDIST(G$9*SQRT($C$11)*NORMSINV($B674)+SQRT(1-G$9^2*$C$11)*NORMSINV(F674)))*(G$7-G$5)*(G$7-G$6))))</f>
        <v>0.050629198802004</v>
      </c>
      <c r="H674" s="2" t="n">
        <v>0.802613714</v>
      </c>
      <c r="I674" s="2" t="n">
        <f aca="false">IF(I$7=I$5,I$6,IF(NORMSDIST(I$9*SQRT($C$11)*NORMSINV($B674)+SQRT(1-I$9^2*$C$11)*NORMSINV(H674))&lt;I$8,I$5+SQRT(NORMSDIST(I$9*SQRT($C$11)*NORMSINV($B674)+SQRT(1-I$9^2*$C$11)*NORMSINV(H674))*(I$7-I$5)*(I$6-I$5)),I$7-SQRT((1-NORMSDIST(I$9*SQRT($C$11)*NORMSINV($B674)+SQRT(1-I$9^2*$C$11)*NORMSINV(H674)))*(I$7-I$5)*(I$7-I$6))))</f>
        <v>202.791777916734</v>
      </c>
      <c r="J674" s="2" t="n">
        <v>0.43241509</v>
      </c>
      <c r="K674" s="2" t="n">
        <f aca="false">IF(K$7=K$5,K$6,IF(NORMSDIST(K$9*SQRT($C$11)*NORMSINV($B674)+SQRT(1-K$9^2*$C$11)*NORMSINV(J674))&lt;K$8,K$5+SQRT(NORMSDIST(K$9*SQRT($C$11)*NORMSINV($B674)+SQRT(1-K$9^2*$C$11)*NORMSINV(J674))*(K$7-K$5)*(K$6-K$5)),K$7-SQRT((1-NORMSDIST(K$9*SQRT($C$11)*NORMSINV($B674)+SQRT(1-K$9^2*$C$11)*NORMSINV(J674)))*(K$7-K$5)*(K$7-K$6))))</f>
        <v>0.200905902139227</v>
      </c>
      <c r="L674" s="2" t="n">
        <v>0.357920629</v>
      </c>
      <c r="M674" s="2" t="n">
        <f aca="false">IF(M$7=M$5,M$6,IF(NORMSDIST(M$9*SQRT($C$11)*NORMSINV($B674)+SQRT(1-M$9^2*$C$11)*NORMSINV(L674))&lt;M$8,M$5+SQRT(NORMSDIST(M$9*SQRT($C$11)*NORMSINV($B674)+SQRT(1-M$9^2*$C$11)*NORMSINV(L674))*(M$7-M$5)*(M$6-M$5)),M$7-SQRT((1-NORMSDIST(M$9*SQRT($C$11)*NORMSINV($B674)+SQRT(1-M$9^2*$C$11)*NORMSINV(L674)))*(M$7-M$5)*(M$7-M$6))))</f>
        <v>1510.93288401769</v>
      </c>
      <c r="N674" s="2" t="n">
        <v>0.370908203</v>
      </c>
      <c r="O674" s="2" t="n">
        <f aca="false">IF(O$7=O$5,O$6,IF(NORMSDIST(O$9*SQRT($C$11)*NORMSINV($B674)+SQRT(1-O$9^2*$C$11)*NORMSINV(N674))&lt;O$8,O$5+SQRT(NORMSDIST(O$9*SQRT($C$11)*NORMSINV($B674)+SQRT(1-O$9^2*$C$11)*NORMSINV(N674))*(O$7-O$5)*(O$6-O$5)),O$7-SQRT((1-NORMSDIST(O$9*SQRT($C$11)*NORMSINV($B674)+SQRT(1-O$9^2*$C$11)*NORMSINV(N674)))*(O$7-O$5)*(O$7-O$6))))</f>
        <v>0.160042724110486</v>
      </c>
      <c r="P674" s="2" t="n">
        <v>0.436550946</v>
      </c>
      <c r="Q674" s="2" t="n">
        <f aca="false">IF(Q$7=Q$5,Q$6,IF(NORMSDIST(Q$9*SQRT($C$11)*NORMSINV($B674)+SQRT(1-Q$9^2*$C$11)*NORMSINV(P674))&lt;Q$8,Q$5+SQRT(NORMSDIST(Q$9*SQRT($C$11)*NORMSINV($B674)+SQRT(1-Q$9^2*$C$11)*NORMSINV(P674))*(Q$7-Q$5)*(Q$6-Q$5)),Q$7-SQRT((1-NORMSDIST(Q$9*SQRT($C$11)*NORMSINV($B674)+SQRT(1-Q$9^2*$C$11)*NORMSINV(P674)))*(Q$7-Q$5)*(Q$7-Q$6))))</f>
        <v>0.0773759685787539</v>
      </c>
      <c r="R674" s="2" t="n">
        <v>0.704538092</v>
      </c>
      <c r="S674" s="2" t="n">
        <f aca="false">IF(S$7=S$5,S$6,IF(NORMSDIST(S$9*SQRT($C$11)*NORMSINV($B674)+SQRT(1-S$9^2*$C$11)*NORMSINV(R674))&lt;S$8,S$5+SQRT(NORMSDIST(S$9*SQRT($C$11)*NORMSINV($B674)+SQRT(1-S$9^2*$C$11)*NORMSINV(R674))*(S$7-S$5)*(S$6-S$5)),S$7-SQRT((1-NORMSDIST(S$9*SQRT($C$11)*NORMSINV($B674)+SQRT(1-S$9^2*$C$11)*NORMSINV(R674)))*(S$7-S$5)*(S$7-S$6))))</f>
        <v>0.51797579725446</v>
      </c>
      <c r="T674" s="2" t="n">
        <v>0.406516651</v>
      </c>
      <c r="U674" s="2" t="n">
        <f aca="false">IF(U$7=U$5,U$6,IF(NORMSDIST(U$9*SQRT($C$11)*NORMSINV($B674)+SQRT(1-U$9^2*$C$11)*NORMSINV(T674))&lt;U$8,U$5+SQRT(NORMSDIST(U$9*SQRT($C$11)*NORMSINV($B674)+SQRT(1-U$9^2*$C$11)*NORMSINV(T674))*(U$7-U$5)*(U$6-U$5)),U$7-SQRT((1-NORMSDIST(U$9*SQRT($C$11)*NORMSINV($B674)+SQRT(1-U$9^2*$C$11)*NORMSINV(T674)))*(U$7-U$5)*(U$7-U$6))))</f>
        <v>0.3903194394055</v>
      </c>
      <c r="V674" s="2" t="n">
        <v>0.615119222</v>
      </c>
      <c r="W674" s="2" t="n">
        <f aca="false">IF(W$7=W$5,W$6,IF(NORMSDIST(W$9*SQRT($C$11)*NORMSINV($B674)+SQRT(1-W$9^2*$C$11)*NORMSINV(V674))&lt;W$8,W$5+SQRT(NORMSDIST(W$9*SQRT($C$11)*NORMSINV($B674)+SQRT(1-W$9^2*$C$11)*NORMSINV(V674))*(W$7-W$5)*(W$6-W$5)),W$7-SQRT((1-NORMSDIST(W$9*SQRT($C$11)*NORMSINV($B674)+SQRT(1-W$9^2*$C$11)*NORMSINV(V674)))*(W$7-W$5)*(W$7-W$6))))</f>
        <v>9.91785014809276</v>
      </c>
      <c r="X674" s="2" t="n">
        <v>0.283639511</v>
      </c>
      <c r="Y674" s="2" t="n">
        <f aca="false">IF(Y$7=Y$5,Y$6,IF(NORMSDIST(Y$9*SQRT($C$11)*NORMSINV($B674)+SQRT(1-Y$9^2*$C$11)*NORMSINV(X674))&lt;Y$8,Y$5+SQRT(NORMSDIST(Y$9*SQRT($C$11)*NORMSINV($B674)+SQRT(1-Y$9^2*$C$11)*NORMSINV(X674))*(Y$7-Y$5)*(Y$6-Y$5)),Y$7-SQRT((1-NORMSDIST(Y$9*SQRT($C$11)*NORMSINV($B674)+SQRT(1-Y$9^2*$C$11)*NORMSINV(X674)))*(Y$7-Y$5)*(Y$7-Y$6))))</f>
        <v>0.376589638067751</v>
      </c>
      <c r="Z674" s="2" t="n">
        <v>0.915160229</v>
      </c>
      <c r="AA674" s="2" t="n">
        <f aca="false">IF(AA$7=AA$5,AA$6,IF(NORMSDIST(AA$9*SQRT($C$11)*NORMSINV($B674)+SQRT(1-AA$9^2*$C$11)*NORMSINV(Z674))&lt;AA$8,AA$5+SQRT(NORMSDIST(AA$9*SQRT($C$11)*NORMSINV($B674)+SQRT(1-AA$9^2*$C$11)*NORMSINV(Z674))*(AA$7-AA$5)*(AA$6-AA$5)),AA$7-SQRT((1-NORMSDIST(AA$9*SQRT($C$11)*NORMSINV($B674)+SQRT(1-AA$9^2*$C$11)*NORMSINV(Z674)))*(AA$7-AA$5)*(AA$7-AA$6))))</f>
        <v>0.73664359563318</v>
      </c>
      <c r="AB674" s="2" t="n">
        <v>0.607338854</v>
      </c>
      <c r="AC674" s="2" t="n">
        <f aca="false">IF(AC$7=AC$5,AC$6,IF(NORMSDIST(AC$9*SQRT($C$11)*NORMSINV($B674)+SQRT(1-AC$9^2*$C$11)*NORMSINV(AB674))&lt;AC$8,AC$5+SQRT(NORMSDIST(AC$9*SQRT($C$11)*NORMSINV($B674)+SQRT(1-AC$9^2*$C$11)*NORMSINV(AB674))*(AC$7-AC$5)*(AC$6-AC$5)),AC$7-SQRT((1-NORMSDIST(AC$9*SQRT($C$11)*NORMSINV($B674)+SQRT(1-AC$9^2*$C$11)*NORMSINV(AB674)))*(AC$7-AC$5)*(AC$7-AC$6))))</f>
        <v>9.37952784146249</v>
      </c>
      <c r="AD674" s="2" t="n">
        <f aca="false">Entrées!$C$8*(1+E674)</f>
        <v>7419.76066828493</v>
      </c>
      <c r="AE674" s="2" t="n">
        <f aca="false">I674*Hypothèses!$J$24/12/Hypothèses!$J$19</f>
        <v>100.604351964156</v>
      </c>
      <c r="AF674" s="2" t="n">
        <f aca="false">Entrées!$C$36*S674*1000</f>
        <v>258.98789862723</v>
      </c>
      <c r="AG674" s="2" t="n">
        <f aca="false">-AF674/W674</f>
        <v>-26.1133103202849</v>
      </c>
      <c r="AH674" s="2" t="n">
        <f aca="false">AD674+AE674+AG674</f>
        <v>7494.2517099288</v>
      </c>
      <c r="AI674" s="2" t="n">
        <f aca="false">Entrées!$C$16-M674+Hypothèses!$J$22*1000-AF674+Hypothèses!$J$23</f>
        <v>22778.0792173551</v>
      </c>
      <c r="AJ674" s="2" t="n">
        <f aca="false">AI674/AH674</f>
        <v>3.03940674786482</v>
      </c>
      <c r="AK674" s="2" t="n">
        <f aca="false">AI674/(AH674+I674*(12-Hypothèses!$J$24)/12/Hypothèses!$J$19)</f>
        <v>3.01053953916719</v>
      </c>
      <c r="AL674" s="2" t="n">
        <f aca="false">(AD674+AG674+I674/Hypothèses!$J$19)*(1+G674)</f>
        <v>7949.17814798026</v>
      </c>
      <c r="AM674" s="2" t="n">
        <f aca="false">Entrées!$C$54*K674/Hypothèses!$J$19</f>
        <v>20.5032908626798</v>
      </c>
      <c r="AN674" s="2" t="n">
        <f aca="false">Y674*1000/AC674</f>
        <v>40.1501700760486</v>
      </c>
      <c r="AO674" s="2" t="n">
        <f aca="false">(Entrées!$C$36*(1-S674)+MAX(0,Entrées!$C$30-Entrées!$C$35-Entrées!$C$36)*U674)*1000</f>
        <v>787.45931654047</v>
      </c>
      <c r="AP674" s="2" t="n">
        <f aca="false">-AO674/W674</f>
        <v>-79.3981865809801</v>
      </c>
      <c r="AQ674" s="2" t="n">
        <f aca="false">AL674+AM674+AN674+AP674</f>
        <v>7930.43342233801</v>
      </c>
      <c r="AR674" s="2" t="n">
        <f aca="false">O674*AQ674-Hypothèses!$J$25/Hypothèses!$J$19</f>
        <v>1250.07300602619</v>
      </c>
      <c r="AS674" s="2" t="n">
        <f aca="false">Entrées!$C$79*(1+Q674)+Hypothèses!$J$20</f>
        <v>1479.03618946805</v>
      </c>
      <c r="AT674" s="2" t="n">
        <f aca="false">AI674-AR674+AS674+Y674*1000-AO674+Hypothèses!$J$23</f>
        <v>22596.1727223242</v>
      </c>
      <c r="AU674" s="2" t="n">
        <f aca="false">AT674/AQ674</f>
        <v>2.84929858419548</v>
      </c>
      <c r="AV674" s="2" t="n">
        <f aca="false">Hypothèses!$J$26*AQ674-AT674</f>
        <v>1195.12754468979</v>
      </c>
      <c r="AW674" s="2" t="n">
        <f aca="false">IF(AC674&gt;Hypothèses!$J$26,MAX(0,AV674)/(1-Hypothèses!$J$26/AC674),0)</f>
        <v>1757.14133680257</v>
      </c>
      <c r="AX674" s="2" t="n">
        <f aca="false">AQ674-Entrées!$C$17*1000</f>
        <v>-69.5665776619953</v>
      </c>
      <c r="AY674" s="2" t="n">
        <f aca="false">AI674+(Entrées!$C$244-Entrées!$C$13)</f>
        <v>28525.0792173551</v>
      </c>
      <c r="AZ674" s="2" t="n">
        <f aca="false">AA674*AH674</f>
        <v>5520.59252618206</v>
      </c>
      <c r="BA674" s="2" t="n">
        <f aca="false">AZ674/AY674</f>
        <v>0.193534695701152</v>
      </c>
      <c r="BB674" s="2" t="n">
        <f aca="false">AZ674/(Entrées!$C$151/100)-AY674</f>
        <v>2144.87926143412</v>
      </c>
      <c r="BC674" s="2" t="n">
        <f aca="false">AT674+(Entrées!$C$244-Entrées!$C$13)</f>
        <v>28343.1727223242</v>
      </c>
      <c r="BD674" s="2" t="n">
        <f aca="false">AA674*AQ674</f>
        <v>5841.90299116061</v>
      </c>
      <c r="BE674" s="2" t="n">
        <f aca="false">BD674/BC674</f>
        <v>0.206113233983833</v>
      </c>
      <c r="BF674" s="2" t="n">
        <f aca="false">BD674/(Entrées!$C$151/100)-BC674</f>
        <v>4111.84389523472</v>
      </c>
      <c r="BG674" s="2" t="n">
        <f aca="false">MIN(AV674,BF674)</f>
        <v>1195.12754468979</v>
      </c>
      <c r="BH674" s="2" t="n">
        <f aca="false">IF(AC674&gt;Hypothèses!$J$26,MAX(0,BG674)/(1-Hypothèses!$J$26/AC674),0)</f>
        <v>1757.14133680257</v>
      </c>
    </row>
    <row r="675" customFormat="false" ht="15" hidden="false" customHeight="false" outlineLevel="0" collapsed="false">
      <c r="A675" s="2" t="n">
        <v>660</v>
      </c>
      <c r="B675" s="2" t="n">
        <v>0.175443213</v>
      </c>
      <c r="C675" s="2"/>
      <c r="D675" s="2" t="n">
        <v>0.371955891</v>
      </c>
      <c r="E675" s="2" t="n">
        <f aca="false">IF(E$7=E$5,E$6,IF(NORMSDIST(E$9*SQRT($C$11)*NORMSINV($B675)+SQRT(1-E$9^2*$C$11)*NORMSINV(D675))&lt;E$8,E$5+SQRT(NORMSDIST(E$9*SQRT($C$11)*NORMSINV($B675)+SQRT(1-E$9^2*$C$11)*NORMSINV(D675))*(E$7-E$5)*(E$6-E$5)),E$7-SQRT((1-NORMSDIST(E$9*SQRT($C$11)*NORMSINV($B675)+SQRT(1-E$9^2*$C$11)*NORMSINV(D675)))*(E$7-E$5)*(E$7-E$6))))</f>
        <v>0.0531591312982236</v>
      </c>
      <c r="F675" s="2" t="n">
        <v>0.232811758</v>
      </c>
      <c r="G675" s="2" t="n">
        <f aca="false">IF(G$7=G$5,G$6,IF(NORMSDIST(G$9*SQRT($C$11)*NORMSINV($B675)+SQRT(1-G$9^2*$C$11)*NORMSINV(F675))&lt;G$8,G$5+SQRT(NORMSDIST(G$9*SQRT($C$11)*NORMSINV($B675)+SQRT(1-G$9^2*$C$11)*NORMSINV(F675))*(G$7-G$5)*(G$6-G$5)),G$7-SQRT((1-NORMSDIST(G$9*SQRT($C$11)*NORMSINV($B675)+SQRT(1-G$9^2*$C$11)*NORMSINV(F675)))*(G$7-G$5)*(G$7-G$6))))</f>
        <v>0.0474703177852644</v>
      </c>
      <c r="H675" s="2" t="n">
        <v>0.592694016</v>
      </c>
      <c r="I675" s="2" t="n">
        <f aca="false">IF(I$7=I$5,I$6,IF(NORMSDIST(I$9*SQRT($C$11)*NORMSINV($B675)+SQRT(1-I$9^2*$C$11)*NORMSINV(H675))&lt;I$8,I$5+SQRT(NORMSDIST(I$9*SQRT($C$11)*NORMSINV($B675)+SQRT(1-I$9^2*$C$11)*NORMSINV(H675))*(I$7-I$5)*(I$6-I$5)),I$7-SQRT((1-NORMSDIST(I$9*SQRT($C$11)*NORMSINV($B675)+SQRT(1-I$9^2*$C$11)*NORMSINV(H675)))*(I$7-I$5)*(I$7-I$6))))</f>
        <v>196.528771743655</v>
      </c>
      <c r="J675" s="2" t="n">
        <v>0.323690326</v>
      </c>
      <c r="K675" s="2" t="n">
        <f aca="false">IF(K$7=K$5,K$6,IF(NORMSDIST(K$9*SQRT($C$11)*NORMSINV($B675)+SQRT(1-K$9^2*$C$11)*NORMSINV(J675))&lt;K$8,K$5+SQRT(NORMSDIST(K$9*SQRT($C$11)*NORMSINV($B675)+SQRT(1-K$9^2*$C$11)*NORMSINV(J675))*(K$7-K$5)*(K$6-K$5)),K$7-SQRT((1-NORMSDIST(K$9*SQRT($C$11)*NORMSINV($B675)+SQRT(1-K$9^2*$C$11)*NORMSINV(J675)))*(K$7-K$5)*(K$7-K$6))))</f>
        <v>0.146844879412081</v>
      </c>
      <c r="L675" s="2" t="n">
        <v>0.05736934</v>
      </c>
      <c r="M675" s="2" t="n">
        <f aca="false">IF(M$7=M$5,M$6,IF(NORMSDIST(M$9*SQRT($C$11)*NORMSINV($B675)+SQRT(1-M$9^2*$C$11)*NORMSINV(L675))&lt;M$8,M$5+SQRT(NORMSDIST(M$9*SQRT($C$11)*NORMSINV($B675)+SQRT(1-M$9^2*$C$11)*NORMSINV(L675))*(M$7-M$5)*(M$6-M$5)),M$7-SQRT((1-NORMSDIST(M$9*SQRT($C$11)*NORMSINV($B675)+SQRT(1-M$9^2*$C$11)*NORMSINV(L675)))*(M$7-M$5)*(M$7-M$6))))</f>
        <v>1377.86505054822</v>
      </c>
      <c r="N675" s="2" t="n">
        <v>0.113953922</v>
      </c>
      <c r="O675" s="2" t="n">
        <f aca="false">IF(O$7=O$5,O$6,IF(NORMSDIST(O$9*SQRT($C$11)*NORMSINV($B675)+SQRT(1-O$9^2*$C$11)*NORMSINV(N675))&lt;O$8,O$5+SQRT(NORMSDIST(O$9*SQRT($C$11)*NORMSINV($B675)+SQRT(1-O$9^2*$C$11)*NORMSINV(N675))*(O$7-O$5)*(O$6-O$5)),O$7-SQRT((1-NORMSDIST(O$9*SQRT($C$11)*NORMSINV($B675)+SQRT(1-O$9^2*$C$11)*NORMSINV(N675)))*(O$7-O$5)*(O$7-O$6))))</f>
        <v>0.149564475408689</v>
      </c>
      <c r="P675" s="2" t="n">
        <v>0.818164052</v>
      </c>
      <c r="Q675" s="2" t="n">
        <f aca="false">IF(Q$7=Q$5,Q$6,IF(NORMSDIST(Q$9*SQRT($C$11)*NORMSINV($B675)+SQRT(1-Q$9^2*$C$11)*NORMSINV(P675))&lt;Q$8,Q$5+SQRT(NORMSDIST(Q$9*SQRT($C$11)*NORMSINV($B675)+SQRT(1-Q$9^2*$C$11)*NORMSINV(P675))*(Q$7-Q$5)*(Q$6-Q$5)),Q$7-SQRT((1-NORMSDIST(Q$9*SQRT($C$11)*NORMSINV($B675)+SQRT(1-Q$9^2*$C$11)*NORMSINV(P675)))*(Q$7-Q$5)*(Q$7-Q$6))))</f>
        <v>0.0958779139873849</v>
      </c>
      <c r="R675" s="2" t="n">
        <v>0.383947024</v>
      </c>
      <c r="S675" s="2" t="n">
        <f aca="false">IF(S$7=S$5,S$6,IF(NORMSDIST(S$9*SQRT($C$11)*NORMSINV($B675)+SQRT(1-S$9^2*$C$11)*NORMSINV(R675))&lt;S$8,S$5+SQRT(NORMSDIST(S$9*SQRT($C$11)*NORMSINV($B675)+SQRT(1-S$9^2*$C$11)*NORMSINV(R675))*(S$7-S$5)*(S$6-S$5)),S$7-SQRT((1-NORMSDIST(S$9*SQRT($C$11)*NORMSINV($B675)+SQRT(1-S$9^2*$C$11)*NORMSINV(R675)))*(S$7-S$5)*(S$7-S$6))))</f>
        <v>0.321329563444942</v>
      </c>
      <c r="T675" s="2" t="n">
        <v>0.811782878</v>
      </c>
      <c r="U675" s="2" t="n">
        <f aca="false">IF(U$7=U$5,U$6,IF(NORMSDIST(U$9*SQRT($C$11)*NORMSINV($B675)+SQRT(1-U$9^2*$C$11)*NORMSINV(T675))&lt;U$8,U$5+SQRT(NORMSDIST(U$9*SQRT($C$11)*NORMSINV($B675)+SQRT(1-U$9^2*$C$11)*NORMSINV(T675))*(U$7-U$5)*(U$6-U$5)),U$7-SQRT((1-NORMSDIST(U$9*SQRT($C$11)*NORMSINV($B675)+SQRT(1-U$9^2*$C$11)*NORMSINV(T675)))*(U$7-U$5)*(U$7-U$6))))</f>
        <v>0.519318284225468</v>
      </c>
      <c r="V675" s="2" t="n">
        <v>0.171434656</v>
      </c>
      <c r="W675" s="2" t="n">
        <f aca="false">IF(W$7=W$5,W$6,IF(NORMSDIST(W$9*SQRT($C$11)*NORMSINV($B675)+SQRT(1-W$9^2*$C$11)*NORMSINV(V675))&lt;W$8,W$5+SQRT(NORMSDIST(W$9*SQRT($C$11)*NORMSINV($B675)+SQRT(1-W$9^2*$C$11)*NORMSINV(V675))*(W$7-W$5)*(W$6-W$5)),W$7-SQRT((1-NORMSDIST(W$9*SQRT($C$11)*NORMSINV($B675)+SQRT(1-W$9^2*$C$11)*NORMSINV(V675)))*(W$7-W$5)*(W$7-W$6))))</f>
        <v>8.86085144837759</v>
      </c>
      <c r="X675" s="2" t="n">
        <v>0.068534068</v>
      </c>
      <c r="Y675" s="2" t="n">
        <f aca="false">IF(Y$7=Y$5,Y$6,IF(NORMSDIST(Y$9*SQRT($C$11)*NORMSINV($B675)+SQRT(1-Y$9^2*$C$11)*NORMSINV(X675))&lt;Y$8,Y$5+SQRT(NORMSDIST(Y$9*SQRT($C$11)*NORMSINV($B675)+SQRT(1-Y$9^2*$C$11)*NORMSINV(X675))*(Y$7-Y$5)*(Y$6-Y$5)),Y$7-SQRT((1-NORMSDIST(Y$9*SQRT($C$11)*NORMSINV($B675)+SQRT(1-Y$9^2*$C$11)*NORMSINV(X675)))*(Y$7-Y$5)*(Y$7-Y$6))))</f>
        <v>0.18511357054522</v>
      </c>
      <c r="Z675" s="2" t="n">
        <v>0.908331279</v>
      </c>
      <c r="AA675" s="2" t="n">
        <f aca="false">IF(AA$7=AA$5,AA$6,IF(NORMSDIST(AA$9*SQRT($C$11)*NORMSINV($B675)+SQRT(1-AA$9^2*$C$11)*NORMSINV(Z675))&lt;AA$8,AA$5+SQRT(NORMSDIST(AA$9*SQRT($C$11)*NORMSINV($B675)+SQRT(1-AA$9^2*$C$11)*NORMSINV(Z675))*(AA$7-AA$5)*(AA$6-AA$5)),AA$7-SQRT((1-NORMSDIST(AA$9*SQRT($C$11)*NORMSINV($B675)+SQRT(1-AA$9^2*$C$11)*NORMSINV(Z675)))*(AA$7-AA$5)*(AA$7-AA$6))))</f>
        <v>0.73328263613666</v>
      </c>
      <c r="AB675" s="2" t="n">
        <v>0.80260372</v>
      </c>
      <c r="AC675" s="2" t="n">
        <f aca="false">IF(AC$7=AC$5,AC$6,IF(NORMSDIST(AC$9*SQRT($C$11)*NORMSINV($B675)+SQRT(1-AC$9^2*$C$11)*NORMSINV(AB675))&lt;AC$8,AC$5+SQRT(NORMSDIST(AC$9*SQRT($C$11)*NORMSINV($B675)+SQRT(1-AC$9^2*$C$11)*NORMSINV(AB675))*(AC$7-AC$5)*(AC$6-AC$5)),AC$7-SQRT((1-NORMSDIST(AC$9*SQRT($C$11)*NORMSINV($B675)+SQRT(1-AC$9^2*$C$11)*NORMSINV(AB675)))*(AC$7-AC$5)*(AC$7-AC$6))))</f>
        <v>9.53498476306784</v>
      </c>
      <c r="AD675" s="2" t="n">
        <f aca="false">Entrées!$C$8*(1+E675)</f>
        <v>7424.77187565248</v>
      </c>
      <c r="AE675" s="2" t="n">
        <f aca="false">I675*Hypothèses!$J$24/12/Hypothèses!$J$19</f>
        <v>97.4972946472229</v>
      </c>
      <c r="AF675" s="2" t="n">
        <f aca="false">Entrées!$C$36*S675*1000</f>
        <v>160.664781722471</v>
      </c>
      <c r="AG675" s="2" t="n">
        <f aca="false">-AF675/W675</f>
        <v>-18.1319800538907</v>
      </c>
      <c r="AH675" s="2" t="n">
        <f aca="false">AD675+AE675+AG675</f>
        <v>7504.13719024581</v>
      </c>
      <c r="AI675" s="2" t="n">
        <f aca="false">Entrées!$C$16-M675+Hypothèses!$J$22*1000-AF675+Hypothèses!$J$23</f>
        <v>23009.4701677293</v>
      </c>
      <c r="AJ675" s="2" t="n">
        <f aca="false">AI675/AH675</f>
        <v>3.06623794107042</v>
      </c>
      <c r="AK675" s="2" t="n">
        <f aca="false">AI675/(AH675+I675*(12-Hypothèses!$J$24)/12/Hypothèses!$J$19)</f>
        <v>3.03804386904039</v>
      </c>
      <c r="AL675" s="2" t="n">
        <f aca="false">(AD675+AG675+I675/Hypothèses!$J$19)*(1+G675)</f>
        <v>7933.30776894766</v>
      </c>
      <c r="AM675" s="2" t="n">
        <f aca="false">Entrées!$C$54*K675/Hypothèses!$J$19</f>
        <v>14.9861365058083</v>
      </c>
      <c r="AN675" s="2" t="n">
        <f aca="false">Y675*1000/AC675</f>
        <v>19.4141443478993</v>
      </c>
      <c r="AO675" s="2" t="n">
        <f aca="false">(Entrées!$C$36*(1-S675)+MAX(0,Entrées!$C$30-Entrées!$C$35-Entrées!$C$36)*U675)*1000</f>
        <v>1066.38081619318</v>
      </c>
      <c r="AP675" s="2" t="n">
        <f aca="false">-AO675/W675</f>
        <v>-120.347443178097</v>
      </c>
      <c r="AQ675" s="2" t="n">
        <f aca="false">AL675+AM675+AN675+AP675</f>
        <v>7847.36060662327</v>
      </c>
      <c r="AR675" s="2" t="n">
        <f aca="false">O675*AQ675-Hypothèses!$J$25/Hypothèses!$J$19</f>
        <v>1154.55121021079</v>
      </c>
      <c r="AS675" s="2" t="n">
        <f aca="false">Entrées!$C$79*(1+Q675)+Hypothèses!$J$20</f>
        <v>1499.36982747214</v>
      </c>
      <c r="AT675" s="2" t="n">
        <f aca="false">AI675-AR675+AS675+Y675*1000-AO675+Hypothèses!$J$23</f>
        <v>22473.0215393427</v>
      </c>
      <c r="AU675" s="2" t="n">
        <f aca="false">AT675/AQ675</f>
        <v>2.86376817198577</v>
      </c>
      <c r="AV675" s="2" t="n">
        <f aca="false">Hypothèses!$J$26*AQ675-AT675</f>
        <v>1069.06028052714</v>
      </c>
      <c r="AW675" s="2" t="n">
        <f aca="false">IF(AC675&gt;Hypothèses!$J$26,MAX(0,AV675)/(1-Hypothèses!$J$26/AC675),0)</f>
        <v>1559.83125519056</v>
      </c>
      <c r="AX675" s="2" t="n">
        <f aca="false">AQ675-Entrées!$C$17*1000</f>
        <v>-152.639393376727</v>
      </c>
      <c r="AY675" s="2" t="n">
        <f aca="false">AI675+(Entrées!$C$244-Entrées!$C$13)</f>
        <v>28756.4701677293</v>
      </c>
      <c r="AZ675" s="2" t="n">
        <f aca="false">AA675*AH675</f>
        <v>5502.6535007946</v>
      </c>
      <c r="BA675" s="2" t="n">
        <f aca="false">AZ675/AY675</f>
        <v>0.191353579514419</v>
      </c>
      <c r="BB675" s="2" t="n">
        <f aca="false">AZ675/(Entrées!$C$151/100)-AY675</f>
        <v>1813.82705890734</v>
      </c>
      <c r="BC675" s="2" t="n">
        <f aca="false">AT675+(Entrées!$C$244-Entrées!$C$13)</f>
        <v>28220.0215393427</v>
      </c>
      <c r="BD675" s="2" t="n">
        <f aca="false">AA675*AQ675</f>
        <v>5754.33327233969</v>
      </c>
      <c r="BE675" s="2" t="n">
        <f aca="false">BD675/BC675</f>
        <v>0.2039095988753</v>
      </c>
      <c r="BF675" s="2" t="n">
        <f aca="false">BD675/(Entrées!$C$151/100)-BC675</f>
        <v>3748.49664032228</v>
      </c>
      <c r="BG675" s="2" t="n">
        <f aca="false">MIN(AV675,BF675)</f>
        <v>1069.06028052714</v>
      </c>
      <c r="BH675" s="2" t="n">
        <f aca="false">IF(AC675&gt;Hypothèses!$J$26,MAX(0,BG675)/(1-Hypothèses!$J$26/AC675),0)</f>
        <v>1559.83125519056</v>
      </c>
    </row>
    <row r="676" customFormat="false" ht="15" hidden="false" customHeight="false" outlineLevel="0" collapsed="false">
      <c r="A676" s="2" t="n">
        <v>661</v>
      </c>
      <c r="B676" s="2" t="n">
        <v>0.534193019</v>
      </c>
      <c r="C676" s="2"/>
      <c r="D676" s="2" t="n">
        <v>0.39267451</v>
      </c>
      <c r="E676" s="2" t="n">
        <f aca="false">IF(E$7=E$5,E$6,IF(NORMSDIST(E$9*SQRT($C$11)*NORMSINV($B676)+SQRT(1-E$9^2*$C$11)*NORMSINV(D676))&lt;E$8,E$5+SQRT(NORMSDIST(E$9*SQRT($C$11)*NORMSINV($B676)+SQRT(1-E$9^2*$C$11)*NORMSINV(D676))*(E$7-E$5)*(E$6-E$5)),E$7-SQRT((1-NORMSDIST(E$9*SQRT($C$11)*NORMSINV($B676)+SQRT(1-E$9^2*$C$11)*NORMSINV(D676)))*(E$7-E$5)*(E$7-E$6))))</f>
        <v>0.0546783756731877</v>
      </c>
      <c r="F676" s="2" t="n">
        <v>0.294603107</v>
      </c>
      <c r="G676" s="2" t="n">
        <f aca="false">IF(G$7=G$5,G$6,IF(NORMSDIST(G$9*SQRT($C$11)*NORMSINV($B676)+SQRT(1-G$9^2*$C$11)*NORMSINV(F676))&lt;G$8,G$5+SQRT(NORMSDIST(G$9*SQRT($C$11)*NORMSINV($B676)+SQRT(1-G$9^2*$C$11)*NORMSINV(F676))*(G$7-G$5)*(G$6-G$5)),G$7-SQRT((1-NORMSDIST(G$9*SQRT($C$11)*NORMSINV($B676)+SQRT(1-G$9^2*$C$11)*NORMSINV(F676)))*(G$7-G$5)*(G$7-G$6))))</f>
        <v>0.0526912714695772</v>
      </c>
      <c r="H676" s="2" t="n">
        <v>0.278917028</v>
      </c>
      <c r="I676" s="2" t="n">
        <f aca="false">IF(I$7=I$5,I$6,IF(NORMSDIST(I$9*SQRT($C$11)*NORMSINV($B676)+SQRT(1-I$9^2*$C$11)*NORMSINV(H676))&lt;I$8,I$5+SQRT(NORMSDIST(I$9*SQRT($C$11)*NORMSINV($B676)+SQRT(1-I$9^2*$C$11)*NORMSINV(H676))*(I$7-I$5)*(I$6-I$5)),I$7-SQRT((1-NORMSDIST(I$9*SQRT($C$11)*NORMSINV($B676)+SQRT(1-I$9^2*$C$11)*NORMSINV(H676)))*(I$7-I$5)*(I$7-I$6))))</f>
        <v>196.605861512014</v>
      </c>
      <c r="J676" s="2" t="n">
        <v>0.995702833</v>
      </c>
      <c r="K676" s="2" t="n">
        <f aca="false">IF(K$7=K$5,K$6,IF(NORMSDIST(K$9*SQRT($C$11)*NORMSINV($B676)+SQRT(1-K$9^2*$C$11)*NORMSINV(J676))&lt;K$8,K$5+SQRT(NORMSDIST(K$9*SQRT($C$11)*NORMSINV($B676)+SQRT(1-K$9^2*$C$11)*NORMSINV(J676))*(K$7-K$5)*(K$6-K$5)),K$7-SQRT((1-NORMSDIST(K$9*SQRT($C$11)*NORMSINV($B676)+SQRT(1-K$9^2*$C$11)*NORMSINV(J676)))*(K$7-K$5)*(K$7-K$6))))</f>
        <v>0.452145630886315</v>
      </c>
      <c r="L676" s="2" t="n">
        <v>0.05891072</v>
      </c>
      <c r="M676" s="2" t="n">
        <f aca="false">IF(M$7=M$5,M$6,IF(NORMSDIST(M$9*SQRT($C$11)*NORMSINV($B676)+SQRT(1-M$9^2*$C$11)*NORMSINV(L676))&lt;M$8,M$5+SQRT(NORMSDIST(M$9*SQRT($C$11)*NORMSINV($B676)+SQRT(1-M$9^2*$C$11)*NORMSINV(L676))*(M$7-M$5)*(M$6-M$5)),M$7-SQRT((1-NORMSDIST(M$9*SQRT($C$11)*NORMSINV($B676)+SQRT(1-M$9^2*$C$11)*NORMSINV(L676)))*(M$7-M$5)*(M$7-M$6))))</f>
        <v>1443.48265296853</v>
      </c>
      <c r="N676" s="2" t="n">
        <v>0.671761404</v>
      </c>
      <c r="O676" s="2" t="n">
        <f aca="false">IF(O$7=O$5,O$6,IF(NORMSDIST(O$9*SQRT($C$11)*NORMSINV($B676)+SQRT(1-O$9^2*$C$11)*NORMSINV(N676))&lt;O$8,O$5+SQRT(NORMSDIST(O$9*SQRT($C$11)*NORMSINV($B676)+SQRT(1-O$9^2*$C$11)*NORMSINV(N676))*(O$7-O$5)*(O$6-O$5)),O$7-SQRT((1-NORMSDIST(O$9*SQRT($C$11)*NORMSINV($B676)+SQRT(1-O$9^2*$C$11)*NORMSINV(N676)))*(O$7-O$5)*(O$7-O$6))))</f>
        <v>0.170829473085809</v>
      </c>
      <c r="P676" s="2" t="n">
        <v>0.89234228</v>
      </c>
      <c r="Q676" s="2" t="n">
        <f aca="false">IF(Q$7=Q$5,Q$6,IF(NORMSDIST(Q$9*SQRT($C$11)*NORMSINV($B676)+SQRT(1-Q$9^2*$C$11)*NORMSINV(P676))&lt;Q$8,Q$5+SQRT(NORMSDIST(Q$9*SQRT($C$11)*NORMSINV($B676)+SQRT(1-Q$9^2*$C$11)*NORMSINV(P676))*(Q$7-Q$5)*(Q$6-Q$5)),Q$7-SQRT((1-NORMSDIST(Q$9*SQRT($C$11)*NORMSINV($B676)+SQRT(1-Q$9^2*$C$11)*NORMSINV(P676)))*(Q$7-Q$5)*(Q$7-Q$6))))</f>
        <v>0.10143916208788</v>
      </c>
      <c r="R676" s="2" t="n">
        <v>0.338218347</v>
      </c>
      <c r="S676" s="2" t="n">
        <f aca="false">IF(S$7=S$5,S$6,IF(NORMSDIST(S$9*SQRT($C$11)*NORMSINV($B676)+SQRT(1-S$9^2*$C$11)*NORMSINV(R676))&lt;S$8,S$5+SQRT(NORMSDIST(S$9*SQRT($C$11)*NORMSINV($B676)+SQRT(1-S$9^2*$C$11)*NORMSINV(R676))*(S$7-S$5)*(S$6-S$5)),S$7-SQRT((1-NORMSDIST(S$9*SQRT($C$11)*NORMSINV($B676)+SQRT(1-S$9^2*$C$11)*NORMSINV(R676)))*(S$7-S$5)*(S$7-S$6))))</f>
        <v>0.443829397777371</v>
      </c>
      <c r="T676" s="2" t="n">
        <v>0.61159031</v>
      </c>
      <c r="U676" s="2" t="n">
        <f aca="false">IF(U$7=U$5,U$6,IF(NORMSDIST(U$9*SQRT($C$11)*NORMSINV($B676)+SQRT(1-U$9^2*$C$11)*NORMSINV(T676))&lt;U$8,U$5+SQRT(NORMSDIST(U$9*SQRT($C$11)*NORMSINV($B676)+SQRT(1-U$9^2*$C$11)*NORMSINV(T676))*(U$7-U$5)*(U$6-U$5)),U$7-SQRT((1-NORMSDIST(U$9*SQRT($C$11)*NORMSINV($B676)+SQRT(1-U$9^2*$C$11)*NORMSINV(T676)))*(U$7-U$5)*(U$7-U$6))))</f>
        <v>0.557223795576204</v>
      </c>
      <c r="V676" s="2" t="n">
        <v>0.473645542</v>
      </c>
      <c r="W676" s="2" t="n">
        <f aca="false">IF(W$7=W$5,W$6,IF(NORMSDIST(W$9*SQRT($C$11)*NORMSINV($B676)+SQRT(1-W$9^2*$C$11)*NORMSINV(V676))&lt;W$8,W$5+SQRT(NORMSDIST(W$9*SQRT($C$11)*NORMSINV($B676)+SQRT(1-W$9^2*$C$11)*NORMSINV(V676))*(W$7-W$5)*(W$6-W$5)),W$7-SQRT((1-NORMSDIST(W$9*SQRT($C$11)*NORMSINV($B676)+SQRT(1-W$9^2*$C$11)*NORMSINV(V676)))*(W$7-W$5)*(W$7-W$6))))</f>
        <v>10.002447820905</v>
      </c>
      <c r="X676" s="2" t="n">
        <v>0.189886546</v>
      </c>
      <c r="Y676" s="2" t="n">
        <f aca="false">IF(Y$7=Y$5,Y$6,IF(NORMSDIST(Y$9*SQRT($C$11)*NORMSINV($B676)+SQRT(1-Y$9^2*$C$11)*NORMSINV(X676))&lt;Y$8,Y$5+SQRT(NORMSDIST(Y$9*SQRT($C$11)*NORMSINV($B676)+SQRT(1-Y$9^2*$C$11)*NORMSINV(X676))*(Y$7-Y$5)*(Y$6-Y$5)),Y$7-SQRT((1-NORMSDIST(Y$9*SQRT($C$11)*NORMSINV($B676)+SQRT(1-Y$9^2*$C$11)*NORMSINV(X676)))*(Y$7-Y$5)*(Y$7-Y$6))))</f>
        <v>0.308128663061391</v>
      </c>
      <c r="Z676" s="2" t="n">
        <v>0.40805344</v>
      </c>
      <c r="AA676" s="2" t="n">
        <f aca="false">IF(AA$7=AA$5,AA$6,IF(NORMSDIST(AA$9*SQRT($C$11)*NORMSINV($B676)+SQRT(1-AA$9^2*$C$11)*NORMSINV(Z676))&lt;AA$8,AA$5+SQRT(NORMSDIST(AA$9*SQRT($C$11)*NORMSINV($B676)+SQRT(1-AA$9^2*$C$11)*NORMSINV(Z676))*(AA$7-AA$5)*(AA$6-AA$5)),AA$7-SQRT((1-NORMSDIST(AA$9*SQRT($C$11)*NORMSINV($B676)+SQRT(1-AA$9^2*$C$11)*NORMSINV(Z676)))*(AA$7-AA$5)*(AA$7-AA$6))))</f>
        <v>0.726368919088932</v>
      </c>
      <c r="AB676" s="2" t="n">
        <v>0.204044447</v>
      </c>
      <c r="AC676" s="2" t="n">
        <f aca="false">IF(AC$7=AC$5,AC$6,IF(NORMSDIST(AC$9*SQRT($C$11)*NORMSINV($B676)+SQRT(1-AC$9^2*$C$11)*NORMSINV(AB676))&lt;AC$8,AC$5+SQRT(NORMSDIST(AC$9*SQRT($C$11)*NORMSINV($B676)+SQRT(1-AC$9^2*$C$11)*NORMSINV(AB676))*(AC$7-AC$5)*(AC$6-AC$5)),AC$7-SQRT((1-NORMSDIST(AC$9*SQRT($C$11)*NORMSINV($B676)+SQRT(1-AC$9^2*$C$11)*NORMSINV(AB676)))*(AC$7-AC$5)*(AC$7-AC$6))))</f>
        <v>8.95193826486789</v>
      </c>
      <c r="AD676" s="2" t="n">
        <f aca="false">Entrées!$C$8*(1+E676)</f>
        <v>7435.48254849597</v>
      </c>
      <c r="AE676" s="2" t="n">
        <f aca="false">I676*Hypothèses!$J$24/12/Hypothèses!$J$19</f>
        <v>97.5355386345708</v>
      </c>
      <c r="AF676" s="2" t="n">
        <f aca="false">Entrées!$C$36*S676*1000</f>
        <v>221.914698888686</v>
      </c>
      <c r="AG676" s="2" t="n">
        <f aca="false">-AF676/W676</f>
        <v>-22.186039143827</v>
      </c>
      <c r="AH676" s="2" t="n">
        <f aca="false">AD676+AE676+AG676</f>
        <v>7510.83204798672</v>
      </c>
      <c r="AI676" s="2" t="n">
        <f aca="false">Entrées!$C$16-M676+Hypothèses!$J$22*1000-AF676+Hypothèses!$J$23</f>
        <v>22882.6026481428</v>
      </c>
      <c r="AJ676" s="2" t="n">
        <f aca="false">AI676/AH676</f>
        <v>3.04661354453752</v>
      </c>
      <c r="AK676" s="2" t="n">
        <f aca="false">AI676/(AH676+I676*(12-Hypothèses!$J$24)/12/Hypothèses!$J$19)</f>
        <v>3.01861378182726</v>
      </c>
      <c r="AL676" s="2" t="n">
        <f aca="false">(AD676+AG676+I676/Hypothèses!$J$19)*(1+G676)</f>
        <v>7979.92648851723</v>
      </c>
      <c r="AM676" s="2" t="n">
        <f aca="false">Entrées!$C$54*K676/Hypothèses!$J$19</f>
        <v>46.1433600687726</v>
      </c>
      <c r="AN676" s="2" t="n">
        <f aca="false">Y676*1000/AC676</f>
        <v>34.4203293124406</v>
      </c>
      <c r="AO676" s="2" t="n">
        <f aca="false">(Entrées!$C$36*(1-S676)+MAX(0,Entrées!$C$30-Entrées!$C$35-Entrées!$C$36)*U676)*1000</f>
        <v>1058.198614918</v>
      </c>
      <c r="AP676" s="2" t="n">
        <f aca="false">-AO676/W676</f>
        <v>-105.793965023879</v>
      </c>
      <c r="AQ676" s="2" t="n">
        <f aca="false">AL676+AM676+AN676+AP676</f>
        <v>7954.69621287456</v>
      </c>
      <c r="AR676" s="2" t="n">
        <f aca="false">O676*AQ676-Hypothèses!$J$25/Hypothèses!$J$19</f>
        <v>1339.76140034141</v>
      </c>
      <c r="AS676" s="2" t="n">
        <f aca="false">Entrées!$C$79*(1+Q676)+Hypothèses!$J$20</f>
        <v>1505.48163913458</v>
      </c>
      <c r="AT676" s="2" t="n">
        <f aca="false">AI676-AR676+AS676+Y676*1000-AO676+Hypothèses!$J$23</f>
        <v>22298.2529350793</v>
      </c>
      <c r="AU676" s="2" t="n">
        <f aca="false">AT676/AQ676</f>
        <v>2.80315581366765</v>
      </c>
      <c r="AV676" s="2" t="n">
        <f aca="false">Hypothèses!$J$26*AQ676-AT676</f>
        <v>1565.83570354434</v>
      </c>
      <c r="AW676" s="2" t="n">
        <f aca="false">IF(AC676&gt;Hypothèses!$J$26,MAX(0,AV676)/(1-Hypothèses!$J$26/AC676),0)</f>
        <v>2355.07559508701</v>
      </c>
      <c r="AX676" s="2" t="n">
        <f aca="false">AQ676-Entrées!$C$17*1000</f>
        <v>-45.3037871254401</v>
      </c>
      <c r="AY676" s="2" t="n">
        <f aca="false">AI676+(Entrées!$C$244-Entrées!$C$13)</f>
        <v>28629.6026481428</v>
      </c>
      <c r="AZ676" s="2" t="n">
        <f aca="false">AA676*AH676</f>
        <v>5455.63495615462</v>
      </c>
      <c r="BA676" s="2" t="n">
        <f aca="false">AZ676/AY676</f>
        <v>0.190559227216817</v>
      </c>
      <c r="BB676" s="2" t="n">
        <f aca="false">AZ676/(Entrées!$C$151/100)-AY676</f>
        <v>1679.48044160511</v>
      </c>
      <c r="BC676" s="2" t="n">
        <f aca="false">AT676+(Entrées!$C$244-Entrées!$C$13)</f>
        <v>28045.2529350793</v>
      </c>
      <c r="BD676" s="2" t="n">
        <f aca="false">AA676*AQ676</f>
        <v>5778.04408982651</v>
      </c>
      <c r="BE676" s="2" t="n">
        <f aca="false">BD676/BC676</f>
        <v>0.206025743579558</v>
      </c>
      <c r="BF676" s="2" t="n">
        <f aca="false">BD676/(Entrées!$C$151/100)-BC676</f>
        <v>4054.9920084013</v>
      </c>
      <c r="BG676" s="2" t="n">
        <f aca="false">MIN(AV676,BF676)</f>
        <v>1565.83570354434</v>
      </c>
      <c r="BH676" s="2" t="n">
        <f aca="false">IF(AC676&gt;Hypothèses!$J$26,MAX(0,BG676)/(1-Hypothèses!$J$26/AC676),0)</f>
        <v>2355.07559508701</v>
      </c>
    </row>
    <row r="677" customFormat="false" ht="15" hidden="false" customHeight="false" outlineLevel="0" collapsed="false">
      <c r="A677" s="2" t="n">
        <v>662</v>
      </c>
      <c r="B677" s="2" t="n">
        <v>0.410825239</v>
      </c>
      <c r="C677" s="2"/>
      <c r="D677" s="2" t="n">
        <v>0.704963702</v>
      </c>
      <c r="E677" s="2" t="n">
        <f aca="false">IF(E$7=E$5,E$6,IF(NORMSDIST(E$9*SQRT($C$11)*NORMSINV($B677)+SQRT(1-E$9^2*$C$11)*NORMSINV(D677))&lt;E$8,E$5+SQRT(NORMSDIST(E$9*SQRT($C$11)*NORMSINV($B677)+SQRT(1-E$9^2*$C$11)*NORMSINV(D677))*(E$7-E$5)*(E$6-E$5)),E$7-SQRT((1-NORMSDIST(E$9*SQRT($C$11)*NORMSINV($B677)+SQRT(1-E$9^2*$C$11)*NORMSINV(D677)))*(E$7-E$5)*(E$7-E$6))))</f>
        <v>0.0555741548168945</v>
      </c>
      <c r="F677" s="2" t="n">
        <v>0.15683705</v>
      </c>
      <c r="G677" s="2" t="n">
        <f aca="false">IF(G$7=G$5,G$6,IF(NORMSDIST(G$9*SQRT($C$11)*NORMSINV($B677)+SQRT(1-G$9^2*$C$11)*NORMSINV(F677))&lt;G$8,G$5+SQRT(NORMSDIST(G$9*SQRT($C$11)*NORMSINV($B677)+SQRT(1-G$9^2*$C$11)*NORMSINV(F677))*(G$7-G$5)*(G$6-G$5)),G$7-SQRT((1-NORMSDIST(G$9*SQRT($C$11)*NORMSINV($B677)+SQRT(1-G$9^2*$C$11)*NORMSINV(F677)))*(G$7-G$5)*(G$7-G$6))))</f>
        <v>0.0489498922684445</v>
      </c>
      <c r="H677" s="2" t="n">
        <v>0.851546226</v>
      </c>
      <c r="I677" s="2" t="n">
        <f aca="false">IF(I$7=I$5,I$6,IF(NORMSDIST(I$9*SQRT($C$11)*NORMSINV($B677)+SQRT(1-I$9^2*$C$11)*NORMSINV(H677))&lt;I$8,I$5+SQRT(NORMSDIST(I$9*SQRT($C$11)*NORMSINV($B677)+SQRT(1-I$9^2*$C$11)*NORMSINV(H677))*(I$7-I$5)*(I$6-I$5)),I$7-SQRT((1-NORMSDIST(I$9*SQRT($C$11)*NORMSINV($B677)+SQRT(1-I$9^2*$C$11)*NORMSINV(H677)))*(I$7-I$5)*(I$7-I$6))))</f>
        <v>205.776175136341</v>
      </c>
      <c r="J677" s="2" t="n">
        <v>0.864735725</v>
      </c>
      <c r="K677" s="2" t="n">
        <f aca="false">IF(K$7=K$5,K$6,IF(NORMSDIST(K$9*SQRT($C$11)*NORMSINV($B677)+SQRT(1-K$9^2*$C$11)*NORMSINV(J677))&lt;K$8,K$5+SQRT(NORMSDIST(K$9*SQRT($C$11)*NORMSINV($B677)+SQRT(1-K$9^2*$C$11)*NORMSINV(J677))*(K$7-K$5)*(K$6-K$5)),K$7-SQRT((1-NORMSDIST(K$9*SQRT($C$11)*NORMSINV($B677)+SQRT(1-K$9^2*$C$11)*NORMSINV(J677)))*(K$7-K$5)*(K$7-K$6))))</f>
        <v>0.327312431817126</v>
      </c>
      <c r="L677" s="2" t="n">
        <v>0.29426512</v>
      </c>
      <c r="M677" s="2" t="n">
        <f aca="false">IF(M$7=M$5,M$6,IF(NORMSDIST(M$9*SQRT($C$11)*NORMSINV($B677)+SQRT(1-M$9^2*$C$11)*NORMSINV(L677))&lt;M$8,M$5+SQRT(NORMSDIST(M$9*SQRT($C$11)*NORMSINV($B677)+SQRT(1-M$9^2*$C$11)*NORMSINV(L677))*(M$7-M$5)*(M$6-M$5)),M$7-SQRT((1-NORMSDIST(M$9*SQRT($C$11)*NORMSINV($B677)+SQRT(1-M$9^2*$C$11)*NORMSINV(L677)))*(M$7-M$5)*(M$7-M$6))))</f>
        <v>1517.03771934062</v>
      </c>
      <c r="N677" s="2" t="n">
        <v>0.873847009</v>
      </c>
      <c r="O677" s="2" t="n">
        <f aca="false">IF(O$7=O$5,O$6,IF(NORMSDIST(O$9*SQRT($C$11)*NORMSINV($B677)+SQRT(1-O$9^2*$C$11)*NORMSINV(N677))&lt;O$8,O$5+SQRT(NORMSDIST(O$9*SQRT($C$11)*NORMSINV($B677)+SQRT(1-O$9^2*$C$11)*NORMSINV(N677))*(O$7-O$5)*(O$6-O$5)),O$7-SQRT((1-NORMSDIST(O$9*SQRT($C$11)*NORMSINV($B677)+SQRT(1-O$9^2*$C$11)*NORMSINV(N677)))*(O$7-O$5)*(O$7-O$6))))</f>
        <v>0.174402694370421</v>
      </c>
      <c r="P677" s="2" t="n">
        <v>0.224179257</v>
      </c>
      <c r="Q677" s="2" t="n">
        <f aca="false">IF(Q$7=Q$5,Q$6,IF(NORMSDIST(Q$9*SQRT($C$11)*NORMSINV($B677)+SQRT(1-Q$9^2*$C$11)*NORMSINV(P677))&lt;Q$8,Q$5+SQRT(NORMSDIST(Q$9*SQRT($C$11)*NORMSINV($B677)+SQRT(1-Q$9^2*$C$11)*NORMSINV(P677))*(Q$7-Q$5)*(Q$6-Q$5)),Q$7-SQRT((1-NORMSDIST(Q$9*SQRT($C$11)*NORMSINV($B677)+SQRT(1-Q$9^2*$C$11)*NORMSINV(P677)))*(Q$7-Q$5)*(Q$7-Q$6))))</f>
        <v>0.0667838313614763</v>
      </c>
      <c r="R677" s="2" t="n">
        <v>0.442808647</v>
      </c>
      <c r="S677" s="2" t="n">
        <f aca="false">IF(S$7=S$5,S$6,IF(NORMSDIST(S$9*SQRT($C$11)*NORMSINV($B677)+SQRT(1-S$9^2*$C$11)*NORMSINV(R677))&lt;S$8,S$5+SQRT(NORMSDIST(S$9*SQRT($C$11)*NORMSINV($B677)+SQRT(1-S$9^2*$C$11)*NORMSINV(R677))*(S$7-S$5)*(S$6-S$5)),S$7-SQRT((1-NORMSDIST(S$9*SQRT($C$11)*NORMSINV($B677)+SQRT(1-S$9^2*$C$11)*NORMSINV(R677)))*(S$7-S$5)*(S$7-S$6))))</f>
        <v>0.447073195427804</v>
      </c>
      <c r="T677" s="2" t="n">
        <v>0.629803157</v>
      </c>
      <c r="U677" s="2" t="n">
        <f aca="false">IF(U$7=U$5,U$6,IF(NORMSDIST(U$9*SQRT($C$11)*NORMSINV($B677)+SQRT(1-U$9^2*$C$11)*NORMSINV(T677))&lt;U$8,U$5+SQRT(NORMSDIST(U$9*SQRT($C$11)*NORMSINV($B677)+SQRT(1-U$9^2*$C$11)*NORMSINV(T677))*(U$7-U$5)*(U$6-U$5)),U$7-SQRT((1-NORMSDIST(U$9*SQRT($C$11)*NORMSINV($B677)+SQRT(1-U$9^2*$C$11)*NORMSINV(T677)))*(U$7-U$5)*(U$7-U$6))))</f>
        <v>0.523246589236446</v>
      </c>
      <c r="V677" s="2" t="n">
        <v>0.073355969</v>
      </c>
      <c r="W677" s="2" t="n">
        <f aca="false">IF(W$7=W$5,W$6,IF(NORMSDIST(W$9*SQRT($C$11)*NORMSINV($B677)+SQRT(1-W$9^2*$C$11)*NORMSINV(V677))&lt;W$8,W$5+SQRT(NORMSDIST(W$9*SQRT($C$11)*NORMSINV($B677)+SQRT(1-W$9^2*$C$11)*NORMSINV(V677))*(W$7-W$5)*(W$6-W$5)),W$7-SQRT((1-NORMSDIST(W$9*SQRT($C$11)*NORMSINV($B677)+SQRT(1-W$9^2*$C$11)*NORMSINV(V677)))*(W$7-W$5)*(W$7-W$6))))</f>
        <v>8.90611940972028</v>
      </c>
      <c r="X677" s="2" t="n">
        <v>0.889470892</v>
      </c>
      <c r="Y677" s="2" t="n">
        <f aca="false">IF(Y$7=Y$5,Y$6,IF(NORMSDIST(Y$9*SQRT($C$11)*NORMSINV($B677)+SQRT(1-Y$9^2*$C$11)*NORMSINV(X677))&lt;Y$8,Y$5+SQRT(NORMSDIST(Y$9*SQRT($C$11)*NORMSINV($B677)+SQRT(1-Y$9^2*$C$11)*NORMSINV(X677))*(Y$7-Y$5)*(Y$6-Y$5)),Y$7-SQRT((1-NORMSDIST(Y$9*SQRT($C$11)*NORMSINV($B677)+SQRT(1-Y$9^2*$C$11)*NORMSINV(X677)))*(Y$7-Y$5)*(Y$7-Y$6))))</f>
        <v>0.764915857616895</v>
      </c>
      <c r="Z677" s="2" t="n">
        <v>0.684955712</v>
      </c>
      <c r="AA677" s="2" t="n">
        <f aca="false">IF(AA$7=AA$5,AA$6,IF(NORMSDIST(AA$9*SQRT($C$11)*NORMSINV($B677)+SQRT(1-AA$9^2*$C$11)*NORMSINV(Z677))&lt;AA$8,AA$5+SQRT(NORMSDIST(AA$9*SQRT($C$11)*NORMSINV($B677)+SQRT(1-AA$9^2*$C$11)*NORMSINV(Z677))*(AA$7-AA$5)*(AA$6-AA$5)),AA$7-SQRT((1-NORMSDIST(AA$9*SQRT($C$11)*NORMSINV($B677)+SQRT(1-AA$9^2*$C$11)*NORMSINV(Z677)))*(AA$7-AA$5)*(AA$7-AA$6))))</f>
        <v>0.73090977567428</v>
      </c>
      <c r="AB677" s="2" t="n">
        <v>0.870632009</v>
      </c>
      <c r="AC677" s="2" t="n">
        <f aca="false">IF(AC$7=AC$5,AC$6,IF(NORMSDIST(AC$9*SQRT($C$11)*NORMSINV($B677)+SQRT(1-AC$9^2*$C$11)*NORMSINV(AB677))&lt;AC$8,AC$5+SQRT(NORMSDIST(AC$9*SQRT($C$11)*NORMSINV($B677)+SQRT(1-AC$9^2*$C$11)*NORMSINV(AB677))*(AC$7-AC$5)*(AC$6-AC$5)),AC$7-SQRT((1-NORMSDIST(AC$9*SQRT($C$11)*NORMSINV($B677)+SQRT(1-AC$9^2*$C$11)*NORMSINV(AB677)))*(AC$7-AC$5)*(AC$7-AC$6))))</f>
        <v>9.99886145446225</v>
      </c>
      <c r="AD677" s="2" t="n">
        <f aca="false">Entrées!$C$8*(1+E677)</f>
        <v>7441.79779145911</v>
      </c>
      <c r="AE677" s="2" t="n">
        <f aca="false">I677*Hypothèses!$J$24/12/Hypothèses!$J$19</f>
        <v>102.084901872869</v>
      </c>
      <c r="AF677" s="2" t="n">
        <f aca="false">Entrées!$C$36*S677*1000</f>
        <v>223.536597713902</v>
      </c>
      <c r="AG677" s="2" t="n">
        <f aca="false">-AF677/W677</f>
        <v>-25.0992140830641</v>
      </c>
      <c r="AH677" s="2" t="n">
        <f aca="false">AD677+AE677+AG677</f>
        <v>7518.78347924891</v>
      </c>
      <c r="AI677" s="2" t="n">
        <f aca="false">Entrées!$C$16-M677+Hypothèses!$J$22*1000-AF677+Hypothèses!$J$23</f>
        <v>22807.4256829455</v>
      </c>
      <c r="AJ677" s="2" t="n">
        <f aca="false">AI677/AH677</f>
        <v>3.03339306762746</v>
      </c>
      <c r="AK677" s="2" t="n">
        <f aca="false">AI677/(AH677+I677*(12-Hypothèses!$J$24)/12/Hypothèses!$J$19)</f>
        <v>3.00425752843912</v>
      </c>
      <c r="AL677" s="2" t="n">
        <f aca="false">(AD677+AG677+I677/Hypothèses!$J$19)*(1+G677)</f>
        <v>7963.31422542061</v>
      </c>
      <c r="AM677" s="2" t="n">
        <f aca="false">Entrées!$C$54*K677/Hypothèses!$J$19</f>
        <v>33.4036079630298</v>
      </c>
      <c r="AN677" s="2" t="n">
        <f aca="false">Y677*1000/AC677</f>
        <v>76.5002956687165</v>
      </c>
      <c r="AO677" s="2" t="n">
        <f aca="false">(Entrées!$C$36*(1-S677)+MAX(0,Entrées!$C$30-Entrées!$C$35-Entrées!$C$36)*U677)*1000</f>
        <v>1009.00862721712</v>
      </c>
      <c r="AP677" s="2" t="n">
        <f aca="false">-AO677/W677</f>
        <v>-113.293857941751</v>
      </c>
      <c r="AQ677" s="2" t="n">
        <f aca="false">AL677+AM677+AN677+AP677</f>
        <v>7959.9242711106</v>
      </c>
      <c r="AR677" s="2" t="n">
        <f aca="false">O677*AQ677-Hypothèses!$J$25/Hypothèses!$J$19</f>
        <v>1369.09707760458</v>
      </c>
      <c r="AS677" s="2" t="n">
        <f aca="false">Entrées!$C$79*(1+Q677)+Hypothèses!$J$20</f>
        <v>1467.39543066626</v>
      </c>
      <c r="AT677" s="2" t="n">
        <f aca="false">AI677-AR677+AS677+Y677*1000-AO677+Hypothèses!$J$23</f>
        <v>22661.6312664069</v>
      </c>
      <c r="AU677" s="2" t="n">
        <f aca="false">AT677/AQ677</f>
        <v>2.8469656864267</v>
      </c>
      <c r="AV677" s="2" t="n">
        <f aca="false">Hypothèses!$J$26*AQ677-AT677</f>
        <v>1218.14154692486</v>
      </c>
      <c r="AW677" s="2" t="n">
        <f aca="false">IF(AC677&gt;Hypothèses!$J$26,MAX(0,AV677)/(1-Hypothèses!$J$26/AC677),0)</f>
        <v>1740.28713653995</v>
      </c>
      <c r="AX677" s="2" t="n">
        <f aca="false">AQ677-Entrées!$C$17*1000</f>
        <v>-40.0757288893992</v>
      </c>
      <c r="AY677" s="2" t="n">
        <f aca="false">AI677+(Entrées!$C$244-Entrées!$C$13)</f>
        <v>28554.4256829455</v>
      </c>
      <c r="AZ677" s="2" t="n">
        <f aca="false">AA677*AH677</f>
        <v>5495.5523461613</v>
      </c>
      <c r="BA677" s="2" t="n">
        <f aca="false">AZ677/AY677</f>
        <v>0.192458864597077</v>
      </c>
      <c r="BB677" s="2" t="n">
        <f aca="false">AZ677/(Entrées!$C$151/100)-AY677</f>
        <v>1976.4206846173</v>
      </c>
      <c r="BC677" s="2" t="n">
        <f aca="false">AT677+(Entrées!$C$244-Entrées!$C$13)</f>
        <v>28408.6312664069</v>
      </c>
      <c r="BD677" s="2" t="n">
        <f aca="false">AA677*AQ677</f>
        <v>5817.9864633817</v>
      </c>
      <c r="BE677" s="2" t="n">
        <f aca="false">BD677/BC677</f>
        <v>0.204796436999112</v>
      </c>
      <c r="BF677" s="2" t="n">
        <f aca="false">BD677/(Entrées!$C$151/100)-BC677</f>
        <v>3913.5157523803</v>
      </c>
      <c r="BG677" s="2" t="n">
        <f aca="false">MIN(AV677,BF677)</f>
        <v>1218.14154692486</v>
      </c>
      <c r="BH677" s="2" t="n">
        <f aca="false">IF(AC677&gt;Hypothèses!$J$26,MAX(0,BG677)/(1-Hypothèses!$J$26/AC677),0)</f>
        <v>1740.28713653995</v>
      </c>
    </row>
    <row r="678" customFormat="false" ht="15" hidden="false" customHeight="false" outlineLevel="0" collapsed="false">
      <c r="A678" s="2" t="n">
        <v>663</v>
      </c>
      <c r="B678" s="2" t="n">
        <v>0.53848178</v>
      </c>
      <c r="C678" s="2"/>
      <c r="D678" s="2" t="n">
        <v>0.926699503</v>
      </c>
      <c r="E678" s="2" t="n">
        <f aca="false">IF(E$7=E$5,E$6,IF(NORMSDIST(E$9*SQRT($C$11)*NORMSINV($B678)+SQRT(1-E$9^2*$C$11)*NORMSINV(D678))&lt;E$8,E$5+SQRT(NORMSDIST(E$9*SQRT($C$11)*NORMSINV($B678)+SQRT(1-E$9^2*$C$11)*NORMSINV(D678))*(E$7-E$5)*(E$6-E$5)),E$7-SQRT((1-NORMSDIST(E$9*SQRT($C$11)*NORMSINV($B678)+SQRT(1-E$9^2*$C$11)*NORMSINV(D678)))*(E$7-E$5)*(E$7-E$6))))</f>
        <v>0.0575720148702692</v>
      </c>
      <c r="F678" s="2" t="n">
        <v>0.341449623</v>
      </c>
      <c r="G678" s="2" t="n">
        <f aca="false">IF(G$7=G$5,G$6,IF(NORMSDIST(G$9*SQRT($C$11)*NORMSINV($B678)+SQRT(1-G$9^2*$C$11)*NORMSINV(F678))&lt;G$8,G$5+SQRT(NORMSDIST(G$9*SQRT($C$11)*NORMSINV($B678)+SQRT(1-G$9^2*$C$11)*NORMSINV(F678))*(G$7-G$5)*(G$6-G$5)),G$7-SQRT((1-NORMSDIST(G$9*SQRT($C$11)*NORMSINV($B678)+SQRT(1-G$9^2*$C$11)*NORMSINV(F678)))*(G$7-G$5)*(G$7-G$6))))</f>
        <v>0.0534035622192961</v>
      </c>
      <c r="H678" s="2" t="n">
        <v>0.664547161</v>
      </c>
      <c r="I678" s="2" t="n">
        <f aca="false">IF(I$7=I$5,I$6,IF(NORMSDIST(I$9*SQRT($C$11)*NORMSINV($B678)+SQRT(1-I$9^2*$C$11)*NORMSINV(H678))&lt;I$8,I$5+SQRT(NORMSDIST(I$9*SQRT($C$11)*NORMSINV($B678)+SQRT(1-I$9^2*$C$11)*NORMSINV(H678))*(I$7-I$5)*(I$6-I$5)),I$7-SQRT((1-NORMSDIST(I$9*SQRT($C$11)*NORMSINV($B678)+SQRT(1-I$9^2*$C$11)*NORMSINV(H678)))*(I$7-I$5)*(I$7-I$6))))</f>
        <v>203.310298446824</v>
      </c>
      <c r="J678" s="2" t="n">
        <v>0.675493183</v>
      </c>
      <c r="K678" s="2" t="n">
        <f aca="false">IF(K$7=K$5,K$6,IF(NORMSDIST(K$9*SQRT($C$11)*NORMSINV($B678)+SQRT(1-K$9^2*$C$11)*NORMSINV(J678))&lt;K$8,K$5+SQRT(NORMSDIST(K$9*SQRT($C$11)*NORMSINV($B678)+SQRT(1-K$9^2*$C$11)*NORMSINV(J678))*(K$7-K$5)*(K$6-K$5)),K$7-SQRT((1-NORMSDIST(K$9*SQRT($C$11)*NORMSINV($B678)+SQRT(1-K$9^2*$C$11)*NORMSINV(J678)))*(K$7-K$5)*(K$7-K$6))))</f>
        <v>0.29397609308147</v>
      </c>
      <c r="L678" s="2" t="n">
        <v>0.668454189</v>
      </c>
      <c r="M678" s="2" t="n">
        <f aca="false">IF(M$7=M$5,M$6,IF(NORMSDIST(M$9*SQRT($C$11)*NORMSINV($B678)+SQRT(1-M$9^2*$C$11)*NORMSINV(L678))&lt;M$8,M$5+SQRT(NORMSDIST(M$9*SQRT($C$11)*NORMSINV($B678)+SQRT(1-M$9^2*$C$11)*NORMSINV(L678))*(M$7-M$5)*(M$6-M$5)),M$7-SQRT((1-NORMSDIST(M$9*SQRT($C$11)*NORMSINV($B678)+SQRT(1-M$9^2*$C$11)*NORMSINV(L678)))*(M$7-M$5)*(M$7-M$6))))</f>
        <v>1626.10925765914</v>
      </c>
      <c r="N678" s="2" t="n">
        <v>0.834623331</v>
      </c>
      <c r="O678" s="2" t="n">
        <f aca="false">IF(O$7=O$5,O$6,IF(NORMSDIST(O$9*SQRT($C$11)*NORMSINV($B678)+SQRT(1-O$9^2*$C$11)*NORMSINV(N678))&lt;O$8,O$5+SQRT(NORMSDIST(O$9*SQRT($C$11)*NORMSINV($B678)+SQRT(1-O$9^2*$C$11)*NORMSINV(N678))*(O$7-O$5)*(O$6-O$5)),O$7-SQRT((1-NORMSDIST(O$9*SQRT($C$11)*NORMSINV($B678)+SQRT(1-O$9^2*$C$11)*NORMSINV(N678)))*(O$7-O$5)*(O$7-O$6))))</f>
        <v>0.175126375979471</v>
      </c>
      <c r="P678" s="2" t="n">
        <v>0.056035663</v>
      </c>
      <c r="Q678" s="2" t="n">
        <f aca="false">IF(Q$7=Q$5,Q$6,IF(NORMSDIST(Q$9*SQRT($C$11)*NORMSINV($B678)+SQRT(1-Q$9^2*$C$11)*NORMSINV(P678))&lt;Q$8,Q$5+SQRT(NORMSDIST(Q$9*SQRT($C$11)*NORMSINV($B678)+SQRT(1-Q$9^2*$C$11)*NORMSINV(P678))*(Q$7-Q$5)*(Q$6-Q$5)),Q$7-SQRT((1-NORMSDIST(Q$9*SQRT($C$11)*NORMSINV($B678)+SQRT(1-Q$9^2*$C$11)*NORMSINV(P678)))*(Q$7-Q$5)*(Q$7-Q$6))))</f>
        <v>0.0533908222899119</v>
      </c>
      <c r="R678" s="2" t="n">
        <v>0.983978054</v>
      </c>
      <c r="S678" s="2" t="n">
        <f aca="false">IF(S$7=S$5,S$6,IF(NORMSDIST(S$9*SQRT($C$11)*NORMSINV($B678)+SQRT(1-S$9^2*$C$11)*NORMSINV(R678))&lt;S$8,S$5+SQRT(NORMSDIST(S$9*SQRT($C$11)*NORMSINV($B678)+SQRT(1-S$9^2*$C$11)*NORMSINV(R678))*(S$7-S$5)*(S$6-S$5)),S$7-SQRT((1-NORMSDIST(S$9*SQRT($C$11)*NORMSINV($B678)+SQRT(1-S$9^2*$C$11)*NORMSINV(R678)))*(S$7-S$5)*(S$7-S$6))))</f>
        <v>0.854124700275071</v>
      </c>
      <c r="T678" s="2" t="n">
        <v>0.000217097</v>
      </c>
      <c r="U678" s="2" t="n">
        <f aca="false">IF(U$7=U$5,U$6,IF(NORMSDIST(U$9*SQRT($C$11)*NORMSINV($B678)+SQRT(1-U$9^2*$C$11)*NORMSINV(T678))&lt;U$8,U$5+SQRT(NORMSDIST(U$9*SQRT($C$11)*NORMSINV($B678)+SQRT(1-U$9^2*$C$11)*NORMSINV(T678))*(U$7-U$5)*(U$6-U$5)),U$7-SQRT((1-NORMSDIST(U$9*SQRT($C$11)*NORMSINV($B678)+SQRT(1-U$9^2*$C$11)*NORMSINV(T678)))*(U$7-U$5)*(U$7-U$6))))</f>
        <v>0.0439222446439005</v>
      </c>
      <c r="V678" s="2" t="n">
        <v>0.233629446</v>
      </c>
      <c r="W678" s="2" t="n">
        <f aca="false">IF(W$7=W$5,W$6,IF(NORMSDIST(W$9*SQRT($C$11)*NORMSINV($B678)+SQRT(1-W$9^2*$C$11)*NORMSINV(V678))&lt;W$8,W$5+SQRT(NORMSDIST(W$9*SQRT($C$11)*NORMSINV($B678)+SQRT(1-W$9^2*$C$11)*NORMSINV(V678))*(W$7-W$5)*(W$6-W$5)),W$7-SQRT((1-NORMSDIST(W$9*SQRT($C$11)*NORMSINV($B678)+SQRT(1-W$9^2*$C$11)*NORMSINV(V678)))*(W$7-W$5)*(W$7-W$6))))</f>
        <v>9.56929965923855</v>
      </c>
      <c r="X678" s="2" t="n">
        <v>0.674155392</v>
      </c>
      <c r="Y678" s="2" t="n">
        <f aca="false">IF(Y$7=Y$5,Y$6,IF(NORMSDIST(Y$9*SQRT($C$11)*NORMSINV($B678)+SQRT(1-Y$9^2*$C$11)*NORMSINV(X678))&lt;Y$8,Y$5+SQRT(NORMSDIST(Y$9*SQRT($C$11)*NORMSINV($B678)+SQRT(1-Y$9^2*$C$11)*NORMSINV(X678))*(Y$7-Y$5)*(Y$6-Y$5)),Y$7-SQRT((1-NORMSDIST(Y$9*SQRT($C$11)*NORMSINV($B678)+SQRT(1-Y$9^2*$C$11)*NORMSINV(X678)))*(Y$7-Y$5)*(Y$7-Y$6))))</f>
        <v>0.596363648812449</v>
      </c>
      <c r="Z678" s="2" t="n">
        <v>0.796251787</v>
      </c>
      <c r="AA678" s="2" t="n">
        <f aca="false">IF(AA$7=AA$5,AA$6,IF(NORMSDIST(AA$9*SQRT($C$11)*NORMSINV($B678)+SQRT(1-AA$9^2*$C$11)*NORMSINV(Z678))&lt;AA$8,AA$5+SQRT(NORMSDIST(AA$9*SQRT($C$11)*NORMSINV($B678)+SQRT(1-AA$9^2*$C$11)*NORMSINV(Z678))*(AA$7-AA$5)*(AA$6-AA$5)),AA$7-SQRT((1-NORMSDIST(AA$9*SQRT($C$11)*NORMSINV($B678)+SQRT(1-AA$9^2*$C$11)*NORMSINV(Z678)))*(AA$7-AA$5)*(AA$7-AA$6))))</f>
        <v>0.736265455477078</v>
      </c>
      <c r="AB678" s="2" t="n">
        <v>0.500742011</v>
      </c>
      <c r="AC678" s="2" t="n">
        <f aca="false">IF(AC$7=AC$5,AC$6,IF(NORMSDIST(AC$9*SQRT($C$11)*NORMSINV($B678)+SQRT(1-AC$9^2*$C$11)*NORMSINV(AB678))&lt;AC$8,AC$5+SQRT(NORMSDIST(AC$9*SQRT($C$11)*NORMSINV($B678)+SQRT(1-AC$9^2*$C$11)*NORMSINV(AB678))*(AC$7-AC$5)*(AC$6-AC$5)),AC$7-SQRT((1-NORMSDIST(AC$9*SQRT($C$11)*NORMSINV($B678)+SQRT(1-AC$9^2*$C$11)*NORMSINV(AB678)))*(AC$7-AC$5)*(AC$7-AC$6))))</f>
        <v>9.529655622921</v>
      </c>
      <c r="AD678" s="2" t="n">
        <f aca="false">Entrées!$C$8*(1+E678)</f>
        <v>7455.8827048354</v>
      </c>
      <c r="AE678" s="2" t="n">
        <f aca="false">I678*Hypothèses!$J$24/12/Hypothèses!$J$19</f>
        <v>100.861588339545</v>
      </c>
      <c r="AF678" s="2" t="n">
        <f aca="false">Entrées!$C$36*S678*1000</f>
        <v>427.062350137536</v>
      </c>
      <c r="AG678" s="2" t="n">
        <f aca="false">-AF678/W678</f>
        <v>-44.6283808998743</v>
      </c>
      <c r="AH678" s="2" t="n">
        <f aca="false">AD678+AE678+AG678</f>
        <v>7512.11591227507</v>
      </c>
      <c r="AI678" s="2" t="n">
        <f aca="false">Entrées!$C$16-M678+Hypothèses!$J$22*1000-AF678+Hypothèses!$J$23</f>
        <v>22494.8283922033</v>
      </c>
      <c r="AJ678" s="2" t="n">
        <f aca="false">AI678/AH678</f>
        <v>2.99447301597756</v>
      </c>
      <c r="AK678" s="2" t="n">
        <f aca="false">AI678/(AH678+I678*(12-Hypothèses!$J$24)/12/Hypothèses!$J$19)</f>
        <v>2.96602770472955</v>
      </c>
      <c r="AL678" s="2" t="n">
        <f aca="false">(AD678+AG678+I678/Hypothèses!$J$19)*(1+G678)</f>
        <v>7989.18105925765</v>
      </c>
      <c r="AM678" s="2" t="n">
        <f aca="false">Entrées!$C$54*K678/Hypothèses!$J$19</f>
        <v>30.0014946248148</v>
      </c>
      <c r="AN678" s="2" t="n">
        <f aca="false">Y678*1000/AC678</f>
        <v>62.5797691343702</v>
      </c>
      <c r="AO678" s="2" t="n">
        <f aca="false">(Entrées!$C$36*(1-S678)+MAX(0,Entrées!$C$30-Entrées!$C$35-Entrées!$C$36)*U678)*1000</f>
        <v>134.428792363925</v>
      </c>
      <c r="AP678" s="2" t="n">
        <f aca="false">-AO678/W678</f>
        <v>-14.0479237928496</v>
      </c>
      <c r="AQ678" s="2" t="n">
        <f aca="false">AL678+AM678+AN678+AP678</f>
        <v>8067.71439922399</v>
      </c>
      <c r="AR678" s="2" t="n">
        <f aca="false">O678*AQ678-Hypothèses!$J$25/Hypothèses!$J$19</f>
        <v>1393.73442291187</v>
      </c>
      <c r="AS678" s="2" t="n">
        <f aca="false">Entrées!$C$79*(1+Q678)+Hypothèses!$J$20</f>
        <v>1452.67651369661</v>
      </c>
      <c r="AT678" s="2" t="n">
        <f aca="false">AI678-AR678+AS678+Y678*1000-AO678+Hypothèses!$J$23</f>
        <v>23015.7053394366</v>
      </c>
      <c r="AU678" s="2" t="n">
        <f aca="false">AT678/AQ678</f>
        <v>2.85281607658923</v>
      </c>
      <c r="AV678" s="2" t="n">
        <f aca="false">Hypothèses!$J$26*AQ678-AT678</f>
        <v>1187.43785823537</v>
      </c>
      <c r="AW678" s="2" t="n">
        <f aca="false">IF(AC678&gt;Hypothèses!$J$26,MAX(0,AV678)/(1-Hypothèses!$J$26/AC678),0)</f>
        <v>1732.99703936605</v>
      </c>
      <c r="AX678" s="2" t="n">
        <f aca="false">AQ678-Entrées!$C$17*1000</f>
        <v>67.714399223988</v>
      </c>
      <c r="AY678" s="2" t="n">
        <f aca="false">AI678+(Entrées!$C$244-Entrées!$C$13)</f>
        <v>28241.8283922033</v>
      </c>
      <c r="AZ678" s="2" t="n">
        <f aca="false">AA678*AH678</f>
        <v>5530.91144374781</v>
      </c>
      <c r="BA678" s="2" t="n">
        <f aca="false">AZ678/AY678</f>
        <v>0.195841124977401</v>
      </c>
      <c r="BB678" s="2" t="n">
        <f aca="false">AZ678/(Entrées!$C$151/100)-AY678</f>
        <v>2485.45740639562</v>
      </c>
      <c r="BC678" s="2" t="n">
        <f aca="false">AT678+(Entrées!$C$244-Entrées!$C$13)</f>
        <v>28762.7053394366</v>
      </c>
      <c r="BD678" s="2" t="n">
        <f aca="false">AA678*AQ678</f>
        <v>5939.97941680363</v>
      </c>
      <c r="BE678" s="2" t="n">
        <f aca="false">BD678/BC678</f>
        <v>0.206516714846684</v>
      </c>
      <c r="BF678" s="2" t="n">
        <f aca="false">BD678/(Entrées!$C$151/100)-BC678</f>
        <v>4237.18030947248</v>
      </c>
      <c r="BG678" s="2" t="n">
        <f aca="false">MIN(AV678,BF678)</f>
        <v>1187.43785823537</v>
      </c>
      <c r="BH678" s="2" t="n">
        <f aca="false">IF(AC678&gt;Hypothèses!$J$26,MAX(0,BG678)/(1-Hypothèses!$J$26/AC678),0)</f>
        <v>1732.99703936605</v>
      </c>
    </row>
    <row r="679" customFormat="false" ht="15" hidden="false" customHeight="false" outlineLevel="0" collapsed="false">
      <c r="A679" s="2" t="n">
        <v>664</v>
      </c>
      <c r="B679" s="2" t="n">
        <v>0.40099482</v>
      </c>
      <c r="C679" s="2"/>
      <c r="D679" s="2" t="n">
        <v>0.368033262</v>
      </c>
      <c r="E679" s="2" t="n">
        <f aca="false">IF(E$7=E$5,E$6,IF(NORMSDIST(E$9*SQRT($C$11)*NORMSINV($B679)+SQRT(1-E$9^2*$C$11)*NORMSINV(D679))&lt;E$8,E$5+SQRT(NORMSDIST(E$9*SQRT($C$11)*NORMSINV($B679)+SQRT(1-E$9^2*$C$11)*NORMSINV(D679))*(E$7-E$5)*(E$6-E$5)),E$7-SQRT((1-NORMSDIST(E$9*SQRT($C$11)*NORMSINV($B679)+SQRT(1-E$9^2*$C$11)*NORMSINV(D679)))*(E$7-E$5)*(E$7-E$6))))</f>
        <v>0.0541070345304336</v>
      </c>
      <c r="F679" s="2" t="n">
        <v>0.03286564</v>
      </c>
      <c r="G679" s="2" t="n">
        <f aca="false">IF(G$7=G$5,G$6,IF(NORMSDIST(G$9*SQRT($C$11)*NORMSINV($B679)+SQRT(1-G$9^2*$C$11)*NORMSINV(F679))&lt;G$8,G$5+SQRT(NORMSDIST(G$9*SQRT($C$11)*NORMSINV($B679)+SQRT(1-G$9^2*$C$11)*NORMSINV(F679))*(G$7-G$5)*(G$6-G$5)),G$7-SQRT((1-NORMSDIST(G$9*SQRT($C$11)*NORMSINV($B679)+SQRT(1-G$9^2*$C$11)*NORMSINV(F679)))*(G$7-G$5)*(G$7-G$6))))</f>
        <v>0.0450463587968203</v>
      </c>
      <c r="H679" s="2" t="n">
        <v>0.597447348</v>
      </c>
      <c r="I679" s="2" t="n">
        <f aca="false">IF(I$7=I$5,I$6,IF(NORMSDIST(I$9*SQRT($C$11)*NORMSINV($B679)+SQRT(1-I$9^2*$C$11)*NORMSINV(H679))&lt;I$8,I$5+SQRT(NORMSDIST(I$9*SQRT($C$11)*NORMSINV($B679)+SQRT(1-I$9^2*$C$11)*NORMSINV(H679))*(I$7-I$5)*(I$6-I$5)),I$7-SQRT((1-NORMSDIST(I$9*SQRT($C$11)*NORMSINV($B679)+SQRT(1-I$9^2*$C$11)*NORMSINV(H679)))*(I$7-I$5)*(I$7-I$6))))</f>
        <v>200.261174512676</v>
      </c>
      <c r="J679" s="2" t="n">
        <v>0.01295985</v>
      </c>
      <c r="K679" s="2" t="n">
        <f aca="false">IF(K$7=K$5,K$6,IF(NORMSDIST(K$9*SQRT($C$11)*NORMSINV($B679)+SQRT(1-K$9^2*$C$11)*NORMSINV(J679))&lt;K$8,K$5+SQRT(NORMSDIST(K$9*SQRT($C$11)*NORMSINV($B679)+SQRT(1-K$9^2*$C$11)*NORMSINV(J679))*(K$7-K$5)*(K$6-K$5)),K$7-SQRT((1-NORMSDIST(K$9*SQRT($C$11)*NORMSINV($B679)+SQRT(1-K$9^2*$C$11)*NORMSINV(J679)))*(K$7-K$5)*(K$7-K$6))))</f>
        <v>0.0610183572859485</v>
      </c>
      <c r="L679" s="2" t="n">
        <v>0.546777265</v>
      </c>
      <c r="M679" s="2" t="n">
        <f aca="false">IF(M$7=M$5,M$6,IF(NORMSDIST(M$9*SQRT($C$11)*NORMSINV($B679)+SQRT(1-M$9^2*$C$11)*NORMSINV(L679))&lt;M$8,M$5+SQRT(NORMSDIST(M$9*SQRT($C$11)*NORMSINV($B679)+SQRT(1-M$9^2*$C$11)*NORMSINV(L679))*(M$7-M$5)*(M$6-M$5)),M$7-SQRT((1-NORMSDIST(M$9*SQRT($C$11)*NORMSINV($B679)+SQRT(1-M$9^2*$C$11)*NORMSINV(L679)))*(M$7-M$5)*(M$7-M$6))))</f>
        <v>1577.64587203295</v>
      </c>
      <c r="N679" s="2" t="n">
        <v>0.821999128</v>
      </c>
      <c r="O679" s="2" t="n">
        <f aca="false">IF(O$7=O$5,O$6,IF(NORMSDIST(O$9*SQRT($C$11)*NORMSINV($B679)+SQRT(1-O$9^2*$C$11)*NORMSINV(N679))&lt;O$8,O$5+SQRT(NORMSDIST(O$9*SQRT($C$11)*NORMSINV($B679)+SQRT(1-O$9^2*$C$11)*NORMSINV(N679))*(O$7-O$5)*(O$6-O$5)),O$7-SQRT((1-NORMSDIST(O$9*SQRT($C$11)*NORMSINV($B679)+SQRT(1-O$9^2*$C$11)*NORMSINV(N679)))*(O$7-O$5)*(O$7-O$6))))</f>
        <v>0.172455215317784</v>
      </c>
      <c r="P679" s="2" t="n">
        <v>0.073323702</v>
      </c>
      <c r="Q679" s="2" t="n">
        <f aca="false">IF(Q$7=Q$5,Q$6,IF(NORMSDIST(Q$9*SQRT($C$11)*NORMSINV($B679)+SQRT(1-Q$9^2*$C$11)*NORMSINV(P679))&lt;Q$8,Q$5+SQRT(NORMSDIST(Q$9*SQRT($C$11)*NORMSINV($B679)+SQRT(1-Q$9^2*$C$11)*NORMSINV(P679))*(Q$7-Q$5)*(Q$6-Q$5)),Q$7-SQRT((1-NORMSDIST(Q$9*SQRT($C$11)*NORMSINV($B679)+SQRT(1-Q$9^2*$C$11)*NORMSINV(P679)))*(Q$7-Q$5)*(Q$7-Q$6))))</f>
        <v>0.0553178277311112</v>
      </c>
      <c r="R679" s="2" t="n">
        <v>0.677484865</v>
      </c>
      <c r="S679" s="2" t="n">
        <f aca="false">IF(S$7=S$5,S$6,IF(NORMSDIST(S$9*SQRT($C$11)*NORMSINV($B679)+SQRT(1-S$9^2*$C$11)*NORMSINV(R679))&lt;S$8,S$5+SQRT(NORMSDIST(S$9*SQRT($C$11)*NORMSINV($B679)+SQRT(1-S$9^2*$C$11)*NORMSINV(R679))*(S$7-S$5)*(S$6-S$5)),S$7-SQRT((1-NORMSDIST(S$9*SQRT($C$11)*NORMSINV($B679)+SQRT(1-S$9^2*$C$11)*NORMSINV(R679)))*(S$7-S$5)*(S$7-S$6))))</f>
        <v>0.540962894769594</v>
      </c>
      <c r="T679" s="2" t="n">
        <v>0.984227629</v>
      </c>
      <c r="U679" s="2" t="n">
        <f aca="false">IF(U$7=U$5,U$6,IF(NORMSDIST(U$9*SQRT($C$11)*NORMSINV($B679)+SQRT(1-U$9^2*$C$11)*NORMSINV(T679))&lt;U$8,U$5+SQRT(NORMSDIST(U$9*SQRT($C$11)*NORMSINV($B679)+SQRT(1-U$9^2*$C$11)*NORMSINV(T679))*(U$7-U$5)*(U$6-U$5)),U$7-SQRT((1-NORMSDIST(U$9*SQRT($C$11)*NORMSINV($B679)+SQRT(1-U$9^2*$C$11)*NORMSINV(T679)))*(U$7-U$5)*(U$7-U$6))))</f>
        <v>0.818450600593982</v>
      </c>
      <c r="V679" s="2" t="n">
        <v>0.630055881</v>
      </c>
      <c r="W679" s="2" t="n">
        <f aca="false">IF(W$7=W$5,W$6,IF(NORMSDIST(W$9*SQRT($C$11)*NORMSINV($B679)+SQRT(1-W$9^2*$C$11)*NORMSINV(V679))&lt;W$8,W$5+SQRT(NORMSDIST(W$9*SQRT($C$11)*NORMSINV($B679)+SQRT(1-W$9^2*$C$11)*NORMSINV(V679))*(W$7-W$5)*(W$6-W$5)),W$7-SQRT((1-NORMSDIST(W$9*SQRT($C$11)*NORMSINV($B679)+SQRT(1-W$9^2*$C$11)*NORMSINV(V679)))*(W$7-W$5)*(W$7-W$6))))</f>
        <v>10.0801206851233</v>
      </c>
      <c r="X679" s="2" t="n">
        <v>0.788099084</v>
      </c>
      <c r="Y679" s="2" t="n">
        <f aca="false">IF(Y$7=Y$5,Y$6,IF(NORMSDIST(Y$9*SQRT($C$11)*NORMSINV($B679)+SQRT(1-Y$9^2*$C$11)*NORMSINV(X679))&lt;Y$8,Y$5+SQRT(NORMSDIST(Y$9*SQRT($C$11)*NORMSINV($B679)+SQRT(1-Y$9^2*$C$11)*NORMSINV(X679))*(Y$7-Y$5)*(Y$6-Y$5)),Y$7-SQRT((1-NORMSDIST(Y$9*SQRT($C$11)*NORMSINV($B679)+SQRT(1-Y$9^2*$C$11)*NORMSINV(X679)))*(Y$7-Y$5)*(Y$7-Y$6))))</f>
        <v>0.674499680491708</v>
      </c>
      <c r="Z679" s="2" t="n">
        <v>0.494939076</v>
      </c>
      <c r="AA679" s="2" t="n">
        <f aca="false">IF(AA$7=AA$5,AA$6,IF(NORMSDIST(AA$9*SQRT($C$11)*NORMSINV($B679)+SQRT(1-AA$9^2*$C$11)*NORMSINV(Z679))&lt;AA$8,AA$5+SQRT(NORMSDIST(AA$9*SQRT($C$11)*NORMSINV($B679)+SQRT(1-AA$9^2*$C$11)*NORMSINV(Z679))*(AA$7-AA$5)*(AA$6-AA$5)),AA$7-SQRT((1-NORMSDIST(AA$9*SQRT($C$11)*NORMSINV($B679)+SQRT(1-AA$9^2*$C$11)*NORMSINV(Z679)))*(AA$7-AA$5)*(AA$7-AA$6))))</f>
        <v>0.725783790026158</v>
      </c>
      <c r="AB679" s="2" t="n">
        <v>0.498209177</v>
      </c>
      <c r="AC679" s="2" t="n">
        <f aca="false">IF(AC$7=AC$5,AC$6,IF(NORMSDIST(AC$9*SQRT($C$11)*NORMSINV($B679)+SQRT(1-AC$9^2*$C$11)*NORMSINV(AB679))&lt;AC$8,AC$5+SQRT(NORMSDIST(AC$9*SQRT($C$11)*NORMSINV($B679)+SQRT(1-AC$9^2*$C$11)*NORMSINV(AB679))*(AC$7-AC$5)*(AC$6-AC$5)),AC$7-SQRT((1-NORMSDIST(AC$9*SQRT($C$11)*NORMSINV($B679)+SQRT(1-AC$9^2*$C$11)*NORMSINV(AB679)))*(AC$7-AC$5)*(AC$7-AC$6))))</f>
        <v>9.34004370288167</v>
      </c>
      <c r="AD679" s="2" t="n">
        <f aca="false">Entrées!$C$8*(1+E679)</f>
        <v>7431.45459343956</v>
      </c>
      <c r="AE679" s="2" t="n">
        <f aca="false">I679*Hypothèses!$J$24/12/Hypothèses!$J$19</f>
        <v>99.3489277149144</v>
      </c>
      <c r="AF679" s="2" t="n">
        <f aca="false">Entrées!$C$36*S679*1000</f>
        <v>270.481447384797</v>
      </c>
      <c r="AG679" s="2" t="n">
        <f aca="false">-AF679/W679</f>
        <v>-26.8331556569541</v>
      </c>
      <c r="AH679" s="2" t="n">
        <f aca="false">AD679+AE679+AG679</f>
        <v>7503.97036549752</v>
      </c>
      <c r="AI679" s="2" t="n">
        <f aca="false">Entrées!$C$16-M679+Hypothèses!$J$22*1000-AF679+Hypothèses!$J$23</f>
        <v>22699.8726805822</v>
      </c>
      <c r="AJ679" s="2" t="n">
        <f aca="false">AI679/AH679</f>
        <v>3.02504828443272</v>
      </c>
      <c r="AK679" s="2" t="n">
        <f aca="false">AI679/(AH679+I679*(12-Hypothèses!$J$24)/12/Hypothèses!$J$19)</f>
        <v>2.99670901744135</v>
      </c>
      <c r="AL679" s="2" t="n">
        <f aca="false">(AD679+AG679+I679/Hypothèses!$J$19)*(1+G679)</f>
        <v>7916.15707495302</v>
      </c>
      <c r="AM679" s="2" t="n">
        <f aca="false">Entrées!$C$54*K679/Hypothèses!$J$19</f>
        <v>6.22717956055729</v>
      </c>
      <c r="AN679" s="2" t="n">
        <f aca="false">Y679*1000/AC679</f>
        <v>72.2159019752344</v>
      </c>
      <c r="AO679" s="2" t="n">
        <f aca="false">(Entrées!$C$36*(1-S679)+MAX(0,Entrées!$C$30-Entrées!$C$35-Entrées!$C$36)*U679)*1000</f>
        <v>1375.34939344678</v>
      </c>
      <c r="AP679" s="2" t="n">
        <f aca="false">-AO679/W679</f>
        <v>-136.441758626618</v>
      </c>
      <c r="AQ679" s="2" t="n">
        <f aca="false">AL679+AM679+AN679+AP679</f>
        <v>7858.1583978622</v>
      </c>
      <c r="AR679" s="2" t="n">
        <f aca="false">O679*AQ679-Hypothèses!$J$25/Hypothèses!$J$19</f>
        <v>1336.04523624296</v>
      </c>
      <c r="AS679" s="2" t="n">
        <f aca="false">Entrées!$C$79*(1+Q679)+Hypothèses!$J$20</f>
        <v>1454.79429267649</v>
      </c>
      <c r="AT679" s="2" t="n">
        <f aca="false">AI679-AR679+AS679+Y679*1000-AO679+Hypothèses!$J$23</f>
        <v>22117.7720240607</v>
      </c>
      <c r="AU679" s="2" t="n">
        <f aca="false">AT679/AQ679</f>
        <v>2.81462537457604</v>
      </c>
      <c r="AV679" s="2" t="n">
        <f aca="false">Hypothèses!$J$26*AQ679-AT679</f>
        <v>1456.70316952588</v>
      </c>
      <c r="AW679" s="2" t="n">
        <f aca="false">IF(AC679&gt;Hypothèses!$J$26,MAX(0,AV679)/(1-Hypothèses!$J$26/AC679),0)</f>
        <v>2145.99013872947</v>
      </c>
      <c r="AX679" s="2" t="n">
        <f aca="false">AQ679-Entrées!$C$17*1000</f>
        <v>-141.841602137803</v>
      </c>
      <c r="AY679" s="2" t="n">
        <f aca="false">AI679+(Entrées!$C$244-Entrées!$C$13)</f>
        <v>28446.8726805822</v>
      </c>
      <c r="AZ679" s="2" t="n">
        <f aca="false">AA679*AH679</f>
        <v>5446.26005211476</v>
      </c>
      <c r="BA679" s="2" t="n">
        <f aca="false">AZ679/AY679</f>
        <v>0.191453735996518</v>
      </c>
      <c r="BB679" s="2" t="n">
        <f aca="false">AZ679/(Entrées!$C$151/100)-AY679</f>
        <v>1810.12760894421</v>
      </c>
      <c r="BC679" s="2" t="n">
        <f aca="false">AT679+(Entrées!$C$244-Entrées!$C$13)</f>
        <v>27864.7720240607</v>
      </c>
      <c r="BD679" s="2" t="n">
        <f aca="false">AA679*AQ679</f>
        <v>5703.32398462631</v>
      </c>
      <c r="BE679" s="2" t="n">
        <f aca="false">BD679/BC679</f>
        <v>0.204678652303403</v>
      </c>
      <c r="BF679" s="2" t="n">
        <f aca="false">BD679/(Entrées!$C$151/100)-BC679</f>
        <v>3820.36122386322</v>
      </c>
      <c r="BG679" s="2" t="n">
        <f aca="false">MIN(AV679,BF679)</f>
        <v>1456.70316952588</v>
      </c>
      <c r="BH679" s="2" t="n">
        <f aca="false">IF(AC679&gt;Hypothèses!$J$26,MAX(0,BG679)/(1-Hypothèses!$J$26/AC679),0)</f>
        <v>2145.99013872947</v>
      </c>
    </row>
    <row r="680" customFormat="false" ht="15" hidden="false" customHeight="false" outlineLevel="0" collapsed="false">
      <c r="A680" s="2" t="n">
        <v>665</v>
      </c>
      <c r="B680" s="2" t="n">
        <v>0.94391872</v>
      </c>
      <c r="C680" s="2"/>
      <c r="D680" s="2" t="n">
        <v>0.870967737</v>
      </c>
      <c r="E680" s="2" t="n">
        <f aca="false">IF(E$7=E$5,E$6,IF(NORMSDIST(E$9*SQRT($C$11)*NORMSINV($B680)+SQRT(1-E$9^2*$C$11)*NORMSINV(D680))&lt;E$8,E$5+SQRT(NORMSDIST(E$9*SQRT($C$11)*NORMSINV($B680)+SQRT(1-E$9^2*$C$11)*NORMSINV(D680))*(E$7-E$5)*(E$6-E$5)),E$7-SQRT((1-NORMSDIST(E$9*SQRT($C$11)*NORMSINV($B680)+SQRT(1-E$9^2*$C$11)*NORMSINV(D680)))*(E$7-E$5)*(E$7-E$6))))</f>
        <v>0.058775176789467</v>
      </c>
      <c r="F680" s="2" t="n">
        <v>0.041445372</v>
      </c>
      <c r="G680" s="2" t="n">
        <f aca="false">IF(G$7=G$5,G$6,IF(NORMSDIST(G$9*SQRT($C$11)*NORMSINV($B680)+SQRT(1-G$9^2*$C$11)*NORMSINV(F680))&lt;G$8,G$5+SQRT(NORMSDIST(G$9*SQRT($C$11)*NORMSINV($B680)+SQRT(1-G$9^2*$C$11)*NORMSINV(F680))*(G$7-G$5)*(G$6-G$5)),G$7-SQRT((1-NORMSDIST(G$9*SQRT($C$11)*NORMSINV($B680)+SQRT(1-G$9^2*$C$11)*NORMSINV(F680)))*(G$7-G$5)*(G$7-G$6))))</f>
        <v>0.0528591470320684</v>
      </c>
      <c r="H680" s="2" t="n">
        <v>0.551713896</v>
      </c>
      <c r="I680" s="2" t="n">
        <f aca="false">IF(I$7=I$5,I$6,IF(NORMSDIST(I$9*SQRT($C$11)*NORMSINV($B680)+SQRT(1-I$9^2*$C$11)*NORMSINV(H680))&lt;I$8,I$5+SQRT(NORMSDIST(I$9*SQRT($C$11)*NORMSINV($B680)+SQRT(1-I$9^2*$C$11)*NORMSINV(H680))*(I$7-I$5)*(I$6-I$5)),I$7-SQRT((1-NORMSDIST(I$9*SQRT($C$11)*NORMSINV($B680)+SQRT(1-I$9^2*$C$11)*NORMSINV(H680)))*(I$7-I$5)*(I$7-I$6))))</f>
        <v>209.627035381864</v>
      </c>
      <c r="J680" s="2" t="n">
        <v>0.771786306</v>
      </c>
      <c r="K680" s="2" t="n">
        <f aca="false">IF(K$7=K$5,K$6,IF(NORMSDIST(K$9*SQRT($C$11)*NORMSINV($B680)+SQRT(1-K$9^2*$C$11)*NORMSINV(J680))&lt;K$8,K$5+SQRT(NORMSDIST(K$9*SQRT($C$11)*NORMSINV($B680)+SQRT(1-K$9^2*$C$11)*NORMSINV(J680))*(K$7-K$5)*(K$6-K$5)),K$7-SQRT((1-NORMSDIST(K$9*SQRT($C$11)*NORMSINV($B680)+SQRT(1-K$9^2*$C$11)*NORMSINV(J680)))*(K$7-K$5)*(K$7-K$6))))</f>
        <v>0.415682939907888</v>
      </c>
      <c r="L680" s="2" t="n">
        <v>0.575959887</v>
      </c>
      <c r="M680" s="2" t="n">
        <f aca="false">IF(M$7=M$5,M$6,IF(NORMSDIST(M$9*SQRT($C$11)*NORMSINV($B680)+SQRT(1-M$9^2*$C$11)*NORMSINV(L680))&lt;M$8,M$5+SQRT(NORMSDIST(M$9*SQRT($C$11)*NORMSINV($B680)+SQRT(1-M$9^2*$C$11)*NORMSINV(L680))*(M$7-M$5)*(M$6-M$5)),M$7-SQRT((1-NORMSDIST(M$9*SQRT($C$11)*NORMSINV($B680)+SQRT(1-M$9^2*$C$11)*NORMSINV(L680)))*(M$7-M$5)*(M$7-M$6))))</f>
        <v>1692.36823497572</v>
      </c>
      <c r="N680" s="2" t="n">
        <v>0.360689767</v>
      </c>
      <c r="O680" s="2" t="n">
        <f aca="false">IF(O$7=O$5,O$6,IF(NORMSDIST(O$9*SQRT($C$11)*NORMSINV($B680)+SQRT(1-O$9^2*$C$11)*NORMSINV(N680))&lt;O$8,O$5+SQRT(NORMSDIST(O$9*SQRT($C$11)*NORMSINV($B680)+SQRT(1-O$9^2*$C$11)*NORMSINV(N680))*(O$7-O$5)*(O$6-O$5)),O$7-SQRT((1-NORMSDIST(O$9*SQRT($C$11)*NORMSINV($B680)+SQRT(1-O$9^2*$C$11)*NORMSINV(N680)))*(O$7-O$5)*(O$7-O$6))))</f>
        <v>0.174240346735091</v>
      </c>
      <c r="P680" s="2" t="n">
        <v>0.599808224</v>
      </c>
      <c r="Q680" s="2" t="n">
        <f aca="false">IF(Q$7=Q$5,Q$6,IF(NORMSDIST(Q$9*SQRT($C$11)*NORMSINV($B680)+SQRT(1-Q$9^2*$C$11)*NORMSINV(P680))&lt;Q$8,Q$5+SQRT(NORMSDIST(Q$9*SQRT($C$11)*NORMSINV($B680)+SQRT(1-Q$9^2*$C$11)*NORMSINV(P680))*(Q$7-Q$5)*(Q$6-Q$5)),Q$7-SQRT((1-NORMSDIST(Q$9*SQRT($C$11)*NORMSINV($B680)+SQRT(1-Q$9^2*$C$11)*NORMSINV(P680)))*(Q$7-Q$5)*(Q$7-Q$6))))</f>
        <v>0.0842143369042853</v>
      </c>
      <c r="R680" s="2" t="n">
        <v>0.382596078</v>
      </c>
      <c r="S680" s="2" t="n">
        <f aca="false">IF(S$7=S$5,S$6,IF(NORMSDIST(S$9*SQRT($C$11)*NORMSINV($B680)+SQRT(1-S$9^2*$C$11)*NORMSINV(R680))&lt;S$8,S$5+SQRT(NORMSDIST(S$9*SQRT($C$11)*NORMSINV($B680)+SQRT(1-S$9^2*$C$11)*NORMSINV(R680))*(S$7-S$5)*(S$6-S$5)),S$7-SQRT((1-NORMSDIST(S$9*SQRT($C$11)*NORMSINV($B680)+SQRT(1-S$9^2*$C$11)*NORMSINV(R680)))*(S$7-S$5)*(S$7-S$6))))</f>
        <v>0.668592844703128</v>
      </c>
      <c r="T680" s="2" t="n">
        <v>0.631027704</v>
      </c>
      <c r="U680" s="2" t="n">
        <f aca="false">IF(U$7=U$5,U$6,IF(NORMSDIST(U$9*SQRT($C$11)*NORMSINV($B680)+SQRT(1-U$9^2*$C$11)*NORMSINV(T680))&lt;U$8,U$5+SQRT(NORMSDIST(U$9*SQRT($C$11)*NORMSINV($B680)+SQRT(1-U$9^2*$C$11)*NORMSINV(T680))*(U$7-U$5)*(U$6-U$5)),U$7-SQRT((1-NORMSDIST(U$9*SQRT($C$11)*NORMSINV($B680)+SQRT(1-U$9^2*$C$11)*NORMSINV(T680)))*(U$7-U$5)*(U$7-U$6))))</f>
        <v>0.772907096715623</v>
      </c>
      <c r="V680" s="2" t="n">
        <v>0.824572777</v>
      </c>
      <c r="W680" s="2" t="n">
        <f aca="false">IF(W$7=W$5,W$6,IF(NORMSDIST(W$9*SQRT($C$11)*NORMSINV($B680)+SQRT(1-W$9^2*$C$11)*NORMSINV(V680))&lt;W$8,W$5+SQRT(NORMSDIST(W$9*SQRT($C$11)*NORMSINV($B680)+SQRT(1-W$9^2*$C$11)*NORMSINV(V680))*(W$7-W$5)*(W$6-W$5)),W$7-SQRT((1-NORMSDIST(W$9*SQRT($C$11)*NORMSINV($B680)+SQRT(1-W$9^2*$C$11)*NORMSINV(V680)))*(W$7-W$5)*(W$7-W$6))))</f>
        <v>11.4199726599177</v>
      </c>
      <c r="X680" s="2" t="n">
        <v>0.362037178</v>
      </c>
      <c r="Y680" s="2" t="n">
        <f aca="false">IF(Y$7=Y$5,Y$6,IF(NORMSDIST(Y$9*SQRT($C$11)*NORMSINV($B680)+SQRT(1-Y$9^2*$C$11)*NORMSINV(X680))&lt;Y$8,Y$5+SQRT(NORMSDIST(Y$9*SQRT($C$11)*NORMSINV($B680)+SQRT(1-Y$9^2*$C$11)*NORMSINV(X680))*(Y$7-Y$5)*(Y$6-Y$5)),Y$7-SQRT((1-NORMSDIST(Y$9*SQRT($C$11)*NORMSINV($B680)+SQRT(1-Y$9^2*$C$11)*NORMSINV(X680)))*(Y$7-Y$5)*(Y$7-Y$6))))</f>
        <v>0.425462793907999</v>
      </c>
      <c r="Z680" s="2" t="n">
        <v>0.299351878</v>
      </c>
      <c r="AA680" s="2" t="n">
        <f aca="false">IF(AA$7=AA$5,AA$6,IF(NORMSDIST(AA$9*SQRT($C$11)*NORMSINV($B680)+SQRT(1-AA$9^2*$C$11)*NORMSINV(Z680))&lt;AA$8,AA$5+SQRT(NORMSDIST(AA$9*SQRT($C$11)*NORMSINV($B680)+SQRT(1-AA$9^2*$C$11)*NORMSINV(Z680))*(AA$7-AA$5)*(AA$6-AA$5)),AA$7-SQRT((1-NORMSDIST(AA$9*SQRT($C$11)*NORMSINV($B680)+SQRT(1-AA$9^2*$C$11)*NORMSINV(Z680)))*(AA$7-AA$5)*(AA$7-AA$6))))</f>
        <v>0.73506091709712</v>
      </c>
      <c r="AB680" s="2" t="n">
        <v>0.730314735</v>
      </c>
      <c r="AC680" s="2" t="n">
        <f aca="false">IF(AC$7=AC$5,AC$6,IF(NORMSDIST(AC$9*SQRT($C$11)*NORMSINV($B680)+SQRT(1-AC$9^2*$C$11)*NORMSINV(AB680))&lt;AC$8,AC$5+SQRT(NORMSDIST(AC$9*SQRT($C$11)*NORMSINV($B680)+SQRT(1-AC$9^2*$C$11)*NORMSINV(AB680))*(AC$7-AC$5)*(AC$6-AC$5)),AC$7-SQRT((1-NORMSDIST(AC$9*SQRT($C$11)*NORMSINV($B680)+SQRT(1-AC$9^2*$C$11)*NORMSINV(AB680)))*(AC$7-AC$5)*(AC$7-AC$6))))</f>
        <v>10.4523641597188</v>
      </c>
      <c r="AD680" s="2" t="n">
        <f aca="false">Entrées!$C$8*(1+E680)</f>
        <v>7464.36499636574</v>
      </c>
      <c r="AE680" s="2" t="n">
        <f aca="false">I680*Hypothèses!$J$24/12/Hypothèses!$J$19</f>
        <v>103.995301315515</v>
      </c>
      <c r="AF680" s="2" t="n">
        <f aca="false">Entrées!$C$36*S680*1000</f>
        <v>334.296422351564</v>
      </c>
      <c r="AG680" s="2" t="n">
        <f aca="false">-AF680/W680</f>
        <v>-29.2729617054944</v>
      </c>
      <c r="AH680" s="2" t="n">
        <f aca="false">AD680+AE680+AG680</f>
        <v>7539.08733597576</v>
      </c>
      <c r="AI680" s="2" t="n">
        <f aca="false">Entrées!$C$16-M680+Hypothèses!$J$22*1000-AF680+Hypothèses!$J$23</f>
        <v>22521.3353426727</v>
      </c>
      <c r="AJ680" s="2" t="n">
        <f aca="false">AI680/AH680</f>
        <v>2.98727609046299</v>
      </c>
      <c r="AK680" s="2" t="n">
        <f aca="false">AI680/(AH680+I680*(12-Hypothèses!$J$24)/12/Hypothèses!$J$19)</f>
        <v>2.95812974381753</v>
      </c>
      <c r="AL680" s="2" t="n">
        <f aca="false">(AD680+AG680+I680/Hypothèses!$J$19)*(1+G680)</f>
        <v>8015.80592212599</v>
      </c>
      <c r="AM680" s="2" t="n">
        <f aca="false">Entrées!$C$54*K680/Hypothèses!$J$19</f>
        <v>42.4221893574782</v>
      </c>
      <c r="AN680" s="2" t="n">
        <f aca="false">Y680*1000/AC680</f>
        <v>40.7049340614864</v>
      </c>
      <c r="AO680" s="2" t="n">
        <f aca="false">(Entrées!$C$36*(1-S680)+MAX(0,Entrées!$C$30-Entrées!$C$35-Entrées!$C$36)*U680)*1000</f>
        <v>1247.77351305031</v>
      </c>
      <c r="AP680" s="2" t="n">
        <f aca="false">-AO680/W680</f>
        <v>-109.262390568569</v>
      </c>
      <c r="AQ680" s="2" t="n">
        <f aca="false">AL680+AM680+AN680+AP680</f>
        <v>7989.67065497639</v>
      </c>
      <c r="AR680" s="2" t="n">
        <f aca="false">O680*AQ680-Hypothèses!$J$25/Hypothèses!$J$19</f>
        <v>1372.98782296064</v>
      </c>
      <c r="AS680" s="2" t="n">
        <f aca="false">Entrées!$C$79*(1+Q680)+Hypothèses!$J$20</f>
        <v>1486.55155625781</v>
      </c>
      <c r="AT680" s="2" t="n">
        <f aca="false">AI680-AR680+AS680+Y680*1000-AO680+Hypothèses!$J$23</f>
        <v>21812.5883568276</v>
      </c>
      <c r="AU680" s="2" t="n">
        <f aca="false">AT680/AQ680</f>
        <v>2.73009856085138</v>
      </c>
      <c r="AV680" s="2" t="n">
        <f aca="false">Hypothèses!$J$26*AQ680-AT680</f>
        <v>2156.42360810159</v>
      </c>
      <c r="AW680" s="2" t="n">
        <f aca="false">IF(AC680&gt;Hypothèses!$J$26,MAX(0,AV680)/(1-Hypothèses!$J$26/AC680),0)</f>
        <v>3024.50663325382</v>
      </c>
      <c r="AX680" s="2" t="n">
        <f aca="false">AQ680-Entrées!$C$17*1000</f>
        <v>-10.3293450236115</v>
      </c>
      <c r="AY680" s="2" t="n">
        <f aca="false">AI680+(Entrées!$C$244-Entrées!$C$13)</f>
        <v>28268.3353426727</v>
      </c>
      <c r="AZ680" s="2" t="n">
        <f aca="false">AA680*AH680</f>
        <v>5541.68845125763</v>
      </c>
      <c r="BA680" s="2" t="n">
        <f aca="false">AZ680/AY680</f>
        <v>0.196038726160579</v>
      </c>
      <c r="BB680" s="2" t="n">
        <f aca="false">AZ680/(Entrées!$C$151/100)-AY680</f>
        <v>2518.82271986967</v>
      </c>
      <c r="BC680" s="2" t="n">
        <f aca="false">AT680+(Entrées!$C$244-Entrées!$C$13)</f>
        <v>27559.5883568276</v>
      </c>
      <c r="BD680" s="2" t="n">
        <f aca="false">AA680*AQ680</f>
        <v>5872.89463895089</v>
      </c>
      <c r="BE680" s="2" t="n">
        <f aca="false">BD680/BC680</f>
        <v>0.21309805367597</v>
      </c>
      <c r="BF680" s="2" t="n">
        <f aca="false">BD680/(Entrées!$C$151/100)-BC680</f>
        <v>5067.6040817885</v>
      </c>
      <c r="BG680" s="2" t="n">
        <f aca="false">MIN(AV680,BF680)</f>
        <v>2156.42360810159</v>
      </c>
      <c r="BH680" s="2" t="n">
        <f aca="false">IF(AC680&gt;Hypothèses!$J$26,MAX(0,BG680)/(1-Hypothèses!$J$26/AC680),0)</f>
        <v>3024.50663325382</v>
      </c>
    </row>
    <row r="681" customFormat="false" ht="15" hidden="false" customHeight="false" outlineLevel="0" collapsed="false">
      <c r="A681" s="2" t="n">
        <v>666</v>
      </c>
      <c r="B681" s="2" t="n">
        <v>0.826061577</v>
      </c>
      <c r="C681" s="2"/>
      <c r="D681" s="2" t="n">
        <v>0.837946903</v>
      </c>
      <c r="E681" s="2" t="n">
        <f aca="false">IF(E$7=E$5,E$6,IF(NORMSDIST(E$9*SQRT($C$11)*NORMSINV($B681)+SQRT(1-E$9^2*$C$11)*NORMSINV(D681))&lt;E$8,E$5+SQRT(NORMSDIST(E$9*SQRT($C$11)*NORMSINV($B681)+SQRT(1-E$9^2*$C$11)*NORMSINV(D681))*(E$7-E$5)*(E$6-E$5)),E$7-SQRT((1-NORMSDIST(E$9*SQRT($C$11)*NORMSINV($B681)+SQRT(1-E$9^2*$C$11)*NORMSINV(D681)))*(E$7-E$5)*(E$7-E$6))))</f>
        <v>0.0579105899334514</v>
      </c>
      <c r="F681" s="2" t="n">
        <v>0.069591456</v>
      </c>
      <c r="G681" s="2" t="n">
        <f aca="false">IF(G$7=G$5,G$6,IF(NORMSDIST(G$9*SQRT($C$11)*NORMSINV($B681)+SQRT(1-G$9^2*$C$11)*NORMSINV(F681))&lt;G$8,G$5+SQRT(NORMSDIST(G$9*SQRT($C$11)*NORMSINV($B681)+SQRT(1-G$9^2*$C$11)*NORMSINV(F681))*(G$7-G$5)*(G$6-G$5)),G$7-SQRT((1-NORMSDIST(G$9*SQRT($C$11)*NORMSINV($B681)+SQRT(1-G$9^2*$C$11)*NORMSINV(F681)))*(G$7-G$5)*(G$7-G$6))))</f>
        <v>0.0514342812665057</v>
      </c>
      <c r="H681" s="2" t="n">
        <v>0.591732312</v>
      </c>
      <c r="I681" s="2" t="n">
        <f aca="false">IF(I$7=I$5,I$6,IF(NORMSDIST(I$9*SQRT($C$11)*NORMSINV($B681)+SQRT(1-I$9^2*$C$11)*NORMSINV(H681))&lt;I$8,I$5+SQRT(NORMSDIST(I$9*SQRT($C$11)*NORMSINV($B681)+SQRT(1-I$9^2*$C$11)*NORMSINV(H681))*(I$7-I$5)*(I$6-I$5)),I$7-SQRT((1-NORMSDIST(I$9*SQRT($C$11)*NORMSINV($B681)+SQRT(1-I$9^2*$C$11)*NORMSINV(H681)))*(I$7-I$5)*(I$7-I$6))))</f>
        <v>206.744317162802</v>
      </c>
      <c r="J681" s="2" t="n">
        <v>0.622457023</v>
      </c>
      <c r="K681" s="2" t="n">
        <f aca="false">IF(K$7=K$5,K$6,IF(NORMSDIST(K$9*SQRT($C$11)*NORMSINV($B681)+SQRT(1-K$9^2*$C$11)*NORMSINV(J681))&lt;K$8,K$5+SQRT(NORMSDIST(K$9*SQRT($C$11)*NORMSINV($B681)+SQRT(1-K$9^2*$C$11)*NORMSINV(J681))*(K$7-K$5)*(K$6-K$5)),K$7-SQRT((1-NORMSDIST(K$9*SQRT($C$11)*NORMSINV($B681)+SQRT(1-K$9^2*$C$11)*NORMSINV(J681)))*(K$7-K$5)*(K$7-K$6))))</f>
        <v>0.341188888956768</v>
      </c>
      <c r="L681" s="2" t="n">
        <v>0.695614529</v>
      </c>
      <c r="M681" s="2" t="n">
        <f aca="false">IF(M$7=M$5,M$6,IF(NORMSDIST(M$9*SQRT($C$11)*NORMSINV($B681)+SQRT(1-M$9^2*$C$11)*NORMSINV(L681))&lt;M$8,M$5+SQRT(NORMSDIST(M$9*SQRT($C$11)*NORMSINV($B681)+SQRT(1-M$9^2*$C$11)*NORMSINV(L681))*(M$7-M$5)*(M$6-M$5)),M$7-SQRT((1-NORMSDIST(M$9*SQRT($C$11)*NORMSINV($B681)+SQRT(1-M$9^2*$C$11)*NORMSINV(L681)))*(M$7-M$5)*(M$7-M$6))))</f>
        <v>1678.67027303785</v>
      </c>
      <c r="N681" s="2" t="n">
        <v>0.819231153</v>
      </c>
      <c r="O681" s="2" t="n">
        <f aca="false">IF(O$7=O$5,O$6,IF(NORMSDIST(O$9*SQRT($C$11)*NORMSINV($B681)+SQRT(1-O$9^2*$C$11)*NORMSINV(N681))&lt;O$8,O$5+SQRT(NORMSDIST(O$9*SQRT($C$11)*NORMSINV($B681)+SQRT(1-O$9^2*$C$11)*NORMSINV(N681))*(O$7-O$5)*(O$6-O$5)),O$7-SQRT((1-NORMSDIST(O$9*SQRT($C$11)*NORMSINV($B681)+SQRT(1-O$9^2*$C$11)*NORMSINV(N681)))*(O$7-O$5)*(O$7-O$6))))</f>
        <v>0.1798498908261</v>
      </c>
      <c r="P681" s="2" t="n">
        <v>0.590097986</v>
      </c>
      <c r="Q681" s="2" t="n">
        <f aca="false">IF(Q$7=Q$5,Q$6,IF(NORMSDIST(Q$9*SQRT($C$11)*NORMSINV($B681)+SQRT(1-Q$9^2*$C$11)*NORMSINV(P681))&lt;Q$8,Q$5+SQRT(NORMSDIST(Q$9*SQRT($C$11)*NORMSINV($B681)+SQRT(1-Q$9^2*$C$11)*NORMSINV(P681))*(Q$7-Q$5)*(Q$6-Q$5)),Q$7-SQRT((1-NORMSDIST(Q$9*SQRT($C$11)*NORMSINV($B681)+SQRT(1-Q$9^2*$C$11)*NORMSINV(P681)))*(Q$7-Q$5)*(Q$7-Q$6))))</f>
        <v>0.083782788003492</v>
      </c>
      <c r="R681" s="2" t="n">
        <v>0.4735961</v>
      </c>
      <c r="S681" s="2" t="n">
        <f aca="false">IF(S$7=S$5,S$6,IF(NORMSDIST(S$9*SQRT($C$11)*NORMSINV($B681)+SQRT(1-S$9^2*$C$11)*NORMSINV(R681))&lt;S$8,S$5+SQRT(NORMSDIST(S$9*SQRT($C$11)*NORMSINV($B681)+SQRT(1-S$9^2*$C$11)*NORMSINV(R681))*(S$7-S$5)*(S$6-S$5)),S$7-SQRT((1-NORMSDIST(S$9*SQRT($C$11)*NORMSINV($B681)+SQRT(1-S$9^2*$C$11)*NORMSINV(R681)))*(S$7-S$5)*(S$7-S$6))))</f>
        <v>0.616741399860871</v>
      </c>
      <c r="T681" s="2" t="n">
        <v>0.248381959</v>
      </c>
      <c r="U681" s="2" t="n">
        <f aca="false">IF(U$7=U$5,U$6,IF(NORMSDIST(U$9*SQRT($C$11)*NORMSINV($B681)+SQRT(1-U$9^2*$C$11)*NORMSINV(T681))&lt;U$8,U$5+SQRT(NORMSDIST(U$9*SQRT($C$11)*NORMSINV($B681)+SQRT(1-U$9^2*$C$11)*NORMSINV(T681))*(U$7-U$5)*(U$6-U$5)),U$7-SQRT((1-NORMSDIST(U$9*SQRT($C$11)*NORMSINV($B681)+SQRT(1-U$9^2*$C$11)*NORMSINV(T681)))*(U$7-U$5)*(U$7-U$6))))</f>
        <v>0.513596645507826</v>
      </c>
      <c r="V681" s="2" t="n">
        <v>0.63943578</v>
      </c>
      <c r="W681" s="2" t="n">
        <f aca="false">IF(W$7=W$5,W$6,IF(NORMSDIST(W$9*SQRT($C$11)*NORMSINV($B681)+SQRT(1-W$9^2*$C$11)*NORMSINV(V681))&lt;W$8,W$5+SQRT(NORMSDIST(W$9*SQRT($C$11)*NORMSINV($B681)+SQRT(1-W$9^2*$C$11)*NORMSINV(V681))*(W$7-W$5)*(W$6-W$5)),W$7-SQRT((1-NORMSDIST(W$9*SQRT($C$11)*NORMSINV($B681)+SQRT(1-W$9^2*$C$11)*NORMSINV(V681)))*(W$7-W$5)*(W$7-W$6))))</f>
        <v>10.760327171813</v>
      </c>
      <c r="X681" s="2" t="n">
        <v>0.291875541</v>
      </c>
      <c r="Y681" s="2" t="n">
        <f aca="false">IF(Y$7=Y$5,Y$6,IF(NORMSDIST(Y$9*SQRT($C$11)*NORMSINV($B681)+SQRT(1-Y$9^2*$C$11)*NORMSINV(X681))&lt;Y$8,Y$5+SQRT(NORMSDIST(Y$9*SQRT($C$11)*NORMSINV($B681)+SQRT(1-Y$9^2*$C$11)*NORMSINV(X681))*(Y$7-Y$5)*(Y$6-Y$5)),Y$7-SQRT((1-NORMSDIST(Y$9*SQRT($C$11)*NORMSINV($B681)+SQRT(1-Y$9^2*$C$11)*NORMSINV(X681)))*(Y$7-Y$5)*(Y$7-Y$6))))</f>
        <v>0.382018023789454</v>
      </c>
      <c r="Z681" s="2" t="n">
        <v>0.580001236</v>
      </c>
      <c r="AA681" s="2" t="n">
        <f aca="false">IF(AA$7=AA$5,AA$6,IF(NORMSDIST(AA$9*SQRT($C$11)*NORMSINV($B681)+SQRT(1-AA$9^2*$C$11)*NORMSINV(Z681))&lt;AA$8,AA$5+SQRT(NORMSDIST(AA$9*SQRT($C$11)*NORMSINV($B681)+SQRT(1-AA$9^2*$C$11)*NORMSINV(Z681))*(AA$7-AA$5)*(AA$6-AA$5)),AA$7-SQRT((1-NORMSDIST(AA$9*SQRT($C$11)*NORMSINV($B681)+SQRT(1-AA$9^2*$C$11)*NORMSINV(Z681)))*(AA$7-AA$5)*(AA$7-AA$6))))</f>
        <v>0.736803734378853</v>
      </c>
      <c r="AB681" s="2" t="n">
        <v>0.676227369</v>
      </c>
      <c r="AC681" s="2" t="n">
        <f aca="false">IF(AC$7=AC$5,AC$6,IF(NORMSDIST(AC$9*SQRT($C$11)*NORMSINV($B681)+SQRT(1-AC$9^2*$C$11)*NORMSINV(AB681))&lt;AC$8,AC$5+SQRT(NORMSDIST(AC$9*SQRT($C$11)*NORMSINV($B681)+SQRT(1-AC$9^2*$C$11)*NORMSINV(AB681))*(AC$7-AC$5)*(AC$6-AC$5)),AC$7-SQRT((1-NORMSDIST(AC$9*SQRT($C$11)*NORMSINV($B681)+SQRT(1-AC$9^2*$C$11)*NORMSINV(AB681)))*(AC$7-AC$5)*(AC$7-AC$6))))</f>
        <v>10.1389800612024</v>
      </c>
      <c r="AD681" s="2" t="n">
        <f aca="false">Entrées!$C$8*(1+E681)</f>
        <v>7458.26965903083</v>
      </c>
      <c r="AE681" s="2" t="n">
        <f aca="false">I681*Hypothèses!$J$24/12/Hypothèses!$J$19</f>
        <v>102.565194033537</v>
      </c>
      <c r="AF681" s="2" t="n">
        <f aca="false">Entrées!$C$36*S681*1000</f>
        <v>308.370699930436</v>
      </c>
      <c r="AG681" s="2" t="n">
        <f aca="false">-AF681/W681</f>
        <v>-28.6581155950556</v>
      </c>
      <c r="AH681" s="2" t="n">
        <f aca="false">AD681+AE681+AG681</f>
        <v>7532.17673746931</v>
      </c>
      <c r="AI681" s="2" t="n">
        <f aca="false">Entrées!$C$16-M681+Hypothèses!$J$22*1000-AF681+Hypothèses!$J$23</f>
        <v>22560.9590270317</v>
      </c>
      <c r="AJ681" s="2" t="n">
        <f aca="false">AI681/AH681</f>
        <v>2.99527743617602</v>
      </c>
      <c r="AK681" s="2" t="n">
        <f aca="false">AI681/(AH681+I681*(12-Hypothèses!$J$24)/12/Hypothèses!$J$19)</f>
        <v>2.96642484525236</v>
      </c>
      <c r="AL681" s="2" t="n">
        <f aca="false">(AD681+AG681+I681/Hypothèses!$J$19)*(1+G681)</f>
        <v>7996.61780652735</v>
      </c>
      <c r="AM681" s="2" t="n">
        <f aca="false">Entrées!$C$54*K681/Hypothèses!$J$19</f>
        <v>34.8197586776087</v>
      </c>
      <c r="AN681" s="2" t="n">
        <f aca="false">Y681*1000/AC681</f>
        <v>37.6781512029278</v>
      </c>
      <c r="AO681" s="2" t="n">
        <f aca="false">(Entrées!$C$36*(1-S681)+MAX(0,Entrées!$C$30-Entrées!$C$35-Entrées!$C$36)*U681)*1000</f>
        <v>910.66460378052</v>
      </c>
      <c r="AP681" s="2" t="n">
        <f aca="false">-AO681/W681</f>
        <v>-84.6316835203701</v>
      </c>
      <c r="AQ681" s="2" t="n">
        <f aca="false">AL681+AM681+AN681+AP681</f>
        <v>7984.48403288751</v>
      </c>
      <c r="AR681" s="2" t="n">
        <f aca="false">O681*AQ681-Hypothèses!$J$25/Hypothèses!$J$19</f>
        <v>1416.87341935593</v>
      </c>
      <c r="AS681" s="2" t="n">
        <f aca="false">Entrées!$C$79*(1+Q681)+Hypothèses!$J$20</f>
        <v>1486.07728401584</v>
      </c>
      <c r="AT681" s="2" t="n">
        <f aca="false">AI681-AR681+AS681+Y681*1000-AO681+Hypothèses!$J$23</f>
        <v>22101.5163117006</v>
      </c>
      <c r="AU681" s="2" t="n">
        <f aca="false">AT681/AQ681</f>
        <v>2.76805817641641</v>
      </c>
      <c r="AV681" s="2" t="n">
        <f aca="false">Hypothèses!$J$26*AQ681-AT681</f>
        <v>1851.93578696199</v>
      </c>
      <c r="AW681" s="2" t="n">
        <f aca="false">IF(AC681&gt;Hypothèses!$J$26,MAX(0,AV681)/(1-Hypothèses!$J$26/AC681),0)</f>
        <v>2630.17123702014</v>
      </c>
      <c r="AX681" s="2" t="n">
        <f aca="false">AQ681-Entrées!$C$17*1000</f>
        <v>-15.5159671124857</v>
      </c>
      <c r="AY681" s="2" t="n">
        <f aca="false">AI681+(Entrées!$C$244-Entrées!$C$13)</f>
        <v>28307.9590270317</v>
      </c>
      <c r="AZ681" s="2" t="n">
        <f aca="false">AA681*AH681</f>
        <v>5549.73594816891</v>
      </c>
      <c r="BA681" s="2" t="n">
        <f aca="false">AZ681/AY681</f>
        <v>0.196048607491249</v>
      </c>
      <c r="BB681" s="2" t="n">
        <f aca="false">AZ681/(Entrées!$C$151/100)-AY681</f>
        <v>2523.90735168447</v>
      </c>
      <c r="BC681" s="2" t="n">
        <f aca="false">AT681+(Entrées!$C$244-Entrées!$C$13)</f>
        <v>27848.5163117006</v>
      </c>
      <c r="BD681" s="2" t="n">
        <f aca="false">AA681*AQ681</f>
        <v>5882.99765251984</v>
      </c>
      <c r="BE681" s="2" t="n">
        <f aca="false">BD681/BC681</f>
        <v>0.21124994906993</v>
      </c>
      <c r="BF681" s="2" t="n">
        <f aca="false">BD681/(Entrées!$C$151/100)-BC681</f>
        <v>4834.80398007635</v>
      </c>
      <c r="BG681" s="2" t="n">
        <f aca="false">MIN(AV681,BF681)</f>
        <v>1851.93578696199</v>
      </c>
      <c r="BH681" s="2" t="n">
        <f aca="false">IF(AC681&gt;Hypothèses!$J$26,MAX(0,BG681)/(1-Hypothèses!$J$26/AC681),0)</f>
        <v>2630.17123702014</v>
      </c>
    </row>
    <row r="682" customFormat="false" ht="15" hidden="false" customHeight="false" outlineLevel="0" collapsed="false">
      <c r="A682" s="2" t="n">
        <v>667</v>
      </c>
      <c r="B682" s="2" t="n">
        <v>0.672282517</v>
      </c>
      <c r="C682" s="2"/>
      <c r="D682" s="2" t="n">
        <v>0.776451732</v>
      </c>
      <c r="E682" s="2" t="n">
        <f aca="false">IF(E$7=E$5,E$6,IF(NORMSDIST(E$9*SQRT($C$11)*NORMSINV($B682)+SQRT(1-E$9^2*$C$11)*NORMSINV(D682))&lt;E$8,E$5+SQRT(NORMSDIST(E$9*SQRT($C$11)*NORMSINV($B682)+SQRT(1-E$9^2*$C$11)*NORMSINV(D682))*(E$7-E$5)*(E$6-E$5)),E$7-SQRT((1-NORMSDIST(E$9*SQRT($C$11)*NORMSINV($B682)+SQRT(1-E$9^2*$C$11)*NORMSINV(D682)))*(E$7-E$5)*(E$7-E$6))))</f>
        <v>0.0569028599498769</v>
      </c>
      <c r="F682" s="2" t="n">
        <v>0.854717449</v>
      </c>
      <c r="G682" s="2" t="n">
        <f aca="false">IF(G$7=G$5,G$6,IF(NORMSDIST(G$9*SQRT($C$11)*NORMSINV($B682)+SQRT(1-G$9^2*$C$11)*NORMSINV(F682))&lt;G$8,G$5+SQRT(NORMSDIST(G$9*SQRT($C$11)*NORMSINV($B682)+SQRT(1-G$9^2*$C$11)*NORMSINV(F682))*(G$7-G$5)*(G$6-G$5)),G$7-SQRT((1-NORMSDIST(G$9*SQRT($C$11)*NORMSINV($B682)+SQRT(1-G$9^2*$C$11)*NORMSINV(F682)))*(G$7-G$5)*(G$7-G$6))))</f>
        <v>0.0621920567436241</v>
      </c>
      <c r="H682" s="2" t="n">
        <v>0.614217902</v>
      </c>
      <c r="I682" s="2" t="n">
        <f aca="false">IF(I$7=I$5,I$6,IF(NORMSDIST(I$9*SQRT($C$11)*NORMSINV($B682)+SQRT(1-I$9^2*$C$11)*NORMSINV(H682))&lt;I$8,I$5+SQRT(NORMSDIST(I$9*SQRT($C$11)*NORMSINV($B682)+SQRT(1-I$9^2*$C$11)*NORMSINV(H682))*(I$7-I$5)*(I$6-I$5)),I$7-SQRT((1-NORMSDIST(I$9*SQRT($C$11)*NORMSINV($B682)+SQRT(1-I$9^2*$C$11)*NORMSINV(H682)))*(I$7-I$5)*(I$7-I$6))))</f>
        <v>204.352881460694</v>
      </c>
      <c r="J682" s="2" t="n">
        <v>0.088297701</v>
      </c>
      <c r="K682" s="2" t="n">
        <f aca="false">IF(K$7=K$5,K$6,IF(NORMSDIST(K$9*SQRT($C$11)*NORMSINV($B682)+SQRT(1-K$9^2*$C$11)*NORMSINV(J682))&lt;K$8,K$5+SQRT(NORMSDIST(K$9*SQRT($C$11)*NORMSINV($B682)+SQRT(1-K$9^2*$C$11)*NORMSINV(J682))*(K$7-K$5)*(K$6-K$5)),K$7-SQRT((1-NORMSDIST(K$9*SQRT($C$11)*NORMSINV($B682)+SQRT(1-K$9^2*$C$11)*NORMSINV(J682)))*(K$7-K$5)*(K$7-K$6))))</f>
        <v>0.16668954904803</v>
      </c>
      <c r="L682" s="2" t="n">
        <v>0.118077114</v>
      </c>
      <c r="M682" s="2" t="n">
        <f aca="false">IF(M$7=M$5,M$6,IF(NORMSDIST(M$9*SQRT($C$11)*NORMSINV($B682)+SQRT(1-M$9^2*$C$11)*NORMSINV(L682))&lt;M$8,M$5+SQRT(NORMSDIST(M$9*SQRT($C$11)*NORMSINV($B682)+SQRT(1-M$9^2*$C$11)*NORMSINV(L682))*(M$7-M$5)*(M$6-M$5)),M$7-SQRT((1-NORMSDIST(M$9*SQRT($C$11)*NORMSINV($B682)+SQRT(1-M$9^2*$C$11)*NORMSINV(L682)))*(M$7-M$5)*(M$7-M$6))))</f>
        <v>1507.66899302001</v>
      </c>
      <c r="N682" s="2" t="n">
        <v>0.545603666</v>
      </c>
      <c r="O682" s="2" t="n">
        <f aca="false">IF(O$7=O$5,O$6,IF(NORMSDIST(O$9*SQRT($C$11)*NORMSINV($B682)+SQRT(1-O$9^2*$C$11)*NORMSINV(N682))&lt;O$8,O$5+SQRT(NORMSDIST(O$9*SQRT($C$11)*NORMSINV($B682)+SQRT(1-O$9^2*$C$11)*NORMSINV(N682))*(O$7-O$5)*(O$6-O$5)),O$7-SQRT((1-NORMSDIST(O$9*SQRT($C$11)*NORMSINV($B682)+SQRT(1-O$9^2*$C$11)*NORMSINV(N682)))*(O$7-O$5)*(O$7-O$6))))</f>
        <v>0.170545015250576</v>
      </c>
      <c r="P682" s="2" t="n">
        <v>0.769812037</v>
      </c>
      <c r="Q682" s="2" t="n">
        <f aca="false">IF(Q$7=Q$5,Q$6,IF(NORMSDIST(Q$9*SQRT($C$11)*NORMSINV($B682)+SQRT(1-Q$9^2*$C$11)*NORMSINV(P682))&lt;Q$8,Q$5+SQRT(NORMSDIST(Q$9*SQRT($C$11)*NORMSINV($B682)+SQRT(1-Q$9^2*$C$11)*NORMSINV(P682))*(Q$7-Q$5)*(Q$6-Q$5)),Q$7-SQRT((1-NORMSDIST(Q$9*SQRT($C$11)*NORMSINV($B682)+SQRT(1-Q$9^2*$C$11)*NORMSINV(P682)))*(Q$7-Q$5)*(Q$7-Q$6))))</f>
        <v>0.0928595968784545</v>
      </c>
      <c r="R682" s="2" t="n">
        <v>0.600825148</v>
      </c>
      <c r="S682" s="2" t="n">
        <f aca="false">IF(S$7=S$5,S$6,IF(NORMSDIST(S$9*SQRT($C$11)*NORMSINV($B682)+SQRT(1-S$9^2*$C$11)*NORMSINV(R682))&lt;S$8,S$5+SQRT(NORMSDIST(S$9*SQRT($C$11)*NORMSINV($B682)+SQRT(1-S$9^2*$C$11)*NORMSINV(R682))*(S$7-S$5)*(S$6-S$5)),S$7-SQRT((1-NORMSDIST(S$9*SQRT($C$11)*NORMSINV($B682)+SQRT(1-S$9^2*$C$11)*NORMSINV(R682)))*(S$7-S$5)*(S$7-S$6))))</f>
        <v>0.602776385998602</v>
      </c>
      <c r="T682" s="2" t="n">
        <v>0.499275066</v>
      </c>
      <c r="U682" s="2" t="n">
        <f aca="false">IF(U$7=U$5,U$6,IF(NORMSDIST(U$9*SQRT($C$11)*NORMSINV($B682)+SQRT(1-U$9^2*$C$11)*NORMSINV(T682))&lt;U$8,U$5+SQRT(NORMSDIST(U$9*SQRT($C$11)*NORMSINV($B682)+SQRT(1-U$9^2*$C$11)*NORMSINV(T682))*(U$7-U$5)*(U$6-U$5)),U$7-SQRT((1-NORMSDIST(U$9*SQRT($C$11)*NORMSINV($B682)+SQRT(1-U$9^2*$C$11)*NORMSINV(T682)))*(U$7-U$5)*(U$7-U$6))))</f>
        <v>0.558735805591445</v>
      </c>
      <c r="V682" s="2" t="n">
        <v>0.746521058</v>
      </c>
      <c r="W682" s="2" t="n">
        <f aca="false">IF(W$7=W$5,W$6,IF(NORMSDIST(W$9*SQRT($C$11)*NORMSINV($B682)+SQRT(1-W$9^2*$C$11)*NORMSINV(V682))&lt;W$8,W$5+SQRT(NORMSDIST(W$9*SQRT($C$11)*NORMSINV($B682)+SQRT(1-W$9^2*$C$11)*NORMSINV(V682))*(W$7-W$5)*(W$6-W$5)),W$7-SQRT((1-NORMSDIST(W$9*SQRT($C$11)*NORMSINV($B682)+SQRT(1-W$9^2*$C$11)*NORMSINV(V682)))*(W$7-W$5)*(W$7-W$6))))</f>
        <v>10.6947783576702</v>
      </c>
      <c r="X682" s="2" t="n">
        <v>0.780403881</v>
      </c>
      <c r="Y682" s="2" t="n">
        <f aca="false">IF(Y$7=Y$5,Y$6,IF(NORMSDIST(Y$9*SQRT($C$11)*NORMSINV($B682)+SQRT(1-Y$9^2*$C$11)*NORMSINV(X682))&lt;Y$8,Y$5+SQRT(NORMSDIST(Y$9*SQRT($C$11)*NORMSINV($B682)+SQRT(1-Y$9^2*$C$11)*NORMSINV(X682))*(Y$7-Y$5)*(Y$6-Y$5)),Y$7-SQRT((1-NORMSDIST(Y$9*SQRT($C$11)*NORMSINV($B682)+SQRT(1-Y$9^2*$C$11)*NORMSINV(X682)))*(Y$7-Y$5)*(Y$7-Y$6))))</f>
        <v>0.668642097574239</v>
      </c>
      <c r="Z682" s="2" t="n">
        <v>0.612746608</v>
      </c>
      <c r="AA682" s="2" t="n">
        <f aca="false">IF(AA$7=AA$5,AA$6,IF(NORMSDIST(AA$9*SQRT($C$11)*NORMSINV($B682)+SQRT(1-AA$9^2*$C$11)*NORMSINV(Z682))&lt;AA$8,AA$5+SQRT(NORMSDIST(AA$9*SQRT($C$11)*NORMSINV($B682)+SQRT(1-AA$9^2*$C$11)*NORMSINV(Z682))*(AA$7-AA$5)*(AA$6-AA$5)),AA$7-SQRT((1-NORMSDIST(AA$9*SQRT($C$11)*NORMSINV($B682)+SQRT(1-AA$9^2*$C$11)*NORMSINV(Z682)))*(AA$7-AA$5)*(AA$7-AA$6))))</f>
        <v>0.734002419345979</v>
      </c>
      <c r="AB682" s="2" t="n">
        <v>0.332499942</v>
      </c>
      <c r="AC682" s="2" t="n">
        <f aca="false">IF(AC$7=AC$5,AC$6,IF(NORMSDIST(AC$9*SQRT($C$11)*NORMSINV($B682)+SQRT(1-AC$9^2*$C$11)*NORMSINV(AB682))&lt;AC$8,AC$5+SQRT(NORMSDIST(AC$9*SQRT($C$11)*NORMSINV($B682)+SQRT(1-AC$9^2*$C$11)*NORMSINV(AB682))*(AC$7-AC$5)*(AC$6-AC$5)),AC$7-SQRT((1-NORMSDIST(AC$9*SQRT($C$11)*NORMSINV($B682)+SQRT(1-AC$9^2*$C$11)*NORMSINV(AB682)))*(AC$7-AC$5)*(AC$7-AC$6))))</f>
        <v>9.43389207824078</v>
      </c>
      <c r="AD682" s="2" t="n">
        <f aca="false">Entrées!$C$8*(1+E682)</f>
        <v>7451.16516264663</v>
      </c>
      <c r="AE682" s="2" t="n">
        <f aca="false">I682*Hypothèses!$J$24/12/Hypothèses!$J$19</f>
        <v>101.378810435809</v>
      </c>
      <c r="AF682" s="2" t="n">
        <f aca="false">Entrées!$C$36*S682*1000</f>
        <v>301.388192999301</v>
      </c>
      <c r="AG682" s="2" t="n">
        <f aca="false">-AF682/W682</f>
        <v>-28.1808732186719</v>
      </c>
      <c r="AH682" s="2" t="n">
        <f aca="false">AD682+AE682+AG682</f>
        <v>7524.36309986377</v>
      </c>
      <c r="AI682" s="2" t="n">
        <f aca="false">Entrées!$C$16-M682+Hypothèses!$J$22*1000-AF682+Hypothèses!$J$23</f>
        <v>22738.9428139807</v>
      </c>
      <c r="AJ682" s="2" t="n">
        <f aca="false">AI682/AH682</f>
        <v>3.02204219974344</v>
      </c>
      <c r="AK682" s="2" t="n">
        <f aca="false">AI682/(AH682+I682*(12-Hypothèses!$J$24)/12/Hypothèses!$J$19)</f>
        <v>2.99323571077225</v>
      </c>
      <c r="AL682" s="2" t="n">
        <f aca="false">(AD682+AG682+I682/Hypothèses!$J$19)*(1+G682)</f>
        <v>8069.23569327801</v>
      </c>
      <c r="AM682" s="2" t="n">
        <f aca="false">Entrées!$C$54*K682/Hypothèses!$J$19</f>
        <v>17.0113683645403</v>
      </c>
      <c r="AN682" s="2" t="n">
        <f aca="false">Y682*1000/AC682</f>
        <v>70.8765896438924</v>
      </c>
      <c r="AO682" s="2" t="n">
        <f aca="false">(Entrées!$C$36*(1-S682)+MAX(0,Entrées!$C$30-Entrées!$C$35-Entrées!$C$36)*U682)*1000</f>
        <v>980.841934828722</v>
      </c>
      <c r="AP682" s="2" t="n">
        <f aca="false">-AO682/W682</f>
        <v>-91.7122264740782</v>
      </c>
      <c r="AQ682" s="2" t="n">
        <f aca="false">AL682+AM682+AN682+AP682</f>
        <v>8065.41142481236</v>
      </c>
      <c r="AR682" s="2" t="n">
        <f aca="false">O682*AQ682-Hypothèses!$J$25/Hypothèses!$J$19</f>
        <v>1356.38055218516</v>
      </c>
      <c r="AS682" s="2" t="n">
        <f aca="false">Entrées!$C$79*(1+Q682)+Hypothèses!$J$20</f>
        <v>1496.05269696942</v>
      </c>
      <c r="AT682" s="2" t="n">
        <f aca="false">AI682-AR682+AS682+Y682*1000-AO682+Hypothèses!$J$23</f>
        <v>22566.4151215105</v>
      </c>
      <c r="AU682" s="2" t="n">
        <f aca="false">AT682/AQ682</f>
        <v>2.79792485874773</v>
      </c>
      <c r="AV682" s="2" t="n">
        <f aca="false">Hypothèses!$J$26*AQ682-AT682</f>
        <v>1629.81915292662</v>
      </c>
      <c r="AW682" s="2" t="n">
        <f aca="false">IF(AC682&gt;Hypothèses!$J$26,MAX(0,AV682)/(1-Hypothèses!$J$26/AC682),0)</f>
        <v>2389.77244392381</v>
      </c>
      <c r="AX682" s="2" t="n">
        <f aca="false">AQ682-Entrées!$C$17*1000</f>
        <v>65.4114248123633</v>
      </c>
      <c r="AY682" s="2" t="n">
        <f aca="false">AI682+(Entrées!$C$244-Entrées!$C$13)</f>
        <v>28485.9428139807</v>
      </c>
      <c r="AZ682" s="2" t="n">
        <f aca="false">AA682*AH682</f>
        <v>5522.90071933762</v>
      </c>
      <c r="BA682" s="2" t="n">
        <f aca="false">AZ682/AY682</f>
        <v>0.193881619274578</v>
      </c>
      <c r="BB682" s="2" t="n">
        <f aca="false">AZ682/(Entrées!$C$151/100)-AY682</f>
        <v>2196.83896011717</v>
      </c>
      <c r="BC682" s="2" t="n">
        <f aca="false">AT682+(Entrées!$C$244-Entrées!$C$13)</f>
        <v>28313.4151215105</v>
      </c>
      <c r="BD682" s="2" t="n">
        <f aca="false">AA682*AQ682</f>
        <v>5920.03149883297</v>
      </c>
      <c r="BE682" s="2" t="n">
        <f aca="false">BD682/BC682</f>
        <v>0.209089277059176</v>
      </c>
      <c r="BF682" s="2" t="n">
        <f aca="false">BD682/(Entrées!$C$151/100)-BC682</f>
        <v>4575.64876089493</v>
      </c>
      <c r="BG682" s="2" t="n">
        <f aca="false">MIN(AV682,BF682)</f>
        <v>1629.81915292662</v>
      </c>
      <c r="BH682" s="2" t="n">
        <f aca="false">IF(AC682&gt;Hypothèses!$J$26,MAX(0,BG682)/(1-Hypothèses!$J$26/AC682),0)</f>
        <v>2389.77244392381</v>
      </c>
    </row>
    <row r="683" customFormat="false" ht="15" hidden="false" customHeight="false" outlineLevel="0" collapsed="false">
      <c r="A683" s="2" t="n">
        <v>668</v>
      </c>
      <c r="B683" s="2" t="n">
        <v>0.249543435</v>
      </c>
      <c r="C683" s="2"/>
      <c r="D683" s="2" t="n">
        <v>0.34307946</v>
      </c>
      <c r="E683" s="2" t="n">
        <f aca="false">IF(E$7=E$5,E$6,IF(NORMSDIST(E$9*SQRT($C$11)*NORMSINV($B683)+SQRT(1-E$9^2*$C$11)*NORMSINV(D683))&lt;E$8,E$5+SQRT(NORMSDIST(E$9*SQRT($C$11)*NORMSINV($B683)+SQRT(1-E$9^2*$C$11)*NORMSINV(D683))*(E$7-E$5)*(E$6-E$5)),E$7-SQRT((1-NORMSDIST(E$9*SQRT($C$11)*NORMSINV($B683)+SQRT(1-E$9^2*$C$11)*NORMSINV(D683)))*(E$7-E$5)*(E$7-E$6))))</f>
        <v>0.0533874923273517</v>
      </c>
      <c r="F683" s="2" t="n">
        <v>0.228436048</v>
      </c>
      <c r="G683" s="2" t="n">
        <f aca="false">IF(G$7=G$5,G$6,IF(NORMSDIST(G$9*SQRT($C$11)*NORMSINV($B683)+SQRT(1-G$9^2*$C$11)*NORMSINV(F683))&lt;G$8,G$5+SQRT(NORMSDIST(G$9*SQRT($C$11)*NORMSINV($B683)+SQRT(1-G$9^2*$C$11)*NORMSINV(F683))*(G$7-G$5)*(G$6-G$5)),G$7-SQRT((1-NORMSDIST(G$9*SQRT($C$11)*NORMSINV($B683)+SQRT(1-G$9^2*$C$11)*NORMSINV(F683)))*(G$7-G$5)*(G$7-G$6))))</f>
        <v>0.0484250782239987</v>
      </c>
      <c r="H683" s="2" t="n">
        <v>0.639339034</v>
      </c>
      <c r="I683" s="2" t="n">
        <f aca="false">IF(I$7=I$5,I$6,IF(NORMSDIST(I$9*SQRT($C$11)*NORMSINV($B683)+SQRT(1-I$9^2*$C$11)*NORMSINV(H683))&lt;I$8,I$5+SQRT(NORMSDIST(I$9*SQRT($C$11)*NORMSINV($B683)+SQRT(1-I$9^2*$C$11)*NORMSINV(H683))*(I$7-I$5)*(I$6-I$5)),I$7-SQRT((1-NORMSDIST(I$9*SQRT($C$11)*NORMSINV($B683)+SQRT(1-I$9^2*$C$11)*NORMSINV(H683)))*(I$7-I$5)*(I$7-I$6))))</f>
        <v>198.759714042301</v>
      </c>
      <c r="J683" s="2" t="n">
        <v>0.336371212</v>
      </c>
      <c r="K683" s="2" t="n">
        <f aca="false">IF(K$7=K$5,K$6,IF(NORMSDIST(K$9*SQRT($C$11)*NORMSINV($B683)+SQRT(1-K$9^2*$C$11)*NORMSINV(J683))&lt;K$8,K$5+SQRT(NORMSDIST(K$9*SQRT($C$11)*NORMSINV($B683)+SQRT(1-K$9^2*$C$11)*NORMSINV(J683))*(K$7-K$5)*(K$6-K$5)),K$7-SQRT((1-NORMSDIST(K$9*SQRT($C$11)*NORMSINV($B683)+SQRT(1-K$9^2*$C$11)*NORMSINV(J683)))*(K$7-K$5)*(K$7-K$6))))</f>
        <v>0.167787970031384</v>
      </c>
      <c r="L683" s="2" t="n">
        <v>0.960819834</v>
      </c>
      <c r="M683" s="2" t="n">
        <f aca="false">IF(M$7=M$5,M$6,IF(NORMSDIST(M$9*SQRT($C$11)*NORMSINV($B683)+SQRT(1-M$9^2*$C$11)*NORMSINV(L683))&lt;M$8,M$5+SQRT(NORMSDIST(M$9*SQRT($C$11)*NORMSINV($B683)+SQRT(1-M$9^2*$C$11)*NORMSINV(L683))*(M$7-M$5)*(M$6-M$5)),M$7-SQRT((1-NORMSDIST(M$9*SQRT($C$11)*NORMSINV($B683)+SQRT(1-M$9^2*$C$11)*NORMSINV(L683)))*(M$7-M$5)*(M$7-M$6))))</f>
        <v>1673.99149909291</v>
      </c>
      <c r="N683" s="2" t="n">
        <v>0.854448373</v>
      </c>
      <c r="O683" s="2" t="n">
        <f aca="false">IF(O$7=O$5,O$6,IF(NORMSDIST(O$9*SQRT($C$11)*NORMSINV($B683)+SQRT(1-O$9^2*$C$11)*NORMSINV(N683))&lt;O$8,O$5+SQRT(NORMSDIST(O$9*SQRT($C$11)*NORMSINV($B683)+SQRT(1-O$9^2*$C$11)*NORMSINV(N683))*(O$7-O$5)*(O$6-O$5)),O$7-SQRT((1-NORMSDIST(O$9*SQRT($C$11)*NORMSINV($B683)+SQRT(1-O$9^2*$C$11)*NORMSINV(N683)))*(O$7-O$5)*(O$7-O$6))))</f>
        <v>0.170742012949814</v>
      </c>
      <c r="P683" s="2" t="n">
        <v>0.256326509</v>
      </c>
      <c r="Q683" s="2" t="n">
        <f aca="false">IF(Q$7=Q$5,Q$6,IF(NORMSDIST(Q$9*SQRT($C$11)*NORMSINV($B683)+SQRT(1-Q$9^2*$C$11)*NORMSINV(P683))&lt;Q$8,Q$5+SQRT(NORMSDIST(Q$9*SQRT($C$11)*NORMSINV($B683)+SQRT(1-Q$9^2*$C$11)*NORMSINV(P683))*(Q$7-Q$5)*(Q$6-Q$5)),Q$7-SQRT((1-NORMSDIST(Q$9*SQRT($C$11)*NORMSINV($B683)+SQRT(1-Q$9^2*$C$11)*NORMSINV(P683)))*(Q$7-Q$5)*(Q$7-Q$6))))</f>
        <v>0.0686399167037895</v>
      </c>
      <c r="R683" s="2" t="n">
        <v>0.452925382</v>
      </c>
      <c r="S683" s="2" t="n">
        <f aca="false">IF(S$7=S$5,S$6,IF(NORMSDIST(S$9*SQRT($C$11)*NORMSINV($B683)+SQRT(1-S$9^2*$C$11)*NORMSINV(R683))&lt;S$8,S$5+SQRT(NORMSDIST(S$9*SQRT($C$11)*NORMSINV($B683)+SQRT(1-S$9^2*$C$11)*NORMSINV(R683))*(S$7-S$5)*(S$6-S$5)),S$7-SQRT((1-NORMSDIST(S$9*SQRT($C$11)*NORMSINV($B683)+SQRT(1-S$9^2*$C$11)*NORMSINV(R683)))*(S$7-S$5)*(S$7-S$6))))</f>
        <v>0.388485904969299</v>
      </c>
      <c r="T683" s="2" t="n">
        <v>0.801312024</v>
      </c>
      <c r="U683" s="2" t="n">
        <f aca="false">IF(U$7=U$5,U$6,IF(NORMSDIST(U$9*SQRT($C$11)*NORMSINV($B683)+SQRT(1-U$9^2*$C$11)*NORMSINV(T683))&lt;U$8,U$5+SQRT(NORMSDIST(U$9*SQRT($C$11)*NORMSINV($B683)+SQRT(1-U$9^2*$C$11)*NORMSINV(T683))*(U$7-U$5)*(U$6-U$5)),U$7-SQRT((1-NORMSDIST(U$9*SQRT($C$11)*NORMSINV($B683)+SQRT(1-U$9^2*$C$11)*NORMSINV(T683)))*(U$7-U$5)*(U$7-U$6))))</f>
        <v>0.547341385515634</v>
      </c>
      <c r="V683" s="2" t="n">
        <v>0.973131158</v>
      </c>
      <c r="W683" s="2" t="n">
        <f aca="false">IF(W$7=W$5,W$6,IF(NORMSDIST(W$9*SQRT($C$11)*NORMSINV($B683)+SQRT(1-W$9^2*$C$11)*NORMSINV(V683))&lt;W$8,W$5+SQRT(NORMSDIST(W$9*SQRT($C$11)*NORMSINV($B683)+SQRT(1-W$9^2*$C$11)*NORMSINV(V683))*(W$7-W$5)*(W$6-W$5)),W$7-SQRT((1-NORMSDIST(W$9*SQRT($C$11)*NORMSINV($B683)+SQRT(1-W$9^2*$C$11)*NORMSINV(V683)))*(W$7-W$5)*(W$7-W$6))))</f>
        <v>10.9301866300439</v>
      </c>
      <c r="X683" s="2" t="n">
        <v>0.118870639</v>
      </c>
      <c r="Y683" s="2" t="n">
        <f aca="false">IF(Y$7=Y$5,Y$6,IF(NORMSDIST(Y$9*SQRT($C$11)*NORMSINV($B683)+SQRT(1-Y$9^2*$C$11)*NORMSINV(X683))&lt;Y$8,Y$5+SQRT(NORMSDIST(Y$9*SQRT($C$11)*NORMSINV($B683)+SQRT(1-Y$9^2*$C$11)*NORMSINV(X683))*(Y$7-Y$5)*(Y$6-Y$5)),Y$7-SQRT((1-NORMSDIST(Y$9*SQRT($C$11)*NORMSINV($B683)+SQRT(1-Y$9^2*$C$11)*NORMSINV(X683)))*(Y$7-Y$5)*(Y$7-Y$6))))</f>
        <v>0.243793600203123</v>
      </c>
      <c r="Z683" s="2" t="n">
        <v>0.039715758</v>
      </c>
      <c r="AA683" s="2" t="n">
        <f aca="false">IF(AA$7=AA$5,AA$6,IF(NORMSDIST(AA$9*SQRT($C$11)*NORMSINV($B683)+SQRT(1-AA$9^2*$C$11)*NORMSINV(Z683))&lt;AA$8,AA$5+SQRT(NORMSDIST(AA$9*SQRT($C$11)*NORMSINV($B683)+SQRT(1-AA$9^2*$C$11)*NORMSINV(Z683))*(AA$7-AA$5)*(AA$6-AA$5)),AA$7-SQRT((1-NORMSDIST(AA$9*SQRT($C$11)*NORMSINV($B683)+SQRT(1-AA$9^2*$C$11)*NORMSINV(Z683)))*(AA$7-AA$5)*(AA$7-AA$6))))</f>
        <v>0.704227963718556</v>
      </c>
      <c r="AB683" s="2" t="n">
        <v>0.782725482</v>
      </c>
      <c r="AC683" s="2" t="n">
        <f aca="false">IF(AC$7=AC$5,AC$6,IF(NORMSDIST(AC$9*SQRT($C$11)*NORMSINV($B683)+SQRT(1-AC$9^2*$C$11)*NORMSINV(AB683))&lt;AC$8,AC$5+SQRT(NORMSDIST(AC$9*SQRT($C$11)*NORMSINV($B683)+SQRT(1-AC$9^2*$C$11)*NORMSINV(AB683))*(AC$7-AC$5)*(AC$6-AC$5)),AC$7-SQRT((1-NORMSDIST(AC$9*SQRT($C$11)*NORMSINV($B683)+SQRT(1-AC$9^2*$C$11)*NORMSINV(AB683)))*(AC$7-AC$5)*(AC$7-AC$6))))</f>
        <v>9.62027882986334</v>
      </c>
      <c r="AD683" s="2" t="n">
        <f aca="false">Entrées!$C$8*(1+E683)</f>
        <v>7426.38182090783</v>
      </c>
      <c r="AE683" s="2" t="n">
        <f aca="false">I683*Hypothèses!$J$24/12/Hypothèses!$J$19</f>
        <v>98.604057981173</v>
      </c>
      <c r="AF683" s="2" t="n">
        <f aca="false">Entrées!$C$36*S683*1000</f>
        <v>194.24295248465</v>
      </c>
      <c r="AG683" s="2" t="n">
        <f aca="false">-AF683/W683</f>
        <v>-17.7712384114953</v>
      </c>
      <c r="AH683" s="2" t="n">
        <f aca="false">AD683+AE683+AG683</f>
        <v>7507.21464047751</v>
      </c>
      <c r="AI683" s="2" t="n">
        <f aca="false">Entrées!$C$16-M683+Hypothèses!$J$22*1000-AF683+Hypothèses!$J$23</f>
        <v>22679.7655484224</v>
      </c>
      <c r="AJ683" s="2" t="n">
        <f aca="false">AI683/AH683</f>
        <v>3.02106262236561</v>
      </c>
      <c r="AK683" s="2" t="n">
        <f aca="false">AI683/(AH683+I683*(12-Hypothèses!$J$24)/12/Hypothèses!$J$19)</f>
        <v>2.99298294190642</v>
      </c>
      <c r="AL683" s="2" t="n">
        <f aca="false">(AD683+AG683+I683/Hypothèses!$J$19)*(1+G683)</f>
        <v>7944.59421611706</v>
      </c>
      <c r="AM683" s="2" t="n">
        <f aca="false">Entrées!$C$54*K683/Hypothèses!$J$19</f>
        <v>17.1234668378633</v>
      </c>
      <c r="AN683" s="2" t="n">
        <f aca="false">Y683*1000/AC683</f>
        <v>25.341635571553</v>
      </c>
      <c r="AO683" s="2" t="n">
        <f aca="false">(Entrées!$C$36*(1-S683)+MAX(0,Entrées!$C$30-Entrées!$C$35-Entrées!$C$36)*U683)*1000</f>
        <v>1072.03498723724</v>
      </c>
      <c r="AP683" s="2" t="n">
        <f aca="false">-AO683/W683</f>
        <v>-98.0802088310662</v>
      </c>
      <c r="AQ683" s="2" t="n">
        <f aca="false">AL683+AM683+AN683+AP683</f>
        <v>7888.97910969541</v>
      </c>
      <c r="AR683" s="2" t="n">
        <f aca="false">O683*AQ683-Hypothèses!$J$25/Hypothèses!$J$19</f>
        <v>1327.8450110468</v>
      </c>
      <c r="AS683" s="2" t="n">
        <f aca="false">Entrées!$C$79*(1+Q683)+Hypothèses!$J$20</f>
        <v>1469.43526845746</v>
      </c>
      <c r="AT683" s="2" t="n">
        <f aca="false">AI683-AR683+AS683+Y683*1000-AO683+Hypothèses!$J$23</f>
        <v>21993.114418799</v>
      </c>
      <c r="AU683" s="2" t="n">
        <f aca="false">AT683/AQ683</f>
        <v>2.7878276913891</v>
      </c>
      <c r="AV683" s="2" t="n">
        <f aca="false">Hypothèses!$J$26*AQ683-AT683</f>
        <v>1673.82291028724</v>
      </c>
      <c r="AW683" s="2" t="n">
        <f aca="false">IF(AC683&gt;Hypothèses!$J$26,MAX(0,AV683)/(1-Hypothèses!$J$26/AC683),0)</f>
        <v>2432.32098263586</v>
      </c>
      <c r="AX683" s="2" t="n">
        <f aca="false">AQ683-Entrées!$C$17*1000</f>
        <v>-111.02089030459</v>
      </c>
      <c r="AY683" s="2" t="n">
        <f aca="false">AI683+(Entrées!$C$244-Entrées!$C$13)</f>
        <v>28426.7655484224</v>
      </c>
      <c r="AZ683" s="2" t="n">
        <f aca="false">AA683*AH683</f>
        <v>5286.79047946161</v>
      </c>
      <c r="BA683" s="2" t="n">
        <f aca="false">AZ683/AY683</f>
        <v>0.185979318345453</v>
      </c>
      <c r="BB683" s="2" t="n">
        <f aca="false">AZ683/(Entrées!$C$151/100)-AY683</f>
        <v>944.292670808718</v>
      </c>
      <c r="BC683" s="2" t="n">
        <f aca="false">AT683+(Entrées!$C$244-Entrées!$C$13)</f>
        <v>27740.114418799</v>
      </c>
      <c r="BD683" s="2" t="n">
        <f aca="false">AA683*AQ683</f>
        <v>5555.63969423903</v>
      </c>
      <c r="BE683" s="2" t="n">
        <f aca="false">BD683/BC683</f>
        <v>0.200274577471608</v>
      </c>
      <c r="BF683" s="2" t="n">
        <f aca="false">BD683/(Entrées!$C$151/100)-BC683</f>
        <v>3124.5505491956</v>
      </c>
      <c r="BG683" s="2" t="n">
        <f aca="false">MIN(AV683,BF683)</f>
        <v>1673.82291028724</v>
      </c>
      <c r="BH683" s="2" t="n">
        <f aca="false">IF(AC683&gt;Hypothèses!$J$26,MAX(0,BG683)/(1-Hypothèses!$J$26/AC683),0)</f>
        <v>2432.32098263586</v>
      </c>
    </row>
    <row r="684" customFormat="false" ht="15" hidden="false" customHeight="false" outlineLevel="0" collapsed="false">
      <c r="A684" s="2" t="n">
        <v>669</v>
      </c>
      <c r="B684" s="2" t="n">
        <v>0.711563734</v>
      </c>
      <c r="C684" s="2"/>
      <c r="D684" s="2" t="n">
        <v>0.491986004</v>
      </c>
      <c r="E684" s="2" t="n">
        <f aca="false">IF(E$7=E$5,E$6,IF(NORMSDIST(E$9*SQRT($C$11)*NORMSINV($B684)+SQRT(1-E$9^2*$C$11)*NORMSINV(D684))&lt;E$8,E$5+SQRT(NORMSDIST(E$9*SQRT($C$11)*NORMSINV($B684)+SQRT(1-E$9^2*$C$11)*NORMSINV(D684))*(E$7-E$5)*(E$6-E$5)),E$7-SQRT((1-NORMSDIST(E$9*SQRT($C$11)*NORMSINV($B684)+SQRT(1-E$9^2*$C$11)*NORMSINV(D684)))*(E$7-E$5)*(E$7-E$6))))</f>
        <v>0.055710846506241</v>
      </c>
      <c r="F684" s="2" t="n">
        <v>0.160277039</v>
      </c>
      <c r="G684" s="2" t="n">
        <f aca="false">IF(G$7=G$5,G$6,IF(NORMSDIST(G$9*SQRT($C$11)*NORMSINV($B684)+SQRT(1-G$9^2*$C$11)*NORMSINV(F684))&lt;G$8,G$5+SQRT(NORMSDIST(G$9*SQRT($C$11)*NORMSINV($B684)+SQRT(1-G$9^2*$C$11)*NORMSINV(F684))*(G$7-G$5)*(G$6-G$5)),G$7-SQRT((1-NORMSDIST(G$9*SQRT($C$11)*NORMSINV($B684)+SQRT(1-G$9^2*$C$11)*NORMSINV(F684)))*(G$7-G$5)*(G$7-G$6))))</f>
        <v>0.0523421494679097</v>
      </c>
      <c r="H684" s="2" t="n">
        <v>0.704071527</v>
      </c>
      <c r="I684" s="2" t="n">
        <f aca="false">IF(I$7=I$5,I$6,IF(NORMSDIST(I$9*SQRT($C$11)*NORMSINV($B684)+SQRT(1-I$9^2*$C$11)*NORMSINV(H684))&lt;I$8,I$5+SQRT(NORMSDIST(I$9*SQRT($C$11)*NORMSINV($B684)+SQRT(1-I$9^2*$C$11)*NORMSINV(H684))*(I$7-I$5)*(I$6-I$5)),I$7-SQRT((1-NORMSDIST(I$9*SQRT($C$11)*NORMSINV($B684)+SQRT(1-I$9^2*$C$11)*NORMSINV(H684)))*(I$7-I$5)*(I$7-I$6))))</f>
        <v>206.697681748026</v>
      </c>
      <c r="J684" s="2" t="n">
        <v>0.66441313</v>
      </c>
      <c r="K684" s="2" t="n">
        <f aca="false">IF(K$7=K$5,K$6,IF(NORMSDIST(K$9*SQRT($C$11)*NORMSINV($B684)+SQRT(1-K$9^2*$C$11)*NORMSINV(J684))&lt;K$8,K$5+SQRT(NORMSDIST(K$9*SQRT($C$11)*NORMSINV($B684)+SQRT(1-K$9^2*$C$11)*NORMSINV(J684))*(K$7-K$5)*(K$6-K$5)),K$7-SQRT((1-NORMSDIST(K$9*SQRT($C$11)*NORMSINV($B684)+SQRT(1-K$9^2*$C$11)*NORMSINV(J684)))*(K$7-K$5)*(K$7-K$6))))</f>
        <v>0.324036587756606</v>
      </c>
      <c r="L684" s="2" t="n">
        <v>0.928822333</v>
      </c>
      <c r="M684" s="2" t="n">
        <f aca="false">IF(M$7=M$5,M$6,IF(NORMSDIST(M$9*SQRT($C$11)*NORMSINV($B684)+SQRT(1-M$9^2*$C$11)*NORMSINV(L684))&lt;M$8,M$5+SQRT(NORMSDIST(M$9*SQRT($C$11)*NORMSINV($B684)+SQRT(1-M$9^2*$C$11)*NORMSINV(L684))*(M$7-M$5)*(M$6-M$5)),M$7-SQRT((1-NORMSDIST(M$9*SQRT($C$11)*NORMSINV($B684)+SQRT(1-M$9^2*$C$11)*NORMSINV(L684)))*(M$7-M$5)*(M$7-M$6))))</f>
        <v>1718.2119396883</v>
      </c>
      <c r="N684" s="2" t="n">
        <v>0.552846229</v>
      </c>
      <c r="O684" s="2" t="n">
        <f aca="false">IF(O$7=O$5,O$6,IF(NORMSDIST(O$9*SQRT($C$11)*NORMSINV($B684)+SQRT(1-O$9^2*$C$11)*NORMSINV(N684))&lt;O$8,O$5+SQRT(NORMSDIST(O$9*SQRT($C$11)*NORMSINV($B684)+SQRT(1-O$9^2*$C$11)*NORMSINV(N684))*(O$7-O$5)*(O$6-O$5)),O$7-SQRT((1-NORMSDIST(O$9*SQRT($C$11)*NORMSINV($B684)+SQRT(1-O$9^2*$C$11)*NORMSINV(N684)))*(O$7-O$5)*(O$7-O$6))))</f>
        <v>0.171414908585181</v>
      </c>
      <c r="P684" s="2" t="n">
        <v>0.066061604</v>
      </c>
      <c r="Q684" s="2" t="n">
        <f aca="false">IF(Q$7=Q$5,Q$6,IF(NORMSDIST(Q$9*SQRT($C$11)*NORMSINV($B684)+SQRT(1-Q$9^2*$C$11)*NORMSINV(P684))&lt;Q$8,Q$5+SQRT(NORMSDIST(Q$9*SQRT($C$11)*NORMSINV($B684)+SQRT(1-Q$9^2*$C$11)*NORMSINV(P684))*(Q$7-Q$5)*(Q$6-Q$5)),Q$7-SQRT((1-NORMSDIST(Q$9*SQRT($C$11)*NORMSINV($B684)+SQRT(1-Q$9^2*$C$11)*NORMSINV(P684)))*(Q$7-Q$5)*(Q$7-Q$6))))</f>
        <v>0.0545395024949274</v>
      </c>
      <c r="R684" s="2" t="n">
        <v>0.240752694</v>
      </c>
      <c r="S684" s="2" t="n">
        <f aca="false">IF(S$7=S$5,S$6,IF(NORMSDIST(S$9*SQRT($C$11)*NORMSINV($B684)+SQRT(1-S$9^2*$C$11)*NORMSINV(R684))&lt;S$8,S$5+SQRT(NORMSDIST(S$9*SQRT($C$11)*NORMSINV($B684)+SQRT(1-S$9^2*$C$11)*NORMSINV(R684))*(S$7-S$5)*(S$6-S$5)),S$7-SQRT((1-NORMSDIST(S$9*SQRT($C$11)*NORMSINV($B684)+SQRT(1-S$9^2*$C$11)*NORMSINV(R684)))*(S$7-S$5)*(S$7-S$6))))</f>
        <v>0.460291922778491</v>
      </c>
      <c r="T684" s="2" t="n">
        <v>0.748544038</v>
      </c>
      <c r="U684" s="2" t="n">
        <f aca="false">IF(U$7=U$5,U$6,IF(NORMSDIST(U$9*SQRT($C$11)*NORMSINV($B684)+SQRT(1-U$9^2*$C$11)*NORMSINV(T684))&lt;U$8,U$5+SQRT(NORMSDIST(U$9*SQRT($C$11)*NORMSINV($B684)+SQRT(1-U$9^2*$C$11)*NORMSINV(T684))*(U$7-U$5)*(U$6-U$5)),U$7-SQRT((1-NORMSDIST(U$9*SQRT($C$11)*NORMSINV($B684)+SQRT(1-U$9^2*$C$11)*NORMSINV(T684)))*(U$7-U$5)*(U$7-U$6))))</f>
        <v>0.690436385205539</v>
      </c>
      <c r="V684" s="2" t="n">
        <v>0.309749403</v>
      </c>
      <c r="W684" s="2" t="n">
        <f aca="false">IF(W$7=W$5,W$6,IF(NORMSDIST(W$9*SQRT($C$11)*NORMSINV($B684)+SQRT(1-W$9^2*$C$11)*NORMSINV(V684))&lt;W$8,W$5+SQRT(NORMSDIST(W$9*SQRT($C$11)*NORMSINV($B684)+SQRT(1-W$9^2*$C$11)*NORMSINV(V684))*(W$7-W$5)*(W$6-W$5)),W$7-SQRT((1-NORMSDIST(W$9*SQRT($C$11)*NORMSINV($B684)+SQRT(1-W$9^2*$C$11)*NORMSINV(V684)))*(W$7-W$5)*(W$7-W$6))))</f>
        <v>9.97450879434929</v>
      </c>
      <c r="X684" s="2" t="n">
        <v>0.216928064</v>
      </c>
      <c r="Y684" s="2" t="n">
        <f aca="false">IF(Y$7=Y$5,Y$6,IF(NORMSDIST(Y$9*SQRT($C$11)*NORMSINV($B684)+SQRT(1-Y$9^2*$C$11)*NORMSINV(X684))&lt;Y$8,Y$5+SQRT(NORMSDIST(Y$9*SQRT($C$11)*NORMSINV($B684)+SQRT(1-Y$9^2*$C$11)*NORMSINV(X684))*(Y$7-Y$5)*(Y$6-Y$5)),Y$7-SQRT((1-NORMSDIST(Y$9*SQRT($C$11)*NORMSINV($B684)+SQRT(1-Y$9^2*$C$11)*NORMSINV(X684)))*(Y$7-Y$5)*(Y$7-Y$6))))</f>
        <v>0.329338779981951</v>
      </c>
      <c r="Z684" s="2" t="n">
        <v>0.851388164</v>
      </c>
      <c r="AA684" s="2" t="n">
        <f aca="false">IF(AA$7=AA$5,AA$6,IF(NORMSDIST(AA$9*SQRT($C$11)*NORMSINV($B684)+SQRT(1-AA$9^2*$C$11)*NORMSINV(Z684))&lt;AA$8,AA$5+SQRT(NORMSDIST(AA$9*SQRT($C$11)*NORMSINV($B684)+SQRT(1-AA$9^2*$C$11)*NORMSINV(Z684))*(AA$7-AA$5)*(AA$6-AA$5)),AA$7-SQRT((1-NORMSDIST(AA$9*SQRT($C$11)*NORMSINV($B684)+SQRT(1-AA$9^2*$C$11)*NORMSINV(Z684)))*(AA$7-AA$5)*(AA$7-AA$6))))</f>
        <v>0.741299194243616</v>
      </c>
      <c r="AB684" s="2" t="n">
        <v>0.683487489</v>
      </c>
      <c r="AC684" s="2" t="n">
        <f aca="false">IF(AC$7=AC$5,AC$6,IF(NORMSDIST(AC$9*SQRT($C$11)*NORMSINV($B684)+SQRT(1-AC$9^2*$C$11)*NORMSINV(AB684))&lt;AC$8,AC$5+SQRT(NORMSDIST(AC$9*SQRT($C$11)*NORMSINV($B684)+SQRT(1-AC$9^2*$C$11)*NORMSINV(AB684))*(AC$7-AC$5)*(AC$6-AC$5)),AC$7-SQRT((1-NORMSDIST(AC$9*SQRT($C$11)*NORMSINV($B684)+SQRT(1-AC$9^2*$C$11)*NORMSINV(AB684)))*(AC$7-AC$5)*(AC$7-AC$6))))</f>
        <v>9.99259626163419</v>
      </c>
      <c r="AD684" s="2" t="n">
        <f aca="false">Entrées!$C$8*(1+E684)</f>
        <v>7442.761467869</v>
      </c>
      <c r="AE684" s="2" t="n">
        <f aca="false">I684*Hypothèses!$J$24/12/Hypothèses!$J$19</f>
        <v>102.542058353529</v>
      </c>
      <c r="AF684" s="2" t="n">
        <f aca="false">Entrées!$C$36*S684*1000</f>
        <v>230.145961389245</v>
      </c>
      <c r="AG684" s="2" t="n">
        <f aca="false">-AF684/W684</f>
        <v>-23.0734130506383</v>
      </c>
      <c r="AH684" s="2" t="n">
        <f aca="false">AD684+AE684+AG684</f>
        <v>7522.23011317189</v>
      </c>
      <c r="AI684" s="2" t="n">
        <f aca="false">Entrées!$C$16-M684+Hypothèses!$J$22*1000-AF684+Hypothèses!$J$23</f>
        <v>22599.6420989225</v>
      </c>
      <c r="AJ684" s="2" t="n">
        <f aca="false">AI684/AH684</f>
        <v>3.00438058380441</v>
      </c>
      <c r="AK684" s="2" t="n">
        <f aca="false">AI684/(AH684+I684*(12-Hypothèses!$J$24)/12/Hypothèses!$J$19)</f>
        <v>2.975408880085</v>
      </c>
      <c r="AL684" s="2" t="n">
        <f aca="false">(AD684+AG684+I684/Hypothèses!$J$19)*(1+G684)</f>
        <v>7993.03789901513</v>
      </c>
      <c r="AM684" s="2" t="n">
        <f aca="false">Entrées!$C$54*K684/Hypothèses!$J$19</f>
        <v>33.0692943222734</v>
      </c>
      <c r="AN684" s="2" t="n">
        <f aca="false">Y684*1000/AC684</f>
        <v>32.9582794459957</v>
      </c>
      <c r="AO684" s="2" t="n">
        <f aca="false">(Entrées!$C$36*(1-S684)+MAX(0,Entrées!$C$30-Entrées!$C$35-Entrées!$C$36)*U684)*1000</f>
        <v>1236.46497789851</v>
      </c>
      <c r="AP684" s="2" t="n">
        <f aca="false">-AO684/W684</f>
        <v>-123.962493130387</v>
      </c>
      <c r="AQ684" s="2" t="n">
        <f aca="false">AL684+AM684+AN684+AP684</f>
        <v>7935.10297965301</v>
      </c>
      <c r="AR684" s="2" t="n">
        <f aca="false">O684*AQ684-Hypothèses!$J$25/Hypothèses!$J$19</f>
        <v>1341.05978960959</v>
      </c>
      <c r="AS684" s="2" t="n">
        <f aca="false">Entrées!$C$79*(1+Q684)+Hypothèses!$J$20</f>
        <v>1453.93891324193</v>
      </c>
      <c r="AT684" s="2" t="n">
        <f aca="false">AI684-AR684+AS684+Y684*1000-AO684+Hypothèses!$J$23</f>
        <v>21805.3950246382</v>
      </c>
      <c r="AU684" s="2" t="n">
        <f aca="false">AT684/AQ684</f>
        <v>2.74796623062751</v>
      </c>
      <c r="AV684" s="2" t="n">
        <f aca="false">Hypothèses!$J$26*AQ684-AT684</f>
        <v>1999.9139143208</v>
      </c>
      <c r="AW684" s="2" t="n">
        <f aca="false">IF(AC684&gt;Hypothèses!$J$26,MAX(0,AV684)/(1-Hypothèses!$J$26/AC684),0)</f>
        <v>2857.9273786303</v>
      </c>
      <c r="AX684" s="2" t="n">
        <f aca="false">AQ684-Entrées!$C$17*1000</f>
        <v>-64.8970203469899</v>
      </c>
      <c r="AY684" s="2" t="n">
        <f aca="false">AI684+(Entrées!$C$244-Entrées!$C$13)</f>
        <v>28346.6420989225</v>
      </c>
      <c r="AZ684" s="2" t="n">
        <f aca="false">AA684*AH684</f>
        <v>5576.22312180939</v>
      </c>
      <c r="BA684" s="2" t="n">
        <f aca="false">AZ684/AY684</f>
        <v>0.196715473471242</v>
      </c>
      <c r="BB684" s="2" t="n">
        <f aca="false">AZ684/(Entrées!$C$151/100)-AY684</f>
        <v>2632.37524446302</v>
      </c>
      <c r="BC684" s="2" t="n">
        <f aca="false">AT684+(Entrées!$C$244-Entrées!$C$13)</f>
        <v>27552.3950246382</v>
      </c>
      <c r="BD684" s="2" t="n">
        <f aca="false">AA684*AQ684</f>
        <v>5882.28544505689</v>
      </c>
      <c r="BE684" s="2" t="n">
        <f aca="false">BD684/BC684</f>
        <v>0.213494523426975</v>
      </c>
      <c r="BF684" s="2" t="n">
        <f aca="false">BD684/(Entrées!$C$151/100)-BC684</f>
        <v>5126.96855901117</v>
      </c>
      <c r="BG684" s="2" t="n">
        <f aca="false">MIN(AV684,BF684)</f>
        <v>1999.9139143208</v>
      </c>
      <c r="BH684" s="2" t="n">
        <f aca="false">IF(AC684&gt;Hypothèses!$J$26,MAX(0,BG684)/(1-Hypothèses!$J$26/AC684),0)</f>
        <v>2857.9273786303</v>
      </c>
    </row>
    <row r="685" customFormat="false" ht="15" hidden="false" customHeight="false" outlineLevel="0" collapsed="false">
      <c r="A685" s="2" t="n">
        <v>670</v>
      </c>
      <c r="B685" s="2" t="n">
        <v>0.591339981</v>
      </c>
      <c r="C685" s="2"/>
      <c r="D685" s="2" t="n">
        <v>0.841328603</v>
      </c>
      <c r="E685" s="2" t="n">
        <f aca="false">IF(E$7=E$5,E$6,IF(NORMSDIST(E$9*SQRT($C$11)*NORMSINV($B685)+SQRT(1-E$9^2*$C$11)*NORMSINV(D685))&lt;E$8,E$5+SQRT(NORMSDIST(E$9*SQRT($C$11)*NORMSINV($B685)+SQRT(1-E$9^2*$C$11)*NORMSINV(D685))*(E$7-E$5)*(E$6-E$5)),E$7-SQRT((1-NORMSDIST(E$9*SQRT($C$11)*NORMSINV($B685)+SQRT(1-E$9^2*$C$11)*NORMSINV(D685)))*(E$7-E$5)*(E$7-E$6))))</f>
        <v>0.057011524313596</v>
      </c>
      <c r="F685" s="2" t="n">
        <v>0.799489995</v>
      </c>
      <c r="G685" s="2" t="n">
        <f aca="false">IF(G$7=G$5,G$6,IF(NORMSDIST(G$9*SQRT($C$11)*NORMSINV($B685)+SQRT(1-G$9^2*$C$11)*NORMSINV(F685))&lt;G$8,G$5+SQRT(NORMSDIST(G$9*SQRT($C$11)*NORMSINV($B685)+SQRT(1-G$9^2*$C$11)*NORMSINV(F685))*(G$7-G$5)*(G$6-G$5)),G$7-SQRT((1-NORMSDIST(G$9*SQRT($C$11)*NORMSINV($B685)+SQRT(1-G$9^2*$C$11)*NORMSINV(F685)))*(G$7-G$5)*(G$7-G$6))))</f>
        <v>0.0602133374592732</v>
      </c>
      <c r="H685" s="2" t="n">
        <v>0.041763044</v>
      </c>
      <c r="I685" s="2" t="n">
        <f aca="false">IF(I$7=I$5,I$6,IF(NORMSDIST(I$9*SQRT($C$11)*NORMSINV($B685)+SQRT(1-I$9^2*$C$11)*NORMSINV(H685))&lt;I$8,I$5+SQRT(NORMSDIST(I$9*SQRT($C$11)*NORMSINV($B685)+SQRT(1-I$9^2*$C$11)*NORMSINV(H685))*(I$7-I$5)*(I$6-I$5)),I$7-SQRT((1-NORMSDIST(I$9*SQRT($C$11)*NORMSINV($B685)+SQRT(1-I$9^2*$C$11)*NORMSINV(H685)))*(I$7-I$5)*(I$7-I$6))))</f>
        <v>189.639858041948</v>
      </c>
      <c r="J685" s="2" t="n">
        <v>0.754558905</v>
      </c>
      <c r="K685" s="2" t="n">
        <f aca="false">IF(K$7=K$5,K$6,IF(NORMSDIST(K$9*SQRT($C$11)*NORMSINV($B685)+SQRT(1-K$9^2*$C$11)*NORMSINV(J685))&lt;K$8,K$5+SQRT(NORMSDIST(K$9*SQRT($C$11)*NORMSINV($B685)+SQRT(1-K$9^2*$C$11)*NORMSINV(J685))*(K$7-K$5)*(K$6-K$5)),K$7-SQRT((1-NORMSDIST(K$9*SQRT($C$11)*NORMSINV($B685)+SQRT(1-K$9^2*$C$11)*NORMSINV(J685)))*(K$7-K$5)*(K$7-K$6))))</f>
        <v>0.323810591230951</v>
      </c>
      <c r="L685" s="2" t="n">
        <v>0.521257801</v>
      </c>
      <c r="M685" s="2" t="n">
        <f aca="false">IF(M$7=M$5,M$6,IF(NORMSDIST(M$9*SQRT($C$11)*NORMSINV($B685)+SQRT(1-M$9^2*$C$11)*NORMSINV(L685))&lt;M$8,M$5+SQRT(NORMSDIST(M$9*SQRT($C$11)*NORMSINV($B685)+SQRT(1-M$9^2*$C$11)*NORMSINV(L685))*(M$7-M$5)*(M$6-M$5)),M$7-SQRT((1-NORMSDIST(M$9*SQRT($C$11)*NORMSINV($B685)+SQRT(1-M$9^2*$C$11)*NORMSINV(L685)))*(M$7-M$5)*(M$7-M$6))))</f>
        <v>1605.59474376541</v>
      </c>
      <c r="N685" s="2" t="n">
        <v>0.050481002</v>
      </c>
      <c r="O685" s="2" t="n">
        <f aca="false">IF(O$7=O$5,O$6,IF(NORMSDIST(O$9*SQRT($C$11)*NORMSINV($B685)+SQRT(1-O$9^2*$C$11)*NORMSINV(N685))&lt;O$8,O$5+SQRT(NORMSDIST(O$9*SQRT($C$11)*NORMSINV($B685)+SQRT(1-O$9^2*$C$11)*NORMSINV(N685))*(O$7-O$5)*(O$6-O$5)),O$7-SQRT((1-NORMSDIST(O$9*SQRT($C$11)*NORMSINV($B685)+SQRT(1-O$9^2*$C$11)*NORMSINV(N685)))*(O$7-O$5)*(O$7-O$6))))</f>
        <v>0.153679527222015</v>
      </c>
      <c r="P685" s="2" t="n">
        <v>0.545078604</v>
      </c>
      <c r="Q685" s="2" t="n">
        <f aca="false">IF(Q$7=Q$5,Q$6,IF(NORMSDIST(Q$9*SQRT($C$11)*NORMSINV($B685)+SQRT(1-Q$9^2*$C$11)*NORMSINV(P685))&lt;Q$8,Q$5+SQRT(NORMSDIST(Q$9*SQRT($C$11)*NORMSINV($B685)+SQRT(1-Q$9^2*$C$11)*NORMSINV(P685))*(Q$7-Q$5)*(Q$6-Q$5)),Q$7-SQRT((1-NORMSDIST(Q$9*SQRT($C$11)*NORMSINV($B685)+SQRT(1-Q$9^2*$C$11)*NORMSINV(P685)))*(Q$7-Q$5)*(Q$7-Q$6))))</f>
        <v>0.0818457280609366</v>
      </c>
      <c r="R685" s="2" t="n">
        <v>0.398574325</v>
      </c>
      <c r="S685" s="2" t="n">
        <f aca="false">IF(S$7=S$5,S$6,IF(NORMSDIST(S$9*SQRT($C$11)*NORMSINV($B685)+SQRT(1-S$9^2*$C$11)*NORMSINV(R685))&lt;S$8,S$5+SQRT(NORMSDIST(S$9*SQRT($C$11)*NORMSINV($B685)+SQRT(1-S$9^2*$C$11)*NORMSINV(R685))*(S$7-S$5)*(S$6-S$5)),S$7-SQRT((1-NORMSDIST(S$9*SQRT($C$11)*NORMSINV($B685)+SQRT(1-S$9^2*$C$11)*NORMSINV(R685)))*(S$7-S$5)*(S$7-S$6))))</f>
        <v>0.489317139459851</v>
      </c>
      <c r="T685" s="2" t="n">
        <v>0.666322547</v>
      </c>
      <c r="U685" s="2" t="n">
        <f aca="false">IF(U$7=U$5,U$6,IF(NORMSDIST(U$9*SQRT($C$11)*NORMSINV($B685)+SQRT(1-U$9^2*$C$11)*NORMSINV(T685))&lt;U$8,U$5+SQRT(NORMSDIST(U$9*SQRT($C$11)*NORMSINV($B685)+SQRT(1-U$9^2*$C$11)*NORMSINV(T685))*(U$7-U$5)*(U$6-U$5)),U$7-SQRT((1-NORMSDIST(U$9*SQRT($C$11)*NORMSINV($B685)+SQRT(1-U$9^2*$C$11)*NORMSINV(T685)))*(U$7-U$5)*(U$7-U$6))))</f>
        <v>0.602527150283946</v>
      </c>
      <c r="V685" s="2" t="n">
        <v>0.602673001</v>
      </c>
      <c r="W685" s="2" t="n">
        <f aca="false">IF(W$7=W$5,W$6,IF(NORMSDIST(W$9*SQRT($C$11)*NORMSINV($B685)+SQRT(1-W$9^2*$C$11)*NORMSINV(V685))&lt;W$8,W$5+SQRT(NORMSDIST(W$9*SQRT($C$11)*NORMSINV($B685)+SQRT(1-W$9^2*$C$11)*NORMSINV(V685))*(W$7-W$5)*(W$6-W$5)),W$7-SQRT((1-NORMSDIST(W$9*SQRT($C$11)*NORMSINV($B685)+SQRT(1-W$9^2*$C$11)*NORMSINV(V685)))*(W$7-W$5)*(W$7-W$6))))</f>
        <v>10.2934638269883</v>
      </c>
      <c r="X685" s="2" t="n">
        <v>0.104313225</v>
      </c>
      <c r="Y685" s="2" t="n">
        <f aca="false">IF(Y$7=Y$5,Y$6,IF(NORMSDIST(Y$9*SQRT($C$11)*NORMSINV($B685)+SQRT(1-Y$9^2*$C$11)*NORMSINV(X685))&lt;Y$8,Y$5+SQRT(NORMSDIST(Y$9*SQRT($C$11)*NORMSINV($B685)+SQRT(1-Y$9^2*$C$11)*NORMSINV(X685))*(Y$7-Y$5)*(Y$6-Y$5)),Y$7-SQRT((1-NORMSDIST(Y$9*SQRT($C$11)*NORMSINV($B685)+SQRT(1-Y$9^2*$C$11)*NORMSINV(X685)))*(Y$7-Y$5)*(Y$7-Y$6))))</f>
        <v>0.22837822247316</v>
      </c>
      <c r="Z685" s="2" t="n">
        <v>0.083432558</v>
      </c>
      <c r="AA685" s="2" t="n">
        <f aca="false">IF(AA$7=AA$5,AA$6,IF(NORMSDIST(AA$9*SQRT($C$11)*NORMSINV($B685)+SQRT(1-AA$9^2*$C$11)*NORMSINV(Z685))&lt;AA$8,AA$5+SQRT(NORMSDIST(AA$9*SQRT($C$11)*NORMSINV($B685)+SQRT(1-AA$9^2*$C$11)*NORMSINV(Z685))*(AA$7-AA$5)*(AA$6-AA$5)),AA$7-SQRT((1-NORMSDIST(AA$9*SQRT($C$11)*NORMSINV($B685)+SQRT(1-AA$9^2*$C$11)*NORMSINV(Z685)))*(AA$7-AA$5)*(AA$7-AA$6))))</f>
        <v>0.714825424485099</v>
      </c>
      <c r="AB685" s="2" t="n">
        <v>0.55448119</v>
      </c>
      <c r="AC685" s="2" t="n">
        <f aca="false">IF(AC$7=AC$5,AC$6,IF(NORMSDIST(AC$9*SQRT($C$11)*NORMSINV($B685)+SQRT(1-AC$9^2*$C$11)*NORMSINV(AB685))&lt;AC$8,AC$5+SQRT(NORMSDIST(AC$9*SQRT($C$11)*NORMSINV($B685)+SQRT(1-AC$9^2*$C$11)*NORMSINV(AB685))*(AC$7-AC$5)*(AC$6-AC$5)),AC$7-SQRT((1-NORMSDIST(AC$9*SQRT($C$11)*NORMSINV($B685)+SQRT(1-AC$9^2*$C$11)*NORMSINV(AB685)))*(AC$7-AC$5)*(AC$7-AC$6))))</f>
        <v>9.67600318938076</v>
      </c>
      <c r="AD685" s="2" t="n">
        <f aca="false">Entrées!$C$8*(1+E685)</f>
        <v>7451.93124641085</v>
      </c>
      <c r="AE685" s="2" t="n">
        <f aca="false">I685*Hypothèses!$J$24/12/Hypothèses!$J$19</f>
        <v>94.0797266086322</v>
      </c>
      <c r="AF685" s="2" t="n">
        <f aca="false">Entrées!$C$36*S685*1000</f>
        <v>244.658569729925</v>
      </c>
      <c r="AG685" s="2" t="n">
        <f aca="false">-AF685/W685</f>
        <v>-23.7683421093352</v>
      </c>
      <c r="AH685" s="2" t="n">
        <f aca="false">AD685+AE685+AG685</f>
        <v>7522.24263091015</v>
      </c>
      <c r="AI685" s="2" t="n">
        <f aca="false">Entrées!$C$16-M685+Hypothèses!$J$22*1000-AF685+Hypothèses!$J$23</f>
        <v>22697.7466865047</v>
      </c>
      <c r="AJ685" s="2" t="n">
        <f aca="false">AI685/AH685</f>
        <v>3.01741751764771</v>
      </c>
      <c r="AK685" s="2" t="n">
        <f aca="false">AI685/(AH685+I685*(12-Hypothèses!$J$24)/12/Hypothèses!$J$19)</f>
        <v>2.99070015735862</v>
      </c>
      <c r="AL685" s="2" t="n">
        <f aca="false">(AD685+AG685+I685/Hypothèses!$J$19)*(1+G685)</f>
        <v>8046.42809413495</v>
      </c>
      <c r="AM685" s="2" t="n">
        <f aca="false">Entrées!$C$54*K685/Hypothèses!$J$19</f>
        <v>33.0462304279322</v>
      </c>
      <c r="AN685" s="2" t="n">
        <f aca="false">Y685*1000/AC685</f>
        <v>23.6025369156348</v>
      </c>
      <c r="AO685" s="2" t="n">
        <f aca="false">(Entrées!$C$36*(1-S685)+MAX(0,Entrées!$C$30-Entrées!$C$35-Entrées!$C$36)*U685)*1000</f>
        <v>1098.8794406676</v>
      </c>
      <c r="AP685" s="2" t="n">
        <f aca="false">-AO685/W685</f>
        <v>-106.755068958076</v>
      </c>
      <c r="AQ685" s="2" t="n">
        <f aca="false">AL685+AM685+AN685+AP685</f>
        <v>7996.32179252045</v>
      </c>
      <c r="AR685" s="2" t="n">
        <f aca="false">O685*AQ685-Hypothèses!$J$25/Hypothèses!$J$19</f>
        <v>1209.73579032801</v>
      </c>
      <c r="AS685" s="2" t="n">
        <f aca="false">Entrées!$C$79*(1+Q685)+Hypothèses!$J$20</f>
        <v>1483.94845513897</v>
      </c>
      <c r="AT685" s="2" t="n">
        <f aca="false">AI685-AR685+AS685+Y685*1000-AO685+Hypothèses!$J$23</f>
        <v>22101.4581331212</v>
      </c>
      <c r="AU685" s="2" t="n">
        <f aca="false">AT685/AQ685</f>
        <v>2.76395306574509</v>
      </c>
      <c r="AV685" s="2" t="n">
        <f aca="false">Hypothèses!$J$26*AQ685-AT685</f>
        <v>1887.50724444017</v>
      </c>
      <c r="AW685" s="2" t="n">
        <f aca="false">IF(AC685&gt;Hypothèses!$J$26,MAX(0,AV685)/(1-Hypothèses!$J$26/AC685),0)</f>
        <v>2735.69763211518</v>
      </c>
      <c r="AX685" s="2" t="n">
        <f aca="false">AQ685-Entrées!$C$17*1000</f>
        <v>-3.67820747955375</v>
      </c>
      <c r="AY685" s="2" t="n">
        <f aca="false">AI685+(Entrées!$C$244-Entrées!$C$13)</f>
        <v>28444.7466865047</v>
      </c>
      <c r="AZ685" s="2" t="n">
        <f aca="false">AA685*AH685</f>
        <v>5377.09028172025</v>
      </c>
      <c r="BA685" s="2" t="n">
        <f aca="false">AZ685/AY685</f>
        <v>0.189036321573971</v>
      </c>
      <c r="BB685" s="2" t="n">
        <f aca="false">AZ685/(Entrées!$C$151/100)-AY685</f>
        <v>1427.97710083008</v>
      </c>
      <c r="BC685" s="2" t="n">
        <f aca="false">AT685+(Entrées!$C$244-Entrées!$C$13)</f>
        <v>27848.4581331212</v>
      </c>
      <c r="BD685" s="2" t="n">
        <f aca="false">AA685*AQ685</f>
        <v>5715.97411965787</v>
      </c>
      <c r="BE685" s="2" t="n">
        <f aca="false">BD685/BC685</f>
        <v>0.205252804027224</v>
      </c>
      <c r="BF685" s="2" t="n">
        <f aca="false">BD685/(Entrées!$C$151/100)-BC685</f>
        <v>3906.95364275591</v>
      </c>
      <c r="BG685" s="2" t="n">
        <f aca="false">MIN(AV685,BF685)</f>
        <v>1887.50724444017</v>
      </c>
      <c r="BH685" s="2" t="n">
        <f aca="false">IF(AC685&gt;Hypothèses!$J$26,MAX(0,BG685)/(1-Hypothèses!$J$26/AC685),0)</f>
        <v>2735.69763211518</v>
      </c>
    </row>
    <row r="686" customFormat="false" ht="15" hidden="false" customHeight="false" outlineLevel="0" collapsed="false">
      <c r="A686" s="2" t="n">
        <v>671</v>
      </c>
      <c r="B686" s="2" t="n">
        <v>0.952983495</v>
      </c>
      <c r="C686" s="2"/>
      <c r="D686" s="2" t="n">
        <v>0.460694698</v>
      </c>
      <c r="E686" s="2" t="n">
        <f aca="false">IF(E$7=E$5,E$6,IF(NORMSDIST(E$9*SQRT($C$11)*NORMSINV($B686)+SQRT(1-E$9^2*$C$11)*NORMSINV(D686))&lt;E$8,E$5+SQRT(NORMSDIST(E$9*SQRT($C$11)*NORMSINV($B686)+SQRT(1-E$9^2*$C$11)*NORMSINV(D686))*(E$7-E$5)*(E$6-E$5)),E$7-SQRT((1-NORMSDIST(E$9*SQRT($C$11)*NORMSINV($B686)+SQRT(1-E$9^2*$C$11)*NORMSINV(D686)))*(E$7-E$5)*(E$7-E$6))))</f>
        <v>0.0571460463849735</v>
      </c>
      <c r="F686" s="2" t="n">
        <v>0.361644832</v>
      </c>
      <c r="G686" s="2" t="n">
        <f aca="false">IF(G$7=G$5,G$6,IF(NORMSDIST(G$9*SQRT($C$11)*NORMSINV($B686)+SQRT(1-G$9^2*$C$11)*NORMSINV(F686))&lt;G$8,G$5+SQRT(NORMSDIST(G$9*SQRT($C$11)*NORMSINV($B686)+SQRT(1-G$9^2*$C$11)*NORMSINV(F686))*(G$7-G$5)*(G$6-G$5)),G$7-SQRT((1-NORMSDIST(G$9*SQRT($C$11)*NORMSINV($B686)+SQRT(1-G$9^2*$C$11)*NORMSINV(F686)))*(G$7-G$5)*(G$7-G$6))))</f>
        <v>0.0601343930346047</v>
      </c>
      <c r="H686" s="2" t="n">
        <v>0.174071188</v>
      </c>
      <c r="I686" s="2" t="n">
        <f aca="false">IF(I$7=I$5,I$6,IF(NORMSDIST(I$9*SQRT($C$11)*NORMSINV($B686)+SQRT(1-I$9^2*$C$11)*NORMSINV(H686))&lt;I$8,I$5+SQRT(NORMSDIST(I$9*SQRT($C$11)*NORMSINV($B686)+SQRT(1-I$9^2*$C$11)*NORMSINV(H686))*(I$7-I$5)*(I$6-I$5)),I$7-SQRT((1-NORMSDIST(I$9*SQRT($C$11)*NORMSINV($B686)+SQRT(1-I$9^2*$C$11)*NORMSINV(H686)))*(I$7-I$5)*(I$7-I$6))))</f>
        <v>202.799439549776</v>
      </c>
      <c r="J686" s="2" t="n">
        <v>0.147353587</v>
      </c>
      <c r="K686" s="2" t="n">
        <f aca="false">IF(K$7=K$5,K$6,IF(NORMSDIST(K$9*SQRT($C$11)*NORMSINV($B686)+SQRT(1-K$9^2*$C$11)*NORMSINV(J686))&lt;K$8,K$5+SQRT(NORMSDIST(K$9*SQRT($C$11)*NORMSINV($B686)+SQRT(1-K$9^2*$C$11)*NORMSINV(J686))*(K$7-K$5)*(K$6-K$5)),K$7-SQRT((1-NORMSDIST(K$9*SQRT($C$11)*NORMSINV($B686)+SQRT(1-K$9^2*$C$11)*NORMSINV(J686)))*(K$7-K$5)*(K$7-K$6))))</f>
        <v>0.275749573422085</v>
      </c>
      <c r="L686" s="2" t="n">
        <v>0.133534548</v>
      </c>
      <c r="M686" s="2" t="n">
        <f aca="false">IF(M$7=M$5,M$6,IF(NORMSDIST(M$9*SQRT($C$11)*NORMSINV($B686)+SQRT(1-M$9^2*$C$11)*NORMSINV(L686))&lt;M$8,M$5+SQRT(NORMSDIST(M$9*SQRT($C$11)*NORMSINV($B686)+SQRT(1-M$9^2*$C$11)*NORMSINV(L686))*(M$7-M$5)*(M$6-M$5)),M$7-SQRT((1-NORMSDIST(M$9*SQRT($C$11)*NORMSINV($B686)+SQRT(1-M$9^2*$C$11)*NORMSINV(L686)))*(M$7-M$5)*(M$7-M$6))))</f>
        <v>1606.82725673068</v>
      </c>
      <c r="N686" s="2" t="n">
        <v>0.890988324</v>
      </c>
      <c r="O686" s="2" t="n">
        <f aca="false">IF(O$7=O$5,O$6,IF(NORMSDIST(O$9*SQRT($C$11)*NORMSINV($B686)+SQRT(1-O$9^2*$C$11)*NORMSINV(N686))&lt;O$8,O$5+SQRT(NORMSDIST(O$9*SQRT($C$11)*NORMSINV($B686)+SQRT(1-O$9^2*$C$11)*NORMSINV(N686))*(O$7-O$5)*(O$6-O$5)),O$7-SQRT((1-NORMSDIST(O$9*SQRT($C$11)*NORMSINV($B686)+SQRT(1-O$9^2*$C$11)*NORMSINV(N686)))*(O$7-O$5)*(O$7-O$6))))</f>
        <v>0.185153951071709</v>
      </c>
      <c r="P686" s="2" t="n">
        <v>0.043117298</v>
      </c>
      <c r="Q686" s="2" t="n">
        <f aca="false">IF(Q$7=Q$5,Q$6,IF(NORMSDIST(Q$9*SQRT($C$11)*NORMSINV($B686)+SQRT(1-Q$9^2*$C$11)*NORMSINV(P686))&lt;Q$8,Q$5+SQRT(NORMSDIST(Q$9*SQRT($C$11)*NORMSINV($B686)+SQRT(1-Q$9^2*$C$11)*NORMSINV(P686))*(Q$7-Q$5)*(Q$6-Q$5)),Q$7-SQRT((1-NORMSDIST(Q$9*SQRT($C$11)*NORMSINV($B686)+SQRT(1-Q$9^2*$C$11)*NORMSINV(P686)))*(Q$7-Q$5)*(Q$7-Q$6))))</f>
        <v>0.0517462910571806</v>
      </c>
      <c r="R686" s="2" t="n">
        <v>0.377136088</v>
      </c>
      <c r="S686" s="2" t="n">
        <f aca="false">IF(S$7=S$5,S$6,IF(NORMSDIST(S$9*SQRT($C$11)*NORMSINV($B686)+SQRT(1-S$9^2*$C$11)*NORMSINV(R686))&lt;S$8,S$5+SQRT(NORMSDIST(S$9*SQRT($C$11)*NORMSINV($B686)+SQRT(1-S$9^2*$C$11)*NORMSINV(R686))*(S$7-S$5)*(S$6-S$5)),S$7-SQRT((1-NORMSDIST(S$9*SQRT($C$11)*NORMSINV($B686)+SQRT(1-S$9^2*$C$11)*NORMSINV(R686)))*(S$7-S$5)*(S$7-S$6))))</f>
        <v>0.678222010895506</v>
      </c>
      <c r="T686" s="2" t="n">
        <v>0.314927864</v>
      </c>
      <c r="U686" s="2" t="n">
        <f aca="false">IF(U$7=U$5,U$6,IF(NORMSDIST(U$9*SQRT($C$11)*NORMSINV($B686)+SQRT(1-U$9^2*$C$11)*NORMSINV(T686))&lt;U$8,U$5+SQRT(NORMSDIST(U$9*SQRT($C$11)*NORMSINV($B686)+SQRT(1-U$9^2*$C$11)*NORMSINV(T686))*(U$7-U$5)*(U$6-U$5)),U$7-SQRT((1-NORMSDIST(U$9*SQRT($C$11)*NORMSINV($B686)+SQRT(1-U$9^2*$C$11)*NORMSINV(T686)))*(U$7-U$5)*(U$7-U$6))))</f>
        <v>0.648974745826241</v>
      </c>
      <c r="V686" s="2" t="n">
        <v>0.977276744</v>
      </c>
      <c r="W686" s="2" t="n">
        <f aca="false">IF(W$7=W$5,W$6,IF(NORMSDIST(W$9*SQRT($C$11)*NORMSINV($B686)+SQRT(1-W$9^2*$C$11)*NORMSINV(V686))&lt;W$8,W$5+SQRT(NORMSDIST(W$9*SQRT($C$11)*NORMSINV($B686)+SQRT(1-W$9^2*$C$11)*NORMSINV(V686))*(W$7-W$5)*(W$6-W$5)),W$7-SQRT((1-NORMSDIST(W$9*SQRT($C$11)*NORMSINV($B686)+SQRT(1-W$9^2*$C$11)*NORMSINV(V686)))*(W$7-W$5)*(W$7-W$6))))</f>
        <v>11.8093095626679</v>
      </c>
      <c r="X686" s="2" t="n">
        <v>0.948913444</v>
      </c>
      <c r="Y686" s="2" t="n">
        <f aca="false">IF(Y$7=Y$5,Y$6,IF(NORMSDIST(Y$9*SQRT($C$11)*NORMSINV($B686)+SQRT(1-Y$9^2*$C$11)*NORMSINV(X686))&lt;Y$8,Y$5+SQRT(NORMSDIST(Y$9*SQRT($C$11)*NORMSINV($B686)+SQRT(1-Y$9^2*$C$11)*NORMSINV(X686))*(Y$7-Y$5)*(Y$6-Y$5)),Y$7-SQRT((1-NORMSDIST(Y$9*SQRT($C$11)*NORMSINV($B686)+SQRT(1-Y$9^2*$C$11)*NORMSINV(X686)))*(Y$7-Y$5)*(Y$7-Y$6))))</f>
        <v>0.840177354545734</v>
      </c>
      <c r="Z686" s="2" t="n">
        <v>0.082942429</v>
      </c>
      <c r="AA686" s="2" t="n">
        <f aca="false">IF(AA$7=AA$5,AA$6,IF(NORMSDIST(AA$9*SQRT($C$11)*NORMSINV($B686)+SQRT(1-AA$9^2*$C$11)*NORMSINV(Z686))&lt;AA$8,AA$5+SQRT(NORMSDIST(AA$9*SQRT($C$11)*NORMSINV($B686)+SQRT(1-AA$9^2*$C$11)*NORMSINV(Z686))*(AA$7-AA$5)*(AA$6-AA$5)),AA$7-SQRT((1-NORMSDIST(AA$9*SQRT($C$11)*NORMSINV($B686)+SQRT(1-AA$9^2*$C$11)*NORMSINV(Z686)))*(AA$7-AA$5)*(AA$7-AA$6))))</f>
        <v>0.727865475963976</v>
      </c>
      <c r="AB686" s="2" t="n">
        <v>0.855975483</v>
      </c>
      <c r="AC686" s="2" t="n">
        <f aca="false">IF(AC$7=AC$5,AC$6,IF(NORMSDIST(AC$9*SQRT($C$11)*NORMSINV($B686)+SQRT(1-AC$9^2*$C$11)*NORMSINV(AB686))&lt;AC$8,AC$5+SQRT(NORMSDIST(AC$9*SQRT($C$11)*NORMSINV($B686)+SQRT(1-AC$9^2*$C$11)*NORMSINV(AB686))*(AC$7-AC$5)*(AC$6-AC$5)),AC$7-SQRT((1-NORMSDIST(AC$9*SQRT($C$11)*NORMSINV($B686)+SQRT(1-AC$9^2*$C$11)*NORMSINV(AB686)))*(AC$7-AC$5)*(AC$7-AC$6))))</f>
        <v>10.6404861501798</v>
      </c>
      <c r="AD686" s="2" t="n">
        <f aca="false">Entrées!$C$8*(1+E686)</f>
        <v>7452.87962701406</v>
      </c>
      <c r="AE686" s="2" t="n">
        <f aca="false">I686*Hypothèses!$J$24/12/Hypothèses!$J$19</f>
        <v>100.608152875786</v>
      </c>
      <c r="AF686" s="2" t="n">
        <f aca="false">Entrées!$C$36*S686*1000</f>
        <v>339.111005447753</v>
      </c>
      <c r="AG686" s="2" t="n">
        <f aca="false">-AF686/W686</f>
        <v>-28.7155657702263</v>
      </c>
      <c r="AH686" s="2" t="n">
        <f aca="false">AD686+AE686+AG686</f>
        <v>7524.77221411963</v>
      </c>
      <c r="AI686" s="2" t="n">
        <f aca="false">Entrées!$C$16-M686+Hypothèses!$J$22*1000-AF686+Hypothèses!$J$23</f>
        <v>22602.0617378216</v>
      </c>
      <c r="AJ686" s="2" t="n">
        <f aca="false">AI686/AH686</f>
        <v>3.00368716748803</v>
      </c>
      <c r="AK686" s="2" t="n">
        <f aca="false">AI686/(AH686+I686*(12-Hypothèses!$J$24)/12/Hypothèses!$J$19)</f>
        <v>2.97527276233562</v>
      </c>
      <c r="AL686" s="2" t="n">
        <f aca="false">(AD686+AG686+I686/Hypothèses!$J$19)*(1+G686)</f>
        <v>8053.45422614173</v>
      </c>
      <c r="AM686" s="2" t="n">
        <f aca="false">Entrées!$C$54*K686/Hypothèses!$J$19</f>
        <v>28.141401765364</v>
      </c>
      <c r="AN686" s="2" t="n">
        <f aca="false">Y686*1000/AC686</f>
        <v>78.9604293156793</v>
      </c>
      <c r="AO686" s="2" t="n">
        <f aca="false">(Entrées!$C$36*(1-S686)+MAX(0,Entrées!$C$30-Entrées!$C$35-Entrées!$C$36)*U686)*1000</f>
        <v>1069.45363870898</v>
      </c>
      <c r="AP686" s="2" t="n">
        <f aca="false">-AO686/W686</f>
        <v>-90.5602171772843</v>
      </c>
      <c r="AQ686" s="2" t="n">
        <f aca="false">AL686+AM686+AN686+AP686</f>
        <v>8069.99584004549</v>
      </c>
      <c r="AR686" s="2" t="n">
        <f aca="false">O686*AQ686-Hypothèses!$J$25/Hypothèses!$J$19</f>
        <v>1475.05645265505</v>
      </c>
      <c r="AS686" s="2" t="n">
        <f aca="false">Entrées!$C$79*(1+Q686)+Hypothèses!$J$20</f>
        <v>1450.86917387184</v>
      </c>
      <c r="AT686" s="2" t="n">
        <f aca="false">AI686-AR686+AS686+Y686*1000-AO686+Hypothèses!$J$23</f>
        <v>22348.5981748751</v>
      </c>
      <c r="AU686" s="2" t="n">
        <f aca="false">AT686/AQ686</f>
        <v>2.76934444798291</v>
      </c>
      <c r="AV686" s="2" t="n">
        <f aca="false">Hypothèses!$J$26*AQ686-AT686</f>
        <v>1861.38934526135</v>
      </c>
      <c r="AW686" s="2" t="n">
        <f aca="false">IF(AC686&gt;Hypothèses!$J$26,MAX(0,AV686)/(1-Hypothèses!$J$26/AC686),0)</f>
        <v>2592.2548852313</v>
      </c>
      <c r="AX686" s="2" t="n">
        <f aca="false">AQ686-Entrées!$C$17*1000</f>
        <v>69.9958400454862</v>
      </c>
      <c r="AY686" s="2" t="n">
        <f aca="false">AI686+(Entrées!$C$244-Entrées!$C$13)</f>
        <v>28349.0617378216</v>
      </c>
      <c r="AZ686" s="2" t="n">
        <f aca="false">AA686*AH686</f>
        <v>5477.02190915068</v>
      </c>
      <c r="BA686" s="2" t="n">
        <f aca="false">AZ686/AY686</f>
        <v>0.193199406731814</v>
      </c>
      <c r="BB686" s="2" t="n">
        <f aca="false">AZ686/(Entrées!$C$151/100)-AY686</f>
        <v>2078.83775746</v>
      </c>
      <c r="BC686" s="2" t="n">
        <f aca="false">AT686+(Entrées!$C$244-Entrées!$C$13)</f>
        <v>28095.5981748751</v>
      </c>
      <c r="BD686" s="2" t="n">
        <f aca="false">AA686*AQ686</f>
        <v>5873.87136314201</v>
      </c>
      <c r="BE686" s="2" t="n">
        <f aca="false">BD686/BC686</f>
        <v>0.209067318182063</v>
      </c>
      <c r="BF686" s="2" t="n">
        <f aca="false">BD686/(Entrées!$C$151/100)-BC686</f>
        <v>4537.0205092472</v>
      </c>
      <c r="BG686" s="2" t="n">
        <f aca="false">MIN(AV686,BF686)</f>
        <v>1861.38934526135</v>
      </c>
      <c r="BH686" s="2" t="n">
        <f aca="false">IF(AC686&gt;Hypothèses!$J$26,MAX(0,BG686)/(1-Hypothèses!$J$26/AC686),0)</f>
        <v>2592.2548852313</v>
      </c>
    </row>
    <row r="687" customFormat="false" ht="15" hidden="false" customHeight="false" outlineLevel="0" collapsed="false">
      <c r="A687" s="2" t="n">
        <v>672</v>
      </c>
      <c r="B687" s="2" t="n">
        <v>0.866733825</v>
      </c>
      <c r="C687" s="2"/>
      <c r="D687" s="2" t="n">
        <v>0.355578043</v>
      </c>
      <c r="E687" s="2" t="n">
        <f aca="false">IF(E$7=E$5,E$6,IF(NORMSDIST(E$9*SQRT($C$11)*NORMSINV($B687)+SQRT(1-E$9^2*$C$11)*NORMSINV(D687))&lt;E$8,E$5+SQRT(NORMSDIST(E$9*SQRT($C$11)*NORMSINV($B687)+SQRT(1-E$9^2*$C$11)*NORMSINV(D687))*(E$7-E$5)*(E$6-E$5)),E$7-SQRT((1-NORMSDIST(E$9*SQRT($C$11)*NORMSINV($B687)+SQRT(1-E$9^2*$C$11)*NORMSINV(D687)))*(E$7-E$5)*(E$7-E$6))))</f>
        <v>0.0558844757684731</v>
      </c>
      <c r="F687" s="2" t="n">
        <v>0.839867818</v>
      </c>
      <c r="G687" s="2" t="n">
        <f aca="false">IF(G$7=G$5,G$6,IF(NORMSDIST(G$9*SQRT($C$11)*NORMSINV($B687)+SQRT(1-G$9^2*$C$11)*NORMSINV(F687))&lt;G$8,G$5+SQRT(NORMSDIST(G$9*SQRT($C$11)*NORMSINV($B687)+SQRT(1-G$9^2*$C$11)*NORMSINV(F687))*(G$7-G$5)*(G$6-G$5)),G$7-SQRT((1-NORMSDIST(G$9*SQRT($C$11)*NORMSINV($B687)+SQRT(1-G$9^2*$C$11)*NORMSINV(F687)))*(G$7-G$5)*(G$7-G$6))))</f>
        <v>0.0643702914335272</v>
      </c>
      <c r="H687" s="2" t="n">
        <v>0.775379094</v>
      </c>
      <c r="I687" s="2" t="n">
        <f aca="false">IF(I$7=I$5,I$6,IF(NORMSDIST(I$9*SQRT($C$11)*NORMSINV($B687)+SQRT(1-I$9^2*$C$11)*NORMSINV(H687))&lt;I$8,I$5+SQRT(NORMSDIST(I$9*SQRT($C$11)*NORMSINV($B687)+SQRT(1-I$9^2*$C$11)*NORMSINV(H687))*(I$7-I$5)*(I$6-I$5)),I$7-SQRT((1-NORMSDIST(I$9*SQRT($C$11)*NORMSINV($B687)+SQRT(1-I$9^2*$C$11)*NORMSINV(H687)))*(I$7-I$5)*(I$7-I$6))))</f>
        <v>211.11278861828</v>
      </c>
      <c r="J687" s="2" t="n">
        <v>0.739808501</v>
      </c>
      <c r="K687" s="2" t="n">
        <f aca="false">IF(K$7=K$5,K$6,IF(NORMSDIST(K$9*SQRT($C$11)*NORMSINV($B687)+SQRT(1-K$9^2*$C$11)*NORMSINV(J687))&lt;K$8,K$5+SQRT(NORMSDIST(K$9*SQRT($C$11)*NORMSINV($B687)+SQRT(1-K$9^2*$C$11)*NORMSINV(J687))*(K$7-K$5)*(K$6-K$5)),K$7-SQRT((1-NORMSDIST(K$9*SQRT($C$11)*NORMSINV($B687)+SQRT(1-K$9^2*$C$11)*NORMSINV(J687)))*(K$7-K$5)*(K$7-K$6))))</f>
        <v>0.380127293158359</v>
      </c>
      <c r="L687" s="2" t="n">
        <v>0.008222805</v>
      </c>
      <c r="M687" s="2" t="n">
        <f aca="false">IF(M$7=M$5,M$6,IF(NORMSDIST(M$9*SQRT($C$11)*NORMSINV($B687)+SQRT(1-M$9^2*$C$11)*NORMSINV(L687))&lt;M$8,M$5+SQRT(NORMSDIST(M$9*SQRT($C$11)*NORMSINV($B687)+SQRT(1-M$9^2*$C$11)*NORMSINV(L687))*(M$7-M$5)*(M$6-M$5)),M$7-SQRT((1-NORMSDIST(M$9*SQRT($C$11)*NORMSINV($B687)+SQRT(1-M$9^2*$C$11)*NORMSINV(L687)))*(M$7-M$5)*(M$7-M$6))))</f>
        <v>1443.6837394083</v>
      </c>
      <c r="N687" s="2" t="n">
        <v>0.519813693</v>
      </c>
      <c r="O687" s="2" t="n">
        <f aca="false">IF(O$7=O$5,O$6,IF(NORMSDIST(O$9*SQRT($C$11)*NORMSINV($B687)+SQRT(1-O$9^2*$C$11)*NORMSINV(N687))&lt;O$8,O$5+SQRT(NORMSDIST(O$9*SQRT($C$11)*NORMSINV($B687)+SQRT(1-O$9^2*$C$11)*NORMSINV(N687))*(O$7-O$5)*(O$6-O$5)),O$7-SQRT((1-NORMSDIST(O$9*SQRT($C$11)*NORMSINV($B687)+SQRT(1-O$9^2*$C$11)*NORMSINV(N687)))*(O$7-O$5)*(O$7-O$6))))</f>
        <v>0.174372071774422</v>
      </c>
      <c r="P687" s="2" t="n">
        <v>0.990407754</v>
      </c>
      <c r="Q687" s="2" t="n">
        <f aca="false">IF(Q$7=Q$5,Q$6,IF(NORMSDIST(Q$9*SQRT($C$11)*NORMSINV($B687)+SQRT(1-Q$9^2*$C$11)*NORMSINV(P687))&lt;Q$8,Q$5+SQRT(NORMSDIST(Q$9*SQRT($C$11)*NORMSINV($B687)+SQRT(1-Q$9^2*$C$11)*NORMSINV(P687))*(Q$7-Q$5)*(Q$6-Q$5)),Q$7-SQRT((1-NORMSDIST(Q$9*SQRT($C$11)*NORMSINV($B687)+SQRT(1-Q$9^2*$C$11)*NORMSINV(P687)))*(Q$7-Q$5)*(Q$7-Q$6))))</f>
        <v>0.114459676254947</v>
      </c>
      <c r="R687" s="2" t="n">
        <v>0.067600497</v>
      </c>
      <c r="S687" s="2" t="n">
        <f aca="false">IF(S$7=S$5,S$6,IF(NORMSDIST(S$9*SQRT($C$11)*NORMSINV($B687)+SQRT(1-S$9^2*$C$11)*NORMSINV(R687))&lt;S$8,S$5+SQRT(NORMSDIST(S$9*SQRT($C$11)*NORMSINV($B687)+SQRT(1-S$9^2*$C$11)*NORMSINV(R687))*(S$7-S$5)*(S$6-S$5)),S$7-SQRT((1-NORMSDIST(S$9*SQRT($C$11)*NORMSINV($B687)+SQRT(1-S$9^2*$C$11)*NORMSINV(R687)))*(S$7-S$5)*(S$7-S$6))))</f>
        <v>0.402956848278884</v>
      </c>
      <c r="T687" s="2" t="n">
        <v>0.18305184</v>
      </c>
      <c r="U687" s="2" t="n">
        <f aca="false">IF(U$7=U$5,U$6,IF(NORMSDIST(U$9*SQRT($C$11)*NORMSINV($B687)+SQRT(1-U$9^2*$C$11)*NORMSINV(T687))&lt;U$8,U$5+SQRT(NORMSDIST(U$9*SQRT($C$11)*NORMSINV($B687)+SQRT(1-U$9^2*$C$11)*NORMSINV(T687))*(U$7-U$5)*(U$6-U$5)),U$7-SQRT((1-NORMSDIST(U$9*SQRT($C$11)*NORMSINV($B687)+SQRT(1-U$9^2*$C$11)*NORMSINV(T687)))*(U$7-U$5)*(U$7-U$6))))</f>
        <v>0.500525635508009</v>
      </c>
      <c r="V687" s="2" t="n">
        <v>0.315513668</v>
      </c>
      <c r="W687" s="2" t="n">
        <f aca="false">IF(W$7=W$5,W$6,IF(NORMSDIST(W$9*SQRT($C$11)*NORMSINV($B687)+SQRT(1-W$9^2*$C$11)*NORMSINV(V687))&lt;W$8,W$5+SQRT(NORMSDIST(W$9*SQRT($C$11)*NORMSINV($B687)+SQRT(1-W$9^2*$C$11)*NORMSINV(V687))*(W$7-W$5)*(W$6-W$5)),W$7-SQRT((1-NORMSDIST(W$9*SQRT($C$11)*NORMSINV($B687)+SQRT(1-W$9^2*$C$11)*NORMSINV(V687)))*(W$7-W$5)*(W$7-W$6))))</f>
        <v>10.2785108883656</v>
      </c>
      <c r="X687" s="2" t="n">
        <v>0.959688925</v>
      </c>
      <c r="Y687" s="2" t="n">
        <f aca="false">IF(Y$7=Y$5,Y$6,IF(NORMSDIST(Y$9*SQRT($C$11)*NORMSINV($B687)+SQRT(1-Y$9^2*$C$11)*NORMSINV(X687))&lt;Y$8,Y$5+SQRT(NORMSDIST(Y$9*SQRT($C$11)*NORMSINV($B687)+SQRT(1-Y$9^2*$C$11)*NORMSINV(X687))*(Y$7-Y$5)*(Y$6-Y$5)),Y$7-SQRT((1-NORMSDIST(Y$9*SQRT($C$11)*NORMSINV($B687)+SQRT(1-Y$9^2*$C$11)*NORMSINV(X687)))*(Y$7-Y$5)*(Y$7-Y$6))))</f>
        <v>0.858029800662252</v>
      </c>
      <c r="Z687" s="2" t="n">
        <v>0.280697172</v>
      </c>
      <c r="AA687" s="2" t="n">
        <f aca="false">IF(AA$7=AA$5,AA$6,IF(NORMSDIST(AA$9*SQRT($C$11)*NORMSINV($B687)+SQRT(1-AA$9^2*$C$11)*NORMSINV(Z687))&lt;AA$8,AA$5+SQRT(NORMSDIST(AA$9*SQRT($C$11)*NORMSINV($B687)+SQRT(1-AA$9^2*$C$11)*NORMSINV(Z687))*(AA$7-AA$5)*(AA$6-AA$5)),AA$7-SQRT((1-NORMSDIST(AA$9*SQRT($C$11)*NORMSINV($B687)+SQRT(1-AA$9^2*$C$11)*NORMSINV(Z687)))*(AA$7-AA$5)*(AA$7-AA$6))))</f>
        <v>0.731169737516775</v>
      </c>
      <c r="AB687" s="2" t="n">
        <v>0.977553635</v>
      </c>
      <c r="AC687" s="2" t="n">
        <f aca="false">IF(AC$7=AC$5,AC$6,IF(NORMSDIST(AC$9*SQRT($C$11)*NORMSINV($B687)+SQRT(1-AC$9^2*$C$11)*NORMSINV(AB687))&lt;AC$8,AC$5+SQRT(NORMSDIST(AC$9*SQRT($C$11)*NORMSINV($B687)+SQRT(1-AC$9^2*$C$11)*NORMSINV(AB687))*(AC$7-AC$5)*(AC$6-AC$5)),AC$7-SQRT((1-NORMSDIST(AC$9*SQRT($C$11)*NORMSINV($B687)+SQRT(1-AC$9^2*$C$11)*NORMSINV(AB687)))*(AC$7-AC$5)*(AC$7-AC$6))))</f>
        <v>10.772066383957</v>
      </c>
      <c r="AD687" s="2" t="n">
        <f aca="false">Entrées!$C$8*(1+E687)</f>
        <v>7443.98555416774</v>
      </c>
      <c r="AE687" s="2" t="n">
        <f aca="false">I687*Hypothèses!$J$24/12/Hypothèses!$J$19</f>
        <v>104.732378740763</v>
      </c>
      <c r="AF687" s="2" t="n">
        <f aca="false">Entrées!$C$36*S687*1000</f>
        <v>201.478424139442</v>
      </c>
      <c r="AG687" s="2" t="n">
        <f aca="false">-AF687/W687</f>
        <v>-19.601907934689</v>
      </c>
      <c r="AH687" s="2" t="n">
        <f aca="false">AD687+AE687+AG687</f>
        <v>7529.11602497381</v>
      </c>
      <c r="AI687" s="2" t="n">
        <f aca="false">Entrées!$C$16-M687+Hypothèses!$J$22*1000-AF687+Hypothèses!$J$23</f>
        <v>22902.8378364523</v>
      </c>
      <c r="AJ687" s="2" t="n">
        <f aca="false">AI687/AH687</f>
        <v>3.04190262980201</v>
      </c>
      <c r="AK687" s="2" t="n">
        <f aca="false">AI687/(AH687+I687*(12-Hypothèses!$J$24)/12/Hypothèses!$J$19)</f>
        <v>3.01197582002076</v>
      </c>
      <c r="AL687" s="2" t="n">
        <f aca="false">(AD687+AG687+I687/Hypothèses!$J$19)*(1+G687)</f>
        <v>8093.39172665452</v>
      </c>
      <c r="AM687" s="2" t="n">
        <f aca="false">Entrées!$C$54*K687/Hypothèses!$J$19</f>
        <v>38.7935863181752</v>
      </c>
      <c r="AN687" s="2" t="n">
        <f aca="false">Y687*1000/AC687</f>
        <v>79.6532225182095</v>
      </c>
      <c r="AO687" s="2" t="n">
        <f aca="false">(Entrées!$C$36*(1-S687)+MAX(0,Entrées!$C$30-Entrées!$C$35-Entrées!$C$36)*U687)*1000</f>
        <v>999.25746557177</v>
      </c>
      <c r="AP687" s="2" t="n">
        <f aca="false">-AO687/W687</f>
        <v>-97.2181161672787</v>
      </c>
      <c r="AQ687" s="2" t="n">
        <f aca="false">AL687+AM687+AN687+AP687</f>
        <v>8114.62041932363</v>
      </c>
      <c r="AR687" s="2" t="n">
        <f aca="false">O687*AQ687-Hypothèses!$J$25/Hypothèses!$J$19</f>
        <v>1395.82801191887</v>
      </c>
      <c r="AS687" s="2" t="n">
        <f aca="false">Entrées!$C$79*(1+Q687)+Hypothèses!$J$20</f>
        <v>1519.79118420419</v>
      </c>
      <c r="AT687" s="2" t="n">
        <f aca="false">AI687-AR687+AS687+Y687*1000-AO687+Hypothèses!$J$23</f>
        <v>22885.5733438281</v>
      </c>
      <c r="AU687" s="2" t="n">
        <f aca="false">AT687/AQ687</f>
        <v>2.82028883191256</v>
      </c>
      <c r="AV687" s="2" t="n">
        <f aca="false">Hypothèses!$J$26*AQ687-AT687</f>
        <v>1458.28791414282</v>
      </c>
      <c r="AW687" s="2" t="n">
        <f aca="false">IF(AC687&gt;Hypothèses!$J$26,MAX(0,AV687)/(1-Hypothèses!$J$26/AC687),0)</f>
        <v>2021.18374213767</v>
      </c>
      <c r="AX687" s="2" t="n">
        <f aca="false">AQ687-Entrées!$C$17*1000</f>
        <v>114.620419323627</v>
      </c>
      <c r="AY687" s="2" t="n">
        <f aca="false">AI687+(Entrées!$C$244-Entrées!$C$13)</f>
        <v>28649.8378364523</v>
      </c>
      <c r="AZ687" s="2" t="n">
        <f aca="false">AA687*AH687</f>
        <v>5505.06178771344</v>
      </c>
      <c r="BA687" s="2" t="n">
        <f aca="false">AZ687/AY687</f>
        <v>0.192149841096453</v>
      </c>
      <c r="BB687" s="2" t="n">
        <f aca="false">AZ687/(Entrées!$C$151/100)-AY687</f>
        <v>1933.83876195574</v>
      </c>
      <c r="BC687" s="2" t="n">
        <f aca="false">AT687+(Entrées!$C$244-Entrées!$C$13)</f>
        <v>28632.5733438281</v>
      </c>
      <c r="BD687" s="2" t="n">
        <f aca="false">AA687*AQ687</f>
        <v>5933.16488204512</v>
      </c>
      <c r="BE687" s="2" t="n">
        <f aca="false">BD687/BC687</f>
        <v>0.20721731193344</v>
      </c>
      <c r="BF687" s="2" t="n">
        <f aca="false">BD687/(Entrées!$C$151/100)-BC687</f>
        <v>4329.4537786448</v>
      </c>
      <c r="BG687" s="2" t="n">
        <f aca="false">MIN(AV687,BF687)</f>
        <v>1458.28791414282</v>
      </c>
      <c r="BH687" s="2" t="n">
        <f aca="false">IF(AC687&gt;Hypothèses!$J$26,MAX(0,BG687)/(1-Hypothèses!$J$26/AC687),0)</f>
        <v>2021.18374213767</v>
      </c>
    </row>
    <row r="688" customFormat="false" ht="15" hidden="false" customHeight="false" outlineLevel="0" collapsed="false">
      <c r="A688" s="2" t="n">
        <v>673</v>
      </c>
      <c r="B688" s="2" t="n">
        <v>0.927387388</v>
      </c>
      <c r="C688" s="2"/>
      <c r="D688" s="2" t="n">
        <v>0.718428923</v>
      </c>
      <c r="E688" s="2" t="n">
        <f aca="false">IF(E$7=E$5,E$6,IF(NORMSDIST(E$9*SQRT($C$11)*NORMSINV($B688)+SQRT(1-E$9^2*$C$11)*NORMSINV(D688))&lt;E$8,E$5+SQRT(NORMSDIST(E$9*SQRT($C$11)*NORMSINV($B688)+SQRT(1-E$9^2*$C$11)*NORMSINV(D688))*(E$7-E$5)*(E$6-E$5)),E$7-SQRT((1-NORMSDIST(E$9*SQRT($C$11)*NORMSINV($B688)+SQRT(1-E$9^2*$C$11)*NORMSINV(D688)))*(E$7-E$5)*(E$7-E$6))))</f>
        <v>0.0579325770022167</v>
      </c>
      <c r="F688" s="2" t="n">
        <v>0.356719325</v>
      </c>
      <c r="G688" s="2" t="n">
        <f aca="false">IF(G$7=G$5,G$6,IF(NORMSDIST(G$9*SQRT($C$11)*NORMSINV($B688)+SQRT(1-G$9^2*$C$11)*NORMSINV(F688))&lt;G$8,G$5+SQRT(NORMSDIST(G$9*SQRT($C$11)*NORMSINV($B688)+SQRT(1-G$9^2*$C$11)*NORMSINV(F688))*(G$7-G$5)*(G$6-G$5)),G$7-SQRT((1-NORMSDIST(G$9*SQRT($C$11)*NORMSINV($B688)+SQRT(1-G$9^2*$C$11)*NORMSINV(F688)))*(G$7-G$5)*(G$7-G$6))))</f>
        <v>0.0591390056646492</v>
      </c>
      <c r="H688" s="2" t="n">
        <v>0.929123555</v>
      </c>
      <c r="I688" s="2" t="n">
        <f aca="false">IF(I$7=I$5,I$6,IF(NORMSDIST(I$9*SQRT($C$11)*NORMSINV($B688)+SQRT(1-I$9^2*$C$11)*NORMSINV(H688))&lt;I$8,I$5+SQRT(NORMSDIST(I$9*SQRT($C$11)*NORMSINV($B688)+SQRT(1-I$9^2*$C$11)*NORMSINV(H688))*(I$7-I$5)*(I$6-I$5)),I$7-SQRT((1-NORMSDIST(I$9*SQRT($C$11)*NORMSINV($B688)+SQRT(1-I$9^2*$C$11)*NORMSINV(H688)))*(I$7-I$5)*(I$7-I$6))))</f>
        <v>216.027051234489</v>
      </c>
      <c r="J688" s="2" t="n">
        <v>0.708669017</v>
      </c>
      <c r="K688" s="2" t="n">
        <f aca="false">IF(K$7=K$5,K$6,IF(NORMSDIST(K$9*SQRT($C$11)*NORMSINV($B688)+SQRT(1-K$9^2*$C$11)*NORMSINV(J688))&lt;K$8,K$5+SQRT(NORMSDIST(K$9*SQRT($C$11)*NORMSINV($B688)+SQRT(1-K$9^2*$C$11)*NORMSINV(J688))*(K$7-K$5)*(K$6-K$5)),K$7-SQRT((1-NORMSDIST(K$9*SQRT($C$11)*NORMSINV($B688)+SQRT(1-K$9^2*$C$11)*NORMSINV(J688)))*(K$7-K$5)*(K$7-K$6))))</f>
        <v>0.39451926300065</v>
      </c>
      <c r="L688" s="2" t="n">
        <v>0.692316755</v>
      </c>
      <c r="M688" s="2" t="n">
        <f aca="false">IF(M$7=M$5,M$6,IF(NORMSDIST(M$9*SQRT($C$11)*NORMSINV($B688)+SQRT(1-M$9^2*$C$11)*NORMSINV(L688))&lt;M$8,M$5+SQRT(NORMSDIST(M$9*SQRT($C$11)*NORMSINV($B688)+SQRT(1-M$9^2*$C$11)*NORMSINV(L688))*(M$7-M$5)*(M$6-M$5)),M$7-SQRT((1-NORMSDIST(M$9*SQRT($C$11)*NORMSINV($B688)+SQRT(1-M$9^2*$C$11)*NORMSINV(L688)))*(M$7-M$5)*(M$7-M$6))))</f>
        <v>1704.92269099987</v>
      </c>
      <c r="N688" s="2" t="n">
        <v>0.776326812</v>
      </c>
      <c r="O688" s="2" t="n">
        <f aca="false">IF(O$7=O$5,O$6,IF(NORMSDIST(O$9*SQRT($C$11)*NORMSINV($B688)+SQRT(1-O$9^2*$C$11)*NORMSINV(N688))&lt;O$8,O$5+SQRT(NORMSDIST(O$9*SQRT($C$11)*NORMSINV($B688)+SQRT(1-O$9^2*$C$11)*NORMSINV(N688))*(O$7-O$5)*(O$6-O$5)),O$7-SQRT((1-NORMSDIST(O$9*SQRT($C$11)*NORMSINV($B688)+SQRT(1-O$9^2*$C$11)*NORMSINV(N688)))*(O$7-O$5)*(O$7-O$6))))</f>
        <v>0.181644285766526</v>
      </c>
      <c r="P688" s="2" t="n">
        <v>0.019073503</v>
      </c>
      <c r="Q688" s="2" t="n">
        <f aca="false">IF(Q$7=Q$5,Q$6,IF(NORMSDIST(Q$9*SQRT($C$11)*NORMSINV($B688)+SQRT(1-Q$9^2*$C$11)*NORMSINV(P688))&lt;Q$8,Q$5+SQRT(NORMSDIST(Q$9*SQRT($C$11)*NORMSINV($B688)+SQRT(1-Q$9^2*$C$11)*NORMSINV(P688))*(Q$7-Q$5)*(Q$6-Q$5)),Q$7-SQRT((1-NORMSDIST(Q$9*SQRT($C$11)*NORMSINV($B688)+SQRT(1-Q$9^2*$C$11)*NORMSINV(P688)))*(Q$7-Q$5)*(Q$7-Q$6))))</f>
        <v>0.0478125034143993</v>
      </c>
      <c r="R688" s="2" t="n">
        <v>0.399100202</v>
      </c>
      <c r="S688" s="2" t="n">
        <f aca="false">IF(S$7=S$5,S$6,IF(NORMSDIST(S$9*SQRT($C$11)*NORMSINV($B688)+SQRT(1-S$9^2*$C$11)*NORMSINV(R688))&lt;S$8,S$5+SQRT(NORMSDIST(S$9*SQRT($C$11)*NORMSINV($B688)+SQRT(1-S$9^2*$C$11)*NORMSINV(R688))*(S$7-S$5)*(S$6-S$5)),S$7-SQRT((1-NORMSDIST(S$9*SQRT($C$11)*NORMSINV($B688)+SQRT(1-S$9^2*$C$11)*NORMSINV(R688)))*(S$7-S$5)*(S$7-S$6))))</f>
        <v>0.65737705282073</v>
      </c>
      <c r="T688" s="2" t="n">
        <v>0.476520967</v>
      </c>
      <c r="U688" s="2" t="n">
        <f aca="false">IF(U$7=U$5,U$6,IF(NORMSDIST(U$9*SQRT($C$11)*NORMSINV($B688)+SQRT(1-U$9^2*$C$11)*NORMSINV(T688))&lt;U$8,U$5+SQRT(NORMSDIST(U$9*SQRT($C$11)*NORMSINV($B688)+SQRT(1-U$9^2*$C$11)*NORMSINV(T688))*(U$7-U$5)*(U$6-U$5)),U$7-SQRT((1-NORMSDIST(U$9*SQRT($C$11)*NORMSINV($B688)+SQRT(1-U$9^2*$C$11)*NORMSINV(T688)))*(U$7-U$5)*(U$7-U$6))))</f>
        <v>0.691279182221057</v>
      </c>
      <c r="V688" s="2" t="n">
        <v>0.785693643</v>
      </c>
      <c r="W688" s="2" t="n">
        <f aca="false">IF(W$7=W$5,W$6,IF(NORMSDIST(W$9*SQRT($C$11)*NORMSINV($B688)+SQRT(1-W$9^2*$C$11)*NORMSINV(V688))&lt;W$8,W$5+SQRT(NORMSDIST(W$9*SQRT($C$11)*NORMSINV($B688)+SQRT(1-W$9^2*$C$11)*NORMSINV(V688))*(W$7-W$5)*(W$6-W$5)),W$7-SQRT((1-NORMSDIST(W$9*SQRT($C$11)*NORMSINV($B688)+SQRT(1-W$9^2*$C$11)*NORMSINV(V688)))*(W$7-W$5)*(W$7-W$6))))</f>
        <v>11.2930766318452</v>
      </c>
      <c r="X688" s="2" t="n">
        <v>0.109496549</v>
      </c>
      <c r="Y688" s="2" t="n">
        <f aca="false">IF(Y$7=Y$5,Y$6,IF(NORMSDIST(Y$9*SQRT($C$11)*NORMSINV($B688)+SQRT(1-Y$9^2*$C$11)*NORMSINV(X688))&lt;Y$8,Y$5+SQRT(NORMSDIST(Y$9*SQRT($C$11)*NORMSINV($B688)+SQRT(1-Y$9^2*$C$11)*NORMSINV(X688))*(Y$7-Y$5)*(Y$6-Y$5)),Y$7-SQRT((1-NORMSDIST(Y$9*SQRT($C$11)*NORMSINV($B688)+SQRT(1-Y$9^2*$C$11)*NORMSINV(X688)))*(Y$7-Y$5)*(Y$7-Y$6))))</f>
        <v>0.233983491939068</v>
      </c>
      <c r="Z688" s="2" t="n">
        <v>0.983625596</v>
      </c>
      <c r="AA688" s="2" t="n">
        <f aca="false">IF(AA$7=AA$5,AA$6,IF(NORMSDIST(AA$9*SQRT($C$11)*NORMSINV($B688)+SQRT(1-AA$9^2*$C$11)*NORMSINV(Z688))&lt;AA$8,AA$5+SQRT(NORMSDIST(AA$9*SQRT($C$11)*NORMSINV($B688)+SQRT(1-AA$9^2*$C$11)*NORMSINV(Z688))*(AA$7-AA$5)*(AA$6-AA$5)),AA$7-SQRT((1-NORMSDIST(AA$9*SQRT($C$11)*NORMSINV($B688)+SQRT(1-AA$9^2*$C$11)*NORMSINV(Z688)))*(AA$7-AA$5)*(AA$7-AA$6))))</f>
        <v>0.751334304127575</v>
      </c>
      <c r="AB688" s="2" t="n">
        <v>0.07519632</v>
      </c>
      <c r="AC688" s="2" t="n">
        <f aca="false">IF(AC$7=AC$5,AC$6,IF(NORMSDIST(AC$9*SQRT($C$11)*NORMSINV($B688)+SQRT(1-AC$9^2*$C$11)*NORMSINV(AB688))&lt;AC$8,AC$5+SQRT(NORMSDIST(AC$9*SQRT($C$11)*NORMSINV($B688)+SQRT(1-AC$9^2*$C$11)*NORMSINV(AB688))*(AC$7-AC$5)*(AC$6-AC$5)),AC$7-SQRT((1-NORMSDIST(AC$9*SQRT($C$11)*NORMSINV($B688)+SQRT(1-AC$9^2*$C$11)*NORMSINV(AB688)))*(AC$7-AC$5)*(AC$7-AC$6))))</f>
        <v>9.31304118320914</v>
      </c>
      <c r="AD688" s="2" t="n">
        <f aca="false">Entrées!$C$8*(1+E688)</f>
        <v>7458.42466786563</v>
      </c>
      <c r="AE688" s="2" t="n">
        <f aca="false">I688*Hypothèses!$J$24/12/Hypothèses!$J$19</f>
        <v>107.170328695954</v>
      </c>
      <c r="AF688" s="2" t="n">
        <f aca="false">Entrées!$C$36*S688*1000</f>
        <v>328.688526410365</v>
      </c>
      <c r="AG688" s="2" t="n">
        <f aca="false">-AF688/W688</f>
        <v>-29.1053126730321</v>
      </c>
      <c r="AH688" s="2" t="n">
        <f aca="false">AD688+AE688+AG688</f>
        <v>7536.48968388855</v>
      </c>
      <c r="AI688" s="2" t="n">
        <f aca="false">Entrées!$C$16-M688+Hypothèses!$J$22*1000-AF688+Hypothèses!$J$23</f>
        <v>22514.3887825898</v>
      </c>
      <c r="AJ688" s="2" t="n">
        <f aca="false">AI688/AH688</f>
        <v>2.98738401124875</v>
      </c>
      <c r="AK688" s="2" t="n">
        <f aca="false">AI688/(AH688+I688*(12-Hypothèses!$J$24)/12/Hypothèses!$J$19)</f>
        <v>2.95734542615126</v>
      </c>
      <c r="AL688" s="2" t="n">
        <f aca="false">(AD688+AG688+I688/Hypothèses!$J$19)*(1+G688)</f>
        <v>8063.26752954688</v>
      </c>
      <c r="AM688" s="2" t="n">
        <f aca="false">Entrées!$C$54*K688/Hypothèses!$J$19</f>
        <v>40.2623472685575</v>
      </c>
      <c r="AN688" s="2" t="n">
        <f aca="false">Y688*1000/AC688</f>
        <v>25.1242840374127</v>
      </c>
      <c r="AO688" s="2" t="n">
        <f aca="false">(Entrées!$C$36*(1-S688)+MAX(0,Entrées!$C$30-Entrées!$C$35-Entrées!$C$36)*U688)*1000</f>
        <v>1139.10232869911</v>
      </c>
      <c r="AP688" s="2" t="n">
        <f aca="false">-AO688/W688</f>
        <v>-100.867315952411</v>
      </c>
      <c r="AQ688" s="2" t="n">
        <f aca="false">AL688+AM688+AN688+AP688</f>
        <v>8027.78684490044</v>
      </c>
      <c r="AR688" s="2" t="n">
        <f aca="false">O688*AQ688-Hypothèses!$J$25/Hypothèses!$J$19</f>
        <v>1439.06644546623</v>
      </c>
      <c r="AS688" s="2" t="n">
        <f aca="false">Entrées!$C$79*(1+Q688)+Hypothèses!$J$20</f>
        <v>1446.54594125242</v>
      </c>
      <c r="AT688" s="2" t="n">
        <f aca="false">AI688-AR688+AS688+Y688*1000-AO688+Hypothèses!$J$23</f>
        <v>21616.7494416159</v>
      </c>
      <c r="AU688" s="2" t="n">
        <f aca="false">AT688/AQ688</f>
        <v>2.69274083371405</v>
      </c>
      <c r="AV688" s="2" t="n">
        <f aca="false">Hypothèses!$J$26*AQ688-AT688</f>
        <v>2466.61109308541</v>
      </c>
      <c r="AW688" s="2" t="n">
        <f aca="false">IF(AC688&gt;Hypothèses!$J$26,MAX(0,AV688)/(1-Hypothèses!$J$26/AC688),0)</f>
        <v>3638.76141881711</v>
      </c>
      <c r="AX688" s="2" t="n">
        <f aca="false">AQ688-Entrées!$C$17*1000</f>
        <v>27.7868449004418</v>
      </c>
      <c r="AY688" s="2" t="n">
        <f aca="false">AI688+(Entrées!$C$244-Entrées!$C$13)</f>
        <v>28261.3887825898</v>
      </c>
      <c r="AZ688" s="2" t="n">
        <f aca="false">AA688*AH688</f>
        <v>5662.42323220905</v>
      </c>
      <c r="BA688" s="2" t="n">
        <f aca="false">AZ688/AY688</f>
        <v>0.200358987159801</v>
      </c>
      <c r="BB688" s="2" t="n">
        <f aca="false">AZ688/(Entrées!$C$151/100)-AY688</f>
        <v>3196.51806301606</v>
      </c>
      <c r="BC688" s="2" t="n">
        <f aca="false">AT688+(Entrées!$C$244-Entrées!$C$13)</f>
        <v>27363.7494416159</v>
      </c>
      <c r="BD688" s="2" t="n">
        <f aca="false">AA688*AQ688</f>
        <v>6031.55164279777</v>
      </c>
      <c r="BE688" s="2" t="n">
        <f aca="false">BD688/BC688</f>
        <v>0.220421242186377</v>
      </c>
      <c r="BF688" s="2" t="n">
        <f aca="false">BD688/(Entrées!$C$151/100)-BC688</f>
        <v>6144.87079614947</v>
      </c>
      <c r="BG688" s="2" t="n">
        <f aca="false">MIN(AV688,BF688)</f>
        <v>2466.61109308541</v>
      </c>
      <c r="BH688" s="2" t="n">
        <f aca="false">IF(AC688&gt;Hypothèses!$J$26,MAX(0,BG688)/(1-Hypothèses!$J$26/AC688),0)</f>
        <v>3638.76141881711</v>
      </c>
    </row>
    <row r="689" customFormat="false" ht="15" hidden="false" customHeight="false" outlineLevel="0" collapsed="false">
      <c r="A689" s="2" t="n">
        <v>674</v>
      </c>
      <c r="B689" s="2" t="n">
        <v>0.540479822</v>
      </c>
      <c r="C689" s="2"/>
      <c r="D689" s="2" t="n">
        <v>0.170262751</v>
      </c>
      <c r="E689" s="2" t="n">
        <f aca="false">IF(E$7=E$5,E$6,IF(NORMSDIST(E$9*SQRT($C$11)*NORMSINV($B689)+SQRT(1-E$9^2*$C$11)*NORMSINV(D689))&lt;E$8,E$5+SQRT(NORMSDIST(E$9*SQRT($C$11)*NORMSINV($B689)+SQRT(1-E$9^2*$C$11)*NORMSINV(D689))*(E$7-E$5)*(E$6-E$5)),E$7-SQRT((1-NORMSDIST(E$9*SQRT($C$11)*NORMSINV($B689)+SQRT(1-E$9^2*$C$11)*NORMSINV(D689)))*(E$7-E$5)*(E$7-E$6))))</f>
        <v>0.0535366233551907</v>
      </c>
      <c r="F689" s="2" t="n">
        <v>0.197142362</v>
      </c>
      <c r="G689" s="2" t="n">
        <f aca="false">IF(G$7=G$5,G$6,IF(NORMSDIST(G$9*SQRT($C$11)*NORMSINV($B689)+SQRT(1-G$9^2*$C$11)*NORMSINV(F689))&lt;G$8,G$5+SQRT(NORMSDIST(G$9*SQRT($C$11)*NORMSINV($B689)+SQRT(1-G$9^2*$C$11)*NORMSINV(F689))*(G$7-G$5)*(G$6-G$5)),G$7-SQRT((1-NORMSDIST(G$9*SQRT($C$11)*NORMSINV($B689)+SQRT(1-G$9^2*$C$11)*NORMSINV(F689)))*(G$7-G$5)*(G$7-G$6))))</f>
        <v>0.0511390557176293</v>
      </c>
      <c r="H689" s="2" t="n">
        <v>0.931529245</v>
      </c>
      <c r="I689" s="2" t="n">
        <f aca="false">IF(I$7=I$5,I$6,IF(NORMSDIST(I$9*SQRT($C$11)*NORMSINV($B689)+SQRT(1-I$9^2*$C$11)*NORMSINV(H689))&lt;I$8,I$5+SQRT(NORMSDIST(I$9*SQRT($C$11)*NORMSINV($B689)+SQRT(1-I$9^2*$C$11)*NORMSINV(H689))*(I$7-I$5)*(I$6-I$5)),I$7-SQRT((1-NORMSDIST(I$9*SQRT($C$11)*NORMSINV($B689)+SQRT(1-I$9^2*$C$11)*NORMSINV(H689)))*(I$7-I$5)*(I$7-I$6))))</f>
        <v>210.537204314383</v>
      </c>
      <c r="J689" s="2" t="n">
        <v>0.107863497</v>
      </c>
      <c r="K689" s="2" t="n">
        <f aca="false">IF(K$7=K$5,K$6,IF(NORMSDIST(K$9*SQRT($C$11)*NORMSINV($B689)+SQRT(1-K$9^2*$C$11)*NORMSINV(J689))&lt;K$8,K$5+SQRT(NORMSDIST(K$9*SQRT($C$11)*NORMSINV($B689)+SQRT(1-K$9^2*$C$11)*NORMSINV(J689))*(K$7-K$5)*(K$6-K$5)),K$7-SQRT((1-NORMSDIST(K$9*SQRT($C$11)*NORMSINV($B689)+SQRT(1-K$9^2*$C$11)*NORMSINV(J689)))*(K$7-K$5)*(K$7-K$6))))</f>
        <v>0.152269855208147</v>
      </c>
      <c r="L689" s="2" t="n">
        <v>0.098937813</v>
      </c>
      <c r="M689" s="2" t="n">
        <f aca="false">IF(M$7=M$5,M$6,IF(NORMSDIST(M$9*SQRT($C$11)*NORMSINV($B689)+SQRT(1-M$9^2*$C$11)*NORMSINV(L689))&lt;M$8,M$5+SQRT(NORMSDIST(M$9*SQRT($C$11)*NORMSINV($B689)+SQRT(1-M$9^2*$C$11)*NORMSINV(L689))*(M$7-M$5)*(M$6-M$5)),M$7-SQRT((1-NORMSDIST(M$9*SQRT($C$11)*NORMSINV($B689)+SQRT(1-M$9^2*$C$11)*NORMSINV(L689)))*(M$7-M$5)*(M$7-M$6))))</f>
        <v>1470.30500942014</v>
      </c>
      <c r="N689" s="2" t="n">
        <v>0.414473248</v>
      </c>
      <c r="O689" s="2" t="n">
        <f aca="false">IF(O$7=O$5,O$6,IF(NORMSDIST(O$9*SQRT($C$11)*NORMSINV($B689)+SQRT(1-O$9^2*$C$11)*NORMSINV(N689))&lt;O$8,O$5+SQRT(NORMSDIST(O$9*SQRT($C$11)*NORMSINV($B689)+SQRT(1-O$9^2*$C$11)*NORMSINV(N689))*(O$7-O$5)*(O$6-O$5)),O$7-SQRT((1-NORMSDIST(O$9*SQRT($C$11)*NORMSINV($B689)+SQRT(1-O$9^2*$C$11)*NORMSINV(N689)))*(O$7-O$5)*(O$7-O$6))))</f>
        <v>0.165661556083665</v>
      </c>
      <c r="P689" s="2" t="n">
        <v>0.303149999</v>
      </c>
      <c r="Q689" s="2" t="n">
        <f aca="false">IF(Q$7=Q$5,Q$6,IF(NORMSDIST(Q$9*SQRT($C$11)*NORMSINV($B689)+SQRT(1-Q$9^2*$C$11)*NORMSINV(P689))&lt;Q$8,Q$5+SQRT(NORMSDIST(Q$9*SQRT($C$11)*NORMSINV($B689)+SQRT(1-Q$9^2*$C$11)*NORMSINV(P689))*(Q$7-Q$5)*(Q$6-Q$5)),Q$7-SQRT((1-NORMSDIST(Q$9*SQRT($C$11)*NORMSINV($B689)+SQRT(1-Q$9^2*$C$11)*NORMSINV(P689)))*(Q$7-Q$5)*(Q$7-Q$6))))</f>
        <v>0.0711461072495424</v>
      </c>
      <c r="R689" s="2" t="n">
        <v>0.21846158</v>
      </c>
      <c r="S689" s="2" t="n">
        <f aca="false">IF(S$7=S$5,S$6,IF(NORMSDIST(S$9*SQRT($C$11)*NORMSINV($B689)+SQRT(1-S$9^2*$C$11)*NORMSINV(R689))&lt;S$8,S$5+SQRT(NORMSDIST(S$9*SQRT($C$11)*NORMSINV($B689)+SQRT(1-S$9^2*$C$11)*NORMSINV(R689))*(S$7-S$5)*(S$6-S$5)),S$7-SQRT((1-NORMSDIST(S$9*SQRT($C$11)*NORMSINV($B689)+SQRT(1-S$9^2*$C$11)*NORMSINV(R689)))*(S$7-S$5)*(S$7-S$6))))</f>
        <v>0.384270531591352</v>
      </c>
      <c r="T689" s="2" t="n">
        <v>0.395857297</v>
      </c>
      <c r="U689" s="2" t="n">
        <f aca="false">IF(U$7=U$5,U$6,IF(NORMSDIST(U$9*SQRT($C$11)*NORMSINV($B689)+SQRT(1-U$9^2*$C$11)*NORMSINV(T689))&lt;U$8,U$5+SQRT(NORMSDIST(U$9*SQRT($C$11)*NORMSINV($B689)+SQRT(1-U$9^2*$C$11)*NORMSINV(T689))*(U$7-U$5)*(U$6-U$5)),U$7-SQRT((1-NORMSDIST(U$9*SQRT($C$11)*NORMSINV($B689)+SQRT(1-U$9^2*$C$11)*NORMSINV(T689)))*(U$7-U$5)*(U$7-U$6))))</f>
        <v>0.471286247449668</v>
      </c>
      <c r="V689" s="2" t="n">
        <v>0.821838173</v>
      </c>
      <c r="W689" s="2" t="n">
        <f aca="false">IF(W$7=W$5,W$6,IF(NORMSDIST(W$9*SQRT($C$11)*NORMSINV($B689)+SQRT(1-W$9^2*$C$11)*NORMSINV(V689))&lt;W$8,W$5+SQRT(NORMSDIST(W$9*SQRT($C$11)*NORMSINV($B689)+SQRT(1-W$9^2*$C$11)*NORMSINV(V689))*(W$7-W$5)*(W$6-W$5)),W$7-SQRT((1-NORMSDIST(W$9*SQRT($C$11)*NORMSINV($B689)+SQRT(1-W$9^2*$C$11)*NORMSINV(V689)))*(W$7-W$5)*(W$7-W$6))))</f>
        <v>10.6792168628886</v>
      </c>
      <c r="X689" s="2" t="n">
        <v>0.77787161</v>
      </c>
      <c r="Y689" s="2" t="n">
        <f aca="false">IF(Y$7=Y$5,Y$6,IF(NORMSDIST(Y$9*SQRT($C$11)*NORMSINV($B689)+SQRT(1-Y$9^2*$C$11)*NORMSINV(X689))&lt;Y$8,Y$5+SQRT(NORMSDIST(Y$9*SQRT($C$11)*NORMSINV($B689)+SQRT(1-Y$9^2*$C$11)*NORMSINV(X689))*(Y$7-Y$5)*(Y$6-Y$5)),Y$7-SQRT((1-NORMSDIST(Y$9*SQRT($C$11)*NORMSINV($B689)+SQRT(1-Y$9^2*$C$11)*NORMSINV(X689)))*(Y$7-Y$5)*(Y$7-Y$6))))</f>
        <v>0.666737048263687</v>
      </c>
      <c r="Z689" s="2" t="n">
        <v>0.18217507</v>
      </c>
      <c r="AA689" s="2" t="n">
        <f aca="false">IF(AA$7=AA$5,AA$6,IF(NORMSDIST(AA$9*SQRT($C$11)*NORMSINV($B689)+SQRT(1-AA$9^2*$C$11)*NORMSINV(Z689))&lt;AA$8,AA$5+SQRT(NORMSDIST(AA$9*SQRT($C$11)*NORMSINV($B689)+SQRT(1-AA$9^2*$C$11)*NORMSINV(Z689))*(AA$7-AA$5)*(AA$6-AA$5)),AA$7-SQRT((1-NORMSDIST(AA$9*SQRT($C$11)*NORMSINV($B689)+SQRT(1-AA$9^2*$C$11)*NORMSINV(Z689)))*(AA$7-AA$5)*(AA$7-AA$6))))</f>
        <v>0.718996133798492</v>
      </c>
      <c r="AB689" s="2" t="n">
        <v>0.402165009</v>
      </c>
      <c r="AC689" s="2" t="n">
        <f aca="false">IF(AC$7=AC$5,AC$6,IF(NORMSDIST(AC$9*SQRT($C$11)*NORMSINV($B689)+SQRT(1-AC$9^2*$C$11)*NORMSINV(AB689))&lt;AC$8,AC$5+SQRT(NORMSDIST(AC$9*SQRT($C$11)*NORMSINV($B689)+SQRT(1-AC$9^2*$C$11)*NORMSINV(AB689))*(AC$7-AC$5)*(AC$6-AC$5)),AC$7-SQRT((1-NORMSDIST(AC$9*SQRT($C$11)*NORMSINV($B689)+SQRT(1-AC$9^2*$C$11)*NORMSINV(AB689)))*(AC$7-AC$5)*(AC$7-AC$6))))</f>
        <v>9.37010245593391</v>
      </c>
      <c r="AD689" s="2" t="n">
        <f aca="false">Entrées!$C$8*(1+E689)</f>
        <v>7427.4331946541</v>
      </c>
      <c r="AE689" s="2" t="n">
        <f aca="false">I689*Hypothèses!$J$24/12/Hypothèses!$J$19</f>
        <v>104.446833209829</v>
      </c>
      <c r="AF689" s="2" t="n">
        <f aca="false">Entrées!$C$36*S689*1000</f>
        <v>192.135265795676</v>
      </c>
      <c r="AG689" s="2" t="n">
        <f aca="false">-AF689/W689</f>
        <v>-17.9915126982172</v>
      </c>
      <c r="AH689" s="2" t="n">
        <f aca="false">AD689+AE689+AG689</f>
        <v>7513.88851516571</v>
      </c>
      <c r="AI689" s="2" t="n">
        <f aca="false">Entrées!$C$16-M689+Hypothèses!$J$22*1000-AF689+Hypothèses!$J$23</f>
        <v>22885.5597247842</v>
      </c>
      <c r="AJ689" s="2" t="n">
        <f aca="false">AI689/AH689</f>
        <v>3.04576780432568</v>
      </c>
      <c r="AK689" s="2" t="n">
        <f aca="false">AI689/(AH689+I689*(12-Hypothèses!$J$24)/12/Hypothèses!$J$19)</f>
        <v>3.01582389684327</v>
      </c>
      <c r="AL689" s="2" t="n">
        <f aca="false">(AD689+AG689+I689/Hypothèses!$J$19)*(1+G689)</f>
        <v>7976.5617826223</v>
      </c>
      <c r="AM689" s="2" t="n">
        <f aca="false">Entrées!$C$54*K689/Hypothèses!$J$19</f>
        <v>15.5397780637983</v>
      </c>
      <c r="AN689" s="2" t="n">
        <f aca="false">Y689*1000/AC689</f>
        <v>71.1557906009294</v>
      </c>
      <c r="AO689" s="2" t="n">
        <f aca="false">(Entrées!$C$36*(1-S689)+MAX(0,Entrées!$C$30-Entrées!$C$35-Entrées!$C$36)*U689)*1000</f>
        <v>967.66548063386</v>
      </c>
      <c r="AP689" s="2" t="n">
        <f aca="false">-AO689/W689</f>
        <v>-90.6120264301961</v>
      </c>
      <c r="AQ689" s="2" t="n">
        <f aca="false">AL689+AM689+AN689+AP689</f>
        <v>7972.64532485684</v>
      </c>
      <c r="AR689" s="2" t="n">
        <f aca="false">O689*AQ689-Hypothèses!$J$25/Hypothèses!$J$19</f>
        <v>1301.62566835732</v>
      </c>
      <c r="AS689" s="2" t="n">
        <f aca="false">Entrées!$C$79*(1+Q689)+Hypothèses!$J$20</f>
        <v>1472.18957186725</v>
      </c>
      <c r="AT689" s="2" t="n">
        <f aca="false">AI689-AR689+AS689+Y689*1000-AO689+Hypothèses!$J$23</f>
        <v>22755.1951959239</v>
      </c>
      <c r="AU689" s="2" t="n">
        <f aca="false">AT689/AQ689</f>
        <v>2.85415872257337</v>
      </c>
      <c r="AV689" s="2" t="n">
        <f aca="false">Hypothèses!$J$26*AQ689-AT689</f>
        <v>1162.74077864656</v>
      </c>
      <c r="AW689" s="2" t="n">
        <f aca="false">IF(AC689&gt;Hypothèses!$J$26,MAX(0,AV689)/(1-Hypothèses!$J$26/AC689),0)</f>
        <v>1710.33359368682</v>
      </c>
      <c r="AX689" s="2" t="n">
        <f aca="false">AQ689-Entrées!$C$17*1000</f>
        <v>-27.354675143165</v>
      </c>
      <c r="AY689" s="2" t="n">
        <f aca="false">AI689+(Entrées!$C$244-Entrées!$C$13)</f>
        <v>28632.5597247842</v>
      </c>
      <c r="AZ689" s="2" t="n">
        <f aca="false">AA689*AH689</f>
        <v>5402.45679219704</v>
      </c>
      <c r="BA689" s="2" t="n">
        <f aca="false">AZ689/AY689</f>
        <v>0.188682284927557</v>
      </c>
      <c r="BB689" s="2" t="n">
        <f aca="false">AZ689/(Entrées!$C$151/100)-AY689</f>
        <v>1381.0891207549</v>
      </c>
      <c r="BC689" s="2" t="n">
        <f aca="false">AT689+(Entrées!$C$244-Entrées!$C$13)</f>
        <v>28502.1951959239</v>
      </c>
      <c r="BD689" s="2" t="n">
        <f aca="false">AA689*AQ689</f>
        <v>5732.30116471869</v>
      </c>
      <c r="BE689" s="2" t="n">
        <f aca="false">BD689/BC689</f>
        <v>0.201117883212675</v>
      </c>
      <c r="BF689" s="2" t="n">
        <f aca="false">BD689/(Entrées!$C$151/100)-BC689</f>
        <v>3343.92238584654</v>
      </c>
      <c r="BG689" s="2" t="n">
        <f aca="false">MIN(AV689,BF689)</f>
        <v>1162.74077864656</v>
      </c>
      <c r="BH689" s="2" t="n">
        <f aca="false">IF(AC689&gt;Hypothèses!$J$26,MAX(0,BG689)/(1-Hypothèses!$J$26/AC689),0)</f>
        <v>1710.33359368682</v>
      </c>
    </row>
    <row r="690" customFormat="false" ht="15" hidden="false" customHeight="false" outlineLevel="0" collapsed="false">
      <c r="A690" s="2" t="n">
        <v>675</v>
      </c>
      <c r="B690" s="2" t="n">
        <v>0.370395465</v>
      </c>
      <c r="C690" s="2"/>
      <c r="D690" s="2" t="n">
        <v>0.557716923</v>
      </c>
      <c r="E690" s="2" t="n">
        <f aca="false">IF(E$7=E$5,E$6,IF(NORMSDIST(E$9*SQRT($C$11)*NORMSINV($B690)+SQRT(1-E$9^2*$C$11)*NORMSINV(D690))&lt;E$8,E$5+SQRT(NORMSDIST(E$9*SQRT($C$11)*NORMSINV($B690)+SQRT(1-E$9^2*$C$11)*NORMSINV(D690))*(E$7-E$5)*(E$6-E$5)),E$7-SQRT((1-NORMSDIST(E$9*SQRT($C$11)*NORMSINV($B690)+SQRT(1-E$9^2*$C$11)*NORMSINV(D690)))*(E$7-E$5)*(E$7-E$6))))</f>
        <v>0.0548034249870875</v>
      </c>
      <c r="F690" s="2" t="n">
        <v>0.349105547</v>
      </c>
      <c r="G690" s="2" t="n">
        <f aca="false">IF(G$7=G$5,G$6,IF(NORMSDIST(G$9*SQRT($C$11)*NORMSINV($B690)+SQRT(1-G$9^2*$C$11)*NORMSINV(F690))&lt;G$8,G$5+SQRT(NORMSDIST(G$9*SQRT($C$11)*NORMSINV($B690)+SQRT(1-G$9^2*$C$11)*NORMSINV(F690))*(G$7-G$5)*(G$6-G$5)),G$7-SQRT((1-NORMSDIST(G$9*SQRT($C$11)*NORMSINV($B690)+SQRT(1-G$9^2*$C$11)*NORMSINV(F690)))*(G$7-G$5)*(G$7-G$6))))</f>
        <v>0.0517188319007685</v>
      </c>
      <c r="H690" s="2" t="n">
        <v>0.108284655</v>
      </c>
      <c r="I690" s="2" t="n">
        <f aca="false">IF(I$7=I$5,I$6,IF(NORMSDIST(I$9*SQRT($C$11)*NORMSINV($B690)+SQRT(1-I$9^2*$C$11)*NORMSINV(H690))&lt;I$8,I$5+SQRT(NORMSDIST(I$9*SQRT($C$11)*NORMSINV($B690)+SQRT(1-I$9^2*$C$11)*NORMSINV(H690))*(I$7-I$5)*(I$6-I$5)),I$7-SQRT((1-NORMSDIST(I$9*SQRT($C$11)*NORMSINV($B690)+SQRT(1-I$9^2*$C$11)*NORMSINV(H690)))*(I$7-I$5)*(I$7-I$6))))</f>
        <v>189.868260865204</v>
      </c>
      <c r="J690" s="2" t="n">
        <v>0.359498247</v>
      </c>
      <c r="K690" s="2" t="n">
        <f aca="false">IF(K$7=K$5,K$6,IF(NORMSDIST(K$9*SQRT($C$11)*NORMSINV($B690)+SQRT(1-K$9^2*$C$11)*NORMSINV(J690))&lt;K$8,K$5+SQRT(NORMSDIST(K$9*SQRT($C$11)*NORMSINV($B690)+SQRT(1-K$9^2*$C$11)*NORMSINV(J690))*(K$7-K$5)*(K$6-K$5)),K$7-SQRT((1-NORMSDIST(K$9*SQRT($C$11)*NORMSINV($B690)+SQRT(1-K$9^2*$C$11)*NORMSINV(J690)))*(K$7-K$5)*(K$7-K$6))))</f>
        <v>0.197738198055893</v>
      </c>
      <c r="L690" s="2" t="n">
        <v>0.391868266</v>
      </c>
      <c r="M690" s="2" t="n">
        <f aca="false">IF(M$7=M$5,M$6,IF(NORMSDIST(M$9*SQRT($C$11)*NORMSINV($B690)+SQRT(1-M$9^2*$C$11)*NORMSINV(L690))&lt;M$8,M$5+SQRT(NORMSDIST(M$9*SQRT($C$11)*NORMSINV($B690)+SQRT(1-M$9^2*$C$11)*NORMSINV(L690))*(M$7-M$5)*(M$6-M$5)),M$7-SQRT((1-NORMSDIST(M$9*SQRT($C$11)*NORMSINV($B690)+SQRT(1-M$9^2*$C$11)*NORMSINV(L690)))*(M$7-M$5)*(M$7-M$6))))</f>
        <v>1534.69516916835</v>
      </c>
      <c r="N690" s="2" t="n">
        <v>0.803533401</v>
      </c>
      <c r="O690" s="2" t="n">
        <f aca="false">IF(O$7=O$5,O$6,IF(NORMSDIST(O$9*SQRT($C$11)*NORMSINV($B690)+SQRT(1-O$9^2*$C$11)*NORMSINV(N690))&lt;O$8,O$5+SQRT(NORMSDIST(O$9*SQRT($C$11)*NORMSINV($B690)+SQRT(1-O$9^2*$C$11)*NORMSINV(N690))*(O$7-O$5)*(O$6-O$5)),O$7-SQRT((1-NORMSDIST(O$9*SQRT($C$11)*NORMSINV($B690)+SQRT(1-O$9^2*$C$11)*NORMSINV(N690)))*(O$7-O$5)*(O$7-O$6))))</f>
        <v>0.171381238120585</v>
      </c>
      <c r="P690" s="2" t="n">
        <v>0.214907495</v>
      </c>
      <c r="Q690" s="2" t="n">
        <f aca="false">IF(Q$7=Q$5,Q$6,IF(NORMSDIST(Q$9*SQRT($C$11)*NORMSINV($B690)+SQRT(1-Q$9^2*$C$11)*NORMSINV(P690))&lt;Q$8,Q$5+SQRT(NORMSDIST(Q$9*SQRT($C$11)*NORMSINV($B690)+SQRT(1-Q$9^2*$C$11)*NORMSINV(P690))*(Q$7-Q$5)*(Q$6-Q$5)),Q$7-SQRT((1-NORMSDIST(Q$9*SQRT($C$11)*NORMSINV($B690)+SQRT(1-Q$9^2*$C$11)*NORMSINV(P690)))*(Q$7-Q$5)*(Q$7-Q$6))))</f>
        <v>0.0662241107380212</v>
      </c>
      <c r="R690" s="2" t="n">
        <v>0.170447846</v>
      </c>
      <c r="S690" s="2" t="n">
        <f aca="false">IF(S$7=S$5,S$6,IF(NORMSDIST(S$9*SQRT($C$11)*NORMSINV($B690)+SQRT(1-S$9^2*$C$11)*NORMSINV(R690))&lt;S$8,S$5+SQRT(NORMSDIST(S$9*SQRT($C$11)*NORMSINV($B690)+SQRT(1-S$9^2*$C$11)*NORMSINV(R690))*(S$7-S$5)*(S$6-S$5)),S$7-SQRT((1-NORMSDIST(S$9*SQRT($C$11)*NORMSINV($B690)+SQRT(1-S$9^2*$C$11)*NORMSINV(R690)))*(S$7-S$5)*(S$7-S$6))))</f>
        <v>0.293115792666031</v>
      </c>
      <c r="T690" s="2" t="n">
        <v>0.004534235</v>
      </c>
      <c r="U690" s="2" t="n">
        <f aca="false">IF(U$7=U$5,U$6,IF(NORMSDIST(U$9*SQRT($C$11)*NORMSINV($B690)+SQRT(1-U$9^2*$C$11)*NORMSINV(T690))&lt;U$8,U$5+SQRT(NORMSDIST(U$9*SQRT($C$11)*NORMSINV($B690)+SQRT(1-U$9^2*$C$11)*NORMSINV(T690))*(U$7-U$5)*(U$6-U$5)),U$7-SQRT((1-NORMSDIST(U$9*SQRT($C$11)*NORMSINV($B690)+SQRT(1-U$9^2*$C$11)*NORMSINV(T690)))*(U$7-U$5)*(U$7-U$6))))</f>
        <v>0.0801782622838981</v>
      </c>
      <c r="V690" s="2" t="n">
        <v>0.74201763</v>
      </c>
      <c r="W690" s="2" t="n">
        <f aca="false">IF(W$7=W$5,W$6,IF(NORMSDIST(W$9*SQRT($C$11)*NORMSINV($B690)+SQRT(1-W$9^2*$C$11)*NORMSINV(V690))&lt;W$8,W$5+SQRT(NORMSDIST(W$9*SQRT($C$11)*NORMSINV($B690)+SQRT(1-W$9^2*$C$11)*NORMSINV(V690))*(W$7-W$5)*(W$6-W$5)),W$7-SQRT((1-NORMSDIST(W$9*SQRT($C$11)*NORMSINV($B690)+SQRT(1-W$9^2*$C$11)*NORMSINV(V690)))*(W$7-W$5)*(W$7-W$6))))</f>
        <v>10.2463717028529</v>
      </c>
      <c r="X690" s="2" t="n">
        <v>0.523151168</v>
      </c>
      <c r="Y690" s="2" t="n">
        <f aca="false">IF(Y$7=Y$5,Y$6,IF(NORMSDIST(Y$9*SQRT($C$11)*NORMSINV($B690)+SQRT(1-Y$9^2*$C$11)*NORMSINV(X690))&lt;Y$8,Y$5+SQRT(NORMSDIST(Y$9*SQRT($C$11)*NORMSINV($B690)+SQRT(1-Y$9^2*$C$11)*NORMSINV(X690))*(Y$7-Y$5)*(Y$6-Y$5)),Y$7-SQRT((1-NORMSDIST(Y$9*SQRT($C$11)*NORMSINV($B690)+SQRT(1-Y$9^2*$C$11)*NORMSINV(X690)))*(Y$7-Y$5)*(Y$7-Y$6))))</f>
        <v>0.511712773052581</v>
      </c>
      <c r="Z690" s="2" t="n">
        <v>0.390261046</v>
      </c>
      <c r="AA690" s="2" t="n">
        <f aca="false">IF(AA$7=AA$5,AA$6,IF(NORMSDIST(AA$9*SQRT($C$11)*NORMSINV($B690)+SQRT(1-AA$9^2*$C$11)*NORMSINV(Z690))&lt;AA$8,AA$5+SQRT(NORMSDIST(AA$9*SQRT($C$11)*NORMSINV($B690)+SQRT(1-AA$9^2*$C$11)*NORMSINV(Z690))*(AA$7-AA$5)*(AA$6-AA$5)),AA$7-SQRT((1-NORMSDIST(AA$9*SQRT($C$11)*NORMSINV($B690)+SQRT(1-AA$9^2*$C$11)*NORMSINV(Z690)))*(AA$7-AA$5)*(AA$7-AA$6))))</f>
        <v>0.722127587720547</v>
      </c>
      <c r="AB690" s="2" t="n">
        <v>0.823980957</v>
      </c>
      <c r="AC690" s="2" t="n">
        <f aca="false">IF(AC$7=AC$5,AC$6,IF(NORMSDIST(AC$9*SQRT($C$11)*NORMSINV($B690)+SQRT(1-AC$9^2*$C$11)*NORMSINV(AB690))&lt;AC$8,AC$5+SQRT(NORMSDIST(AC$9*SQRT($C$11)*NORMSINV($B690)+SQRT(1-AC$9^2*$C$11)*NORMSINV(AB690))*(AC$7-AC$5)*(AC$6-AC$5)),AC$7-SQRT((1-NORMSDIST(AC$9*SQRT($C$11)*NORMSINV($B690)+SQRT(1-AC$9^2*$C$11)*NORMSINV(AB690)))*(AC$7-AC$5)*(AC$7-AC$6))))</f>
        <v>9.85317364374476</v>
      </c>
      <c r="AD690" s="2" t="n">
        <f aca="false">Entrées!$C$8*(1+E690)</f>
        <v>7436.36414615897</v>
      </c>
      <c r="AE690" s="2" t="n">
        <f aca="false">I690*Hypothèses!$J$24/12/Hypothèses!$J$19</f>
        <v>94.193036518218</v>
      </c>
      <c r="AF690" s="2" t="n">
        <f aca="false">Entrées!$C$36*S690*1000</f>
        <v>146.557896333015</v>
      </c>
      <c r="AG690" s="2" t="n">
        <f aca="false">-AF690/W690</f>
        <v>-14.3033944681325</v>
      </c>
      <c r="AH690" s="2" t="n">
        <f aca="false">AD690+AE690+AG690</f>
        <v>7516.25378820905</v>
      </c>
      <c r="AI690" s="2" t="n">
        <f aca="false">Entrées!$C$16-M690+Hypothèses!$J$22*1000-AF690+Hypothèses!$J$23</f>
        <v>22866.7469344986</v>
      </c>
      <c r="AJ690" s="2" t="n">
        <f aca="false">AI690/AH690</f>
        <v>3.04230639076747</v>
      </c>
      <c r="AK690" s="2" t="n">
        <f aca="false">AI690/(AH690+I690*(12-Hypothèses!$J$24)/12/Hypothèses!$J$19)</f>
        <v>3.01531520009876</v>
      </c>
      <c r="AL690" s="2" t="n">
        <f aca="false">(AD690+AG690+I690/Hypothèses!$J$19)*(1+G690)</f>
        <v>7975.74607607647</v>
      </c>
      <c r="AM690" s="2" t="n">
        <f aca="false">Entrées!$C$54*K690/Hypothèses!$J$19</f>
        <v>20.1800133606456</v>
      </c>
      <c r="AN690" s="2" t="n">
        <f aca="false">Y690*1000/AC690</f>
        <v>51.9338024025832</v>
      </c>
      <c r="AO690" s="2" t="n">
        <f aca="false">(Entrées!$C$36*(1-S690)+MAX(0,Entrées!$C$30-Entrées!$C$35-Entrées!$C$36)*U690)*1000</f>
        <v>465.691670864442</v>
      </c>
      <c r="AP690" s="2" t="n">
        <f aca="false">-AO690/W690</f>
        <v>-45.4494219387709</v>
      </c>
      <c r="AQ690" s="2" t="n">
        <f aca="false">AL690+AM690+AN690+AP690</f>
        <v>8002.41046990093</v>
      </c>
      <c r="AR690" s="2" t="n">
        <f aca="false">O690*AQ690-Hypothèses!$J$25/Hypothèses!$J$19</f>
        <v>1352.32785201912</v>
      </c>
      <c r="AS690" s="2" t="n">
        <f aca="false">Entrées!$C$79*(1+Q690)+Hypothèses!$J$20</f>
        <v>1466.78029770109</v>
      </c>
      <c r="AT690" s="2" t="n">
        <f aca="false">AI690-AR690+AS690+Y690*1000-AO690+Hypothèses!$J$23</f>
        <v>23027.2204823687</v>
      </c>
      <c r="AU690" s="2" t="n">
        <f aca="false">AT690/AQ690</f>
        <v>2.87753553369699</v>
      </c>
      <c r="AV690" s="2" t="n">
        <f aca="false">Hypothèses!$J$26*AQ690-AT690</f>
        <v>980.010927334046</v>
      </c>
      <c r="AW690" s="2" t="n">
        <f aca="false">IF(AC690&gt;Hypothèses!$J$26,MAX(0,AV690)/(1-Hypothèses!$J$26/AC690),0)</f>
        <v>1409.01403375404</v>
      </c>
      <c r="AX690" s="2" t="n">
        <f aca="false">AQ690-Entrées!$C$17*1000</f>
        <v>2.41046990092673</v>
      </c>
      <c r="AY690" s="2" t="n">
        <f aca="false">AI690+(Entrées!$C$244-Entrées!$C$13)</f>
        <v>28613.7469344986</v>
      </c>
      <c r="AZ690" s="2" t="n">
        <f aca="false">AA690*AH690</f>
        <v>5427.69421677482</v>
      </c>
      <c r="BA690" s="2" t="n">
        <f aca="false">AZ690/AY690</f>
        <v>0.189688342082555</v>
      </c>
      <c r="BB690" s="2" t="n">
        <f aca="false">AZ690/(Entrées!$C$151/100)-AY690</f>
        <v>1540.1098253615</v>
      </c>
      <c r="BC690" s="2" t="n">
        <f aca="false">AT690+(Entrées!$C$244-Entrées!$C$13)</f>
        <v>28774.2204823687</v>
      </c>
      <c r="BD690" s="2" t="n">
        <f aca="false">AA690*AQ690</f>
        <v>5778.7613685792</v>
      </c>
      <c r="BE690" s="2" t="n">
        <f aca="false">BD690/BC690</f>
        <v>0.200831204866874</v>
      </c>
      <c r="BF690" s="2" t="n">
        <f aca="false">BD690/(Entrées!$C$151/100)-BC690</f>
        <v>3330.00934307128</v>
      </c>
      <c r="BG690" s="2" t="n">
        <f aca="false">MIN(AV690,BF690)</f>
        <v>980.010927334046</v>
      </c>
      <c r="BH690" s="2" t="n">
        <f aca="false">IF(AC690&gt;Hypothèses!$J$26,MAX(0,BG690)/(1-Hypothèses!$J$26/AC690),0)</f>
        <v>1409.01403375404</v>
      </c>
    </row>
    <row r="691" customFormat="false" ht="15" hidden="false" customHeight="false" outlineLevel="0" collapsed="false">
      <c r="A691" s="2" t="n">
        <v>676</v>
      </c>
      <c r="B691" s="2" t="n">
        <v>0.565062082</v>
      </c>
      <c r="C691" s="2"/>
      <c r="D691" s="2" t="n">
        <v>0.31178806</v>
      </c>
      <c r="E691" s="2" t="n">
        <f aca="false">IF(E$7=E$5,E$6,IF(NORMSDIST(E$9*SQRT($C$11)*NORMSINV($B691)+SQRT(1-E$9^2*$C$11)*NORMSINV(D691))&lt;E$8,E$5+SQRT(NORMSDIST(E$9*SQRT($C$11)*NORMSINV($B691)+SQRT(1-E$9^2*$C$11)*NORMSINV(D691))*(E$7-E$5)*(E$6-E$5)),E$7-SQRT((1-NORMSDIST(E$9*SQRT($C$11)*NORMSINV($B691)+SQRT(1-E$9^2*$C$11)*NORMSINV(D691)))*(E$7-E$5)*(E$7-E$6))))</f>
        <v>0.054421879126256</v>
      </c>
      <c r="F691" s="2" t="n">
        <v>0.773281662</v>
      </c>
      <c r="G691" s="2" t="n">
        <f aca="false">IF(G$7=G$5,G$6,IF(NORMSDIST(G$9*SQRT($C$11)*NORMSINV($B691)+SQRT(1-G$9^2*$C$11)*NORMSINV(F691))&lt;G$8,G$5+SQRT(NORMSDIST(G$9*SQRT($C$11)*NORMSINV($B691)+SQRT(1-G$9^2*$C$11)*NORMSINV(F691))*(G$7-G$5)*(G$6-G$5)),G$7-SQRT((1-NORMSDIST(G$9*SQRT($C$11)*NORMSINV($B691)+SQRT(1-G$9^2*$C$11)*NORMSINV(F691)))*(G$7-G$5)*(G$7-G$6))))</f>
        <v>0.0594596509353174</v>
      </c>
      <c r="H691" s="2" t="n">
        <v>0.227241697</v>
      </c>
      <c r="I691" s="2" t="n">
        <f aca="false">IF(I$7=I$5,I$6,IF(NORMSDIST(I$9*SQRT($C$11)*NORMSINV($B691)+SQRT(1-I$9^2*$C$11)*NORMSINV(H691))&lt;I$8,I$5+SQRT(NORMSDIST(I$9*SQRT($C$11)*NORMSINV($B691)+SQRT(1-I$9^2*$C$11)*NORMSINV(H691))*(I$7-I$5)*(I$6-I$5)),I$7-SQRT((1-NORMSDIST(I$9*SQRT($C$11)*NORMSINV($B691)+SQRT(1-I$9^2*$C$11)*NORMSINV(H691)))*(I$7-I$5)*(I$7-I$6))))</f>
        <v>195.927886754393</v>
      </c>
      <c r="J691" s="2" t="n">
        <v>0.625410481</v>
      </c>
      <c r="K691" s="2" t="n">
        <f aca="false">IF(K$7=K$5,K$6,IF(NORMSDIST(K$9*SQRT($C$11)*NORMSINV($B691)+SQRT(1-K$9^2*$C$11)*NORMSINV(J691))&lt;K$8,K$5+SQRT(NORMSDIST(K$9*SQRT($C$11)*NORMSINV($B691)+SQRT(1-K$9^2*$C$11)*NORMSINV(J691))*(K$7-K$5)*(K$6-K$5)),K$7-SQRT((1-NORMSDIST(K$9*SQRT($C$11)*NORMSINV($B691)+SQRT(1-K$9^2*$C$11)*NORMSINV(J691)))*(K$7-K$5)*(K$7-K$6))))</f>
        <v>0.287075171344724</v>
      </c>
      <c r="L691" s="2" t="n">
        <v>0.077679312</v>
      </c>
      <c r="M691" s="2" t="n">
        <f aca="false">IF(M$7=M$5,M$6,IF(NORMSDIST(M$9*SQRT($C$11)*NORMSINV($B691)+SQRT(1-M$9^2*$C$11)*NORMSINV(L691))&lt;M$8,M$5+SQRT(NORMSDIST(M$9*SQRT($C$11)*NORMSINV($B691)+SQRT(1-M$9^2*$C$11)*NORMSINV(L691))*(M$7-M$5)*(M$6-M$5)),M$7-SQRT((1-NORMSDIST(M$9*SQRT($C$11)*NORMSINV($B691)+SQRT(1-M$9^2*$C$11)*NORMSINV(L691)))*(M$7-M$5)*(M$7-M$6))))</f>
        <v>1462.50229295779</v>
      </c>
      <c r="N691" s="2" t="n">
        <v>0.56944345</v>
      </c>
      <c r="O691" s="2" t="n">
        <f aca="false">IF(O$7=O$5,O$6,IF(NORMSDIST(O$9*SQRT($C$11)*NORMSINV($B691)+SQRT(1-O$9^2*$C$11)*NORMSINV(N691))&lt;O$8,O$5+SQRT(NORMSDIST(O$9*SQRT($C$11)*NORMSINV($B691)+SQRT(1-O$9^2*$C$11)*NORMSINV(N691))*(O$7-O$5)*(O$6-O$5)),O$7-SQRT((1-NORMSDIST(O$9*SQRT($C$11)*NORMSINV($B691)+SQRT(1-O$9^2*$C$11)*NORMSINV(N691)))*(O$7-O$5)*(O$7-O$6))))</f>
        <v>0.169216962985363</v>
      </c>
      <c r="P691" s="2" t="n">
        <v>0.997818204</v>
      </c>
      <c r="Q691" s="2" t="n">
        <f aca="false">IF(Q$7=Q$5,Q$6,IF(NORMSDIST(Q$9*SQRT($C$11)*NORMSINV($B691)+SQRT(1-Q$9^2*$C$11)*NORMSINV(P691))&lt;Q$8,Q$5+SQRT(NORMSDIST(Q$9*SQRT($C$11)*NORMSINV($B691)+SQRT(1-Q$9^2*$C$11)*NORMSINV(P691))*(Q$7-Q$5)*(Q$6-Q$5)),Q$7-SQRT((1-NORMSDIST(Q$9*SQRT($C$11)*NORMSINV($B691)+SQRT(1-Q$9^2*$C$11)*NORMSINV(P691)))*(Q$7-Q$5)*(Q$7-Q$6))))</f>
        <v>0.117357700395489</v>
      </c>
      <c r="R691" s="2" t="n">
        <v>0.689660665</v>
      </c>
      <c r="S691" s="2" t="n">
        <f aca="false">IF(S$7=S$5,S$6,IF(NORMSDIST(S$9*SQRT($C$11)*NORMSINV($B691)+SQRT(1-S$9^2*$C$11)*NORMSINV(R691))&lt;S$8,S$5+SQRT(NORMSDIST(S$9*SQRT($C$11)*NORMSINV($B691)+SQRT(1-S$9^2*$C$11)*NORMSINV(R691))*(S$7-S$5)*(S$6-S$5)),S$7-SQRT((1-NORMSDIST(S$9*SQRT($C$11)*NORMSINV($B691)+SQRT(1-S$9^2*$C$11)*NORMSINV(R691)))*(S$7-S$5)*(S$7-S$6))))</f>
        <v>0.604305399539653</v>
      </c>
      <c r="T691" s="2" t="n">
        <v>0.555416108</v>
      </c>
      <c r="U691" s="2" t="n">
        <f aca="false">IF(U$7=U$5,U$6,IF(NORMSDIST(U$9*SQRT($C$11)*NORMSINV($B691)+SQRT(1-U$9^2*$C$11)*NORMSINV(T691))&lt;U$8,U$5+SQRT(NORMSDIST(U$9*SQRT($C$11)*NORMSINV($B691)+SQRT(1-U$9^2*$C$11)*NORMSINV(T691))*(U$7-U$5)*(U$6-U$5)),U$7-SQRT((1-NORMSDIST(U$9*SQRT($C$11)*NORMSINV($B691)+SQRT(1-U$9^2*$C$11)*NORMSINV(T691)))*(U$7-U$5)*(U$7-U$6))))</f>
        <v>0.543804753942376</v>
      </c>
      <c r="V691" s="2" t="n">
        <v>0.631282654</v>
      </c>
      <c r="W691" s="2" t="n">
        <f aca="false">IF(W$7=W$5,W$6,IF(NORMSDIST(W$9*SQRT($C$11)*NORMSINV($B691)+SQRT(1-W$9^2*$C$11)*NORMSINV(V691))&lt;W$8,W$5+SQRT(NORMSDIST(W$9*SQRT($C$11)*NORMSINV($B691)+SQRT(1-W$9^2*$C$11)*NORMSINV(V691))*(W$7-W$5)*(W$6-W$5)),W$7-SQRT((1-NORMSDIST(W$9*SQRT($C$11)*NORMSINV($B691)+SQRT(1-W$9^2*$C$11)*NORMSINV(V691)))*(W$7-W$5)*(W$7-W$6))))</f>
        <v>10.3072071925761</v>
      </c>
      <c r="X691" s="2" t="n">
        <v>0.467526477</v>
      </c>
      <c r="Y691" s="2" t="n">
        <f aca="false">IF(Y$7=Y$5,Y$6,IF(NORMSDIST(Y$9*SQRT($C$11)*NORMSINV($B691)+SQRT(1-Y$9^2*$C$11)*NORMSINV(X691))&lt;Y$8,Y$5+SQRT(NORMSDIST(Y$9*SQRT($C$11)*NORMSINV($B691)+SQRT(1-Y$9^2*$C$11)*NORMSINV(X691))*(Y$7-Y$5)*(Y$6-Y$5)),Y$7-SQRT((1-NORMSDIST(Y$9*SQRT($C$11)*NORMSINV($B691)+SQRT(1-Y$9^2*$C$11)*NORMSINV(X691)))*(Y$7-Y$5)*(Y$7-Y$6))))</f>
        <v>0.483490680882269</v>
      </c>
      <c r="Z691" s="2" t="n">
        <v>0.118548444</v>
      </c>
      <c r="AA691" s="2" t="n">
        <f aca="false">IF(AA$7=AA$5,AA$6,IF(NORMSDIST(AA$9*SQRT($C$11)*NORMSINV($B691)+SQRT(1-AA$9^2*$C$11)*NORMSINV(Z691))&lt;AA$8,AA$5+SQRT(NORMSDIST(AA$9*SQRT($C$11)*NORMSINV($B691)+SQRT(1-AA$9^2*$C$11)*NORMSINV(Z691))*(AA$7-AA$5)*(AA$6-AA$5)),AA$7-SQRT((1-NORMSDIST(AA$9*SQRT($C$11)*NORMSINV($B691)+SQRT(1-AA$9^2*$C$11)*NORMSINV(Z691)))*(AA$7-AA$5)*(AA$7-AA$6))))</f>
        <v>0.716448272676129</v>
      </c>
      <c r="AB691" s="2" t="n">
        <v>0.132934082</v>
      </c>
      <c r="AC691" s="2" t="n">
        <f aca="false">IF(AC$7=AC$5,AC$6,IF(NORMSDIST(AC$9*SQRT($C$11)*NORMSINV($B691)+SQRT(1-AC$9^2*$C$11)*NORMSINV(AB691))&lt;AC$8,AC$5+SQRT(NORMSDIST(AC$9*SQRT($C$11)*NORMSINV($B691)+SQRT(1-AC$9^2*$C$11)*NORMSINV(AB691))*(AC$7-AC$5)*(AC$6-AC$5)),AC$7-SQRT((1-NORMSDIST(AC$9*SQRT($C$11)*NORMSINV($B691)+SQRT(1-AC$9^2*$C$11)*NORMSINV(AB691)))*(AC$7-AC$5)*(AC$7-AC$6))))</f>
        <v>8.79165704977702</v>
      </c>
      <c r="AD691" s="2" t="n">
        <f aca="false">Entrées!$C$8*(1+E691)</f>
        <v>7433.67424784011</v>
      </c>
      <c r="AE691" s="2" t="n">
        <f aca="false">I691*Hypothèses!$J$24/12/Hypothèses!$J$19</f>
        <v>97.1991975272574</v>
      </c>
      <c r="AF691" s="2" t="n">
        <f aca="false">Entrées!$C$36*S691*1000</f>
        <v>302.152699769827</v>
      </c>
      <c r="AG691" s="2" t="n">
        <f aca="false">-AF691/W691</f>
        <v>-29.3147012691717</v>
      </c>
      <c r="AH691" s="2" t="n">
        <f aca="false">AD691+AE691+AG691</f>
        <v>7501.55874409819</v>
      </c>
      <c r="AI691" s="2" t="n">
        <f aca="false">Entrées!$C$16-M691+Hypothèses!$J$22*1000-AF691+Hypothèses!$J$23</f>
        <v>22783.3450072724</v>
      </c>
      <c r="AJ691" s="2" t="n">
        <f aca="false">AI691/AH691</f>
        <v>3.03714811607615</v>
      </c>
      <c r="AK691" s="2" t="n">
        <f aca="false">AI691/(AH691+I691*(12-Hypothèses!$J$24)/12/Hypothèses!$J$19)</f>
        <v>3.00929664555916</v>
      </c>
      <c r="AL691" s="2" t="n">
        <f aca="false">(AD691+AG691+I691/Hypothèses!$J$19)*(1+G691)</f>
        <v>8021.15497126692</v>
      </c>
      <c r="AM691" s="2" t="n">
        <f aca="false">Entrées!$C$54*K691/Hypothèses!$J$19</f>
        <v>29.2972265864819</v>
      </c>
      <c r="AN691" s="2" t="n">
        <f aca="false">Y691*1000/AC691</f>
        <v>54.9942608253278</v>
      </c>
      <c r="AO691" s="2" t="n">
        <f aca="false">(Entrées!$C$36*(1-S691)+MAX(0,Entrées!$C$30-Entrées!$C$35-Entrées!$C$36)*U691)*1000</f>
        <v>959.1739557495</v>
      </c>
      <c r="AP691" s="2" t="n">
        <f aca="false">-AO691/W691</f>
        <v>-93.0585693901988</v>
      </c>
      <c r="AQ691" s="2" t="n">
        <f aca="false">AL691+AM691+AN691+AP691</f>
        <v>8012.38788928853</v>
      </c>
      <c r="AR691" s="2" t="n">
        <f aca="false">O691*AQ691-Hypothèses!$J$25/Hypothèses!$J$19</f>
        <v>1336.69678262448</v>
      </c>
      <c r="AS691" s="2" t="n">
        <f aca="false">Entrées!$C$79*(1+Q691)+Hypothèses!$J$20</f>
        <v>1522.97611273464</v>
      </c>
      <c r="AT691" s="2" t="n">
        <f aca="false">AI691-AR691+AS691+Y691*1000-AO691+Hypothèses!$J$23</f>
        <v>22493.9410625153</v>
      </c>
      <c r="AU691" s="2" t="n">
        <f aca="false">AT691/AQ691</f>
        <v>2.80739541985812</v>
      </c>
      <c r="AV691" s="2" t="n">
        <f aca="false">Hypothèses!$J$26*AQ691-AT691</f>
        <v>1543.22260535027</v>
      </c>
      <c r="AW691" s="2" t="n">
        <f aca="false">IF(AC691&gt;Hypothèses!$J$26,MAX(0,AV691)/(1-Hypothèses!$J$26/AC691),0)</f>
        <v>2342.59103760733</v>
      </c>
      <c r="AX691" s="2" t="n">
        <f aca="false">AQ691-Entrées!$C$17*1000</f>
        <v>12.3878892885305</v>
      </c>
      <c r="AY691" s="2" t="n">
        <f aca="false">AI691+(Entrées!$C$244-Entrées!$C$13)</f>
        <v>28530.3450072724</v>
      </c>
      <c r="AZ691" s="2" t="n">
        <f aca="false">AA691*AH691</f>
        <v>5374.47880458766</v>
      </c>
      <c r="BA691" s="2" t="n">
        <f aca="false">AZ691/AY691</f>
        <v>0.188377631017701</v>
      </c>
      <c r="BB691" s="2" t="n">
        <f aca="false">AZ691/(Entrées!$C$151/100)-AY691</f>
        <v>1327.87057377016</v>
      </c>
      <c r="BC691" s="2" t="n">
        <f aca="false">AT691+(Entrées!$C$244-Entrées!$C$13)</f>
        <v>28240.9410625153</v>
      </c>
      <c r="BD691" s="2" t="n">
        <f aca="false">AA691*AQ691</f>
        <v>5740.4614632919</v>
      </c>
      <c r="BE691" s="2" t="n">
        <f aca="false">BD691/BC691</f>
        <v>0.203267357507123</v>
      </c>
      <c r="BF691" s="2" t="n">
        <f aca="false">BD691/(Entrées!$C$151/100)-BC691</f>
        <v>3650.51151132857</v>
      </c>
      <c r="BG691" s="2" t="n">
        <f aca="false">MIN(AV691,BF691)</f>
        <v>1543.22260535027</v>
      </c>
      <c r="BH691" s="2" t="n">
        <f aca="false">IF(AC691&gt;Hypothèses!$J$26,MAX(0,BG691)/(1-Hypothèses!$J$26/AC691),0)</f>
        <v>2342.59103760733</v>
      </c>
    </row>
    <row r="692" customFormat="false" ht="15" hidden="false" customHeight="false" outlineLevel="0" collapsed="false">
      <c r="A692" s="2" t="n">
        <v>677</v>
      </c>
      <c r="B692" s="2" t="n">
        <v>0.518578685</v>
      </c>
      <c r="C692" s="2"/>
      <c r="D692" s="2" t="n">
        <v>0.086397198</v>
      </c>
      <c r="E692" s="2" t="n">
        <f aca="false">IF(E$7=E$5,E$6,IF(NORMSDIST(E$9*SQRT($C$11)*NORMSINV($B692)+SQRT(1-E$9^2*$C$11)*NORMSINV(D692))&lt;E$8,E$5+SQRT(NORMSDIST(E$9*SQRT($C$11)*NORMSINV($B692)+SQRT(1-E$9^2*$C$11)*NORMSINV(D692))*(E$7-E$5)*(E$6-E$5)),E$7-SQRT((1-NORMSDIST(E$9*SQRT($C$11)*NORMSINV($B692)+SQRT(1-E$9^2*$C$11)*NORMSINV(D692)))*(E$7-E$5)*(E$7-E$6))))</f>
        <v>0.0527597230058925</v>
      </c>
      <c r="F692" s="2" t="n">
        <v>0.878889944</v>
      </c>
      <c r="G692" s="2" t="n">
        <f aca="false">IF(G$7=G$5,G$6,IF(NORMSDIST(G$9*SQRT($C$11)*NORMSINV($B692)+SQRT(1-G$9^2*$C$11)*NORMSINV(F692))&lt;G$8,G$5+SQRT(NORMSDIST(G$9*SQRT($C$11)*NORMSINV($B692)+SQRT(1-G$9^2*$C$11)*NORMSINV(F692))*(G$7-G$5)*(G$6-G$5)),G$7-SQRT((1-NORMSDIST(G$9*SQRT($C$11)*NORMSINV($B692)+SQRT(1-G$9^2*$C$11)*NORMSINV(F692)))*(G$7-G$5)*(G$7-G$6))))</f>
        <v>0.0611306586575977</v>
      </c>
      <c r="H692" s="2" t="n">
        <v>0.503388828</v>
      </c>
      <c r="I692" s="2" t="n">
        <f aca="false">IF(I$7=I$5,I$6,IF(NORMSDIST(I$9*SQRT($C$11)*NORMSINV($B692)+SQRT(1-I$9^2*$C$11)*NORMSINV(H692))&lt;I$8,I$5+SQRT(NORMSDIST(I$9*SQRT($C$11)*NORMSINV($B692)+SQRT(1-I$9^2*$C$11)*NORMSINV(H692))*(I$7-I$5)*(I$6-I$5)),I$7-SQRT((1-NORMSDIST(I$9*SQRT($C$11)*NORMSINV($B692)+SQRT(1-I$9^2*$C$11)*NORMSINV(H692)))*(I$7-I$5)*(I$7-I$6))))</f>
        <v>200.289623769231</v>
      </c>
      <c r="J692" s="2" t="n">
        <v>0.347535554</v>
      </c>
      <c r="K692" s="2" t="n">
        <f aca="false">IF(K$7=K$5,K$6,IF(NORMSDIST(K$9*SQRT($C$11)*NORMSINV($B692)+SQRT(1-K$9^2*$C$11)*NORMSINV(J692))&lt;K$8,K$5+SQRT(NORMSDIST(K$9*SQRT($C$11)*NORMSINV($B692)+SQRT(1-K$9^2*$C$11)*NORMSINV(J692))*(K$7-K$5)*(K$6-K$5)),K$7-SQRT((1-NORMSDIST(K$9*SQRT($C$11)*NORMSINV($B692)+SQRT(1-K$9^2*$C$11)*NORMSINV(J692)))*(K$7-K$5)*(K$7-K$6))))</f>
        <v>0.221353551557537</v>
      </c>
      <c r="L692" s="2" t="n">
        <v>0.533361478</v>
      </c>
      <c r="M692" s="2" t="n">
        <f aca="false">IF(M$7=M$5,M$6,IF(NORMSDIST(M$9*SQRT($C$11)*NORMSINV($B692)+SQRT(1-M$9^2*$C$11)*NORMSINV(L692))&lt;M$8,M$5+SQRT(NORMSDIST(M$9*SQRT($C$11)*NORMSINV($B692)+SQRT(1-M$9^2*$C$11)*NORMSINV(L692))*(M$7-M$5)*(M$6-M$5)),M$7-SQRT((1-NORMSDIST(M$9*SQRT($C$11)*NORMSINV($B692)+SQRT(1-M$9^2*$C$11)*NORMSINV(L692)))*(M$7-M$5)*(M$7-M$6))))</f>
        <v>1595.75967880621</v>
      </c>
      <c r="N692" s="2" t="n">
        <v>0.512945385</v>
      </c>
      <c r="O692" s="2" t="n">
        <f aca="false">IF(O$7=O$5,O$6,IF(NORMSDIST(O$9*SQRT($C$11)*NORMSINV($B692)+SQRT(1-O$9^2*$C$11)*NORMSINV(N692))&lt;O$8,O$5+SQRT(NORMSDIST(O$9*SQRT($C$11)*NORMSINV($B692)+SQRT(1-O$9^2*$C$11)*NORMSINV(N692))*(O$7-O$5)*(O$6-O$5)),O$7-SQRT((1-NORMSDIST(O$9*SQRT($C$11)*NORMSINV($B692)+SQRT(1-O$9^2*$C$11)*NORMSINV(N692)))*(O$7-O$5)*(O$7-O$6))))</f>
        <v>0.167361454130164</v>
      </c>
      <c r="P692" s="2" t="n">
        <v>0.667168575</v>
      </c>
      <c r="Q692" s="2" t="n">
        <f aca="false">IF(Q$7=Q$5,Q$6,IF(NORMSDIST(Q$9*SQRT($C$11)*NORMSINV($B692)+SQRT(1-Q$9^2*$C$11)*NORMSINV(P692))&lt;Q$8,Q$5+SQRT(NORMSDIST(Q$9*SQRT($C$11)*NORMSINV($B692)+SQRT(1-Q$9^2*$C$11)*NORMSINV(P692))*(Q$7-Q$5)*(Q$6-Q$5)),Q$7-SQRT((1-NORMSDIST(Q$9*SQRT($C$11)*NORMSINV($B692)+SQRT(1-Q$9^2*$C$11)*NORMSINV(P692)))*(Q$7-Q$5)*(Q$7-Q$6))))</f>
        <v>0.0873647344119892</v>
      </c>
      <c r="R692" s="2" t="n">
        <v>0.046477301</v>
      </c>
      <c r="S692" s="2" t="n">
        <f aca="false">IF(S$7=S$5,S$6,IF(NORMSDIST(S$9*SQRT($C$11)*NORMSINV($B692)+SQRT(1-S$9^2*$C$11)*NORMSINV(R692))&lt;S$8,S$5+SQRT(NORMSDIST(S$9*SQRT($C$11)*NORMSINV($B692)+SQRT(1-S$9^2*$C$11)*NORMSINV(R692))*(S$7-S$5)*(S$6-S$5)),S$7-SQRT((1-NORMSDIST(S$9*SQRT($C$11)*NORMSINV($B692)+SQRT(1-S$9^2*$C$11)*NORMSINV(R692)))*(S$7-S$5)*(S$7-S$6))))</f>
        <v>0.2255103103365</v>
      </c>
      <c r="T692" s="2" t="n">
        <v>0.860383246</v>
      </c>
      <c r="U692" s="2" t="n">
        <f aca="false">IF(U$7=U$5,U$6,IF(NORMSDIST(U$9*SQRT($C$11)*NORMSINV($B692)+SQRT(1-U$9^2*$C$11)*NORMSINV(T692))&lt;U$8,U$5+SQRT(NORMSDIST(U$9*SQRT($C$11)*NORMSINV($B692)+SQRT(1-U$9^2*$C$11)*NORMSINV(T692))*(U$7-U$5)*(U$6-U$5)),U$7-SQRT((1-NORMSDIST(U$9*SQRT($C$11)*NORMSINV($B692)+SQRT(1-U$9^2*$C$11)*NORMSINV(T692)))*(U$7-U$5)*(U$7-U$6))))</f>
        <v>0.689513507574136</v>
      </c>
      <c r="V692" s="2" t="n">
        <v>0.303269662</v>
      </c>
      <c r="W692" s="2" t="n">
        <f aca="false">IF(W$7=W$5,W$6,IF(NORMSDIST(W$9*SQRT($C$11)*NORMSINV($B692)+SQRT(1-W$9^2*$C$11)*NORMSINV(V692))&lt;W$8,W$5+SQRT(NORMSDIST(W$9*SQRT($C$11)*NORMSINV($B692)+SQRT(1-W$9^2*$C$11)*NORMSINV(V692))*(W$7-W$5)*(W$6-W$5)),W$7-SQRT((1-NORMSDIST(W$9*SQRT($C$11)*NORMSINV($B692)+SQRT(1-W$9^2*$C$11)*NORMSINV(V692)))*(W$7-W$5)*(W$7-W$6))))</f>
        <v>9.68733942831062</v>
      </c>
      <c r="X692" s="2" t="n">
        <v>0.389580111</v>
      </c>
      <c r="Y692" s="2" t="n">
        <f aca="false">IF(Y$7=Y$5,Y$6,IF(NORMSDIST(Y$9*SQRT($C$11)*NORMSINV($B692)+SQRT(1-Y$9^2*$C$11)*NORMSINV(X692))&lt;Y$8,Y$5+SQRT(NORMSDIST(Y$9*SQRT($C$11)*NORMSINV($B692)+SQRT(1-Y$9^2*$C$11)*NORMSINV(X692))*(Y$7-Y$5)*(Y$6-Y$5)),Y$7-SQRT((1-NORMSDIST(Y$9*SQRT($C$11)*NORMSINV($B692)+SQRT(1-Y$9^2*$C$11)*NORMSINV(X692)))*(Y$7-Y$5)*(Y$7-Y$6))))</f>
        <v>0.441350263962762</v>
      </c>
      <c r="Z692" s="2" t="n">
        <v>0.787074811</v>
      </c>
      <c r="AA692" s="2" t="n">
        <f aca="false">IF(AA$7=AA$5,AA$6,IF(NORMSDIST(AA$9*SQRT($C$11)*NORMSINV($B692)+SQRT(1-AA$9^2*$C$11)*NORMSINV(Z692))&lt;AA$8,AA$5+SQRT(NORMSDIST(AA$9*SQRT($C$11)*NORMSINV($B692)+SQRT(1-AA$9^2*$C$11)*NORMSINV(Z692))*(AA$7-AA$5)*(AA$6-AA$5)),AA$7-SQRT((1-NORMSDIST(AA$9*SQRT($C$11)*NORMSINV($B692)+SQRT(1-AA$9^2*$C$11)*NORMSINV(Z692)))*(AA$7-AA$5)*(AA$7-AA$6))))</f>
        <v>0.735622637428438</v>
      </c>
      <c r="AB692" s="2" t="n">
        <v>0.608481588</v>
      </c>
      <c r="AC692" s="2" t="n">
        <f aca="false">IF(AC$7=AC$5,AC$6,IF(NORMSDIST(AC$9*SQRT($C$11)*NORMSINV($B692)+SQRT(1-AC$9^2*$C$11)*NORMSINV(AB692))&lt;AC$8,AC$5+SQRT(NORMSDIST(AC$9*SQRT($C$11)*NORMSINV($B692)+SQRT(1-AC$9^2*$C$11)*NORMSINV(AB692))*(AC$7-AC$5)*(AC$6-AC$5)),AC$7-SQRT((1-NORMSDIST(AC$9*SQRT($C$11)*NORMSINV($B692)+SQRT(1-AC$9^2*$C$11)*NORMSINV(AB692)))*(AC$7-AC$5)*(AC$7-AC$6))))</f>
        <v>9.66905550970769</v>
      </c>
      <c r="AD692" s="2" t="n">
        <f aca="false">Entrées!$C$8*(1+E692)</f>
        <v>7421.95604719154</v>
      </c>
      <c r="AE692" s="2" t="n">
        <f aca="false">I692*Hypothèses!$J$24/12/Hypothèses!$J$19</f>
        <v>99.3630413000359</v>
      </c>
      <c r="AF692" s="2" t="n">
        <f aca="false">Entrées!$C$36*S692*1000</f>
        <v>112.75515516825</v>
      </c>
      <c r="AG692" s="2" t="n">
        <f aca="false">-AF692/W692</f>
        <v>-11.6394347491046</v>
      </c>
      <c r="AH692" s="2" t="n">
        <f aca="false">AD692+AE692+AG692</f>
        <v>7509.67965374247</v>
      </c>
      <c r="AI692" s="2" t="n">
        <f aca="false">Entrées!$C$16-M692+Hypothèses!$J$22*1000-AF692+Hypothèses!$J$23</f>
        <v>22839.4851660255</v>
      </c>
      <c r="AJ692" s="2" t="n">
        <f aca="false">AI692/AH692</f>
        <v>3.0413394737342</v>
      </c>
      <c r="AK692" s="2" t="n">
        <f aca="false">AI692/(AH692+I692*(12-Hypothèses!$J$24)/12/Hypothèses!$J$19)</f>
        <v>3.01286503929622</v>
      </c>
      <c r="AL692" s="2" t="n">
        <f aca="false">(AD692+AG692+I692/Hypothèses!$J$19)*(1+G692)</f>
        <v>8044.06358118397</v>
      </c>
      <c r="AM692" s="2" t="n">
        <f aca="false">Entrées!$C$54*K692/Hypothèses!$J$19</f>
        <v>22.5900593399501</v>
      </c>
      <c r="AN692" s="2" t="n">
        <f aca="false">Y692*1000/AC692</f>
        <v>45.6456438293946</v>
      </c>
      <c r="AO692" s="2" t="n">
        <f aca="false">(Entrées!$C$36*(1-S692)+MAX(0,Entrées!$C$30-Entrées!$C$35-Entrées!$C$36)*U692)*1000</f>
        <v>1352.56375543554</v>
      </c>
      <c r="AP692" s="2" t="n">
        <f aca="false">-AO692/W692</f>
        <v>-139.621798683213</v>
      </c>
      <c r="AQ692" s="2" t="n">
        <f aca="false">AL692+AM692+AN692+AP692</f>
        <v>7972.67748567011</v>
      </c>
      <c r="AR692" s="2" t="n">
        <f aca="false">O692*AQ692-Hypothèses!$J$25/Hypothèses!$J$19</f>
        <v>1315.18373505095</v>
      </c>
      <c r="AS692" s="2" t="n">
        <f aca="false">Entrées!$C$79*(1+Q692)+Hypothèses!$J$20</f>
        <v>1490.01384311878</v>
      </c>
      <c r="AT692" s="2" t="n">
        <f aca="false">AI692-AR692+AS692+Y692*1000-AO692+Hypothèses!$J$23</f>
        <v>22103.1017826206</v>
      </c>
      <c r="AU692" s="2" t="n">
        <f aca="false">AT692/AQ692</f>
        <v>2.77235619054554</v>
      </c>
      <c r="AV692" s="2" t="n">
        <f aca="false">Hypothèses!$J$26*AQ692-AT692</f>
        <v>1814.93067438972</v>
      </c>
      <c r="AW692" s="2" t="n">
        <f aca="false">IF(AC692&gt;Hypothèses!$J$26,MAX(0,AV692)/(1-Hypothèses!$J$26/AC692),0)</f>
        <v>2631.35693073795</v>
      </c>
      <c r="AX692" s="2" t="n">
        <f aca="false">AQ692-Entrées!$C$17*1000</f>
        <v>-27.3225143298951</v>
      </c>
      <c r="AY692" s="2" t="n">
        <f aca="false">AI692+(Entrées!$C$244-Entrées!$C$13)</f>
        <v>28586.4851660255</v>
      </c>
      <c r="AZ692" s="2" t="n">
        <f aca="false">AA692*AH692</f>
        <v>5524.29035312872</v>
      </c>
      <c r="BA692" s="2" t="n">
        <f aca="false">AZ692/AY692</f>
        <v>0.193248324200914</v>
      </c>
      <c r="BB692" s="2" t="n">
        <f aca="false">AZ692/(Entrées!$C$151/100)-AY692</f>
        <v>2104.01679580066</v>
      </c>
      <c r="BC692" s="2" t="n">
        <f aca="false">AT692+(Entrées!$C$244-Entrées!$C$13)</f>
        <v>27850.1017826206</v>
      </c>
      <c r="BD692" s="2" t="n">
        <f aca="false">AA692*AQ692</f>
        <v>5864.88203937497</v>
      </c>
      <c r="BE692" s="2" t="n">
        <f aca="false">BD692/BC692</f>
        <v>0.210587454406894</v>
      </c>
      <c r="BF692" s="2" t="n">
        <f aca="false">BD692/(Entrées!$C$151/100)-BC692</f>
        <v>4732.57621390702</v>
      </c>
      <c r="BG692" s="2" t="n">
        <f aca="false">MIN(AV692,BF692)</f>
        <v>1814.93067438972</v>
      </c>
      <c r="BH692" s="2" t="n">
        <f aca="false">IF(AC692&gt;Hypothèses!$J$26,MAX(0,BG692)/(1-Hypothèses!$J$26/AC692),0)</f>
        <v>2631.35693073795</v>
      </c>
    </row>
    <row r="693" customFormat="false" ht="15" hidden="false" customHeight="false" outlineLevel="0" collapsed="false">
      <c r="A693" s="2" t="n">
        <v>678</v>
      </c>
      <c r="B693" s="2" t="n">
        <v>0.38238689</v>
      </c>
      <c r="C693" s="2"/>
      <c r="D693" s="2" t="n">
        <v>0.83335714</v>
      </c>
      <c r="E693" s="2" t="n">
        <f aca="false">IF(E$7=E$5,E$6,IF(NORMSDIST(E$9*SQRT($C$11)*NORMSINV($B693)+SQRT(1-E$9^2*$C$11)*NORMSINV(D693))&lt;E$8,E$5+SQRT(NORMSDIST(E$9*SQRT($C$11)*NORMSINV($B693)+SQRT(1-E$9^2*$C$11)*NORMSINV(D693))*(E$7-E$5)*(E$6-E$5)),E$7-SQRT((1-NORMSDIST(E$9*SQRT($C$11)*NORMSINV($B693)+SQRT(1-E$9^2*$C$11)*NORMSINV(D693)))*(E$7-E$5)*(E$7-E$6))))</f>
        <v>0.0562074164730522</v>
      </c>
      <c r="F693" s="2" t="n">
        <v>0.912626221</v>
      </c>
      <c r="G693" s="2" t="n">
        <f aca="false">IF(G$7=G$5,G$6,IF(NORMSDIST(G$9*SQRT($C$11)*NORMSINV($B693)+SQRT(1-G$9^2*$C$11)*NORMSINV(F693))&lt;G$8,G$5+SQRT(NORMSDIST(G$9*SQRT($C$11)*NORMSINV($B693)+SQRT(1-G$9^2*$C$11)*NORMSINV(F693))*(G$7-G$5)*(G$6-G$5)),G$7-SQRT((1-NORMSDIST(G$9*SQRT($C$11)*NORMSINV($B693)+SQRT(1-G$9^2*$C$11)*NORMSINV(F693)))*(G$7-G$5)*(G$7-G$6))))</f>
        <v>0.0606480648530994</v>
      </c>
      <c r="H693" s="2" t="n">
        <v>0.607170138</v>
      </c>
      <c r="I693" s="2" t="n">
        <f aca="false">IF(I$7=I$5,I$6,IF(NORMSDIST(I$9*SQRT($C$11)*NORMSINV($B693)+SQRT(1-I$9^2*$C$11)*NORMSINV(H693))&lt;I$8,I$5+SQRT(NORMSDIST(I$9*SQRT($C$11)*NORMSINV($B693)+SQRT(1-I$9^2*$C$11)*NORMSINV(H693))*(I$7-I$5)*(I$6-I$5)),I$7-SQRT((1-NORMSDIST(I$9*SQRT($C$11)*NORMSINV($B693)+SQRT(1-I$9^2*$C$11)*NORMSINV(H693)))*(I$7-I$5)*(I$7-I$6))))</f>
        <v>200.171552055116</v>
      </c>
      <c r="J693" s="2" t="n">
        <v>0.43806847</v>
      </c>
      <c r="K693" s="2" t="n">
        <f aca="false">IF(K$7=K$5,K$6,IF(NORMSDIST(K$9*SQRT($C$11)*NORMSINV($B693)+SQRT(1-K$9^2*$C$11)*NORMSINV(J693))&lt;K$8,K$5+SQRT(NORMSDIST(K$9*SQRT($C$11)*NORMSINV($B693)+SQRT(1-K$9^2*$C$11)*NORMSINV(J693))*(K$7-K$5)*(K$6-K$5)),K$7-SQRT((1-NORMSDIST(K$9*SQRT($C$11)*NORMSINV($B693)+SQRT(1-K$9^2*$C$11)*NORMSINV(J693)))*(K$7-K$5)*(K$7-K$6))))</f>
        <v>0.217453796336702</v>
      </c>
      <c r="L693" s="2" t="n">
        <v>0.095714171</v>
      </c>
      <c r="M693" s="2" t="n">
        <f aca="false">IF(M$7=M$5,M$6,IF(NORMSDIST(M$9*SQRT($C$11)*NORMSINV($B693)+SQRT(1-M$9^2*$C$11)*NORMSINV(L693))&lt;M$8,M$5+SQRT(NORMSDIST(M$9*SQRT($C$11)*NORMSINV($B693)+SQRT(1-M$9^2*$C$11)*NORMSINV(L693))*(M$7-M$5)*(M$6-M$5)),M$7-SQRT((1-NORMSDIST(M$9*SQRT($C$11)*NORMSINV($B693)+SQRT(1-M$9^2*$C$11)*NORMSINV(L693)))*(M$7-M$5)*(M$7-M$6))))</f>
        <v>1438.42476720977</v>
      </c>
      <c r="N693" s="2" t="n">
        <v>0.3357386</v>
      </c>
      <c r="O693" s="2" t="n">
        <f aca="false">IF(O$7=O$5,O$6,IF(NORMSDIST(O$9*SQRT($C$11)*NORMSINV($B693)+SQRT(1-O$9^2*$C$11)*NORMSINV(N693))&lt;O$8,O$5+SQRT(NORMSDIST(O$9*SQRT($C$11)*NORMSINV($B693)+SQRT(1-O$9^2*$C$11)*NORMSINV(N693))*(O$7-O$5)*(O$6-O$5)),O$7-SQRT((1-NORMSDIST(O$9*SQRT($C$11)*NORMSINV($B693)+SQRT(1-O$9^2*$C$11)*NORMSINV(N693)))*(O$7-O$5)*(O$7-O$6))))</f>
        <v>0.160826940182754</v>
      </c>
      <c r="P693" s="2" t="n">
        <v>0.064253202</v>
      </c>
      <c r="Q693" s="2" t="n">
        <f aca="false">IF(Q$7=Q$5,Q$6,IF(NORMSDIST(Q$9*SQRT($C$11)*NORMSINV($B693)+SQRT(1-Q$9^2*$C$11)*NORMSINV(P693))&lt;Q$8,Q$5+SQRT(NORMSDIST(Q$9*SQRT($C$11)*NORMSINV($B693)+SQRT(1-Q$9^2*$C$11)*NORMSINV(P693))*(Q$7-Q$5)*(Q$6-Q$5)),Q$7-SQRT((1-NORMSDIST(Q$9*SQRT($C$11)*NORMSINV($B693)+SQRT(1-Q$9^2*$C$11)*NORMSINV(P693)))*(Q$7-Q$5)*(Q$7-Q$6))))</f>
        <v>0.0543391159560135</v>
      </c>
      <c r="R693" s="2" t="n">
        <v>0.63646018</v>
      </c>
      <c r="S693" s="2" t="n">
        <f aca="false">IF(S$7=S$5,S$6,IF(NORMSDIST(S$9*SQRT($C$11)*NORMSINV($B693)+SQRT(1-S$9^2*$C$11)*NORMSINV(R693))&lt;S$8,S$5+SQRT(NORMSDIST(S$9*SQRT($C$11)*NORMSINV($B693)+SQRT(1-S$9^2*$C$11)*NORMSINV(R693))*(S$7-S$5)*(S$6-S$5)),S$7-SQRT((1-NORMSDIST(S$9*SQRT($C$11)*NORMSINV($B693)+SQRT(1-S$9^2*$C$11)*NORMSINV(R693)))*(S$7-S$5)*(S$7-S$6))))</f>
        <v>0.516429765790142</v>
      </c>
      <c r="T693" s="2" t="n">
        <v>0.495113027</v>
      </c>
      <c r="U693" s="2" t="n">
        <f aca="false">IF(U$7=U$5,U$6,IF(NORMSDIST(U$9*SQRT($C$11)*NORMSINV($B693)+SQRT(1-U$9^2*$C$11)*NORMSINV(T693))&lt;U$8,U$5+SQRT(NORMSDIST(U$9*SQRT($C$11)*NORMSINV($B693)+SQRT(1-U$9^2*$C$11)*NORMSINV(T693))*(U$7-U$5)*(U$6-U$5)),U$7-SQRT((1-NORMSDIST(U$9*SQRT($C$11)*NORMSINV($B693)+SQRT(1-U$9^2*$C$11)*NORMSINV(T693)))*(U$7-U$5)*(U$7-U$6))))</f>
        <v>0.458931700351752</v>
      </c>
      <c r="V693" s="2" t="n">
        <v>0.775773683</v>
      </c>
      <c r="W693" s="2" t="n">
        <f aca="false">IF(W$7=W$5,W$6,IF(NORMSDIST(W$9*SQRT($C$11)*NORMSINV($B693)+SQRT(1-W$9^2*$C$11)*NORMSINV(V693))&lt;W$8,W$5+SQRT(NORMSDIST(W$9*SQRT($C$11)*NORMSINV($B693)+SQRT(1-W$9^2*$C$11)*NORMSINV(V693))*(W$7-W$5)*(W$6-W$5)),W$7-SQRT((1-NORMSDIST(W$9*SQRT($C$11)*NORMSINV($B693)+SQRT(1-W$9^2*$C$11)*NORMSINV(V693)))*(W$7-W$5)*(W$7-W$6))))</f>
        <v>10.3378281469769</v>
      </c>
      <c r="X693" s="2" t="n">
        <v>0.438357239</v>
      </c>
      <c r="Y693" s="2" t="n">
        <f aca="false">IF(Y$7=Y$5,Y$6,IF(NORMSDIST(Y$9*SQRT($C$11)*NORMSINV($B693)+SQRT(1-Y$9^2*$C$11)*NORMSINV(X693))&lt;Y$8,Y$5+SQRT(NORMSDIST(Y$9*SQRT($C$11)*NORMSINV($B693)+SQRT(1-Y$9^2*$C$11)*NORMSINV(X693))*(Y$7-Y$5)*(Y$6-Y$5)),Y$7-SQRT((1-NORMSDIST(Y$9*SQRT($C$11)*NORMSINV($B693)+SQRT(1-Y$9^2*$C$11)*NORMSINV(X693)))*(Y$7-Y$5)*(Y$7-Y$6))))</f>
        <v>0.4681651626296</v>
      </c>
      <c r="Z693" s="2" t="n">
        <v>0.964066727</v>
      </c>
      <c r="AA693" s="2" t="n">
        <f aca="false">IF(AA$7=AA$5,AA$6,IF(NORMSDIST(AA$9*SQRT($C$11)*NORMSINV($B693)+SQRT(1-AA$9^2*$C$11)*NORMSINV(Z693))&lt;AA$8,AA$5+SQRT(NORMSDIST(AA$9*SQRT($C$11)*NORMSINV($B693)+SQRT(1-AA$9^2*$C$11)*NORMSINV(Z693))*(AA$7-AA$5)*(AA$6-AA$5)),AA$7-SQRT((1-NORMSDIST(AA$9*SQRT($C$11)*NORMSINV($B693)+SQRT(1-AA$9^2*$C$11)*NORMSINV(Z693)))*(AA$7-AA$5)*(AA$7-AA$6))))</f>
        <v>0.741760474118599</v>
      </c>
      <c r="AB693" s="2" t="n">
        <v>0.610083952</v>
      </c>
      <c r="AC693" s="2" t="n">
        <f aca="false">IF(AC$7=AC$5,AC$6,IF(NORMSDIST(AC$9*SQRT($C$11)*NORMSINV($B693)+SQRT(1-AC$9^2*$C$11)*NORMSINV(AB693))&lt;AC$8,AC$5+SQRT(NORMSDIST(AC$9*SQRT($C$11)*NORMSINV($B693)+SQRT(1-AC$9^2*$C$11)*NORMSINV(AB693))*(AC$7-AC$5)*(AC$6-AC$5)),AC$7-SQRT((1-NORMSDIST(AC$9*SQRT($C$11)*NORMSINV($B693)+SQRT(1-AC$9^2*$C$11)*NORMSINV(AB693)))*(AC$7-AC$5)*(AC$7-AC$6))))</f>
        <v>9.50096240837279</v>
      </c>
      <c r="AD693" s="2" t="n">
        <f aca="false">Entrées!$C$8*(1+E693)</f>
        <v>7446.26228613502</v>
      </c>
      <c r="AE693" s="2" t="n">
        <f aca="false">I693*Hypothèses!$J$24/12/Hypothèses!$J$19</f>
        <v>99.304466300567</v>
      </c>
      <c r="AF693" s="2" t="n">
        <f aca="false">Entrées!$C$36*S693*1000</f>
        <v>258.214882895071</v>
      </c>
      <c r="AG693" s="2" t="n">
        <f aca="false">-AF693/W693</f>
        <v>-24.9776722174069</v>
      </c>
      <c r="AH693" s="2" t="n">
        <f aca="false">AD693+AE693+AG693</f>
        <v>7520.58908021818</v>
      </c>
      <c r="AI693" s="2" t="n">
        <f aca="false">Entrées!$C$16-M693+Hypothèses!$J$22*1000-AF693+Hypothèses!$J$23</f>
        <v>22851.3603498952</v>
      </c>
      <c r="AJ693" s="2" t="n">
        <f aca="false">AI693/AH693</f>
        <v>3.03850670554549</v>
      </c>
      <c r="AK693" s="2" t="n">
        <f aca="false">AI693/(AH693+I693*(12-Hypothèses!$J$24)/12/Hypothèses!$J$19)</f>
        <v>3.01011626338261</v>
      </c>
      <c r="AL693" s="2" t="n">
        <f aca="false">(AD693+AG693+I693/Hypothèses!$J$19)*(1+G693)</f>
        <v>8051.93189021231</v>
      </c>
      <c r="AM693" s="2" t="n">
        <f aca="false">Entrées!$C$54*K693/Hypothèses!$J$19</f>
        <v>22.19207294565</v>
      </c>
      <c r="AN693" s="2" t="n">
        <f aca="false">Y693*1000/AC693</f>
        <v>49.2755515185521</v>
      </c>
      <c r="AO693" s="2" t="n">
        <f aca="false">(Entrées!$C$36*(1-S693)+MAX(0,Entrées!$C$30-Entrées!$C$35-Entrées!$C$36)*U693)*1000</f>
        <v>884.289497597382</v>
      </c>
      <c r="AP693" s="2" t="n">
        <f aca="false">-AO693/W693</f>
        <v>-85.5391949861324</v>
      </c>
      <c r="AQ693" s="2" t="n">
        <f aca="false">AL693+AM693+AN693+AP693</f>
        <v>8037.86031969038</v>
      </c>
      <c r="AR693" s="2" t="n">
        <f aca="false">O693*AQ693-Hypothèses!$J$25/Hypothèses!$J$19</f>
        <v>1273.56931857055</v>
      </c>
      <c r="AS693" s="2" t="n">
        <f aca="false">Entrées!$C$79*(1+Q693)+Hypothèses!$J$20</f>
        <v>1453.71868843566</v>
      </c>
      <c r="AT693" s="2" t="n">
        <f aca="false">AI693-AR693+AS693+Y693*1000-AO693+Hypothèses!$J$23</f>
        <v>22615.3853847925</v>
      </c>
      <c r="AU693" s="2" t="n">
        <f aca="false">AT693/AQ693</f>
        <v>2.81360766240133</v>
      </c>
      <c r="AV693" s="2" t="n">
        <f aca="false">Hypothèses!$J$26*AQ693-AT693</f>
        <v>1498.19557427865</v>
      </c>
      <c r="AW693" s="2" t="n">
        <f aca="false">IF(AC693&gt;Hypothèses!$J$26,MAX(0,AV693)/(1-Hypothèses!$J$26/AC693),0)</f>
        <v>2189.56808814633</v>
      </c>
      <c r="AX693" s="2" t="n">
        <f aca="false">AQ693-Entrées!$C$17*1000</f>
        <v>37.8603196903778</v>
      </c>
      <c r="AY693" s="2" t="n">
        <f aca="false">AI693+(Entrées!$C$244-Entrées!$C$13)</f>
        <v>28598.3603498952</v>
      </c>
      <c r="AZ693" s="2" t="n">
        <f aca="false">AA693*AH693</f>
        <v>5578.47572179379</v>
      </c>
      <c r="BA693" s="2" t="n">
        <f aca="false">AZ693/AY693</f>
        <v>0.195062781695953</v>
      </c>
      <c r="BB693" s="2" t="n">
        <f aca="false">AZ693/(Entrées!$C$151/100)-AY693</f>
        <v>2393.17143784813</v>
      </c>
      <c r="BC693" s="2" t="n">
        <f aca="false">AT693+(Entrées!$C$244-Entrées!$C$13)</f>
        <v>28362.3853847925</v>
      </c>
      <c r="BD693" s="2" t="n">
        <f aca="false">AA693*AQ693</f>
        <v>5962.16708163261</v>
      </c>
      <c r="BE693" s="2" t="n">
        <f aca="false">BD693/BC693</f>
        <v>0.210213880135394</v>
      </c>
      <c r="BF693" s="2" t="n">
        <f aca="false">BD693/(Entrées!$C$151/100)-BC693</f>
        <v>4760.765068722</v>
      </c>
      <c r="BG693" s="2" t="n">
        <f aca="false">MIN(AV693,BF693)</f>
        <v>1498.19557427865</v>
      </c>
      <c r="BH693" s="2" t="n">
        <f aca="false">IF(AC693&gt;Hypothèses!$J$26,MAX(0,BG693)/(1-Hypothèses!$J$26/AC693),0)</f>
        <v>2189.56808814633</v>
      </c>
    </row>
    <row r="694" customFormat="false" ht="15" hidden="false" customHeight="false" outlineLevel="0" collapsed="false">
      <c r="A694" s="2" t="n">
        <v>679</v>
      </c>
      <c r="B694" s="2" t="n">
        <v>0.857540001</v>
      </c>
      <c r="C694" s="2"/>
      <c r="D694" s="2" t="n">
        <v>0.370060679</v>
      </c>
      <c r="E694" s="2" t="n">
        <f aca="false">IF(E$7=E$5,E$6,IF(NORMSDIST(E$9*SQRT($C$11)*NORMSINV($B694)+SQRT(1-E$9^2*$C$11)*NORMSINV(D694))&lt;E$8,E$5+SQRT(NORMSDIST(E$9*SQRT($C$11)*NORMSINV($B694)+SQRT(1-E$9^2*$C$11)*NORMSINV(D694))*(E$7-E$5)*(E$6-E$5)),E$7-SQRT((1-NORMSDIST(E$9*SQRT($C$11)*NORMSINV($B694)+SQRT(1-E$9^2*$C$11)*NORMSINV(D694)))*(E$7-E$5)*(E$7-E$6))))</f>
        <v>0.0558922616160893</v>
      </c>
      <c r="F694" s="2" t="n">
        <v>0.169799654</v>
      </c>
      <c r="G694" s="2" t="n">
        <f aca="false">IF(G$7=G$5,G$6,IF(NORMSDIST(G$9*SQRT($C$11)*NORMSINV($B694)+SQRT(1-G$9^2*$C$11)*NORMSINV(F694))&lt;G$8,G$5+SQRT(NORMSDIST(G$9*SQRT($C$11)*NORMSINV($B694)+SQRT(1-G$9^2*$C$11)*NORMSINV(F694))*(G$7-G$5)*(G$6-G$5)),G$7-SQRT((1-NORMSDIST(G$9*SQRT($C$11)*NORMSINV($B694)+SQRT(1-G$9^2*$C$11)*NORMSINV(F694)))*(G$7-G$5)*(G$7-G$6))))</f>
        <v>0.0546159331948476</v>
      </c>
      <c r="H694" s="2" t="n">
        <v>0.126131945</v>
      </c>
      <c r="I694" s="2" t="n">
        <f aca="false">IF(I$7=I$5,I$6,IF(NORMSDIST(I$9*SQRT($C$11)*NORMSINV($B694)+SQRT(1-I$9^2*$C$11)*NORMSINV(H694))&lt;I$8,I$5+SQRT(NORMSDIST(I$9*SQRT($C$11)*NORMSINV($B694)+SQRT(1-I$9^2*$C$11)*NORMSINV(H694))*(I$7-I$5)*(I$6-I$5)),I$7-SQRT((1-NORMSDIST(I$9*SQRT($C$11)*NORMSINV($B694)+SQRT(1-I$9^2*$C$11)*NORMSINV(H694)))*(I$7-I$5)*(I$7-I$6))))</f>
        <v>198.256757074923</v>
      </c>
      <c r="J694" s="2" t="n">
        <v>0.237274527</v>
      </c>
      <c r="K694" s="2" t="n">
        <f aca="false">IF(K$7=K$5,K$6,IF(NORMSDIST(K$9*SQRT($C$11)*NORMSINV($B694)+SQRT(1-K$9^2*$C$11)*NORMSINV(J694))&lt;K$8,K$5+SQRT(NORMSDIST(K$9*SQRT($C$11)*NORMSINV($B694)+SQRT(1-K$9^2*$C$11)*NORMSINV(J694))*(K$7-K$5)*(K$6-K$5)),K$7-SQRT((1-NORMSDIST(K$9*SQRT($C$11)*NORMSINV($B694)+SQRT(1-K$9^2*$C$11)*NORMSINV(J694)))*(K$7-K$5)*(K$7-K$6))))</f>
        <v>0.262488476624201</v>
      </c>
      <c r="L694" s="2" t="n">
        <v>0.502374626</v>
      </c>
      <c r="M694" s="2" t="n">
        <f aca="false">IF(M$7=M$5,M$6,IF(NORMSDIST(M$9*SQRT($C$11)*NORMSINV($B694)+SQRT(1-M$9^2*$C$11)*NORMSINV(L694))&lt;M$8,M$5+SQRT(NORMSDIST(M$9*SQRT($C$11)*NORMSINV($B694)+SQRT(1-M$9^2*$C$11)*NORMSINV(L694))*(M$7-M$5)*(M$6-M$5)),M$7-SQRT((1-NORMSDIST(M$9*SQRT($C$11)*NORMSINV($B694)+SQRT(1-M$9^2*$C$11)*NORMSINV(L694)))*(M$7-M$5)*(M$7-M$6))))</f>
        <v>1651.40054783195</v>
      </c>
      <c r="N694" s="2" t="n">
        <v>0.624974654</v>
      </c>
      <c r="O694" s="2" t="n">
        <f aca="false">IF(O$7=O$5,O$6,IF(NORMSDIST(O$9*SQRT($C$11)*NORMSINV($B694)+SQRT(1-O$9^2*$C$11)*NORMSINV(N694))&lt;O$8,O$5+SQRT(NORMSDIST(O$9*SQRT($C$11)*NORMSINV($B694)+SQRT(1-O$9^2*$C$11)*NORMSINV(N694))*(O$7-O$5)*(O$6-O$5)),O$7-SQRT((1-NORMSDIST(O$9*SQRT($C$11)*NORMSINV($B694)+SQRT(1-O$9^2*$C$11)*NORMSINV(N694)))*(O$7-O$5)*(O$7-O$6))))</f>
        <v>0.176230951928673</v>
      </c>
      <c r="P694" s="2" t="n">
        <v>0.653930007</v>
      </c>
      <c r="Q694" s="2" t="n">
        <f aca="false">IF(Q$7=Q$5,Q$6,IF(NORMSDIST(Q$9*SQRT($C$11)*NORMSINV($B694)+SQRT(1-Q$9^2*$C$11)*NORMSINV(P694))&lt;Q$8,Q$5+SQRT(NORMSDIST(Q$9*SQRT($C$11)*NORMSINV($B694)+SQRT(1-Q$9^2*$C$11)*NORMSINV(P694))*(Q$7-Q$5)*(Q$6-Q$5)),Q$7-SQRT((1-NORMSDIST(Q$9*SQRT($C$11)*NORMSINV($B694)+SQRT(1-Q$9^2*$C$11)*NORMSINV(P694)))*(Q$7-Q$5)*(Q$7-Q$6))))</f>
        <v>0.0867220196285893</v>
      </c>
      <c r="R694" s="2" t="n">
        <v>0.379949385</v>
      </c>
      <c r="S694" s="2" t="n">
        <f aca="false">IF(S$7=S$5,S$6,IF(NORMSDIST(S$9*SQRT($C$11)*NORMSINV($B694)+SQRT(1-S$9^2*$C$11)*NORMSINV(R694))&lt;S$8,S$5+SQRT(NORMSDIST(S$9*SQRT($C$11)*NORMSINV($B694)+SQRT(1-S$9^2*$C$11)*NORMSINV(R694))*(S$7-S$5)*(S$6-S$5)),S$7-SQRT((1-NORMSDIST(S$9*SQRT($C$11)*NORMSINV($B694)+SQRT(1-S$9^2*$C$11)*NORMSINV(R694)))*(S$7-S$5)*(S$7-S$6))))</f>
        <v>0.59372331112097</v>
      </c>
      <c r="T694" s="2" t="n">
        <v>0.967669329</v>
      </c>
      <c r="U694" s="2" t="n">
        <f aca="false">IF(U$7=U$5,U$6,IF(NORMSDIST(U$9*SQRT($C$11)*NORMSINV($B694)+SQRT(1-U$9^2*$C$11)*NORMSINV(T694))&lt;U$8,U$5+SQRT(NORMSDIST(U$9*SQRT($C$11)*NORMSINV($B694)+SQRT(1-U$9^2*$C$11)*NORMSINV(T694))*(U$7-U$5)*(U$6-U$5)),U$7-SQRT((1-NORMSDIST(U$9*SQRT($C$11)*NORMSINV($B694)+SQRT(1-U$9^2*$C$11)*NORMSINV(T694)))*(U$7-U$5)*(U$7-U$6))))</f>
        <v>0.906352900561791</v>
      </c>
      <c r="V694" s="2" t="n">
        <v>0.898910122</v>
      </c>
      <c r="W694" s="2" t="n">
        <f aca="false">IF(W$7=W$5,W$6,IF(NORMSDIST(W$9*SQRT($C$11)*NORMSINV($B694)+SQRT(1-W$9^2*$C$11)*NORMSINV(V694))&lt;W$8,W$5+SQRT(NORMSDIST(W$9*SQRT($C$11)*NORMSINV($B694)+SQRT(1-W$9^2*$C$11)*NORMSINV(V694))*(W$7-W$5)*(W$6-W$5)),W$7-SQRT((1-NORMSDIST(W$9*SQRT($C$11)*NORMSINV($B694)+SQRT(1-W$9^2*$C$11)*NORMSINV(V694)))*(W$7-W$5)*(W$7-W$6))))</f>
        <v>11.3800883479905</v>
      </c>
      <c r="X694" s="2" t="n">
        <v>0.866506605</v>
      </c>
      <c r="Y694" s="2" t="n">
        <f aca="false">IF(Y$7=Y$5,Y$6,IF(NORMSDIST(Y$9*SQRT($C$11)*NORMSINV($B694)+SQRT(1-Y$9^2*$C$11)*NORMSINV(X694))&lt;Y$8,Y$5+SQRT(NORMSDIST(Y$9*SQRT($C$11)*NORMSINV($B694)+SQRT(1-Y$9^2*$C$11)*NORMSINV(X694))*(Y$7-Y$5)*(Y$6-Y$5)),Y$7-SQRT((1-NORMSDIST(Y$9*SQRT($C$11)*NORMSINV($B694)+SQRT(1-Y$9^2*$C$11)*NORMSINV(X694)))*(Y$7-Y$5)*(Y$7-Y$6))))</f>
        <v>0.741646177694233</v>
      </c>
      <c r="Z694" s="2" t="n">
        <v>0.517061285</v>
      </c>
      <c r="AA694" s="2" t="n">
        <f aca="false">IF(AA$7=AA$5,AA$6,IF(NORMSDIST(AA$9*SQRT($C$11)*NORMSINV($B694)+SQRT(1-AA$9^2*$C$11)*NORMSINV(Z694))&lt;AA$8,AA$5+SQRT(NORMSDIST(AA$9*SQRT($C$11)*NORMSINV($B694)+SQRT(1-AA$9^2*$C$11)*NORMSINV(Z694))*(AA$7-AA$5)*(AA$6-AA$5)),AA$7-SQRT((1-NORMSDIST(AA$9*SQRT($C$11)*NORMSINV($B694)+SQRT(1-AA$9^2*$C$11)*NORMSINV(Z694)))*(AA$7-AA$5)*(AA$7-AA$6))))</f>
        <v>0.736342093776215</v>
      </c>
      <c r="AB694" s="2" t="n">
        <v>0.929737124</v>
      </c>
      <c r="AC694" s="2" t="n">
        <f aca="false">IF(AC$7=AC$5,AC$6,IF(NORMSDIST(AC$9*SQRT($C$11)*NORMSINV($B694)+SQRT(1-AC$9^2*$C$11)*NORMSINV(AB694))&lt;AC$8,AC$5+SQRT(NORMSDIST(AC$9*SQRT($C$11)*NORMSINV($B694)+SQRT(1-AC$9^2*$C$11)*NORMSINV(AB694))*(AC$7-AC$5)*(AC$6-AC$5)),AC$7-SQRT((1-NORMSDIST(AC$9*SQRT($C$11)*NORMSINV($B694)+SQRT(1-AC$9^2*$C$11)*NORMSINV(AB694)))*(AC$7-AC$5)*(AC$7-AC$6))))</f>
        <v>10.6137352327775</v>
      </c>
      <c r="AD694" s="2" t="n">
        <f aca="false">Entrées!$C$8*(1+E694)</f>
        <v>7444.04044439343</v>
      </c>
      <c r="AE694" s="2" t="n">
        <f aca="false">I694*Hypothèses!$J$24/12/Hypothèses!$J$19</f>
        <v>98.3545426394331</v>
      </c>
      <c r="AF694" s="2" t="n">
        <f aca="false">Entrées!$C$36*S694*1000</f>
        <v>296.861655560485</v>
      </c>
      <c r="AG694" s="2" t="n">
        <f aca="false">-AF694/W694</f>
        <v>-26.0860589551491</v>
      </c>
      <c r="AH694" s="2" t="n">
        <f aca="false">AD694+AE694+AG694</f>
        <v>7516.30892807771</v>
      </c>
      <c r="AI694" s="2" t="n">
        <f aca="false">Entrées!$C$16-M694+Hypothèses!$J$22*1000-AF694+Hypothèses!$J$23</f>
        <v>22599.7377966076</v>
      </c>
      <c r="AJ694" s="2" t="n">
        <f aca="false">AI694/AH694</f>
        <v>3.00676010164838</v>
      </c>
      <c r="AK694" s="2" t="n">
        <f aca="false">AI694/(AH694+I694*(12-Hypothèses!$J$24)/12/Hypothèses!$J$19)</f>
        <v>2.97891683766516</v>
      </c>
      <c r="AL694" s="2" t="n">
        <f aca="false">(AD694+AG694+I694/Hypothèses!$J$19)*(1+G694)</f>
        <v>8000.90934562947</v>
      </c>
      <c r="AM694" s="2" t="n">
        <f aca="false">Entrées!$C$54*K694/Hypothèses!$J$19</f>
        <v>26.7880511573926</v>
      </c>
      <c r="AN694" s="2" t="n">
        <f aca="false">Y694*1000/AC694</f>
        <v>69.8760767466546</v>
      </c>
      <c r="AO694" s="2" t="n">
        <f aca="false">(Entrées!$C$36*(1-S694)+MAX(0,Entrées!$C$30-Entrées!$C$35-Entrées!$C$36)*U694)*1000</f>
        <v>1472.03240522602</v>
      </c>
      <c r="AP694" s="2" t="n">
        <f aca="false">-AO694/W694</f>
        <v>-129.351579725298</v>
      </c>
      <c r="AQ694" s="2" t="n">
        <f aca="false">AL694+AM694+AN694+AP694</f>
        <v>7968.22189380822</v>
      </c>
      <c r="AR694" s="2" t="n">
        <f aca="false">O694*AQ694-Hypothèses!$J$25/Hypothèses!$J$19</f>
        <v>1385.11216726309</v>
      </c>
      <c r="AS694" s="2" t="n">
        <f aca="false">Entrées!$C$79*(1+Q694)+Hypothèses!$J$20</f>
        <v>1489.30749957182</v>
      </c>
      <c r="AT694" s="2" t="n">
        <f aca="false">AI694-AR694+AS694+Y694*1000-AO694+Hypothèses!$J$23</f>
        <v>21973.5469013845</v>
      </c>
      <c r="AU694" s="2" t="n">
        <f aca="false">AT694/AQ694</f>
        <v>2.75764746441854</v>
      </c>
      <c r="AV694" s="2" t="n">
        <f aca="false">Hypothèses!$J$26*AQ694-AT694</f>
        <v>1931.11878004015</v>
      </c>
      <c r="AW694" s="2" t="n">
        <f aca="false">IF(AC694&gt;Hypothèses!$J$26,MAX(0,AV694)/(1-Hypothèses!$J$26/AC694),0)</f>
        <v>2692.02734370806</v>
      </c>
      <c r="AX694" s="2" t="n">
        <f aca="false">AQ694-Entrées!$C$17*1000</f>
        <v>-31.7781061917804</v>
      </c>
      <c r="AY694" s="2" t="n">
        <f aca="false">AI694+(Entrées!$C$244-Entrées!$C$13)</f>
        <v>28346.7377966076</v>
      </c>
      <c r="AZ694" s="2" t="n">
        <f aca="false">AA694*AH694</f>
        <v>5534.5746535696</v>
      </c>
      <c r="BA694" s="2" t="n">
        <f aca="false">AZ694/AY694</f>
        <v>0.195245558528853</v>
      </c>
      <c r="BB694" s="2" t="n">
        <f aca="false">AZ694/(Entrées!$C$151/100)-AY694</f>
        <v>2400.89916766799</v>
      </c>
      <c r="BC694" s="2" t="n">
        <f aca="false">AT694+(Entrées!$C$244-Entrées!$C$13)</f>
        <v>27720.5469013845</v>
      </c>
      <c r="BD694" s="2" t="n">
        <f aca="false">AA694*AQ694</f>
        <v>5867.33719296022</v>
      </c>
      <c r="BE694" s="2" t="n">
        <f aca="false">BD694/BC694</f>
        <v>0.211660224952747</v>
      </c>
      <c r="BF694" s="2" t="n">
        <f aca="false">BD694/(Entrées!$C$151/100)-BC694</f>
        <v>4875.77083728338</v>
      </c>
      <c r="BG694" s="2" t="n">
        <f aca="false">MIN(AV694,BF694)</f>
        <v>1931.11878004015</v>
      </c>
      <c r="BH694" s="2" t="n">
        <f aca="false">IF(AC694&gt;Hypothèses!$J$26,MAX(0,BG694)/(1-Hypothèses!$J$26/AC694),0)</f>
        <v>2692.02734370806</v>
      </c>
    </row>
    <row r="695" customFormat="false" ht="15" hidden="false" customHeight="false" outlineLevel="0" collapsed="false">
      <c r="A695" s="2" t="n">
        <v>680</v>
      </c>
      <c r="B695" s="2" t="n">
        <v>0.156953867</v>
      </c>
      <c r="C695" s="2"/>
      <c r="D695" s="2" t="n">
        <v>0.927742042</v>
      </c>
      <c r="E695" s="2" t="n">
        <f aca="false">IF(E$7=E$5,E$6,IF(NORMSDIST(E$9*SQRT($C$11)*NORMSINV($B695)+SQRT(1-E$9^2*$C$11)*NORMSINV(D695))&lt;E$8,E$5+SQRT(NORMSDIST(E$9*SQRT($C$11)*NORMSINV($B695)+SQRT(1-E$9^2*$C$11)*NORMSINV(D695))*(E$7-E$5)*(E$6-E$5)),E$7-SQRT((1-NORMSDIST(E$9*SQRT($C$11)*NORMSINV($B695)+SQRT(1-E$9^2*$C$11)*NORMSINV(D695)))*(E$7-E$5)*(E$7-E$6))))</f>
        <v>0.0560574101829059</v>
      </c>
      <c r="F695" s="2" t="n">
        <v>0.042945038</v>
      </c>
      <c r="G695" s="2" t="n">
        <f aca="false">IF(G$7=G$5,G$6,IF(NORMSDIST(G$9*SQRT($C$11)*NORMSINV($B695)+SQRT(1-G$9^2*$C$11)*NORMSINV(F695))&lt;G$8,G$5+SQRT(NORMSDIST(G$9*SQRT($C$11)*NORMSINV($B695)+SQRT(1-G$9^2*$C$11)*NORMSINV(F695))*(G$7-G$5)*(G$6-G$5)),G$7-SQRT((1-NORMSDIST(G$9*SQRT($C$11)*NORMSINV($B695)+SQRT(1-G$9^2*$C$11)*NORMSINV(F695)))*(G$7-G$5)*(G$7-G$6))))</f>
        <v>0.0433255068867325</v>
      </c>
      <c r="H695" s="2" t="n">
        <v>0.959460597</v>
      </c>
      <c r="I695" s="2" t="n">
        <f aca="false">IF(I$7=I$5,I$6,IF(NORMSDIST(I$9*SQRT($C$11)*NORMSINV($B695)+SQRT(1-I$9^2*$C$11)*NORMSINV(H695))&lt;I$8,I$5+SQRT(NORMSDIST(I$9*SQRT($C$11)*NORMSINV($B695)+SQRT(1-I$9^2*$C$11)*NORMSINV(H695))*(I$7-I$5)*(I$6-I$5)),I$7-SQRT((1-NORMSDIST(I$9*SQRT($C$11)*NORMSINV($B695)+SQRT(1-I$9^2*$C$11)*NORMSINV(H695)))*(I$7-I$5)*(I$7-I$6))))</f>
        <v>206.215660813663</v>
      </c>
      <c r="J695" s="2" t="n">
        <v>0.79353131</v>
      </c>
      <c r="K695" s="2" t="n">
        <f aca="false">IF(K$7=K$5,K$6,IF(NORMSDIST(K$9*SQRT($C$11)*NORMSINV($B695)+SQRT(1-K$9^2*$C$11)*NORMSINV(J695))&lt;K$8,K$5+SQRT(NORMSDIST(K$9*SQRT($C$11)*NORMSINV($B695)+SQRT(1-K$9^2*$C$11)*NORMSINV(J695))*(K$7-K$5)*(K$6-K$5)),K$7-SQRT((1-NORMSDIST(K$9*SQRT($C$11)*NORMSINV($B695)+SQRT(1-K$9^2*$C$11)*NORMSINV(J695)))*(K$7-K$5)*(K$7-K$6))))</f>
        <v>0.249727716048666</v>
      </c>
      <c r="L695" s="2" t="n">
        <v>0.153890985</v>
      </c>
      <c r="M695" s="2" t="n">
        <f aca="false">IF(M$7=M$5,M$6,IF(NORMSDIST(M$9*SQRT($C$11)*NORMSINV($B695)+SQRT(1-M$9^2*$C$11)*NORMSINV(L695))&lt;M$8,M$5+SQRT(NORMSDIST(M$9*SQRT($C$11)*NORMSINV($B695)+SQRT(1-M$9^2*$C$11)*NORMSINV(L695))*(M$7-M$5)*(M$6-M$5)),M$7-SQRT((1-NORMSDIST(M$9*SQRT($C$11)*NORMSINV($B695)+SQRT(1-M$9^2*$C$11)*NORMSINV(L695)))*(M$7-M$5)*(M$7-M$6))))</f>
        <v>1413.78130021517</v>
      </c>
      <c r="N695" s="2" t="n">
        <v>0.381745414</v>
      </c>
      <c r="O695" s="2" t="n">
        <f aca="false">IF(O$7=O$5,O$6,IF(NORMSDIST(O$9*SQRT($C$11)*NORMSINV($B695)+SQRT(1-O$9^2*$C$11)*NORMSINV(N695))&lt;O$8,O$5+SQRT(NORMSDIST(O$9*SQRT($C$11)*NORMSINV($B695)+SQRT(1-O$9^2*$C$11)*NORMSINV(N695))*(O$7-O$5)*(O$6-O$5)),O$7-SQRT((1-NORMSDIST(O$9*SQRT($C$11)*NORMSINV($B695)+SQRT(1-O$9^2*$C$11)*NORMSINV(N695)))*(O$7-O$5)*(O$7-O$6))))</f>
        <v>0.156604301237512</v>
      </c>
      <c r="P695" s="2" t="n">
        <v>0.371127973</v>
      </c>
      <c r="Q695" s="2" t="n">
        <f aca="false">IF(Q$7=Q$5,Q$6,IF(NORMSDIST(Q$9*SQRT($C$11)*NORMSINV($B695)+SQRT(1-Q$9^2*$C$11)*NORMSINV(P695))&lt;Q$8,Q$5+SQRT(NORMSDIST(Q$9*SQRT($C$11)*NORMSINV($B695)+SQRT(1-Q$9^2*$C$11)*NORMSINV(P695))*(Q$7-Q$5)*(Q$6-Q$5)),Q$7-SQRT((1-NORMSDIST(Q$9*SQRT($C$11)*NORMSINV($B695)+SQRT(1-Q$9^2*$C$11)*NORMSINV(P695)))*(Q$7-Q$5)*(Q$7-Q$6))))</f>
        <v>0.0744617108339096</v>
      </c>
      <c r="R695" s="2" t="n">
        <v>0.90243087</v>
      </c>
      <c r="S695" s="2" t="n">
        <f aca="false">IF(S$7=S$5,S$6,IF(NORMSDIST(S$9*SQRT($C$11)*NORMSINV($B695)+SQRT(1-S$9^2*$C$11)*NORMSINV(R695))&lt;S$8,S$5+SQRT(NORMSDIST(S$9*SQRT($C$11)*NORMSINV($B695)+SQRT(1-S$9^2*$C$11)*NORMSINV(R695))*(S$7-S$5)*(S$6-S$5)),S$7-SQRT((1-NORMSDIST(S$9*SQRT($C$11)*NORMSINV($B695)+SQRT(1-S$9^2*$C$11)*NORMSINV(R695)))*(S$7-S$5)*(S$7-S$6))))</f>
        <v>0.577530313172887</v>
      </c>
      <c r="T695" s="2" t="n">
        <v>0.646380382</v>
      </c>
      <c r="U695" s="2" t="n">
        <f aca="false">IF(U$7=U$5,U$6,IF(NORMSDIST(U$9*SQRT($C$11)*NORMSINV($B695)+SQRT(1-U$9^2*$C$11)*NORMSINV(T695))&lt;U$8,U$5+SQRT(NORMSDIST(U$9*SQRT($C$11)*NORMSINV($B695)+SQRT(1-U$9^2*$C$11)*NORMSINV(T695))*(U$7-U$5)*(U$6-U$5)),U$7-SQRT((1-NORMSDIST(U$9*SQRT($C$11)*NORMSINV($B695)+SQRT(1-U$9^2*$C$11)*NORMSINV(T695)))*(U$7-U$5)*(U$7-U$6))))</f>
        <v>0.427006547227534</v>
      </c>
      <c r="V695" s="2" t="n">
        <v>0.824978782</v>
      </c>
      <c r="W695" s="2" t="n">
        <f aca="false">IF(W$7=W$5,W$6,IF(NORMSDIST(W$9*SQRT($C$11)*NORMSINV($B695)+SQRT(1-W$9^2*$C$11)*NORMSINV(V695))&lt;W$8,W$5+SQRT(NORMSDIST(W$9*SQRT($C$11)*NORMSINV($B695)+SQRT(1-W$9^2*$C$11)*NORMSINV(V695))*(W$7-W$5)*(W$6-W$5)),W$7-SQRT((1-NORMSDIST(W$9*SQRT($C$11)*NORMSINV($B695)+SQRT(1-W$9^2*$C$11)*NORMSINV(V695)))*(W$7-W$5)*(W$7-W$6))))</f>
        <v>10.0705305448034</v>
      </c>
      <c r="X695" s="2" t="n">
        <v>0.326264206</v>
      </c>
      <c r="Y695" s="2" t="n">
        <f aca="false">IF(Y$7=Y$5,Y$6,IF(NORMSDIST(Y$9*SQRT($C$11)*NORMSINV($B695)+SQRT(1-Y$9^2*$C$11)*NORMSINV(X695))&lt;Y$8,Y$5+SQRT(NORMSDIST(Y$9*SQRT($C$11)*NORMSINV($B695)+SQRT(1-Y$9^2*$C$11)*NORMSINV(X695))*(Y$7-Y$5)*(Y$6-Y$5)),Y$7-SQRT((1-NORMSDIST(Y$9*SQRT($C$11)*NORMSINV($B695)+SQRT(1-Y$9^2*$C$11)*NORMSINV(X695)))*(Y$7-Y$5)*(Y$7-Y$6))))</f>
        <v>0.403896153732615</v>
      </c>
      <c r="Z695" s="2" t="n">
        <v>0.936493807</v>
      </c>
      <c r="AA695" s="2" t="n">
        <f aca="false">IF(AA$7=AA$5,AA$6,IF(NORMSDIST(AA$9*SQRT($C$11)*NORMSINV($B695)+SQRT(1-AA$9^2*$C$11)*NORMSINV(Z695))&lt;AA$8,AA$5+SQRT(NORMSDIST(AA$9*SQRT($C$11)*NORMSINV($B695)+SQRT(1-AA$9^2*$C$11)*NORMSINV(Z695))*(AA$7-AA$5)*(AA$6-AA$5)),AA$7-SQRT((1-NORMSDIST(AA$9*SQRT($C$11)*NORMSINV($B695)+SQRT(1-AA$9^2*$C$11)*NORMSINV(Z695)))*(AA$7-AA$5)*(AA$7-AA$6))))</f>
        <v>0.734468797758454</v>
      </c>
      <c r="AB695" s="2" t="n">
        <v>0.258259891</v>
      </c>
      <c r="AC695" s="2" t="n">
        <f aca="false">IF(AC$7=AC$5,AC$6,IF(NORMSDIST(AC$9*SQRT($C$11)*NORMSINV($B695)+SQRT(1-AC$9^2*$C$11)*NORMSINV(AB695))&lt;AC$8,AC$5+SQRT(NORMSDIST(AC$9*SQRT($C$11)*NORMSINV($B695)+SQRT(1-AC$9^2*$C$11)*NORMSINV(AB695))*(AC$7-AC$5)*(AC$6-AC$5)),AC$7-SQRT((1-NORMSDIST(AC$9*SQRT($C$11)*NORMSINV($B695)+SQRT(1-AC$9^2*$C$11)*NORMSINV(AB695)))*(AC$7-AC$5)*(AC$7-AC$6))))</f>
        <v>8.448604564727</v>
      </c>
      <c r="AD695" s="2" t="n">
        <f aca="false">Entrées!$C$8*(1+E695)</f>
        <v>7445.20474178949</v>
      </c>
      <c r="AE695" s="2" t="n">
        <f aca="false">I695*Hypothèses!$J$24/12/Hypothèses!$J$19</f>
        <v>102.30292931076</v>
      </c>
      <c r="AF695" s="2" t="n">
        <f aca="false">Entrées!$C$36*S695*1000</f>
        <v>288.765156586444</v>
      </c>
      <c r="AG695" s="2" t="n">
        <f aca="false">-AF695/W695</f>
        <v>-28.6742744388431</v>
      </c>
      <c r="AH695" s="2" t="n">
        <f aca="false">AD695+AE695+AG695</f>
        <v>7518.8333966614</v>
      </c>
      <c r="AI695" s="2" t="n">
        <f aca="false">Entrées!$C$16-M695+Hypothèses!$J$22*1000-AF695+Hypothèses!$J$23</f>
        <v>22845.4535431984</v>
      </c>
      <c r="AJ695" s="2" t="n">
        <f aca="false">AI695/AH695</f>
        <v>3.03843060990585</v>
      </c>
      <c r="AK695" s="2" t="n">
        <f aca="false">AI695/(AH695+I695*(12-Hypothèses!$J$24)/12/Hypothèses!$J$19)</f>
        <v>3.00918514823249</v>
      </c>
      <c r="AL695" s="2" t="n">
        <f aca="false">(AD695+AG695+I695/Hypothèses!$J$19)*(1+G695)</f>
        <v>7920.83013303947</v>
      </c>
      <c r="AM695" s="2" t="n">
        <f aca="false">Entrées!$C$54*K695/Hypothèses!$J$19</f>
        <v>25.4857619616879</v>
      </c>
      <c r="AN695" s="2" t="n">
        <f aca="false">Y695*1000/AC695</f>
        <v>47.8062561264715</v>
      </c>
      <c r="AO695" s="2" t="n">
        <f aca="false">(Entrées!$C$36*(1-S695)+MAX(0,Entrées!$C$30-Entrées!$C$35-Entrées!$C$36)*U695)*1000</f>
        <v>809.044009532104</v>
      </c>
      <c r="AP695" s="2" t="n">
        <f aca="false">-AO695/W695</f>
        <v>-80.337774254564</v>
      </c>
      <c r="AQ695" s="2" t="n">
        <f aca="false">AL695+AM695+AN695+AP695</f>
        <v>7913.78437687306</v>
      </c>
      <c r="AR695" s="2" t="n">
        <f aca="false">O695*AQ695-Hypothèses!$J$25/Hypothèses!$J$19</f>
        <v>1220.19751022292</v>
      </c>
      <c r="AS695" s="2" t="n">
        <f aca="false">Entrées!$C$79*(1+Q695)+Hypothèses!$J$20</f>
        <v>1475.83342020647</v>
      </c>
      <c r="AT695" s="2" t="n">
        <f aca="false">AI695-AR695+AS695+Y695*1000-AO695+Hypothèses!$J$23</f>
        <v>22695.9415973824</v>
      </c>
      <c r="AU695" s="2" t="n">
        <f aca="false">AT695/AQ695</f>
        <v>2.86789992202823</v>
      </c>
      <c r="AV695" s="2" t="n">
        <f aca="false">Hypothèses!$J$26*AQ695-AT695</f>
        <v>1045.41153323675</v>
      </c>
      <c r="AW695" s="2" t="n">
        <f aca="false">IF(AC695&gt;Hypothèses!$J$26,MAX(0,AV695)/(1-Hypothèses!$J$26/AC695),0)</f>
        <v>1621.01480237716</v>
      </c>
      <c r="AX695" s="2" t="n">
        <f aca="false">AQ695-Entrées!$C$17*1000</f>
        <v>-86.2156231269364</v>
      </c>
      <c r="AY695" s="2" t="n">
        <f aca="false">AI695+(Entrées!$C$244-Entrées!$C$13)</f>
        <v>28592.4535431984</v>
      </c>
      <c r="AZ695" s="2" t="n">
        <f aca="false">AA695*AH695</f>
        <v>5522.34852539201</v>
      </c>
      <c r="BA695" s="2" t="n">
        <f aca="false">AZ695/AY695</f>
        <v>0.193140071629344</v>
      </c>
      <c r="BB695" s="2" t="n">
        <f aca="false">AZ695/(Entrées!$C$151/100)-AY695</f>
        <v>2087.26048675724</v>
      </c>
      <c r="BC695" s="2" t="n">
        <f aca="false">AT695+(Entrées!$C$244-Entrées!$C$13)</f>
        <v>28442.9415973824</v>
      </c>
      <c r="BD695" s="2" t="n">
        <f aca="false">AA695*AQ695</f>
        <v>5812.42769700159</v>
      </c>
      <c r="BE695" s="2" t="n">
        <f aca="false">BD695/BC695</f>
        <v>0.204353958155176</v>
      </c>
      <c r="BF695" s="2" t="n">
        <f aca="false">BD695/(Entrées!$C$151/100)-BC695</f>
        <v>3848.32338595974</v>
      </c>
      <c r="BG695" s="2" t="n">
        <f aca="false">MIN(AV695,BF695)</f>
        <v>1045.41153323675</v>
      </c>
      <c r="BH695" s="2" t="n">
        <f aca="false">IF(AC695&gt;Hypothèses!$J$26,MAX(0,BG695)/(1-Hypothèses!$J$26/AC695),0)</f>
        <v>1621.01480237716</v>
      </c>
    </row>
    <row r="696" customFormat="false" ht="15" hidden="false" customHeight="false" outlineLevel="0" collapsed="false">
      <c r="A696" s="2" t="n">
        <v>681</v>
      </c>
      <c r="B696" s="2" t="n">
        <v>0.900667272</v>
      </c>
      <c r="C696" s="2"/>
      <c r="D696" s="2" t="n">
        <v>0.68191522</v>
      </c>
      <c r="E696" s="2" t="n">
        <f aca="false">IF(E$7=E$5,E$6,IF(NORMSDIST(E$9*SQRT($C$11)*NORMSINV($B696)+SQRT(1-E$9^2*$C$11)*NORMSINV(D696))&lt;E$8,E$5+SQRT(NORMSDIST(E$9*SQRT($C$11)*NORMSINV($B696)+SQRT(1-E$9^2*$C$11)*NORMSINV(D696))*(E$7-E$5)*(E$6-E$5)),E$7-SQRT((1-NORMSDIST(E$9*SQRT($C$11)*NORMSINV($B696)+SQRT(1-E$9^2*$C$11)*NORMSINV(D696)))*(E$7-E$5)*(E$7-E$6))))</f>
        <v>0.0575594454868648</v>
      </c>
      <c r="F696" s="2" t="n">
        <v>0.931085289</v>
      </c>
      <c r="G696" s="2" t="n">
        <f aca="false">IF(G$7=G$5,G$6,IF(NORMSDIST(G$9*SQRT($C$11)*NORMSINV($B696)+SQRT(1-G$9^2*$C$11)*NORMSINV(F696))&lt;G$8,G$5+SQRT(NORMSDIST(G$9*SQRT($C$11)*NORMSINV($B696)+SQRT(1-G$9^2*$C$11)*NORMSINV(F696))*(G$7-G$5)*(G$6-G$5)),G$7-SQRT((1-NORMSDIST(G$9*SQRT($C$11)*NORMSINV($B696)+SQRT(1-G$9^2*$C$11)*NORMSINV(F696)))*(G$7-G$5)*(G$7-G$6))))</f>
        <v>0.0666553477722851</v>
      </c>
      <c r="H696" s="2" t="n">
        <v>0.087373737</v>
      </c>
      <c r="I696" s="2" t="n">
        <f aca="false">IF(I$7=I$5,I$6,IF(NORMSDIST(I$9*SQRT($C$11)*NORMSINV($B696)+SQRT(1-I$9^2*$C$11)*NORMSINV(H696))&lt;I$8,I$5+SQRT(NORMSDIST(I$9*SQRT($C$11)*NORMSINV($B696)+SQRT(1-I$9^2*$C$11)*NORMSINV(H696))*(I$7-I$5)*(I$6-I$5)),I$7-SQRT((1-NORMSDIST(I$9*SQRT($C$11)*NORMSINV($B696)+SQRT(1-I$9^2*$C$11)*NORMSINV(H696)))*(I$7-I$5)*(I$7-I$6))))</f>
        <v>198.018521915599</v>
      </c>
      <c r="J696" s="2" t="n">
        <v>0.525673057</v>
      </c>
      <c r="K696" s="2" t="n">
        <f aca="false">IF(K$7=K$5,K$6,IF(NORMSDIST(K$9*SQRT($C$11)*NORMSINV($B696)+SQRT(1-K$9^2*$C$11)*NORMSINV(J696))&lt;K$8,K$5+SQRT(NORMSDIST(K$9*SQRT($C$11)*NORMSINV($B696)+SQRT(1-K$9^2*$C$11)*NORMSINV(J696))*(K$7-K$5)*(K$6-K$5)),K$7-SQRT((1-NORMSDIST(K$9*SQRT($C$11)*NORMSINV($B696)+SQRT(1-K$9^2*$C$11)*NORMSINV(J696)))*(K$7-K$5)*(K$7-K$6))))</f>
        <v>0.344228100469863</v>
      </c>
      <c r="L696" s="2" t="n">
        <v>0.800941005</v>
      </c>
      <c r="M696" s="2" t="n">
        <f aca="false">IF(M$7=M$5,M$6,IF(NORMSDIST(M$9*SQRT($C$11)*NORMSINV($B696)+SQRT(1-M$9^2*$C$11)*NORMSINV(L696))&lt;M$8,M$5+SQRT(NORMSDIST(M$9*SQRT($C$11)*NORMSINV($B696)+SQRT(1-M$9^2*$C$11)*NORMSINV(L696))*(M$7-M$5)*(M$6-M$5)),M$7-SQRT((1-NORMSDIST(M$9*SQRT($C$11)*NORMSINV($B696)+SQRT(1-M$9^2*$C$11)*NORMSINV(L696)))*(M$7-M$5)*(M$7-M$6))))</f>
        <v>1716.65205483716</v>
      </c>
      <c r="N696" s="2" t="n">
        <v>0.143047746</v>
      </c>
      <c r="O696" s="2" t="n">
        <f aca="false">IF(O$7=O$5,O$6,IF(NORMSDIST(O$9*SQRT($C$11)*NORMSINV($B696)+SQRT(1-O$9^2*$C$11)*NORMSINV(N696))&lt;O$8,O$5+SQRT(NORMSDIST(O$9*SQRT($C$11)*NORMSINV($B696)+SQRT(1-O$9^2*$C$11)*NORMSINV(N696))*(O$7-O$5)*(O$6-O$5)),O$7-SQRT((1-NORMSDIST(O$9*SQRT($C$11)*NORMSINV($B696)+SQRT(1-O$9^2*$C$11)*NORMSINV(N696)))*(O$7-O$5)*(O$7-O$6))))</f>
        <v>0.166641490936001</v>
      </c>
      <c r="P696" s="2" t="n">
        <v>0.665500546</v>
      </c>
      <c r="Q696" s="2" t="n">
        <f aca="false">IF(Q$7=Q$5,Q$6,IF(NORMSDIST(Q$9*SQRT($C$11)*NORMSINV($B696)+SQRT(1-Q$9^2*$C$11)*NORMSINV(P696))&lt;Q$8,Q$5+SQRT(NORMSDIST(Q$9*SQRT($C$11)*NORMSINV($B696)+SQRT(1-Q$9^2*$C$11)*NORMSINV(P696))*(Q$7-Q$5)*(Q$6-Q$5)),Q$7-SQRT((1-NORMSDIST(Q$9*SQRT($C$11)*NORMSINV($B696)+SQRT(1-Q$9^2*$C$11)*NORMSINV(P696)))*(Q$7-Q$5)*(Q$7-Q$6))))</f>
        <v>0.087283058627066</v>
      </c>
      <c r="R696" s="2" t="n">
        <v>0.817116215</v>
      </c>
      <c r="S696" s="2" t="n">
        <f aca="false">IF(S$7=S$5,S$6,IF(NORMSDIST(S$9*SQRT($C$11)*NORMSINV($B696)+SQRT(1-S$9^2*$C$11)*NORMSINV(R696))&lt;S$8,S$5+SQRT(NORMSDIST(S$9*SQRT($C$11)*NORMSINV($B696)+SQRT(1-S$9^2*$C$11)*NORMSINV(R696))*(S$7-S$5)*(S$6-S$5)),S$7-SQRT((1-NORMSDIST(S$9*SQRT($C$11)*NORMSINV($B696)+SQRT(1-S$9^2*$C$11)*NORMSINV(R696)))*(S$7-S$5)*(S$7-S$6))))</f>
        <v>0.819617155477755</v>
      </c>
      <c r="T696" s="2" t="n">
        <v>0.358664718</v>
      </c>
      <c r="U696" s="2" t="n">
        <f aca="false">IF(U$7=U$5,U$6,IF(NORMSDIST(U$9*SQRT($C$11)*NORMSINV($B696)+SQRT(1-U$9^2*$C$11)*NORMSINV(T696))&lt;U$8,U$5+SQRT(NORMSDIST(U$9*SQRT($C$11)*NORMSINV($B696)+SQRT(1-U$9^2*$C$11)*NORMSINV(T696))*(U$7-U$5)*(U$6-U$5)),U$7-SQRT((1-NORMSDIST(U$9*SQRT($C$11)*NORMSINV($B696)+SQRT(1-U$9^2*$C$11)*NORMSINV(T696)))*(U$7-U$5)*(U$7-U$6))))</f>
        <v>0.614521556812616</v>
      </c>
      <c r="V696" s="2" t="n">
        <v>0.21812595</v>
      </c>
      <c r="W696" s="2" t="n">
        <f aca="false">IF(W$7=W$5,W$6,IF(NORMSDIST(W$9*SQRT($C$11)*NORMSINV($B696)+SQRT(1-W$9^2*$C$11)*NORMSINV(V696))&lt;W$8,W$5+SQRT(NORMSDIST(W$9*SQRT($C$11)*NORMSINV($B696)+SQRT(1-W$9^2*$C$11)*NORMSINV(V696))*(W$7-W$5)*(W$6-W$5)),W$7-SQRT((1-NORMSDIST(W$9*SQRT($C$11)*NORMSINV($B696)+SQRT(1-W$9^2*$C$11)*NORMSINV(V696)))*(W$7-W$5)*(W$7-W$6))))</f>
        <v>10.173791058349</v>
      </c>
      <c r="X696" s="2" t="n">
        <v>0.161289103</v>
      </c>
      <c r="Y696" s="2" t="n">
        <f aca="false">IF(Y$7=Y$5,Y$6,IF(NORMSDIST(Y$9*SQRT($C$11)*NORMSINV($B696)+SQRT(1-Y$9^2*$C$11)*NORMSINV(X696))&lt;Y$8,Y$5+SQRT(NORMSDIST(Y$9*SQRT($C$11)*NORMSINV($B696)+SQRT(1-Y$9^2*$C$11)*NORMSINV(X696))*(Y$7-Y$5)*(Y$6-Y$5)),Y$7-SQRT((1-NORMSDIST(Y$9*SQRT($C$11)*NORMSINV($B696)+SQRT(1-Y$9^2*$C$11)*NORMSINV(X696)))*(Y$7-Y$5)*(Y$7-Y$6))))</f>
        <v>0.283979843474849</v>
      </c>
      <c r="Z696" s="2" t="n">
        <v>0.49718816</v>
      </c>
      <c r="AA696" s="2" t="n">
        <f aca="false">IF(AA$7=AA$5,AA$6,IF(NORMSDIST(AA$9*SQRT($C$11)*NORMSINV($B696)+SQRT(1-AA$9^2*$C$11)*NORMSINV(Z696))&lt;AA$8,AA$5+SQRT(NORMSDIST(AA$9*SQRT($C$11)*NORMSINV($B696)+SQRT(1-AA$9^2*$C$11)*NORMSINV(Z696))*(AA$7-AA$5)*(AA$6-AA$5)),AA$7-SQRT((1-NORMSDIST(AA$9*SQRT($C$11)*NORMSINV($B696)+SQRT(1-AA$9^2*$C$11)*NORMSINV(Z696)))*(AA$7-AA$5)*(AA$7-AA$6))))</f>
        <v>0.737452776445284</v>
      </c>
      <c r="AB696" s="2" t="n">
        <v>0.890023613</v>
      </c>
      <c r="AC696" s="2" t="n">
        <f aca="false">IF(AC$7=AC$5,AC$6,IF(NORMSDIST(AC$9*SQRT($C$11)*NORMSINV($B696)+SQRT(1-AC$9^2*$C$11)*NORMSINV(AB696))&lt;AC$8,AC$5+SQRT(NORMSDIST(AC$9*SQRT($C$11)*NORMSINV($B696)+SQRT(1-AC$9^2*$C$11)*NORMSINV(AB696))*(AC$7-AC$5)*(AC$6-AC$5)),AC$7-SQRT((1-NORMSDIST(AC$9*SQRT($C$11)*NORMSINV($B696)+SQRT(1-AC$9^2*$C$11)*NORMSINV(AB696)))*(AC$7-AC$5)*(AC$7-AC$6))))</f>
        <v>10.5898417563988</v>
      </c>
      <c r="AD696" s="2" t="n">
        <f aca="false">Entrées!$C$8*(1+E696)</f>
        <v>7455.7940906824</v>
      </c>
      <c r="AE696" s="2" t="n">
        <f aca="false">I696*Hypothèses!$J$24/12/Hypothèses!$J$19</f>
        <v>98.2363549393938</v>
      </c>
      <c r="AF696" s="2" t="n">
        <f aca="false">Entrées!$C$36*S696*1000</f>
        <v>409.808577738878</v>
      </c>
      <c r="AG696" s="2" t="n">
        <f aca="false">-AF696/W696</f>
        <v>-40.2808132571756</v>
      </c>
      <c r="AH696" s="2" t="n">
        <f aca="false">AD696+AE696+AG696</f>
        <v>7513.74963236462</v>
      </c>
      <c r="AI696" s="2" t="n">
        <f aca="false">Entrées!$C$16-M696+Hypothèses!$J$22*1000-AF696+Hypothèses!$J$23</f>
        <v>22421.539367424</v>
      </c>
      <c r="AJ696" s="2" t="n">
        <f aca="false">AI696/AH696</f>
        <v>2.98406793737786</v>
      </c>
      <c r="AK696" s="2" t="n">
        <f aca="false">AI696/(AH696+I696*(12-Hypothèses!$J$24)/12/Hypothèses!$J$19)</f>
        <v>2.9564583920043</v>
      </c>
      <c r="AL696" s="2" t="n">
        <f aca="false">(AD696+AG696+I696/Hypothèses!$J$19)*(1+G696)</f>
        <v>8089.42717957073</v>
      </c>
      <c r="AM696" s="2" t="n">
        <f aca="false">Entrées!$C$54*K696/Hypothèses!$J$19</f>
        <v>35.1299229733446</v>
      </c>
      <c r="AN696" s="2" t="n">
        <f aca="false">Y696*1000/AC696</f>
        <v>26.8162499504071</v>
      </c>
      <c r="AO696" s="2" t="n">
        <f aca="false">(Entrées!$C$36*(1-S696)+MAX(0,Entrées!$C$30-Entrées!$C$35-Entrées!$C$36)*U696)*1000</f>
        <v>950.521601798785</v>
      </c>
      <c r="AP696" s="2" t="n">
        <f aca="false">-AO696/W696</f>
        <v>-93.4284571353324</v>
      </c>
      <c r="AQ696" s="2" t="n">
        <f aca="false">AL696+AM696+AN696+AP696</f>
        <v>8057.94489535915</v>
      </c>
      <c r="AR696" s="2" t="n">
        <f aca="false">O696*AQ696-Hypothèses!$J$25/Hypothèses!$J$19</f>
        <v>1323.65278898116</v>
      </c>
      <c r="AS696" s="2" t="n">
        <f aca="false">Entrées!$C$79*(1+Q696)+Hypothèses!$J$20</f>
        <v>1489.92408143115</v>
      </c>
      <c r="AT696" s="2" t="n">
        <f aca="false">AI696-AR696+AS696+Y696*1000-AO696+Hypothèses!$J$23</f>
        <v>21921.26890155</v>
      </c>
      <c r="AU696" s="2" t="n">
        <f aca="false">AT696/AQ696</f>
        <v>2.7204540594681</v>
      </c>
      <c r="AV696" s="2" t="n">
        <f aca="false">Hypothèses!$J$26*AQ696-AT696</f>
        <v>2252.56578452744</v>
      </c>
      <c r="AW696" s="2" t="n">
        <f aca="false">IF(AC696&gt;Hypothèses!$J$26,MAX(0,AV696)/(1-Hypothèses!$J$26/AC696),0)</f>
        <v>3142.92655494601</v>
      </c>
      <c r="AX696" s="2" t="n">
        <f aca="false">AQ696-Entrées!$C$17*1000</f>
        <v>57.9448953591491</v>
      </c>
      <c r="AY696" s="2" t="n">
        <f aca="false">AI696+(Entrées!$C$244-Entrées!$C$13)</f>
        <v>28168.539367424</v>
      </c>
      <c r="AZ696" s="2" t="n">
        <f aca="false">AA696*AH696</f>
        <v>5541.03552790202</v>
      </c>
      <c r="BA696" s="2" t="n">
        <f aca="false">AZ696/AY696</f>
        <v>0.196710076288515</v>
      </c>
      <c r="BB696" s="2" t="n">
        <f aca="false">AZ696/(Entrées!$C$151/100)-AY696</f>
        <v>2614.99134314279</v>
      </c>
      <c r="BC696" s="2" t="n">
        <f aca="false">AT696+(Entrées!$C$244-Entrées!$C$13)</f>
        <v>27668.26890155</v>
      </c>
      <c r="BD696" s="2" t="n">
        <f aca="false">AA696*AQ696</f>
        <v>5942.35383552571</v>
      </c>
      <c r="BE696" s="2" t="n">
        <f aca="false">BD696/BC696</f>
        <v>0.214771435707451</v>
      </c>
      <c r="BF696" s="2" t="n">
        <f aca="false">BD696/(Entrées!$C$151/100)-BC696</f>
        <v>5344.80796248169</v>
      </c>
      <c r="BG696" s="2" t="n">
        <f aca="false">MIN(AV696,BF696)</f>
        <v>2252.56578452744</v>
      </c>
      <c r="BH696" s="2" t="n">
        <f aca="false">IF(AC696&gt;Hypothèses!$J$26,MAX(0,BG696)/(1-Hypothèses!$J$26/AC696),0)</f>
        <v>3142.92655494601</v>
      </c>
    </row>
    <row r="697" customFormat="false" ht="15" hidden="false" customHeight="false" outlineLevel="0" collapsed="false">
      <c r="A697" s="2" t="n">
        <v>682</v>
      </c>
      <c r="B697" s="2" t="n">
        <v>0.842702865</v>
      </c>
      <c r="C697" s="2"/>
      <c r="D697" s="2" t="n">
        <v>0.75106078</v>
      </c>
      <c r="E697" s="2" t="n">
        <f aca="false">IF(E$7=E$5,E$6,IF(NORMSDIST(E$9*SQRT($C$11)*NORMSINV($B697)+SQRT(1-E$9^2*$C$11)*NORMSINV(D697))&lt;E$8,E$5+SQRT(NORMSDIST(E$9*SQRT($C$11)*NORMSINV($B697)+SQRT(1-E$9^2*$C$11)*NORMSINV(D697))*(E$7-E$5)*(E$6-E$5)),E$7-SQRT((1-NORMSDIST(E$9*SQRT($C$11)*NORMSINV($B697)+SQRT(1-E$9^2*$C$11)*NORMSINV(D697)))*(E$7-E$5)*(E$7-E$6))))</f>
        <v>0.0575220124568853</v>
      </c>
      <c r="F697" s="2" t="n">
        <v>0.967121447</v>
      </c>
      <c r="G697" s="2" t="n">
        <f aca="false">IF(G$7=G$5,G$6,IF(NORMSDIST(G$9*SQRT($C$11)*NORMSINV($B697)+SQRT(1-G$9^2*$C$11)*NORMSINV(F697))&lt;G$8,G$5+SQRT(NORMSDIST(G$9*SQRT($C$11)*NORMSINV($B697)+SQRT(1-G$9^2*$C$11)*NORMSINV(F697))*(G$7-G$5)*(G$6-G$5)),G$7-SQRT((1-NORMSDIST(G$9*SQRT($C$11)*NORMSINV($B697)+SQRT(1-G$9^2*$C$11)*NORMSINV(F697)))*(G$7-G$5)*(G$7-G$6))))</f>
        <v>0.067027448794825</v>
      </c>
      <c r="H697" s="2" t="n">
        <v>0.310589831</v>
      </c>
      <c r="I697" s="2" t="n">
        <f aca="false">IF(I$7=I$5,I$6,IF(NORMSDIST(I$9*SQRT($C$11)*NORMSINV($B697)+SQRT(1-I$9^2*$C$11)*NORMSINV(H697))&lt;I$8,I$5+SQRT(NORMSDIST(I$9*SQRT($C$11)*NORMSINV($B697)+SQRT(1-I$9^2*$C$11)*NORMSINV(H697))*(I$7-I$5)*(I$6-I$5)),I$7-SQRT((1-NORMSDIST(I$9*SQRT($C$11)*NORMSINV($B697)+SQRT(1-I$9^2*$C$11)*NORMSINV(H697)))*(I$7-I$5)*(I$7-I$6))))</f>
        <v>202.110408566488</v>
      </c>
      <c r="J697" s="2" t="n">
        <v>0.308254064</v>
      </c>
      <c r="K697" s="2" t="n">
        <f aca="false">IF(K$7=K$5,K$6,IF(NORMSDIST(K$9*SQRT($C$11)*NORMSINV($B697)+SQRT(1-K$9^2*$C$11)*NORMSINV(J697))&lt;K$8,K$5+SQRT(NORMSDIST(K$9*SQRT($C$11)*NORMSINV($B697)+SQRT(1-K$9^2*$C$11)*NORMSINV(J697))*(K$7-K$5)*(K$6-K$5)),K$7-SQRT((1-NORMSDIST(K$9*SQRT($C$11)*NORMSINV($B697)+SQRT(1-K$9^2*$C$11)*NORMSINV(J697)))*(K$7-K$5)*(K$7-K$6))))</f>
        <v>0.275826199187027</v>
      </c>
      <c r="L697" s="2" t="n">
        <v>0.237402642</v>
      </c>
      <c r="M697" s="2" t="n">
        <f aca="false">IF(M$7=M$5,M$6,IF(NORMSDIST(M$9*SQRT($C$11)*NORMSINV($B697)+SQRT(1-M$9^2*$C$11)*NORMSINV(L697))&lt;M$8,M$5+SQRT(NORMSDIST(M$9*SQRT($C$11)*NORMSINV($B697)+SQRT(1-M$9^2*$C$11)*NORMSINV(L697))*(M$7-M$5)*(M$6-M$5)),M$7-SQRT((1-NORMSDIST(M$9*SQRT($C$11)*NORMSINV($B697)+SQRT(1-M$9^2*$C$11)*NORMSINV(L697)))*(M$7-M$5)*(M$7-M$6))))</f>
        <v>1594.47107847184</v>
      </c>
      <c r="N697" s="2" t="n">
        <v>0.351983269</v>
      </c>
      <c r="O697" s="2" t="n">
        <f aca="false">IF(O$7=O$5,O$6,IF(NORMSDIST(O$9*SQRT($C$11)*NORMSINV($B697)+SQRT(1-O$9^2*$C$11)*NORMSINV(N697))&lt;O$8,O$5+SQRT(NORMSDIST(O$9*SQRT($C$11)*NORMSINV($B697)+SQRT(1-O$9^2*$C$11)*NORMSINV(N697))*(O$7-O$5)*(O$6-O$5)),O$7-SQRT((1-NORMSDIST(O$9*SQRT($C$11)*NORMSINV($B697)+SQRT(1-O$9^2*$C$11)*NORMSINV(N697)))*(O$7-O$5)*(O$7-O$6))))</f>
        <v>0.170247344433335</v>
      </c>
      <c r="P697" s="2" t="n">
        <v>0.144597435</v>
      </c>
      <c r="Q697" s="2" t="n">
        <f aca="false">IF(Q$7=Q$5,Q$6,IF(NORMSDIST(Q$9*SQRT($C$11)*NORMSINV($B697)+SQRT(1-Q$9^2*$C$11)*NORMSINV(P697))&lt;Q$8,Q$5+SQRT(NORMSDIST(Q$9*SQRT($C$11)*NORMSINV($B697)+SQRT(1-Q$9^2*$C$11)*NORMSINV(P697))*(Q$7-Q$5)*(Q$6-Q$5)),Q$7-SQRT((1-NORMSDIST(Q$9*SQRT($C$11)*NORMSINV($B697)+SQRT(1-Q$9^2*$C$11)*NORMSINV(P697)))*(Q$7-Q$5)*(Q$7-Q$6))))</f>
        <v>0.0615107366679991</v>
      </c>
      <c r="R697" s="2" t="n">
        <v>0.898382565</v>
      </c>
      <c r="S697" s="2" t="n">
        <f aca="false">IF(S$7=S$5,S$6,IF(NORMSDIST(S$9*SQRT($C$11)*NORMSINV($B697)+SQRT(1-S$9^2*$C$11)*NORMSINV(R697))&lt;S$8,S$5+SQRT(NORMSDIST(S$9*SQRT($C$11)*NORMSINV($B697)+SQRT(1-S$9^2*$C$11)*NORMSINV(R697))*(S$7-S$5)*(S$6-S$5)),S$7-SQRT((1-NORMSDIST(S$9*SQRT($C$11)*NORMSINV($B697)+SQRT(1-S$9^2*$C$11)*NORMSINV(R697)))*(S$7-S$5)*(S$7-S$6))))</f>
        <v>0.838067753590306</v>
      </c>
      <c r="T697" s="2" t="n">
        <v>0.064649942</v>
      </c>
      <c r="U697" s="2" t="n">
        <f aca="false">IF(U$7=U$5,U$6,IF(NORMSDIST(U$9*SQRT($C$11)*NORMSINV($B697)+SQRT(1-U$9^2*$C$11)*NORMSINV(T697))&lt;U$8,U$5+SQRT(NORMSDIST(U$9*SQRT($C$11)*NORMSINV($B697)+SQRT(1-U$9^2*$C$11)*NORMSINV(T697))*(U$7-U$5)*(U$6-U$5)),U$7-SQRT((1-NORMSDIST(U$9*SQRT($C$11)*NORMSINV($B697)+SQRT(1-U$9^2*$C$11)*NORMSINV(T697)))*(U$7-U$5)*(U$7-U$6))))</f>
        <v>0.384032601580616</v>
      </c>
      <c r="V697" s="2" t="n">
        <v>0.889210478</v>
      </c>
      <c r="W697" s="2" t="n">
        <f aca="false">IF(W$7=W$5,W$6,IF(NORMSDIST(W$9*SQRT($C$11)*NORMSINV($B697)+SQRT(1-W$9^2*$C$11)*NORMSINV(V697))&lt;W$8,W$5+SQRT(NORMSDIST(W$9*SQRT($C$11)*NORMSINV($B697)+SQRT(1-W$9^2*$C$11)*NORMSINV(V697))*(W$7-W$5)*(W$6-W$5)),W$7-SQRT((1-NORMSDIST(W$9*SQRT($C$11)*NORMSINV($B697)+SQRT(1-W$9^2*$C$11)*NORMSINV(V697)))*(W$7-W$5)*(W$7-W$6))))</f>
        <v>11.3263268846595</v>
      </c>
      <c r="X697" s="2" t="n">
        <v>0.214418653</v>
      </c>
      <c r="Y697" s="2" t="n">
        <f aca="false">IF(Y$7=Y$5,Y$6,IF(NORMSDIST(Y$9*SQRT($C$11)*NORMSINV($B697)+SQRT(1-Y$9^2*$C$11)*NORMSINV(X697))&lt;Y$8,Y$5+SQRT(NORMSDIST(Y$9*SQRT($C$11)*NORMSINV($B697)+SQRT(1-Y$9^2*$C$11)*NORMSINV(X697))*(Y$7-Y$5)*(Y$6-Y$5)),Y$7-SQRT((1-NORMSDIST(Y$9*SQRT($C$11)*NORMSINV($B697)+SQRT(1-Y$9^2*$C$11)*NORMSINV(X697)))*(Y$7-Y$5)*(Y$7-Y$6))))</f>
        <v>0.327428353231665</v>
      </c>
      <c r="Z697" s="2" t="n">
        <v>0.562290135</v>
      </c>
      <c r="AA697" s="2" t="n">
        <f aca="false">IF(AA$7=AA$5,AA$6,IF(NORMSDIST(AA$9*SQRT($C$11)*NORMSINV($B697)+SQRT(1-AA$9^2*$C$11)*NORMSINV(Z697))&lt;AA$8,AA$5+SQRT(NORMSDIST(AA$9*SQRT($C$11)*NORMSINV($B697)+SQRT(1-AA$9^2*$C$11)*NORMSINV(Z697))*(AA$7-AA$5)*(AA$6-AA$5)),AA$7-SQRT((1-NORMSDIST(AA$9*SQRT($C$11)*NORMSINV($B697)+SQRT(1-AA$9^2*$C$11)*NORMSINV(Z697)))*(AA$7-AA$5)*(AA$7-AA$6))))</f>
        <v>0.736887298987386</v>
      </c>
      <c r="AB697" s="2" t="n">
        <v>0.533778745</v>
      </c>
      <c r="AC697" s="2" t="n">
        <f aca="false">IF(AC$7=AC$5,AC$6,IF(NORMSDIST(AC$9*SQRT($C$11)*NORMSINV($B697)+SQRT(1-AC$9^2*$C$11)*NORMSINV(AB697))&lt;AC$8,AC$5+SQRT(NORMSDIST(AC$9*SQRT($C$11)*NORMSINV($B697)+SQRT(1-AC$9^2*$C$11)*NORMSINV(AB697))*(AC$7-AC$5)*(AC$6-AC$5)),AC$7-SQRT((1-NORMSDIST(AC$9*SQRT($C$11)*NORMSINV($B697)+SQRT(1-AC$9^2*$C$11)*NORMSINV(AB697)))*(AC$7-AC$5)*(AC$7-AC$6))))</f>
        <v>9.97871716751146</v>
      </c>
      <c r="AD697" s="2" t="n">
        <f aca="false">Entrées!$C$8*(1+E697)</f>
        <v>7455.53018782104</v>
      </c>
      <c r="AE697" s="2" t="n">
        <f aca="false">I697*Hypothèses!$J$24/12/Hypothèses!$J$19</f>
        <v>100.266326810307</v>
      </c>
      <c r="AF697" s="2" t="n">
        <f aca="false">Entrées!$C$36*S697*1000</f>
        <v>419.033876795153</v>
      </c>
      <c r="AG697" s="2" t="n">
        <f aca="false">-AF697/W697</f>
        <v>-36.9964491632938</v>
      </c>
      <c r="AH697" s="2" t="n">
        <f aca="false">AD697+AE697+AG697</f>
        <v>7518.80006546805</v>
      </c>
      <c r="AI697" s="2" t="n">
        <f aca="false">Entrées!$C$16-M697+Hypothèses!$J$22*1000-AF697+Hypothèses!$J$23</f>
        <v>22534.495044733</v>
      </c>
      <c r="AJ697" s="2" t="n">
        <f aca="false">AI697/AH697</f>
        <v>2.99708661601846</v>
      </c>
      <c r="AK697" s="2" t="n">
        <f aca="false">AI697/(AH697+I697*(12-Hypothèses!$J$24)/12/Hypothèses!$J$19)</f>
        <v>2.96880783915759</v>
      </c>
      <c r="AL697" s="2" t="n">
        <f aca="false">(AD697+AG697+I697/Hypothèses!$J$19)*(1+G697)</f>
        <v>8099.18528249505</v>
      </c>
      <c r="AM697" s="2" t="n">
        <f aca="false">Entrées!$C$54*K697/Hypothèses!$J$19</f>
        <v>28.1492217464071</v>
      </c>
      <c r="AN697" s="2" t="n">
        <f aca="false">Y697*1000/AC697</f>
        <v>32.812669979033</v>
      </c>
      <c r="AO697" s="2" t="n">
        <f aca="false">(Entrées!$C$36*(1-S697)+MAX(0,Entrées!$C$30-Entrées!$C$35-Entrées!$C$36)*U697)*1000</f>
        <v>618.611765417709</v>
      </c>
      <c r="AP697" s="2" t="n">
        <f aca="false">-AO697/W697</f>
        <v>-54.6171562693959</v>
      </c>
      <c r="AQ697" s="2" t="n">
        <f aca="false">AL697+AM697+AN697+AP697</f>
        <v>8105.53001795109</v>
      </c>
      <c r="AR697" s="2" t="n">
        <f aca="false">O697*AQ697-Hypothèses!$J$25/Hypothèses!$J$19</f>
        <v>1360.80979851923</v>
      </c>
      <c r="AS697" s="2" t="n">
        <f aca="false">Entrées!$C$79*(1+Q697)+Hypothèses!$J$20</f>
        <v>1461.60029959813</v>
      </c>
      <c r="AT697" s="2" t="n">
        <f aca="false">AI697-AR697+AS697+Y697*1000-AO697+Hypothèses!$J$23</f>
        <v>22344.1021336259</v>
      </c>
      <c r="AU697" s="2" t="n">
        <f aca="false">AT697/AQ697</f>
        <v>2.75664911290699</v>
      </c>
      <c r="AV697" s="2" t="n">
        <f aca="false">Hypothèses!$J$26*AQ697-AT697</f>
        <v>1972.48792022741</v>
      </c>
      <c r="AW697" s="2" t="n">
        <f aca="false">IF(AC697&gt;Hypothèses!$J$26,MAX(0,AV697)/(1-Hypothèses!$J$26/AC697),0)</f>
        <v>2820.41793639574</v>
      </c>
      <c r="AX697" s="2" t="n">
        <f aca="false">AQ697-Entrées!$C$17*1000</f>
        <v>105.530017951091</v>
      </c>
      <c r="AY697" s="2" t="n">
        <f aca="false">AI697+(Entrées!$C$244-Entrées!$C$13)</f>
        <v>28281.495044733</v>
      </c>
      <c r="AZ697" s="2" t="n">
        <f aca="false">AA697*AH697</f>
        <v>5540.50827186894</v>
      </c>
      <c r="BA697" s="2" t="n">
        <f aca="false">AZ697/AY697</f>
        <v>0.195905777368045</v>
      </c>
      <c r="BB697" s="2" t="n">
        <f aca="false">AZ697/(Entrées!$C$151/100)-AY697</f>
        <v>2499.10646564999</v>
      </c>
      <c r="BC697" s="2" t="n">
        <f aca="false">AT697+(Entrées!$C$244-Entrées!$C$13)</f>
        <v>28091.1021336259</v>
      </c>
      <c r="BD697" s="2" t="n">
        <f aca="false">AA697*AQ697</f>
        <v>5972.86212178916</v>
      </c>
      <c r="BE697" s="2" t="n">
        <f aca="false">BD697/BC697</f>
        <v>0.212624698503355</v>
      </c>
      <c r="BF697" s="2" t="n">
        <f aca="false">BD697/(Entrées!$C$151/100)-BC697</f>
        <v>5091.46520964726</v>
      </c>
      <c r="BG697" s="2" t="n">
        <f aca="false">MIN(AV697,BF697)</f>
        <v>1972.48792022741</v>
      </c>
      <c r="BH697" s="2" t="n">
        <f aca="false">IF(AC697&gt;Hypothèses!$J$26,MAX(0,BG697)/(1-Hypothèses!$J$26/AC697),0)</f>
        <v>2820.41793639574</v>
      </c>
    </row>
    <row r="698" customFormat="false" ht="15" hidden="false" customHeight="false" outlineLevel="0" collapsed="false">
      <c r="A698" s="2" t="n">
        <v>683</v>
      </c>
      <c r="B698" s="2" t="n">
        <v>0.534767619</v>
      </c>
      <c r="C698" s="2"/>
      <c r="D698" s="2" t="n">
        <v>0.038721031</v>
      </c>
      <c r="E698" s="2" t="n">
        <f aca="false">IF(E$7=E$5,E$6,IF(NORMSDIST(E$9*SQRT($C$11)*NORMSINV($B698)+SQRT(1-E$9^2*$C$11)*NORMSINV(D698))&lt;E$8,E$5+SQRT(NORMSDIST(E$9*SQRT($C$11)*NORMSINV($B698)+SQRT(1-E$9^2*$C$11)*NORMSINV(D698))*(E$7-E$5)*(E$6-E$5)),E$7-SQRT((1-NORMSDIST(E$9*SQRT($C$11)*NORMSINV($B698)+SQRT(1-E$9^2*$C$11)*NORMSINV(D698)))*(E$7-E$5)*(E$7-E$6))))</f>
        <v>0.052175656561348</v>
      </c>
      <c r="F698" s="2" t="n">
        <v>0.083144298</v>
      </c>
      <c r="G698" s="2" t="n">
        <f aca="false">IF(G$7=G$5,G$6,IF(NORMSDIST(G$9*SQRT($C$11)*NORMSINV($B698)+SQRT(1-G$9^2*$C$11)*NORMSINV(F698))&lt;G$8,G$5+SQRT(NORMSDIST(G$9*SQRT($C$11)*NORMSINV($B698)+SQRT(1-G$9^2*$C$11)*NORMSINV(F698))*(G$7-G$5)*(G$6-G$5)),G$7-SQRT((1-NORMSDIST(G$9*SQRT($C$11)*NORMSINV($B698)+SQRT(1-G$9^2*$C$11)*NORMSINV(F698)))*(G$7-G$5)*(G$7-G$6))))</f>
        <v>0.0483400400176999</v>
      </c>
      <c r="H698" s="2" t="n">
        <v>0.357513855</v>
      </c>
      <c r="I698" s="2" t="n">
        <f aca="false">IF(I$7=I$5,I$6,IF(NORMSDIST(I$9*SQRT($C$11)*NORMSINV($B698)+SQRT(1-I$9^2*$C$11)*NORMSINV(H698))&lt;I$8,I$5+SQRT(NORMSDIST(I$9*SQRT($C$11)*NORMSINV($B698)+SQRT(1-I$9^2*$C$11)*NORMSINV(H698))*(I$7-I$5)*(I$6-I$5)),I$7-SQRT((1-NORMSDIST(I$9*SQRT($C$11)*NORMSINV($B698)+SQRT(1-I$9^2*$C$11)*NORMSINV(H698)))*(I$7-I$5)*(I$7-I$6))))</f>
        <v>198.110070327736</v>
      </c>
      <c r="J698" s="2" t="n">
        <v>0.056719245</v>
      </c>
      <c r="K698" s="2" t="n">
        <f aca="false">IF(K$7=K$5,K$6,IF(NORMSDIST(K$9*SQRT($C$11)*NORMSINV($B698)+SQRT(1-K$9^2*$C$11)*NORMSINV(J698))&lt;K$8,K$5+SQRT(NORMSDIST(K$9*SQRT($C$11)*NORMSINV($B698)+SQRT(1-K$9^2*$C$11)*NORMSINV(J698))*(K$7-K$5)*(K$6-K$5)),K$7-SQRT((1-NORMSDIST(K$9*SQRT($C$11)*NORMSINV($B698)+SQRT(1-K$9^2*$C$11)*NORMSINV(J698)))*(K$7-K$5)*(K$7-K$6))))</f>
        <v>0.122887825280238</v>
      </c>
      <c r="L698" s="2" t="n">
        <v>0.052923408</v>
      </c>
      <c r="M698" s="2" t="n">
        <f aca="false">IF(M$7=M$5,M$6,IF(NORMSDIST(M$9*SQRT($C$11)*NORMSINV($B698)+SQRT(1-M$9^2*$C$11)*NORMSINV(L698))&lt;M$8,M$5+SQRT(NORMSDIST(M$9*SQRT($C$11)*NORMSINV($B698)+SQRT(1-M$9^2*$C$11)*NORMSINV(L698))*(M$7-M$5)*(M$6-M$5)),M$7-SQRT((1-NORMSDIST(M$9*SQRT($C$11)*NORMSINV($B698)+SQRT(1-M$9^2*$C$11)*NORMSINV(L698)))*(M$7-M$5)*(M$7-M$6))))</f>
        <v>1438.84752742836</v>
      </c>
      <c r="N698" s="2" t="n">
        <v>0.286268244</v>
      </c>
      <c r="O698" s="2" t="n">
        <f aca="false">IF(O$7=O$5,O$6,IF(NORMSDIST(O$9*SQRT($C$11)*NORMSINV($B698)+SQRT(1-O$9^2*$C$11)*NORMSINV(N698))&lt;O$8,O$5+SQRT(NORMSDIST(O$9*SQRT($C$11)*NORMSINV($B698)+SQRT(1-O$9^2*$C$11)*NORMSINV(N698))*(O$7-O$5)*(O$6-O$5)),O$7-SQRT((1-NORMSDIST(O$9*SQRT($C$11)*NORMSINV($B698)+SQRT(1-O$9^2*$C$11)*NORMSINV(N698)))*(O$7-O$5)*(O$7-O$6))))</f>
        <v>0.162449683821476</v>
      </c>
      <c r="P698" s="2" t="n">
        <v>0.014192193</v>
      </c>
      <c r="Q698" s="2" t="n">
        <f aca="false">IF(Q$7=Q$5,Q$6,IF(NORMSDIST(Q$9*SQRT($C$11)*NORMSINV($B698)+SQRT(1-Q$9^2*$C$11)*NORMSINV(P698))&lt;Q$8,Q$5+SQRT(NORMSDIST(Q$9*SQRT($C$11)*NORMSINV($B698)+SQRT(1-Q$9^2*$C$11)*NORMSINV(P698))*(Q$7-Q$5)*(Q$6-Q$5)),Q$7-SQRT((1-NORMSDIST(Q$9*SQRT($C$11)*NORMSINV($B698)+SQRT(1-Q$9^2*$C$11)*NORMSINV(P698)))*(Q$7-Q$5)*(Q$7-Q$6))))</f>
        <v>0.0467390665228947</v>
      </c>
      <c r="R698" s="2" t="n">
        <v>0.351903723</v>
      </c>
      <c r="S698" s="2" t="n">
        <f aca="false">IF(S$7=S$5,S$6,IF(NORMSDIST(S$9*SQRT($C$11)*NORMSINV($B698)+SQRT(1-S$9^2*$C$11)*NORMSINV(R698))&lt;S$8,S$5+SQRT(NORMSDIST(S$9*SQRT($C$11)*NORMSINV($B698)+SQRT(1-S$9^2*$C$11)*NORMSINV(R698))*(S$7-S$5)*(S$6-S$5)),S$7-SQRT((1-NORMSDIST(S$9*SQRT($C$11)*NORMSINV($B698)+SQRT(1-S$9^2*$C$11)*NORMSINV(R698)))*(S$7-S$5)*(S$7-S$6))))</f>
        <v>0.450241871495537</v>
      </c>
      <c r="T698" s="2" t="n">
        <v>0.775083599</v>
      </c>
      <c r="U698" s="2" t="n">
        <f aca="false">IF(U$7=U$5,U$6,IF(NORMSDIST(U$9*SQRT($C$11)*NORMSINV($B698)+SQRT(1-U$9^2*$C$11)*NORMSINV(T698))&lt;U$8,U$5+SQRT(NORMSDIST(U$9*SQRT($C$11)*NORMSINV($B698)+SQRT(1-U$9^2*$C$11)*NORMSINV(T698))*(U$7-U$5)*(U$6-U$5)),U$7-SQRT((1-NORMSDIST(U$9*SQRT($C$11)*NORMSINV($B698)+SQRT(1-U$9^2*$C$11)*NORMSINV(T698)))*(U$7-U$5)*(U$7-U$6))))</f>
        <v>0.638815259136589</v>
      </c>
      <c r="V698" s="2" t="n">
        <v>0.055959713</v>
      </c>
      <c r="W698" s="2" t="n">
        <f aca="false">IF(W$7=W$5,W$6,IF(NORMSDIST(W$9*SQRT($C$11)*NORMSINV($B698)+SQRT(1-W$9^2*$C$11)*NORMSINV(V698))&lt;W$8,W$5+SQRT(NORMSDIST(W$9*SQRT($C$11)*NORMSINV($B698)+SQRT(1-W$9^2*$C$11)*NORMSINV(V698))*(W$7-W$5)*(W$6-W$5)),W$7-SQRT((1-NORMSDIST(W$9*SQRT($C$11)*NORMSINV($B698)+SQRT(1-W$9^2*$C$11)*NORMSINV(V698)))*(W$7-W$5)*(W$7-W$6))))</f>
        <v>8.97886257945678</v>
      </c>
      <c r="X698" s="2" t="n">
        <v>0.704171872</v>
      </c>
      <c r="Y698" s="2" t="n">
        <f aca="false">IF(Y$7=Y$5,Y$6,IF(NORMSDIST(Y$9*SQRT($C$11)*NORMSINV($B698)+SQRT(1-Y$9^2*$C$11)*NORMSINV(X698))&lt;Y$8,Y$5+SQRT(NORMSDIST(Y$9*SQRT($C$11)*NORMSINV($B698)+SQRT(1-Y$9^2*$C$11)*NORMSINV(X698))*(Y$7-Y$5)*(Y$6-Y$5)),Y$7-SQRT((1-NORMSDIST(Y$9*SQRT($C$11)*NORMSINV($B698)+SQRT(1-Y$9^2*$C$11)*NORMSINV(X698)))*(Y$7-Y$5)*(Y$7-Y$6))))</f>
        <v>0.61540402498206</v>
      </c>
      <c r="Z698" s="2" t="n">
        <v>0.85027785</v>
      </c>
      <c r="AA698" s="2" t="n">
        <f aca="false">IF(AA$7=AA$5,AA$6,IF(NORMSDIST(AA$9*SQRT($C$11)*NORMSINV($B698)+SQRT(1-AA$9^2*$C$11)*NORMSINV(Z698))&lt;AA$8,AA$5+SQRT(NORMSDIST(AA$9*SQRT($C$11)*NORMSINV($B698)+SQRT(1-AA$9^2*$C$11)*NORMSINV(Z698))*(AA$7-AA$5)*(AA$6-AA$5)),AA$7-SQRT((1-NORMSDIST(AA$9*SQRT($C$11)*NORMSINV($B698)+SQRT(1-AA$9^2*$C$11)*NORMSINV(Z698)))*(AA$7-AA$5)*(AA$7-AA$6))))</f>
        <v>0.738030901725829</v>
      </c>
      <c r="AB698" s="2" t="n">
        <v>0.342419718</v>
      </c>
      <c r="AC698" s="2" t="n">
        <f aca="false">IF(AC$7=AC$5,AC$6,IF(NORMSDIST(AC$9*SQRT($C$11)*NORMSINV($B698)+SQRT(1-AC$9^2*$C$11)*NORMSINV(AB698))&lt;AC$8,AC$5+SQRT(NORMSDIST(AC$9*SQRT($C$11)*NORMSINV($B698)+SQRT(1-AC$9^2*$C$11)*NORMSINV(AB698))*(AC$7-AC$5)*(AC$6-AC$5)),AC$7-SQRT((1-NORMSDIST(AC$9*SQRT($C$11)*NORMSINV($B698)+SQRT(1-AC$9^2*$C$11)*NORMSINV(AB698)))*(AC$7-AC$5)*(AC$7-AC$6))))</f>
        <v>9.25377745843579</v>
      </c>
      <c r="AD698" s="2" t="n">
        <f aca="false">Entrées!$C$8*(1+E698)</f>
        <v>7417.8383787575</v>
      </c>
      <c r="AE698" s="2" t="n">
        <f aca="false">I698*Hypothèses!$J$24/12/Hypothèses!$J$19</f>
        <v>98.2817718136425</v>
      </c>
      <c r="AF698" s="2" t="n">
        <f aca="false">Entrées!$C$36*S698*1000</f>
        <v>225.120935747768</v>
      </c>
      <c r="AG698" s="2" t="n">
        <f aca="false">-AF698/W698</f>
        <v>-25.0723222184995</v>
      </c>
      <c r="AH698" s="2" t="n">
        <f aca="false">AD698+AE698+AG698</f>
        <v>7491.04782835265</v>
      </c>
      <c r="AI698" s="2" t="n">
        <f aca="false">Entrées!$C$16-M698+Hypothèses!$J$22*1000-AF698+Hypothèses!$J$23</f>
        <v>22884.0315368239</v>
      </c>
      <c r="AJ698" s="2" t="n">
        <f aca="false">AI698/AH698</f>
        <v>3.05485054443395</v>
      </c>
      <c r="AK698" s="2" t="n">
        <f aca="false">AI698/(AH698+I698*(12-Hypothèses!$J$24)/12/Hypothèses!$J$19)</f>
        <v>3.0264882498294</v>
      </c>
      <c r="AL698" s="2" t="n">
        <f aca="false">(AD698+AG698+I698/Hypothèses!$J$19)*(1+G698)</f>
        <v>7926.76017771838</v>
      </c>
      <c r="AM698" s="2" t="n">
        <f aca="false">Entrées!$C$54*K698/Hypothèses!$J$19</f>
        <v>12.5412185424837</v>
      </c>
      <c r="AN698" s="2" t="n">
        <f aca="false">Y698*1000/AC698</f>
        <v>66.5030067716892</v>
      </c>
      <c r="AO698" s="2" t="n">
        <f aca="false">(Entrées!$C$36*(1-S698)+MAX(0,Entrées!$C$30-Entrées!$C$35-Entrées!$C$36)*U698)*1000</f>
        <v>1169.22042704346</v>
      </c>
      <c r="AP698" s="2" t="n">
        <f aca="false">-AO698/W698</f>
        <v>-130.219213925668</v>
      </c>
      <c r="AQ698" s="2" t="n">
        <f aca="false">AL698+AM698+AN698+AP698</f>
        <v>7875.58518910688</v>
      </c>
      <c r="AR698" s="2" t="n">
        <f aca="false">O698*AQ698-Hypothèses!$J$25/Hypothèses!$J$19</f>
        <v>1260.25116161789</v>
      </c>
      <c r="AS698" s="2" t="n">
        <f aca="false">Entrées!$C$79*(1+Q698)+Hypothèses!$J$20</f>
        <v>1445.36623410866</v>
      </c>
      <c r="AT698" s="2" t="n">
        <f aca="false">AI698-AR698+AS698+Y698*1000-AO698+Hypothèses!$J$23</f>
        <v>22515.3302072532</v>
      </c>
      <c r="AU698" s="2" t="n">
        <f aca="false">AT698/AQ698</f>
        <v>2.85887710774754</v>
      </c>
      <c r="AV698" s="2" t="n">
        <f aca="false">Hypothèses!$J$26*AQ698-AT698</f>
        <v>1111.4253600674</v>
      </c>
      <c r="AW698" s="2" t="n">
        <f aca="false">IF(AC698&gt;Hypothèses!$J$26,MAX(0,AV698)/(1-Hypothèses!$J$26/AC698),0)</f>
        <v>1644.58729337294</v>
      </c>
      <c r="AX698" s="2" t="n">
        <f aca="false">AQ698-Entrées!$C$17*1000</f>
        <v>-124.414810893118</v>
      </c>
      <c r="AY698" s="2" t="n">
        <f aca="false">AI698+(Entrées!$C$244-Entrées!$C$13)</f>
        <v>28631.0315368239</v>
      </c>
      <c r="AZ698" s="2" t="n">
        <f aca="false">AA698*AH698</f>
        <v>5528.62478363041</v>
      </c>
      <c r="BA698" s="2" t="n">
        <f aca="false">AZ698/AY698</f>
        <v>0.193099042782296</v>
      </c>
      <c r="BB698" s="2" t="n">
        <f aca="false">AZ698/(Entrées!$C$151/100)-AY698</f>
        <v>2083.5505944562</v>
      </c>
      <c r="BC698" s="2" t="n">
        <f aca="false">AT698+(Entrées!$C$244-Entrées!$C$13)</f>
        <v>28262.3302072532</v>
      </c>
      <c r="BD698" s="2" t="n">
        <f aca="false">AA698*AQ698</f>
        <v>5812.42523873513</v>
      </c>
      <c r="BE698" s="2" t="n">
        <f aca="false">BD698/BC698</f>
        <v>0.205659802150476</v>
      </c>
      <c r="BF698" s="2" t="n">
        <f aca="false">BD698/(Entrées!$C$151/100)-BC698</f>
        <v>4028.92111905305</v>
      </c>
      <c r="BG698" s="2" t="n">
        <f aca="false">MIN(AV698,BF698)</f>
        <v>1111.4253600674</v>
      </c>
      <c r="BH698" s="2" t="n">
        <f aca="false">IF(AC698&gt;Hypothèses!$J$26,MAX(0,BG698)/(1-Hypothèses!$J$26/AC698),0)</f>
        <v>1644.58729337294</v>
      </c>
    </row>
    <row r="699" customFormat="false" ht="15" hidden="false" customHeight="false" outlineLevel="0" collapsed="false">
      <c r="A699" s="2" t="n">
        <v>684</v>
      </c>
      <c r="B699" s="2" t="n">
        <v>0.49184782</v>
      </c>
      <c r="C699" s="2"/>
      <c r="D699" s="2" t="n">
        <v>0.340908817</v>
      </c>
      <c r="E699" s="2" t="n">
        <f aca="false">IF(E$7=E$5,E$6,IF(NORMSDIST(E$9*SQRT($C$11)*NORMSINV($B699)+SQRT(1-E$9^2*$C$11)*NORMSINV(D699))&lt;E$8,E$5+SQRT(NORMSDIST(E$9*SQRT($C$11)*NORMSINV($B699)+SQRT(1-E$9^2*$C$11)*NORMSINV(D699))*(E$7-E$5)*(E$6-E$5)),E$7-SQRT((1-NORMSDIST(E$9*SQRT($C$11)*NORMSINV($B699)+SQRT(1-E$9^2*$C$11)*NORMSINV(D699)))*(E$7-E$5)*(E$7-E$6))))</f>
        <v>0.0543041386649659</v>
      </c>
      <c r="F699" s="2" t="n">
        <v>0.84503173</v>
      </c>
      <c r="G699" s="2" t="n">
        <f aca="false">IF(G$7=G$5,G$6,IF(NORMSDIST(G$9*SQRT($C$11)*NORMSINV($B699)+SQRT(1-G$9^2*$C$11)*NORMSINV(F699))&lt;G$8,G$5+SQRT(NORMSDIST(G$9*SQRT($C$11)*NORMSINV($B699)+SQRT(1-G$9^2*$C$11)*NORMSINV(F699))*(G$7-G$5)*(G$6-G$5)),G$7-SQRT((1-NORMSDIST(G$9*SQRT($C$11)*NORMSINV($B699)+SQRT(1-G$9^2*$C$11)*NORMSINV(F699)))*(G$7-G$5)*(G$7-G$6))))</f>
        <v>0.0600593164103808</v>
      </c>
      <c r="H699" s="2" t="n">
        <v>0.534771244</v>
      </c>
      <c r="I699" s="2" t="n">
        <f aca="false">IF(I$7=I$5,I$6,IF(NORMSDIST(I$9*SQRT($C$11)*NORMSINV($B699)+SQRT(1-I$9^2*$C$11)*NORMSINV(H699))&lt;I$8,I$5+SQRT(NORMSDIST(I$9*SQRT($C$11)*NORMSINV($B699)+SQRT(1-I$9^2*$C$11)*NORMSINV(H699))*(I$7-I$5)*(I$6-I$5)),I$7-SQRT((1-NORMSDIST(I$9*SQRT($C$11)*NORMSINV($B699)+SQRT(1-I$9^2*$C$11)*NORMSINV(H699)))*(I$7-I$5)*(I$7-I$6))))</f>
        <v>200.440874654615</v>
      </c>
      <c r="J699" s="2" t="n">
        <v>0.367601306</v>
      </c>
      <c r="K699" s="2" t="n">
        <f aca="false">IF(K$7=K$5,K$6,IF(NORMSDIST(K$9*SQRT($C$11)*NORMSINV($B699)+SQRT(1-K$9^2*$C$11)*NORMSINV(J699))&lt;K$8,K$5+SQRT(NORMSDIST(K$9*SQRT($C$11)*NORMSINV($B699)+SQRT(1-K$9^2*$C$11)*NORMSINV(J699))*(K$7-K$5)*(K$6-K$5)),K$7-SQRT((1-NORMSDIST(K$9*SQRT($C$11)*NORMSINV($B699)+SQRT(1-K$9^2*$C$11)*NORMSINV(J699)))*(K$7-K$5)*(K$7-K$6))))</f>
        <v>0.221273353381758</v>
      </c>
      <c r="L699" s="2" t="n">
        <v>0.539594397</v>
      </c>
      <c r="M699" s="2" t="n">
        <f aca="false">IF(M$7=M$5,M$6,IF(NORMSDIST(M$9*SQRT($C$11)*NORMSINV($B699)+SQRT(1-M$9^2*$C$11)*NORMSINV(L699))&lt;M$8,M$5+SQRT(NORMSDIST(M$9*SQRT($C$11)*NORMSINV($B699)+SQRT(1-M$9^2*$C$11)*NORMSINV(L699))*(M$7-M$5)*(M$6-M$5)),M$7-SQRT((1-NORMSDIST(M$9*SQRT($C$11)*NORMSINV($B699)+SQRT(1-M$9^2*$C$11)*NORMSINV(L699)))*(M$7-M$5)*(M$7-M$6))))</f>
        <v>1592.46925344506</v>
      </c>
      <c r="N699" s="2" t="n">
        <v>0.076415502</v>
      </c>
      <c r="O699" s="2" t="n">
        <f aca="false">IF(O$7=O$5,O$6,IF(NORMSDIST(O$9*SQRT($C$11)*NORMSINV($B699)+SQRT(1-O$9^2*$C$11)*NORMSINV(N699))&lt;O$8,O$5+SQRT(NORMSDIST(O$9*SQRT($C$11)*NORMSINV($B699)+SQRT(1-O$9^2*$C$11)*NORMSINV(N699))*(O$7-O$5)*(O$6-O$5)),O$7-SQRT((1-NORMSDIST(O$9*SQRT($C$11)*NORMSINV($B699)+SQRT(1-O$9^2*$C$11)*NORMSINV(N699)))*(O$7-O$5)*(O$7-O$6))))</f>
        <v>0.153725321541801</v>
      </c>
      <c r="P699" s="2" t="n">
        <v>0.036771099</v>
      </c>
      <c r="Q699" s="2" t="n">
        <f aca="false">IF(Q$7=Q$5,Q$6,IF(NORMSDIST(Q$9*SQRT($C$11)*NORMSINV($B699)+SQRT(1-Q$9^2*$C$11)*NORMSINV(P699))&lt;Q$8,Q$5+SQRT(NORMSDIST(Q$9*SQRT($C$11)*NORMSINV($B699)+SQRT(1-Q$9^2*$C$11)*NORMSINV(P699))*(Q$7-Q$5)*(Q$6-Q$5)),Q$7-SQRT((1-NORMSDIST(Q$9*SQRT($C$11)*NORMSINV($B699)+SQRT(1-Q$9^2*$C$11)*NORMSINV(P699)))*(Q$7-Q$5)*(Q$7-Q$6))))</f>
        <v>0.0508474659160562</v>
      </c>
      <c r="R699" s="2" t="n">
        <v>0.997997197</v>
      </c>
      <c r="S699" s="2" t="n">
        <f aca="false">IF(S$7=S$5,S$6,IF(NORMSDIST(S$9*SQRT($C$11)*NORMSINV($B699)+SQRT(1-S$9^2*$C$11)*NORMSINV(R699))&lt;S$8,S$5+SQRT(NORMSDIST(S$9*SQRT($C$11)*NORMSINV($B699)+SQRT(1-S$9^2*$C$11)*NORMSINV(R699))*(S$7-S$5)*(S$6-S$5)),S$7-SQRT((1-NORMSDIST(S$9*SQRT($C$11)*NORMSINV($B699)+SQRT(1-S$9^2*$C$11)*NORMSINV(R699)))*(S$7-S$5)*(S$7-S$6))))</f>
        <v>0.918327782246233</v>
      </c>
      <c r="T699" s="2" t="n">
        <v>0.829107361</v>
      </c>
      <c r="U699" s="2" t="n">
        <f aca="false">IF(U$7=U$5,U$6,IF(NORMSDIST(U$9*SQRT($C$11)*NORMSINV($B699)+SQRT(1-U$9^2*$C$11)*NORMSINV(T699))&lt;U$8,U$5+SQRT(NORMSDIST(U$9*SQRT($C$11)*NORMSINV($B699)+SQRT(1-U$9^2*$C$11)*NORMSINV(T699))*(U$7-U$5)*(U$6-U$5)),U$7-SQRT((1-NORMSDIST(U$9*SQRT($C$11)*NORMSINV($B699)+SQRT(1-U$9^2*$C$11)*NORMSINV(T699)))*(U$7-U$5)*(U$7-U$6))))</f>
        <v>0.657432776286705</v>
      </c>
      <c r="V699" s="2" t="n">
        <v>0.691348405</v>
      </c>
      <c r="W699" s="2" t="n">
        <f aca="false">IF(W$7=W$5,W$6,IF(NORMSDIST(W$9*SQRT($C$11)*NORMSINV($B699)+SQRT(1-W$9^2*$C$11)*NORMSINV(V699))&lt;W$8,W$5+SQRT(NORMSDIST(W$9*SQRT($C$11)*NORMSINV($B699)+SQRT(1-W$9^2*$C$11)*NORMSINV(V699))*(W$7-W$5)*(W$6-W$5)),W$7-SQRT((1-NORMSDIST(W$9*SQRT($C$11)*NORMSINV($B699)+SQRT(1-W$9^2*$C$11)*NORMSINV(V699)))*(W$7-W$5)*(W$7-W$6))))</f>
        <v>10.3167732217346</v>
      </c>
      <c r="X699" s="2" t="n">
        <v>0.560689315</v>
      </c>
      <c r="Y699" s="2" t="n">
        <f aca="false">IF(Y$7=Y$5,Y$6,IF(NORMSDIST(Y$9*SQRT($C$11)*NORMSINV($B699)+SQRT(1-Y$9^2*$C$11)*NORMSINV(X699))&lt;Y$8,Y$5+SQRT(NORMSDIST(Y$9*SQRT($C$11)*NORMSINV($B699)+SQRT(1-Y$9^2*$C$11)*NORMSINV(X699))*(Y$7-Y$5)*(Y$6-Y$5)),Y$7-SQRT((1-NORMSDIST(Y$9*SQRT($C$11)*NORMSINV($B699)+SQRT(1-Y$9^2*$C$11)*NORMSINV(X699)))*(Y$7-Y$5)*(Y$7-Y$6))))</f>
        <v>0.531325974156877</v>
      </c>
      <c r="Z699" s="2" t="n">
        <v>0.633827385</v>
      </c>
      <c r="AA699" s="2" t="n">
        <f aca="false">IF(AA$7=AA$5,AA$6,IF(NORMSDIST(AA$9*SQRT($C$11)*NORMSINV($B699)+SQRT(1-AA$9^2*$C$11)*NORMSINV(Z699))&lt;AA$8,AA$5+SQRT(NORMSDIST(AA$9*SQRT($C$11)*NORMSINV($B699)+SQRT(1-AA$9^2*$C$11)*NORMSINV(Z699))*(AA$7-AA$5)*(AA$6-AA$5)),AA$7-SQRT((1-NORMSDIST(AA$9*SQRT($C$11)*NORMSINV($B699)+SQRT(1-AA$9^2*$C$11)*NORMSINV(Z699)))*(AA$7-AA$5)*(AA$7-AA$6))))</f>
        <v>0.731159872528645</v>
      </c>
      <c r="AB699" s="2" t="n">
        <v>0.274427898</v>
      </c>
      <c r="AC699" s="2" t="n">
        <f aca="false">IF(AC$7=AC$5,AC$6,IF(NORMSDIST(AC$9*SQRT($C$11)*NORMSINV($B699)+SQRT(1-AC$9^2*$C$11)*NORMSINV(AB699))&lt;AC$8,AC$5+SQRT(NORMSDIST(AC$9*SQRT($C$11)*NORMSINV($B699)+SQRT(1-AC$9^2*$C$11)*NORMSINV(AB699))*(AC$7-AC$5)*(AC$6-AC$5)),AC$7-SQRT((1-NORMSDIST(AC$9*SQRT($C$11)*NORMSINV($B699)+SQRT(1-AC$9^2*$C$11)*NORMSINV(AB699)))*(AC$7-AC$5)*(AC$7-AC$6))))</f>
        <v>9.05386625622883</v>
      </c>
      <c r="AD699" s="2" t="n">
        <f aca="false">Entrées!$C$8*(1+E699)</f>
        <v>7432.84417758801</v>
      </c>
      <c r="AE699" s="2" t="n">
        <f aca="false">I699*Hypothèses!$J$24/12/Hypothèses!$J$19</f>
        <v>99.4380763801776</v>
      </c>
      <c r="AF699" s="2" t="n">
        <f aca="false">Entrées!$C$36*S699*1000</f>
        <v>459.163891123116</v>
      </c>
      <c r="AG699" s="2" t="n">
        <f aca="false">-AF699/W699</f>
        <v>-44.5065410719494</v>
      </c>
      <c r="AH699" s="2" t="n">
        <f aca="false">AD699+AE699+AG699</f>
        <v>7487.77571289624</v>
      </c>
      <c r="AI699" s="2" t="n">
        <f aca="false">Entrées!$C$16-M699+Hypothèses!$J$22*1000-AF699+Hypothèses!$J$23</f>
        <v>22496.3668554318</v>
      </c>
      <c r="AJ699" s="2" t="n">
        <f aca="false">AI699/AH699</f>
        <v>3.00441248750095</v>
      </c>
      <c r="AK699" s="2" t="n">
        <f aca="false">AI699/(AH699+I699*(12-Hypothèses!$J$24)/12/Hypothèses!$J$19)</f>
        <v>2.97618116550512</v>
      </c>
      <c r="AL699" s="2" t="n">
        <f aca="false">(AD699+AG699+I699/Hypothèses!$J$19)*(1+G699)</f>
        <v>8012.77944598471</v>
      </c>
      <c r="AM699" s="2" t="n">
        <f aca="false">Entrées!$C$54*K699/Hypothèses!$J$19</f>
        <v>22.5818747793815</v>
      </c>
      <c r="AN699" s="2" t="n">
        <f aca="false">Y699*1000/AC699</f>
        <v>58.6849815449106</v>
      </c>
      <c r="AO699" s="2" t="n">
        <f aca="false">(Entrées!$C$36*(1-S699)+MAX(0,Entrées!$C$30-Entrées!$C$35-Entrées!$C$36)*U699)*1000</f>
        <v>961.241995678271</v>
      </c>
      <c r="AP699" s="2" t="n">
        <f aca="false">-AO699/W699</f>
        <v>-93.1727367674617</v>
      </c>
      <c r="AQ699" s="2" t="n">
        <f aca="false">AL699+AM699+AN699+AP699</f>
        <v>8000.87356554154</v>
      </c>
      <c r="AR699" s="2" t="n">
        <f aca="false">O699*AQ699-Hypothèses!$J$25/Hypothèses!$J$19</f>
        <v>1210.80169921654</v>
      </c>
      <c r="AS699" s="2" t="n">
        <f aca="false">Entrées!$C$79*(1+Q699)+Hypothèses!$J$20</f>
        <v>1449.88136504175</v>
      </c>
      <c r="AT699" s="2" t="n">
        <f aca="false">AI699-AR699+AS699+Y699*1000-AO699+Hypothèses!$J$23</f>
        <v>22305.5304997356</v>
      </c>
      <c r="AU699" s="2" t="n">
        <f aca="false">AT699/AQ699</f>
        <v>2.78788688722716</v>
      </c>
      <c r="AV699" s="2" t="n">
        <f aca="false">Hypothèses!$J$26*AQ699-AT699</f>
        <v>1697.09019688898</v>
      </c>
      <c r="AW699" s="2" t="n">
        <f aca="false">IF(AC699&gt;Hypothèses!$J$26,MAX(0,AV699)/(1-Hypothèses!$J$26/AC699),0)</f>
        <v>2538.08508762158</v>
      </c>
      <c r="AX699" s="2" t="n">
        <f aca="false">AQ699-Entrées!$C$17*1000</f>
        <v>0.873565541535754</v>
      </c>
      <c r="AY699" s="2" t="n">
        <f aca="false">AI699+(Entrées!$C$244-Entrées!$C$13)</f>
        <v>28243.3668554318</v>
      </c>
      <c r="AZ699" s="2" t="n">
        <f aca="false">AA699*AH699</f>
        <v>5474.7611357643</v>
      </c>
      <c r="BA699" s="2" t="n">
        <f aca="false">AZ699/AY699</f>
        <v>0.193842368857358</v>
      </c>
      <c r="BB699" s="2" t="n">
        <f aca="false">AZ699/(Entrées!$C$151/100)-AY699</f>
        <v>2171.97278770316</v>
      </c>
      <c r="BC699" s="2" t="n">
        <f aca="false">AT699+(Entrées!$C$244-Entrées!$C$13)</f>
        <v>28052.5304997356</v>
      </c>
      <c r="BD699" s="2" t="n">
        <f aca="false">AA699*AQ699</f>
        <v>5849.91769629915</v>
      </c>
      <c r="BE699" s="2" t="n">
        <f aca="false">BD699/BC699</f>
        <v>0.208534402853756</v>
      </c>
      <c r="BF699" s="2" t="n">
        <f aca="false">BD699/(Entrées!$C$151/100)-BC699</f>
        <v>4447.01225748189</v>
      </c>
      <c r="BG699" s="2" t="n">
        <f aca="false">MIN(AV699,BF699)</f>
        <v>1697.09019688898</v>
      </c>
      <c r="BH699" s="2" t="n">
        <f aca="false">IF(AC699&gt;Hypothèses!$J$26,MAX(0,BG699)/(1-Hypothèses!$J$26/AC699),0)</f>
        <v>2538.08508762158</v>
      </c>
    </row>
    <row r="700" customFormat="false" ht="15" hidden="false" customHeight="false" outlineLevel="0" collapsed="false">
      <c r="A700" s="2" t="n">
        <v>685</v>
      </c>
      <c r="B700" s="2" t="n">
        <v>0.745449316</v>
      </c>
      <c r="C700" s="2"/>
      <c r="D700" s="2" t="n">
        <v>0.62163839</v>
      </c>
      <c r="E700" s="2" t="n">
        <f aca="false">IF(E$7=E$5,E$6,IF(NORMSDIST(E$9*SQRT($C$11)*NORMSINV($B700)+SQRT(1-E$9^2*$C$11)*NORMSINV(D700))&lt;E$8,E$5+SQRT(NORMSDIST(E$9*SQRT($C$11)*NORMSINV($B700)+SQRT(1-E$9^2*$C$11)*NORMSINV(D700))*(E$7-E$5)*(E$6-E$5)),E$7-SQRT((1-NORMSDIST(E$9*SQRT($C$11)*NORMSINV($B700)+SQRT(1-E$9^2*$C$11)*NORMSINV(D700)))*(E$7-E$5)*(E$7-E$6))))</f>
        <v>0.056426347128679</v>
      </c>
      <c r="F700" s="2" t="n">
        <v>0.452680564</v>
      </c>
      <c r="G700" s="2" t="n">
        <f aca="false">IF(G$7=G$5,G$6,IF(NORMSDIST(G$9*SQRT($C$11)*NORMSINV($B700)+SQRT(1-G$9^2*$C$11)*NORMSINV(F700))&lt;G$8,G$5+SQRT(NORMSDIST(G$9*SQRT($C$11)*NORMSINV($B700)+SQRT(1-G$9^2*$C$11)*NORMSINV(F700))*(G$7-G$5)*(G$6-G$5)),G$7-SQRT((1-NORMSDIST(G$9*SQRT($C$11)*NORMSINV($B700)+SQRT(1-G$9^2*$C$11)*NORMSINV(F700)))*(G$7-G$5)*(G$7-G$6))))</f>
        <v>0.0570545611429533</v>
      </c>
      <c r="H700" s="2" t="n">
        <v>0.110990524</v>
      </c>
      <c r="I700" s="2" t="n">
        <f aca="false">IF(I$7=I$5,I$6,IF(NORMSDIST(I$9*SQRT($C$11)*NORMSINV($B700)+SQRT(1-I$9^2*$C$11)*NORMSINV(H700))&lt;I$8,I$5+SQRT(NORMSDIST(I$9*SQRT($C$11)*NORMSINV($B700)+SQRT(1-I$9^2*$C$11)*NORMSINV(H700))*(I$7-I$5)*(I$6-I$5)),I$7-SQRT((1-NORMSDIST(I$9*SQRT($C$11)*NORMSINV($B700)+SQRT(1-I$9^2*$C$11)*NORMSINV(H700)))*(I$7-I$5)*(I$7-I$6))))</f>
        <v>195.455787485637</v>
      </c>
      <c r="J700" s="2" t="n">
        <v>0.707664356</v>
      </c>
      <c r="K700" s="2" t="n">
        <f aca="false">IF(K$7=K$5,K$6,IF(NORMSDIST(K$9*SQRT($C$11)*NORMSINV($B700)+SQRT(1-K$9^2*$C$11)*NORMSINV(J700))&lt;K$8,K$5+SQRT(NORMSDIST(K$9*SQRT($C$11)*NORMSINV($B700)+SQRT(1-K$9^2*$C$11)*NORMSINV(J700))*(K$7-K$5)*(K$6-K$5)),K$7-SQRT((1-NORMSDIST(K$9*SQRT($C$11)*NORMSINV($B700)+SQRT(1-K$9^2*$C$11)*NORMSINV(J700)))*(K$7-K$5)*(K$7-K$6))))</f>
        <v>0.341811332217676</v>
      </c>
      <c r="L700" s="2" t="n">
        <v>0.121456793</v>
      </c>
      <c r="M700" s="2" t="n">
        <f aca="false">IF(M$7=M$5,M$6,IF(NORMSDIST(M$9*SQRT($C$11)*NORMSINV($B700)+SQRT(1-M$9^2*$C$11)*NORMSINV(L700))&lt;M$8,M$5+SQRT(NORMSDIST(M$9*SQRT($C$11)*NORMSINV($B700)+SQRT(1-M$9^2*$C$11)*NORMSINV(L700))*(M$7-M$5)*(M$6-M$5)),M$7-SQRT((1-NORMSDIST(M$9*SQRT($C$11)*NORMSINV($B700)+SQRT(1-M$9^2*$C$11)*NORMSINV(L700)))*(M$7-M$5)*(M$7-M$6))))</f>
        <v>1526.49039685193</v>
      </c>
      <c r="N700" s="2" t="n">
        <v>0.292913023</v>
      </c>
      <c r="O700" s="2" t="n">
        <f aca="false">IF(O$7=O$5,O$6,IF(NORMSDIST(O$9*SQRT($C$11)*NORMSINV($B700)+SQRT(1-O$9^2*$C$11)*NORMSINV(N700))&lt;O$8,O$5+SQRT(NORMSDIST(O$9*SQRT($C$11)*NORMSINV($B700)+SQRT(1-O$9^2*$C$11)*NORMSINV(N700))*(O$7-O$5)*(O$6-O$5)),O$7-SQRT((1-NORMSDIST(O$9*SQRT($C$11)*NORMSINV($B700)+SQRT(1-O$9^2*$C$11)*NORMSINV(N700)))*(O$7-O$5)*(O$7-O$6))))</f>
        <v>0.166736338560459</v>
      </c>
      <c r="P700" s="2" t="n">
        <v>0.935965749</v>
      </c>
      <c r="Q700" s="2" t="n">
        <f aca="false">IF(Q$7=Q$5,Q$6,IF(NORMSDIST(Q$9*SQRT($C$11)*NORMSINV($B700)+SQRT(1-Q$9^2*$C$11)*NORMSINV(P700))&lt;Q$8,Q$5+SQRT(NORMSDIST(Q$9*SQRT($C$11)*NORMSINV($B700)+SQRT(1-Q$9^2*$C$11)*NORMSINV(P700))*(Q$7-Q$5)*(Q$6-Q$5)),Q$7-SQRT((1-NORMSDIST(Q$9*SQRT($C$11)*NORMSINV($B700)+SQRT(1-Q$9^2*$C$11)*NORMSINV(P700)))*(Q$7-Q$5)*(Q$7-Q$6))))</f>
        <v>0.105685336077993</v>
      </c>
      <c r="R700" s="2" t="n">
        <v>0.578208411</v>
      </c>
      <c r="S700" s="2" t="n">
        <f aca="false">IF(S$7=S$5,S$6,IF(NORMSDIST(S$9*SQRT($C$11)*NORMSINV($B700)+SQRT(1-S$9^2*$C$11)*NORMSINV(R700))&lt;S$8,S$5+SQRT(NORMSDIST(S$9*SQRT($C$11)*NORMSINV($B700)+SQRT(1-S$9^2*$C$11)*NORMSINV(R700))*(S$7-S$5)*(S$6-S$5)),S$7-SQRT((1-NORMSDIST(S$9*SQRT($C$11)*NORMSINV($B700)+SQRT(1-S$9^2*$C$11)*NORMSINV(R700)))*(S$7-S$5)*(S$7-S$6))))</f>
        <v>0.623038208677016</v>
      </c>
      <c r="T700" s="2" t="n">
        <v>0.353215702</v>
      </c>
      <c r="U700" s="2" t="n">
        <f aca="false">IF(U$7=U$5,U$6,IF(NORMSDIST(U$9*SQRT($C$11)*NORMSINV($B700)+SQRT(1-U$9^2*$C$11)*NORMSINV(T700))&lt;U$8,U$5+SQRT(NORMSDIST(U$9*SQRT($C$11)*NORMSINV($B700)+SQRT(1-U$9^2*$C$11)*NORMSINV(T700))*(U$7-U$5)*(U$6-U$5)),U$7-SQRT((1-NORMSDIST(U$9*SQRT($C$11)*NORMSINV($B700)+SQRT(1-U$9^2*$C$11)*NORMSINV(T700)))*(U$7-U$5)*(U$7-U$6))))</f>
        <v>0.5256907527286</v>
      </c>
      <c r="V700" s="2" t="n">
        <v>0.418430398</v>
      </c>
      <c r="W700" s="2" t="n">
        <f aca="false">IF(W$7=W$5,W$6,IF(NORMSDIST(W$9*SQRT($C$11)*NORMSINV($B700)+SQRT(1-W$9^2*$C$11)*NORMSINV(V700))&lt;W$8,W$5+SQRT(NORMSDIST(W$9*SQRT($C$11)*NORMSINV($B700)+SQRT(1-W$9^2*$C$11)*NORMSINV(V700))*(W$7-W$5)*(W$6-W$5)),W$7-SQRT((1-NORMSDIST(W$9*SQRT($C$11)*NORMSINV($B700)+SQRT(1-W$9^2*$C$11)*NORMSINV(V700)))*(W$7-W$5)*(W$7-W$6))))</f>
        <v>10.2152307353168</v>
      </c>
      <c r="X700" s="2" t="n">
        <v>0.671827256</v>
      </c>
      <c r="Y700" s="2" t="n">
        <f aca="false">IF(Y$7=Y$5,Y$6,IF(NORMSDIST(Y$9*SQRT($C$11)*NORMSINV($B700)+SQRT(1-Y$9^2*$C$11)*NORMSINV(X700))&lt;Y$8,Y$5+SQRT(NORMSDIST(Y$9*SQRT($C$11)*NORMSINV($B700)+SQRT(1-Y$9^2*$C$11)*NORMSINV(X700))*(Y$7-Y$5)*(Y$6-Y$5)),Y$7-SQRT((1-NORMSDIST(Y$9*SQRT($C$11)*NORMSINV($B700)+SQRT(1-Y$9^2*$C$11)*NORMSINV(X700)))*(Y$7-Y$5)*(Y$7-Y$6))))</f>
        <v>0.594924239184816</v>
      </c>
      <c r="Z700" s="2" t="n">
        <v>0.23784854</v>
      </c>
      <c r="AA700" s="2" t="n">
        <f aca="false">IF(AA$7=AA$5,AA$6,IF(NORMSDIST(AA$9*SQRT($C$11)*NORMSINV($B700)+SQRT(1-AA$9^2*$C$11)*NORMSINV(Z700))&lt;AA$8,AA$5+SQRT(NORMSDIST(AA$9*SQRT($C$11)*NORMSINV($B700)+SQRT(1-AA$9^2*$C$11)*NORMSINV(Z700))*(AA$7-AA$5)*(AA$6-AA$5)),AA$7-SQRT((1-NORMSDIST(AA$9*SQRT($C$11)*NORMSINV($B700)+SQRT(1-AA$9^2*$C$11)*NORMSINV(Z700)))*(AA$7-AA$5)*(AA$7-AA$6))))</f>
        <v>0.726245283417204</v>
      </c>
      <c r="AB700" s="2" t="n">
        <v>0.444992091</v>
      </c>
      <c r="AC700" s="2" t="n">
        <f aca="false">IF(AC$7=AC$5,AC$6,IF(NORMSDIST(AC$9*SQRT($C$11)*NORMSINV($B700)+SQRT(1-AC$9^2*$C$11)*NORMSINV(AB700))&lt;AC$8,AC$5+SQRT(NORMSDIST(AC$9*SQRT($C$11)*NORMSINV($B700)+SQRT(1-AC$9^2*$C$11)*NORMSINV(AB700))*(AC$7-AC$5)*(AC$6-AC$5)),AC$7-SQRT((1-NORMSDIST(AC$9*SQRT($C$11)*NORMSINV($B700)+SQRT(1-AC$9^2*$C$11)*NORMSINV(AB700)))*(AC$7-AC$5)*(AC$7-AC$6))))</f>
        <v>9.71798494572639</v>
      </c>
      <c r="AD700" s="2" t="n">
        <f aca="false">Entrées!$C$8*(1+E700)</f>
        <v>7447.80574725719</v>
      </c>
      <c r="AE700" s="2" t="n">
        <f aca="false">I700*Hypothèses!$J$24/12/Hypothèses!$J$19</f>
        <v>96.96499059104</v>
      </c>
      <c r="AF700" s="2" t="n">
        <f aca="false">Entrées!$C$36*S700*1000</f>
        <v>311.519104338508</v>
      </c>
      <c r="AG700" s="2" t="n">
        <f aca="false">-AF700/W700</f>
        <v>-30.4955524167949</v>
      </c>
      <c r="AH700" s="2" t="n">
        <f aca="false">AD700+AE700+AG700</f>
        <v>7514.27518543143</v>
      </c>
      <c r="AI700" s="2" t="n">
        <f aca="false">Entrées!$C$16-M700+Hypothèses!$J$22*1000-AF700+Hypothèses!$J$23</f>
        <v>22709.9904988096</v>
      </c>
      <c r="AJ700" s="2" t="n">
        <f aca="false">AI700/AH700</f>
        <v>3.02224631629666</v>
      </c>
      <c r="AK700" s="2" t="n">
        <f aca="false">AI700/(AH700+I700*(12-Hypothèses!$J$24)/12/Hypothèses!$J$19)</f>
        <v>2.99464403139209</v>
      </c>
      <c r="AL700" s="2" t="n">
        <f aca="false">(AD700+AG700+I700/Hypothèses!$J$19)*(1+G700)</f>
        <v>8016.21120528321</v>
      </c>
      <c r="AM700" s="2" t="n">
        <f aca="false">Entrées!$C$54*K700/Hypothèses!$J$19</f>
        <v>34.8832816258548</v>
      </c>
      <c r="AN700" s="2" t="n">
        <f aca="false">Y700*1000/AC700</f>
        <v>61.2188887415844</v>
      </c>
      <c r="AO700" s="2" t="n">
        <f aca="false">(Entrées!$C$36*(1-S700)+MAX(0,Entrées!$C$30-Entrées!$C$35-Entrées!$C$36)*U700)*1000</f>
        <v>924.447949481531</v>
      </c>
      <c r="AP700" s="2" t="n">
        <f aca="false">-AO700/W700</f>
        <v>-90.497020912652</v>
      </c>
      <c r="AQ700" s="2" t="n">
        <f aca="false">AL700+AM700+AN700+AP700</f>
        <v>8021.816354738</v>
      </c>
      <c r="AR700" s="2" t="n">
        <f aca="false">O700*AQ700-Hypothèses!$J$25/Hypothèses!$J$19</f>
        <v>1318.39312533179</v>
      </c>
      <c r="AS700" s="2" t="n">
        <f aca="false">Entrées!$C$79*(1+Q700)+Hypothèses!$J$20</f>
        <v>1510.14818434971</v>
      </c>
      <c r="AT700" s="2" t="n">
        <f aca="false">AI700-AR700+AS700+Y700*1000-AO700+Hypothèses!$J$23</f>
        <v>22572.2218475308</v>
      </c>
      <c r="AU700" s="2" t="n">
        <f aca="false">AT700/AQ700</f>
        <v>2.81385422569525</v>
      </c>
      <c r="AV700" s="2" t="n">
        <f aca="false">Hypothèses!$J$26*AQ700-AT700</f>
        <v>1493.22721668323</v>
      </c>
      <c r="AW700" s="2" t="n">
        <f aca="false">IF(AC700&gt;Hypothèses!$J$26,MAX(0,AV700)/(1-Hypothèses!$J$26/AC700),0)</f>
        <v>2160.04646177537</v>
      </c>
      <c r="AX700" s="2" t="n">
        <f aca="false">AQ700-Entrées!$C$17*1000</f>
        <v>21.8163547379963</v>
      </c>
      <c r="AY700" s="2" t="n">
        <f aca="false">AI700+(Entrées!$C$244-Entrées!$C$13)</f>
        <v>28456.9904988096</v>
      </c>
      <c r="AZ700" s="2" t="n">
        <f aca="false">AA700*AH700</f>
        <v>5457.20691171851</v>
      </c>
      <c r="BA700" s="2" t="n">
        <f aca="false">AZ700/AY700</f>
        <v>0.191770345917176</v>
      </c>
      <c r="BB700" s="2" t="n">
        <f aca="false">AZ700/(Entrées!$C$151/100)-AY700</f>
        <v>1860.82567740439</v>
      </c>
      <c r="BC700" s="2" t="n">
        <f aca="false">AT700+(Entrées!$C$244-Entrées!$C$13)</f>
        <v>28319.2218475308</v>
      </c>
      <c r="BD700" s="2" t="n">
        <f aca="false">AA700*AQ700</f>
        <v>5825.80629206746</v>
      </c>
      <c r="BE700" s="2" t="n">
        <f aca="false">BD700/BC700</f>
        <v>0.205719151586625</v>
      </c>
      <c r="BF700" s="2" t="n">
        <f aca="false">BD700/(Entrées!$C$151/100)-BC700</f>
        <v>4046.3686639551</v>
      </c>
      <c r="BG700" s="2" t="n">
        <f aca="false">MIN(AV700,BF700)</f>
        <v>1493.22721668323</v>
      </c>
      <c r="BH700" s="2" t="n">
        <f aca="false">IF(AC700&gt;Hypothèses!$J$26,MAX(0,BG700)/(1-Hypothèses!$J$26/AC700),0)</f>
        <v>2160.04646177537</v>
      </c>
    </row>
    <row r="701" customFormat="false" ht="15" hidden="false" customHeight="false" outlineLevel="0" collapsed="false">
      <c r="A701" s="2" t="n">
        <v>686</v>
      </c>
      <c r="B701" s="2" t="n">
        <v>0.585195296</v>
      </c>
      <c r="C701" s="2"/>
      <c r="D701" s="2" t="n">
        <v>0.859518604</v>
      </c>
      <c r="E701" s="2" t="n">
        <f aca="false">IF(E$7=E$5,E$6,IF(NORMSDIST(E$9*SQRT($C$11)*NORMSINV($B701)+SQRT(1-E$9^2*$C$11)*NORMSINV(D701))&lt;E$8,E$5+SQRT(NORMSDIST(E$9*SQRT($C$11)*NORMSINV($B701)+SQRT(1-E$9^2*$C$11)*NORMSINV(D701))*(E$7-E$5)*(E$6-E$5)),E$7-SQRT((1-NORMSDIST(E$9*SQRT($C$11)*NORMSINV($B701)+SQRT(1-E$9^2*$C$11)*NORMSINV(D701)))*(E$7-E$5)*(E$7-E$6))))</f>
        <v>0.0571215170123692</v>
      </c>
      <c r="F701" s="2" t="n">
        <v>0.524991601</v>
      </c>
      <c r="G701" s="2" t="n">
        <f aca="false">IF(G$7=G$5,G$6,IF(NORMSDIST(G$9*SQRT($C$11)*NORMSINV($B701)+SQRT(1-G$9^2*$C$11)*NORMSINV(F701))&lt;G$8,G$5+SQRT(NORMSDIST(G$9*SQRT($C$11)*NORMSINV($B701)+SQRT(1-G$9^2*$C$11)*NORMSINV(F701))*(G$7-G$5)*(G$6-G$5)),G$7-SQRT((1-NORMSDIST(G$9*SQRT($C$11)*NORMSINV($B701)+SQRT(1-G$9^2*$C$11)*NORMSINV(F701)))*(G$7-G$5)*(G$7-G$6))))</f>
        <v>0.0561422889300253</v>
      </c>
      <c r="H701" s="2" t="n">
        <v>0.25095915</v>
      </c>
      <c r="I701" s="2" t="n">
        <f aca="false">IF(I$7=I$5,I$6,IF(NORMSDIST(I$9*SQRT($C$11)*NORMSINV($B701)+SQRT(1-I$9^2*$C$11)*NORMSINV(H701))&lt;I$8,I$5+SQRT(NORMSDIST(I$9*SQRT($C$11)*NORMSINV($B701)+SQRT(1-I$9^2*$C$11)*NORMSINV(H701))*(I$7-I$5)*(I$6-I$5)),I$7-SQRT((1-NORMSDIST(I$9*SQRT($C$11)*NORMSINV($B701)+SQRT(1-I$9^2*$C$11)*NORMSINV(H701)))*(I$7-I$5)*(I$7-I$6))))</f>
        <v>196.7447506353</v>
      </c>
      <c r="J701" s="2" t="n">
        <v>0.537684775</v>
      </c>
      <c r="K701" s="2" t="n">
        <f aca="false">IF(K$7=K$5,K$6,IF(NORMSDIST(K$9*SQRT($C$11)*NORMSINV($B701)+SQRT(1-K$9^2*$C$11)*NORMSINV(J701))&lt;K$8,K$5+SQRT(NORMSDIST(K$9*SQRT($C$11)*NORMSINV($B701)+SQRT(1-K$9^2*$C$11)*NORMSINV(J701))*(K$7-K$5)*(K$6-K$5)),K$7-SQRT((1-NORMSDIST(K$9*SQRT($C$11)*NORMSINV($B701)+SQRT(1-K$9^2*$C$11)*NORMSINV(J701)))*(K$7-K$5)*(K$7-K$6))))</f>
        <v>0.271670775685826</v>
      </c>
      <c r="L701" s="2" t="n">
        <v>0.241025574</v>
      </c>
      <c r="M701" s="2" t="n">
        <f aca="false">IF(M$7=M$5,M$6,IF(NORMSDIST(M$9*SQRT($C$11)*NORMSINV($B701)+SQRT(1-M$9^2*$C$11)*NORMSINV(L701))&lt;M$8,M$5+SQRT(NORMSDIST(M$9*SQRT($C$11)*NORMSINV($B701)+SQRT(1-M$9^2*$C$11)*NORMSINV(L701))*(M$7-M$5)*(M$6-M$5)),M$7-SQRT((1-NORMSDIST(M$9*SQRT($C$11)*NORMSINV($B701)+SQRT(1-M$9^2*$C$11)*NORMSINV(L701)))*(M$7-M$5)*(M$7-M$6))))</f>
        <v>1536.37184773201</v>
      </c>
      <c r="N701" s="2" t="n">
        <v>0.757800821</v>
      </c>
      <c r="O701" s="2" t="n">
        <f aca="false">IF(O$7=O$5,O$6,IF(NORMSDIST(O$9*SQRT($C$11)*NORMSINV($B701)+SQRT(1-O$9^2*$C$11)*NORMSINV(N701))&lt;O$8,O$5+SQRT(NORMSDIST(O$9*SQRT($C$11)*NORMSINV($B701)+SQRT(1-O$9^2*$C$11)*NORMSINV(N701))*(O$7-O$5)*(O$6-O$5)),O$7-SQRT((1-NORMSDIST(O$9*SQRT($C$11)*NORMSINV($B701)+SQRT(1-O$9^2*$C$11)*NORMSINV(N701)))*(O$7-O$5)*(O$7-O$6))))</f>
        <v>0.173715141692798</v>
      </c>
      <c r="P701" s="2" t="n">
        <v>0.581795266</v>
      </c>
      <c r="Q701" s="2" t="n">
        <f aca="false">IF(Q$7=Q$5,Q$6,IF(NORMSDIST(Q$9*SQRT($C$11)*NORMSINV($B701)+SQRT(1-Q$9^2*$C$11)*NORMSINV(P701))&lt;Q$8,Q$5+SQRT(NORMSDIST(Q$9*SQRT($C$11)*NORMSINV($B701)+SQRT(1-Q$9^2*$C$11)*NORMSINV(P701))*(Q$7-Q$5)*(Q$6-Q$5)),Q$7-SQRT((1-NORMSDIST(Q$9*SQRT($C$11)*NORMSINV($B701)+SQRT(1-Q$9^2*$C$11)*NORMSINV(P701)))*(Q$7-Q$5)*(Q$7-Q$6))))</f>
        <v>0.0834178301791706</v>
      </c>
      <c r="R701" s="2" t="n">
        <v>0.854267159</v>
      </c>
      <c r="S701" s="2" t="n">
        <f aca="false">IF(S$7=S$5,S$6,IF(NORMSDIST(S$9*SQRT($C$11)*NORMSINV($B701)+SQRT(1-S$9^2*$C$11)*NORMSINV(R701))&lt;S$8,S$5+SQRT(NORMSDIST(S$9*SQRT($C$11)*NORMSINV($B701)+SQRT(1-S$9^2*$C$11)*NORMSINV(R701))*(S$7-S$5)*(S$6-S$5)),S$7-SQRT((1-NORMSDIST(S$9*SQRT($C$11)*NORMSINV($B701)+SQRT(1-S$9^2*$C$11)*NORMSINV(R701)))*(S$7-S$5)*(S$7-S$6))))</f>
        <v>0.70825100089933</v>
      </c>
      <c r="T701" s="2" t="n">
        <v>0.596502104</v>
      </c>
      <c r="U701" s="2" t="n">
        <f aca="false">IF(U$7=U$5,U$6,IF(NORMSDIST(U$9*SQRT($C$11)*NORMSINV($B701)+SQRT(1-U$9^2*$C$11)*NORMSINV(T701))&lt;U$8,U$5+SQRT(NORMSDIST(U$9*SQRT($C$11)*NORMSINV($B701)+SQRT(1-U$9^2*$C$11)*NORMSINV(T701))*(U$7-U$5)*(U$6-U$5)),U$7-SQRT((1-NORMSDIST(U$9*SQRT($C$11)*NORMSINV($B701)+SQRT(1-U$9^2*$C$11)*NORMSINV(T701)))*(U$7-U$5)*(U$7-U$6))))</f>
        <v>0.568455761508902</v>
      </c>
      <c r="V701" s="2" t="n">
        <v>0.565456992</v>
      </c>
      <c r="W701" s="2" t="n">
        <f aca="false">IF(W$7=W$5,W$6,IF(NORMSDIST(W$9*SQRT($C$11)*NORMSINV($B701)+SQRT(1-W$9^2*$C$11)*NORMSINV(V701))&lt;W$8,W$5+SQRT(NORMSDIST(W$9*SQRT($C$11)*NORMSINV($B701)+SQRT(1-W$9^2*$C$11)*NORMSINV(V701))*(W$7-W$5)*(W$6-W$5)),W$7-SQRT((1-NORMSDIST(W$9*SQRT($C$11)*NORMSINV($B701)+SQRT(1-W$9^2*$C$11)*NORMSINV(V701)))*(W$7-W$5)*(W$7-W$6))))</f>
        <v>10.2201645913297</v>
      </c>
      <c r="X701" s="2" t="n">
        <v>0.93973934</v>
      </c>
      <c r="Y701" s="2" t="n">
        <f aca="false">IF(Y$7=Y$5,Y$6,IF(NORMSDIST(Y$9*SQRT($C$11)*NORMSINV($B701)+SQRT(1-Y$9^2*$C$11)*NORMSINV(X701))&lt;Y$8,Y$5+SQRT(NORMSDIST(Y$9*SQRT($C$11)*NORMSINV($B701)+SQRT(1-Y$9^2*$C$11)*NORMSINV(X701))*(Y$7-Y$5)*(Y$6-Y$5)),Y$7-SQRT((1-NORMSDIST(Y$9*SQRT($C$11)*NORMSINV($B701)+SQRT(1-Y$9^2*$C$11)*NORMSINV(X701)))*(Y$7-Y$5)*(Y$7-Y$6))))</f>
        <v>0.826419096672474</v>
      </c>
      <c r="Z701" s="2" t="n">
        <v>0.822858085</v>
      </c>
      <c r="AA701" s="2" t="n">
        <f aca="false">IF(AA$7=AA$5,AA$6,IF(NORMSDIST(AA$9*SQRT($C$11)*NORMSINV($B701)+SQRT(1-AA$9^2*$C$11)*NORMSINV(Z701))&lt;AA$8,AA$5+SQRT(NORMSDIST(AA$9*SQRT($C$11)*NORMSINV($B701)+SQRT(1-AA$9^2*$C$11)*NORMSINV(Z701))*(AA$7-AA$5)*(AA$6-AA$5)),AA$7-SQRT((1-NORMSDIST(AA$9*SQRT($C$11)*NORMSINV($B701)+SQRT(1-AA$9^2*$C$11)*NORMSINV(Z701)))*(AA$7-AA$5)*(AA$7-AA$6))))</f>
        <v>0.737971485672473</v>
      </c>
      <c r="AB701" s="2" t="n">
        <v>0.586782423</v>
      </c>
      <c r="AC701" s="2" t="n">
        <f aca="false">IF(AC$7=AC$5,AC$6,IF(NORMSDIST(AC$9*SQRT($C$11)*NORMSINV($B701)+SQRT(1-AC$9^2*$C$11)*NORMSINV(AB701))&lt;AC$8,AC$5+SQRT(NORMSDIST(AC$9*SQRT($C$11)*NORMSINV($B701)+SQRT(1-AC$9^2*$C$11)*NORMSINV(AB701))*(AC$7-AC$5)*(AC$6-AC$5)),AC$7-SQRT((1-NORMSDIST(AC$9*SQRT($C$11)*NORMSINV($B701)+SQRT(1-AC$9^2*$C$11)*NORMSINV(AB701)))*(AC$7-AC$5)*(AC$7-AC$6))))</f>
        <v>9.71481414449679</v>
      </c>
      <c r="AD701" s="2" t="n">
        <f aca="false">Entrées!$C$8*(1+E701)</f>
        <v>7452.7066949372</v>
      </c>
      <c r="AE701" s="2" t="n">
        <f aca="false">I701*Hypothèses!$J$24/12/Hypothèses!$J$19</f>
        <v>97.6044410841009</v>
      </c>
      <c r="AF701" s="2" t="n">
        <f aca="false">Entrées!$C$36*S701*1000</f>
        <v>354.125500449665</v>
      </c>
      <c r="AG701" s="2" t="n">
        <f aca="false">-AF701/W701</f>
        <v>-34.6496866351925</v>
      </c>
      <c r="AH701" s="2" t="n">
        <f aca="false">AD701+AE701+AG701</f>
        <v>7515.66144938611</v>
      </c>
      <c r="AI701" s="2" t="n">
        <f aca="false">Entrées!$C$16-M701+Hypothèses!$J$22*1000-AF701+Hypothèses!$J$23</f>
        <v>22657.5026518183</v>
      </c>
      <c r="AJ701" s="2" t="n">
        <f aca="false">AI701/AH701</f>
        <v>3.01470506680008</v>
      </c>
      <c r="AK701" s="2" t="n">
        <f aca="false">AI701/(AH701+I701*(12-Hypothèses!$J$24)/12/Hypothèses!$J$19)</f>
        <v>2.9869968169953</v>
      </c>
      <c r="AL701" s="2" t="n">
        <f aca="false">(AD701+AG701+I701/Hypothèses!$J$19)*(1+G701)</f>
        <v>8011.23944156087</v>
      </c>
      <c r="AM701" s="2" t="n">
        <f aca="false">Entrées!$C$54*K701/Hypothèses!$J$19</f>
        <v>27.7251433306137</v>
      </c>
      <c r="AN701" s="2" t="n">
        <f aca="false">Y701*1000/AC701</f>
        <v>85.067926609859</v>
      </c>
      <c r="AO701" s="2" t="n">
        <f aca="false">(Entrées!$C$36*(1-S701)+MAX(0,Entrées!$C$30-Entrées!$C$35-Entrées!$C$36)*U701)*1000</f>
        <v>941.712565662798</v>
      </c>
      <c r="AP701" s="2" t="n">
        <f aca="false">-AO701/W701</f>
        <v>-92.1426027191089</v>
      </c>
      <c r="AQ701" s="2" t="n">
        <f aca="false">AL701+AM701+AN701+AP701</f>
        <v>8031.88990878223</v>
      </c>
      <c r="AR701" s="2" t="n">
        <f aca="false">O701*AQ701-Hypothèses!$J$25/Hypothèses!$J$19</f>
        <v>1376.12573130344</v>
      </c>
      <c r="AS701" s="2" t="n">
        <f aca="false">Entrées!$C$79*(1+Q701)+Hypothèses!$J$20</f>
        <v>1485.67619536691</v>
      </c>
      <c r="AT701" s="2" t="n">
        <f aca="false">AI701-AR701+AS701+Y701*1000-AO701+Hypothèses!$J$23</f>
        <v>22651.7596468915</v>
      </c>
      <c r="AU701" s="2" t="n">
        <f aca="false">AT701/AQ701</f>
        <v>2.82022785473237</v>
      </c>
      <c r="AV701" s="2" t="n">
        <f aca="false">Hypothèses!$J$26*AQ701-AT701</f>
        <v>1443.91007945522</v>
      </c>
      <c r="AW701" s="2" t="n">
        <f aca="false">IF(AC701&gt;Hypothèses!$J$26,MAX(0,AV701)/(1-Hypothèses!$J$26/AC701),0)</f>
        <v>2089.01062060956</v>
      </c>
      <c r="AX701" s="2" t="n">
        <f aca="false">AQ701-Entrées!$C$17*1000</f>
        <v>31.8899087822319</v>
      </c>
      <c r="AY701" s="2" t="n">
        <f aca="false">AI701+(Entrées!$C$244-Entrées!$C$13)</f>
        <v>28404.5026518183</v>
      </c>
      <c r="AZ701" s="2" t="n">
        <f aca="false">AA701*AH701</f>
        <v>5546.3438456148</v>
      </c>
      <c r="BA701" s="2" t="n">
        <f aca="false">AZ701/AY701</f>
        <v>0.195262839613907</v>
      </c>
      <c r="BB701" s="2" t="n">
        <f aca="false">AZ701/(Entrées!$C$151/100)-AY701</f>
        <v>2408.51871270833</v>
      </c>
      <c r="BC701" s="2" t="n">
        <f aca="false">AT701+(Entrées!$C$244-Entrées!$C$13)</f>
        <v>28398.7596468915</v>
      </c>
      <c r="BD701" s="2" t="n">
        <f aca="false">AA701*AQ701</f>
        <v>5927.30572874176</v>
      </c>
      <c r="BE701" s="2" t="n">
        <f aca="false">BD701/BC701</f>
        <v>0.208717063788755</v>
      </c>
      <c r="BF701" s="2" t="n">
        <f aca="false">BD701/(Entrées!$C$151/100)-BC701</f>
        <v>4530.7166238961</v>
      </c>
      <c r="BG701" s="2" t="n">
        <f aca="false">MIN(AV701,BF701)</f>
        <v>1443.91007945522</v>
      </c>
      <c r="BH701" s="2" t="n">
        <f aca="false">IF(AC701&gt;Hypothèses!$J$26,MAX(0,BG701)/(1-Hypothèses!$J$26/AC701),0)</f>
        <v>2089.01062060956</v>
      </c>
    </row>
    <row r="702" customFormat="false" ht="15" hidden="false" customHeight="false" outlineLevel="0" collapsed="false">
      <c r="A702" s="2" t="n">
        <v>687</v>
      </c>
      <c r="B702" s="2" t="n">
        <v>0.194373026</v>
      </c>
      <c r="C702" s="2"/>
      <c r="D702" s="2" t="n">
        <v>0.015354328</v>
      </c>
      <c r="E702" s="2" t="n">
        <f aca="false">IF(E$7=E$5,E$6,IF(NORMSDIST(E$9*SQRT($C$11)*NORMSINV($B702)+SQRT(1-E$9^2*$C$11)*NORMSINV(D702))&lt;E$8,E$5+SQRT(NORMSDIST(E$9*SQRT($C$11)*NORMSINV($B702)+SQRT(1-E$9^2*$C$11)*NORMSINV(D702))*(E$7-E$5)*(E$6-E$5)),E$7-SQRT((1-NORMSDIST(E$9*SQRT($C$11)*NORMSINV($B702)+SQRT(1-E$9^2*$C$11)*NORMSINV(D702)))*(E$7-E$5)*(E$7-E$6))))</f>
        <v>0.0508138632828262</v>
      </c>
      <c r="F702" s="2" t="n">
        <v>0.416278092</v>
      </c>
      <c r="G702" s="2" t="n">
        <f aca="false">IF(G$7=G$5,G$6,IF(NORMSDIST(G$9*SQRT($C$11)*NORMSINV($B702)+SQRT(1-G$9^2*$C$11)*NORMSINV(F702))&lt;G$8,G$5+SQRT(NORMSDIST(G$9*SQRT($C$11)*NORMSINV($B702)+SQRT(1-G$9^2*$C$11)*NORMSINV(F702))*(G$7-G$5)*(G$6-G$5)),G$7-SQRT((1-NORMSDIST(G$9*SQRT($C$11)*NORMSINV($B702)+SQRT(1-G$9^2*$C$11)*NORMSINV(F702)))*(G$7-G$5)*(G$7-G$6))))</f>
        <v>0.0503749721357382</v>
      </c>
      <c r="H702" s="2" t="n">
        <v>0.861893893</v>
      </c>
      <c r="I702" s="2" t="n">
        <f aca="false">IF(I$7=I$5,I$6,IF(NORMSDIST(I$9*SQRT($C$11)*NORMSINV($B702)+SQRT(1-I$9^2*$C$11)*NORMSINV(H702))&lt;I$8,I$5+SQRT(NORMSDIST(I$9*SQRT($C$11)*NORMSINV($B702)+SQRT(1-I$9^2*$C$11)*NORMSINV(H702))*(I$7-I$5)*(I$6-I$5)),I$7-SQRT((1-NORMSDIST(I$9*SQRT($C$11)*NORMSINV($B702)+SQRT(1-I$9^2*$C$11)*NORMSINV(H702)))*(I$7-I$5)*(I$7-I$6))))</f>
        <v>202.501932178004</v>
      </c>
      <c r="J702" s="2" t="n">
        <v>0.778431902</v>
      </c>
      <c r="K702" s="2" t="n">
        <f aca="false">IF(K$7=K$5,K$6,IF(NORMSDIST(K$9*SQRT($C$11)*NORMSINV($B702)+SQRT(1-K$9^2*$C$11)*NORMSINV(J702))&lt;K$8,K$5+SQRT(NORMSDIST(K$9*SQRT($C$11)*NORMSINV($B702)+SQRT(1-K$9^2*$C$11)*NORMSINV(J702))*(K$7-K$5)*(K$6-K$5)),K$7-SQRT((1-NORMSDIST(K$9*SQRT($C$11)*NORMSINV($B702)+SQRT(1-K$9^2*$C$11)*NORMSINV(J702)))*(K$7-K$5)*(K$7-K$6))))</f>
        <v>0.254927168151172</v>
      </c>
      <c r="L702" s="2" t="n">
        <v>0.353514803</v>
      </c>
      <c r="M702" s="2" t="n">
        <f aca="false">IF(M$7=M$5,M$6,IF(NORMSDIST(M$9*SQRT($C$11)*NORMSINV($B702)+SQRT(1-M$9^2*$C$11)*NORMSINV(L702))&lt;M$8,M$5+SQRT(NORMSDIST(M$9*SQRT($C$11)*NORMSINV($B702)+SQRT(1-M$9^2*$C$11)*NORMSINV(L702))*(M$7-M$5)*(M$6-M$5)),M$7-SQRT((1-NORMSDIST(M$9*SQRT($C$11)*NORMSINV($B702)+SQRT(1-M$9^2*$C$11)*NORMSINV(L702)))*(M$7-M$5)*(M$7-M$6))))</f>
        <v>1482.32032229911</v>
      </c>
      <c r="N702" s="2" t="n">
        <v>0.968033615</v>
      </c>
      <c r="O702" s="2" t="n">
        <f aca="false">IF(O$7=O$5,O$6,IF(NORMSDIST(O$9*SQRT($C$11)*NORMSINV($B702)+SQRT(1-O$9^2*$C$11)*NORMSINV(N702))&lt;O$8,O$5+SQRT(NORMSDIST(O$9*SQRT($C$11)*NORMSINV($B702)+SQRT(1-O$9^2*$C$11)*NORMSINV(N702))*(O$7-O$5)*(O$6-O$5)),O$7-SQRT((1-NORMSDIST(O$9*SQRT($C$11)*NORMSINV($B702)+SQRT(1-O$9^2*$C$11)*NORMSINV(N702)))*(O$7-O$5)*(O$7-O$6))))</f>
        <v>0.175896099682305</v>
      </c>
      <c r="P702" s="2" t="n">
        <v>0.073250281</v>
      </c>
      <c r="Q702" s="2" t="n">
        <f aca="false">IF(Q$7=Q$5,Q$6,IF(NORMSDIST(Q$9*SQRT($C$11)*NORMSINV($B702)+SQRT(1-Q$9^2*$C$11)*NORMSINV(P702))&lt;Q$8,Q$5+SQRT(NORMSDIST(Q$9*SQRT($C$11)*NORMSINV($B702)+SQRT(1-Q$9^2*$C$11)*NORMSINV(P702))*(Q$7-Q$5)*(Q$6-Q$5)),Q$7-SQRT((1-NORMSDIST(Q$9*SQRT($C$11)*NORMSINV($B702)+SQRT(1-Q$9^2*$C$11)*NORMSINV(P702)))*(Q$7-Q$5)*(Q$7-Q$6))))</f>
        <v>0.0553101567333584</v>
      </c>
      <c r="R702" s="2" t="n">
        <v>0.588109849</v>
      </c>
      <c r="S702" s="2" t="n">
        <f aca="false">IF(S$7=S$5,S$6,IF(NORMSDIST(S$9*SQRT($C$11)*NORMSINV($B702)+SQRT(1-S$9^2*$C$11)*NORMSINV(R702))&lt;S$8,S$5+SQRT(NORMSDIST(S$9*SQRT($C$11)*NORMSINV($B702)+SQRT(1-S$9^2*$C$11)*NORMSINV(R702))*(S$7-S$5)*(S$6-S$5)),S$7-SQRT((1-NORMSDIST(S$9*SQRT($C$11)*NORMSINV($B702)+SQRT(1-S$9^2*$C$11)*NORMSINV(R702)))*(S$7-S$5)*(S$7-S$6))))</f>
        <v>0.421139169355078</v>
      </c>
      <c r="T702" s="2" t="n">
        <v>0.755035953</v>
      </c>
      <c r="U702" s="2" t="n">
        <f aca="false">IF(U$7=U$5,U$6,IF(NORMSDIST(U$9*SQRT($C$11)*NORMSINV($B702)+SQRT(1-U$9^2*$C$11)*NORMSINV(T702))&lt;U$8,U$5+SQRT(NORMSDIST(U$9*SQRT($C$11)*NORMSINV($B702)+SQRT(1-U$9^2*$C$11)*NORMSINV(T702))*(U$7-U$5)*(U$6-U$5)),U$7-SQRT((1-NORMSDIST(U$9*SQRT($C$11)*NORMSINV($B702)+SQRT(1-U$9^2*$C$11)*NORMSINV(T702)))*(U$7-U$5)*(U$7-U$6))))</f>
        <v>0.497939264353031</v>
      </c>
      <c r="V702" s="2" t="n">
        <v>0.141688524</v>
      </c>
      <c r="W702" s="2" t="n">
        <f aca="false">IF(W$7=W$5,W$6,IF(NORMSDIST(W$9*SQRT($C$11)*NORMSINV($B702)+SQRT(1-W$9^2*$C$11)*NORMSINV(V702))&lt;W$8,W$5+SQRT(NORMSDIST(W$9*SQRT($C$11)*NORMSINV($B702)+SQRT(1-W$9^2*$C$11)*NORMSINV(V702))*(W$7-W$5)*(W$6-W$5)),W$7-SQRT((1-NORMSDIST(W$9*SQRT($C$11)*NORMSINV($B702)+SQRT(1-W$9^2*$C$11)*NORMSINV(V702)))*(W$7-W$5)*(W$7-W$6))))</f>
        <v>8.82170638246508</v>
      </c>
      <c r="X702" s="2" t="n">
        <v>0.177261854</v>
      </c>
      <c r="Y702" s="2" t="n">
        <f aca="false">IF(Y$7=Y$5,Y$6,IF(NORMSDIST(Y$9*SQRT($C$11)*NORMSINV($B702)+SQRT(1-Y$9^2*$C$11)*NORMSINV(X702))&lt;Y$8,Y$5+SQRT(NORMSDIST(Y$9*SQRT($C$11)*NORMSINV($B702)+SQRT(1-Y$9^2*$C$11)*NORMSINV(X702))*(Y$7-Y$5)*(Y$6-Y$5)),Y$7-SQRT((1-NORMSDIST(Y$9*SQRT($C$11)*NORMSINV($B702)+SQRT(1-Y$9^2*$C$11)*NORMSINV(X702)))*(Y$7-Y$5)*(Y$7-Y$6))))</f>
        <v>0.297709467434276</v>
      </c>
      <c r="Z702" s="2" t="n">
        <v>0.08643145</v>
      </c>
      <c r="AA702" s="2" t="n">
        <f aca="false">IF(AA$7=AA$5,AA$6,IF(NORMSDIST(AA$9*SQRT($C$11)*NORMSINV($B702)+SQRT(1-AA$9^2*$C$11)*NORMSINV(Z702))&lt;AA$8,AA$5+SQRT(NORMSDIST(AA$9*SQRT($C$11)*NORMSINV($B702)+SQRT(1-AA$9^2*$C$11)*NORMSINV(Z702))*(AA$7-AA$5)*(AA$6-AA$5)),AA$7-SQRT((1-NORMSDIST(AA$9*SQRT($C$11)*NORMSINV($B702)+SQRT(1-AA$9^2*$C$11)*NORMSINV(Z702)))*(AA$7-AA$5)*(AA$7-AA$6))))</f>
        <v>0.706145147091132</v>
      </c>
      <c r="AB702" s="2" t="n">
        <v>0.118719163</v>
      </c>
      <c r="AC702" s="2" t="n">
        <f aca="false">IF(AC$7=AC$5,AC$6,IF(NORMSDIST(AC$9*SQRT($C$11)*NORMSINV($B702)+SQRT(1-AC$9^2*$C$11)*NORMSINV(AB702))&lt;AC$8,AC$5+SQRT(NORMSDIST(AC$9*SQRT($C$11)*NORMSINV($B702)+SQRT(1-AC$9^2*$C$11)*NORMSINV(AB702))*(AC$7-AC$5)*(AC$6-AC$5)),AC$7-SQRT((1-NORMSDIST(AC$9*SQRT($C$11)*NORMSINV($B702)+SQRT(1-AC$9^2*$C$11)*NORMSINV(AB702)))*(AC$7-AC$5)*(AC$7-AC$6))))</f>
        <v>8.18934253704017</v>
      </c>
      <c r="AD702" s="2" t="n">
        <f aca="false">Entrées!$C$8*(1+E702)</f>
        <v>7408.23773614392</v>
      </c>
      <c r="AE702" s="2" t="n">
        <f aca="false">I702*Hypothèses!$J$24/12/Hypothèses!$J$19</f>
        <v>100.46056042086</v>
      </c>
      <c r="AF702" s="2" t="n">
        <f aca="false">Entrées!$C$36*S702*1000</f>
        <v>210.569584677539</v>
      </c>
      <c r="AG702" s="2" t="n">
        <f aca="false">-AF702/W702</f>
        <v>-23.8694846040318</v>
      </c>
      <c r="AH702" s="2" t="n">
        <f aca="false">AD702+AE702+AG702</f>
        <v>7484.82881196075</v>
      </c>
      <c r="AI702" s="2" t="n">
        <f aca="false">Entrées!$C$16-M702+Hypothèses!$J$22*1000-AF702+Hypothèses!$J$23</f>
        <v>22855.1100930234</v>
      </c>
      <c r="AJ702" s="2" t="n">
        <f aca="false">AI702/AH702</f>
        <v>3.05352475884297</v>
      </c>
      <c r="AK702" s="2" t="n">
        <f aca="false">AI702/(AH702+I702*(12-Hypothèses!$J$24)/12/Hypothèses!$J$19)</f>
        <v>3.02452840726716</v>
      </c>
      <c r="AL702" s="2" t="n">
        <f aca="false">(AD702+AG702+I702/Hypothèses!$J$19)*(1+G702)</f>
        <v>7937.2491821989</v>
      </c>
      <c r="AM702" s="2" t="n">
        <f aca="false">Entrées!$C$54*K702/Hypothèses!$J$19</f>
        <v>26.0163878798373</v>
      </c>
      <c r="AN702" s="2" t="n">
        <f aca="false">Y702*1000/AC702</f>
        <v>36.3532806312282</v>
      </c>
      <c r="AO702" s="2" t="n">
        <f aca="false">(Entrées!$C$36*(1-S702)+MAX(0,Entrées!$C$30-Entrées!$C$35-Entrées!$C$36)*U702)*1000</f>
        <v>986.545385416704</v>
      </c>
      <c r="AP702" s="2" t="n">
        <f aca="false">-AO702/W702</f>
        <v>-111.83158253574</v>
      </c>
      <c r="AQ702" s="2" t="n">
        <f aca="false">AL702+AM702+AN702+AP702</f>
        <v>7887.78726817423</v>
      </c>
      <c r="AR702" s="2" t="n">
        <f aca="false">O702*AQ702-Hypothèses!$J$25/Hypothèses!$J$19</f>
        <v>1368.29585333396</v>
      </c>
      <c r="AS702" s="2" t="n">
        <f aca="false">Entrées!$C$79*(1+Q702)+Hypothèses!$J$20</f>
        <v>1454.78586224996</v>
      </c>
      <c r="AT702" s="2" t="n">
        <f aca="false">AI702-AR702+AS702+Y702*1000-AO702+Hypothèses!$J$23</f>
        <v>22252.7641839569</v>
      </c>
      <c r="AU702" s="2" t="n">
        <f aca="false">AT702/AQ702</f>
        <v>2.82116687828825</v>
      </c>
      <c r="AV702" s="2" t="n">
        <f aca="false">Hypothèses!$J$26*AQ702-AT702</f>
        <v>1410.59762056576</v>
      </c>
      <c r="AW702" s="2" t="n">
        <f aca="false">IF(AC702&gt;Hypothèses!$J$26,MAX(0,AV702)/(1-Hypothèses!$J$26/AC702),0)</f>
        <v>2226.07527144193</v>
      </c>
      <c r="AX702" s="2" t="n">
        <f aca="false">AQ702-Entrées!$C$17*1000</f>
        <v>-112.212731825772</v>
      </c>
      <c r="AY702" s="2" t="n">
        <f aca="false">AI702+(Entrées!$C$244-Entrées!$C$13)</f>
        <v>28602.1100930234</v>
      </c>
      <c r="AZ702" s="2" t="n">
        <f aca="false">AA702*AH702</f>
        <v>5285.37554237397</v>
      </c>
      <c r="BA702" s="2" t="n">
        <f aca="false">AZ702/AY702</f>
        <v>0.184789706954634</v>
      </c>
      <c r="BB702" s="2" t="n">
        <f aca="false">AZ702/(Entrées!$C$151/100)-AY702</f>
        <v>761.087364609819</v>
      </c>
      <c r="BC702" s="2" t="n">
        <f aca="false">AT702+(Entrées!$C$244-Entrées!$C$13)</f>
        <v>27999.7641839569</v>
      </c>
      <c r="BD702" s="2" t="n">
        <f aca="false">AA702*AQ702</f>
        <v>5569.92270070845</v>
      </c>
      <c r="BE702" s="2" t="n">
        <f aca="false">BD702/BC702</f>
        <v>0.198927486107182</v>
      </c>
      <c r="BF702" s="2" t="n">
        <f aca="false">BD702/(Entrées!$C$151/100)-BC702</f>
        <v>2944.25081997892</v>
      </c>
      <c r="BG702" s="2" t="n">
        <f aca="false">MIN(AV702,BF702)</f>
        <v>1410.59762056576</v>
      </c>
      <c r="BH702" s="2" t="n">
        <f aca="false">IF(AC702&gt;Hypothèses!$J$26,MAX(0,BG702)/(1-Hypothèses!$J$26/AC702),0)</f>
        <v>2226.07527144193</v>
      </c>
    </row>
    <row r="703" customFormat="false" ht="15" hidden="false" customHeight="false" outlineLevel="0" collapsed="false">
      <c r="A703" s="2" t="n">
        <v>688</v>
      </c>
      <c r="B703" s="2" t="n">
        <v>0.538602719</v>
      </c>
      <c r="C703" s="2"/>
      <c r="D703" s="2" t="n">
        <v>0.826317133</v>
      </c>
      <c r="E703" s="2" t="n">
        <f aca="false">IF(E$7=E$5,E$6,IF(NORMSDIST(E$9*SQRT($C$11)*NORMSINV($B703)+SQRT(1-E$9^2*$C$11)*NORMSINV(D703))&lt;E$8,E$5+SQRT(NORMSDIST(E$9*SQRT($C$11)*NORMSINV($B703)+SQRT(1-E$9^2*$C$11)*NORMSINV(D703))*(E$7-E$5)*(E$6-E$5)),E$7-SQRT((1-NORMSDIST(E$9*SQRT($C$11)*NORMSINV($B703)+SQRT(1-E$9^2*$C$11)*NORMSINV(D703)))*(E$7-E$5)*(E$7-E$6))))</f>
        <v>0.0567212793735473</v>
      </c>
      <c r="F703" s="2" t="n">
        <v>0.063522115</v>
      </c>
      <c r="G703" s="2" t="n">
        <f aca="false">IF(G$7=G$5,G$6,IF(NORMSDIST(G$9*SQRT($C$11)*NORMSINV($B703)+SQRT(1-G$9^2*$C$11)*NORMSINV(F703))&lt;G$8,G$5+SQRT(NORMSDIST(G$9*SQRT($C$11)*NORMSINV($B703)+SQRT(1-G$9^2*$C$11)*NORMSINV(F703))*(G$7-G$5)*(G$6-G$5)),G$7-SQRT((1-NORMSDIST(G$9*SQRT($C$11)*NORMSINV($B703)+SQRT(1-G$9^2*$C$11)*NORMSINV(F703)))*(G$7-G$5)*(G$7-G$6))))</f>
        <v>0.0476843902796889</v>
      </c>
      <c r="H703" s="2" t="n">
        <v>0.418740465</v>
      </c>
      <c r="I703" s="2" t="n">
        <f aca="false">IF(I$7=I$5,I$6,IF(NORMSDIST(I$9*SQRT($C$11)*NORMSINV($B703)+SQRT(1-I$9^2*$C$11)*NORMSINV(H703))&lt;I$8,I$5+SQRT(NORMSDIST(I$9*SQRT($C$11)*NORMSINV($B703)+SQRT(1-I$9^2*$C$11)*NORMSINV(H703))*(I$7-I$5)*(I$6-I$5)),I$7-SQRT((1-NORMSDIST(I$9*SQRT($C$11)*NORMSINV($B703)+SQRT(1-I$9^2*$C$11)*NORMSINV(H703)))*(I$7-I$5)*(I$7-I$6))))</f>
        <v>199.206861187295</v>
      </c>
      <c r="J703" s="2" t="n">
        <v>0.88485215</v>
      </c>
      <c r="K703" s="2" t="n">
        <f aca="false">IF(K$7=K$5,K$6,IF(NORMSDIST(K$9*SQRT($C$11)*NORMSINV($B703)+SQRT(1-K$9^2*$C$11)*NORMSINV(J703))&lt;K$8,K$5+SQRT(NORMSDIST(K$9*SQRT($C$11)*NORMSINV($B703)+SQRT(1-K$9^2*$C$11)*NORMSINV(J703))*(K$7-K$5)*(K$6-K$5)),K$7-SQRT((1-NORMSDIST(K$9*SQRT($C$11)*NORMSINV($B703)+SQRT(1-K$9^2*$C$11)*NORMSINV(J703)))*(K$7-K$5)*(K$7-K$6))))</f>
        <v>0.358152655403461</v>
      </c>
      <c r="L703" s="2" t="n">
        <v>0.740071539</v>
      </c>
      <c r="M703" s="2" t="n">
        <f aca="false">IF(M$7=M$5,M$6,IF(NORMSDIST(M$9*SQRT($C$11)*NORMSINV($B703)+SQRT(1-M$9^2*$C$11)*NORMSINV(L703))&lt;M$8,M$5+SQRT(NORMSDIST(M$9*SQRT($C$11)*NORMSINV($B703)+SQRT(1-M$9^2*$C$11)*NORMSINV(L703))*(M$7-M$5)*(M$6-M$5)),M$7-SQRT((1-NORMSDIST(M$9*SQRT($C$11)*NORMSINV($B703)+SQRT(1-M$9^2*$C$11)*NORMSINV(L703)))*(M$7-M$5)*(M$7-M$6))))</f>
        <v>1640.5321588401</v>
      </c>
      <c r="N703" s="2" t="n">
        <v>0.801668922</v>
      </c>
      <c r="O703" s="2" t="n">
        <f aca="false">IF(O$7=O$5,O$6,IF(NORMSDIST(O$9*SQRT($C$11)*NORMSINV($B703)+SQRT(1-O$9^2*$C$11)*NORMSINV(N703))&lt;O$8,O$5+SQRT(NORMSDIST(O$9*SQRT($C$11)*NORMSINV($B703)+SQRT(1-O$9^2*$C$11)*NORMSINV(N703))*(O$7-O$5)*(O$6-O$5)),O$7-SQRT((1-NORMSDIST(O$9*SQRT($C$11)*NORMSINV($B703)+SQRT(1-O$9^2*$C$11)*NORMSINV(N703)))*(O$7-O$5)*(O$7-O$6))))</f>
        <v>0.174130572432055</v>
      </c>
      <c r="P703" s="2" t="n">
        <v>0.713320539</v>
      </c>
      <c r="Q703" s="2" t="n">
        <f aca="false">IF(Q$7=Q$5,Q$6,IF(NORMSDIST(Q$9*SQRT($C$11)*NORMSINV($B703)+SQRT(1-Q$9^2*$C$11)*NORMSINV(P703))&lt;Q$8,Q$5+SQRT(NORMSDIST(Q$9*SQRT($C$11)*NORMSINV($B703)+SQRT(1-Q$9^2*$C$11)*NORMSINV(P703))*(Q$7-Q$5)*(Q$6-Q$5)),Q$7-SQRT((1-NORMSDIST(Q$9*SQRT($C$11)*NORMSINV($B703)+SQRT(1-Q$9^2*$C$11)*NORMSINV(P703)))*(Q$7-Q$5)*(Q$7-Q$6))))</f>
        <v>0.0897118129429971</v>
      </c>
      <c r="R703" s="2" t="n">
        <v>0.737103404</v>
      </c>
      <c r="S703" s="2" t="n">
        <f aca="false">IF(S$7=S$5,S$6,IF(NORMSDIST(S$9*SQRT($C$11)*NORMSINV($B703)+SQRT(1-S$9^2*$C$11)*NORMSINV(R703))&lt;S$8,S$5+SQRT(NORMSDIST(S$9*SQRT($C$11)*NORMSINV($B703)+SQRT(1-S$9^2*$C$11)*NORMSINV(R703))*(S$7-S$5)*(S$6-S$5)),S$7-SQRT((1-NORMSDIST(S$9*SQRT($C$11)*NORMSINV($B703)+SQRT(1-S$9^2*$C$11)*NORMSINV(R703)))*(S$7-S$5)*(S$7-S$6))))</f>
        <v>0.6190641249699</v>
      </c>
      <c r="T703" s="2" t="n">
        <v>0.535153031</v>
      </c>
      <c r="U703" s="2" t="n">
        <f aca="false">IF(U$7=U$5,U$6,IF(NORMSDIST(U$9*SQRT($C$11)*NORMSINV($B703)+SQRT(1-U$9^2*$C$11)*NORMSINV(T703))&lt;U$8,U$5+SQRT(NORMSDIST(U$9*SQRT($C$11)*NORMSINV($B703)+SQRT(1-U$9^2*$C$11)*NORMSINV(T703))*(U$7-U$5)*(U$6-U$5)),U$7-SQRT((1-NORMSDIST(U$9*SQRT($C$11)*NORMSINV($B703)+SQRT(1-U$9^2*$C$11)*NORMSINV(T703)))*(U$7-U$5)*(U$7-U$6))))</f>
        <v>0.526488114060501</v>
      </c>
      <c r="V703" s="2" t="n">
        <v>0.740164442</v>
      </c>
      <c r="W703" s="2" t="n">
        <f aca="false">IF(W$7=W$5,W$6,IF(NORMSDIST(W$9*SQRT($C$11)*NORMSINV($B703)+SQRT(1-W$9^2*$C$11)*NORMSINV(V703))&lt;W$8,W$5+SQRT(NORMSDIST(W$9*SQRT($C$11)*NORMSINV($B703)+SQRT(1-W$9^2*$C$11)*NORMSINV(V703))*(W$7-W$5)*(W$6-W$5)),W$7-SQRT((1-NORMSDIST(W$9*SQRT($C$11)*NORMSINV($B703)+SQRT(1-W$9^2*$C$11)*NORMSINV(V703)))*(W$7-W$5)*(W$7-W$6))))</f>
        <v>10.4828106398307</v>
      </c>
      <c r="X703" s="2" t="n">
        <v>0.013999884</v>
      </c>
      <c r="Y703" s="2" t="n">
        <f aca="false">IF(Y$7=Y$5,Y$6,IF(NORMSDIST(Y$9*SQRT($C$11)*NORMSINV($B703)+SQRT(1-Y$9^2*$C$11)*NORMSINV(X703))&lt;Y$8,Y$5+SQRT(NORMSDIST(Y$9*SQRT($C$11)*NORMSINV($B703)+SQRT(1-Y$9^2*$C$11)*NORMSINV(X703))*(Y$7-Y$5)*(Y$6-Y$5)),Y$7-SQRT((1-NORMSDIST(Y$9*SQRT($C$11)*NORMSINV($B703)+SQRT(1-Y$9^2*$C$11)*NORMSINV(X703)))*(Y$7-Y$5)*(Y$7-Y$6))))</f>
        <v>0.083665656036393</v>
      </c>
      <c r="Z703" s="2" t="n">
        <v>0.126625347</v>
      </c>
      <c r="AA703" s="2" t="n">
        <f aca="false">IF(AA$7=AA$5,AA$6,IF(NORMSDIST(AA$9*SQRT($C$11)*NORMSINV($B703)+SQRT(1-AA$9^2*$C$11)*NORMSINV(Z703))&lt;AA$8,AA$5+SQRT(NORMSDIST(AA$9*SQRT($C$11)*NORMSINV($B703)+SQRT(1-AA$9^2*$C$11)*NORMSINV(Z703))*(AA$7-AA$5)*(AA$6-AA$5)),AA$7-SQRT((1-NORMSDIST(AA$9*SQRT($C$11)*NORMSINV($B703)+SQRT(1-AA$9^2*$C$11)*NORMSINV(Z703)))*(AA$7-AA$5)*(AA$7-AA$6))))</f>
        <v>0.71628118460278</v>
      </c>
      <c r="AB703" s="2" t="n">
        <v>0.371996635</v>
      </c>
      <c r="AC703" s="2" t="n">
        <f aca="false">IF(AC$7=AC$5,AC$6,IF(NORMSDIST(AC$9*SQRT($C$11)*NORMSINV($B703)+SQRT(1-AC$9^2*$C$11)*NORMSINV(AB703))&lt;AC$8,AC$5+SQRT(NORMSDIST(AC$9*SQRT($C$11)*NORMSINV($B703)+SQRT(1-AC$9^2*$C$11)*NORMSINV(AB703))*(AC$7-AC$5)*(AC$6-AC$5)),AC$7-SQRT((1-NORMSDIST(AC$9*SQRT($C$11)*NORMSINV($B703)+SQRT(1-AC$9^2*$C$11)*NORMSINV(AB703)))*(AC$7-AC$5)*(AC$7-AC$6))))</f>
        <v>9.31399492930702</v>
      </c>
      <c r="AD703" s="2" t="n">
        <f aca="false">Entrées!$C$8*(1+E703)</f>
        <v>7449.88501958351</v>
      </c>
      <c r="AE703" s="2" t="n">
        <f aca="false">I703*Hypothèses!$J$24/12/Hypothèses!$J$19</f>
        <v>98.825886248654</v>
      </c>
      <c r="AF703" s="2" t="n">
        <f aca="false">Entrées!$C$36*S703*1000</f>
        <v>309.53206248495</v>
      </c>
      <c r="AG703" s="2" t="n">
        <f aca="false">-AF703/W703</f>
        <v>-29.5275831186769</v>
      </c>
      <c r="AH703" s="2" t="n">
        <f aca="false">AD703+AE703+AG703</f>
        <v>7519.18332271349</v>
      </c>
      <c r="AI703" s="2" t="n">
        <f aca="false">Entrées!$C$16-M703+Hypothèses!$J$22*1000-AF703+Hypothèses!$J$23</f>
        <v>22597.935778675</v>
      </c>
      <c r="AJ703" s="2" t="n">
        <f aca="false">AI703/AH703</f>
        <v>3.0053710368269</v>
      </c>
      <c r="AK703" s="2" t="n">
        <f aca="false">AI703/(AH703+I703*(12-Hypothèses!$J$24)/12/Hypothèses!$J$19)</f>
        <v>2.97741909537213</v>
      </c>
      <c r="AL703" s="2" t="n">
        <f aca="false">(AD703+AG703+I703/Hypothèses!$J$19)*(1+G703)</f>
        <v>7951.68695084276</v>
      </c>
      <c r="AM703" s="2" t="n">
        <f aca="false">Entrées!$C$54*K703/Hypothèses!$J$19</f>
        <v>36.5509822697463</v>
      </c>
      <c r="AN703" s="2" t="n">
        <f aca="false">Y703*1000/AC703</f>
        <v>8.9827895195792</v>
      </c>
      <c r="AO703" s="2" t="n">
        <f aca="false">(Entrées!$C$36*(1-S703)+MAX(0,Entrées!$C$30-Entrées!$C$35-Entrées!$C$36)*U703)*1000</f>
        <v>927.551297199751</v>
      </c>
      <c r="AP703" s="2" t="n">
        <f aca="false">-AO703/W703</f>
        <v>-88.4830728197467</v>
      </c>
      <c r="AQ703" s="2" t="n">
        <f aca="false">AL703+AM703+AN703+AP703</f>
        <v>7908.73764981234</v>
      </c>
      <c r="AR703" s="2" t="n">
        <f aca="false">O703*AQ703-Hypothèses!$J$25/Hypothèses!$J$19</f>
        <v>1358.01785191514</v>
      </c>
      <c r="AS703" s="2" t="n">
        <f aca="false">Entrées!$C$79*(1+Q703)+Hypothèses!$J$20</f>
        <v>1492.59328242435</v>
      </c>
      <c r="AT703" s="2" t="n">
        <f aca="false">AI703-AR703+AS703+Y703*1000-AO703+Hypothèses!$J$23</f>
        <v>21888.6255680208</v>
      </c>
      <c r="AU703" s="2" t="n">
        <f aca="false">AT703/AQ703</f>
        <v>2.76765098770727</v>
      </c>
      <c r="AV703" s="2" t="n">
        <f aca="false">Hypothèses!$J$26*AQ703-AT703</f>
        <v>1837.58738141622</v>
      </c>
      <c r="AW703" s="2" t="n">
        <f aca="false">IF(AC703&gt;Hypothèses!$J$26,MAX(0,AV703)/(1-Hypothèses!$J$26/AC703),0)</f>
        <v>2710.6894674918</v>
      </c>
      <c r="AX703" s="2" t="n">
        <f aca="false">AQ703-Entrées!$C$17*1000</f>
        <v>-91.2623501876587</v>
      </c>
      <c r="AY703" s="2" t="n">
        <f aca="false">AI703+(Entrées!$C$244-Entrées!$C$13)</f>
        <v>28344.935778675</v>
      </c>
      <c r="AZ703" s="2" t="n">
        <f aca="false">AA703*AH703</f>
        <v>5385.84953763868</v>
      </c>
      <c r="BA703" s="2" t="n">
        <f aca="false">AZ703/AY703</f>
        <v>0.19001099807362</v>
      </c>
      <c r="BB703" s="2" t="n">
        <f aca="false">AZ703/(Entrées!$C$151/100)-AY703</f>
        <v>1576.45054153995</v>
      </c>
      <c r="BC703" s="2" t="n">
        <f aca="false">AT703+(Entrées!$C$244-Entrées!$C$13)</f>
        <v>27635.6255680208</v>
      </c>
      <c r="BD703" s="2" t="n">
        <f aca="false">AA703*AQ703</f>
        <v>5664.87997252019</v>
      </c>
      <c r="BE703" s="2" t="n">
        <f aca="false">BD703/BC703</f>
        <v>0.204984683939105</v>
      </c>
      <c r="BF703" s="2" t="n">
        <f aca="false">BD703/(Entrées!$C$151/100)-BC703</f>
        <v>3835.92983486914</v>
      </c>
      <c r="BG703" s="2" t="n">
        <f aca="false">MIN(AV703,BF703)</f>
        <v>1837.58738141622</v>
      </c>
      <c r="BH703" s="2" t="n">
        <f aca="false">IF(AC703&gt;Hypothèses!$J$26,MAX(0,BG703)/(1-Hypothèses!$J$26/AC703),0)</f>
        <v>2710.6894674918</v>
      </c>
    </row>
    <row r="704" customFormat="false" ht="15" hidden="false" customHeight="false" outlineLevel="0" collapsed="false">
      <c r="A704" s="2" t="n">
        <v>689</v>
      </c>
      <c r="B704" s="2" t="n">
        <v>0.53694658</v>
      </c>
      <c r="C704" s="2"/>
      <c r="D704" s="2" t="n">
        <v>0.072687263</v>
      </c>
      <c r="E704" s="2" t="n">
        <f aca="false">IF(E$7=E$5,E$6,IF(NORMSDIST(E$9*SQRT($C$11)*NORMSINV($B704)+SQRT(1-E$9^2*$C$11)*NORMSINV(D704))&lt;E$8,E$5+SQRT(NORMSDIST(E$9*SQRT($C$11)*NORMSINV($B704)+SQRT(1-E$9^2*$C$11)*NORMSINV(D704))*(E$7-E$5)*(E$6-E$5)),E$7-SQRT((1-NORMSDIST(E$9*SQRT($C$11)*NORMSINV($B704)+SQRT(1-E$9^2*$C$11)*NORMSINV(D704)))*(E$7-E$5)*(E$7-E$6))))</f>
        <v>0.0526691592456849</v>
      </c>
      <c r="F704" s="2" t="n">
        <v>0.456290931</v>
      </c>
      <c r="G704" s="2" t="n">
        <f aca="false">IF(G$7=G$5,G$6,IF(NORMSDIST(G$9*SQRT($C$11)*NORMSINV($B704)+SQRT(1-G$9^2*$C$11)*NORMSINV(F704))&lt;G$8,G$5+SQRT(NORMSDIST(G$9*SQRT($C$11)*NORMSINV($B704)+SQRT(1-G$9^2*$C$11)*NORMSINV(F704))*(G$7-G$5)*(G$6-G$5)),G$7-SQRT((1-NORMSDIST(G$9*SQRT($C$11)*NORMSINV($B704)+SQRT(1-G$9^2*$C$11)*NORMSINV(F704)))*(G$7-G$5)*(G$7-G$6))))</f>
        <v>0.0548413136958005</v>
      </c>
      <c r="H704" s="2" t="n">
        <v>0.745158473</v>
      </c>
      <c r="I704" s="2" t="n">
        <f aca="false">IF(I$7=I$5,I$6,IF(NORMSDIST(I$9*SQRT($C$11)*NORMSINV($B704)+SQRT(1-I$9^2*$C$11)*NORMSINV(H704))&lt;I$8,I$5+SQRT(NORMSDIST(I$9*SQRT($C$11)*NORMSINV($B704)+SQRT(1-I$9^2*$C$11)*NORMSINV(H704))*(I$7-I$5)*(I$6-I$5)),I$7-SQRT((1-NORMSDIST(I$9*SQRT($C$11)*NORMSINV($B704)+SQRT(1-I$9^2*$C$11)*NORMSINV(H704)))*(I$7-I$5)*(I$7-I$6))))</f>
        <v>204.912210601162</v>
      </c>
      <c r="J704" s="2" t="n">
        <v>0.137783599</v>
      </c>
      <c r="K704" s="2" t="n">
        <f aca="false">IF(K$7=K$5,K$6,IF(NORMSDIST(K$9*SQRT($C$11)*NORMSINV($B704)+SQRT(1-K$9^2*$C$11)*NORMSINV(J704))&lt;K$8,K$5+SQRT(NORMSDIST(K$9*SQRT($C$11)*NORMSINV($B704)+SQRT(1-K$9^2*$C$11)*NORMSINV(J704))*(K$7-K$5)*(K$6-K$5)),K$7-SQRT((1-NORMSDIST(K$9*SQRT($C$11)*NORMSINV($B704)+SQRT(1-K$9^2*$C$11)*NORMSINV(J704)))*(K$7-K$5)*(K$7-K$6))))</f>
        <v>0.164301535362726</v>
      </c>
      <c r="L704" s="2" t="n">
        <v>0.80633409</v>
      </c>
      <c r="M704" s="2" t="n">
        <f aca="false">IF(M$7=M$5,M$6,IF(NORMSDIST(M$9*SQRT($C$11)*NORMSINV($B704)+SQRT(1-M$9^2*$C$11)*NORMSINV(L704))&lt;M$8,M$5+SQRT(NORMSDIST(M$9*SQRT($C$11)*NORMSINV($B704)+SQRT(1-M$9^2*$C$11)*NORMSINV(L704))*(M$7-M$5)*(M$6-M$5)),M$7-SQRT((1-NORMSDIST(M$9*SQRT($C$11)*NORMSINV($B704)+SQRT(1-M$9^2*$C$11)*NORMSINV(L704)))*(M$7-M$5)*(M$7-M$6))))</f>
        <v>1655.63989832196</v>
      </c>
      <c r="N704" s="2" t="n">
        <v>0.006911228</v>
      </c>
      <c r="O704" s="2" t="n">
        <f aca="false">IF(O$7=O$5,O$6,IF(NORMSDIST(O$9*SQRT($C$11)*NORMSINV($B704)+SQRT(1-O$9^2*$C$11)*NORMSINV(N704))&lt;O$8,O$5+SQRT(NORMSDIST(O$9*SQRT($C$11)*NORMSINV($B704)+SQRT(1-O$9^2*$C$11)*NORMSINV(N704))*(O$7-O$5)*(O$6-O$5)),O$7-SQRT((1-NORMSDIST(O$9*SQRT($C$11)*NORMSINV($B704)+SQRT(1-O$9^2*$C$11)*NORMSINV(N704)))*(O$7-O$5)*(O$7-O$6))))</f>
        <v>0.146805677915278</v>
      </c>
      <c r="P704" s="2" t="n">
        <v>0.870214458</v>
      </c>
      <c r="Q704" s="2" t="n">
        <f aca="false">IF(Q$7=Q$5,Q$6,IF(NORMSDIST(Q$9*SQRT($C$11)*NORMSINV($B704)+SQRT(1-Q$9^2*$C$11)*NORMSINV(P704))&lt;Q$8,Q$5+SQRT(NORMSDIST(Q$9*SQRT($C$11)*NORMSINV($B704)+SQRT(1-Q$9^2*$C$11)*NORMSINV(P704))*(Q$7-Q$5)*(Q$6-Q$5)),Q$7-SQRT((1-NORMSDIST(Q$9*SQRT($C$11)*NORMSINV($B704)+SQRT(1-Q$9^2*$C$11)*NORMSINV(P704)))*(Q$7-Q$5)*(Q$7-Q$6))))</f>
        <v>0.099620752359324</v>
      </c>
      <c r="R704" s="2" t="n">
        <v>0.924589629</v>
      </c>
      <c r="S704" s="2" t="n">
        <f aca="false">IF(S$7=S$5,S$6,IF(NORMSDIST(S$9*SQRT($C$11)*NORMSINV($B704)+SQRT(1-S$9^2*$C$11)*NORMSINV(R704))&lt;S$8,S$5+SQRT(NORMSDIST(S$9*SQRT($C$11)*NORMSINV($B704)+SQRT(1-S$9^2*$C$11)*NORMSINV(R704))*(S$7-S$5)*(S$6-S$5)),S$7-SQRT((1-NORMSDIST(S$9*SQRT($C$11)*NORMSINV($B704)+SQRT(1-S$9^2*$C$11)*NORMSINV(R704)))*(S$7-S$5)*(S$7-S$6))))</f>
        <v>0.754332980761159</v>
      </c>
      <c r="T704" s="2" t="n">
        <v>0.139074181</v>
      </c>
      <c r="U704" s="2" t="n">
        <f aca="false">IF(U$7=U$5,U$6,IF(NORMSDIST(U$9*SQRT($C$11)*NORMSINV($B704)+SQRT(1-U$9^2*$C$11)*NORMSINV(T704))&lt;U$8,U$5+SQRT(NORMSDIST(U$9*SQRT($C$11)*NORMSINV($B704)+SQRT(1-U$9^2*$C$11)*NORMSINV(T704))*(U$7-U$5)*(U$6-U$5)),U$7-SQRT((1-NORMSDIST(U$9*SQRT($C$11)*NORMSINV($B704)+SQRT(1-U$9^2*$C$11)*NORMSINV(T704)))*(U$7-U$5)*(U$7-U$6))))</f>
        <v>0.32961204530131</v>
      </c>
      <c r="V704" s="2" t="n">
        <v>0.334763386</v>
      </c>
      <c r="W704" s="2" t="n">
        <f aca="false">IF(W$7=W$5,W$6,IF(NORMSDIST(W$9*SQRT($C$11)*NORMSINV($B704)+SQRT(1-W$9^2*$C$11)*NORMSINV(V704))&lt;W$8,W$5+SQRT(NORMSDIST(W$9*SQRT($C$11)*NORMSINV($B704)+SQRT(1-W$9^2*$C$11)*NORMSINV(V704))*(W$7-W$5)*(W$6-W$5)),W$7-SQRT((1-NORMSDIST(W$9*SQRT($C$11)*NORMSINV($B704)+SQRT(1-W$9^2*$C$11)*NORMSINV(V704)))*(W$7-W$5)*(W$7-W$6))))</f>
        <v>9.7727589582058</v>
      </c>
      <c r="X704" s="2" t="n">
        <v>0.468251288</v>
      </c>
      <c r="Y704" s="2" t="n">
        <f aca="false">IF(Y$7=Y$5,Y$6,IF(NORMSDIST(Y$9*SQRT($C$11)*NORMSINV($B704)+SQRT(1-Y$9^2*$C$11)*NORMSINV(X704))&lt;Y$8,Y$5+SQRT(NORMSDIST(Y$9*SQRT($C$11)*NORMSINV($B704)+SQRT(1-Y$9^2*$C$11)*NORMSINV(X704))*(Y$7-Y$5)*(Y$6-Y$5)),Y$7-SQRT((1-NORMSDIST(Y$9*SQRT($C$11)*NORMSINV($B704)+SQRT(1-Y$9^2*$C$11)*NORMSINV(X704)))*(Y$7-Y$5)*(Y$7-Y$6))))</f>
        <v>0.483865315971294</v>
      </c>
      <c r="Z704" s="2" t="n">
        <v>0.259553999</v>
      </c>
      <c r="AA704" s="2" t="n">
        <f aca="false">IF(AA$7=AA$5,AA$6,IF(NORMSDIST(AA$9*SQRT($C$11)*NORMSINV($B704)+SQRT(1-AA$9^2*$C$11)*NORMSINV(Z704))&lt;AA$8,AA$5+SQRT(NORMSDIST(AA$9*SQRT($C$11)*NORMSINV($B704)+SQRT(1-AA$9^2*$C$11)*NORMSINV(Z704))*(AA$7-AA$5)*(AA$6-AA$5)),AA$7-SQRT((1-NORMSDIST(AA$9*SQRT($C$11)*NORMSINV($B704)+SQRT(1-AA$9^2*$C$11)*NORMSINV(Z704)))*(AA$7-AA$5)*(AA$7-AA$6))))</f>
        <v>0.721898840272491</v>
      </c>
      <c r="AB704" s="2" t="n">
        <v>0.306659627</v>
      </c>
      <c r="AC704" s="2" t="n">
        <f aca="false">IF(AC$7=AC$5,AC$6,IF(NORMSDIST(AC$9*SQRT($C$11)*NORMSINV($B704)+SQRT(1-AC$9^2*$C$11)*NORMSINV(AB704))&lt;AC$8,AC$5+SQRT(NORMSDIST(AC$9*SQRT($C$11)*NORMSINV($B704)+SQRT(1-AC$9^2*$C$11)*NORMSINV(AB704))*(AC$7-AC$5)*(AC$6-AC$5)),AC$7-SQRT((1-NORMSDIST(AC$9*SQRT($C$11)*NORMSINV($B704)+SQRT(1-AC$9^2*$C$11)*NORMSINV(AB704)))*(AC$7-AC$5)*(AC$7-AC$6))))</f>
        <v>9.18711519377765</v>
      </c>
      <c r="AD704" s="2" t="n">
        <f aca="false">Entrées!$C$8*(1+E704)</f>
        <v>7421.31757268208</v>
      </c>
      <c r="AE704" s="2" t="n">
        <f aca="false">I704*Hypothèses!$J$24/12/Hypothèses!$J$19</f>
        <v>101.656291832192</v>
      </c>
      <c r="AF704" s="2" t="n">
        <f aca="false">Entrées!$C$36*S704*1000</f>
        <v>377.166490380579</v>
      </c>
      <c r="AG704" s="2" t="n">
        <f aca="false">-AF704/W704</f>
        <v>-38.5936552813356</v>
      </c>
      <c r="AH704" s="2" t="n">
        <f aca="false">AD704+AE704+AG704</f>
        <v>7484.38020923294</v>
      </c>
      <c r="AI704" s="2" t="n">
        <f aca="false">Entrées!$C$16-M704+Hypothèses!$J$22*1000-AF704+Hypothèses!$J$23</f>
        <v>22515.1936112975</v>
      </c>
      <c r="AJ704" s="2" t="n">
        <f aca="false">AI704/AH704</f>
        <v>3.00829099830098</v>
      </c>
      <c r="AK704" s="2" t="n">
        <f aca="false">AI704/(AH704+I704*(12-Hypothèses!$J$24)/12/Hypothèses!$J$19)</f>
        <v>2.97938572243564</v>
      </c>
      <c r="AL704" s="2" t="n">
        <f aca="false">(AD704+AG704+I704/Hypothèses!$J$19)*(1+G704)</f>
        <v>7971.42720669306</v>
      </c>
      <c r="AM704" s="2" t="n">
        <f aca="false">Entrées!$C$54*K704/Hypothèses!$J$19</f>
        <v>16.7676615413335</v>
      </c>
      <c r="AN704" s="2" t="n">
        <f aca="false">Y704*1000/AC704</f>
        <v>52.6678185442816</v>
      </c>
      <c r="AO704" s="2" t="n">
        <f aca="false">(Entrées!$C$36*(1-S704)+MAX(0,Entrées!$C$30-Entrées!$C$35-Entrées!$C$36)*U704)*1000</f>
        <v>584.290373041255</v>
      </c>
      <c r="AP704" s="2" t="n">
        <f aca="false">-AO704/W704</f>
        <v>-59.7876582795127</v>
      </c>
      <c r="AQ704" s="2" t="n">
        <f aca="false">AL704+AM704+AN704+AP704</f>
        <v>7981.07502849916</v>
      </c>
      <c r="AR704" s="2" t="n">
        <f aca="false">O704*AQ704-Hypothèses!$J$25/Hypothèses!$J$19</f>
        <v>1152.53196778989</v>
      </c>
      <c r="AS704" s="2" t="n">
        <f aca="false">Entrées!$C$79*(1+Q704)+Hypothèses!$J$20</f>
        <v>1503.4832068429</v>
      </c>
      <c r="AT704" s="2" t="n">
        <f aca="false">AI704-AR704+AS704+Y704*1000-AO704+Hypothèses!$J$23</f>
        <v>22765.7197932805</v>
      </c>
      <c r="AU704" s="2" t="n">
        <f aca="false">AT704/AQ704</f>
        <v>2.85246282136024</v>
      </c>
      <c r="AV704" s="2" t="n">
        <f aca="false">Hypothèses!$J$26*AQ704-AT704</f>
        <v>1177.50529221698</v>
      </c>
      <c r="AW704" s="2" t="n">
        <f aca="false">IF(AC704&gt;Hypothèses!$J$26,MAX(0,AV704)/(1-Hypothèses!$J$26/AC704),0)</f>
        <v>1748.45245677011</v>
      </c>
      <c r="AX704" s="2" t="n">
        <f aca="false">AQ704-Entrées!$C$17*1000</f>
        <v>-18.9249715008373</v>
      </c>
      <c r="AY704" s="2" t="n">
        <f aca="false">AI704+(Entrées!$C$244-Entrées!$C$13)</f>
        <v>28262.1936112975</v>
      </c>
      <c r="AZ704" s="2" t="n">
        <f aca="false">AA704*AH704</f>
        <v>5402.96539320364</v>
      </c>
      <c r="BA704" s="2" t="n">
        <f aca="false">AZ704/AY704</f>
        <v>0.191172895760075</v>
      </c>
      <c r="BB704" s="2" t="n">
        <f aca="false">AZ704/(Entrées!$C$151/100)-AY704</f>
        <v>1754.28079538943</v>
      </c>
      <c r="BC704" s="2" t="n">
        <f aca="false">AT704+(Entrées!$C$244-Entrées!$C$13)</f>
        <v>28512.7197932805</v>
      </c>
      <c r="BD704" s="2" t="n">
        <f aca="false">AA704*AQ704</f>
        <v>5761.52880720128</v>
      </c>
      <c r="BE704" s="2" t="n">
        <f aca="false">BD704/BC704</f>
        <v>0.202068720520976</v>
      </c>
      <c r="BF704" s="2" t="n">
        <f aca="false">BD704/(Entrées!$C$151/100)-BC704</f>
        <v>3495.77358005997</v>
      </c>
      <c r="BG704" s="2" t="n">
        <f aca="false">MIN(AV704,BF704)</f>
        <v>1177.50529221698</v>
      </c>
      <c r="BH704" s="2" t="n">
        <f aca="false">IF(AC704&gt;Hypothèses!$J$26,MAX(0,BG704)/(1-Hypothèses!$J$26/AC704),0)</f>
        <v>1748.45245677011</v>
      </c>
    </row>
    <row r="705" customFormat="false" ht="15" hidden="false" customHeight="false" outlineLevel="0" collapsed="false">
      <c r="A705" s="2" t="n">
        <v>690</v>
      </c>
      <c r="B705" s="2" t="n">
        <v>0.966378613</v>
      </c>
      <c r="C705" s="2"/>
      <c r="D705" s="2" t="n">
        <v>0.936632929</v>
      </c>
      <c r="E705" s="2" t="n">
        <f aca="false">IF(E$7=E$5,E$6,IF(NORMSDIST(E$9*SQRT($C$11)*NORMSINV($B705)+SQRT(1-E$9^2*$C$11)*NORMSINV(D705))&lt;E$8,E$5+SQRT(NORMSDIST(E$9*SQRT($C$11)*NORMSINV($B705)+SQRT(1-E$9^2*$C$11)*NORMSINV(D705))*(E$7-E$5)*(E$6-E$5)),E$7-SQRT((1-NORMSDIST(E$9*SQRT($C$11)*NORMSINV($B705)+SQRT(1-E$9^2*$C$11)*NORMSINV(D705)))*(E$7-E$5)*(E$7-E$6))))</f>
        <v>0.0593059648568623</v>
      </c>
      <c r="F705" s="2" t="n">
        <v>0.772370628</v>
      </c>
      <c r="G705" s="2" t="n">
        <f aca="false">IF(G$7=G$5,G$6,IF(NORMSDIST(G$9*SQRT($C$11)*NORMSINV($B705)+SQRT(1-G$9^2*$C$11)*NORMSINV(F705))&lt;G$8,G$5+SQRT(NORMSDIST(G$9*SQRT($C$11)*NORMSINV($B705)+SQRT(1-G$9^2*$C$11)*NORMSINV(F705))*(G$7-G$5)*(G$6-G$5)),G$7-SQRT((1-NORMSDIST(G$9*SQRT($C$11)*NORMSINV($B705)+SQRT(1-G$9^2*$C$11)*NORMSINV(F705)))*(G$7-G$5)*(G$7-G$6))))</f>
        <v>0.0656889755116834</v>
      </c>
      <c r="H705" s="2" t="n">
        <v>0.223317172</v>
      </c>
      <c r="I705" s="2" t="n">
        <f aca="false">IF(I$7=I$5,I$6,IF(NORMSDIST(I$9*SQRT($C$11)*NORMSINV($B705)+SQRT(1-I$9^2*$C$11)*NORMSINV(H705))&lt;I$8,I$5+SQRT(NORMSDIST(I$9*SQRT($C$11)*NORMSINV($B705)+SQRT(1-I$9^2*$C$11)*NORMSINV(H705))*(I$7-I$5)*(I$6-I$5)),I$7-SQRT((1-NORMSDIST(I$9*SQRT($C$11)*NORMSINV($B705)+SQRT(1-I$9^2*$C$11)*NORMSINV(H705)))*(I$7-I$5)*(I$7-I$6))))</f>
        <v>204.899206000017</v>
      </c>
      <c r="J705" s="2" t="n">
        <v>0.132891837</v>
      </c>
      <c r="K705" s="2" t="n">
        <f aca="false">IF(K$7=K$5,K$6,IF(NORMSDIST(K$9*SQRT($C$11)*NORMSINV($B705)+SQRT(1-K$9^2*$C$11)*NORMSINV(J705))&lt;K$8,K$5+SQRT(NORMSDIST(K$9*SQRT($C$11)*NORMSINV($B705)+SQRT(1-K$9^2*$C$11)*NORMSINV(J705))*(K$7-K$5)*(K$6-K$5)),K$7-SQRT((1-NORMSDIST(K$9*SQRT($C$11)*NORMSINV($B705)+SQRT(1-K$9^2*$C$11)*NORMSINV(J705)))*(K$7-K$5)*(K$7-K$6))))</f>
        <v>0.280959090327023</v>
      </c>
      <c r="L705" s="2" t="n">
        <v>0.335159018</v>
      </c>
      <c r="M705" s="2" t="n">
        <f aca="false">IF(M$7=M$5,M$6,IF(NORMSDIST(M$9*SQRT($C$11)*NORMSINV($B705)+SQRT(1-M$9^2*$C$11)*NORMSINV(L705))&lt;M$8,M$5+SQRT(NORMSDIST(M$9*SQRT($C$11)*NORMSINV($B705)+SQRT(1-M$9^2*$C$11)*NORMSINV(L705))*(M$7-M$5)*(M$6-M$5)),M$7-SQRT((1-NORMSDIST(M$9*SQRT($C$11)*NORMSINV($B705)+SQRT(1-M$9^2*$C$11)*NORMSINV(L705)))*(M$7-M$5)*(M$7-M$6))))</f>
        <v>1664.48482818359</v>
      </c>
      <c r="N705" s="2" t="n">
        <v>0.948571812</v>
      </c>
      <c r="O705" s="2" t="n">
        <f aca="false">IF(O$7=O$5,O$6,IF(NORMSDIST(O$9*SQRT($C$11)*NORMSINV($B705)+SQRT(1-O$9^2*$C$11)*NORMSINV(N705))&lt;O$8,O$5+SQRT(NORMSDIST(O$9*SQRT($C$11)*NORMSINV($B705)+SQRT(1-O$9^2*$C$11)*NORMSINV(N705))*(O$7-O$5)*(O$6-O$5)),O$7-SQRT((1-NORMSDIST(O$9*SQRT($C$11)*NORMSINV($B705)+SQRT(1-O$9^2*$C$11)*NORMSINV(N705)))*(O$7-O$5)*(O$7-O$6))))</f>
        <v>0.187128539077181</v>
      </c>
      <c r="P705" s="2" t="n">
        <v>0.82739273</v>
      </c>
      <c r="Q705" s="2" t="n">
        <f aca="false">IF(Q$7=Q$5,Q$6,IF(NORMSDIST(Q$9*SQRT($C$11)*NORMSINV($B705)+SQRT(1-Q$9^2*$C$11)*NORMSINV(P705))&lt;Q$8,Q$5+SQRT(NORMSDIST(Q$9*SQRT($C$11)*NORMSINV($B705)+SQRT(1-Q$9^2*$C$11)*NORMSINV(P705))*(Q$7-Q$5)*(Q$6-Q$5)),Q$7-SQRT((1-NORMSDIST(Q$9*SQRT($C$11)*NORMSINV($B705)+SQRT(1-Q$9^2*$C$11)*NORMSINV(P705)))*(Q$7-Q$5)*(Q$7-Q$6))))</f>
        <v>0.0964980157433463</v>
      </c>
      <c r="R705" s="2" t="n">
        <v>0.639158253</v>
      </c>
      <c r="S705" s="2" t="n">
        <f aca="false">IF(S$7=S$5,S$6,IF(NORMSDIST(S$9*SQRT($C$11)*NORMSINV($B705)+SQRT(1-S$9^2*$C$11)*NORMSINV(R705))&lt;S$8,S$5+SQRT(NORMSDIST(S$9*SQRT($C$11)*NORMSINV($B705)+SQRT(1-S$9^2*$C$11)*NORMSINV(R705))*(S$7-S$5)*(S$6-S$5)),S$7-SQRT((1-NORMSDIST(S$9*SQRT($C$11)*NORMSINV($B705)+SQRT(1-S$9^2*$C$11)*NORMSINV(R705)))*(S$7-S$5)*(S$7-S$6))))</f>
        <v>0.805218139336244</v>
      </c>
      <c r="T705" s="2" t="n">
        <v>0.750966203</v>
      </c>
      <c r="U705" s="2" t="n">
        <f aca="false">IF(U$7=U$5,U$6,IF(NORMSDIST(U$9*SQRT($C$11)*NORMSINV($B705)+SQRT(1-U$9^2*$C$11)*NORMSINV(T705))&lt;U$8,U$5+SQRT(NORMSDIST(U$9*SQRT($C$11)*NORMSINV($B705)+SQRT(1-U$9^2*$C$11)*NORMSINV(T705))*(U$7-U$5)*(U$6-U$5)),U$7-SQRT((1-NORMSDIST(U$9*SQRT($C$11)*NORMSINV($B705)+SQRT(1-U$9^2*$C$11)*NORMSINV(T705)))*(U$7-U$5)*(U$7-U$6))))</f>
        <v>0.847912444826867</v>
      </c>
      <c r="V705" s="2" t="n">
        <v>0.971409659</v>
      </c>
      <c r="W705" s="2" t="n">
        <f aca="false">IF(W$7=W$5,W$6,IF(NORMSDIST(W$9*SQRT($C$11)*NORMSINV($B705)+SQRT(1-W$9^2*$C$11)*NORMSINV(V705))&lt;W$8,W$5+SQRT(NORMSDIST(W$9*SQRT($C$11)*NORMSINV($B705)+SQRT(1-W$9^2*$C$11)*NORMSINV(V705))*(W$7-W$5)*(W$6-W$5)),W$7-SQRT((1-NORMSDIST(W$9*SQRT($C$11)*NORMSINV($B705)+SQRT(1-W$9^2*$C$11)*NORMSINV(V705)))*(W$7-W$5)*(W$7-W$6))))</f>
        <v>11.815368837983</v>
      </c>
      <c r="X705" s="2" t="n">
        <v>0.581746445</v>
      </c>
      <c r="Y705" s="2" t="n">
        <f aca="false">IF(Y$7=Y$5,Y$6,IF(NORMSDIST(Y$9*SQRT($C$11)*NORMSINV($B705)+SQRT(1-Y$9^2*$C$11)*NORMSINV(X705))&lt;Y$8,Y$5+SQRT(NORMSDIST(Y$9*SQRT($C$11)*NORMSINV($B705)+SQRT(1-Y$9^2*$C$11)*NORMSINV(X705))*(Y$7-Y$5)*(Y$6-Y$5)),Y$7-SQRT((1-NORMSDIST(Y$9*SQRT($C$11)*NORMSINV($B705)+SQRT(1-Y$9^2*$C$11)*NORMSINV(X705)))*(Y$7-Y$5)*(Y$7-Y$6))))</f>
        <v>0.54269618687354</v>
      </c>
      <c r="Z705" s="2" t="n">
        <v>0.920449134</v>
      </c>
      <c r="AA705" s="2" t="n">
        <f aca="false">IF(AA$7=AA$5,AA$6,IF(NORMSDIST(AA$9*SQRT($C$11)*NORMSINV($B705)+SQRT(1-AA$9^2*$C$11)*NORMSINV(Z705))&lt;AA$8,AA$5+SQRT(NORMSDIST(AA$9*SQRT($C$11)*NORMSINV($B705)+SQRT(1-AA$9^2*$C$11)*NORMSINV(Z705))*(AA$7-AA$5)*(AA$6-AA$5)),AA$7-SQRT((1-NORMSDIST(AA$9*SQRT($C$11)*NORMSINV($B705)+SQRT(1-AA$9^2*$C$11)*NORMSINV(Z705)))*(AA$7-AA$5)*(AA$7-AA$6))))</f>
        <v>0.749898287306698</v>
      </c>
      <c r="AB705" s="2" t="n">
        <v>0.003992325</v>
      </c>
      <c r="AC705" s="2" t="n">
        <f aca="false">IF(AC$7=AC$5,AC$6,IF(NORMSDIST(AC$9*SQRT($C$11)*NORMSINV($B705)+SQRT(1-AC$9^2*$C$11)*NORMSINV(AB705))&lt;AC$8,AC$5+SQRT(NORMSDIST(AC$9*SQRT($C$11)*NORMSINV($B705)+SQRT(1-AC$9^2*$C$11)*NORMSINV(AB705))*(AC$7-AC$5)*(AC$6-AC$5)),AC$7-SQRT((1-NORMSDIST(AC$9*SQRT($C$11)*NORMSINV($B705)+SQRT(1-AC$9^2*$C$11)*NORMSINV(AB705)))*(AC$7-AC$5)*(AC$7-AC$6))))</f>
        <v>8.66346730716016</v>
      </c>
      <c r="AD705" s="2" t="n">
        <f aca="false">Entrées!$C$8*(1+E705)</f>
        <v>7468.10705224088</v>
      </c>
      <c r="AE705" s="2" t="n">
        <f aca="false">I705*Hypothèses!$J$24/12/Hypothèses!$J$19</f>
        <v>101.649840291187</v>
      </c>
      <c r="AF705" s="2" t="n">
        <f aca="false">Entrées!$C$36*S705*1000</f>
        <v>402.609069668122</v>
      </c>
      <c r="AG705" s="2" t="n">
        <f aca="false">-AF705/W705</f>
        <v>-34.0750318664492</v>
      </c>
      <c r="AH705" s="2" t="n">
        <f aca="false">AD705+AE705+AG705</f>
        <v>7535.68186066562</v>
      </c>
      <c r="AI705" s="2" t="n">
        <f aca="false">Entrées!$C$16-M705+Hypothèses!$J$22*1000-AF705+Hypothèses!$J$23</f>
        <v>22480.9061021483</v>
      </c>
      <c r="AJ705" s="2" t="n">
        <f aca="false">AI705/AH705</f>
        <v>2.98326103965363</v>
      </c>
      <c r="AK705" s="2" t="n">
        <f aca="false">AI705/(AH705+I705*(12-Hypothèses!$J$24)/12/Hypothèses!$J$19)</f>
        <v>2.95479133729215</v>
      </c>
      <c r="AL705" s="2" t="n">
        <f aca="false">(AD705+AG705+I705/Hypothèses!$J$19)*(1+G705)</f>
        <v>8108.06959198961</v>
      </c>
      <c r="AM705" s="2" t="n">
        <f aca="false">Entrées!$C$54*K705/Hypothèses!$J$19</f>
        <v>28.6730548388608</v>
      </c>
      <c r="AN705" s="2" t="n">
        <f aca="false">Y705*1000/AC705</f>
        <v>62.6419154863104</v>
      </c>
      <c r="AO705" s="2" t="n">
        <f aca="false">(Entrées!$C$36*(1-S705)+MAX(0,Entrées!$C$30-Entrées!$C$35-Entrées!$C$36)*U705)*1000</f>
        <v>1284.46835308949</v>
      </c>
      <c r="AP705" s="2" t="n">
        <f aca="false">-AO705/W705</f>
        <v>-108.711659424486</v>
      </c>
      <c r="AQ705" s="2" t="n">
        <f aca="false">AL705+AM705+AN705+AP705</f>
        <v>8090.67290289029</v>
      </c>
      <c r="AR705" s="2" t="n">
        <f aca="false">O705*AQ705-Hypothèses!$J$25/Hypothèses!$J$19</f>
        <v>1494.86063820757</v>
      </c>
      <c r="AS705" s="2" t="n">
        <f aca="false">Entrées!$C$79*(1+Q705)+Hypothèses!$J$20</f>
        <v>1500.05131930194</v>
      </c>
      <c r="AT705" s="2" t="n">
        <f aca="false">AI705-AR705+AS705+Y705*1000-AO705+Hypothèses!$J$23</f>
        <v>21744.3246170267</v>
      </c>
      <c r="AU705" s="2" t="n">
        <f aca="false">AT705/AQ705</f>
        <v>2.68757925057863</v>
      </c>
      <c r="AV705" s="2" t="n">
        <f aca="false">Hypothèses!$J$26*AQ705-AT705</f>
        <v>2527.69409164416</v>
      </c>
      <c r="AW705" s="2" t="n">
        <f aca="false">IF(AC705&gt;Hypothèses!$J$26,MAX(0,AV705)/(1-Hypothèses!$J$26/AC705),0)</f>
        <v>3866.64104121787</v>
      </c>
      <c r="AX705" s="2" t="n">
        <f aca="false">AQ705-Entrées!$C$17*1000</f>
        <v>90.6729028902892</v>
      </c>
      <c r="AY705" s="2" t="n">
        <f aca="false">AI705+(Entrées!$C$244-Entrées!$C$13)</f>
        <v>28227.9061021483</v>
      </c>
      <c r="AZ705" s="2" t="n">
        <f aca="false">AA705*AH705</f>
        <v>5650.9949210013</v>
      </c>
      <c r="BA705" s="2" t="n">
        <f aca="false">AZ705/AY705</f>
        <v>0.200191785410935</v>
      </c>
      <c r="BB705" s="2" t="n">
        <f aca="false">AZ705/(Entrées!$C$151/100)-AY705</f>
        <v>3166.51012563669</v>
      </c>
      <c r="BC705" s="2" t="n">
        <f aca="false">AT705+(Entrées!$C$244-Entrées!$C$13)</f>
        <v>27491.3246170267</v>
      </c>
      <c r="BD705" s="2" t="n">
        <f aca="false">AA705*AQ705</f>
        <v>6067.18175303614</v>
      </c>
      <c r="BE705" s="2" t="n">
        <f aca="false">BD705/BC705</f>
        <v>0.220694413148737</v>
      </c>
      <c r="BF705" s="2" t="n">
        <f aca="false">BD705/(Entrées!$C$151/100)-BC705</f>
        <v>6215.2406776185</v>
      </c>
      <c r="BG705" s="2" t="n">
        <f aca="false">MIN(AV705,BF705)</f>
        <v>2527.69409164416</v>
      </c>
      <c r="BH705" s="2" t="n">
        <f aca="false">IF(AC705&gt;Hypothèses!$J$26,MAX(0,BG705)/(1-Hypothèses!$J$26/AC705),0)</f>
        <v>3866.64104121787</v>
      </c>
    </row>
    <row r="706" customFormat="false" ht="15" hidden="false" customHeight="false" outlineLevel="0" collapsed="false">
      <c r="A706" s="2" t="n">
        <v>691</v>
      </c>
      <c r="B706" s="2" t="n">
        <v>0.152407786</v>
      </c>
      <c r="C706" s="2"/>
      <c r="D706" s="2" t="n">
        <v>0.894729615</v>
      </c>
      <c r="E706" s="2" t="n">
        <f aca="false">IF(E$7=E$5,E$6,IF(NORMSDIST(E$9*SQRT($C$11)*NORMSINV($B706)+SQRT(1-E$9^2*$C$11)*NORMSINV(D706))&lt;E$8,E$5+SQRT(NORMSDIST(E$9*SQRT($C$11)*NORMSINV($B706)+SQRT(1-E$9^2*$C$11)*NORMSINV(D706))*(E$7-E$5)*(E$6-E$5)),E$7-SQRT((1-NORMSDIST(E$9*SQRT($C$11)*NORMSINV($B706)+SQRT(1-E$9^2*$C$11)*NORMSINV(D706)))*(E$7-E$5)*(E$7-E$6))))</f>
        <v>0.0556747257483699</v>
      </c>
      <c r="F706" s="2" t="n">
        <v>0.576669838</v>
      </c>
      <c r="G706" s="2" t="n">
        <f aca="false">IF(G$7=G$5,G$6,IF(NORMSDIST(G$9*SQRT($C$11)*NORMSINV($B706)+SQRT(1-G$9^2*$C$11)*NORMSINV(F706))&lt;G$8,G$5+SQRT(NORMSDIST(G$9*SQRT($C$11)*NORMSINV($B706)+SQRT(1-G$9^2*$C$11)*NORMSINV(F706))*(G$7-G$5)*(G$6-G$5)),G$7-SQRT((1-NORMSDIST(G$9*SQRT($C$11)*NORMSINV($B706)+SQRT(1-G$9^2*$C$11)*NORMSINV(F706)))*(G$7-G$5)*(G$7-G$6))))</f>
        <v>0.0517884376417725</v>
      </c>
      <c r="H706" s="2" t="n">
        <v>0.269108789</v>
      </c>
      <c r="I706" s="2" t="n">
        <f aca="false">IF(I$7=I$5,I$6,IF(NORMSDIST(I$9*SQRT($C$11)*NORMSINV($B706)+SQRT(1-I$9^2*$C$11)*NORMSINV(H706))&lt;I$8,I$5+SQRT(NORMSDIST(I$9*SQRT($C$11)*NORMSINV($B706)+SQRT(1-I$9^2*$C$11)*NORMSINV(H706))*(I$7-I$5)*(I$6-I$5)),I$7-SQRT((1-NORMSDIST(I$9*SQRT($C$11)*NORMSINV($B706)+SQRT(1-I$9^2*$C$11)*NORMSINV(H706)))*(I$7-I$5)*(I$7-I$6))))</f>
        <v>190.203161572961</v>
      </c>
      <c r="J706" s="2" t="n">
        <v>0.890220892</v>
      </c>
      <c r="K706" s="2" t="n">
        <f aca="false">IF(K$7=K$5,K$6,IF(NORMSDIST(K$9*SQRT($C$11)*NORMSINV($B706)+SQRT(1-K$9^2*$C$11)*NORMSINV(J706))&lt;K$8,K$5+SQRT(NORMSDIST(K$9*SQRT($C$11)*NORMSINV($B706)+SQRT(1-K$9^2*$C$11)*NORMSINV(J706))*(K$7-K$5)*(K$6-K$5)),K$7-SQRT((1-NORMSDIST(K$9*SQRT($C$11)*NORMSINV($B706)+SQRT(1-K$9^2*$C$11)*NORMSINV(J706)))*(K$7-K$5)*(K$7-K$6))))</f>
        <v>0.281672262255687</v>
      </c>
      <c r="L706" s="2" t="n">
        <v>0.173881211</v>
      </c>
      <c r="M706" s="2" t="n">
        <f aca="false">IF(M$7=M$5,M$6,IF(NORMSDIST(M$9*SQRT($C$11)*NORMSINV($B706)+SQRT(1-M$9^2*$C$11)*NORMSINV(L706))&lt;M$8,M$5+SQRT(NORMSDIST(M$9*SQRT($C$11)*NORMSINV($B706)+SQRT(1-M$9^2*$C$11)*NORMSINV(L706))*(M$7-M$5)*(M$6-M$5)),M$7-SQRT((1-NORMSDIST(M$9*SQRT($C$11)*NORMSINV($B706)+SQRT(1-M$9^2*$C$11)*NORMSINV(L706)))*(M$7-M$5)*(M$7-M$6))))</f>
        <v>1419.09810707703</v>
      </c>
      <c r="N706" s="2" t="n">
        <v>0.151451769</v>
      </c>
      <c r="O706" s="2" t="n">
        <f aca="false">IF(O$7=O$5,O$6,IF(NORMSDIST(O$9*SQRT($C$11)*NORMSINV($B706)+SQRT(1-O$9^2*$C$11)*NORMSINV(N706))&lt;O$8,O$5+SQRT(NORMSDIST(O$9*SQRT($C$11)*NORMSINV($B706)+SQRT(1-O$9^2*$C$11)*NORMSINV(N706))*(O$7-O$5)*(O$6-O$5)),O$7-SQRT((1-NORMSDIST(O$9*SQRT($C$11)*NORMSINV($B706)+SQRT(1-O$9^2*$C$11)*NORMSINV(N706)))*(O$7-O$5)*(O$7-O$6))))</f>
        <v>0.150300498081397</v>
      </c>
      <c r="P706" s="2" t="n">
        <v>0.580665238</v>
      </c>
      <c r="Q706" s="2" t="n">
        <f aca="false">IF(Q$7=Q$5,Q$6,IF(NORMSDIST(Q$9*SQRT($C$11)*NORMSINV($B706)+SQRT(1-Q$9^2*$C$11)*NORMSINV(P706))&lt;Q$8,Q$5+SQRT(NORMSDIST(Q$9*SQRT($C$11)*NORMSINV($B706)+SQRT(1-Q$9^2*$C$11)*NORMSINV(P706))*(Q$7-Q$5)*(Q$6-Q$5)),Q$7-SQRT((1-NORMSDIST(Q$9*SQRT($C$11)*NORMSINV($B706)+SQRT(1-Q$9^2*$C$11)*NORMSINV(P706)))*(Q$7-Q$5)*(Q$7-Q$6))))</f>
        <v>0.0833684393125272</v>
      </c>
      <c r="R706" s="2" t="n">
        <v>0.488992561</v>
      </c>
      <c r="S706" s="2" t="n">
        <f aca="false">IF(S$7=S$5,S$6,IF(NORMSDIST(S$9*SQRT($C$11)*NORMSINV($B706)+SQRT(1-S$9^2*$C$11)*NORMSINV(R706))&lt;S$8,S$5+SQRT(NORMSDIST(S$9*SQRT($C$11)*NORMSINV($B706)+SQRT(1-S$9^2*$C$11)*NORMSINV(R706))*(S$7-S$5)*(S$6-S$5)),S$7-SQRT((1-NORMSDIST(S$9*SQRT($C$11)*NORMSINV($B706)+SQRT(1-S$9^2*$C$11)*NORMSINV(R706)))*(S$7-S$5)*(S$7-S$6))))</f>
        <v>0.354477737350864</v>
      </c>
      <c r="T706" s="2" t="n">
        <v>0.412099819</v>
      </c>
      <c r="U706" s="2" t="n">
        <f aca="false">IF(U$7=U$5,U$6,IF(NORMSDIST(U$9*SQRT($C$11)*NORMSINV($B706)+SQRT(1-U$9^2*$C$11)*NORMSINV(T706))&lt;U$8,U$5+SQRT(NORMSDIST(U$9*SQRT($C$11)*NORMSINV($B706)+SQRT(1-U$9^2*$C$11)*NORMSINV(T706))*(U$7-U$5)*(U$6-U$5)),U$7-SQRT((1-NORMSDIST(U$9*SQRT($C$11)*NORMSINV($B706)+SQRT(1-U$9^2*$C$11)*NORMSINV(T706)))*(U$7-U$5)*(U$7-U$6))))</f>
        <v>0.320781567413954</v>
      </c>
      <c r="V706" s="2" t="n">
        <v>0.452762948</v>
      </c>
      <c r="W706" s="2" t="n">
        <f aca="false">IF(W$7=W$5,W$6,IF(NORMSDIST(W$9*SQRT($C$11)*NORMSINV($B706)+SQRT(1-W$9^2*$C$11)*NORMSINV(V706))&lt;W$8,W$5+SQRT(NORMSDIST(W$9*SQRT($C$11)*NORMSINV($B706)+SQRT(1-W$9^2*$C$11)*NORMSINV(V706))*(W$7-W$5)*(W$6-W$5)),W$7-SQRT((1-NORMSDIST(W$9*SQRT($C$11)*NORMSINV($B706)+SQRT(1-W$9^2*$C$11)*NORMSINV(V706)))*(W$7-W$5)*(W$7-W$6))))</f>
        <v>9.35459780991495</v>
      </c>
      <c r="X706" s="2" t="n">
        <v>0.271297072</v>
      </c>
      <c r="Y706" s="2" t="n">
        <f aca="false">IF(Y$7=Y$5,Y$6,IF(NORMSDIST(Y$9*SQRT($C$11)*NORMSINV($B706)+SQRT(1-Y$9^2*$C$11)*NORMSINV(X706))&lt;Y$8,Y$5+SQRT(NORMSDIST(Y$9*SQRT($C$11)*NORMSINV($B706)+SQRT(1-Y$9^2*$C$11)*NORMSINV(X706))*(Y$7-Y$5)*(Y$6-Y$5)),Y$7-SQRT((1-NORMSDIST(Y$9*SQRT($C$11)*NORMSINV($B706)+SQRT(1-Y$9^2*$C$11)*NORMSINV(X706)))*(Y$7-Y$5)*(Y$7-Y$6))))</f>
        <v>0.368304949735949</v>
      </c>
      <c r="Z706" s="2" t="n">
        <v>0.725427361</v>
      </c>
      <c r="AA706" s="2" t="n">
        <f aca="false">IF(AA$7=AA$5,AA$6,IF(NORMSDIST(AA$9*SQRT($C$11)*NORMSINV($B706)+SQRT(1-AA$9^2*$C$11)*NORMSINV(Z706))&lt;AA$8,AA$5+SQRT(NORMSDIST(AA$9*SQRT($C$11)*NORMSINV($B706)+SQRT(1-AA$9^2*$C$11)*NORMSINV(Z706))*(AA$7-AA$5)*(AA$6-AA$5)),AA$7-SQRT((1-NORMSDIST(AA$9*SQRT($C$11)*NORMSINV($B706)+SQRT(1-AA$9^2*$C$11)*NORMSINV(Z706)))*(AA$7-AA$5)*(AA$7-AA$6))))</f>
        <v>0.725554235040103</v>
      </c>
      <c r="AB706" s="2" t="n">
        <v>0.618380072</v>
      </c>
      <c r="AC706" s="2" t="n">
        <f aca="false">IF(AC$7=AC$5,AC$6,IF(NORMSDIST(AC$9*SQRT($C$11)*NORMSINV($B706)+SQRT(1-AC$9^2*$C$11)*NORMSINV(AB706))&lt;AC$8,AC$5+SQRT(NORMSDIST(AC$9*SQRT($C$11)*NORMSINV($B706)+SQRT(1-AC$9^2*$C$11)*NORMSINV(AB706))*(AC$7-AC$5)*(AC$6-AC$5)),AC$7-SQRT((1-NORMSDIST(AC$9*SQRT($C$11)*NORMSINV($B706)+SQRT(1-AC$9^2*$C$11)*NORMSINV(AB706)))*(AC$7-AC$5)*(AC$7-AC$6))))</f>
        <v>9.11098021236395</v>
      </c>
      <c r="AD706" s="2" t="n">
        <f aca="false">Entrées!$C$8*(1+E706)</f>
        <v>7442.50681652601</v>
      </c>
      <c r="AE706" s="2" t="n">
        <f aca="false">I706*Hypothèses!$J$24/12/Hypothèses!$J$19</f>
        <v>94.3591796874447</v>
      </c>
      <c r="AF706" s="2" t="n">
        <f aca="false">Entrées!$C$36*S706*1000</f>
        <v>177.238868675432</v>
      </c>
      <c r="AG706" s="2" t="n">
        <f aca="false">-AF706/W706</f>
        <v>-18.9467117963721</v>
      </c>
      <c r="AH706" s="2" t="n">
        <f aca="false">AD706+AE706+AG706</f>
        <v>7517.91928441708</v>
      </c>
      <c r="AI706" s="2" t="n">
        <f aca="false">Entrées!$C$16-M706+Hypothèses!$J$22*1000-AF706+Hypothèses!$J$23</f>
        <v>22951.6630242475</v>
      </c>
      <c r="AJ706" s="2" t="n">
        <f aca="false">AI706/AH706</f>
        <v>3.05292756625109</v>
      </c>
      <c r="AK706" s="2" t="n">
        <f aca="false">AI706/(AH706+I706*(12-Hypothèses!$J$24)/12/Hypothèses!$J$19)</f>
        <v>3.02580075229379</v>
      </c>
      <c r="AL706" s="2" t="n">
        <f aca="false">(AD706+AG706+I706/Hypothèses!$J$19)*(1+G706)</f>
        <v>7978.15050288872</v>
      </c>
      <c r="AM706" s="2" t="n">
        <f aca="false">Entrées!$C$54*K706/Hypothèses!$J$19</f>
        <v>28.7458370285964</v>
      </c>
      <c r="AN706" s="2" t="n">
        <f aca="false">Y706*1000/AC706</f>
        <v>40.4242947686513</v>
      </c>
      <c r="AO706" s="2" t="n">
        <f aca="false">(Entrées!$C$36*(1-S706)+MAX(0,Entrées!$C$30-Entrées!$C$35-Entrées!$C$36)*U706)*1000</f>
        <v>771.855325704103</v>
      </c>
      <c r="AP706" s="2" t="n">
        <f aca="false">-AO706/W706</f>
        <v>-82.5107975124289</v>
      </c>
      <c r="AQ706" s="2" t="n">
        <f aca="false">AL706+AM706+AN706+AP706</f>
        <v>7964.80983717354</v>
      </c>
      <c r="AR706" s="2" t="n">
        <f aca="false">O706*AQ706-Hypothèses!$J$25/Hypothèses!$J$19</f>
        <v>1177.97972338917</v>
      </c>
      <c r="AS706" s="2" t="n">
        <f aca="false">Entrées!$C$79*(1+Q706)+Hypothèses!$J$20</f>
        <v>1485.62191480447</v>
      </c>
      <c r="AT706" s="2" t="n">
        <f aca="false">AI706-AR706+AS706+Y706*1000-AO706+Hypothèses!$J$23</f>
        <v>22855.7548396947</v>
      </c>
      <c r="AU706" s="2" t="n">
        <f aca="false">AT706/AQ706</f>
        <v>2.86959203131527</v>
      </c>
      <c r="AV706" s="2" t="n">
        <f aca="false">Hypothèses!$J$26*AQ706-AT706</f>
        <v>1038.67467182593</v>
      </c>
      <c r="AW706" s="2" t="n">
        <f aca="false">IF(AC706&gt;Hypothèses!$J$26,MAX(0,AV706)/(1-Hypothèses!$J$26/AC706),0)</f>
        <v>1548.58043279916</v>
      </c>
      <c r="AX706" s="2" t="n">
        <f aca="false">AQ706-Entrées!$C$17*1000</f>
        <v>-35.1901628264613</v>
      </c>
      <c r="AY706" s="2" t="n">
        <f aca="false">AI706+(Entrées!$C$244-Entrées!$C$13)</f>
        <v>28698.6630242475</v>
      </c>
      <c r="AZ706" s="2" t="n">
        <f aca="false">AA706*AH706</f>
        <v>5454.65817549847</v>
      </c>
      <c r="BA706" s="2" t="n">
        <f aca="false">AZ706/AY706</f>
        <v>0.190066630312702</v>
      </c>
      <c r="BB706" s="2" t="n">
        <f aca="false">AZ706/(Entrées!$C$151/100)-AY706</f>
        <v>1604.99350629953</v>
      </c>
      <c r="BC706" s="2" t="n">
        <f aca="false">AT706+(Entrées!$C$244-Entrées!$C$13)</f>
        <v>28602.7548396947</v>
      </c>
      <c r="BD706" s="2" t="n">
        <f aca="false">AA706*AQ706</f>
        <v>5778.90150865034</v>
      </c>
      <c r="BE706" s="2" t="n">
        <f aca="false">BD706/BC706</f>
        <v>0.202040032194047</v>
      </c>
      <c r="BF706" s="2" t="n">
        <f aca="false">BD706/(Entrées!$C$151/100)-BC706</f>
        <v>3502.25354169606</v>
      </c>
      <c r="BG706" s="2" t="n">
        <f aca="false">MIN(AV706,BF706)</f>
        <v>1038.67467182593</v>
      </c>
      <c r="BH706" s="2" t="n">
        <f aca="false">IF(AC706&gt;Hypothèses!$J$26,MAX(0,BG706)/(1-Hypothèses!$J$26/AC706),0)</f>
        <v>1548.58043279916</v>
      </c>
    </row>
    <row r="707" customFormat="false" ht="15" hidden="false" customHeight="false" outlineLevel="0" collapsed="false">
      <c r="A707" s="2" t="n">
        <v>692</v>
      </c>
      <c r="B707" s="2" t="n">
        <v>0.859149033</v>
      </c>
      <c r="C707" s="2"/>
      <c r="D707" s="2" t="n">
        <v>0.863733281</v>
      </c>
      <c r="E707" s="2" t="n">
        <f aca="false">IF(E$7=E$5,E$6,IF(NORMSDIST(E$9*SQRT($C$11)*NORMSINV($B707)+SQRT(1-E$9^2*$C$11)*NORMSINV(D707))&lt;E$8,E$5+SQRT(NORMSDIST(E$9*SQRT($C$11)*NORMSINV($B707)+SQRT(1-E$9^2*$C$11)*NORMSINV(D707))*(E$7-E$5)*(E$6-E$5)),E$7-SQRT((1-NORMSDIST(E$9*SQRT($C$11)*NORMSINV($B707)+SQRT(1-E$9^2*$C$11)*NORMSINV(D707)))*(E$7-E$5)*(E$7-E$6))))</f>
        <v>0.0582263910632313</v>
      </c>
      <c r="F707" s="2" t="n">
        <v>0.022389929</v>
      </c>
      <c r="G707" s="2" t="n">
        <f aca="false">IF(G$7=G$5,G$6,IF(NORMSDIST(G$9*SQRT($C$11)*NORMSINV($B707)+SQRT(1-G$9^2*$C$11)*NORMSINV(F707))&lt;G$8,G$5+SQRT(NORMSDIST(G$9*SQRT($C$11)*NORMSINV($B707)+SQRT(1-G$9^2*$C$11)*NORMSINV(F707))*(G$7-G$5)*(G$6-G$5)),G$7-SQRT((1-NORMSDIST(G$9*SQRT($C$11)*NORMSINV($B707)+SQRT(1-G$9^2*$C$11)*NORMSINV(F707)))*(G$7-G$5)*(G$7-G$6))))</f>
        <v>0.0492752972868524</v>
      </c>
      <c r="H707" s="2" t="n">
        <v>0.743094739</v>
      </c>
      <c r="I707" s="2" t="n">
        <f aca="false">IF(I$7=I$5,I$6,IF(NORMSDIST(I$9*SQRT($C$11)*NORMSINV($B707)+SQRT(1-I$9^2*$C$11)*NORMSINV(H707))&lt;I$8,I$5+SQRT(NORMSDIST(I$9*SQRT($C$11)*NORMSINV($B707)+SQRT(1-I$9^2*$C$11)*NORMSINV(H707))*(I$7-I$5)*(I$6-I$5)),I$7-SQRT((1-NORMSDIST(I$9*SQRT($C$11)*NORMSINV($B707)+SQRT(1-I$9^2*$C$11)*NORMSINV(H707)))*(I$7-I$5)*(I$7-I$6))))</f>
        <v>210.29658957119</v>
      </c>
      <c r="J707" s="2" t="n">
        <v>0.962886688</v>
      </c>
      <c r="K707" s="2" t="n">
        <f aca="false">IF(K$7=K$5,K$6,IF(NORMSDIST(K$9*SQRT($C$11)*NORMSINV($B707)+SQRT(1-K$9^2*$C$11)*NORMSINV(J707))&lt;K$8,K$5+SQRT(NORMSDIST(K$9*SQRT($C$11)*NORMSINV($B707)+SQRT(1-K$9^2*$C$11)*NORMSINV(J707))*(K$7-K$5)*(K$6-K$5)),K$7-SQRT((1-NORMSDIST(K$9*SQRT($C$11)*NORMSINV($B707)+SQRT(1-K$9^2*$C$11)*NORMSINV(J707)))*(K$7-K$5)*(K$7-K$6))))</f>
        <v>0.450597438882861</v>
      </c>
      <c r="L707" s="2" t="n">
        <v>0.33868218</v>
      </c>
      <c r="M707" s="2" t="n">
        <f aca="false">IF(M$7=M$5,M$6,IF(NORMSDIST(M$9*SQRT($C$11)*NORMSINV($B707)+SQRT(1-M$9^2*$C$11)*NORMSINV(L707))&lt;M$8,M$5+SQRT(NORMSDIST(M$9*SQRT($C$11)*NORMSINV($B707)+SQRT(1-M$9^2*$C$11)*NORMSINV(L707))*(M$7-M$5)*(M$6-M$5)),M$7-SQRT((1-NORMSDIST(M$9*SQRT($C$11)*NORMSINV($B707)+SQRT(1-M$9^2*$C$11)*NORMSINV(L707)))*(M$7-M$5)*(M$7-M$6))))</f>
        <v>1622.42697821676</v>
      </c>
      <c r="N707" s="2" t="n">
        <v>0.110284843</v>
      </c>
      <c r="O707" s="2" t="n">
        <f aca="false">IF(O$7=O$5,O$6,IF(NORMSDIST(O$9*SQRT($C$11)*NORMSINV($B707)+SQRT(1-O$9^2*$C$11)*NORMSINV(N707))&lt;O$8,O$5+SQRT(NORMSDIST(O$9*SQRT($C$11)*NORMSINV($B707)+SQRT(1-O$9^2*$C$11)*NORMSINV(N707))*(O$7-O$5)*(O$6-O$5)),O$7-SQRT((1-NORMSDIST(O$9*SQRT($C$11)*NORMSINV($B707)+SQRT(1-O$9^2*$C$11)*NORMSINV(N707)))*(O$7-O$5)*(O$7-O$6))))</f>
        <v>0.163786376015395</v>
      </c>
      <c r="P707" s="2" t="n">
        <v>0.931728295</v>
      </c>
      <c r="Q707" s="2" t="n">
        <f aca="false">IF(Q$7=Q$5,Q$6,IF(NORMSDIST(Q$9*SQRT($C$11)*NORMSINV($B707)+SQRT(1-Q$9^2*$C$11)*NORMSINV(P707))&lt;Q$8,Q$5+SQRT(NORMSDIST(Q$9*SQRT($C$11)*NORMSINV($B707)+SQRT(1-Q$9^2*$C$11)*NORMSINV(P707))*(Q$7-Q$5)*(Q$6-Q$5)),Q$7-SQRT((1-NORMSDIST(Q$9*SQRT($C$11)*NORMSINV($B707)+SQRT(1-Q$9^2*$C$11)*NORMSINV(P707)))*(Q$7-Q$5)*(Q$7-Q$6))))</f>
        <v>0.105219287703226</v>
      </c>
      <c r="R707" s="2" t="n">
        <v>0.199843937</v>
      </c>
      <c r="S707" s="2" t="n">
        <f aca="false">IF(S$7=S$5,S$6,IF(NORMSDIST(S$9*SQRT($C$11)*NORMSINV($B707)+SQRT(1-S$9^2*$C$11)*NORMSINV(R707))&lt;S$8,S$5+SQRT(NORMSDIST(S$9*SQRT($C$11)*NORMSINV($B707)+SQRT(1-S$9^2*$C$11)*NORMSINV(R707))*(S$7-S$5)*(S$6-S$5)),S$7-SQRT((1-NORMSDIST(S$9*SQRT($C$11)*NORMSINV($B707)+SQRT(1-S$9^2*$C$11)*NORMSINV(R707)))*(S$7-S$5)*(S$7-S$6))))</f>
        <v>0.505715222777566</v>
      </c>
      <c r="T707" s="2" t="n">
        <v>0.401710566</v>
      </c>
      <c r="U707" s="2" t="n">
        <f aca="false">IF(U$7=U$5,U$6,IF(NORMSDIST(U$9*SQRT($C$11)*NORMSINV($B707)+SQRT(1-U$9^2*$C$11)*NORMSINV(T707))&lt;U$8,U$5+SQRT(NORMSDIST(U$9*SQRT($C$11)*NORMSINV($B707)+SQRT(1-U$9^2*$C$11)*NORMSINV(T707))*(U$7-U$5)*(U$6-U$5)),U$7-SQRT((1-NORMSDIST(U$9*SQRT($C$11)*NORMSINV($B707)+SQRT(1-U$9^2*$C$11)*NORMSINV(T707)))*(U$7-U$5)*(U$7-U$6))))</f>
        <v>0.604547443192766</v>
      </c>
      <c r="V707" s="2" t="n">
        <v>0.724117842</v>
      </c>
      <c r="W707" s="2" t="n">
        <f aca="false">IF(W$7=W$5,W$6,IF(NORMSDIST(W$9*SQRT($C$11)*NORMSINV($B707)+SQRT(1-W$9^2*$C$11)*NORMSINV(V707))&lt;W$8,W$5+SQRT(NORMSDIST(W$9*SQRT($C$11)*NORMSINV($B707)+SQRT(1-W$9^2*$C$11)*NORMSINV(V707))*(W$7-W$5)*(W$6-W$5)),W$7-SQRT((1-NORMSDIST(W$9*SQRT($C$11)*NORMSINV($B707)+SQRT(1-W$9^2*$C$11)*NORMSINV(V707)))*(W$7-W$5)*(W$7-W$6))))</f>
        <v>10.9929650774564</v>
      </c>
      <c r="X707" s="2" t="n">
        <v>0.901281822</v>
      </c>
      <c r="Y707" s="2" t="n">
        <f aca="false">IF(Y$7=Y$5,Y$6,IF(NORMSDIST(Y$9*SQRT($C$11)*NORMSINV($B707)+SQRT(1-Y$9^2*$C$11)*NORMSINV(X707))&lt;Y$8,Y$5+SQRT(NORMSDIST(Y$9*SQRT($C$11)*NORMSINV($B707)+SQRT(1-Y$9^2*$C$11)*NORMSINV(X707))*(Y$7-Y$5)*(Y$6-Y$5)),Y$7-SQRT((1-NORMSDIST(Y$9*SQRT($C$11)*NORMSINV($B707)+SQRT(1-Y$9^2*$C$11)*NORMSINV(X707)))*(Y$7-Y$5)*(Y$7-Y$6))))</f>
        <v>0.777830944999084</v>
      </c>
      <c r="Z707" s="2" t="n">
        <v>0.516450339</v>
      </c>
      <c r="AA707" s="2" t="n">
        <f aca="false">IF(AA$7=AA$5,AA$6,IF(NORMSDIST(AA$9*SQRT($C$11)*NORMSINV($B707)+SQRT(1-AA$9^2*$C$11)*NORMSINV(Z707))&lt;AA$8,AA$5+SQRT(NORMSDIST(AA$9*SQRT($C$11)*NORMSINV($B707)+SQRT(1-AA$9^2*$C$11)*NORMSINV(Z707))*(AA$7-AA$5)*(AA$6-AA$5)),AA$7-SQRT((1-NORMSDIST(AA$9*SQRT($C$11)*NORMSINV($B707)+SQRT(1-AA$9^2*$C$11)*NORMSINV(Z707)))*(AA$7-AA$5)*(AA$7-AA$6))))</f>
        <v>0.736380177715172</v>
      </c>
      <c r="AB707" s="2" t="n">
        <v>0.805968509</v>
      </c>
      <c r="AC707" s="2" t="n">
        <f aca="false">IF(AC$7=AC$5,AC$6,IF(NORMSDIST(AC$9*SQRT($C$11)*NORMSINV($B707)+SQRT(1-AC$9^2*$C$11)*NORMSINV(AB707))&lt;AC$8,AC$5+SQRT(NORMSDIST(AC$9*SQRT($C$11)*NORMSINV($B707)+SQRT(1-AC$9^2*$C$11)*NORMSINV(AB707))*(AC$7-AC$5)*(AC$6-AC$5)),AC$7-SQRT((1-NORMSDIST(AC$9*SQRT($C$11)*NORMSINV($B707)+SQRT(1-AC$9^2*$C$11)*NORMSINV(AB707)))*(AC$7-AC$5)*(AC$7-AC$6))))</f>
        <v>10.3813283336767</v>
      </c>
      <c r="AD707" s="2" t="n">
        <f aca="false">Entrées!$C$8*(1+E707)</f>
        <v>7460.49605699578</v>
      </c>
      <c r="AE707" s="2" t="n">
        <f aca="false">I707*Hypothèses!$J$24/12/Hypothèses!$J$19</f>
        <v>104.327465005848</v>
      </c>
      <c r="AF707" s="2" t="n">
        <f aca="false">Entrées!$C$36*S707*1000</f>
        <v>252.857611388783</v>
      </c>
      <c r="AG707" s="2" t="n">
        <f aca="false">-AF707/W707</f>
        <v>-23.0017660937835</v>
      </c>
      <c r="AH707" s="2" t="n">
        <f aca="false">AD707+AE707+AG707</f>
        <v>7541.82175590785</v>
      </c>
      <c r="AI707" s="2" t="n">
        <f aca="false">Entrées!$C$16-M707+Hypothèses!$J$22*1000-AF707+Hypothèses!$J$23</f>
        <v>22672.7154103945</v>
      </c>
      <c r="AJ707" s="2" t="n">
        <f aca="false">AI707/AH707</f>
        <v>3.00626508345068</v>
      </c>
      <c r="AK707" s="2" t="n">
        <f aca="false">AI707/(AH707+I707*(12-Hypothèses!$J$24)/12/Hypothèses!$J$19)</f>
        <v>2.97685125938285</v>
      </c>
      <c r="AL707" s="2" t="n">
        <f aca="false">(AD707+AG707+I707/Hypothèses!$J$19)*(1+G707)</f>
        <v>7991.63885919979</v>
      </c>
      <c r="AM707" s="2" t="n">
        <f aca="false">Entrées!$C$54*K707/Hypothèses!$J$19</f>
        <v>45.9853605743821</v>
      </c>
      <c r="AN707" s="2" t="n">
        <f aca="false">Y707*1000/AC707</f>
        <v>74.9259555230353</v>
      </c>
      <c r="AO707" s="2" t="n">
        <f aca="false">(Entrées!$C$36*(1-S707)+MAX(0,Entrées!$C$30-Entrées!$C$35-Entrées!$C$36)*U707)*1000</f>
        <v>1093.50880908109</v>
      </c>
      <c r="AP707" s="2" t="n">
        <f aca="false">-AO707/W707</f>
        <v>-99.4735088646446</v>
      </c>
      <c r="AQ707" s="2" t="n">
        <f aca="false">AL707+AM707+AN707+AP707</f>
        <v>8013.07666643257</v>
      </c>
      <c r="AR707" s="2" t="n">
        <f aca="false">O707*AQ707-Hypothèses!$J$25/Hypothèses!$J$19</f>
        <v>1293.29762566688</v>
      </c>
      <c r="AS707" s="2" t="n">
        <f aca="false">Entrées!$C$79*(1+Q707)+Hypothèses!$J$20</f>
        <v>1509.63599718585</v>
      </c>
      <c r="AT707" s="2" t="n">
        <f aca="false">AI707-AR707+AS707+Y707*1000-AO707+Hypothèses!$J$23</f>
        <v>22573.3759178314</v>
      </c>
      <c r="AU707" s="2" t="n">
        <f aca="false">AT707/AQ707</f>
        <v>2.81706725862154</v>
      </c>
      <c r="AV707" s="2" t="n">
        <f aca="false">Hypothèses!$J$26*AQ707-AT707</f>
        <v>1465.85408146628</v>
      </c>
      <c r="AW707" s="2" t="n">
        <f aca="false">IF(AC707&gt;Hypothèses!$J$26,MAX(0,AV707)/(1-Hypothèses!$J$26/AC707),0)</f>
        <v>2061.62249137908</v>
      </c>
      <c r="AX707" s="2" t="n">
        <f aca="false">AQ707-Entrées!$C$17*1000</f>
        <v>13.0766664325665</v>
      </c>
      <c r="AY707" s="2" t="n">
        <f aca="false">AI707+(Entrées!$C$244-Entrées!$C$13)</f>
        <v>28419.7154103945</v>
      </c>
      <c r="AZ707" s="2" t="n">
        <f aca="false">AA707*AH707</f>
        <v>5553.64804491157</v>
      </c>
      <c r="BA707" s="2" t="n">
        <f aca="false">AZ707/AY707</f>
        <v>0.19541532927808</v>
      </c>
      <c r="BB707" s="2" t="n">
        <f aca="false">AZ707/(Entrées!$C$151/100)-AY707</f>
        <v>2433.88483911424</v>
      </c>
      <c r="BC707" s="2" t="n">
        <f aca="false">AT707+(Entrées!$C$244-Entrées!$C$13)</f>
        <v>28320.3759178314</v>
      </c>
      <c r="BD707" s="2" t="n">
        <f aca="false">AA707*AQ707</f>
        <v>5900.67081967291</v>
      </c>
      <c r="BE707" s="2" t="n">
        <f aca="false">BD707/BC707</f>
        <v>0.208354254787898</v>
      </c>
      <c r="BF707" s="2" t="n">
        <f aca="false">BD707/(Entrées!$C$151/100)-BC707</f>
        <v>4461.12863590697</v>
      </c>
      <c r="BG707" s="2" t="n">
        <f aca="false">MIN(AV707,BF707)</f>
        <v>1465.85408146628</v>
      </c>
      <c r="BH707" s="2" t="n">
        <f aca="false">IF(AC707&gt;Hypothèses!$J$26,MAX(0,BG707)/(1-Hypothèses!$J$26/AC707),0)</f>
        <v>2061.62249137908</v>
      </c>
    </row>
    <row r="708" customFormat="false" ht="15" hidden="false" customHeight="false" outlineLevel="0" collapsed="false">
      <c r="A708" s="2" t="n">
        <v>693</v>
      </c>
      <c r="B708" s="2" t="n">
        <v>0.014272371</v>
      </c>
      <c r="C708" s="2"/>
      <c r="D708" s="2" t="n">
        <v>0.455690647</v>
      </c>
      <c r="E708" s="2" t="n">
        <f aca="false">IF(E$7=E$5,E$6,IF(NORMSDIST(E$9*SQRT($C$11)*NORMSINV($B708)+SQRT(1-E$9^2*$C$11)*NORMSINV(D708))&lt;E$8,E$5+SQRT(NORMSDIST(E$9*SQRT($C$11)*NORMSINV($B708)+SQRT(1-E$9^2*$C$11)*NORMSINV(D708))*(E$7-E$5)*(E$6-E$5)),E$7-SQRT((1-NORMSDIST(E$9*SQRT($C$11)*NORMSINV($B708)+SQRT(1-E$9^2*$C$11)*NORMSINV(D708)))*(E$7-E$5)*(E$7-E$6))))</f>
        <v>0.0518792400447509</v>
      </c>
      <c r="F708" s="2" t="n">
        <v>0.081160779</v>
      </c>
      <c r="G708" s="2" t="n">
        <f aca="false">IF(G$7=G$5,G$6,IF(NORMSDIST(G$9*SQRT($C$11)*NORMSINV($B708)+SQRT(1-G$9^2*$C$11)*NORMSINV(F708))&lt;G$8,G$5+SQRT(NORMSDIST(G$9*SQRT($C$11)*NORMSINV($B708)+SQRT(1-G$9^2*$C$11)*NORMSINV(F708))*(G$7-G$5)*(G$6-G$5)),G$7-SQRT((1-NORMSDIST(G$9*SQRT($C$11)*NORMSINV($B708)+SQRT(1-G$9^2*$C$11)*NORMSINV(F708)))*(G$7-G$5)*(G$7-G$6))))</f>
        <v>0.0417502899956897</v>
      </c>
      <c r="H708" s="2" t="n">
        <v>0.733322995</v>
      </c>
      <c r="I708" s="2" t="n">
        <f aca="false">IF(I$7=I$5,I$6,IF(NORMSDIST(I$9*SQRT($C$11)*NORMSINV($B708)+SQRT(1-I$9^2*$C$11)*NORMSINV(H708))&lt;I$8,I$5+SQRT(NORMSDIST(I$9*SQRT($C$11)*NORMSINV($B708)+SQRT(1-I$9^2*$C$11)*NORMSINV(H708))*(I$7-I$5)*(I$6-I$5)),I$7-SQRT((1-NORMSDIST(I$9*SQRT($C$11)*NORMSINV($B708)+SQRT(1-I$9^2*$C$11)*NORMSINV(H708)))*(I$7-I$5)*(I$7-I$6))))</f>
        <v>192.113474924725</v>
      </c>
      <c r="J708" s="2" t="n">
        <v>0.306453383</v>
      </c>
      <c r="K708" s="2" t="n">
        <f aca="false">IF(K$7=K$5,K$6,IF(NORMSDIST(K$9*SQRT($C$11)*NORMSINV($B708)+SQRT(1-K$9^2*$C$11)*NORMSINV(J708))&lt;K$8,K$5+SQRT(NORMSDIST(K$9*SQRT($C$11)*NORMSINV($B708)+SQRT(1-K$9^2*$C$11)*NORMSINV(J708))*(K$7-K$5)*(K$6-K$5)),K$7-SQRT((1-NORMSDIST(K$9*SQRT($C$11)*NORMSINV($B708)+SQRT(1-K$9^2*$C$11)*NORMSINV(J708)))*(K$7-K$5)*(K$7-K$6))))</f>
        <v>0.0687399470937898</v>
      </c>
      <c r="L708" s="2" t="n">
        <v>0.959414462</v>
      </c>
      <c r="M708" s="2" t="n">
        <f aca="false">IF(M$7=M$5,M$6,IF(NORMSDIST(M$9*SQRT($C$11)*NORMSINV($B708)+SQRT(1-M$9^2*$C$11)*NORMSINV(L708))&lt;M$8,M$5+SQRT(NORMSDIST(M$9*SQRT($C$11)*NORMSINV($B708)+SQRT(1-M$9^2*$C$11)*NORMSINV(L708))*(M$7-M$5)*(M$6-M$5)),M$7-SQRT((1-NORMSDIST(M$9*SQRT($C$11)*NORMSINV($B708)+SQRT(1-M$9^2*$C$11)*NORMSINV(L708)))*(M$7-M$5)*(M$7-M$6))))</f>
        <v>1581.49207222094</v>
      </c>
      <c r="N708" s="2" t="n">
        <v>0.794362748</v>
      </c>
      <c r="O708" s="2" t="n">
        <f aca="false">IF(O$7=O$5,O$6,IF(NORMSDIST(O$9*SQRT($C$11)*NORMSINV($B708)+SQRT(1-O$9^2*$C$11)*NORMSINV(N708))&lt;O$8,O$5+SQRT(NORMSDIST(O$9*SQRT($C$11)*NORMSINV($B708)+SQRT(1-O$9^2*$C$11)*NORMSINV(N708))*(O$7-O$5)*(O$6-O$5)),O$7-SQRT((1-NORMSDIST(O$9*SQRT($C$11)*NORMSINV($B708)+SQRT(1-O$9^2*$C$11)*NORMSINV(N708)))*(O$7-O$5)*(O$7-O$6))))</f>
        <v>0.15805102405565</v>
      </c>
      <c r="P708" s="2" t="n">
        <v>0.267401097</v>
      </c>
      <c r="Q708" s="2" t="n">
        <f aca="false">IF(Q$7=Q$5,Q$6,IF(NORMSDIST(Q$9*SQRT($C$11)*NORMSINV($B708)+SQRT(1-Q$9^2*$C$11)*NORMSINV(P708))&lt;Q$8,Q$5+SQRT(NORMSDIST(Q$9*SQRT($C$11)*NORMSINV($B708)+SQRT(1-Q$9^2*$C$11)*NORMSINV(P708))*(Q$7-Q$5)*(Q$6-Q$5)),Q$7-SQRT((1-NORMSDIST(Q$9*SQRT($C$11)*NORMSINV($B708)+SQRT(1-Q$9^2*$C$11)*NORMSINV(P708)))*(Q$7-Q$5)*(Q$7-Q$6))))</f>
        <v>0.0692520684807075</v>
      </c>
      <c r="R708" s="2" t="n">
        <v>0.49471643</v>
      </c>
      <c r="S708" s="2" t="n">
        <f aca="false">IF(S$7=S$5,S$6,IF(NORMSDIST(S$9*SQRT($C$11)*NORMSINV($B708)+SQRT(1-S$9^2*$C$11)*NORMSINV(R708))&lt;S$8,S$5+SQRT(NORMSDIST(S$9*SQRT($C$11)*NORMSINV($B708)+SQRT(1-S$9^2*$C$11)*NORMSINV(R708))*(S$7-S$5)*(S$6-S$5)),S$7-SQRT((1-NORMSDIST(S$9*SQRT($C$11)*NORMSINV($B708)+SQRT(1-S$9^2*$C$11)*NORMSINV(R708)))*(S$7-S$5)*(S$7-S$6))))</f>
        <v>0.201846624310613</v>
      </c>
      <c r="T708" s="2" t="n">
        <v>0.896595861</v>
      </c>
      <c r="U708" s="2" t="n">
        <f aca="false">IF(U$7=U$5,U$6,IF(NORMSDIST(U$9*SQRT($C$11)*NORMSINV($B708)+SQRT(1-U$9^2*$C$11)*NORMSINV(T708))&lt;U$8,U$5+SQRT(NORMSDIST(U$9*SQRT($C$11)*NORMSINV($B708)+SQRT(1-U$9^2*$C$11)*NORMSINV(T708))*(U$7-U$5)*(U$6-U$5)),U$7-SQRT((1-NORMSDIST(U$9*SQRT($C$11)*NORMSINV($B708)+SQRT(1-U$9^2*$C$11)*NORMSINV(T708)))*(U$7-U$5)*(U$7-U$6))))</f>
        <v>0.413511596559897</v>
      </c>
      <c r="V708" s="2" t="n">
        <v>0.346974386</v>
      </c>
      <c r="W708" s="2" t="n">
        <f aca="false">IF(W$7=W$5,W$6,IF(NORMSDIST(W$9*SQRT($C$11)*NORMSINV($B708)+SQRT(1-W$9^2*$C$11)*NORMSINV(V708))&lt;W$8,W$5+SQRT(NORMSDIST(W$9*SQRT($C$11)*NORMSINV($B708)+SQRT(1-W$9^2*$C$11)*NORMSINV(V708))*(W$7-W$5)*(W$6-W$5)),W$7-SQRT((1-NORMSDIST(W$9*SQRT($C$11)*NORMSINV($B708)+SQRT(1-W$9^2*$C$11)*NORMSINV(V708)))*(W$7-W$5)*(W$7-W$6))))</f>
        <v>8.60360439439831</v>
      </c>
      <c r="X708" s="2" t="n">
        <v>0.528490144</v>
      </c>
      <c r="Y708" s="2" t="n">
        <f aca="false">IF(Y$7=Y$5,Y$6,IF(NORMSDIST(Y$9*SQRT($C$11)*NORMSINV($B708)+SQRT(1-Y$9^2*$C$11)*NORMSINV(X708))&lt;Y$8,Y$5+SQRT(NORMSDIST(Y$9*SQRT($C$11)*NORMSINV($B708)+SQRT(1-Y$9^2*$C$11)*NORMSINV(X708))*(Y$7-Y$5)*(Y$6-Y$5)),Y$7-SQRT((1-NORMSDIST(Y$9*SQRT($C$11)*NORMSINV($B708)+SQRT(1-Y$9^2*$C$11)*NORMSINV(X708)))*(Y$7-Y$5)*(Y$7-Y$6))))</f>
        <v>0.514453989821768</v>
      </c>
      <c r="Z708" s="2" t="n">
        <v>0.098499627</v>
      </c>
      <c r="AA708" s="2" t="n">
        <f aca="false">IF(AA$7=AA$5,AA$6,IF(NORMSDIST(AA$9*SQRT($C$11)*NORMSINV($B708)+SQRT(1-AA$9^2*$C$11)*NORMSINV(Z708))&lt;AA$8,AA$5+SQRT(NORMSDIST(AA$9*SQRT($C$11)*NORMSINV($B708)+SQRT(1-AA$9^2*$C$11)*NORMSINV(Z708))*(AA$7-AA$5)*(AA$6-AA$5)),AA$7-SQRT((1-NORMSDIST(AA$9*SQRT($C$11)*NORMSINV($B708)+SQRT(1-AA$9^2*$C$11)*NORMSINV(Z708)))*(AA$7-AA$5)*(AA$7-AA$6))))</f>
        <v>0.699601230872946</v>
      </c>
      <c r="AB708" s="2" t="n">
        <v>0.974736736</v>
      </c>
      <c r="AC708" s="2" t="n">
        <f aca="false">IF(AC$7=AC$5,AC$6,IF(NORMSDIST(AC$9*SQRT($C$11)*NORMSINV($B708)+SQRT(1-AC$9^2*$C$11)*NORMSINV(AB708))&lt;AC$8,AC$5+SQRT(NORMSDIST(AC$9*SQRT($C$11)*NORMSINV($B708)+SQRT(1-AC$9^2*$C$11)*NORMSINV(AB708))*(AC$7-AC$5)*(AC$6-AC$5)),AC$7-SQRT((1-NORMSDIST(AC$9*SQRT($C$11)*NORMSINV($B708)+SQRT(1-AC$9^2*$C$11)*NORMSINV(AB708)))*(AC$7-AC$5)*(AC$7-AC$6))))</f>
        <v>9.58315821588018</v>
      </c>
      <c r="AD708" s="2" t="n">
        <f aca="false">Entrées!$C$8*(1+E708)</f>
        <v>7415.74864231549</v>
      </c>
      <c r="AE708" s="2" t="n">
        <f aca="false">I708*Hypothèses!$J$24/12/Hypothèses!$J$19</f>
        <v>95.3068800270589</v>
      </c>
      <c r="AF708" s="2" t="n">
        <f aca="false">Entrées!$C$36*S708*1000</f>
        <v>100.923312155307</v>
      </c>
      <c r="AG708" s="2" t="n">
        <f aca="false">-AF708/W708</f>
        <v>-11.7303524812248</v>
      </c>
      <c r="AH708" s="2" t="n">
        <f aca="false">AD708+AE708+AG708</f>
        <v>7499.32516986133</v>
      </c>
      <c r="AI708" s="2" t="n">
        <f aca="false">Entrées!$C$16-M708+Hypothèses!$J$22*1000-AF708+Hypothèses!$J$23</f>
        <v>22865.5846156238</v>
      </c>
      <c r="AJ708" s="2" t="n">
        <f aca="false">AI708/AH708</f>
        <v>3.04901895806801</v>
      </c>
      <c r="AK708" s="2" t="n">
        <f aca="false">AI708/(AH708+I708*(12-Hypothèses!$J$24)/12/Hypothèses!$J$19)</f>
        <v>3.02158998397737</v>
      </c>
      <c r="AL708" s="2" t="n">
        <f aca="false">(AD708+AG708+I708/Hypothèses!$J$19)*(1+G708)</f>
        <v>7883.34272040842</v>
      </c>
      <c r="AM708" s="2" t="n">
        <f aca="false">Entrées!$C$54*K708/Hypothèses!$J$19</f>
        <v>7.01520022130801</v>
      </c>
      <c r="AN708" s="2" t="n">
        <f aca="false">Y708*1000/AC708</f>
        <v>53.6831364183542</v>
      </c>
      <c r="AO708" s="2" t="n">
        <f aca="false">(Entrées!$C$36*(1-S708)+MAX(0,Entrées!$C$30-Entrées!$C$35-Entrées!$C$36)*U708)*1000</f>
        <v>977.992923028549</v>
      </c>
      <c r="AP708" s="2" t="n">
        <f aca="false">-AO708/W708</f>
        <v>-113.672465422202</v>
      </c>
      <c r="AQ708" s="2" t="n">
        <f aca="false">AL708+AM708+AN708+AP708</f>
        <v>7830.36859162588</v>
      </c>
      <c r="AR708" s="2" t="n">
        <f aca="false">O708*AQ708-Hypothèses!$J$25/Hypothèses!$J$19</f>
        <v>1218.46261237804</v>
      </c>
      <c r="AS708" s="2" t="n">
        <f aca="false">Entrées!$C$79*(1+Q708)+Hypothèses!$J$20</f>
        <v>1470.1080232603</v>
      </c>
      <c r="AT708" s="2" t="n">
        <f aca="false">AI708-AR708+AS708+Y708*1000-AO708+Hypothèses!$J$23</f>
        <v>22653.6910932992</v>
      </c>
      <c r="AU708" s="2" t="n">
        <f aca="false">AT708/AQ708</f>
        <v>2.89305552200008</v>
      </c>
      <c r="AV708" s="2" t="n">
        <f aca="false">Hypothèses!$J$26*AQ708-AT708</f>
        <v>837.414681578408</v>
      </c>
      <c r="AW708" s="2" t="n">
        <f aca="false">IF(AC708&gt;Hypothèses!$J$26,MAX(0,AV708)/(1-Hypothèses!$J$26/AC708),0)</f>
        <v>1219.03152297151</v>
      </c>
      <c r="AX708" s="2" t="n">
        <f aca="false">AQ708-Entrées!$C$17*1000</f>
        <v>-169.63140837412</v>
      </c>
      <c r="AY708" s="2" t="n">
        <f aca="false">AI708+(Entrées!$C$244-Entrées!$C$13)</f>
        <v>28612.5846156238</v>
      </c>
      <c r="AZ708" s="2" t="n">
        <f aca="false">AA708*AH708</f>
        <v>5246.53711955145</v>
      </c>
      <c r="BA708" s="2" t="n">
        <f aca="false">AZ708/AY708</f>
        <v>0.183364669428941</v>
      </c>
      <c r="BB708" s="2" t="n">
        <f aca="false">AZ708/(Entrées!$C$151/100)-AY708</f>
        <v>534.843826328728</v>
      </c>
      <c r="BC708" s="2" t="n">
        <f aca="false">AT708+(Entrées!$C$244-Entrées!$C$13)</f>
        <v>28400.6910932992</v>
      </c>
      <c r="BD708" s="2" t="n">
        <f aca="false">AA708*AQ708</f>
        <v>5478.13550489032</v>
      </c>
      <c r="BE708" s="2" t="n">
        <f aca="false">BD708/BC708</f>
        <v>0.192887401468298</v>
      </c>
      <c r="BF708" s="2" t="n">
        <f aca="false">BD708/(Entrées!$C$151/100)-BC708</f>
        <v>2033.39504498033</v>
      </c>
      <c r="BG708" s="2" t="n">
        <f aca="false">MIN(AV708,BF708)</f>
        <v>837.414681578408</v>
      </c>
      <c r="BH708" s="2" t="n">
        <f aca="false">IF(AC708&gt;Hypothèses!$J$26,MAX(0,BG708)/(1-Hypothèses!$J$26/AC708),0)</f>
        <v>1219.03152297151</v>
      </c>
    </row>
    <row r="709" customFormat="false" ht="15" hidden="false" customHeight="false" outlineLevel="0" collapsed="false">
      <c r="A709" s="2" t="n">
        <v>694</v>
      </c>
      <c r="B709" s="2" t="n">
        <v>0.405281373</v>
      </c>
      <c r="C709" s="2"/>
      <c r="D709" s="2" t="n">
        <v>0.142923704</v>
      </c>
      <c r="E709" s="2" t="n">
        <f aca="false">IF(E$7=E$5,E$6,IF(NORMSDIST(E$9*SQRT($C$11)*NORMSINV($B709)+SQRT(1-E$9^2*$C$11)*NORMSINV(D709))&lt;E$8,E$5+SQRT(NORMSDIST(E$9*SQRT($C$11)*NORMSINV($B709)+SQRT(1-E$9^2*$C$11)*NORMSINV(D709))*(E$7-E$5)*(E$6-E$5)),E$7-SQRT((1-NORMSDIST(E$9*SQRT($C$11)*NORMSINV($B709)+SQRT(1-E$9^2*$C$11)*NORMSINV(D709)))*(E$7-E$5)*(E$7-E$6))))</f>
        <v>0.0528632242458944</v>
      </c>
      <c r="F709" s="2" t="n">
        <v>0.634200926</v>
      </c>
      <c r="G709" s="2" t="n">
        <f aca="false">IF(G$7=G$5,G$6,IF(NORMSDIST(G$9*SQRT($C$11)*NORMSINV($B709)+SQRT(1-G$9^2*$C$11)*NORMSINV(F709))&lt;G$8,G$5+SQRT(NORMSDIST(G$9*SQRT($C$11)*NORMSINV($B709)+SQRT(1-G$9^2*$C$11)*NORMSINV(F709))*(G$7-G$5)*(G$6-G$5)),G$7-SQRT((1-NORMSDIST(G$9*SQRT($C$11)*NORMSINV($B709)+SQRT(1-G$9^2*$C$11)*NORMSINV(F709)))*(G$7-G$5)*(G$7-G$6))))</f>
        <v>0.0556974502300114</v>
      </c>
      <c r="H709" s="2" t="n">
        <v>0.674169771</v>
      </c>
      <c r="I709" s="2" t="n">
        <f aca="false">IF(I$7=I$5,I$6,IF(NORMSDIST(I$9*SQRT($C$11)*NORMSINV($B709)+SQRT(1-I$9^2*$C$11)*NORMSINV(H709))&lt;I$8,I$5+SQRT(NORMSDIST(I$9*SQRT($C$11)*NORMSINV($B709)+SQRT(1-I$9^2*$C$11)*NORMSINV(H709))*(I$7-I$5)*(I$6-I$5)),I$7-SQRT((1-NORMSDIST(I$9*SQRT($C$11)*NORMSINV($B709)+SQRT(1-I$9^2*$C$11)*NORMSINV(H709)))*(I$7-I$5)*(I$7-I$6))))</f>
        <v>201.637330822038</v>
      </c>
      <c r="J709" s="2" t="n">
        <v>0.747902265</v>
      </c>
      <c r="K709" s="2" t="n">
        <f aca="false">IF(K$7=K$5,K$6,IF(NORMSDIST(K$9*SQRT($C$11)*NORMSINV($B709)+SQRT(1-K$9^2*$C$11)*NORMSINV(J709))&lt;K$8,K$5+SQRT(NORMSDIST(K$9*SQRT($C$11)*NORMSINV($B709)+SQRT(1-K$9^2*$C$11)*NORMSINV(J709))*(K$7-K$5)*(K$6-K$5)),K$7-SQRT((1-NORMSDIST(K$9*SQRT($C$11)*NORMSINV($B709)+SQRT(1-K$9^2*$C$11)*NORMSINV(J709)))*(K$7-K$5)*(K$7-K$6))))</f>
        <v>0.288672753137627</v>
      </c>
      <c r="L709" s="2" t="n">
        <v>0.76522164</v>
      </c>
      <c r="M709" s="2" t="n">
        <f aca="false">IF(M$7=M$5,M$6,IF(NORMSDIST(M$9*SQRT($C$11)*NORMSINV($B709)+SQRT(1-M$9^2*$C$11)*NORMSINV(L709))&lt;M$8,M$5+SQRT(NORMSDIST(M$9*SQRT($C$11)*NORMSINV($B709)+SQRT(1-M$9^2*$C$11)*NORMSINV(L709))*(M$7-M$5)*(M$6-M$5)),M$7-SQRT((1-NORMSDIST(M$9*SQRT($C$11)*NORMSINV($B709)+SQRT(1-M$9^2*$C$11)*NORMSINV(L709)))*(M$7-M$5)*(M$7-M$6))))</f>
        <v>1627.01783608017</v>
      </c>
      <c r="N709" s="2" t="n">
        <v>0.590410002</v>
      </c>
      <c r="O709" s="2" t="n">
        <f aca="false">IF(O$7=O$5,O$6,IF(NORMSDIST(O$9*SQRT($C$11)*NORMSINV($B709)+SQRT(1-O$9^2*$C$11)*NORMSINV(N709))&lt;O$8,O$5+SQRT(NORMSDIST(O$9*SQRT($C$11)*NORMSINV($B709)+SQRT(1-O$9^2*$C$11)*NORMSINV(N709))*(O$7-O$5)*(O$6-O$5)),O$7-SQRT((1-NORMSDIST(O$9*SQRT($C$11)*NORMSINV($B709)+SQRT(1-O$9^2*$C$11)*NORMSINV(N709)))*(O$7-O$5)*(O$7-O$6))))</f>
        <v>0.167055286091805</v>
      </c>
      <c r="P709" s="2" t="n">
        <v>0.510405406</v>
      </c>
      <c r="Q709" s="2" t="n">
        <f aca="false">IF(Q$7=Q$5,Q$6,IF(NORMSDIST(Q$9*SQRT($C$11)*NORMSINV($B709)+SQRT(1-Q$9^2*$C$11)*NORMSINV(P709))&lt;Q$8,Q$5+SQRT(NORMSDIST(Q$9*SQRT($C$11)*NORMSINV($B709)+SQRT(1-Q$9^2*$C$11)*NORMSINV(P709))*(Q$7-Q$5)*(Q$6-Q$5)),Q$7-SQRT((1-NORMSDIST(Q$9*SQRT($C$11)*NORMSINV($B709)+SQRT(1-Q$9^2*$C$11)*NORMSINV(P709)))*(Q$7-Q$5)*(Q$7-Q$6))))</f>
        <v>0.0804184045192719</v>
      </c>
      <c r="R709" s="2" t="n">
        <v>0.963552392</v>
      </c>
      <c r="S709" s="2" t="n">
        <f aca="false">IF(S$7=S$5,S$6,IF(NORMSDIST(S$9*SQRT($C$11)*NORMSINV($B709)+SQRT(1-S$9^2*$C$11)*NORMSINV(R709))&lt;S$8,S$5+SQRT(NORMSDIST(S$9*SQRT($C$11)*NORMSINV($B709)+SQRT(1-S$9^2*$C$11)*NORMSINV(R709))*(S$7-S$5)*(S$6-S$5)),S$7-SQRT((1-NORMSDIST(S$9*SQRT($C$11)*NORMSINV($B709)+SQRT(1-S$9^2*$C$11)*NORMSINV(R709)))*(S$7-S$5)*(S$7-S$6))))</f>
        <v>0.767699686969314</v>
      </c>
      <c r="T709" s="2" t="n">
        <v>0.145747061</v>
      </c>
      <c r="U709" s="2" t="n">
        <f aca="false">IF(U$7=U$5,U$6,IF(NORMSDIST(U$9*SQRT($C$11)*NORMSINV($B709)+SQRT(1-U$9^2*$C$11)*NORMSINV(T709))&lt;U$8,U$5+SQRT(NORMSDIST(U$9*SQRT($C$11)*NORMSINV($B709)+SQRT(1-U$9^2*$C$11)*NORMSINV(T709))*(U$7-U$5)*(U$6-U$5)),U$7-SQRT((1-NORMSDIST(U$9*SQRT($C$11)*NORMSINV($B709)+SQRT(1-U$9^2*$C$11)*NORMSINV(T709)))*(U$7-U$5)*(U$7-U$6))))</f>
        <v>0.288402304442413</v>
      </c>
      <c r="V709" s="2" t="n">
        <v>0.858713186</v>
      </c>
      <c r="W709" s="2" t="n">
        <f aca="false">IF(W$7=W$5,W$6,IF(NORMSDIST(W$9*SQRT($C$11)*NORMSINV($B709)+SQRT(1-W$9^2*$C$11)*NORMSINV(V709))&lt;W$8,W$5+SQRT(NORMSDIST(W$9*SQRT($C$11)*NORMSINV($B709)+SQRT(1-W$9^2*$C$11)*NORMSINV(V709))*(W$7-W$5)*(W$6-W$5)),W$7-SQRT((1-NORMSDIST(W$9*SQRT($C$11)*NORMSINV($B709)+SQRT(1-W$9^2*$C$11)*NORMSINV(V709)))*(W$7-W$5)*(W$7-W$6))))</f>
        <v>10.5914104400259</v>
      </c>
      <c r="X709" s="2" t="n">
        <v>0.84027011</v>
      </c>
      <c r="Y709" s="2" t="n">
        <f aca="false">IF(Y$7=Y$5,Y$6,IF(NORMSDIST(Y$9*SQRT($C$11)*NORMSINV($B709)+SQRT(1-Y$9^2*$C$11)*NORMSINV(X709))&lt;Y$8,Y$5+SQRT(NORMSDIST(Y$9*SQRT($C$11)*NORMSINV($B709)+SQRT(1-Y$9^2*$C$11)*NORMSINV(X709))*(Y$7-Y$5)*(Y$6-Y$5)),Y$7-SQRT((1-NORMSDIST(Y$9*SQRT($C$11)*NORMSINV($B709)+SQRT(1-Y$9^2*$C$11)*NORMSINV(X709)))*(Y$7-Y$5)*(Y$7-Y$6))))</f>
        <v>0.717396134138261</v>
      </c>
      <c r="Z709" s="2" t="n">
        <v>0.61486237</v>
      </c>
      <c r="AA709" s="2" t="n">
        <f aca="false">IF(AA$7=AA$5,AA$6,IF(NORMSDIST(AA$9*SQRT($C$11)*NORMSINV($B709)+SQRT(1-AA$9^2*$C$11)*NORMSINV(Z709))&lt;AA$8,AA$5+SQRT(NORMSDIST(AA$9*SQRT($C$11)*NORMSINV($B709)+SQRT(1-AA$9^2*$C$11)*NORMSINV(Z709))*(AA$7-AA$5)*(AA$6-AA$5)),AA$7-SQRT((1-NORMSDIST(AA$9*SQRT($C$11)*NORMSINV($B709)+SQRT(1-AA$9^2*$C$11)*NORMSINV(Z709)))*(AA$7-AA$5)*(AA$7-AA$6))))</f>
        <v>0.729010493150988</v>
      </c>
      <c r="AB709" s="2" t="n">
        <v>0.200954701</v>
      </c>
      <c r="AC709" s="2" t="n">
        <f aca="false">IF(AC$7=AC$5,AC$6,IF(NORMSDIST(AC$9*SQRT($C$11)*NORMSINV($B709)+SQRT(1-AC$9^2*$C$11)*NORMSINV(AB709))&lt;AC$8,AC$5+SQRT(NORMSDIST(AC$9*SQRT($C$11)*NORMSINV($B709)+SQRT(1-AC$9^2*$C$11)*NORMSINV(AB709))*(AC$7-AC$5)*(AC$6-AC$5)),AC$7-SQRT((1-NORMSDIST(AC$9*SQRT($C$11)*NORMSINV($B709)+SQRT(1-AC$9^2*$C$11)*NORMSINV(AB709)))*(AC$7-AC$5)*(AC$7-AC$6))))</f>
        <v>8.75212106424972</v>
      </c>
      <c r="AD709" s="2" t="n">
        <f aca="false">Entrées!$C$8*(1+E709)</f>
        <v>7422.68573093356</v>
      </c>
      <c r="AE709" s="2" t="n">
        <f aca="false">I709*Hypothèses!$J$24/12/Hypothèses!$J$19</f>
        <v>100.03163445543</v>
      </c>
      <c r="AF709" s="2" t="n">
        <f aca="false">Entrées!$C$36*S709*1000</f>
        <v>383.849843484657</v>
      </c>
      <c r="AG709" s="2" t="n">
        <f aca="false">-AF709/W709</f>
        <v>-36.2416172669557</v>
      </c>
      <c r="AH709" s="2" t="n">
        <f aca="false">AD709+AE709+AG709</f>
        <v>7486.47574812203</v>
      </c>
      <c r="AI709" s="2" t="n">
        <f aca="false">Entrées!$C$16-M709+Hypothèses!$J$22*1000-AF709+Hypothèses!$J$23</f>
        <v>22537.1323204352</v>
      </c>
      <c r="AJ709" s="2" t="n">
        <f aca="false">AI709/AH709</f>
        <v>3.01037939327975</v>
      </c>
      <c r="AK709" s="2" t="n">
        <f aca="false">AI709/(AH709+I709*(12-Hypothèses!$J$24)/12/Hypothèses!$J$19)</f>
        <v>2.98191985343844</v>
      </c>
      <c r="AL709" s="2" t="n">
        <f aca="false">(AD709+AG709+I709/Hypothèses!$J$19)*(1+G709)</f>
        <v>7978.88417381334</v>
      </c>
      <c r="AM709" s="2" t="n">
        <f aca="false">Entrées!$C$54*K709/Hypothèses!$J$19</f>
        <v>29.4602665162602</v>
      </c>
      <c r="AN709" s="2" t="n">
        <f aca="false">Y709*1000/AC709</f>
        <v>81.968259907721</v>
      </c>
      <c r="AO709" s="2" t="n">
        <f aca="false">(Entrées!$C$36*(1-S709)+MAX(0,Entrées!$C$30-Entrées!$C$35-Entrées!$C$36)*U709)*1000</f>
        <v>519.913382734722</v>
      </c>
      <c r="AP709" s="2" t="n">
        <f aca="false">-AO709/W709</f>
        <v>-49.0882102698922</v>
      </c>
      <c r="AQ709" s="2" t="n">
        <f aca="false">AL709+AM709+AN709+AP709</f>
        <v>8041.22448996743</v>
      </c>
      <c r="AR709" s="2" t="n">
        <f aca="false">O709*AQ709-Hypothèses!$J$25/Hypothèses!$J$19</f>
        <v>1324.19389543831</v>
      </c>
      <c r="AS709" s="2" t="n">
        <f aca="false">Entrées!$C$79*(1+Q709)+Hypothèses!$J$20</f>
        <v>1482.37982656668</v>
      </c>
      <c r="AT709" s="2" t="n">
        <f aca="false">AI709-AR709+AS709+Y709*1000-AO709+Hypothèses!$J$23</f>
        <v>22892.8010029671</v>
      </c>
      <c r="AU709" s="2" t="n">
        <f aca="false">AT709/AQ709</f>
        <v>2.84692972214979</v>
      </c>
      <c r="AV709" s="2" t="n">
        <f aca="false">Hypothèses!$J$26*AQ709-AT709</f>
        <v>1230.87246693521</v>
      </c>
      <c r="AW709" s="2" t="n">
        <f aca="false">IF(AC709&gt;Hypothèses!$J$26,MAX(0,AV709)/(1-Hypothèses!$J$26/AC709),0)</f>
        <v>1872.82999174389</v>
      </c>
      <c r="AX709" s="2" t="n">
        <f aca="false">AQ709-Entrées!$C$17*1000</f>
        <v>41.2244899674315</v>
      </c>
      <c r="AY709" s="2" t="n">
        <f aca="false">AI709+(Entrées!$C$244-Entrées!$C$13)</f>
        <v>28284.1323204352</v>
      </c>
      <c r="AZ709" s="2" t="n">
        <f aca="false">AA709*AH709</f>
        <v>5457.71937710136</v>
      </c>
      <c r="BA709" s="2" t="n">
        <f aca="false">AZ709/AY709</f>
        <v>0.192960466853642</v>
      </c>
      <c r="BB709" s="2" t="n">
        <f aca="false">AZ709/(Entrées!$C$151/100)-AY709</f>
        <v>2036.53088568347</v>
      </c>
      <c r="BC709" s="2" t="n">
        <f aca="false">AT709+(Entrées!$C$244-Entrées!$C$13)</f>
        <v>28639.8010029671</v>
      </c>
      <c r="BD709" s="2" t="n">
        <f aca="false">AA709*AQ709</f>
        <v>5862.13703096896</v>
      </c>
      <c r="BE709" s="2" t="n">
        <f aca="false">BD709/BC709</f>
        <v>0.204684977746935</v>
      </c>
      <c r="BF709" s="2" t="n">
        <f aca="false">BD709/(Entrées!$C$151/100)-BC709</f>
        <v>3927.62694686049</v>
      </c>
      <c r="BG709" s="2" t="n">
        <f aca="false">MIN(AV709,BF709)</f>
        <v>1230.87246693521</v>
      </c>
      <c r="BH709" s="2" t="n">
        <f aca="false">IF(AC709&gt;Hypothèses!$J$26,MAX(0,BG709)/(1-Hypothèses!$J$26/AC709),0)</f>
        <v>1872.82999174389</v>
      </c>
    </row>
    <row r="710" customFormat="false" ht="15" hidden="false" customHeight="false" outlineLevel="0" collapsed="false">
      <c r="A710" s="2" t="n">
        <v>695</v>
      </c>
      <c r="B710" s="2" t="n">
        <v>0.309286937</v>
      </c>
      <c r="C710" s="2"/>
      <c r="D710" s="2" t="n">
        <v>0.343418047</v>
      </c>
      <c r="E710" s="2" t="n">
        <f aca="false">IF(E$7=E$5,E$6,IF(NORMSDIST(E$9*SQRT($C$11)*NORMSINV($B710)+SQRT(1-E$9^2*$C$11)*NORMSINV(D710))&lt;E$8,E$5+SQRT(NORMSDIST(E$9*SQRT($C$11)*NORMSINV($B710)+SQRT(1-E$9^2*$C$11)*NORMSINV(D710))*(E$7-E$5)*(E$6-E$5)),E$7-SQRT((1-NORMSDIST(E$9*SQRT($C$11)*NORMSINV($B710)+SQRT(1-E$9^2*$C$11)*NORMSINV(D710)))*(E$7-E$5)*(E$7-E$6))))</f>
        <v>0.0536419518788041</v>
      </c>
      <c r="F710" s="2" t="n">
        <v>0.668190927</v>
      </c>
      <c r="G710" s="2" t="n">
        <f aca="false">IF(G$7=G$5,G$6,IF(NORMSDIST(G$9*SQRT($C$11)*NORMSINV($B710)+SQRT(1-G$9^2*$C$11)*NORMSINV(F710))&lt;G$8,G$5+SQRT(NORMSDIST(G$9*SQRT($C$11)*NORMSINV($B710)+SQRT(1-G$9^2*$C$11)*NORMSINV(F710))*(G$7-G$5)*(G$6-G$5)),G$7-SQRT((1-NORMSDIST(G$9*SQRT($C$11)*NORMSINV($B710)+SQRT(1-G$9^2*$C$11)*NORMSINV(F710)))*(G$7-G$5)*(G$7-G$6))))</f>
        <v>0.0551322704301402</v>
      </c>
      <c r="H710" s="2" t="n">
        <v>0.754247709</v>
      </c>
      <c r="I710" s="2" t="n">
        <f aca="false">IF(I$7=I$5,I$6,IF(NORMSDIST(I$9*SQRT($C$11)*NORMSINV($B710)+SQRT(1-I$9^2*$C$11)*NORMSINV(H710))&lt;I$8,I$5+SQRT(NORMSDIST(I$9*SQRT($C$11)*NORMSINV($B710)+SQRT(1-I$9^2*$C$11)*NORMSINV(H710))*(I$7-I$5)*(I$6-I$5)),I$7-SQRT((1-NORMSDIST(I$9*SQRT($C$11)*NORMSINV($B710)+SQRT(1-I$9^2*$C$11)*NORMSINV(H710)))*(I$7-I$5)*(I$7-I$6))))</f>
        <v>201.807172972392</v>
      </c>
      <c r="J710" s="2" t="n">
        <v>0.506465283</v>
      </c>
      <c r="K710" s="2" t="n">
        <f aca="false">IF(K$7=K$5,K$6,IF(NORMSDIST(K$9*SQRT($C$11)*NORMSINV($B710)+SQRT(1-K$9^2*$C$11)*NORMSINV(J710))&lt;K$8,K$5+SQRT(NORMSDIST(K$9*SQRT($C$11)*NORMSINV($B710)+SQRT(1-K$9^2*$C$11)*NORMSINV(J710))*(K$7-K$5)*(K$6-K$5)),K$7-SQRT((1-NORMSDIST(K$9*SQRT($C$11)*NORMSINV($B710)+SQRT(1-K$9^2*$C$11)*NORMSINV(J710)))*(K$7-K$5)*(K$7-K$6))))</f>
        <v>0.218289032022143</v>
      </c>
      <c r="L710" s="2" t="n">
        <v>0.699615556</v>
      </c>
      <c r="M710" s="2" t="n">
        <f aca="false">IF(M$7=M$5,M$6,IF(NORMSDIST(M$9*SQRT($C$11)*NORMSINV($B710)+SQRT(1-M$9^2*$C$11)*NORMSINV(L710))&lt;M$8,M$5+SQRT(NORMSDIST(M$9*SQRT($C$11)*NORMSINV($B710)+SQRT(1-M$9^2*$C$11)*NORMSINV(L710))*(M$7-M$5)*(M$6-M$5)),M$7-SQRT((1-NORMSDIST(M$9*SQRT($C$11)*NORMSINV($B710)+SQRT(1-M$9^2*$C$11)*NORMSINV(L710)))*(M$7-M$5)*(M$7-M$6))))</f>
        <v>1595.34269792909</v>
      </c>
      <c r="N710" s="2" t="n">
        <v>0.399090175</v>
      </c>
      <c r="O710" s="2" t="n">
        <f aca="false">IF(O$7=O$5,O$6,IF(NORMSDIST(O$9*SQRT($C$11)*NORMSINV($B710)+SQRT(1-O$9^2*$C$11)*NORMSINV(N710))&lt;O$8,O$5+SQRT(NORMSDIST(O$9*SQRT($C$11)*NORMSINV($B710)+SQRT(1-O$9^2*$C$11)*NORMSINV(N710))*(O$7-O$5)*(O$6-O$5)),O$7-SQRT((1-NORMSDIST(O$9*SQRT($C$11)*NORMSINV($B710)+SQRT(1-O$9^2*$C$11)*NORMSINV(N710)))*(O$7-O$5)*(O$7-O$6))))</f>
        <v>0.160884815679617</v>
      </c>
      <c r="P710" s="2" t="n">
        <v>0.053977041</v>
      </c>
      <c r="Q710" s="2" t="n">
        <f aca="false">IF(Q$7=Q$5,Q$6,IF(NORMSDIST(Q$9*SQRT($C$11)*NORMSINV($B710)+SQRT(1-Q$9^2*$C$11)*NORMSINV(P710))&lt;Q$8,Q$5+SQRT(NORMSDIST(Q$9*SQRT($C$11)*NORMSINV($B710)+SQRT(1-Q$9^2*$C$11)*NORMSINV(P710))*(Q$7-Q$5)*(Q$6-Q$5)),Q$7-SQRT((1-NORMSDIST(Q$9*SQRT($C$11)*NORMSINV($B710)+SQRT(1-Q$9^2*$C$11)*NORMSINV(P710)))*(Q$7-Q$5)*(Q$7-Q$6))))</f>
        <v>0.0531425466025424</v>
      </c>
      <c r="R710" s="2" t="n">
        <v>0.328897506</v>
      </c>
      <c r="S710" s="2" t="n">
        <f aca="false">IF(S$7=S$5,S$6,IF(NORMSDIST(S$9*SQRT($C$11)*NORMSINV($B710)+SQRT(1-S$9^2*$C$11)*NORMSINV(R710))&lt;S$8,S$5+SQRT(NORMSDIST(S$9*SQRT($C$11)*NORMSINV($B710)+SQRT(1-S$9^2*$C$11)*NORMSINV(R710))*(S$7-S$5)*(S$6-S$5)),S$7-SQRT((1-NORMSDIST(S$9*SQRT($C$11)*NORMSINV($B710)+SQRT(1-S$9^2*$C$11)*NORMSINV(R710)))*(S$7-S$5)*(S$7-S$6))))</f>
        <v>0.357260379923194</v>
      </c>
      <c r="T710" s="2" t="n">
        <v>0.809145944</v>
      </c>
      <c r="U710" s="2" t="n">
        <f aca="false">IF(U$7=U$5,U$6,IF(NORMSDIST(U$9*SQRT($C$11)*NORMSINV($B710)+SQRT(1-U$9^2*$C$11)*NORMSINV(T710))&lt;U$8,U$5+SQRT(NORMSDIST(U$9*SQRT($C$11)*NORMSINV($B710)+SQRT(1-U$9^2*$C$11)*NORMSINV(T710))*(U$7-U$5)*(U$6-U$5)),U$7-SQRT((1-NORMSDIST(U$9*SQRT($C$11)*NORMSINV($B710)+SQRT(1-U$9^2*$C$11)*NORMSINV(T710)))*(U$7-U$5)*(U$7-U$6))))</f>
        <v>0.576670962273014</v>
      </c>
      <c r="V710" s="2" t="n">
        <v>0.000671597</v>
      </c>
      <c r="W710" s="2" t="n">
        <f aca="false">IF(W$7=W$5,W$6,IF(NORMSDIST(W$9*SQRT($C$11)*NORMSINV($B710)+SQRT(1-W$9^2*$C$11)*NORMSINV(V710))&lt;W$8,W$5+SQRT(NORMSDIST(W$9*SQRT($C$11)*NORMSINV($B710)+SQRT(1-W$9^2*$C$11)*NORMSINV(V710))*(W$7-W$5)*(W$6-W$5)),W$7-SQRT((1-NORMSDIST(W$9*SQRT($C$11)*NORMSINV($B710)+SQRT(1-W$9^2*$C$11)*NORMSINV(V710)))*(W$7-W$5)*(W$7-W$6))))</f>
        <v>8.14326155719698</v>
      </c>
      <c r="X710" s="2" t="n">
        <v>0.974806378</v>
      </c>
      <c r="Y710" s="2" t="n">
        <f aca="false">IF(Y$7=Y$5,Y$6,IF(NORMSDIST(Y$9*SQRT($C$11)*NORMSINV($B710)+SQRT(1-Y$9^2*$C$11)*NORMSINV(X710))&lt;Y$8,Y$5+SQRT(NORMSDIST(Y$9*SQRT($C$11)*NORMSINV($B710)+SQRT(1-Y$9^2*$C$11)*NORMSINV(X710))*(Y$7-Y$5)*(Y$6-Y$5)),Y$7-SQRT((1-NORMSDIST(Y$9*SQRT($C$11)*NORMSINV($B710)+SQRT(1-Y$9^2*$C$11)*NORMSINV(X710)))*(Y$7-Y$5)*(Y$7-Y$6))))</f>
        <v>0.887764484230704</v>
      </c>
      <c r="Z710" s="2" t="n">
        <v>0.47042658</v>
      </c>
      <c r="AA710" s="2" t="n">
        <f aca="false">IF(AA$7=AA$5,AA$6,IF(NORMSDIST(AA$9*SQRT($C$11)*NORMSINV($B710)+SQRT(1-AA$9^2*$C$11)*NORMSINV(Z710))&lt;AA$8,AA$5+SQRT(NORMSDIST(AA$9*SQRT($C$11)*NORMSINV($B710)+SQRT(1-AA$9^2*$C$11)*NORMSINV(Z710))*(AA$7-AA$5)*(AA$6-AA$5)),AA$7-SQRT((1-NORMSDIST(AA$9*SQRT($C$11)*NORMSINV($B710)+SQRT(1-AA$9^2*$C$11)*NORMSINV(Z710)))*(AA$7-AA$5)*(AA$7-AA$6))))</f>
        <v>0.722892593233764</v>
      </c>
      <c r="AB710" s="2" t="n">
        <v>0.817858296</v>
      </c>
      <c r="AC710" s="2" t="n">
        <f aca="false">IF(AC$7=AC$5,AC$6,IF(NORMSDIST(AC$9*SQRT($C$11)*NORMSINV($B710)+SQRT(1-AC$9^2*$C$11)*NORMSINV(AB710))&lt;AC$8,AC$5+SQRT(NORMSDIST(AC$9*SQRT($C$11)*NORMSINV($B710)+SQRT(1-AC$9^2*$C$11)*NORMSINV(AB710))*(AC$7-AC$5)*(AC$6-AC$5)),AC$7-SQRT((1-NORMSDIST(AC$9*SQRT($C$11)*NORMSINV($B710)+SQRT(1-AC$9^2*$C$11)*NORMSINV(AB710)))*(AC$7-AC$5)*(AC$7-AC$6))))</f>
        <v>9.77152182199308</v>
      </c>
      <c r="AD710" s="2" t="n">
        <f aca="false">Entrées!$C$8*(1+E710)</f>
        <v>7428.17576074557</v>
      </c>
      <c r="AE710" s="2" t="n">
        <f aca="false">I710*Hypothèses!$J$24/12/Hypothèses!$J$19</f>
        <v>100.115892602619</v>
      </c>
      <c r="AF710" s="2" t="n">
        <f aca="false">Entrées!$C$36*S710*1000</f>
        <v>178.630189961597</v>
      </c>
      <c r="AG710" s="2" t="n">
        <f aca="false">-AF710/W710</f>
        <v>-21.9359514252277</v>
      </c>
      <c r="AH710" s="2" t="n">
        <f aca="false">AD710+AE710+AG710</f>
        <v>7506.35570192296</v>
      </c>
      <c r="AI710" s="2" t="n">
        <f aca="false">Entrées!$C$16-M710+Hypothèses!$J$22*1000-AF710+Hypothèses!$J$23</f>
        <v>22774.0271121093</v>
      </c>
      <c r="AJ710" s="2" t="n">
        <f aca="false">AI710/AH710</f>
        <v>3.03396588390757</v>
      </c>
      <c r="AK710" s="2" t="n">
        <f aca="false">AI710/(AH710+I710*(12-Hypothèses!$J$24)/12/Hypothèses!$J$19)</f>
        <v>3.00533474003654</v>
      </c>
      <c r="AL710" s="2" t="n">
        <f aca="false">(AD710+AG710+I710/Hypothèses!$J$19)*(1+G710)</f>
        <v>7995.65206947473</v>
      </c>
      <c r="AM710" s="2" t="n">
        <f aca="false">Entrées!$C$54*K710/Hypothèses!$J$19</f>
        <v>22.2773122542772</v>
      </c>
      <c r="AN710" s="2" t="n">
        <f aca="false">Y710*1000/AC710</f>
        <v>90.8522234717404</v>
      </c>
      <c r="AO710" s="2" t="n">
        <f aca="false">(Entrées!$C$36*(1-S710)+MAX(0,Entrées!$C$30-Entrées!$C$35-Entrées!$C$36)*U710)*1000</f>
        <v>1128.70915722062</v>
      </c>
      <c r="AP710" s="2" t="n">
        <f aca="false">-AO710/W710</f>
        <v>-138.60652139106</v>
      </c>
      <c r="AQ710" s="2" t="n">
        <f aca="false">AL710+AM710+AN710+AP710</f>
        <v>7970.17508380969</v>
      </c>
      <c r="AR710" s="2" t="n">
        <f aca="false">O710*AQ710-Hypothèses!$J$25/Hypothèses!$J$19</f>
        <v>1263.14498703137</v>
      </c>
      <c r="AS710" s="2" t="n">
        <f aca="false">Entrées!$C$79*(1+Q710)+Hypothèses!$J$20</f>
        <v>1452.40365871619</v>
      </c>
      <c r="AT710" s="2" t="n">
        <f aca="false">AI710-AR710+AS710+Y710*1000-AO710+Hypothèses!$J$23</f>
        <v>22722.3411108042</v>
      </c>
      <c r="AU710" s="2" t="n">
        <f aca="false">AT710/AQ710</f>
        <v>2.85092119958086</v>
      </c>
      <c r="AV710" s="2" t="n">
        <f aca="false">Hypothèses!$J$26*AQ710-AT710</f>
        <v>1188.18414062485</v>
      </c>
      <c r="AW710" s="2" t="n">
        <f aca="false">IF(AC710&gt;Hypothèses!$J$26,MAX(0,AV710)/(1-Hypothèses!$J$26/AC710),0)</f>
        <v>1714.58758664157</v>
      </c>
      <c r="AX710" s="2" t="n">
        <f aca="false">AQ710-Entrées!$C$17*1000</f>
        <v>-29.8249161903113</v>
      </c>
      <c r="AY710" s="2" t="n">
        <f aca="false">AI710+(Entrées!$C$244-Entrées!$C$13)</f>
        <v>28521.0271121093</v>
      </c>
      <c r="AZ710" s="2" t="n">
        <f aca="false">AA710*AH710</f>
        <v>5426.28893909814</v>
      </c>
      <c r="BA710" s="2" t="n">
        <f aca="false">AZ710/AY710</f>
        <v>0.190255733700217</v>
      </c>
      <c r="BB710" s="2" t="n">
        <f aca="false">AZ710/(Entrées!$C$151/100)-AY710</f>
        <v>1625.02254954704</v>
      </c>
      <c r="BC710" s="2" t="n">
        <f aca="false">AT710+(Entrées!$C$244-Entrées!$C$13)</f>
        <v>28469.3411108042</v>
      </c>
      <c r="BD710" s="2" t="n">
        <f aca="false">AA710*AQ710</f>
        <v>5761.58053486232</v>
      </c>
      <c r="BE710" s="2" t="n">
        <f aca="false">BD710/BC710</f>
        <v>0.20237842921752</v>
      </c>
      <c r="BF710" s="2" t="n">
        <f aca="false">BD710/(Entrées!$C$151/100)-BC710</f>
        <v>3539.43963843091</v>
      </c>
      <c r="BG710" s="2" t="n">
        <f aca="false">MIN(AV710,BF710)</f>
        <v>1188.18414062485</v>
      </c>
      <c r="BH710" s="2" t="n">
        <f aca="false">IF(AC710&gt;Hypothèses!$J$26,MAX(0,BG710)/(1-Hypothèses!$J$26/AC710),0)</f>
        <v>1714.58758664157</v>
      </c>
    </row>
    <row r="711" customFormat="false" ht="15" hidden="false" customHeight="false" outlineLevel="0" collapsed="false">
      <c r="A711" s="2" t="n">
        <v>696</v>
      </c>
      <c r="B711" s="2" t="n">
        <v>0.915825413</v>
      </c>
      <c r="C711" s="2"/>
      <c r="D711" s="2" t="n">
        <v>0.215903867</v>
      </c>
      <c r="E711" s="2" t="n">
        <f aca="false">IF(E$7=E$5,E$6,IF(NORMSDIST(E$9*SQRT($C$11)*NORMSINV($B711)+SQRT(1-E$9^2*$C$11)*NORMSINV(D711))&lt;E$8,E$5+SQRT(NORMSDIST(E$9*SQRT($C$11)*NORMSINV($B711)+SQRT(1-E$9^2*$C$11)*NORMSINV(D711))*(E$7-E$5)*(E$6-E$5)),E$7-SQRT((1-NORMSDIST(E$9*SQRT($C$11)*NORMSINV($B711)+SQRT(1-E$9^2*$C$11)*NORMSINV(D711)))*(E$7-E$5)*(E$7-E$6))))</f>
        <v>0.0555472476263566</v>
      </c>
      <c r="F711" s="2" t="n">
        <v>0.286521474</v>
      </c>
      <c r="G711" s="2" t="n">
        <f aca="false">IF(G$7=G$5,G$6,IF(NORMSDIST(G$9*SQRT($C$11)*NORMSINV($B711)+SQRT(1-G$9^2*$C$11)*NORMSINV(F711))&lt;G$8,G$5+SQRT(NORMSDIST(G$9*SQRT($C$11)*NORMSINV($B711)+SQRT(1-G$9^2*$C$11)*NORMSINV(F711))*(G$7-G$5)*(G$6-G$5)),G$7-SQRT((1-NORMSDIST(G$9*SQRT($C$11)*NORMSINV($B711)+SQRT(1-G$9^2*$C$11)*NORMSINV(F711)))*(G$7-G$5)*(G$7-G$6))))</f>
        <v>0.0577789679249101</v>
      </c>
      <c r="H711" s="2" t="n">
        <v>0.965199053</v>
      </c>
      <c r="I711" s="2" t="n">
        <f aca="false">IF(I$7=I$5,I$6,IF(NORMSDIST(I$9*SQRT($C$11)*NORMSINV($B711)+SQRT(1-I$9^2*$C$11)*NORMSINV(H711))&lt;I$8,I$5+SQRT(NORMSDIST(I$9*SQRT($C$11)*NORMSINV($B711)+SQRT(1-I$9^2*$C$11)*NORMSINV(H711))*(I$7-I$5)*(I$6-I$5)),I$7-SQRT((1-NORMSDIST(I$9*SQRT($C$11)*NORMSINV($B711)+SQRT(1-I$9^2*$C$11)*NORMSINV(H711)))*(I$7-I$5)*(I$7-I$6))))</f>
        <v>216.979890710476</v>
      </c>
      <c r="J711" s="2" t="n">
        <v>0.551584837</v>
      </c>
      <c r="K711" s="2" t="n">
        <f aca="false">IF(K$7=K$5,K$6,IF(NORMSDIST(K$9*SQRT($C$11)*NORMSINV($B711)+SQRT(1-K$9^2*$C$11)*NORMSINV(J711))&lt;K$8,K$5+SQRT(NORMSDIST(K$9*SQRT($C$11)*NORMSINV($B711)+SQRT(1-K$9^2*$C$11)*NORMSINV(J711))*(K$7-K$5)*(K$6-K$5)),K$7-SQRT((1-NORMSDIST(K$9*SQRT($C$11)*NORMSINV($B711)+SQRT(1-K$9^2*$C$11)*NORMSINV(J711)))*(K$7-K$5)*(K$7-K$6))))</f>
        <v>0.356121222482453</v>
      </c>
      <c r="L711" s="2" t="n">
        <v>0.246313882</v>
      </c>
      <c r="M711" s="2" t="n">
        <f aca="false">IF(M$7=M$5,M$6,IF(NORMSDIST(M$9*SQRT($C$11)*NORMSINV($B711)+SQRT(1-M$9^2*$C$11)*NORMSINV(L711))&lt;M$8,M$5+SQRT(NORMSDIST(M$9*SQRT($C$11)*NORMSINV($B711)+SQRT(1-M$9^2*$C$11)*NORMSINV(L711))*(M$7-M$5)*(M$6-M$5)),M$7-SQRT((1-NORMSDIST(M$9*SQRT($C$11)*NORMSINV($B711)+SQRT(1-M$9^2*$C$11)*NORMSINV(L711)))*(M$7-M$5)*(M$7-M$6))))</f>
        <v>1620.66106535543</v>
      </c>
      <c r="N711" s="2" t="n">
        <v>0.878605429</v>
      </c>
      <c r="O711" s="2" t="n">
        <f aca="false">IF(O$7=O$5,O$6,IF(NORMSDIST(O$9*SQRT($C$11)*NORMSINV($B711)+SQRT(1-O$9^2*$C$11)*NORMSINV(N711))&lt;O$8,O$5+SQRT(NORMSDIST(O$9*SQRT($C$11)*NORMSINV($B711)+SQRT(1-O$9^2*$C$11)*NORMSINV(N711))*(O$7-O$5)*(O$6-O$5)),O$7-SQRT((1-NORMSDIST(O$9*SQRT($C$11)*NORMSINV($B711)+SQRT(1-O$9^2*$C$11)*NORMSINV(N711)))*(O$7-O$5)*(O$7-O$6))))</f>
        <v>0.183648957673534</v>
      </c>
      <c r="P711" s="2" t="n">
        <v>0.418354659</v>
      </c>
      <c r="Q711" s="2" t="n">
        <f aca="false">IF(Q$7=Q$5,Q$6,IF(NORMSDIST(Q$9*SQRT($C$11)*NORMSINV($B711)+SQRT(1-Q$9^2*$C$11)*NORMSINV(P711))&lt;Q$8,Q$5+SQRT(NORMSDIST(Q$9*SQRT($C$11)*NORMSINV($B711)+SQRT(1-Q$9^2*$C$11)*NORMSINV(P711))*(Q$7-Q$5)*(Q$6-Q$5)),Q$7-SQRT((1-NORMSDIST(Q$9*SQRT($C$11)*NORMSINV($B711)+SQRT(1-Q$9^2*$C$11)*NORMSINV(P711)))*(Q$7-Q$5)*(Q$7-Q$6))))</f>
        <v>0.0765887265260763</v>
      </c>
      <c r="R711" s="2" t="n">
        <v>0.958953754</v>
      </c>
      <c r="S711" s="2" t="n">
        <f aca="false">IF(S$7=S$5,S$6,IF(NORMSDIST(S$9*SQRT($C$11)*NORMSINV($B711)+SQRT(1-S$9^2*$C$11)*NORMSINV(R711))&lt;S$8,S$5+SQRT(NORMSDIST(S$9*SQRT($C$11)*NORMSINV($B711)+SQRT(1-S$9^2*$C$11)*NORMSINV(R711))*(S$7-S$5)*(S$6-S$5)),S$7-SQRT((1-NORMSDIST(S$9*SQRT($C$11)*NORMSINV($B711)+SQRT(1-S$9^2*$C$11)*NORMSINV(R711)))*(S$7-S$5)*(S$7-S$6))))</f>
        <v>0.918521150664168</v>
      </c>
      <c r="T711" s="2" t="n">
        <v>0.408103145</v>
      </c>
      <c r="U711" s="2" t="n">
        <f aca="false">IF(U$7=U$5,U$6,IF(NORMSDIST(U$9*SQRT($C$11)*NORMSINV($B711)+SQRT(1-U$9^2*$C$11)*NORMSINV(T711))&lt;U$8,U$5+SQRT(NORMSDIST(U$9*SQRT($C$11)*NORMSINV($B711)+SQRT(1-U$9^2*$C$11)*NORMSINV(T711))*(U$7-U$5)*(U$6-U$5)),U$7-SQRT((1-NORMSDIST(U$9*SQRT($C$11)*NORMSINV($B711)+SQRT(1-U$9^2*$C$11)*NORMSINV(T711)))*(U$7-U$5)*(U$7-U$6))))</f>
        <v>0.6501973460911</v>
      </c>
      <c r="V711" s="2" t="n">
        <v>0.28771296</v>
      </c>
      <c r="W711" s="2" t="n">
        <f aca="false">IF(W$7=W$5,W$6,IF(NORMSDIST(W$9*SQRT($C$11)*NORMSINV($B711)+SQRT(1-W$9^2*$C$11)*NORMSINV(V711))&lt;W$8,W$5+SQRT(NORMSDIST(W$9*SQRT($C$11)*NORMSINV($B711)+SQRT(1-W$9^2*$C$11)*NORMSINV(V711))*(W$7-W$5)*(W$6-W$5)),W$7-SQRT((1-NORMSDIST(W$9*SQRT($C$11)*NORMSINV($B711)+SQRT(1-W$9^2*$C$11)*NORMSINV(V711)))*(W$7-W$5)*(W$7-W$6))))</f>
        <v>10.3729431646814</v>
      </c>
      <c r="X711" s="2" t="n">
        <v>0.497970843</v>
      </c>
      <c r="Y711" s="2" t="n">
        <f aca="false">IF(Y$7=Y$5,Y$6,IF(NORMSDIST(Y$9*SQRT($C$11)*NORMSINV($B711)+SQRT(1-Y$9^2*$C$11)*NORMSINV(X711))&lt;Y$8,Y$5+SQRT(NORMSDIST(Y$9*SQRT($C$11)*NORMSINV($B711)+SQRT(1-Y$9^2*$C$11)*NORMSINV(X711))*(Y$7-Y$5)*(Y$6-Y$5)),Y$7-SQRT((1-NORMSDIST(Y$9*SQRT($C$11)*NORMSINV($B711)+SQRT(1-Y$9^2*$C$11)*NORMSINV(X711)))*(Y$7-Y$5)*(Y$7-Y$6))))</f>
        <v>0.498984390036402</v>
      </c>
      <c r="Z711" s="2" t="n">
        <v>0.055881128</v>
      </c>
      <c r="AA711" s="2" t="n">
        <f aca="false">IF(AA$7=AA$5,AA$6,IF(NORMSDIST(AA$9*SQRT($C$11)*NORMSINV($B711)+SQRT(1-AA$9^2*$C$11)*NORMSINV(Z711))&lt;AA$8,AA$5+SQRT(NORMSDIST(AA$9*SQRT($C$11)*NORMSINV($B711)+SQRT(1-AA$9^2*$C$11)*NORMSINV(Z711))*(AA$7-AA$5)*(AA$6-AA$5)),AA$7-SQRT((1-NORMSDIST(AA$9*SQRT($C$11)*NORMSINV($B711)+SQRT(1-AA$9^2*$C$11)*NORMSINV(Z711)))*(AA$7-AA$5)*(AA$7-AA$6))))</f>
        <v>0.723061981951553</v>
      </c>
      <c r="AB711" s="2" t="n">
        <v>0.108565947</v>
      </c>
      <c r="AC711" s="2" t="n">
        <f aca="false">IF(AC$7=AC$5,AC$6,IF(NORMSDIST(AC$9*SQRT($C$11)*NORMSINV($B711)+SQRT(1-AC$9^2*$C$11)*NORMSINV(AB711))&lt;AC$8,AC$5+SQRT(NORMSDIST(AC$9*SQRT($C$11)*NORMSINV($B711)+SQRT(1-AC$9^2*$C$11)*NORMSINV(AB711))*(AC$7-AC$5)*(AC$6-AC$5)),AC$7-SQRT((1-NORMSDIST(AC$9*SQRT($C$11)*NORMSINV($B711)+SQRT(1-AC$9^2*$C$11)*NORMSINV(AB711)))*(AC$7-AC$5)*(AC$7-AC$6))))</f>
        <v>9.40702321151724</v>
      </c>
      <c r="AD711" s="2" t="n">
        <f aca="false">Entrées!$C$8*(1+E711)</f>
        <v>7441.60809576581</v>
      </c>
      <c r="AE711" s="2" t="n">
        <f aca="false">I711*Hypothèses!$J$24/12/Hypothèses!$J$19</f>
        <v>107.64302931031</v>
      </c>
      <c r="AF711" s="2" t="n">
        <f aca="false">Entrées!$C$36*S711*1000</f>
        <v>459.260575332084</v>
      </c>
      <c r="AG711" s="2" t="n">
        <f aca="false">-AF711/W711</f>
        <v>-44.2748570045009</v>
      </c>
      <c r="AH711" s="2" t="n">
        <f aca="false">AD711+AE711+AG711</f>
        <v>7504.97626807162</v>
      </c>
      <c r="AI711" s="2" t="n">
        <f aca="false">Entrées!$C$16-M711+Hypothèses!$J$22*1000-AF711+Hypothèses!$J$23</f>
        <v>22468.0783593125</v>
      </c>
      <c r="AJ711" s="2" t="n">
        <f aca="false">AI711/AH711</f>
        <v>2.99375741598255</v>
      </c>
      <c r="AK711" s="2" t="n">
        <f aca="false">AI711/(AH711+I711*(12-Hypothèses!$J$24)/12/Hypothèses!$J$19)</f>
        <v>2.96339764551444</v>
      </c>
      <c r="AL711" s="2" t="n">
        <f aca="false">(AD711+AG711+I711/Hypothèses!$J$19)*(1+G711)</f>
        <v>8019.93643146187</v>
      </c>
      <c r="AM711" s="2" t="n">
        <f aca="false">Entrées!$C$54*K711/Hypothèses!$J$19</f>
        <v>36.3436660107218</v>
      </c>
      <c r="AN711" s="2" t="n">
        <f aca="false">Y711*1000/AC711</f>
        <v>53.043814054321</v>
      </c>
      <c r="AO711" s="2" t="n">
        <f aca="false">(Entrées!$C$36*(1-S711)+MAX(0,Entrées!$C$30-Entrées!$C$35-Entrées!$C$36)*U711)*1000</f>
        <v>951.015709195456</v>
      </c>
      <c r="AP711" s="2" t="n">
        <f aca="false">-AO711/W711</f>
        <v>-91.6823406912658</v>
      </c>
      <c r="AQ711" s="2" t="n">
        <f aca="false">AL711+AM711+AN711+AP711</f>
        <v>8017.64157083564</v>
      </c>
      <c r="AR711" s="2" t="n">
        <f aca="false">O711*AQ711-Hypothèses!$J$25/Hypothèses!$J$19</f>
        <v>1453.29635522234</v>
      </c>
      <c r="AS711" s="2" t="n">
        <f aca="false">Entrées!$C$79*(1+Q711)+Hypothèses!$J$20</f>
        <v>1478.17101045216</v>
      </c>
      <c r="AT711" s="2" t="n">
        <f aca="false">AI711-AR711+AS711+Y711*1000-AO711+Hypothèses!$J$23</f>
        <v>22040.9216953833</v>
      </c>
      <c r="AU711" s="2" t="n">
        <f aca="false">AT711/AQ711</f>
        <v>2.74905301024651</v>
      </c>
      <c r="AV711" s="2" t="n">
        <f aca="false">Hypothèses!$J$26*AQ711-AT711</f>
        <v>2012.00301712368</v>
      </c>
      <c r="AW711" s="2" t="n">
        <f aca="false">IF(AC711&gt;Hypothèses!$J$26,MAX(0,AV711)/(1-Hypothèses!$J$26/AC711),0)</f>
        <v>2954.09560085597</v>
      </c>
      <c r="AX711" s="2" t="n">
        <f aca="false">AQ711-Entrées!$C$17*1000</f>
        <v>17.6415708356444</v>
      </c>
      <c r="AY711" s="2" t="n">
        <f aca="false">AI711+(Entrées!$C$244-Entrées!$C$13)</f>
        <v>28215.0783593125</v>
      </c>
      <c r="AZ711" s="2" t="n">
        <f aca="false">AA711*AH711</f>
        <v>5426.56301489124</v>
      </c>
      <c r="BA711" s="2" t="n">
        <f aca="false">AZ711/AY711</f>
        <v>0.192328475781113</v>
      </c>
      <c r="BB711" s="2" t="n">
        <f aca="false">AZ711/(Entrées!$C$151/100)-AY711</f>
        <v>1932.49394563884</v>
      </c>
      <c r="BC711" s="2" t="n">
        <f aca="false">AT711+(Entrées!$C$244-Entrées!$C$13)</f>
        <v>27787.9216953833</v>
      </c>
      <c r="BD711" s="2" t="n">
        <f aca="false">AA711*AQ711</f>
        <v>5797.25180478559</v>
      </c>
      <c r="BE711" s="2" t="n">
        <f aca="false">BD711/BC711</f>
        <v>0.208624879123247</v>
      </c>
      <c r="BF711" s="2" t="n">
        <f aca="false">BD711/(Entrées!$C$151/100)-BC711</f>
        <v>4419.03277564777</v>
      </c>
      <c r="BG711" s="2" t="n">
        <f aca="false">MIN(AV711,BF711)</f>
        <v>2012.00301712368</v>
      </c>
      <c r="BH711" s="2" t="n">
        <f aca="false">IF(AC711&gt;Hypothèses!$J$26,MAX(0,BG711)/(1-Hypothèses!$J$26/AC711),0)</f>
        <v>2954.09560085597</v>
      </c>
    </row>
    <row r="712" customFormat="false" ht="15" hidden="false" customHeight="false" outlineLevel="0" collapsed="false">
      <c r="A712" s="2" t="n">
        <v>697</v>
      </c>
      <c r="B712" s="2" t="n">
        <v>0.658545873</v>
      </c>
      <c r="C712" s="2"/>
      <c r="D712" s="2" t="n">
        <v>0.912789043</v>
      </c>
      <c r="E712" s="2" t="n">
        <f aca="false">IF(E$7=E$5,E$6,IF(NORMSDIST(E$9*SQRT($C$11)*NORMSINV($B712)+SQRT(1-E$9^2*$C$11)*NORMSINV(D712))&lt;E$8,E$5+SQRT(NORMSDIST(E$9*SQRT($C$11)*NORMSINV($B712)+SQRT(1-E$9^2*$C$11)*NORMSINV(D712))*(E$7-E$5)*(E$6-E$5)),E$7-SQRT((1-NORMSDIST(E$9*SQRT($C$11)*NORMSINV($B712)+SQRT(1-E$9^2*$C$11)*NORMSINV(D712)))*(E$7-E$5)*(E$7-E$6))))</f>
        <v>0.0578201275187865</v>
      </c>
      <c r="F712" s="2" t="n">
        <v>0.53061945</v>
      </c>
      <c r="G712" s="2" t="n">
        <f aca="false">IF(G$7=G$5,G$6,IF(NORMSDIST(G$9*SQRT($C$11)*NORMSINV($B712)+SQRT(1-G$9^2*$C$11)*NORMSINV(F712))&lt;G$8,G$5+SQRT(NORMSDIST(G$9*SQRT($C$11)*NORMSINV($B712)+SQRT(1-G$9^2*$C$11)*NORMSINV(F712))*(G$7-G$5)*(G$6-G$5)),G$7-SQRT((1-NORMSDIST(G$9*SQRT($C$11)*NORMSINV($B712)+SQRT(1-G$9^2*$C$11)*NORMSINV(F712)))*(G$7-G$5)*(G$7-G$6))))</f>
        <v>0.057004544524734</v>
      </c>
      <c r="H712" s="2" t="n">
        <v>0.410934782</v>
      </c>
      <c r="I712" s="2" t="n">
        <f aca="false">IF(I$7=I$5,I$6,IF(NORMSDIST(I$9*SQRT($C$11)*NORMSINV($B712)+SQRT(1-I$9^2*$C$11)*NORMSINV(H712))&lt;I$8,I$5+SQRT(NORMSDIST(I$9*SQRT($C$11)*NORMSINV($B712)+SQRT(1-I$9^2*$C$11)*NORMSINV(H712))*(I$7-I$5)*(I$6-I$5)),I$7-SQRT((1-NORMSDIST(I$9*SQRT($C$11)*NORMSINV($B712)+SQRT(1-I$9^2*$C$11)*NORMSINV(H712)))*(I$7-I$5)*(I$7-I$6))))</f>
        <v>200.680727814763</v>
      </c>
      <c r="J712" s="2" t="n">
        <v>0.297682325</v>
      </c>
      <c r="K712" s="2" t="n">
        <f aca="false">IF(K$7=K$5,K$6,IF(NORMSDIST(K$9*SQRT($C$11)*NORMSINV($B712)+SQRT(1-K$9^2*$C$11)*NORMSINV(J712))&lt;K$8,K$5+SQRT(NORMSDIST(K$9*SQRT($C$11)*NORMSINV($B712)+SQRT(1-K$9^2*$C$11)*NORMSINV(J712))*(K$7-K$5)*(K$6-K$5)),K$7-SQRT((1-NORMSDIST(K$9*SQRT($C$11)*NORMSINV($B712)+SQRT(1-K$9^2*$C$11)*NORMSINV(J712)))*(K$7-K$5)*(K$7-K$6))))</f>
        <v>0.234305719192393</v>
      </c>
      <c r="L712" s="2" t="n">
        <v>0.426382952</v>
      </c>
      <c r="M712" s="2" t="n">
        <f aca="false">IF(M$7=M$5,M$6,IF(NORMSDIST(M$9*SQRT($C$11)*NORMSINV($B712)+SQRT(1-M$9^2*$C$11)*NORMSINV(L712))&lt;M$8,M$5+SQRT(NORMSDIST(M$9*SQRT($C$11)*NORMSINV($B712)+SQRT(1-M$9^2*$C$11)*NORMSINV(L712))*(M$7-M$5)*(M$6-M$5)),M$7-SQRT((1-NORMSDIST(M$9*SQRT($C$11)*NORMSINV($B712)+SQRT(1-M$9^2*$C$11)*NORMSINV(L712)))*(M$7-M$5)*(M$7-M$6))))</f>
        <v>1597.94146872232</v>
      </c>
      <c r="N712" s="2" t="n">
        <v>0.199401164</v>
      </c>
      <c r="O712" s="2" t="n">
        <f aca="false">IF(O$7=O$5,O$6,IF(NORMSDIST(O$9*SQRT($C$11)*NORMSINV($B712)+SQRT(1-O$9^2*$C$11)*NORMSINV(N712))&lt;O$8,O$5+SQRT(NORMSDIST(O$9*SQRT($C$11)*NORMSINV($B712)+SQRT(1-O$9^2*$C$11)*NORMSINV(N712))*(O$7-O$5)*(O$6-O$5)),O$7-SQRT((1-NORMSDIST(O$9*SQRT($C$11)*NORMSINV($B712)+SQRT(1-O$9^2*$C$11)*NORMSINV(N712)))*(O$7-O$5)*(O$7-O$6))))</f>
        <v>0.162292062075804</v>
      </c>
      <c r="P712" s="2" t="n">
        <v>0.110498833</v>
      </c>
      <c r="Q712" s="2" t="n">
        <f aca="false">IF(Q$7=Q$5,Q$6,IF(NORMSDIST(Q$9*SQRT($C$11)*NORMSINV($B712)+SQRT(1-Q$9^2*$C$11)*NORMSINV(P712))&lt;Q$8,Q$5+SQRT(NORMSDIST(Q$9*SQRT($C$11)*NORMSINV($B712)+SQRT(1-Q$9^2*$C$11)*NORMSINV(P712))*(Q$7-Q$5)*(Q$6-Q$5)),Q$7-SQRT((1-NORMSDIST(Q$9*SQRT($C$11)*NORMSINV($B712)+SQRT(1-Q$9^2*$C$11)*NORMSINV(P712)))*(Q$7-Q$5)*(Q$7-Q$6))))</f>
        <v>0.0588041555407309</v>
      </c>
      <c r="R712" s="2" t="n">
        <v>0.822469258</v>
      </c>
      <c r="S712" s="2" t="n">
        <f aca="false">IF(S$7=S$5,S$6,IF(NORMSDIST(S$9*SQRT($C$11)*NORMSINV($B712)+SQRT(1-S$9^2*$C$11)*NORMSINV(R712))&lt;S$8,S$5+SQRT(NORMSDIST(S$9*SQRT($C$11)*NORMSINV($B712)+SQRT(1-S$9^2*$C$11)*NORMSINV(R712))*(S$7-S$5)*(S$6-S$5)),S$7-SQRT((1-NORMSDIST(S$9*SQRT($C$11)*NORMSINV($B712)+SQRT(1-S$9^2*$C$11)*NORMSINV(R712)))*(S$7-S$5)*(S$7-S$6))))</f>
        <v>0.712902016061043</v>
      </c>
      <c r="T712" s="2" t="n">
        <v>0.803646357</v>
      </c>
      <c r="U712" s="2" t="n">
        <f aca="false">IF(U$7=U$5,U$6,IF(NORMSDIST(U$9*SQRT($C$11)*NORMSINV($B712)+SQRT(1-U$9^2*$C$11)*NORMSINV(T712))&lt;U$8,U$5+SQRT(NORMSDIST(U$9*SQRT($C$11)*NORMSINV($B712)+SQRT(1-U$9^2*$C$11)*NORMSINV(T712))*(U$7-U$5)*(U$6-U$5)),U$7-SQRT((1-NORMSDIST(U$9*SQRT($C$11)*NORMSINV($B712)+SQRT(1-U$9^2*$C$11)*NORMSINV(T712)))*(U$7-U$5)*(U$7-U$6))))</f>
        <v>0.701104467254336</v>
      </c>
      <c r="V712" s="2" t="n">
        <v>0.957427298</v>
      </c>
      <c r="W712" s="2" t="n">
        <f aca="false">IF(W$7=W$5,W$6,IF(NORMSDIST(W$9*SQRT($C$11)*NORMSINV($B712)+SQRT(1-W$9^2*$C$11)*NORMSINV(V712))&lt;W$8,W$5+SQRT(NORMSDIST(W$9*SQRT($C$11)*NORMSINV($B712)+SQRT(1-W$9^2*$C$11)*NORMSINV(V712))*(W$7-W$5)*(W$6-W$5)),W$7-SQRT((1-NORMSDIST(W$9*SQRT($C$11)*NORMSINV($B712)+SQRT(1-W$9^2*$C$11)*NORMSINV(V712)))*(W$7-W$5)*(W$7-W$6))))</f>
        <v>11.3324375033329</v>
      </c>
      <c r="X712" s="2" t="n">
        <v>0.956939923</v>
      </c>
      <c r="Y712" s="2" t="n">
        <f aca="false">IF(Y$7=Y$5,Y$6,IF(NORMSDIST(Y$9*SQRT($C$11)*NORMSINV($B712)+SQRT(1-Y$9^2*$C$11)*NORMSINV(X712))&lt;Y$8,Y$5+SQRT(NORMSDIST(Y$9*SQRT($C$11)*NORMSINV($B712)+SQRT(1-Y$9^2*$C$11)*NORMSINV(X712))*(Y$7-Y$5)*(Y$6-Y$5)),Y$7-SQRT((1-NORMSDIST(Y$9*SQRT($C$11)*NORMSINV($B712)+SQRT(1-Y$9^2*$C$11)*NORMSINV(X712)))*(Y$7-Y$5)*(Y$7-Y$6))))</f>
        <v>0.853268822331449</v>
      </c>
      <c r="Z712" s="2" t="n">
        <v>0.934420537</v>
      </c>
      <c r="AA712" s="2" t="n">
        <f aca="false">IF(AA$7=AA$5,AA$6,IF(NORMSDIST(AA$9*SQRT($C$11)*NORMSINV($B712)+SQRT(1-AA$9^2*$C$11)*NORMSINV(Z712))&lt;AA$8,AA$5+SQRT(NORMSDIST(AA$9*SQRT($C$11)*NORMSINV($B712)+SQRT(1-AA$9^2*$C$11)*NORMSINV(Z712))*(AA$7-AA$5)*(AA$6-AA$5)),AA$7-SQRT((1-NORMSDIST(AA$9*SQRT($C$11)*NORMSINV($B712)+SQRT(1-AA$9^2*$C$11)*NORMSINV(Z712)))*(AA$7-AA$5)*(AA$7-AA$6))))</f>
        <v>0.743942217891967</v>
      </c>
      <c r="AB712" s="2" t="n">
        <v>0.979579579</v>
      </c>
      <c r="AC712" s="2" t="n">
        <f aca="false">IF(AC$7=AC$5,AC$6,IF(NORMSDIST(AC$9*SQRT($C$11)*NORMSINV($B712)+SQRT(1-AC$9^2*$C$11)*NORMSINV(AB712))&lt;AC$8,AC$5+SQRT(NORMSDIST(AC$9*SQRT($C$11)*NORMSINV($B712)+SQRT(1-AC$9^2*$C$11)*NORMSINV(AB712))*(AC$7-AC$5)*(AC$6-AC$5)),AC$7-SQRT((1-NORMSDIST(AC$9*SQRT($C$11)*NORMSINV($B712)+SQRT(1-AC$9^2*$C$11)*NORMSINV(AB712)))*(AC$7-AC$5)*(AC$7-AC$6))))</f>
        <v>10.6241502294385</v>
      </c>
      <c r="AD712" s="2" t="n">
        <f aca="false">Entrées!$C$8*(1+E712)</f>
        <v>7457.63189900745</v>
      </c>
      <c r="AE712" s="2" t="n">
        <f aca="false">I712*Hypothèses!$J$24/12/Hypothèses!$J$19</f>
        <v>99.5570667652476</v>
      </c>
      <c r="AF712" s="2" t="n">
        <f aca="false">Entrées!$C$36*S712*1000</f>
        <v>356.451008030522</v>
      </c>
      <c r="AG712" s="2" t="n">
        <f aca="false">-AF712/W712</f>
        <v>-31.4540457801501</v>
      </c>
      <c r="AH712" s="2" t="n">
        <f aca="false">AD712+AE712+AG712</f>
        <v>7525.73491999254</v>
      </c>
      <c r="AI712" s="2" t="n">
        <f aca="false">Entrées!$C$16-M712+Hypothèses!$J$22*1000-AF712+Hypothèses!$J$23</f>
        <v>22593.6075232472</v>
      </c>
      <c r="AJ712" s="2" t="n">
        <f aca="false">AI712/AH712</f>
        <v>3.00217955634153</v>
      </c>
      <c r="AK712" s="2" t="n">
        <f aca="false">AI712/(AH712+I712*(12-Hypothèses!$J$24)/12/Hypothèses!$J$19)</f>
        <v>2.97407690249589</v>
      </c>
      <c r="AL712" s="2" t="n">
        <f aca="false">(AD712+AG712+I712/Hypothèses!$J$19)*(1+G712)</f>
        <v>8029.90191989947</v>
      </c>
      <c r="AM712" s="2" t="n">
        <f aca="false">Entrées!$C$54*K712/Hypothèses!$J$19</f>
        <v>23.9118824297248</v>
      </c>
      <c r="AN712" s="2" t="n">
        <f aca="false">Y712*1000/AC712</f>
        <v>80.3140772583509</v>
      </c>
      <c r="AO712" s="2" t="n">
        <f aca="false">(Entrées!$C$36*(1-S712)+MAX(0,Entrées!$C$30-Entrées!$C$35-Entrées!$C$36)*U712)*1000</f>
        <v>1125.09524612555</v>
      </c>
      <c r="AP712" s="2" t="n">
        <f aca="false">-AO712/W712</f>
        <v>-99.2809574987428</v>
      </c>
      <c r="AQ712" s="2" t="n">
        <f aca="false">AL712+AM712+AN712+AP712</f>
        <v>8034.84692208881</v>
      </c>
      <c r="AR712" s="2" t="n">
        <f aca="false">O712*AQ712-Hypothèses!$J$25/Hypothèses!$J$19</f>
        <v>1284.8567131876</v>
      </c>
      <c r="AS712" s="2" t="n">
        <f aca="false">Entrées!$C$79*(1+Q712)+Hypothèses!$J$20</f>
        <v>1458.62576693926</v>
      </c>
      <c r="AT712" s="2" t="n">
        <f aca="false">AI712-AR712+AS712+Y712*1000-AO712+Hypothèses!$J$23</f>
        <v>22495.5501532047</v>
      </c>
      <c r="AU712" s="2" t="n">
        <f aca="false">AT712/AQ712</f>
        <v>2.79974844217151</v>
      </c>
      <c r="AV712" s="2" t="n">
        <f aca="false">Hypothèses!$J$26*AQ712-AT712</f>
        <v>1608.9906130617</v>
      </c>
      <c r="AW712" s="2" t="n">
        <f aca="false">IF(AC712&gt;Hypothèses!$J$26,MAX(0,AV712)/(1-Hypothèses!$J$26/AC712),0)</f>
        <v>2242.10665798788</v>
      </c>
      <c r="AX712" s="2" t="n">
        <f aca="false">AQ712-Entrées!$C$17*1000</f>
        <v>34.8469220888064</v>
      </c>
      <c r="AY712" s="2" t="n">
        <f aca="false">AI712+(Entrées!$C$244-Entrées!$C$13)</f>
        <v>28340.6075232472</v>
      </c>
      <c r="AZ712" s="2" t="n">
        <f aca="false">AA712*AH712</f>
        <v>5598.71192764627</v>
      </c>
      <c r="BA712" s="2" t="n">
        <f aca="false">AZ712/AY712</f>
        <v>0.197550879001227</v>
      </c>
      <c r="BB712" s="2" t="n">
        <f aca="false">AZ712/(Entrées!$C$151/100)-AY712</f>
        <v>2763.34763034325</v>
      </c>
      <c r="BC712" s="2" t="n">
        <f aca="false">AT712+(Entrées!$C$244-Entrées!$C$13)</f>
        <v>28242.5501532047</v>
      </c>
      <c r="BD712" s="2" t="n">
        <f aca="false">AA712*AQ712</f>
        <v>5977.46183964119</v>
      </c>
      <c r="BE712" s="2" t="n">
        <f aca="false">BD712/BC712</f>
        <v>0.211647383370687</v>
      </c>
      <c r="BF712" s="2" t="n">
        <f aca="false">BD712/(Entrées!$C$151/100)-BC712</f>
        <v>4965.57117813521</v>
      </c>
      <c r="BG712" s="2" t="n">
        <f aca="false">MIN(AV712,BF712)</f>
        <v>1608.9906130617</v>
      </c>
      <c r="BH712" s="2" t="n">
        <f aca="false">IF(AC712&gt;Hypothèses!$J$26,MAX(0,BG712)/(1-Hypothèses!$J$26/AC712),0)</f>
        <v>2242.10665798788</v>
      </c>
    </row>
    <row r="713" customFormat="false" ht="15" hidden="false" customHeight="false" outlineLevel="0" collapsed="false">
      <c r="A713" s="2" t="n">
        <v>698</v>
      </c>
      <c r="B713" s="2" t="n">
        <v>0.921857124</v>
      </c>
      <c r="C713" s="2"/>
      <c r="D713" s="2" t="n">
        <v>0.692679681</v>
      </c>
      <c r="E713" s="2" t="n">
        <f aca="false">IF(E$7=E$5,E$6,IF(NORMSDIST(E$9*SQRT($C$11)*NORMSINV($B713)+SQRT(1-E$9^2*$C$11)*NORMSINV(D713))&lt;E$8,E$5+SQRT(NORMSDIST(E$9*SQRT($C$11)*NORMSINV($B713)+SQRT(1-E$9^2*$C$11)*NORMSINV(D713))*(E$7-E$5)*(E$6-E$5)),E$7-SQRT((1-NORMSDIST(E$9*SQRT($C$11)*NORMSINV($B713)+SQRT(1-E$9^2*$C$11)*NORMSINV(D713)))*(E$7-E$5)*(E$7-E$6))))</f>
        <v>0.0577738176980334</v>
      </c>
      <c r="F713" s="2" t="n">
        <v>0.708986062</v>
      </c>
      <c r="G713" s="2" t="n">
        <f aca="false">IF(G$7=G$5,G$6,IF(NORMSDIST(G$9*SQRT($C$11)*NORMSINV($B713)+SQRT(1-G$9^2*$C$11)*NORMSINV(F713))&lt;G$8,G$5+SQRT(NORMSDIST(G$9*SQRT($C$11)*NORMSINV($B713)+SQRT(1-G$9^2*$C$11)*NORMSINV(F713))*(G$7-G$5)*(G$6-G$5)),G$7-SQRT((1-NORMSDIST(G$9*SQRT($C$11)*NORMSINV($B713)+SQRT(1-G$9^2*$C$11)*NORMSINV(F713)))*(G$7-G$5)*(G$7-G$6))))</f>
        <v>0.0635335532724883</v>
      </c>
      <c r="H713" s="2" t="n">
        <v>0.940276774</v>
      </c>
      <c r="I713" s="2" t="n">
        <f aca="false">IF(I$7=I$5,I$6,IF(NORMSDIST(I$9*SQRT($C$11)*NORMSINV($B713)+SQRT(1-I$9^2*$C$11)*NORMSINV(H713))&lt;I$8,I$5+SQRT(NORMSDIST(I$9*SQRT($C$11)*NORMSINV($B713)+SQRT(1-I$9^2*$C$11)*NORMSINV(H713))*(I$7-I$5)*(I$6-I$5)),I$7-SQRT((1-NORMSDIST(I$9*SQRT($C$11)*NORMSINV($B713)+SQRT(1-I$9^2*$C$11)*NORMSINV(H713)))*(I$7-I$5)*(I$7-I$6))))</f>
        <v>216.232329164518</v>
      </c>
      <c r="J713" s="2" t="n">
        <v>0.491339133</v>
      </c>
      <c r="K713" s="2" t="n">
        <f aca="false">IF(K$7=K$5,K$6,IF(NORMSDIST(K$9*SQRT($C$11)*NORMSINV($B713)+SQRT(1-K$9^2*$C$11)*NORMSINV(J713))&lt;K$8,K$5+SQRT(NORMSDIST(K$9*SQRT($C$11)*NORMSINV($B713)+SQRT(1-K$9^2*$C$11)*NORMSINV(J713))*(K$7-K$5)*(K$6-K$5)),K$7-SQRT((1-NORMSDIST(K$9*SQRT($C$11)*NORMSINV($B713)+SQRT(1-K$9^2*$C$11)*NORMSINV(J713)))*(K$7-K$5)*(K$7-K$6))))</f>
        <v>0.346098987155107</v>
      </c>
      <c r="L713" s="2" t="n">
        <v>0.719218092</v>
      </c>
      <c r="M713" s="2" t="n">
        <f aca="false">IF(M$7=M$5,M$6,IF(NORMSDIST(M$9*SQRT($C$11)*NORMSINV($B713)+SQRT(1-M$9^2*$C$11)*NORMSINV(L713))&lt;M$8,M$5+SQRT(NORMSDIST(M$9*SQRT($C$11)*NORMSINV($B713)+SQRT(1-M$9^2*$C$11)*NORMSINV(L713))*(M$7-M$5)*(M$6-M$5)),M$7-SQRT((1-NORMSDIST(M$9*SQRT($C$11)*NORMSINV($B713)+SQRT(1-M$9^2*$C$11)*NORMSINV(L713)))*(M$7-M$5)*(M$7-M$6))))</f>
        <v>1707.67647978395</v>
      </c>
      <c r="N713" s="2" t="n">
        <v>0.834467862</v>
      </c>
      <c r="O713" s="2" t="n">
        <f aca="false">IF(O$7=O$5,O$6,IF(NORMSDIST(O$9*SQRT($C$11)*NORMSINV($B713)+SQRT(1-O$9^2*$C$11)*NORMSINV(N713))&lt;O$8,O$5+SQRT(NORMSDIST(O$9*SQRT($C$11)*NORMSINV($B713)+SQRT(1-O$9^2*$C$11)*NORMSINV(N713))*(O$7-O$5)*(O$6-O$5)),O$7-SQRT((1-NORMSDIST(O$9*SQRT($C$11)*NORMSINV($B713)+SQRT(1-O$9^2*$C$11)*NORMSINV(N713)))*(O$7-O$5)*(O$7-O$6))))</f>
        <v>0.182737060689591</v>
      </c>
      <c r="P713" s="2" t="n">
        <v>0.392788562</v>
      </c>
      <c r="Q713" s="2" t="n">
        <f aca="false">IF(Q$7=Q$5,Q$6,IF(NORMSDIST(Q$9*SQRT($C$11)*NORMSINV($B713)+SQRT(1-Q$9^2*$C$11)*NORMSINV(P713))&lt;Q$8,Q$5+SQRT(NORMSDIST(Q$9*SQRT($C$11)*NORMSINV($B713)+SQRT(1-Q$9^2*$C$11)*NORMSINV(P713))*(Q$7-Q$5)*(Q$6-Q$5)),Q$7-SQRT((1-NORMSDIST(Q$9*SQRT($C$11)*NORMSINV($B713)+SQRT(1-Q$9^2*$C$11)*NORMSINV(P713)))*(Q$7-Q$5)*(Q$7-Q$6))))</f>
        <v>0.0754531154963848</v>
      </c>
      <c r="R713" s="2" t="n">
        <v>0.414685134</v>
      </c>
      <c r="S713" s="2" t="n">
        <f aca="false">IF(S$7=S$5,S$6,IF(NORMSDIST(S$9*SQRT($C$11)*NORMSINV($B713)+SQRT(1-S$9^2*$C$11)*NORMSINV(R713))&lt;S$8,S$5+SQRT(NORMSDIST(S$9*SQRT($C$11)*NORMSINV($B713)+SQRT(1-S$9^2*$C$11)*NORMSINV(R713))*(S$7-S$5)*(S$6-S$5)),S$7-SQRT((1-NORMSDIST(S$9*SQRT($C$11)*NORMSINV($B713)+SQRT(1-S$9^2*$C$11)*NORMSINV(R713)))*(S$7-S$5)*(S$7-S$6))))</f>
        <v>0.658831528567488</v>
      </c>
      <c r="T713" s="2" t="n">
        <v>0.670291346</v>
      </c>
      <c r="U713" s="2" t="n">
        <f aca="false">IF(U$7=U$5,U$6,IF(NORMSDIST(U$9*SQRT($C$11)*NORMSINV($B713)+SQRT(1-U$9^2*$C$11)*NORMSINV(T713))&lt;U$8,U$5+SQRT(NORMSDIST(U$9*SQRT($C$11)*NORMSINV($B713)+SQRT(1-U$9^2*$C$11)*NORMSINV(T713))*(U$7-U$5)*(U$6-U$5)),U$7-SQRT((1-NORMSDIST(U$9*SQRT($C$11)*NORMSINV($B713)+SQRT(1-U$9^2*$C$11)*NORMSINV(T713)))*(U$7-U$5)*(U$7-U$6))))</f>
        <v>0.767772739431097</v>
      </c>
      <c r="V713" s="2" t="n">
        <v>0.063796805</v>
      </c>
      <c r="W713" s="2" t="n">
        <f aca="false">IF(W$7=W$5,W$6,IF(NORMSDIST(W$9*SQRT($C$11)*NORMSINV($B713)+SQRT(1-W$9^2*$C$11)*NORMSINV(V713))&lt;W$8,W$5+SQRT(NORMSDIST(W$9*SQRT($C$11)*NORMSINV($B713)+SQRT(1-W$9^2*$C$11)*NORMSINV(V713))*(W$7-W$5)*(W$6-W$5)),W$7-SQRT((1-NORMSDIST(W$9*SQRT($C$11)*NORMSINV($B713)+SQRT(1-W$9^2*$C$11)*NORMSINV(V713)))*(W$7-W$5)*(W$7-W$6))))</f>
        <v>9.76262577486207</v>
      </c>
      <c r="X713" s="2" t="n">
        <v>0.832447167</v>
      </c>
      <c r="Y713" s="2" t="n">
        <f aca="false">IF(Y$7=Y$5,Y$6,IF(NORMSDIST(Y$9*SQRT($C$11)*NORMSINV($B713)+SQRT(1-Y$9^2*$C$11)*NORMSINV(X713))&lt;Y$8,Y$5+SQRT(NORMSDIST(Y$9*SQRT($C$11)*NORMSINV($B713)+SQRT(1-Y$9^2*$C$11)*NORMSINV(X713))*(Y$7-Y$5)*(Y$6-Y$5)),Y$7-SQRT((1-NORMSDIST(Y$9*SQRT($C$11)*NORMSINV($B713)+SQRT(1-Y$9^2*$C$11)*NORMSINV(X713)))*(Y$7-Y$5)*(Y$7-Y$6))))</f>
        <v>0.710558440268161</v>
      </c>
      <c r="Z713" s="2" t="n">
        <v>0.406178786</v>
      </c>
      <c r="AA713" s="2" t="n">
        <f aca="false">IF(AA$7=AA$5,AA$6,IF(NORMSDIST(AA$9*SQRT($C$11)*NORMSINV($B713)+SQRT(1-AA$9^2*$C$11)*NORMSINV(Z713))&lt;AA$8,AA$5+SQRT(NORMSDIST(AA$9*SQRT($C$11)*NORMSINV($B713)+SQRT(1-AA$9^2*$C$11)*NORMSINV(Z713))*(AA$7-AA$5)*(AA$6-AA$5)),AA$7-SQRT((1-NORMSDIST(AA$9*SQRT($C$11)*NORMSINV($B713)+SQRT(1-AA$9^2*$C$11)*NORMSINV(Z713)))*(AA$7-AA$5)*(AA$7-AA$6))))</f>
        <v>0.736379582939562</v>
      </c>
      <c r="AB713" s="2" t="n">
        <v>0.523173294</v>
      </c>
      <c r="AC713" s="2" t="n">
        <f aca="false">IF(AC$7=AC$5,AC$6,IF(NORMSDIST(AC$9*SQRT($C$11)*NORMSINV($B713)+SQRT(1-AC$9^2*$C$11)*NORMSINV(AB713))&lt;AC$8,AC$5+SQRT(NORMSDIST(AC$9*SQRT($C$11)*NORMSINV($B713)+SQRT(1-AC$9^2*$C$11)*NORMSINV(AB713))*(AC$7-AC$5)*(AC$6-AC$5)),AC$7-SQRT((1-NORMSDIST(AC$9*SQRT($C$11)*NORMSINV($B713)+SQRT(1-AC$9^2*$C$11)*NORMSINV(AB713)))*(AC$7-AC$5)*(AC$7-AC$6))))</f>
        <v>10.1350263898244</v>
      </c>
      <c r="AD713" s="2" t="n">
        <f aca="false">Entrées!$C$8*(1+E713)</f>
        <v>7457.30541477114</v>
      </c>
      <c r="AE713" s="2" t="n">
        <f aca="false">I713*Hypothèses!$J$24/12/Hypothèses!$J$19</f>
        <v>107.272166420024</v>
      </c>
      <c r="AF713" s="2" t="n">
        <f aca="false">Entrées!$C$36*S713*1000</f>
        <v>329.415764283744</v>
      </c>
      <c r="AG713" s="2" t="n">
        <f aca="false">-AF713/W713</f>
        <v>-33.7425372927805</v>
      </c>
      <c r="AH713" s="2" t="n">
        <f aca="false">AD713+AE713+AG713</f>
        <v>7530.83504389838</v>
      </c>
      <c r="AI713" s="2" t="n">
        <f aca="false">Entrées!$C$16-M713+Hypothèses!$J$22*1000-AF713+Hypothèses!$J$23</f>
        <v>22510.9077559323</v>
      </c>
      <c r="AJ713" s="2" t="n">
        <f aca="false">AI713/AH713</f>
        <v>2.98916489668315</v>
      </c>
      <c r="AK713" s="2" t="n">
        <f aca="false">AI713/(AH713+I713*(12-Hypothèses!$J$24)/12/Hypothèses!$J$19)</f>
        <v>2.95905776896955</v>
      </c>
      <c r="AL713" s="2" t="n">
        <f aca="false">(AD713+AG713+I713/Hypothèses!$J$19)*(1+G713)</f>
        <v>8090.78685928902</v>
      </c>
      <c r="AM713" s="2" t="n">
        <f aca="false">Entrées!$C$54*K713/Hypothèses!$J$19</f>
        <v>35.3208548149193</v>
      </c>
      <c r="AN713" s="2" t="n">
        <f aca="false">Y713*1000/AC713</f>
        <v>70.1091850122428</v>
      </c>
      <c r="AO713" s="2" t="n">
        <f aca="false">(Entrées!$C$36*(1-S713)+MAX(0,Entrées!$C$30-Entrées!$C$35-Entrées!$C$36)*U713)*1000</f>
        <v>1245.46607091979</v>
      </c>
      <c r="AP713" s="2" t="n">
        <f aca="false">-AO713/W713</f>
        <v>-127.574906550936</v>
      </c>
      <c r="AQ713" s="2" t="n">
        <f aca="false">AL713+AM713+AN713+AP713</f>
        <v>8068.64199256525</v>
      </c>
      <c r="AR713" s="2" t="n">
        <f aca="false">O713*AQ713-Hypothèses!$J$25/Hypothèses!$J$19</f>
        <v>1455.30475921635</v>
      </c>
      <c r="AS713" s="2" t="n">
        <f aca="false">Entrées!$C$79*(1+Q713)+Hypothèses!$J$20</f>
        <v>1476.92297393053</v>
      </c>
      <c r="AT713" s="2" t="n">
        <f aca="false">AI713-AR713+AS713+Y713*1000-AO713+Hypothèses!$J$23</f>
        <v>21997.6183399948</v>
      </c>
      <c r="AU713" s="2" t="n">
        <f aca="false">AT713/AQ713</f>
        <v>2.72630987473038</v>
      </c>
      <c r="AV713" s="2" t="n">
        <f aca="false">Hypothèses!$J$26*AQ713-AT713</f>
        <v>2208.30763770091</v>
      </c>
      <c r="AW713" s="2" t="n">
        <f aca="false">IF(AC713&gt;Hypothèses!$J$26,MAX(0,AV713)/(1-Hypothèses!$J$26/AC713),0)</f>
        <v>3136.81477294442</v>
      </c>
      <c r="AX713" s="2" t="n">
        <f aca="false">AQ713-Entrées!$C$17*1000</f>
        <v>68.641992565249</v>
      </c>
      <c r="AY713" s="2" t="n">
        <f aca="false">AI713+(Entrées!$C$244-Entrées!$C$13)</f>
        <v>28257.9077559323</v>
      </c>
      <c r="AZ713" s="2" t="n">
        <f aca="false">AA713*AH713</f>
        <v>5545.55316881253</v>
      </c>
      <c r="BA713" s="2" t="n">
        <f aca="false">AZ713/AY713</f>
        <v>0.196247833233454</v>
      </c>
      <c r="BB713" s="2" t="n">
        <f aca="false">AZ713/(Entrées!$C$151/100)-AY713</f>
        <v>2550.72095969284</v>
      </c>
      <c r="BC713" s="2" t="n">
        <f aca="false">AT713+(Entrées!$C$244-Entrées!$C$13)</f>
        <v>27744.6183399948</v>
      </c>
      <c r="BD713" s="2" t="n">
        <f aca="false">AA713*AQ713</f>
        <v>5941.58322537383</v>
      </c>
      <c r="BE713" s="2" t="n">
        <f aca="false">BD713/BC713</f>
        <v>0.214152638632943</v>
      </c>
      <c r="BF713" s="2" t="n">
        <f aca="false">BD713/(Entrées!$C$151/100)-BC713</f>
        <v>5264.17735652646</v>
      </c>
      <c r="BG713" s="2" t="n">
        <f aca="false">MIN(AV713,BF713)</f>
        <v>2208.30763770091</v>
      </c>
      <c r="BH713" s="2" t="n">
        <f aca="false">IF(AC713&gt;Hypothèses!$J$26,MAX(0,BG713)/(1-Hypothèses!$J$26/AC713),0)</f>
        <v>3136.81477294442</v>
      </c>
    </row>
    <row r="714" customFormat="false" ht="15" hidden="false" customHeight="false" outlineLevel="0" collapsed="false">
      <c r="A714" s="2" t="n">
        <v>699</v>
      </c>
      <c r="B714" s="2" t="n">
        <v>0.922497895</v>
      </c>
      <c r="C714" s="2"/>
      <c r="D714" s="2" t="n">
        <v>0.926535796</v>
      </c>
      <c r="E714" s="2" t="n">
        <f aca="false">IF(E$7=E$5,E$6,IF(NORMSDIST(E$9*SQRT($C$11)*NORMSINV($B714)+SQRT(1-E$9^2*$C$11)*NORMSINV(D714))&lt;E$8,E$5+SQRT(NORMSDIST(E$9*SQRT($C$11)*NORMSINV($B714)+SQRT(1-E$9^2*$C$11)*NORMSINV(D714))*(E$7-E$5)*(E$6-E$5)),E$7-SQRT((1-NORMSDIST(E$9*SQRT($C$11)*NORMSINV($B714)+SQRT(1-E$9^2*$C$11)*NORMSINV(D714)))*(E$7-E$5)*(E$7-E$6))))</f>
        <v>0.0589622051416867</v>
      </c>
      <c r="F714" s="2" t="n">
        <v>0.04686713</v>
      </c>
      <c r="G714" s="2" t="n">
        <f aca="false">IF(G$7=G$5,G$6,IF(NORMSDIST(G$9*SQRT($C$11)*NORMSINV($B714)+SQRT(1-G$9^2*$C$11)*NORMSINV(F714))&lt;G$8,G$5+SQRT(NORMSDIST(G$9*SQRT($C$11)*NORMSINV($B714)+SQRT(1-G$9^2*$C$11)*NORMSINV(F714))*(G$7-G$5)*(G$6-G$5)),G$7-SQRT((1-NORMSDIST(G$9*SQRT($C$11)*NORMSINV($B714)+SQRT(1-G$9^2*$C$11)*NORMSINV(F714)))*(G$7-G$5)*(G$7-G$6))))</f>
        <v>0.0524600374809816</v>
      </c>
      <c r="H714" s="2" t="n">
        <v>0.777743528</v>
      </c>
      <c r="I714" s="2" t="n">
        <f aca="false">IF(I$7=I$5,I$6,IF(NORMSDIST(I$9*SQRT($C$11)*NORMSINV($B714)+SQRT(1-I$9^2*$C$11)*NORMSINV(H714))&lt;I$8,I$5+SQRT(NORMSDIST(I$9*SQRT($C$11)*NORMSINV($B714)+SQRT(1-I$9^2*$C$11)*NORMSINV(H714))*(I$7-I$5)*(I$6-I$5)),I$7-SQRT((1-NORMSDIST(I$9*SQRT($C$11)*NORMSINV($B714)+SQRT(1-I$9^2*$C$11)*NORMSINV(H714)))*(I$7-I$5)*(I$7-I$6))))</f>
        <v>212.630052181375</v>
      </c>
      <c r="J714" s="2" t="n">
        <v>0.462422148</v>
      </c>
      <c r="K714" s="2" t="n">
        <f aca="false">IF(K$7=K$5,K$6,IF(NORMSDIST(K$9*SQRT($C$11)*NORMSINV($B714)+SQRT(1-K$9^2*$C$11)*NORMSINV(J714))&lt;K$8,K$5+SQRT(NORMSDIST(K$9*SQRT($C$11)*NORMSINV($B714)+SQRT(1-K$9^2*$C$11)*NORMSINV(J714))*(K$7-K$5)*(K$6-K$5)),K$7-SQRT((1-NORMSDIST(K$9*SQRT($C$11)*NORMSINV($B714)+SQRT(1-K$9^2*$C$11)*NORMSINV(J714)))*(K$7-K$5)*(K$7-K$6))))</f>
        <v>0.340192059739578</v>
      </c>
      <c r="L714" s="2" t="n">
        <v>0.686032184</v>
      </c>
      <c r="M714" s="2" t="n">
        <f aca="false">IF(M$7=M$5,M$6,IF(NORMSDIST(M$9*SQRT($C$11)*NORMSINV($B714)+SQRT(1-M$9^2*$C$11)*NORMSINV(L714))&lt;M$8,M$5+SQRT(NORMSDIST(M$9*SQRT($C$11)*NORMSINV($B714)+SQRT(1-M$9^2*$C$11)*NORMSINV(L714))*(M$7-M$5)*(M$6-M$5)),M$7-SQRT((1-NORMSDIST(M$9*SQRT($C$11)*NORMSINV($B714)+SQRT(1-M$9^2*$C$11)*NORMSINV(L714)))*(M$7-M$5)*(M$7-M$6))))</f>
        <v>1702.14636443665</v>
      </c>
      <c r="N714" s="2" t="n">
        <v>0.276608006</v>
      </c>
      <c r="O714" s="2" t="n">
        <f aca="false">IF(O$7=O$5,O$6,IF(NORMSDIST(O$9*SQRT($C$11)*NORMSINV($B714)+SQRT(1-O$9^2*$C$11)*NORMSINV(N714))&lt;O$8,O$5+SQRT(NORMSDIST(O$9*SQRT($C$11)*NORMSINV($B714)+SQRT(1-O$9^2*$C$11)*NORMSINV(N714))*(O$7-O$5)*(O$6-O$5)),O$7-SQRT((1-NORMSDIST(O$9*SQRT($C$11)*NORMSINV($B714)+SQRT(1-O$9^2*$C$11)*NORMSINV(N714)))*(O$7-O$5)*(O$7-O$6))))</f>
        <v>0.171253366844296</v>
      </c>
      <c r="P714" s="2" t="n">
        <v>0.866816114</v>
      </c>
      <c r="Q714" s="2" t="n">
        <f aca="false">IF(Q$7=Q$5,Q$6,IF(NORMSDIST(Q$9*SQRT($C$11)*NORMSINV($B714)+SQRT(1-Q$9^2*$C$11)*NORMSINV(P714))&lt;Q$8,Q$5+SQRT(NORMSDIST(Q$9*SQRT($C$11)*NORMSINV($B714)+SQRT(1-Q$9^2*$C$11)*NORMSINV(P714))*(Q$7-Q$5)*(Q$6-Q$5)),Q$7-SQRT((1-NORMSDIST(Q$9*SQRT($C$11)*NORMSINV($B714)+SQRT(1-Q$9^2*$C$11)*NORMSINV(P714)))*(Q$7-Q$5)*(Q$7-Q$6))))</f>
        <v>0.0993556682065028</v>
      </c>
      <c r="R714" s="2" t="n">
        <v>0.870801675</v>
      </c>
      <c r="S714" s="2" t="n">
        <f aca="false">IF(S$7=S$5,S$6,IF(NORMSDIST(S$9*SQRT($C$11)*NORMSINV($B714)+SQRT(1-S$9^2*$C$11)*NORMSINV(R714))&lt;S$8,S$5+SQRT(NORMSDIST(S$9*SQRT($C$11)*NORMSINV($B714)+SQRT(1-S$9^2*$C$11)*NORMSINV(R714))*(S$7-S$5)*(S$6-S$5)),S$7-SQRT((1-NORMSDIST(S$9*SQRT($C$11)*NORMSINV($B714)+SQRT(1-S$9^2*$C$11)*NORMSINV(R714)))*(S$7-S$5)*(S$7-S$6))))</f>
        <v>0.862228216965997</v>
      </c>
      <c r="T714" s="2" t="n">
        <v>0.416650675</v>
      </c>
      <c r="U714" s="2" t="n">
        <f aca="false">IF(U$7=U$5,U$6,IF(NORMSDIST(U$9*SQRT($C$11)*NORMSINV($B714)+SQRT(1-U$9^2*$C$11)*NORMSINV(T714))&lt;U$8,U$5+SQRT(NORMSDIST(U$9*SQRT($C$11)*NORMSINV($B714)+SQRT(1-U$9^2*$C$11)*NORMSINV(T714))*(U$7-U$5)*(U$6-U$5)),U$7-SQRT((1-NORMSDIST(U$9*SQRT($C$11)*NORMSINV($B714)+SQRT(1-U$9^2*$C$11)*NORMSINV(T714)))*(U$7-U$5)*(U$7-U$6))))</f>
        <v>0.660329202258462</v>
      </c>
      <c r="V714" s="2" t="n">
        <v>0.527571655</v>
      </c>
      <c r="W714" s="2" t="n">
        <f aca="false">IF(W$7=W$5,W$6,IF(NORMSDIST(W$9*SQRT($C$11)*NORMSINV($B714)+SQRT(1-W$9^2*$C$11)*NORMSINV(V714))&lt;W$8,W$5+SQRT(NORMSDIST(W$9*SQRT($C$11)*NORMSINV($B714)+SQRT(1-W$9^2*$C$11)*NORMSINV(V714))*(W$7-W$5)*(W$6-W$5)),W$7-SQRT((1-NORMSDIST(W$9*SQRT($C$11)*NORMSINV($B714)+SQRT(1-W$9^2*$C$11)*NORMSINV(V714)))*(W$7-W$5)*(W$7-W$6))))</f>
        <v>10.832777534804</v>
      </c>
      <c r="X714" s="2" t="n">
        <v>0.755842101</v>
      </c>
      <c r="Y714" s="2" t="n">
        <f aca="false">IF(Y$7=Y$5,Y$6,IF(NORMSDIST(Y$9*SQRT($C$11)*NORMSINV($B714)+SQRT(1-Y$9^2*$C$11)*NORMSINV(X714))&lt;Y$8,Y$5+SQRT(NORMSDIST(Y$9*SQRT($C$11)*NORMSINV($B714)+SQRT(1-Y$9^2*$C$11)*NORMSINV(X714))*(Y$7-Y$5)*(Y$6-Y$5)),Y$7-SQRT((1-NORMSDIST(Y$9*SQRT($C$11)*NORMSINV($B714)+SQRT(1-Y$9^2*$C$11)*NORMSINV(X714)))*(Y$7-Y$5)*(Y$7-Y$6))))</f>
        <v>0.650602018466048</v>
      </c>
      <c r="Z714" s="2" t="n">
        <v>0.266609117</v>
      </c>
      <c r="AA714" s="2" t="n">
        <f aca="false">IF(AA$7=AA$5,AA$6,IF(NORMSDIST(AA$9*SQRT($C$11)*NORMSINV($B714)+SQRT(1-AA$9^2*$C$11)*NORMSINV(Z714))&lt;AA$8,AA$5+SQRT(NORMSDIST(AA$9*SQRT($C$11)*NORMSINV($B714)+SQRT(1-AA$9^2*$C$11)*NORMSINV(Z714))*(AA$7-AA$5)*(AA$6-AA$5)),AA$7-SQRT((1-NORMSDIST(AA$9*SQRT($C$11)*NORMSINV($B714)+SQRT(1-AA$9^2*$C$11)*NORMSINV(Z714)))*(AA$7-AA$5)*(AA$7-AA$6))))</f>
        <v>0.733012954002302</v>
      </c>
      <c r="AB714" s="2" t="n">
        <v>0.897254363</v>
      </c>
      <c r="AC714" s="2" t="n">
        <f aca="false">IF(AC$7=AC$5,AC$6,IF(NORMSDIST(AC$9*SQRT($C$11)*NORMSINV($B714)+SQRT(1-AC$9^2*$C$11)*NORMSINV(AB714))&lt;AC$8,AC$5+SQRT(NORMSDIST(AC$9*SQRT($C$11)*NORMSINV($B714)+SQRT(1-AC$9^2*$C$11)*NORMSINV(AB714))*(AC$7-AC$5)*(AC$6-AC$5)),AC$7-SQRT((1-NORMSDIST(AC$9*SQRT($C$11)*NORMSINV($B714)+SQRT(1-AC$9^2*$C$11)*NORMSINV(AB714)))*(AC$7-AC$5)*(AC$7-AC$6))))</f>
        <v>10.6397111870263</v>
      </c>
      <c r="AD714" s="2" t="n">
        <f aca="false">Entrées!$C$8*(1+E714)</f>
        <v>7465.68354624889</v>
      </c>
      <c r="AE714" s="2" t="n">
        <f aca="false">I714*Hypothèses!$J$24/12/Hypothèses!$J$19</f>
        <v>105.485088338223</v>
      </c>
      <c r="AF714" s="2" t="n">
        <f aca="false">Entrées!$C$36*S714*1000</f>
        <v>431.114108482998</v>
      </c>
      <c r="AG714" s="2" t="n">
        <f aca="false">-AF714/W714</f>
        <v>-39.7971902494901</v>
      </c>
      <c r="AH714" s="2" t="n">
        <f aca="false">AD714+AE714+AG714</f>
        <v>7531.37144433763</v>
      </c>
      <c r="AI714" s="2" t="n">
        <f aca="false">Entrées!$C$16-M714+Hypothèses!$J$22*1000-AF714+Hypothèses!$J$23</f>
        <v>22414.7395270804</v>
      </c>
      <c r="AJ714" s="2" t="n">
        <f aca="false">AI714/AH714</f>
        <v>2.97618298244108</v>
      </c>
      <c r="AK714" s="2" t="n">
        <f aca="false">AI714/(AH714+I714*(12-Hypothèses!$J$24)/12/Hypothèses!$J$19)</f>
        <v>2.9467031268474</v>
      </c>
      <c r="AL714" s="2" t="n">
        <f aca="false">(AD714+AG714+I714/Hypothèses!$J$19)*(1+G714)</f>
        <v>8005.76664403801</v>
      </c>
      <c r="AM714" s="2" t="n">
        <f aca="false">Entrées!$C$54*K714/Hypothèses!$J$19</f>
        <v>34.7180280705791</v>
      </c>
      <c r="AN714" s="2" t="n">
        <f aca="false">Y714*1000/AC714</f>
        <v>61.1484660654483</v>
      </c>
      <c r="AO714" s="2" t="n">
        <f aca="false">(Entrées!$C$36*(1-S714)+MAX(0,Entrées!$C$30-Entrées!$C$35-Entrées!$C$36)*U714)*1000</f>
        <v>993.346774678849</v>
      </c>
      <c r="AP714" s="2" t="n">
        <f aca="false">-AO714/W714</f>
        <v>-91.6982529630447</v>
      </c>
      <c r="AQ714" s="2" t="n">
        <f aca="false">AL714+AM714+AN714+AP714</f>
        <v>8009.93488521099</v>
      </c>
      <c r="AR714" s="2" t="n">
        <f aca="false">O714*AQ714-Hypothèses!$J$25/Hypothèses!$J$19</f>
        <v>1352.59315503434</v>
      </c>
      <c r="AS714" s="2" t="n">
        <f aca="false">Entrées!$C$79*(1+Q714)+Hypothèses!$J$20</f>
        <v>1503.19187935895</v>
      </c>
      <c r="AT714" s="2" t="n">
        <f aca="false">AI714-AR714+AS714+Y714*1000-AO714+Hypothèses!$J$23</f>
        <v>22222.5934951922</v>
      </c>
      <c r="AU714" s="2" t="n">
        <f aca="false">AT714/AQ714</f>
        <v>2.77437879504145</v>
      </c>
      <c r="AV714" s="2" t="n">
        <f aca="false">Hypothèses!$J$26*AQ714-AT714</f>
        <v>1807.21116044081</v>
      </c>
      <c r="AW714" s="2" t="n">
        <f aca="false">IF(AC714&gt;Hypothèses!$J$26,MAX(0,AV714)/(1-Hypothèses!$J$26/AC714),0)</f>
        <v>2516.87587794079</v>
      </c>
      <c r="AX714" s="2" t="n">
        <f aca="false">AQ714-Entrées!$C$17*1000</f>
        <v>9.93488521099062</v>
      </c>
      <c r="AY714" s="2" t="n">
        <f aca="false">AI714+(Entrées!$C$244-Entrées!$C$13)</f>
        <v>28161.7395270804</v>
      </c>
      <c r="AZ714" s="2" t="n">
        <f aca="false">AA714*AH714</f>
        <v>5520.59283010251</v>
      </c>
      <c r="BA714" s="2" t="n">
        <f aca="false">AZ714/AY714</f>
        <v>0.196031670017894</v>
      </c>
      <c r="BB714" s="2" t="n">
        <f aca="false">AZ714/(Entrées!$C$151/100)-AY714</f>
        <v>2508.22064015579</v>
      </c>
      <c r="BC714" s="2" t="n">
        <f aca="false">AT714+(Entrées!$C$244-Entrées!$C$13)</f>
        <v>27969.5934951922</v>
      </c>
      <c r="BD714" s="2" t="n">
        <f aca="false">AA714*AQ714</f>
        <v>5871.3860315746</v>
      </c>
      <c r="BE714" s="2" t="n">
        <f aca="false">BD714/BC714</f>
        <v>0.209920320528929</v>
      </c>
      <c r="BF714" s="2" t="n">
        <f aca="false">BD714/(Entrées!$C$151/100)-BC714</f>
        <v>4649.21779133338</v>
      </c>
      <c r="BG714" s="2" t="n">
        <f aca="false">MIN(AV714,BF714)</f>
        <v>1807.21116044081</v>
      </c>
      <c r="BH714" s="2" t="n">
        <f aca="false">IF(AC714&gt;Hypothèses!$J$26,MAX(0,BG714)/(1-Hypothèses!$J$26/AC714),0)</f>
        <v>2516.87587794079</v>
      </c>
    </row>
    <row r="715" customFormat="false" ht="15" hidden="false" customHeight="false" outlineLevel="0" collapsed="false">
      <c r="A715" s="2" t="n">
        <v>700</v>
      </c>
      <c r="B715" s="2" t="n">
        <v>0.941073626</v>
      </c>
      <c r="C715" s="2"/>
      <c r="D715" s="2" t="n">
        <v>0.547091477</v>
      </c>
      <c r="E715" s="2" t="n">
        <f aca="false">IF(E$7=E$5,E$6,IF(NORMSDIST(E$9*SQRT($C$11)*NORMSINV($B715)+SQRT(1-E$9^2*$C$11)*NORMSINV(D715))&lt;E$8,E$5+SQRT(NORMSDIST(E$9*SQRT($C$11)*NORMSINV($B715)+SQRT(1-E$9^2*$C$11)*NORMSINV(D715))*(E$7-E$5)*(E$6-E$5)),E$7-SQRT((1-NORMSDIST(E$9*SQRT($C$11)*NORMSINV($B715)+SQRT(1-E$9^2*$C$11)*NORMSINV(D715)))*(E$7-E$5)*(E$7-E$6))))</f>
        <v>0.0573550768399861</v>
      </c>
      <c r="F715" s="2" t="n">
        <v>0.159991882</v>
      </c>
      <c r="G715" s="2" t="n">
        <f aca="false">IF(G$7=G$5,G$6,IF(NORMSDIST(G$9*SQRT($C$11)*NORMSINV($B715)+SQRT(1-G$9^2*$C$11)*NORMSINV(F715))&lt;G$8,G$5+SQRT(NORMSDIST(G$9*SQRT($C$11)*NORMSINV($B715)+SQRT(1-G$9^2*$C$11)*NORMSINV(F715))*(G$7-G$5)*(G$6-G$5)),G$7-SQRT((1-NORMSDIST(G$9*SQRT($C$11)*NORMSINV($B715)+SQRT(1-G$9^2*$C$11)*NORMSINV(F715)))*(G$7-G$5)*(G$7-G$6))))</f>
        <v>0.0563602597639818</v>
      </c>
      <c r="H715" s="2" t="n">
        <v>0.064975243</v>
      </c>
      <c r="I715" s="2" t="n">
        <f aca="false">IF(I$7=I$5,I$6,IF(NORMSDIST(I$9*SQRT($C$11)*NORMSINV($B715)+SQRT(1-I$9^2*$C$11)*NORMSINV(H715))&lt;I$8,I$5+SQRT(NORMSDIST(I$9*SQRT($C$11)*NORMSINV($B715)+SQRT(1-I$9^2*$C$11)*NORMSINV(H715))*(I$7-I$5)*(I$6-I$5)),I$7-SQRT((1-NORMSDIST(I$9*SQRT($C$11)*NORMSINV($B715)+SQRT(1-I$9^2*$C$11)*NORMSINV(H715)))*(I$7-I$5)*(I$7-I$6))))</f>
        <v>198.483386112795</v>
      </c>
      <c r="J715" s="2" t="n">
        <v>0.950046818</v>
      </c>
      <c r="K715" s="2" t="n">
        <f aca="false">IF(K$7=K$5,K$6,IF(NORMSDIST(K$9*SQRT($C$11)*NORMSINV($B715)+SQRT(1-K$9^2*$C$11)*NORMSINV(J715))&lt;K$8,K$5+SQRT(NORMSDIST(K$9*SQRT($C$11)*NORMSINV($B715)+SQRT(1-K$9^2*$C$11)*NORMSINV(J715))*(K$7-K$5)*(K$6-K$5)),K$7-SQRT((1-NORMSDIST(K$9*SQRT($C$11)*NORMSINV($B715)+SQRT(1-K$9^2*$C$11)*NORMSINV(J715)))*(K$7-K$5)*(K$7-K$6))))</f>
        <v>0.461591079364849</v>
      </c>
      <c r="L715" s="2" t="n">
        <v>0.532590624</v>
      </c>
      <c r="M715" s="2" t="n">
        <f aca="false">IF(M$7=M$5,M$6,IF(NORMSDIST(M$9*SQRT($C$11)*NORMSINV($B715)+SQRT(1-M$9^2*$C$11)*NORMSINV(L715))&lt;M$8,M$5+SQRT(NORMSDIST(M$9*SQRT($C$11)*NORMSINV($B715)+SQRT(1-M$9^2*$C$11)*NORMSINV(L715))*(M$7-M$5)*(M$6-M$5)),M$7-SQRT((1-NORMSDIST(M$9*SQRT($C$11)*NORMSINV($B715)+SQRT(1-M$9^2*$C$11)*NORMSINV(L715)))*(M$7-M$5)*(M$7-M$6))))</f>
        <v>1683.97782957669</v>
      </c>
      <c r="N715" s="2" t="n">
        <v>0.980844312</v>
      </c>
      <c r="O715" s="2" t="n">
        <f aca="false">IF(O$7=O$5,O$6,IF(NORMSDIST(O$9*SQRT($C$11)*NORMSINV($B715)+SQRT(1-O$9^2*$C$11)*NORMSINV(N715))&lt;O$8,O$5+SQRT(NORMSDIST(O$9*SQRT($C$11)*NORMSINV($B715)+SQRT(1-O$9^2*$C$11)*NORMSINV(N715))*(O$7-O$5)*(O$6-O$5)),O$7-SQRT((1-NORMSDIST(O$9*SQRT($C$11)*NORMSINV($B715)+SQRT(1-O$9^2*$C$11)*NORMSINV(N715)))*(O$7-O$5)*(O$7-O$6))))</f>
        <v>0.187751074076943</v>
      </c>
      <c r="P715" s="2" t="n">
        <v>0.575792666</v>
      </c>
      <c r="Q715" s="2" t="n">
        <f aca="false">IF(Q$7=Q$5,Q$6,IF(NORMSDIST(Q$9*SQRT($C$11)*NORMSINV($B715)+SQRT(1-Q$9^2*$C$11)*NORMSINV(P715))&lt;Q$8,Q$5+SQRT(NORMSDIST(Q$9*SQRT($C$11)*NORMSINV($B715)+SQRT(1-Q$9^2*$C$11)*NORMSINV(P715))*(Q$7-Q$5)*(Q$6-Q$5)),Q$7-SQRT((1-NORMSDIST(Q$9*SQRT($C$11)*NORMSINV($B715)+SQRT(1-Q$9^2*$C$11)*NORMSINV(P715)))*(Q$7-Q$5)*(Q$7-Q$6))))</f>
        <v>0.083156228900939</v>
      </c>
      <c r="R715" s="2" t="n">
        <v>0.949328015</v>
      </c>
      <c r="S715" s="2" t="n">
        <f aca="false">IF(S$7=S$5,S$6,IF(NORMSDIST(S$9*SQRT($C$11)*NORMSINV($B715)+SQRT(1-S$9^2*$C$11)*NORMSINV(R715))&lt;S$8,S$5+SQRT(NORMSDIST(S$9*SQRT($C$11)*NORMSINV($B715)+SQRT(1-S$9^2*$C$11)*NORMSINV(R715))*(S$7-S$5)*(S$6-S$5)),S$7-SQRT((1-NORMSDIST(S$9*SQRT($C$11)*NORMSINV($B715)+SQRT(1-S$9^2*$C$11)*NORMSINV(R715)))*(S$7-S$5)*(S$7-S$6))))</f>
        <v>0.922642553298711</v>
      </c>
      <c r="T715" s="2" t="n">
        <v>0.349851848</v>
      </c>
      <c r="U715" s="2" t="n">
        <f aca="false">IF(U$7=U$5,U$6,IF(NORMSDIST(U$9*SQRT($C$11)*NORMSINV($B715)+SQRT(1-U$9^2*$C$11)*NORMSINV(T715))&lt;U$8,U$5+SQRT(NORMSDIST(U$9*SQRT($C$11)*NORMSINV($B715)+SQRT(1-U$9^2*$C$11)*NORMSINV(T715))*(U$7-U$5)*(U$6-U$5)),U$7-SQRT((1-NORMSDIST(U$9*SQRT($C$11)*NORMSINV($B715)+SQRT(1-U$9^2*$C$11)*NORMSINV(T715)))*(U$7-U$5)*(U$7-U$6))))</f>
        <v>0.64999530709718</v>
      </c>
      <c r="V715" s="2" t="n">
        <v>0.553424329</v>
      </c>
      <c r="W715" s="2" t="n">
        <f aca="false">IF(W$7=W$5,W$6,IF(NORMSDIST(W$9*SQRT($C$11)*NORMSINV($B715)+SQRT(1-W$9^2*$C$11)*NORMSINV(V715))&lt;W$8,W$5+SQRT(NORMSDIST(W$9*SQRT($C$11)*NORMSINV($B715)+SQRT(1-W$9^2*$C$11)*NORMSINV(V715))*(W$7-W$5)*(W$6-W$5)),W$7-SQRT((1-NORMSDIST(W$9*SQRT($C$11)*NORMSINV($B715)+SQRT(1-W$9^2*$C$11)*NORMSINV(V715)))*(W$7-W$5)*(W$7-W$6))))</f>
        <v>10.9524381052212</v>
      </c>
      <c r="X715" s="2" t="n">
        <v>0.72120078</v>
      </c>
      <c r="Y715" s="2" t="n">
        <f aca="false">IF(Y$7=Y$5,Y$6,IF(NORMSDIST(Y$9*SQRT($C$11)*NORMSINV($B715)+SQRT(1-Y$9^2*$C$11)*NORMSINV(X715))&lt;Y$8,Y$5+SQRT(NORMSDIST(Y$9*SQRT($C$11)*NORMSINV($B715)+SQRT(1-Y$9^2*$C$11)*NORMSINV(X715))*(Y$7-Y$5)*(Y$6-Y$5)),Y$7-SQRT((1-NORMSDIST(Y$9*SQRT($C$11)*NORMSINV($B715)+SQRT(1-Y$9^2*$C$11)*NORMSINV(X715)))*(Y$7-Y$5)*(Y$7-Y$6))))</f>
        <v>0.62663742822827</v>
      </c>
      <c r="Z715" s="2" t="n">
        <v>0.859398994</v>
      </c>
      <c r="AA715" s="2" t="n">
        <f aca="false">IF(AA$7=AA$5,AA$6,IF(NORMSDIST(AA$9*SQRT($C$11)*NORMSINV($B715)+SQRT(1-AA$9^2*$C$11)*NORMSINV(Z715))&lt;AA$8,AA$5+SQRT(NORMSDIST(AA$9*SQRT($C$11)*NORMSINV($B715)+SQRT(1-AA$9^2*$C$11)*NORMSINV(Z715))*(AA$7-AA$5)*(AA$6-AA$5)),AA$7-SQRT((1-NORMSDIST(AA$9*SQRT($C$11)*NORMSINV($B715)+SQRT(1-AA$9^2*$C$11)*NORMSINV(Z715)))*(AA$7-AA$5)*(AA$7-AA$6))))</f>
        <v>0.747251815878346</v>
      </c>
      <c r="AB715" s="2" t="n">
        <v>0.009721771</v>
      </c>
      <c r="AC715" s="2" t="n">
        <f aca="false">IF(AC$7=AC$5,AC$6,IF(NORMSDIST(AC$9*SQRT($C$11)*NORMSINV($B715)+SQRT(1-AC$9^2*$C$11)*NORMSINV(AB715))&lt;AC$8,AC$5+SQRT(NORMSDIST(AC$9*SQRT($C$11)*NORMSINV($B715)+SQRT(1-AC$9^2*$C$11)*NORMSINV(AB715))*(AC$7-AC$5)*(AC$6-AC$5)),AC$7-SQRT((1-NORMSDIST(AC$9*SQRT($C$11)*NORMSINV($B715)+SQRT(1-AC$9^2*$C$11)*NORMSINV(AB715)))*(AC$7-AC$5)*(AC$7-AC$6))))</f>
        <v>8.73343970112041</v>
      </c>
      <c r="AD715" s="2" t="n">
        <f aca="false">Entrées!$C$8*(1+E715)</f>
        <v>7454.3532917219</v>
      </c>
      <c r="AE715" s="2" t="n">
        <f aca="false">I715*Hypothèses!$J$24/12/Hypothèses!$J$19</f>
        <v>98.466972579767</v>
      </c>
      <c r="AF715" s="2" t="n">
        <f aca="false">Entrées!$C$36*S715*1000</f>
        <v>461.321276649355</v>
      </c>
      <c r="AG715" s="2" t="n">
        <f aca="false">-AF715/W715</f>
        <v>-42.1204185056693</v>
      </c>
      <c r="AH715" s="2" t="n">
        <f aca="false">AD715+AE715+AG715</f>
        <v>7510.699845796</v>
      </c>
      <c r="AI715" s="2" t="n">
        <f aca="false">Entrées!$C$16-M715+Hypothèses!$J$22*1000-AF715+Hypothèses!$J$23</f>
        <v>22402.700893774</v>
      </c>
      <c r="AJ715" s="2" t="n">
        <f aca="false">AI715/AH715</f>
        <v>2.98277142659529</v>
      </c>
      <c r="AK715" s="2" t="n">
        <f aca="false">AI715/(AH715+I715*(12-Hypothèses!$J$24)/12/Hypothèses!$J$19)</f>
        <v>2.95509856225562</v>
      </c>
      <c r="AL715" s="2" t="n">
        <f aca="false">(AD715+AG715+I715/Hypothèses!$J$19)*(1+G715)</f>
        <v>8008.30240920903</v>
      </c>
      <c r="AM715" s="2" t="n">
        <f aca="false">Entrées!$C$54*K715/Hypothèses!$J$19</f>
        <v>47.1073077448825</v>
      </c>
      <c r="AN715" s="2" t="n">
        <f aca="false">Y715*1000/AC715</f>
        <v>71.7515033793477</v>
      </c>
      <c r="AO715" s="2" t="n">
        <f aca="false">(Entrées!$C$36*(1-S715)+MAX(0,Entrées!$C$30-Entrées!$C$35-Entrées!$C$36)*U715)*1000</f>
        <v>948.672153286697</v>
      </c>
      <c r="AP715" s="2" t="n">
        <f aca="false">-AO715/W715</f>
        <v>-86.6174402605801</v>
      </c>
      <c r="AQ715" s="2" t="n">
        <f aca="false">AL715+AM715+AN715+AP715</f>
        <v>8040.54378007268</v>
      </c>
      <c r="AR715" s="2" t="n">
        <f aca="false">O715*AQ715-Hypothèses!$J$25/Hypothèses!$J$19</f>
        <v>1490.48556860971</v>
      </c>
      <c r="AS715" s="2" t="n">
        <f aca="false">Entrées!$C$79*(1+Q715)+Hypothèses!$J$20</f>
        <v>1485.38869556213</v>
      </c>
      <c r="AT715" s="2" t="n">
        <f aca="false">AI715-AR715+AS715+Y715*1000-AO715+Hypothèses!$J$23</f>
        <v>22075.5692956679</v>
      </c>
      <c r="AU715" s="2" t="n">
        <f aca="false">AT715/AQ715</f>
        <v>2.74553188185842</v>
      </c>
      <c r="AV715" s="2" t="n">
        <f aca="false">Hypothèses!$J$26*AQ715-AT715</f>
        <v>2046.06204455009</v>
      </c>
      <c r="AW715" s="2" t="n">
        <f aca="false">IF(AC715&gt;Hypothèses!$J$26,MAX(0,AV715)/(1-Hypothèses!$J$26/AC715),0)</f>
        <v>3116.65604285285</v>
      </c>
      <c r="AX715" s="2" t="n">
        <f aca="false">AQ715-Entrées!$C$17*1000</f>
        <v>40.5437800726795</v>
      </c>
      <c r="AY715" s="2" t="n">
        <f aca="false">AI715+(Entrées!$C$244-Entrées!$C$13)</f>
        <v>28149.700893774</v>
      </c>
      <c r="AZ715" s="2" t="n">
        <f aca="false">AA715*AH715</f>
        <v>5612.38409828828</v>
      </c>
      <c r="BA715" s="2" t="n">
        <f aca="false">AZ715/AY715</f>
        <v>0.199376331544951</v>
      </c>
      <c r="BB715" s="2" t="n">
        <f aca="false">AZ715/(Entrées!$C$151/100)-AY715</f>
        <v>3030.21076338314</v>
      </c>
      <c r="BC715" s="2" t="n">
        <f aca="false">AT715+(Entrées!$C$244-Entrées!$C$13)</f>
        <v>27822.5692956679</v>
      </c>
      <c r="BD715" s="2" t="n">
        <f aca="false">AA715*AQ715</f>
        <v>6008.31094030865</v>
      </c>
      <c r="BE715" s="2" t="n">
        <f aca="false">BD715/BC715</f>
        <v>0.21595097406206</v>
      </c>
      <c r="BF715" s="2" t="n">
        <f aca="false">BD715/(Entrées!$C$151/100)-BC715</f>
        <v>5556.93592826902</v>
      </c>
      <c r="BG715" s="2" t="n">
        <f aca="false">MIN(AV715,BF715)</f>
        <v>2046.06204455009</v>
      </c>
      <c r="BH715" s="2" t="n">
        <f aca="false">IF(AC715&gt;Hypothèses!$J$26,MAX(0,BG715)/(1-Hypothèses!$J$26/AC715),0)</f>
        <v>3116.65604285285</v>
      </c>
    </row>
    <row r="716" customFormat="false" ht="15" hidden="false" customHeight="false" outlineLevel="0" collapsed="false">
      <c r="A716" s="2" t="n">
        <v>701</v>
      </c>
      <c r="B716" s="2" t="n">
        <v>0.07692459</v>
      </c>
      <c r="C716" s="2"/>
      <c r="D716" s="2" t="n">
        <v>0.003511269</v>
      </c>
      <c r="E716" s="2" t="n">
        <f aca="false">IF(E$7=E$5,E$6,IF(NORMSDIST(E$9*SQRT($C$11)*NORMSINV($B716)+SQRT(1-E$9^2*$C$11)*NORMSINV(D716))&lt;E$8,E$5+SQRT(NORMSDIST(E$9*SQRT($C$11)*NORMSINV($B716)+SQRT(1-E$9^2*$C$11)*NORMSINV(D716))*(E$7-E$5)*(E$6-E$5)),E$7-SQRT((1-NORMSDIST(E$9*SQRT($C$11)*NORMSINV($B716)+SQRT(1-E$9^2*$C$11)*NORMSINV(D716)))*(E$7-E$5)*(E$7-E$6))))</f>
        <v>0.0502640652854554</v>
      </c>
      <c r="F716" s="2" t="n">
        <v>0.795698713</v>
      </c>
      <c r="G716" s="2" t="n">
        <f aca="false">IF(G$7=G$5,G$6,IF(NORMSDIST(G$9*SQRT($C$11)*NORMSINV($B716)+SQRT(1-G$9^2*$C$11)*NORMSINV(F716))&lt;G$8,G$5+SQRT(NORMSDIST(G$9*SQRT($C$11)*NORMSINV($B716)+SQRT(1-G$9^2*$C$11)*NORMSINV(F716))*(G$7-G$5)*(G$6-G$5)),G$7-SQRT((1-NORMSDIST(G$9*SQRT($C$11)*NORMSINV($B716)+SQRT(1-G$9^2*$C$11)*NORMSINV(F716)))*(G$7-G$5)*(G$7-G$6))))</f>
        <v>0.0533613828505433</v>
      </c>
      <c r="H716" s="2" t="n">
        <v>0.239625151</v>
      </c>
      <c r="I716" s="2" t="n">
        <f aca="false">IF(I$7=I$5,I$6,IF(NORMSDIST(I$9*SQRT($C$11)*NORMSINV($B716)+SQRT(1-I$9^2*$C$11)*NORMSINV(H716))&lt;I$8,I$5+SQRT(NORMSDIST(I$9*SQRT($C$11)*NORMSINV($B716)+SQRT(1-I$9^2*$C$11)*NORMSINV(H716))*(I$7-I$5)*(I$6-I$5)),I$7-SQRT((1-NORMSDIST(I$9*SQRT($C$11)*NORMSINV($B716)+SQRT(1-I$9^2*$C$11)*NORMSINV(H716)))*(I$7-I$5)*(I$7-I$6))))</f>
        <v>187.669950349748</v>
      </c>
      <c r="J716" s="2" t="n">
        <v>0.255849657</v>
      </c>
      <c r="K716" s="2" t="n">
        <f aca="false">IF(K$7=K$5,K$6,IF(NORMSDIST(K$9*SQRT($C$11)*NORMSINV($B716)+SQRT(1-K$9^2*$C$11)*NORMSINV(J716))&lt;K$8,K$5+SQRT(NORMSDIST(K$9*SQRT($C$11)*NORMSINV($B716)+SQRT(1-K$9^2*$C$11)*NORMSINV(J716))*(K$7-K$5)*(K$6-K$5)),K$7-SQRT((1-NORMSDIST(K$9*SQRT($C$11)*NORMSINV($B716)+SQRT(1-K$9^2*$C$11)*NORMSINV(J716)))*(K$7-K$5)*(K$7-K$6))))</f>
        <v>0.0995232081600619</v>
      </c>
      <c r="L716" s="2" t="n">
        <v>0.4922745</v>
      </c>
      <c r="M716" s="2" t="n">
        <f aca="false">IF(M$7=M$5,M$6,IF(NORMSDIST(M$9*SQRT($C$11)*NORMSINV($B716)+SQRT(1-M$9^2*$C$11)*NORMSINV(L716))&lt;M$8,M$5+SQRT(NORMSDIST(M$9*SQRT($C$11)*NORMSINV($B716)+SQRT(1-M$9^2*$C$11)*NORMSINV(L716))*(M$7-M$5)*(M$6-M$5)),M$7-SQRT((1-NORMSDIST(M$9*SQRT($C$11)*NORMSINV($B716)+SQRT(1-M$9^2*$C$11)*NORMSINV(L716)))*(M$7-M$5)*(M$7-M$6))))</f>
        <v>1472.29824624494</v>
      </c>
      <c r="N716" s="2" t="n">
        <v>0.190263157</v>
      </c>
      <c r="O716" s="2" t="n">
        <f aca="false">IF(O$7=O$5,O$6,IF(NORMSDIST(O$9*SQRT($C$11)*NORMSINV($B716)+SQRT(1-O$9^2*$C$11)*NORMSINV(N716))&lt;O$8,O$5+SQRT(NORMSDIST(O$9*SQRT($C$11)*NORMSINV($B716)+SQRT(1-O$9^2*$C$11)*NORMSINV(N716))*(O$7-O$5)*(O$6-O$5)),O$7-SQRT((1-NORMSDIST(O$9*SQRT($C$11)*NORMSINV($B716)+SQRT(1-O$9^2*$C$11)*NORMSINV(N716)))*(O$7-O$5)*(O$7-O$6))))</f>
        <v>0.149036938806918</v>
      </c>
      <c r="P716" s="2" t="n">
        <v>0.095231071</v>
      </c>
      <c r="Q716" s="2" t="n">
        <f aca="false">IF(Q$7=Q$5,Q$6,IF(NORMSDIST(Q$9*SQRT($C$11)*NORMSINV($B716)+SQRT(1-Q$9^2*$C$11)*NORMSINV(P716))&lt;Q$8,Q$5+SQRT(NORMSDIST(Q$9*SQRT($C$11)*NORMSINV($B716)+SQRT(1-Q$9^2*$C$11)*NORMSINV(P716))*(Q$7-Q$5)*(Q$6-Q$5)),Q$7-SQRT((1-NORMSDIST(Q$9*SQRT($C$11)*NORMSINV($B716)+SQRT(1-Q$9^2*$C$11)*NORMSINV(P716)))*(Q$7-Q$5)*(Q$7-Q$6))))</f>
        <v>0.0574567874249531</v>
      </c>
      <c r="R716" s="2" t="n">
        <v>0.427969149</v>
      </c>
      <c r="S716" s="2" t="n">
        <f aca="false">IF(S$7=S$5,S$6,IF(NORMSDIST(S$9*SQRT($C$11)*NORMSINV($B716)+SQRT(1-S$9^2*$C$11)*NORMSINV(R716))&lt;S$8,S$5+SQRT(NORMSDIST(S$9*SQRT($C$11)*NORMSINV($B716)+SQRT(1-S$9^2*$C$11)*NORMSINV(R716))*(S$7-S$5)*(S$6-S$5)),S$7-SQRT((1-NORMSDIST(S$9*SQRT($C$11)*NORMSINV($B716)+SQRT(1-S$9^2*$C$11)*NORMSINV(R716)))*(S$7-S$5)*(S$7-S$6))))</f>
        <v>0.272560596792932</v>
      </c>
      <c r="T716" s="2" t="n">
        <v>0.425058422</v>
      </c>
      <c r="U716" s="2" t="n">
        <f aca="false">IF(U$7=U$5,U$6,IF(NORMSDIST(U$9*SQRT($C$11)*NORMSINV($B716)+SQRT(1-U$9^2*$C$11)*NORMSINV(T716))&lt;U$8,U$5+SQRT(NORMSDIST(U$9*SQRT($C$11)*NORMSINV($B716)+SQRT(1-U$9^2*$C$11)*NORMSINV(T716))*(U$7-U$5)*(U$6-U$5)),U$7-SQRT((1-NORMSDIST(U$9*SQRT($C$11)*NORMSINV($B716)+SQRT(1-U$9^2*$C$11)*NORMSINV(T716)))*(U$7-U$5)*(U$7-U$6))))</f>
        <v>0.271339756772488</v>
      </c>
      <c r="V716" s="2" t="n">
        <v>0.119462515</v>
      </c>
      <c r="W716" s="2" t="n">
        <f aca="false">IF(W$7=W$5,W$6,IF(NORMSDIST(W$9*SQRT($C$11)*NORMSINV($B716)+SQRT(1-W$9^2*$C$11)*NORMSINV(V716))&lt;W$8,W$5+SQRT(NORMSDIST(W$9*SQRT($C$11)*NORMSINV($B716)+SQRT(1-W$9^2*$C$11)*NORMSINV(V716))*(W$7-W$5)*(W$6-W$5)),W$7-SQRT((1-NORMSDIST(W$9*SQRT($C$11)*NORMSINV($B716)+SQRT(1-W$9^2*$C$11)*NORMSINV(V716)))*(W$7-W$5)*(W$7-W$6))))</f>
        <v>8.52784389073637</v>
      </c>
      <c r="X716" s="2" t="n">
        <v>0.331154494</v>
      </c>
      <c r="Y716" s="2" t="n">
        <f aca="false">IF(Y$7=Y$5,Y$6,IF(NORMSDIST(Y$9*SQRT($C$11)*NORMSINV($B716)+SQRT(1-Y$9^2*$C$11)*NORMSINV(X716))&lt;Y$8,Y$5+SQRT(NORMSDIST(Y$9*SQRT($C$11)*NORMSINV($B716)+SQRT(1-Y$9^2*$C$11)*NORMSINV(X716))*(Y$7-Y$5)*(Y$6-Y$5)),Y$7-SQRT((1-NORMSDIST(Y$9*SQRT($C$11)*NORMSINV($B716)+SQRT(1-Y$9^2*$C$11)*NORMSINV(X716)))*(Y$7-Y$5)*(Y$7-Y$6))))</f>
        <v>0.406911841803602</v>
      </c>
      <c r="Z716" s="2" t="n">
        <v>0.394072188</v>
      </c>
      <c r="AA716" s="2" t="n">
        <f aca="false">IF(AA$7=AA$5,AA$6,IF(NORMSDIST(AA$9*SQRT($C$11)*NORMSINV($B716)+SQRT(1-AA$9^2*$C$11)*NORMSINV(Z716))&lt;AA$8,AA$5+SQRT(NORMSDIST(AA$9*SQRT($C$11)*NORMSINV($B716)+SQRT(1-AA$9^2*$C$11)*NORMSINV(Z716))*(AA$7-AA$5)*(AA$6-AA$5)),AA$7-SQRT((1-NORMSDIST(AA$9*SQRT($C$11)*NORMSINV($B716)+SQRT(1-AA$9^2*$C$11)*NORMSINV(Z716)))*(AA$7-AA$5)*(AA$7-AA$6))))</f>
        <v>0.712231519791803</v>
      </c>
      <c r="AB716" s="2" t="n">
        <v>0.179372436</v>
      </c>
      <c r="AC716" s="2" t="n">
        <f aca="false">IF(AC$7=AC$5,AC$6,IF(NORMSDIST(AC$9*SQRT($C$11)*NORMSINV($B716)+SQRT(1-AC$9^2*$C$11)*NORMSINV(AB716))&lt;AC$8,AC$5+SQRT(NORMSDIST(AC$9*SQRT($C$11)*NORMSINV($B716)+SQRT(1-AC$9^2*$C$11)*NORMSINV(AB716))*(AC$7-AC$5)*(AC$6-AC$5)),AC$7-SQRT((1-NORMSDIST(AC$9*SQRT($C$11)*NORMSINV($B716)+SQRT(1-AC$9^2*$C$11)*NORMSINV(AB716)))*(AC$7-AC$5)*(AC$7-AC$6))))</f>
        <v>8.07919668856203</v>
      </c>
      <c r="AD716" s="2" t="n">
        <f aca="false">Entrées!$C$8*(1+E716)</f>
        <v>7404.36166026246</v>
      </c>
      <c r="AE716" s="2" t="n">
        <f aca="false">I716*Hypothèses!$J$24/12/Hypothèses!$J$19</f>
        <v>93.1024617074669</v>
      </c>
      <c r="AF716" s="2" t="n">
        <f aca="false">Entrées!$C$36*S716*1000</f>
        <v>136.280298396466</v>
      </c>
      <c r="AG716" s="2" t="n">
        <f aca="false">-AF716/W716</f>
        <v>-15.9806277111269</v>
      </c>
      <c r="AH716" s="2" t="n">
        <f aca="false">AD716+AE716+AG716</f>
        <v>7481.4834942588</v>
      </c>
      <c r="AI716" s="2" t="n">
        <f aca="false">Entrées!$C$16-M716+Hypothèses!$J$22*1000-AF716+Hypothèses!$J$23</f>
        <v>22939.4214553586</v>
      </c>
      <c r="AJ716" s="2" t="n">
        <f aca="false">AI716/AH716</f>
        <v>3.06615946863507</v>
      </c>
      <c r="AK716" s="2" t="n">
        <f aca="false">AI716/(AH716+I716*(12-Hypothèses!$J$24)/12/Hypothèses!$J$19)</f>
        <v>3.03914497546112</v>
      </c>
      <c r="AL716" s="2" t="n">
        <f aca="false">(AD716+AG716+I716/Hypothèses!$J$19)*(1+G716)</f>
        <v>7950.75618343666</v>
      </c>
      <c r="AM716" s="2" t="n">
        <f aca="false">Entrées!$C$54*K716/Hypothèses!$J$19</f>
        <v>10.1567612636819</v>
      </c>
      <c r="AN716" s="2" t="n">
        <f aca="false">Y716*1000/AC716</f>
        <v>50.36538377382</v>
      </c>
      <c r="AO716" s="2" t="n">
        <f aca="false">(Entrées!$C$36*(1-S716)+MAX(0,Entrées!$C$30-Entrées!$C$35-Entrées!$C$36)*U716)*1000</f>
        <v>743.595361085017</v>
      </c>
      <c r="AP716" s="2" t="n">
        <f aca="false">-AO716/W716</f>
        <v>-87.1961741575464</v>
      </c>
      <c r="AQ716" s="2" t="n">
        <f aca="false">AL716+AM716+AN716+AP716</f>
        <v>7924.08215431661</v>
      </c>
      <c r="AR716" s="2" t="n">
        <f aca="false">O716*AQ716-Hypothèses!$J$25/Hypothèses!$J$19</f>
        <v>1161.84578487225</v>
      </c>
      <c r="AS716" s="2" t="n">
        <f aca="false">Entrées!$C$79*(1+Q716)+Hypothèses!$J$20</f>
        <v>1457.14500938002</v>
      </c>
      <c r="AT716" s="2" t="n">
        <f aca="false">AI716-AR716+AS716+Y716*1000-AO716+Hypothèses!$J$23</f>
        <v>22898.037160585</v>
      </c>
      <c r="AU716" s="2" t="n">
        <f aca="false">AT716/AQ716</f>
        <v>2.8896769007009</v>
      </c>
      <c r="AV716" s="2" t="n">
        <f aca="false">Hypothèses!$J$26*AQ716-AT716</f>
        <v>874.209302364881</v>
      </c>
      <c r="AW716" s="2" t="n">
        <f aca="false">IF(AC716&gt;Hypothèses!$J$26,MAX(0,AV716)/(1-Hypothèses!$J$26/AC716),0)</f>
        <v>1390.55628947814</v>
      </c>
      <c r="AX716" s="2" t="n">
        <f aca="false">AQ716-Entrées!$C$17*1000</f>
        <v>-75.9178456833888</v>
      </c>
      <c r="AY716" s="2" t="n">
        <f aca="false">AI716+(Entrées!$C$244-Entrées!$C$13)</f>
        <v>28686.4214553586</v>
      </c>
      <c r="AZ716" s="2" t="n">
        <f aca="false">AA716*AH716</f>
        <v>5328.54835941324</v>
      </c>
      <c r="BA716" s="2" t="n">
        <f aca="false">AZ716/AY716</f>
        <v>0.185751588698697</v>
      </c>
      <c r="BB716" s="2" t="n">
        <f aca="false">AZ716/(Entrées!$C$151/100)-AY716</f>
        <v>916.624985826064</v>
      </c>
      <c r="BC716" s="2" t="n">
        <f aca="false">AT716+(Entrées!$C$244-Entrées!$C$13)</f>
        <v>28645.037160585</v>
      </c>
      <c r="BD716" s="2" t="n">
        <f aca="false">AA716*AQ716</f>
        <v>5643.78107572403</v>
      </c>
      <c r="BE716" s="2" t="n">
        <f aca="false">BD716/BC716</f>
        <v>0.197024742683517</v>
      </c>
      <c r="BF716" s="2" t="n">
        <f aca="false">BD716/(Entrées!$C$151/100)-BC716</f>
        <v>2709.30214899297</v>
      </c>
      <c r="BG716" s="2" t="n">
        <f aca="false">MIN(AV716,BF716)</f>
        <v>874.209302364881</v>
      </c>
      <c r="BH716" s="2" t="n">
        <f aca="false">IF(AC716&gt;Hypothèses!$J$26,MAX(0,BG716)/(1-Hypothèses!$J$26/AC716),0)</f>
        <v>1390.55628947814</v>
      </c>
    </row>
    <row r="717" customFormat="false" ht="15" hidden="false" customHeight="false" outlineLevel="0" collapsed="false">
      <c r="A717" s="2" t="n">
        <v>702</v>
      </c>
      <c r="B717" s="2" t="n">
        <v>0.308469603</v>
      </c>
      <c r="C717" s="2"/>
      <c r="D717" s="2" t="n">
        <v>0.986563473</v>
      </c>
      <c r="E717" s="2" t="n">
        <f aca="false">IF(E$7=E$5,E$6,IF(NORMSDIST(E$9*SQRT($C$11)*NORMSINV($B717)+SQRT(1-E$9^2*$C$11)*NORMSINV(D717))&lt;E$8,E$5+SQRT(NORMSDIST(E$9*SQRT($C$11)*NORMSINV($B717)+SQRT(1-E$9^2*$C$11)*NORMSINV(D717))*(E$7-E$5)*(E$6-E$5)),E$7-SQRT((1-NORMSDIST(E$9*SQRT($C$11)*NORMSINV($B717)+SQRT(1-E$9^2*$C$11)*NORMSINV(D717)))*(E$7-E$5)*(E$7-E$6))))</f>
        <v>0.0579870399195084</v>
      </c>
      <c r="F717" s="2" t="n">
        <v>0.267172428</v>
      </c>
      <c r="G717" s="2" t="n">
        <f aca="false">IF(G$7=G$5,G$6,IF(NORMSDIST(G$9*SQRT($C$11)*NORMSINV($B717)+SQRT(1-G$9^2*$C$11)*NORMSINV(F717))&lt;G$8,G$5+SQRT(NORMSDIST(G$9*SQRT($C$11)*NORMSINV($B717)+SQRT(1-G$9^2*$C$11)*NORMSINV(F717))*(G$7-G$5)*(G$6-G$5)),G$7-SQRT((1-NORMSDIST(G$9*SQRT($C$11)*NORMSINV($B717)+SQRT(1-G$9^2*$C$11)*NORMSINV(F717)))*(G$7-G$5)*(G$7-G$6))))</f>
        <v>0.0497794882787247</v>
      </c>
      <c r="H717" s="2" t="n">
        <v>0.048075629</v>
      </c>
      <c r="I717" s="2" t="n">
        <f aca="false">IF(I$7=I$5,I$6,IF(NORMSDIST(I$9*SQRT($C$11)*NORMSINV($B717)+SQRT(1-I$9^2*$C$11)*NORMSINV(H717))&lt;I$8,I$5+SQRT(NORMSDIST(I$9*SQRT($C$11)*NORMSINV($B717)+SQRT(1-I$9^2*$C$11)*NORMSINV(H717))*(I$7-I$5)*(I$6-I$5)),I$7-SQRT((1-NORMSDIST(I$9*SQRT($C$11)*NORMSINV($B717)+SQRT(1-I$9^2*$C$11)*NORMSINV(H717)))*(I$7-I$5)*(I$7-I$6))))</f>
        <v>186.586823097927</v>
      </c>
      <c r="J717" s="2" t="n">
        <v>0.748655003</v>
      </c>
      <c r="K717" s="2" t="n">
        <f aca="false">IF(K$7=K$5,K$6,IF(NORMSDIST(K$9*SQRT($C$11)*NORMSINV($B717)+SQRT(1-K$9^2*$C$11)*NORMSINV(J717))&lt;K$8,K$5+SQRT(NORMSDIST(K$9*SQRT($C$11)*NORMSINV($B717)+SQRT(1-K$9^2*$C$11)*NORMSINV(J717))*(K$7-K$5)*(K$6-K$5)),K$7-SQRT((1-NORMSDIST(K$9*SQRT($C$11)*NORMSINV($B717)+SQRT(1-K$9^2*$C$11)*NORMSINV(J717)))*(K$7-K$5)*(K$7-K$6))))</f>
        <v>0.270971496182139</v>
      </c>
      <c r="L717" s="2" t="n">
        <v>0.615963341</v>
      </c>
      <c r="M717" s="2" t="n">
        <f aca="false">IF(M$7=M$5,M$6,IF(NORMSDIST(M$9*SQRT($C$11)*NORMSINV($B717)+SQRT(1-M$9^2*$C$11)*NORMSINV(L717))&lt;M$8,M$5+SQRT(NORMSDIST(M$9*SQRT($C$11)*NORMSINV($B717)+SQRT(1-M$9^2*$C$11)*NORMSINV(L717))*(M$7-M$5)*(M$6-M$5)),M$7-SQRT((1-NORMSDIST(M$9*SQRT($C$11)*NORMSINV($B717)+SQRT(1-M$9^2*$C$11)*NORMSINV(L717)))*(M$7-M$5)*(M$7-M$6))))</f>
        <v>1575.28740002265</v>
      </c>
      <c r="N717" s="2" t="n">
        <v>0.403294775</v>
      </c>
      <c r="O717" s="2" t="n">
        <f aca="false">IF(O$7=O$5,O$6,IF(NORMSDIST(O$9*SQRT($C$11)*NORMSINV($B717)+SQRT(1-O$9^2*$C$11)*NORMSINV(N717))&lt;O$8,O$5+SQRT(NORMSDIST(O$9*SQRT($C$11)*NORMSINV($B717)+SQRT(1-O$9^2*$C$11)*NORMSINV(N717))*(O$7-O$5)*(O$6-O$5)),O$7-SQRT((1-NORMSDIST(O$9*SQRT($C$11)*NORMSINV($B717)+SQRT(1-O$9^2*$C$11)*NORMSINV(N717)))*(O$7-O$5)*(O$7-O$6))))</f>
        <v>0.160968370376187</v>
      </c>
      <c r="P717" s="2" t="n">
        <v>0.517415973</v>
      </c>
      <c r="Q717" s="2" t="n">
        <f aca="false">IF(Q$7=Q$5,Q$6,IF(NORMSDIST(Q$9*SQRT($C$11)*NORMSINV($B717)+SQRT(1-Q$9^2*$C$11)*NORMSINV(P717))&lt;Q$8,Q$5+SQRT(NORMSDIST(Q$9*SQRT($C$11)*NORMSINV($B717)+SQRT(1-Q$9^2*$C$11)*NORMSINV(P717))*(Q$7-Q$5)*(Q$6-Q$5)),Q$7-SQRT((1-NORMSDIST(Q$9*SQRT($C$11)*NORMSINV($B717)+SQRT(1-Q$9^2*$C$11)*NORMSINV(P717)))*(Q$7-Q$5)*(Q$7-Q$6))))</f>
        <v>0.0807028132508191</v>
      </c>
      <c r="R717" s="2" t="n">
        <v>0.248974375</v>
      </c>
      <c r="S717" s="2" t="n">
        <f aca="false">IF(S$7=S$5,S$6,IF(NORMSDIST(S$9*SQRT($C$11)*NORMSINV($B717)+SQRT(1-S$9^2*$C$11)*NORMSINV(R717))&lt;S$8,S$5+SQRT(NORMSDIST(S$9*SQRT($C$11)*NORMSINV($B717)+SQRT(1-S$9^2*$C$11)*NORMSINV(R717))*(S$7-S$5)*(S$6-S$5)),S$7-SQRT((1-NORMSDIST(S$9*SQRT($C$11)*NORMSINV($B717)+SQRT(1-S$9^2*$C$11)*NORMSINV(R717)))*(S$7-S$5)*(S$7-S$6))))</f>
        <v>0.316296637258708</v>
      </c>
      <c r="T717" s="2" t="n">
        <v>0.376210366</v>
      </c>
      <c r="U717" s="2" t="n">
        <f aca="false">IF(U$7=U$5,U$6,IF(NORMSDIST(U$9*SQRT($C$11)*NORMSINV($B717)+SQRT(1-U$9^2*$C$11)*NORMSINV(T717))&lt;U$8,U$5+SQRT(NORMSDIST(U$9*SQRT($C$11)*NORMSINV($B717)+SQRT(1-U$9^2*$C$11)*NORMSINV(T717))*(U$7-U$5)*(U$6-U$5)),U$7-SQRT((1-NORMSDIST(U$9*SQRT($C$11)*NORMSINV($B717)+SQRT(1-U$9^2*$C$11)*NORMSINV(T717)))*(U$7-U$5)*(U$7-U$6))))</f>
        <v>0.379145444180547</v>
      </c>
      <c r="V717" s="2" t="n">
        <v>0.105530433</v>
      </c>
      <c r="W717" s="2" t="n">
        <f aca="false">IF(W$7=W$5,W$6,IF(NORMSDIST(W$9*SQRT($C$11)*NORMSINV($B717)+SQRT(1-W$9^2*$C$11)*NORMSINV(V717))&lt;W$8,W$5+SQRT(NORMSDIST(W$9*SQRT($C$11)*NORMSINV($B717)+SQRT(1-W$9^2*$C$11)*NORMSINV(V717))*(W$7-W$5)*(W$6-W$5)),W$7-SQRT((1-NORMSDIST(W$9*SQRT($C$11)*NORMSINV($B717)+SQRT(1-W$9^2*$C$11)*NORMSINV(V717)))*(W$7-W$5)*(W$7-W$6))))</f>
        <v>8.89164265032405</v>
      </c>
      <c r="X717" s="2" t="n">
        <v>0.017602221</v>
      </c>
      <c r="Y717" s="2" t="n">
        <f aca="false">IF(Y$7=Y$5,Y$6,IF(NORMSDIST(Y$9*SQRT($C$11)*NORMSINV($B717)+SQRT(1-Y$9^2*$C$11)*NORMSINV(X717))&lt;Y$8,Y$5+SQRT(NORMSDIST(Y$9*SQRT($C$11)*NORMSINV($B717)+SQRT(1-Y$9^2*$C$11)*NORMSINV(X717))*(Y$7-Y$5)*(Y$6-Y$5)),Y$7-SQRT((1-NORMSDIST(Y$9*SQRT($C$11)*NORMSINV($B717)+SQRT(1-Y$9^2*$C$11)*NORMSINV(X717)))*(Y$7-Y$5)*(Y$7-Y$6))))</f>
        <v>0.0938142339946342</v>
      </c>
      <c r="Z717" s="2" t="n">
        <v>0.059678361</v>
      </c>
      <c r="AA717" s="2" t="n">
        <f aca="false">IF(AA$7=AA$5,AA$6,IF(NORMSDIST(AA$9*SQRT($C$11)*NORMSINV($B717)+SQRT(1-AA$9^2*$C$11)*NORMSINV(Z717))&lt;AA$8,AA$5+SQRT(NORMSDIST(AA$9*SQRT($C$11)*NORMSINV($B717)+SQRT(1-AA$9^2*$C$11)*NORMSINV(Z717))*(AA$7-AA$5)*(AA$6-AA$5)),AA$7-SQRT((1-NORMSDIST(AA$9*SQRT($C$11)*NORMSINV($B717)+SQRT(1-AA$9^2*$C$11)*NORMSINV(Z717)))*(AA$7-AA$5)*(AA$7-AA$6))))</f>
        <v>0.707021400513973</v>
      </c>
      <c r="AB717" s="2" t="n">
        <v>0.600249235</v>
      </c>
      <c r="AC717" s="2" t="n">
        <f aca="false">IF(AC$7=AC$5,AC$6,IF(NORMSDIST(AC$9*SQRT($C$11)*NORMSINV($B717)+SQRT(1-AC$9^2*$C$11)*NORMSINV(AB717))&lt;AC$8,AC$5+SQRT(NORMSDIST(AC$9*SQRT($C$11)*NORMSINV($B717)+SQRT(1-AC$9^2*$C$11)*NORMSINV(AB717))*(AC$7-AC$5)*(AC$6-AC$5)),AC$7-SQRT((1-NORMSDIST(AC$9*SQRT($C$11)*NORMSINV($B717)+SQRT(1-AC$9^2*$C$11)*NORMSINV(AB717)))*(AC$7-AC$5)*(AC$7-AC$6))))</f>
        <v>9.37704523563561</v>
      </c>
      <c r="AD717" s="2" t="n">
        <f aca="false">Entrées!$C$8*(1+E717)</f>
        <v>7458.80863143253</v>
      </c>
      <c r="AE717" s="2" t="n">
        <f aca="false">I717*Hypothèses!$J$24/12/Hypothèses!$J$19</f>
        <v>92.565125744522</v>
      </c>
      <c r="AF717" s="2" t="n">
        <f aca="false">Entrées!$C$36*S717*1000</f>
        <v>158.148318629354</v>
      </c>
      <c r="AG717" s="2" t="n">
        <f aca="false">-AF717/W717</f>
        <v>-17.7861757212645</v>
      </c>
      <c r="AH717" s="2" t="n">
        <f aca="false">AD717+AE717+AG717</f>
        <v>7533.58758145579</v>
      </c>
      <c r="AI717" s="2" t="n">
        <f aca="false">Entrées!$C$16-M717+Hypothèses!$J$22*1000-AF717+Hypothèses!$J$23</f>
        <v>22814.564281348</v>
      </c>
      <c r="AJ717" s="2" t="n">
        <f aca="false">AI717/AH717</f>
        <v>3.02837977718702</v>
      </c>
      <c r="AK717" s="2" t="n">
        <f aca="false">AI717/(AH717+I717*(12-Hypothèses!$J$24)/12/Hypothèses!$J$19)</f>
        <v>3.00203267035042</v>
      </c>
      <c r="AL717" s="2" t="n">
        <f aca="false">(AD717+AG717+I717/Hypothèses!$J$19)*(1+G717)</f>
        <v>7978.01498068971</v>
      </c>
      <c r="AM717" s="2" t="n">
        <f aca="false">Entrées!$C$54*K717/Hypothèses!$J$19</f>
        <v>27.6537789211775</v>
      </c>
      <c r="AN717" s="2" t="n">
        <f aca="false">Y717*1000/AC717</f>
        <v>10.0046690228295</v>
      </c>
      <c r="AO717" s="2" t="n">
        <f aca="false">(Entrées!$C$36*(1-S717)+MAX(0,Entrées!$C$30-Entrées!$C$35-Entrées!$C$36)*U717)*1000</f>
        <v>872.655303223412</v>
      </c>
      <c r="AP717" s="2" t="n">
        <f aca="false">-AO717/W717</f>
        <v>-98.1433169934701</v>
      </c>
      <c r="AQ717" s="2" t="n">
        <f aca="false">AL717+AM717+AN717+AP717</f>
        <v>7917.53011164025</v>
      </c>
      <c r="AR717" s="2" t="n">
        <f aca="false">O717*AQ717-Hypothèses!$J$25/Hypothèses!$J$19</f>
        <v>1255.33675721349</v>
      </c>
      <c r="AS717" s="2" t="n">
        <f aca="false">Entrées!$C$79*(1+Q717)+Hypothèses!$J$20</f>
        <v>1482.69239176265</v>
      </c>
      <c r="AT717" s="2" t="n">
        <f aca="false">AI717-AR717+AS717+Y717*1000-AO717+Hypothèses!$J$23</f>
        <v>22263.0788466684</v>
      </c>
      <c r="AU717" s="2" t="n">
        <f aca="false">AT717/AQ717</f>
        <v>2.81187169897055</v>
      </c>
      <c r="AV717" s="2" t="n">
        <f aca="false">Hypothèses!$J$26*AQ717-AT717</f>
        <v>1489.51148825238</v>
      </c>
      <c r="AW717" s="2" t="n">
        <f aca="false">IF(AC717&gt;Hypothèses!$J$26,MAX(0,AV717)/(1-Hypothèses!$J$26/AC717),0)</f>
        <v>2190.23326450488</v>
      </c>
      <c r="AX717" s="2" t="n">
        <f aca="false">AQ717-Entrées!$C$17*1000</f>
        <v>-82.4698883597484</v>
      </c>
      <c r="AY717" s="2" t="n">
        <f aca="false">AI717+(Entrées!$C$244-Entrées!$C$13)</f>
        <v>28561.564281348</v>
      </c>
      <c r="AZ717" s="2" t="n">
        <f aca="false">AA717*AH717</f>
        <v>5326.40764273555</v>
      </c>
      <c r="BA717" s="2" t="n">
        <f aca="false">AZ717/AY717</f>
        <v>0.186488652731599</v>
      </c>
      <c r="BB717" s="2" t="n">
        <f aca="false">AZ717/(Entrées!$C$151/100)-AY717</f>
        <v>1029.58928940503</v>
      </c>
      <c r="BC717" s="2" t="n">
        <f aca="false">AT717+(Entrées!$C$244-Entrées!$C$13)</f>
        <v>28010.0788466684</v>
      </c>
      <c r="BD717" s="2" t="n">
        <f aca="false">AA717*AQ717</f>
        <v>5597.86322814344</v>
      </c>
      <c r="BE717" s="2" t="n">
        <f aca="false">BD717/BC717</f>
        <v>0.199851748321989</v>
      </c>
      <c r="BF717" s="2" t="n">
        <f aca="false">BD717/(Entrées!$C$151/100)-BC717</f>
        <v>3089.16130968407</v>
      </c>
      <c r="BG717" s="2" t="n">
        <f aca="false">MIN(AV717,BF717)</f>
        <v>1489.51148825238</v>
      </c>
      <c r="BH717" s="2" t="n">
        <f aca="false">IF(AC717&gt;Hypothèses!$J$26,MAX(0,BG717)/(1-Hypothèses!$J$26/AC717),0)</f>
        <v>2190.23326450488</v>
      </c>
    </row>
    <row r="718" customFormat="false" ht="15" hidden="false" customHeight="false" outlineLevel="0" collapsed="false">
      <c r="A718" s="2" t="n">
        <v>703</v>
      </c>
      <c r="B718" s="2" t="n">
        <v>0.320741945</v>
      </c>
      <c r="C718" s="2"/>
      <c r="D718" s="2" t="n">
        <v>0.422657994</v>
      </c>
      <c r="E718" s="2" t="n">
        <f aca="false">IF(E$7=E$5,E$6,IF(NORMSDIST(E$9*SQRT($C$11)*NORMSINV($B718)+SQRT(1-E$9^2*$C$11)*NORMSINV(D718))&lt;E$8,E$5+SQRT(NORMSDIST(E$9*SQRT($C$11)*NORMSINV($B718)+SQRT(1-E$9^2*$C$11)*NORMSINV(D718))*(E$7-E$5)*(E$6-E$5)),E$7-SQRT((1-NORMSDIST(E$9*SQRT($C$11)*NORMSINV($B718)+SQRT(1-E$9^2*$C$11)*NORMSINV(D718)))*(E$7-E$5)*(E$7-E$6))))</f>
        <v>0.054049318570805</v>
      </c>
      <c r="F718" s="2" t="n">
        <v>0.86771594</v>
      </c>
      <c r="G718" s="2" t="n">
        <f aca="false">IF(G$7=G$5,G$6,IF(NORMSDIST(G$9*SQRT($C$11)*NORMSINV($B718)+SQRT(1-G$9^2*$C$11)*NORMSINV(F718))&lt;G$8,G$5+SQRT(NORMSDIST(G$9*SQRT($C$11)*NORMSINV($B718)+SQRT(1-G$9^2*$C$11)*NORMSINV(F718))*(G$7-G$5)*(G$6-G$5)),G$7-SQRT((1-NORMSDIST(G$9*SQRT($C$11)*NORMSINV($B718)+SQRT(1-G$9^2*$C$11)*NORMSINV(F718)))*(G$7-G$5)*(G$7-G$6))))</f>
        <v>0.0586863586261657</v>
      </c>
      <c r="H718" s="2" t="n">
        <v>0.487779334</v>
      </c>
      <c r="I718" s="2" t="n">
        <f aca="false">IF(I$7=I$5,I$6,IF(NORMSDIST(I$9*SQRT($C$11)*NORMSINV($B718)+SQRT(1-I$9^2*$C$11)*NORMSINV(H718))&lt;I$8,I$5+SQRT(NORMSDIST(I$9*SQRT($C$11)*NORMSINV($B718)+SQRT(1-I$9^2*$C$11)*NORMSINV(H718))*(I$7-I$5)*(I$6-I$5)),I$7-SQRT((1-NORMSDIST(I$9*SQRT($C$11)*NORMSINV($B718)+SQRT(1-I$9^2*$C$11)*NORMSINV(H718)))*(I$7-I$5)*(I$7-I$6))))</f>
        <v>197.324190608826</v>
      </c>
      <c r="J718" s="2" t="n">
        <v>0.020583748</v>
      </c>
      <c r="K718" s="2" t="n">
        <f aca="false">IF(K$7=K$5,K$6,IF(NORMSDIST(K$9*SQRT($C$11)*NORMSINV($B718)+SQRT(1-K$9^2*$C$11)*NORMSINV(J718))&lt;K$8,K$5+SQRT(NORMSDIST(K$9*SQRT($C$11)*NORMSINV($B718)+SQRT(1-K$9^2*$C$11)*NORMSINV(J718))*(K$7-K$5)*(K$6-K$5)),K$7-SQRT((1-NORMSDIST(K$9*SQRT($C$11)*NORMSINV($B718)+SQRT(1-K$9^2*$C$11)*NORMSINV(J718)))*(K$7-K$5)*(K$7-K$6))))</f>
        <v>0.061564535466016</v>
      </c>
      <c r="L718" s="2" t="n">
        <v>0.573454818</v>
      </c>
      <c r="M718" s="2" t="n">
        <f aca="false">IF(M$7=M$5,M$6,IF(NORMSDIST(M$9*SQRT($C$11)*NORMSINV($B718)+SQRT(1-M$9^2*$C$11)*NORMSINV(L718))&lt;M$8,M$5+SQRT(NORMSDIST(M$9*SQRT($C$11)*NORMSINV($B718)+SQRT(1-M$9^2*$C$11)*NORMSINV(L718))*(M$7-M$5)*(M$6-M$5)),M$7-SQRT((1-NORMSDIST(M$9*SQRT($C$11)*NORMSINV($B718)+SQRT(1-M$9^2*$C$11)*NORMSINV(L718)))*(M$7-M$5)*(M$7-M$6))))</f>
        <v>1567.87160862092</v>
      </c>
      <c r="N718" s="2" t="n">
        <v>0.627392255</v>
      </c>
      <c r="O718" s="2" t="n">
        <f aca="false">IF(O$7=O$5,O$6,IF(NORMSDIST(O$9*SQRT($C$11)*NORMSINV($B718)+SQRT(1-O$9^2*$C$11)*NORMSINV(N718))&lt;O$8,O$5+SQRT(NORMSDIST(O$9*SQRT($C$11)*NORMSINV($B718)+SQRT(1-O$9^2*$C$11)*NORMSINV(N718))*(O$7-O$5)*(O$6-O$5)),O$7-SQRT((1-NORMSDIST(O$9*SQRT($C$11)*NORMSINV($B718)+SQRT(1-O$9^2*$C$11)*NORMSINV(N718)))*(O$7-O$5)*(O$7-O$6))))</f>
        <v>0.166323559265192</v>
      </c>
      <c r="P718" s="2" t="n">
        <v>0.512382258</v>
      </c>
      <c r="Q718" s="2" t="n">
        <f aca="false">IF(Q$7=Q$5,Q$6,IF(NORMSDIST(Q$9*SQRT($C$11)*NORMSINV($B718)+SQRT(1-Q$9^2*$C$11)*NORMSINV(P718))&lt;Q$8,Q$5+SQRT(NORMSDIST(Q$9*SQRT($C$11)*NORMSINV($B718)+SQRT(1-Q$9^2*$C$11)*NORMSINV(P718))*(Q$7-Q$5)*(Q$6-Q$5)),Q$7-SQRT((1-NORMSDIST(Q$9*SQRT($C$11)*NORMSINV($B718)+SQRT(1-Q$9^2*$C$11)*NORMSINV(P718)))*(Q$7-Q$5)*(Q$7-Q$6))))</f>
        <v>0.0804983952933555</v>
      </c>
      <c r="R718" s="2" t="n">
        <v>0.156210308</v>
      </c>
      <c r="S718" s="2" t="n">
        <f aca="false">IF(S$7=S$5,S$6,IF(NORMSDIST(S$9*SQRT($C$11)*NORMSINV($B718)+SQRT(1-S$9^2*$C$11)*NORMSINV(R718))&lt;S$8,S$5+SQRT(NORMSDIST(S$9*SQRT($C$11)*NORMSINV($B718)+SQRT(1-S$9^2*$C$11)*NORMSINV(R718))*(S$7-S$5)*(S$6-S$5)),S$7-SQRT((1-NORMSDIST(S$9*SQRT($C$11)*NORMSINV($B718)+SQRT(1-S$9^2*$C$11)*NORMSINV(R718)))*(S$7-S$5)*(S$7-S$6))))</f>
        <v>0.265283982866362</v>
      </c>
      <c r="T718" s="2" t="n">
        <v>0.787279373</v>
      </c>
      <c r="U718" s="2" t="n">
        <f aca="false">IF(U$7=U$5,U$6,IF(NORMSDIST(U$9*SQRT($C$11)*NORMSINV($B718)+SQRT(1-U$9^2*$C$11)*NORMSINV(T718))&lt;U$8,U$5+SQRT(NORMSDIST(U$9*SQRT($C$11)*NORMSINV($B718)+SQRT(1-U$9^2*$C$11)*NORMSINV(T718))*(U$7-U$5)*(U$6-U$5)),U$7-SQRT((1-NORMSDIST(U$9*SQRT($C$11)*NORMSINV($B718)+SQRT(1-U$9^2*$C$11)*NORMSINV(T718)))*(U$7-U$5)*(U$7-U$6))))</f>
        <v>0.567915935535361</v>
      </c>
      <c r="V718" s="2" t="n">
        <v>0.889174193</v>
      </c>
      <c r="W718" s="2" t="n">
        <f aca="false">IF(W$7=W$5,W$6,IF(NORMSDIST(W$9*SQRT($C$11)*NORMSINV($B718)+SQRT(1-W$9^2*$C$11)*NORMSINV(V718))&lt;W$8,W$5+SQRT(NORMSDIST(W$9*SQRT($C$11)*NORMSINV($B718)+SQRT(1-W$9^2*$C$11)*NORMSINV(V718))*(W$7-W$5)*(W$6-W$5)),W$7-SQRT((1-NORMSDIST(W$9*SQRT($C$11)*NORMSINV($B718)+SQRT(1-W$9^2*$C$11)*NORMSINV(V718)))*(W$7-W$5)*(W$7-W$6))))</f>
        <v>10.5657308233153</v>
      </c>
      <c r="X718" s="2" t="n">
        <v>0.472745726</v>
      </c>
      <c r="Y718" s="2" t="n">
        <f aca="false">IF(Y$7=Y$5,Y$6,IF(NORMSDIST(Y$9*SQRT($C$11)*NORMSINV($B718)+SQRT(1-Y$9^2*$C$11)*NORMSINV(X718))&lt;Y$8,Y$5+SQRT(NORMSDIST(Y$9*SQRT($C$11)*NORMSINV($B718)+SQRT(1-Y$9^2*$C$11)*NORMSINV(X718))*(Y$7-Y$5)*(Y$6-Y$5)),Y$7-SQRT((1-NORMSDIST(Y$9*SQRT($C$11)*NORMSINV($B718)+SQRT(1-Y$9^2*$C$11)*NORMSINV(X718)))*(Y$7-Y$5)*(Y$7-Y$6))))</f>
        <v>0.486181923769282</v>
      </c>
      <c r="Z718" s="2" t="n">
        <v>0.649145379</v>
      </c>
      <c r="AA718" s="2" t="n">
        <f aca="false">IF(AA$7=AA$5,AA$6,IF(NORMSDIST(AA$9*SQRT($C$11)*NORMSINV($B718)+SQRT(1-AA$9^2*$C$11)*NORMSINV(Z718))&lt;AA$8,AA$5+SQRT(NORMSDIST(AA$9*SQRT($C$11)*NORMSINV($B718)+SQRT(1-AA$9^2*$C$11)*NORMSINV(Z718))*(AA$7-AA$5)*(AA$6-AA$5)),AA$7-SQRT((1-NORMSDIST(AA$9*SQRT($C$11)*NORMSINV($B718)+SQRT(1-AA$9^2*$C$11)*NORMSINV(Z718)))*(AA$7-AA$5)*(AA$7-AA$6))))</f>
        <v>0.728080020057717</v>
      </c>
      <c r="AB718" s="2" t="n">
        <v>0.456078826</v>
      </c>
      <c r="AC718" s="2" t="n">
        <f aca="false">IF(AC$7=AC$5,AC$6,IF(NORMSDIST(AC$9*SQRT($C$11)*NORMSINV($B718)+SQRT(1-AC$9^2*$C$11)*NORMSINV(AB718))&lt;AC$8,AC$5+SQRT(NORMSDIST(AC$9*SQRT($C$11)*NORMSINV($B718)+SQRT(1-AC$9^2*$C$11)*NORMSINV(AB718))*(AC$7-AC$5)*(AC$6-AC$5)),AC$7-SQRT((1-NORMSDIST(AC$9*SQRT($C$11)*NORMSINV($B718)+SQRT(1-AC$9^2*$C$11)*NORMSINV(AB718)))*(AC$7-AC$5)*(AC$7-AC$6))))</f>
        <v>9.1439154002545</v>
      </c>
      <c r="AD718" s="2" t="n">
        <f aca="false">Entrées!$C$8*(1+E718)</f>
        <v>7431.04769592418</v>
      </c>
      <c r="AE718" s="2" t="n">
        <f aca="false">I718*Hypothèses!$J$24/12/Hypothèses!$J$19</f>
        <v>97.8918994003972</v>
      </c>
      <c r="AF718" s="2" t="n">
        <f aca="false">Entrées!$C$36*S718*1000</f>
        <v>132.641991433181</v>
      </c>
      <c r="AG718" s="2" t="n">
        <f aca="false">-AF718/W718</f>
        <v>-12.5539817028541</v>
      </c>
      <c r="AH718" s="2" t="n">
        <f aca="false">AD718+AE718+AG718</f>
        <v>7516.38561362172</v>
      </c>
      <c r="AI718" s="2" t="n">
        <f aca="false">Entrées!$C$16-M718+Hypothèses!$J$22*1000-AF718+Hypothèses!$J$23</f>
        <v>22847.4863999459</v>
      </c>
      <c r="AJ718" s="2" t="n">
        <f aca="false">AI718/AH718</f>
        <v>3.03969056065193</v>
      </c>
      <c r="AK718" s="2" t="n">
        <f aca="false">AI718/(AH718+I718*(12-Hypothèses!$J$24)/12/Hypothèses!$J$19)</f>
        <v>3.01167382059441</v>
      </c>
      <c r="AL718" s="2" t="n">
        <f aca="false">(AD718+AG718+I718/Hypothèses!$J$19)*(1+G718)</f>
        <v>8031.52121425471</v>
      </c>
      <c r="AM718" s="2" t="n">
        <f aca="false">Entrées!$C$54*K718/Hypothèses!$J$19</f>
        <v>6.28291933708716</v>
      </c>
      <c r="AN718" s="2" t="n">
        <f aca="false">Y718*1000/AC718</f>
        <v>53.1699936501764</v>
      </c>
      <c r="AO718" s="2" t="n">
        <f aca="false">(Entrées!$C$36*(1-S718)+MAX(0,Entrées!$C$30-Entrées!$C$35-Entrées!$C$36)*U718)*1000</f>
        <v>1162.44031831632</v>
      </c>
      <c r="AP718" s="2" t="n">
        <f aca="false">-AO718/W718</f>
        <v>-110.019868739338</v>
      </c>
      <c r="AQ718" s="2" t="n">
        <f aca="false">AL718+AM718+AN718+AP718</f>
        <v>7980.95425850264</v>
      </c>
      <c r="AR718" s="2" t="n">
        <f aca="false">O718*AQ718-Hypothèses!$J$25/Hypothèses!$J$19</f>
        <v>1308.28555634523</v>
      </c>
      <c r="AS718" s="2" t="n">
        <f aca="false">Entrées!$C$79*(1+Q718)+Hypothèses!$J$20</f>
        <v>1482.4677364274</v>
      </c>
      <c r="AT718" s="2" t="n">
        <f aca="false">AI718-AR718+AS718+Y718*1000-AO718+Hypothèses!$J$23</f>
        <v>22345.410185481</v>
      </c>
      <c r="AU718" s="2" t="n">
        <f aca="false">AT718/AQ718</f>
        <v>2.79984190633282</v>
      </c>
      <c r="AV718" s="2" t="n">
        <f aca="false">Hypothèses!$J$26*AQ718-AT718</f>
        <v>1597.45259002687</v>
      </c>
      <c r="AW718" s="2" t="n">
        <f aca="false">IF(AC718&gt;Hypothèses!$J$26,MAX(0,AV718)/(1-Hypothèses!$J$26/AC718),0)</f>
        <v>2377.46947793553</v>
      </c>
      <c r="AX718" s="2" t="n">
        <f aca="false">AQ718-Entrées!$C$17*1000</f>
        <v>-19.0457414973653</v>
      </c>
      <c r="AY718" s="2" t="n">
        <f aca="false">AI718+(Entrées!$C$244-Entrées!$C$13)</f>
        <v>28594.4863999459</v>
      </c>
      <c r="AZ718" s="2" t="n">
        <f aca="false">AA718*AH718</f>
        <v>5472.53018832724</v>
      </c>
      <c r="BA718" s="2" t="n">
        <f aca="false">AZ718/AY718</f>
        <v>0.191384105025841</v>
      </c>
      <c r="BB718" s="2" t="n">
        <f aca="false">AZ718/(Entrées!$C$151/100)-AY718</f>
        <v>1808.45909076097</v>
      </c>
      <c r="BC718" s="2" t="n">
        <f aca="false">AT718+(Entrées!$C$244-Entrées!$C$13)</f>
        <v>28092.410185481</v>
      </c>
      <c r="BD718" s="2" t="n">
        <f aca="false">AA718*AQ718</f>
        <v>5810.77333661032</v>
      </c>
      <c r="BE718" s="2" t="n">
        <f aca="false">BD718/BC718</f>
        <v>0.206844955567874</v>
      </c>
      <c r="BF718" s="2" t="n">
        <f aca="false">BD718/(Entrées!$C$151/100)-BC718</f>
        <v>4189.66390679852</v>
      </c>
      <c r="BG718" s="2" t="n">
        <f aca="false">MIN(AV718,BF718)</f>
        <v>1597.45259002687</v>
      </c>
      <c r="BH718" s="2" t="n">
        <f aca="false">IF(AC718&gt;Hypothèses!$J$26,MAX(0,BG718)/(1-Hypothèses!$J$26/AC718),0)</f>
        <v>2377.46947793553</v>
      </c>
    </row>
    <row r="719" customFormat="false" ht="15" hidden="false" customHeight="false" outlineLevel="0" collapsed="false">
      <c r="A719" s="2" t="n">
        <v>704</v>
      </c>
      <c r="B719" s="2" t="n">
        <v>0.355933816</v>
      </c>
      <c r="C719" s="2"/>
      <c r="D719" s="2" t="n">
        <v>0.803781303</v>
      </c>
      <c r="E719" s="2" t="n">
        <f aca="false">IF(E$7=E$5,E$6,IF(NORMSDIST(E$9*SQRT($C$11)*NORMSINV($B719)+SQRT(1-E$9^2*$C$11)*NORMSINV(D719))&lt;E$8,E$5+SQRT(NORMSDIST(E$9*SQRT($C$11)*NORMSINV($B719)+SQRT(1-E$9^2*$C$11)*NORMSINV(D719))*(E$7-E$5)*(E$6-E$5)),E$7-SQRT((1-NORMSDIST(E$9*SQRT($C$11)*NORMSINV($B719)+SQRT(1-E$9^2*$C$11)*NORMSINV(D719)))*(E$7-E$5)*(E$7-E$6))))</f>
        <v>0.0559133209563813</v>
      </c>
      <c r="F719" s="2" t="n">
        <v>0.2337214</v>
      </c>
      <c r="G719" s="2" t="n">
        <f aca="false">IF(G$7=G$5,G$6,IF(NORMSDIST(G$9*SQRT($C$11)*NORMSINV($B719)+SQRT(1-G$9^2*$C$11)*NORMSINV(F719))&lt;G$8,G$5+SQRT(NORMSDIST(G$9*SQRT($C$11)*NORMSINV($B719)+SQRT(1-G$9^2*$C$11)*NORMSINV(F719))*(G$7-G$5)*(G$6-G$5)),G$7-SQRT((1-NORMSDIST(G$9*SQRT($C$11)*NORMSINV($B719)+SQRT(1-G$9^2*$C$11)*NORMSINV(F719)))*(G$7-G$5)*(G$7-G$6))))</f>
        <v>0.049787634573456</v>
      </c>
      <c r="H719" s="2" t="n">
        <v>0.810132381</v>
      </c>
      <c r="I719" s="2" t="n">
        <f aca="false">IF(I$7=I$5,I$6,IF(NORMSDIST(I$9*SQRT($C$11)*NORMSINV($B719)+SQRT(1-I$9^2*$C$11)*NORMSINV(H719))&lt;I$8,I$5+SQRT(NORMSDIST(I$9*SQRT($C$11)*NORMSINV($B719)+SQRT(1-I$9^2*$C$11)*NORMSINV(H719))*(I$7-I$5)*(I$6-I$5)),I$7-SQRT((1-NORMSDIST(I$9*SQRT($C$11)*NORMSINV($B719)+SQRT(1-I$9^2*$C$11)*NORMSINV(H719)))*(I$7-I$5)*(I$7-I$6))))</f>
        <v>203.813315952211</v>
      </c>
      <c r="J719" s="2" t="n">
        <v>0.962008332</v>
      </c>
      <c r="K719" s="2" t="n">
        <f aca="false">IF(K$7=K$5,K$6,IF(NORMSDIST(K$9*SQRT($C$11)*NORMSINV($B719)+SQRT(1-K$9^2*$C$11)*NORMSINV(J719))&lt;K$8,K$5+SQRT(NORMSDIST(K$9*SQRT($C$11)*NORMSINV($B719)+SQRT(1-K$9^2*$C$11)*NORMSINV(J719))*(K$7-K$5)*(K$6-K$5)),K$7-SQRT((1-NORMSDIST(K$9*SQRT($C$11)*NORMSINV($B719)+SQRT(1-K$9^2*$C$11)*NORMSINV(J719)))*(K$7-K$5)*(K$7-K$6))))</f>
        <v>0.374027109858471</v>
      </c>
      <c r="L719" s="2" t="n">
        <v>0.462884322</v>
      </c>
      <c r="M719" s="2" t="n">
        <f aca="false">IF(M$7=M$5,M$6,IF(NORMSDIST(M$9*SQRT($C$11)*NORMSINV($B719)+SQRT(1-M$9^2*$C$11)*NORMSINV(L719))&lt;M$8,M$5+SQRT(NORMSDIST(M$9*SQRT($C$11)*NORMSINV($B719)+SQRT(1-M$9^2*$C$11)*NORMSINV(L719))*(M$7-M$5)*(M$6-M$5)),M$7-SQRT((1-NORMSDIST(M$9*SQRT($C$11)*NORMSINV($B719)+SQRT(1-M$9^2*$C$11)*NORMSINV(L719)))*(M$7-M$5)*(M$7-M$6))))</f>
        <v>1549.13847819704</v>
      </c>
      <c r="N719" s="2" t="n">
        <v>0.95716546</v>
      </c>
      <c r="O719" s="2" t="n">
        <f aca="false">IF(O$7=O$5,O$6,IF(NORMSDIST(O$9*SQRT($C$11)*NORMSINV($B719)+SQRT(1-O$9^2*$C$11)*NORMSINV(N719))&lt;O$8,O$5+SQRT(NORMSDIST(O$9*SQRT($C$11)*NORMSINV($B719)+SQRT(1-O$9^2*$C$11)*NORMSINV(N719))*(O$7-O$5)*(O$6-O$5)),O$7-SQRT((1-NORMSDIST(O$9*SQRT($C$11)*NORMSINV($B719)+SQRT(1-O$9^2*$C$11)*NORMSINV(N719)))*(O$7-O$5)*(O$7-O$6))))</f>
        <v>0.177956624350664</v>
      </c>
      <c r="P719" s="2" t="n">
        <v>0.758058184</v>
      </c>
      <c r="Q719" s="2" t="n">
        <f aca="false">IF(Q$7=Q$5,Q$6,IF(NORMSDIST(Q$9*SQRT($C$11)*NORMSINV($B719)+SQRT(1-Q$9^2*$C$11)*NORMSINV(P719))&lt;Q$8,Q$5+SQRT(NORMSDIST(Q$9*SQRT($C$11)*NORMSINV($B719)+SQRT(1-Q$9^2*$C$11)*NORMSINV(P719))*(Q$7-Q$5)*(Q$6-Q$5)),Q$7-SQRT((1-NORMSDIST(Q$9*SQRT($C$11)*NORMSINV($B719)+SQRT(1-Q$9^2*$C$11)*NORMSINV(P719)))*(Q$7-Q$5)*(Q$7-Q$6))))</f>
        <v>0.0921753021364113</v>
      </c>
      <c r="R719" s="2" t="n">
        <v>0.747993456</v>
      </c>
      <c r="S719" s="2" t="n">
        <f aca="false">IF(S$7=S$5,S$6,IF(NORMSDIST(S$9*SQRT($C$11)*NORMSINV($B719)+SQRT(1-S$9^2*$C$11)*NORMSINV(R719))&lt;S$8,S$5+SQRT(NORMSDIST(S$9*SQRT($C$11)*NORMSINV($B719)+SQRT(1-S$9^2*$C$11)*NORMSINV(R719))*(S$7-S$5)*(S$6-S$5)),S$7-SQRT((1-NORMSDIST(S$9*SQRT($C$11)*NORMSINV($B719)+SQRT(1-S$9^2*$C$11)*NORMSINV(R719)))*(S$7-S$5)*(S$7-S$6))))</f>
        <v>0.559424894420717</v>
      </c>
      <c r="T719" s="2" t="n">
        <v>0.490794753</v>
      </c>
      <c r="U719" s="2" t="n">
        <f aca="false">IF(U$7=U$5,U$6,IF(NORMSDIST(U$9*SQRT($C$11)*NORMSINV($B719)+SQRT(1-U$9^2*$C$11)*NORMSINV(T719))&lt;U$8,U$5+SQRT(NORMSDIST(U$9*SQRT($C$11)*NORMSINV($B719)+SQRT(1-U$9^2*$C$11)*NORMSINV(T719))*(U$7-U$5)*(U$6-U$5)),U$7-SQRT((1-NORMSDIST(U$9*SQRT($C$11)*NORMSINV($B719)+SQRT(1-U$9^2*$C$11)*NORMSINV(T719)))*(U$7-U$5)*(U$7-U$6))))</f>
        <v>0.447618579673278</v>
      </c>
      <c r="V719" s="2" t="n">
        <v>0.062921826</v>
      </c>
      <c r="W719" s="2" t="n">
        <f aca="false">IF(W$7=W$5,W$6,IF(NORMSDIST(W$9*SQRT($C$11)*NORMSINV($B719)+SQRT(1-W$9^2*$C$11)*NORMSINV(V719))&lt;W$8,W$5+SQRT(NORMSDIST(W$9*SQRT($C$11)*NORMSINV($B719)+SQRT(1-W$9^2*$C$11)*NORMSINV(V719))*(W$7-W$5)*(W$6-W$5)),W$7-SQRT((1-NORMSDIST(W$9*SQRT($C$11)*NORMSINV($B719)+SQRT(1-W$9^2*$C$11)*NORMSINV(V719)))*(W$7-W$5)*(W$7-W$6))))</f>
        <v>8.78948045049068</v>
      </c>
      <c r="X719" s="2" t="n">
        <v>0.411539524</v>
      </c>
      <c r="Y719" s="2" t="n">
        <f aca="false">IF(Y$7=Y$5,Y$6,IF(NORMSDIST(Y$9*SQRT($C$11)*NORMSINV($B719)+SQRT(1-Y$9^2*$C$11)*NORMSINV(X719))&lt;Y$8,Y$5+SQRT(NORMSDIST(Y$9*SQRT($C$11)*NORMSINV($B719)+SQRT(1-Y$9^2*$C$11)*NORMSINV(X719))*(Y$7-Y$5)*(Y$6-Y$5)),Y$7-SQRT((1-NORMSDIST(Y$9*SQRT($C$11)*NORMSINV($B719)+SQRT(1-Y$9^2*$C$11)*NORMSINV(X719)))*(Y$7-Y$5)*(Y$7-Y$6))))</f>
        <v>0.453618520345014</v>
      </c>
      <c r="Z719" s="2" t="n">
        <v>0.95462727</v>
      </c>
      <c r="AA719" s="2" t="n">
        <f aca="false">IF(AA$7=AA$5,AA$6,IF(NORMSDIST(AA$9*SQRT($C$11)*NORMSINV($B719)+SQRT(1-AA$9^2*$C$11)*NORMSINV(Z719))&lt;AA$8,AA$5+SQRT(NORMSDIST(AA$9*SQRT($C$11)*NORMSINV($B719)+SQRT(1-AA$9^2*$C$11)*NORMSINV(Z719))*(AA$7-AA$5)*(AA$6-AA$5)),AA$7-SQRT((1-NORMSDIST(AA$9*SQRT($C$11)*NORMSINV($B719)+SQRT(1-AA$9^2*$C$11)*NORMSINV(Z719)))*(AA$7-AA$5)*(AA$7-AA$6))))</f>
        <v>0.740416610976093</v>
      </c>
      <c r="AB719" s="2" t="n">
        <v>0.699286847</v>
      </c>
      <c r="AC719" s="2" t="n">
        <f aca="false">IF(AC$7=AC$5,AC$6,IF(NORMSDIST(AC$9*SQRT($C$11)*NORMSINV($B719)+SQRT(1-AC$9^2*$C$11)*NORMSINV(AB719))&lt;AC$8,AC$5+SQRT(NORMSDIST(AC$9*SQRT($C$11)*NORMSINV($B719)+SQRT(1-AC$9^2*$C$11)*NORMSINV(AB719))*(AC$7-AC$5)*(AC$6-AC$5)),AC$7-SQRT((1-NORMSDIST(AC$9*SQRT($C$11)*NORMSINV($B719)+SQRT(1-AC$9^2*$C$11)*NORMSINV(AB719)))*(AC$7-AC$5)*(AC$7-AC$6))))</f>
        <v>9.61508497906349</v>
      </c>
      <c r="AD719" s="2" t="n">
        <f aca="false">Entrées!$C$8*(1+E719)</f>
        <v>7444.18891274249</v>
      </c>
      <c r="AE719" s="2" t="n">
        <f aca="false">I719*Hypothèses!$J$24/12/Hypothèses!$J$19</f>
        <v>101.111133713997</v>
      </c>
      <c r="AF719" s="2" t="n">
        <f aca="false">Entrées!$C$36*S719*1000</f>
        <v>279.712447210358</v>
      </c>
      <c r="AG719" s="2" t="n">
        <f aca="false">-AF719/W719</f>
        <v>-31.8235473400186</v>
      </c>
      <c r="AH719" s="2" t="n">
        <f aca="false">AD719+AE719+AG719</f>
        <v>7513.47649911647</v>
      </c>
      <c r="AI719" s="2" t="n">
        <f aca="false">Entrées!$C$16-M719+Hypothèses!$J$22*1000-AF719+Hypothèses!$J$23</f>
        <v>22719.1490745926</v>
      </c>
      <c r="AJ719" s="2" t="n">
        <f aca="false">AI719/AH719</f>
        <v>3.02378653573538</v>
      </c>
      <c r="AK719" s="2" t="n">
        <f aca="false">AI719/(AH719+I719*(12-Hypothèses!$J$24)/12/Hypothèses!$J$19)</f>
        <v>2.99499754219467</v>
      </c>
      <c r="AL719" s="2" t="n">
        <f aca="false">(AD719+AG719+I719/Hypothèses!$J$19)*(1+G719)</f>
        <v>7963.37273420977</v>
      </c>
      <c r="AM719" s="2" t="n">
        <f aca="false">Entrées!$C$54*K719/Hypothèses!$J$19</f>
        <v>38.1710369994072</v>
      </c>
      <c r="AN719" s="2" t="n">
        <f aca="false">Y719*1000/AC719</f>
        <v>47.1777962787383</v>
      </c>
      <c r="AO719" s="2" t="n">
        <f aca="false">(Entrées!$C$36*(1-S719)+MAX(0,Entrées!$C$30-Entrées!$C$35-Entrées!$C$36)*U719)*1000</f>
        <v>846.953564332231</v>
      </c>
      <c r="AP719" s="2" t="n">
        <f aca="false">-AO719/W719</f>
        <v>-96.3599121817205</v>
      </c>
      <c r="AQ719" s="2" t="n">
        <f aca="false">AL719+AM719+AN719+AP719</f>
        <v>7952.36165530619</v>
      </c>
      <c r="AR719" s="2" t="n">
        <f aca="false">O719*AQ719-Hypothèses!$J$25/Hypothèses!$J$19</f>
        <v>1396.04027353232</v>
      </c>
      <c r="AS719" s="2" t="n">
        <f aca="false">Entrées!$C$79*(1+Q719)+Hypothèses!$J$20</f>
        <v>1495.30065704792</v>
      </c>
      <c r="AT719" s="2" t="n">
        <f aca="false">AI719-AR719+AS719+Y719*1000-AO719+Hypothèses!$J$23</f>
        <v>22425.074414121</v>
      </c>
      <c r="AU719" s="2" t="n">
        <f aca="false">AT719/AQ719</f>
        <v>2.81992637987709</v>
      </c>
      <c r="AV719" s="2" t="n">
        <f aca="false">Hypothèses!$J$26*AQ719-AT719</f>
        <v>1432.0105517976</v>
      </c>
      <c r="AW719" s="2" t="n">
        <f aca="false">IF(AC719&gt;Hypothèses!$J$26,MAX(0,AV719)/(1-Hypothèses!$J$26/AC719),0)</f>
        <v>2081.44010092502</v>
      </c>
      <c r="AX719" s="2" t="n">
        <f aca="false">AQ719-Entrées!$C$17*1000</f>
        <v>-47.6383446938062</v>
      </c>
      <c r="AY719" s="2" t="n">
        <f aca="false">AI719+(Entrées!$C$244-Entrées!$C$13)</f>
        <v>28466.1490745926</v>
      </c>
      <c r="AZ719" s="2" t="n">
        <f aca="false">AA719*AH719</f>
        <v>5563.10280612433</v>
      </c>
      <c r="BA719" s="2" t="n">
        <f aca="false">AZ719/AY719</f>
        <v>0.195428710485103</v>
      </c>
      <c r="BB719" s="2" t="n">
        <f aca="false">AZ719/(Entrées!$C$151/100)-AY719</f>
        <v>2439.97762609812</v>
      </c>
      <c r="BC719" s="2" t="n">
        <f aca="false">AT719+(Entrées!$C$244-Entrées!$C$13)</f>
        <v>28172.074414121</v>
      </c>
      <c r="BD719" s="2" t="n">
        <f aca="false">AA719*AQ719</f>
        <v>5888.06066607804</v>
      </c>
      <c r="BE719" s="2" t="n">
        <f aca="false">BD719/BC719</f>
        <v>0.209003447155695</v>
      </c>
      <c r="BF719" s="2" t="n">
        <f aca="false">BD719/(Entrées!$C$151/100)-BC719</f>
        <v>4539.37373075702</v>
      </c>
      <c r="BG719" s="2" t="n">
        <f aca="false">MIN(AV719,BF719)</f>
        <v>1432.0105517976</v>
      </c>
      <c r="BH719" s="2" t="n">
        <f aca="false">IF(AC719&gt;Hypothèses!$J$26,MAX(0,BG719)/(1-Hypothèses!$J$26/AC719),0)</f>
        <v>2081.44010092502</v>
      </c>
    </row>
    <row r="720" customFormat="false" ht="15" hidden="false" customHeight="false" outlineLevel="0" collapsed="false">
      <c r="A720" s="2" t="n">
        <v>705</v>
      </c>
      <c r="B720" s="2" t="n">
        <v>0.30343179</v>
      </c>
      <c r="C720" s="2"/>
      <c r="D720" s="2" t="n">
        <v>0.513540982</v>
      </c>
      <c r="E720" s="2" t="n">
        <f aca="false">IF(E$7=E$5,E$6,IF(NORMSDIST(E$9*SQRT($C$11)*NORMSINV($B720)+SQRT(1-E$9^2*$C$11)*NORMSINV(D720))&lt;E$8,E$5+SQRT(NORMSDIST(E$9*SQRT($C$11)*NORMSINV($B720)+SQRT(1-E$9^2*$C$11)*NORMSINV(D720))*(E$7-E$5)*(E$6-E$5)),E$7-SQRT((1-NORMSDIST(E$9*SQRT($C$11)*NORMSINV($B720)+SQRT(1-E$9^2*$C$11)*NORMSINV(D720)))*(E$7-E$5)*(E$7-E$6))))</f>
        <v>0.0543727437929013</v>
      </c>
      <c r="F720" s="2" t="n">
        <v>0.845497744</v>
      </c>
      <c r="G720" s="2" t="n">
        <f aca="false">IF(G$7=G$5,G$6,IF(NORMSDIST(G$9*SQRT($C$11)*NORMSINV($B720)+SQRT(1-G$9^2*$C$11)*NORMSINV(F720))&lt;G$8,G$5+SQRT(NORMSDIST(G$9*SQRT($C$11)*NORMSINV($B720)+SQRT(1-G$9^2*$C$11)*NORMSINV(F720))*(G$7-G$5)*(G$6-G$5)),G$7-SQRT((1-NORMSDIST(G$9*SQRT($C$11)*NORMSINV($B720)+SQRT(1-G$9^2*$C$11)*NORMSINV(F720)))*(G$7-G$5)*(G$7-G$6))))</f>
        <v>0.0579656437950363</v>
      </c>
      <c r="H720" s="2" t="n">
        <v>0.217684804</v>
      </c>
      <c r="I720" s="2" t="n">
        <f aca="false">IF(I$7=I$5,I$6,IF(NORMSDIST(I$9*SQRT($C$11)*NORMSINV($B720)+SQRT(1-I$9^2*$C$11)*NORMSINV(H720))&lt;I$8,I$5+SQRT(NORMSDIST(I$9*SQRT($C$11)*NORMSINV($B720)+SQRT(1-I$9^2*$C$11)*NORMSINV(H720))*(I$7-I$5)*(I$6-I$5)),I$7-SQRT((1-NORMSDIST(I$9*SQRT($C$11)*NORMSINV($B720)+SQRT(1-I$9^2*$C$11)*NORMSINV(H720)))*(I$7-I$5)*(I$7-I$6))))</f>
        <v>191.87525013393</v>
      </c>
      <c r="J720" s="2" t="n">
        <v>0.45892972</v>
      </c>
      <c r="K720" s="2" t="n">
        <f aca="false">IF(K$7=K$5,K$6,IF(NORMSDIST(K$9*SQRT($C$11)*NORMSINV($B720)+SQRT(1-K$9^2*$C$11)*NORMSINV(J720))&lt;K$8,K$5+SQRT(NORMSDIST(K$9*SQRT($C$11)*NORMSINV($B720)+SQRT(1-K$9^2*$C$11)*NORMSINV(J720))*(K$7-K$5)*(K$6-K$5)),K$7-SQRT((1-NORMSDIST(K$9*SQRT($C$11)*NORMSINV($B720)+SQRT(1-K$9^2*$C$11)*NORMSINV(J720)))*(K$7-K$5)*(K$7-K$6))))</f>
        <v>0.206948625525938</v>
      </c>
      <c r="L720" s="2" t="n">
        <v>0.001403633</v>
      </c>
      <c r="M720" s="2" t="n">
        <f aca="false">IF(M$7=M$5,M$6,IF(NORMSDIST(M$9*SQRT($C$11)*NORMSINV($B720)+SQRT(1-M$9^2*$C$11)*NORMSINV(L720))&lt;M$8,M$5+SQRT(NORMSDIST(M$9*SQRT($C$11)*NORMSINV($B720)+SQRT(1-M$9^2*$C$11)*NORMSINV(L720))*(M$7-M$5)*(M$6-M$5)),M$7-SQRT((1-NORMSDIST(M$9*SQRT($C$11)*NORMSINV($B720)+SQRT(1-M$9^2*$C$11)*NORMSINV(L720)))*(M$7-M$5)*(M$7-M$6))))</f>
        <v>1328.8906933078</v>
      </c>
      <c r="N720" s="2" t="n">
        <v>0.956405562</v>
      </c>
      <c r="O720" s="2" t="n">
        <f aca="false">IF(O$7=O$5,O$6,IF(NORMSDIST(O$9*SQRT($C$11)*NORMSINV($B720)+SQRT(1-O$9^2*$C$11)*NORMSINV(N720))&lt;O$8,O$5+SQRT(NORMSDIST(O$9*SQRT($C$11)*NORMSINV($B720)+SQRT(1-O$9^2*$C$11)*NORMSINV(N720))*(O$7-O$5)*(O$6-O$5)),O$7-SQRT((1-NORMSDIST(O$9*SQRT($C$11)*NORMSINV($B720)+SQRT(1-O$9^2*$C$11)*NORMSINV(N720)))*(O$7-O$5)*(O$7-O$6))))</f>
        <v>0.176994668849714</v>
      </c>
      <c r="P720" s="2" t="n">
        <v>0.934033466</v>
      </c>
      <c r="Q720" s="2" t="n">
        <f aca="false">IF(Q$7=Q$5,Q$6,IF(NORMSDIST(Q$9*SQRT($C$11)*NORMSINV($B720)+SQRT(1-Q$9^2*$C$11)*NORMSINV(P720))&lt;Q$8,Q$5+SQRT(NORMSDIST(Q$9*SQRT($C$11)*NORMSINV($B720)+SQRT(1-Q$9^2*$C$11)*NORMSINV(P720))*(Q$7-Q$5)*(Q$6-Q$5)),Q$7-SQRT((1-NORMSDIST(Q$9*SQRT($C$11)*NORMSINV($B720)+SQRT(1-Q$9^2*$C$11)*NORMSINV(P720)))*(Q$7-Q$5)*(Q$7-Q$6))))</f>
        <v>0.105470963252851</v>
      </c>
      <c r="R720" s="2" t="n">
        <v>0.862555083</v>
      </c>
      <c r="S720" s="2" t="n">
        <f aca="false">IF(S$7=S$5,S$6,IF(NORMSDIST(S$9*SQRT($C$11)*NORMSINV($B720)+SQRT(1-S$9^2*$C$11)*NORMSINV(R720))&lt;S$8,S$5+SQRT(NORMSDIST(S$9*SQRT($C$11)*NORMSINV($B720)+SQRT(1-S$9^2*$C$11)*NORMSINV(R720))*(S$7-S$5)*(S$6-S$5)),S$7-SQRT((1-NORMSDIST(S$9*SQRT($C$11)*NORMSINV($B720)+SQRT(1-S$9^2*$C$11)*NORMSINV(R720)))*(S$7-S$5)*(S$7-S$6))))</f>
        <v>0.611787316498513</v>
      </c>
      <c r="T720" s="2" t="n">
        <v>0.955261673</v>
      </c>
      <c r="U720" s="2" t="n">
        <f aca="false">IF(U$7=U$5,U$6,IF(NORMSDIST(U$9*SQRT($C$11)*NORMSINV($B720)+SQRT(1-U$9^2*$C$11)*NORMSINV(T720))&lt;U$8,U$5+SQRT(NORMSDIST(U$9*SQRT($C$11)*NORMSINV($B720)+SQRT(1-U$9^2*$C$11)*NORMSINV(T720))*(U$7-U$5)*(U$6-U$5)),U$7-SQRT((1-NORMSDIST(U$9*SQRT($C$11)*NORMSINV($B720)+SQRT(1-U$9^2*$C$11)*NORMSINV(T720)))*(U$7-U$5)*(U$7-U$6))))</f>
        <v>0.71618931349941</v>
      </c>
      <c r="V720" s="2" t="n">
        <v>0.816300016</v>
      </c>
      <c r="W720" s="2" t="n">
        <f aca="false">IF(W$7=W$5,W$6,IF(NORMSDIST(W$9*SQRT($C$11)*NORMSINV($B720)+SQRT(1-W$9^2*$C$11)*NORMSINV(V720))&lt;W$8,W$5+SQRT(NORMSDIST(W$9*SQRT($C$11)*NORMSINV($B720)+SQRT(1-W$9^2*$C$11)*NORMSINV(V720))*(W$7-W$5)*(W$6-W$5)),W$7-SQRT((1-NORMSDIST(W$9*SQRT($C$11)*NORMSINV($B720)+SQRT(1-W$9^2*$C$11)*NORMSINV(V720)))*(W$7-W$5)*(W$7-W$6))))</f>
        <v>10.3155622126679</v>
      </c>
      <c r="X720" s="2" t="n">
        <v>0.185619453</v>
      </c>
      <c r="Y720" s="2" t="n">
        <f aca="false">IF(Y$7=Y$5,Y$6,IF(NORMSDIST(Y$9*SQRT($C$11)*NORMSINV($B720)+SQRT(1-Y$9^2*$C$11)*NORMSINV(X720))&lt;Y$8,Y$5+SQRT(NORMSDIST(Y$9*SQRT($C$11)*NORMSINV($B720)+SQRT(1-Y$9^2*$C$11)*NORMSINV(X720))*(Y$7-Y$5)*(Y$6-Y$5)),Y$7-SQRT((1-NORMSDIST(Y$9*SQRT($C$11)*NORMSINV($B720)+SQRT(1-Y$9^2*$C$11)*NORMSINV(X720)))*(Y$7-Y$5)*(Y$7-Y$6))))</f>
        <v>0.304646888216506</v>
      </c>
      <c r="Z720" s="2" t="n">
        <v>0.657346409</v>
      </c>
      <c r="AA720" s="2" t="n">
        <f aca="false">IF(AA$7=AA$5,AA$6,IF(NORMSDIST(AA$9*SQRT($C$11)*NORMSINV($B720)+SQRT(1-AA$9^2*$C$11)*NORMSINV(Z720))&lt;AA$8,AA$5+SQRT(NORMSDIST(AA$9*SQRT($C$11)*NORMSINV($B720)+SQRT(1-AA$9^2*$C$11)*NORMSINV(Z720))*(AA$7-AA$5)*(AA$6-AA$5)),AA$7-SQRT((1-NORMSDIST(AA$9*SQRT($C$11)*NORMSINV($B720)+SQRT(1-AA$9^2*$C$11)*NORMSINV(Z720)))*(AA$7-AA$5)*(AA$7-AA$6))))</f>
        <v>0.727900308980154</v>
      </c>
      <c r="AB720" s="2" t="n">
        <v>0.773576154</v>
      </c>
      <c r="AC720" s="2" t="n">
        <f aca="false">IF(AC$7=AC$5,AC$6,IF(NORMSDIST(AC$9*SQRT($C$11)*NORMSINV($B720)+SQRT(1-AC$9^2*$C$11)*NORMSINV(AB720))&lt;AC$8,AC$5+SQRT(NORMSDIST(AC$9*SQRT($C$11)*NORMSINV($B720)+SQRT(1-AC$9^2*$C$11)*NORMSINV(AB720))*(AC$7-AC$5)*(AC$6-AC$5)),AC$7-SQRT((1-NORMSDIST(AC$9*SQRT($C$11)*NORMSINV($B720)+SQRT(1-AC$9^2*$C$11)*NORMSINV(AB720)))*(AC$7-AC$5)*(AC$7-AC$6))))</f>
        <v>9.67881057484993</v>
      </c>
      <c r="AD720" s="2" t="n">
        <f aca="false">Entrées!$C$8*(1+E720)</f>
        <v>7433.32784373996</v>
      </c>
      <c r="AE720" s="2" t="n">
        <f aca="false">I720*Hypothèses!$J$24/12/Hypothèses!$J$19</f>
        <v>95.1886974708136</v>
      </c>
      <c r="AF720" s="2" t="n">
        <f aca="false">Entrées!$C$36*S720*1000</f>
        <v>305.893658249256</v>
      </c>
      <c r="AG720" s="2" t="n">
        <f aca="false">-AF720/W720</f>
        <v>-29.653609948046</v>
      </c>
      <c r="AH720" s="2" t="n">
        <f aca="false">AD720+AE720+AG720</f>
        <v>7498.86293126272</v>
      </c>
      <c r="AI720" s="2" t="n">
        <f aca="false">Entrées!$C$16-M720+Hypothèses!$J$22*1000-AF720+Hypothèses!$J$23</f>
        <v>22913.2156484429</v>
      </c>
      <c r="AJ720" s="2" t="n">
        <f aca="false">AI720/AH720</f>
        <v>3.05555867049094</v>
      </c>
      <c r="AK720" s="2" t="n">
        <f aca="false">AI720/(AH720+I720*(12-Hypothèses!$J$24)/12/Hypothèses!$J$19)</f>
        <v>3.02810296726315</v>
      </c>
      <c r="AL720" s="2" t="n">
        <f aca="false">(AD720+AG720+I720/Hypothèses!$J$19)*(1+G720)</f>
        <v>8005.47247137676</v>
      </c>
      <c r="AM720" s="2" t="n">
        <f aca="false">Entrées!$C$54*K720/Hypothèses!$J$19</f>
        <v>21.1199761560496</v>
      </c>
      <c r="AN720" s="2" t="n">
        <f aca="false">Y720*1000/AC720</f>
        <v>31.4756535279366</v>
      </c>
      <c r="AO720" s="2" t="n">
        <f aca="false">(Entrées!$C$36*(1-S720)+MAX(0,Entrées!$C$30-Entrées!$C$35-Entrées!$C$36)*U720)*1000</f>
        <v>1196.77138064992</v>
      </c>
      <c r="AP720" s="2" t="n">
        <f aca="false">-AO720/W720</f>
        <v>-116.016108087666</v>
      </c>
      <c r="AQ720" s="2" t="n">
        <f aca="false">AL720+AM720+AN720+AP720</f>
        <v>7942.05199297308</v>
      </c>
      <c r="AR720" s="2" t="n">
        <f aca="false">O720*AQ720-Hypothèses!$J$25/Hypothèses!$J$19</f>
        <v>1386.56570022185</v>
      </c>
      <c r="AS720" s="2" t="n">
        <f aca="false">Entrées!$C$79*(1+Q720)+Hypothèses!$J$20</f>
        <v>1509.91258861488</v>
      </c>
      <c r="AT720" s="2" t="n">
        <f aca="false">AI720-AR720+AS720+Y720*1000-AO720+Hypothèses!$J$23</f>
        <v>22144.4380444026</v>
      </c>
      <c r="AU720" s="2" t="n">
        <f aca="false">AT720/AQ720</f>
        <v>2.78825145743133</v>
      </c>
      <c r="AV720" s="2" t="n">
        <f aca="false">Hypothèses!$J$26*AQ720-AT720</f>
        <v>1681.71793451666</v>
      </c>
      <c r="AW720" s="2" t="n">
        <f aca="false">IF(AC720&gt;Hypothèses!$J$26,MAX(0,AV720)/(1-Hypothèses!$J$26/AC720),0)</f>
        <v>2437.11498418719</v>
      </c>
      <c r="AX720" s="2" t="n">
        <f aca="false">AQ720-Entrées!$C$17*1000</f>
        <v>-57.9480070269246</v>
      </c>
      <c r="AY720" s="2" t="n">
        <f aca="false">AI720+(Entrées!$C$244-Entrées!$C$13)</f>
        <v>28660.2156484429</v>
      </c>
      <c r="AZ720" s="2" t="n">
        <f aca="false">AA720*AH720</f>
        <v>5458.42464466596</v>
      </c>
      <c r="BA720" s="2" t="n">
        <f aca="false">AZ720/AY720</f>
        <v>0.190453020717676</v>
      </c>
      <c r="BB720" s="2" t="n">
        <f aca="false">AZ720/(Entrées!$C$151/100)-AY720</f>
        <v>1664.3657108124</v>
      </c>
      <c r="BC720" s="2" t="n">
        <f aca="false">AT720+(Entrées!$C$244-Entrées!$C$13)</f>
        <v>27891.4380444026</v>
      </c>
      <c r="BD720" s="2" t="n">
        <f aca="false">AA720*AQ720</f>
        <v>5781.02209962155</v>
      </c>
      <c r="BE720" s="2" t="n">
        <f aca="false">BD720/BC720</f>
        <v>0.207268699821726</v>
      </c>
      <c r="BF720" s="2" t="n">
        <f aca="false">BD720/(Entrées!$C$151/100)-BC720</f>
        <v>4225.35139793939</v>
      </c>
      <c r="BG720" s="2" t="n">
        <f aca="false">MIN(AV720,BF720)</f>
        <v>1681.71793451666</v>
      </c>
      <c r="BH720" s="2" t="n">
        <f aca="false">IF(AC720&gt;Hypothèses!$J$26,MAX(0,BG720)/(1-Hypothèses!$J$26/AC720),0)</f>
        <v>2437.11498418719</v>
      </c>
    </row>
    <row r="721" customFormat="false" ht="15" hidden="false" customHeight="false" outlineLevel="0" collapsed="false">
      <c r="A721" s="2" t="n">
        <v>706</v>
      </c>
      <c r="B721" s="2" t="n">
        <v>0.545826725</v>
      </c>
      <c r="C721" s="2"/>
      <c r="D721" s="2" t="n">
        <v>0.235521732</v>
      </c>
      <c r="E721" s="2" t="n">
        <f aca="false">IF(E$7=E$5,E$6,IF(NORMSDIST(E$9*SQRT($C$11)*NORMSINV($B721)+SQRT(1-E$9^2*$C$11)*NORMSINV(D721))&lt;E$8,E$5+SQRT(NORMSDIST(E$9*SQRT($C$11)*NORMSINV($B721)+SQRT(1-E$9^2*$C$11)*NORMSINV(D721))*(E$7-E$5)*(E$6-E$5)),E$7-SQRT((1-NORMSDIST(E$9*SQRT($C$11)*NORMSINV($B721)+SQRT(1-E$9^2*$C$11)*NORMSINV(D721)))*(E$7-E$5)*(E$7-E$6))))</f>
        <v>0.0539601720226888</v>
      </c>
      <c r="F721" s="2" t="n">
        <v>0.902322091</v>
      </c>
      <c r="G721" s="2" t="n">
        <f aca="false">IF(G$7=G$5,G$6,IF(NORMSDIST(G$9*SQRT($C$11)*NORMSINV($B721)+SQRT(1-G$9^2*$C$11)*NORMSINV(F721))&lt;G$8,G$5+SQRT(NORMSDIST(G$9*SQRT($C$11)*NORMSINV($B721)+SQRT(1-G$9^2*$C$11)*NORMSINV(F721))*(G$7-G$5)*(G$6-G$5)),G$7-SQRT((1-NORMSDIST(G$9*SQRT($C$11)*NORMSINV($B721)+SQRT(1-G$9^2*$C$11)*NORMSINV(F721)))*(G$7-G$5)*(G$7-G$6))))</f>
        <v>0.0620344268057382</v>
      </c>
      <c r="H721" s="2" t="n">
        <v>0.03863925</v>
      </c>
      <c r="I721" s="2" t="n">
        <f aca="false">IF(I$7=I$5,I$6,IF(NORMSDIST(I$9*SQRT($C$11)*NORMSINV($B721)+SQRT(1-I$9^2*$C$11)*NORMSINV(H721))&lt;I$8,I$5+SQRT(NORMSDIST(I$9*SQRT($C$11)*NORMSINV($B721)+SQRT(1-I$9^2*$C$11)*NORMSINV(H721))*(I$7-I$5)*(I$6-I$5)),I$7-SQRT((1-NORMSDIST(I$9*SQRT($C$11)*NORMSINV($B721)+SQRT(1-I$9^2*$C$11)*NORMSINV(H721)))*(I$7-I$5)*(I$7-I$6))))</f>
        <v>188.833789861744</v>
      </c>
      <c r="J721" s="2" t="n">
        <v>0.966445726</v>
      </c>
      <c r="K721" s="2" t="n">
        <f aca="false">IF(K$7=K$5,K$6,IF(NORMSDIST(K$9*SQRT($C$11)*NORMSINV($B721)+SQRT(1-K$9^2*$C$11)*NORMSINV(J721))&lt;K$8,K$5+SQRT(NORMSDIST(K$9*SQRT($C$11)*NORMSINV($B721)+SQRT(1-K$9^2*$C$11)*NORMSINV(J721))*(K$7-K$5)*(K$6-K$5)),K$7-SQRT((1-NORMSDIST(K$9*SQRT($C$11)*NORMSINV($B721)+SQRT(1-K$9^2*$C$11)*NORMSINV(J721)))*(K$7-K$5)*(K$7-K$6))))</f>
        <v>0.407822591979641</v>
      </c>
      <c r="L721" s="2" t="n">
        <v>0.238730949</v>
      </c>
      <c r="M721" s="2" t="n">
        <f aca="false">IF(M$7=M$5,M$6,IF(NORMSDIST(M$9*SQRT($C$11)*NORMSINV($B721)+SQRT(1-M$9^2*$C$11)*NORMSINV(L721))&lt;M$8,M$5+SQRT(NORMSDIST(M$9*SQRT($C$11)*NORMSINV($B721)+SQRT(1-M$9^2*$C$11)*NORMSINV(L721))*(M$7-M$5)*(M$6-M$5)),M$7-SQRT((1-NORMSDIST(M$9*SQRT($C$11)*NORMSINV($B721)+SQRT(1-M$9^2*$C$11)*NORMSINV(L721)))*(M$7-M$5)*(M$7-M$6))))</f>
        <v>1527.68979460453</v>
      </c>
      <c r="N721" s="2" t="n">
        <v>0.743002088</v>
      </c>
      <c r="O721" s="2" t="n">
        <f aca="false">IF(O$7=O$5,O$6,IF(NORMSDIST(O$9*SQRT($C$11)*NORMSINV($B721)+SQRT(1-O$9^2*$C$11)*NORMSINV(N721))&lt;O$8,O$5+SQRT(NORMSDIST(O$9*SQRT($C$11)*NORMSINV($B721)+SQRT(1-O$9^2*$C$11)*NORMSINV(N721))*(O$7-O$5)*(O$6-O$5)),O$7-SQRT((1-NORMSDIST(O$9*SQRT($C$11)*NORMSINV($B721)+SQRT(1-O$9^2*$C$11)*NORMSINV(N721)))*(O$7-O$5)*(O$7-O$6))))</f>
        <v>0.172683275877667</v>
      </c>
      <c r="P721" s="2" t="n">
        <v>0.829870471</v>
      </c>
      <c r="Q721" s="2" t="n">
        <f aca="false">IF(Q$7=Q$5,Q$6,IF(NORMSDIST(Q$9*SQRT($C$11)*NORMSINV($B721)+SQRT(1-Q$9^2*$C$11)*NORMSINV(P721))&lt;Q$8,Q$5+SQRT(NORMSDIST(Q$9*SQRT($C$11)*NORMSINV($B721)+SQRT(1-Q$9^2*$C$11)*NORMSINV(P721))*(Q$7-Q$5)*(Q$6-Q$5)),Q$7-SQRT((1-NORMSDIST(Q$9*SQRT($C$11)*NORMSINV($B721)+SQRT(1-Q$9^2*$C$11)*NORMSINV(P721)))*(Q$7-Q$5)*(Q$7-Q$6))))</f>
        <v>0.0966673084964465</v>
      </c>
      <c r="R721" s="2" t="n">
        <v>0.049466281</v>
      </c>
      <c r="S721" s="2" t="n">
        <f aca="false">IF(S$7=S$5,S$6,IF(NORMSDIST(S$9*SQRT($C$11)*NORMSINV($B721)+SQRT(1-S$9^2*$C$11)*NORMSINV(R721))&lt;S$8,S$5+SQRT(NORMSDIST(S$9*SQRT($C$11)*NORMSINV($B721)+SQRT(1-S$9^2*$C$11)*NORMSINV(R721))*(S$7-S$5)*(S$6-S$5)),S$7-SQRT((1-NORMSDIST(S$9*SQRT($C$11)*NORMSINV($B721)+SQRT(1-S$9^2*$C$11)*NORMSINV(R721)))*(S$7-S$5)*(S$7-S$6))))</f>
        <v>0.238789963936247</v>
      </c>
      <c r="T721" s="2" t="n">
        <v>0.553594301</v>
      </c>
      <c r="U721" s="2" t="n">
        <f aca="false">IF(U$7=U$5,U$6,IF(NORMSDIST(U$9*SQRT($C$11)*NORMSINV($B721)+SQRT(1-U$9^2*$C$11)*NORMSINV(T721))&lt;U$8,U$5+SQRT(NORMSDIST(U$9*SQRT($C$11)*NORMSINV($B721)+SQRT(1-U$9^2*$C$11)*NORMSINV(T721))*(U$7-U$5)*(U$6-U$5)),U$7-SQRT((1-NORMSDIST(U$9*SQRT($C$11)*NORMSINV($B721)+SQRT(1-U$9^2*$C$11)*NORMSINV(T721)))*(U$7-U$5)*(U$7-U$6))))</f>
        <v>0.536491047093407</v>
      </c>
      <c r="V721" s="2" t="n">
        <v>0.86334203</v>
      </c>
      <c r="W721" s="2" t="n">
        <f aca="false">IF(W$7=W$5,W$6,IF(NORMSDIST(W$9*SQRT($C$11)*NORMSINV($B721)+SQRT(1-W$9^2*$C$11)*NORMSINV(V721))&lt;W$8,W$5+SQRT(NORMSDIST(W$9*SQRT($C$11)*NORMSINV($B721)+SQRT(1-W$9^2*$C$11)*NORMSINV(V721))*(W$7-W$5)*(W$6-W$5)),W$7-SQRT((1-NORMSDIST(W$9*SQRT($C$11)*NORMSINV($B721)+SQRT(1-W$9^2*$C$11)*NORMSINV(V721)))*(W$7-W$5)*(W$7-W$6))))</f>
        <v>10.8052312774341</v>
      </c>
      <c r="X721" s="2" t="n">
        <v>0.669611067</v>
      </c>
      <c r="Y721" s="2" t="n">
        <f aca="false">IF(Y$7=Y$5,Y$6,IF(NORMSDIST(Y$9*SQRT($C$11)*NORMSINV($B721)+SQRT(1-Y$9^2*$C$11)*NORMSINV(X721))&lt;Y$8,Y$5+SQRT(NORMSDIST(Y$9*SQRT($C$11)*NORMSINV($B721)+SQRT(1-Y$9^2*$C$11)*NORMSINV(X721))*(Y$7-Y$5)*(Y$6-Y$5)),Y$7-SQRT((1-NORMSDIST(Y$9*SQRT($C$11)*NORMSINV($B721)+SQRT(1-Y$9^2*$C$11)*NORMSINV(X721)))*(Y$7-Y$5)*(Y$7-Y$6))))</f>
        <v>0.593558778542333</v>
      </c>
      <c r="Z721" s="2" t="n">
        <v>0.814772599</v>
      </c>
      <c r="AA721" s="2" t="n">
        <f aca="false">IF(AA$7=AA$5,AA$6,IF(NORMSDIST(AA$9*SQRT($C$11)*NORMSINV($B721)+SQRT(1-AA$9^2*$C$11)*NORMSINV(Z721))&lt;AA$8,AA$5+SQRT(NORMSDIST(AA$9*SQRT($C$11)*NORMSINV($B721)+SQRT(1-AA$9^2*$C$11)*NORMSINV(Z721))*(AA$7-AA$5)*(AA$6-AA$5)),AA$7-SQRT((1-NORMSDIST(AA$9*SQRT($C$11)*NORMSINV($B721)+SQRT(1-AA$9^2*$C$11)*NORMSINV(Z721)))*(AA$7-AA$5)*(AA$7-AA$6))))</f>
        <v>0.736990407022561</v>
      </c>
      <c r="AB721" s="2" t="n">
        <v>0.47664567</v>
      </c>
      <c r="AC721" s="2" t="n">
        <f aca="false">IF(AC$7=AC$5,AC$6,IF(NORMSDIST(AC$9*SQRT($C$11)*NORMSINV($B721)+SQRT(1-AC$9^2*$C$11)*NORMSINV(AB721))&lt;AC$8,AC$5+SQRT(NORMSDIST(AC$9*SQRT($C$11)*NORMSINV($B721)+SQRT(1-AC$9^2*$C$11)*NORMSINV(AB721))*(AC$7-AC$5)*(AC$6-AC$5)),AC$7-SQRT((1-NORMSDIST(AC$9*SQRT($C$11)*NORMSINV($B721)+SQRT(1-AC$9^2*$C$11)*NORMSINV(AB721)))*(AC$7-AC$5)*(AC$7-AC$6))))</f>
        <v>9.50108759896436</v>
      </c>
      <c r="AD721" s="2" t="n">
        <f aca="false">Entrées!$C$8*(1+E721)</f>
        <v>7430.41921275996</v>
      </c>
      <c r="AE721" s="2" t="n">
        <f aca="false">I721*Hypothèses!$J$24/12/Hypothèses!$J$19</f>
        <v>93.6798387643545</v>
      </c>
      <c r="AF721" s="2" t="n">
        <f aca="false">Entrées!$C$36*S721*1000</f>
        <v>119.394981968123</v>
      </c>
      <c r="AG721" s="2" t="n">
        <f aca="false">-AF721/W721</f>
        <v>-11.0497386777339</v>
      </c>
      <c r="AH721" s="2" t="n">
        <f aca="false">AD721+AE721+AG721</f>
        <v>7513.04931284658</v>
      </c>
      <c r="AI721" s="2" t="n">
        <f aca="false">Entrées!$C$16-M721+Hypothèses!$J$22*1000-AF721+Hypothèses!$J$23</f>
        <v>22900.9152234274</v>
      </c>
      <c r="AJ721" s="2" t="n">
        <f aca="false">AI721/AH721</f>
        <v>3.04815185816351</v>
      </c>
      <c r="AK721" s="2" t="n">
        <f aca="false">AI721/(AH721+I721*(12-Hypothèses!$J$24)/12/Hypothèses!$J$19)</f>
        <v>3.02124347611997</v>
      </c>
      <c r="AL721" s="2" t="n">
        <f aca="false">(AD721+AG721+I721/Hypothèses!$J$19)*(1+G721)</f>
        <v>8050.18217329323</v>
      </c>
      <c r="AM721" s="2" t="n">
        <f aca="false">Entrées!$C$54*K721/Hypothèses!$J$19</f>
        <v>41.6200078479324</v>
      </c>
      <c r="AN721" s="2" t="n">
        <f aca="false">Y721*1000/AC721</f>
        <v>62.4727192923716</v>
      </c>
      <c r="AO721" s="2" t="n">
        <f aca="false">(Entrées!$C$36*(1-S721)+MAX(0,Entrées!$C$30-Entrées!$C$35-Entrées!$C$36)*U721)*1000</f>
        <v>1131.69248396265</v>
      </c>
      <c r="AP721" s="2" t="n">
        <f aca="false">-AO721/W721</f>
        <v>-104.735609530738</v>
      </c>
      <c r="AQ721" s="2" t="n">
        <f aca="false">AL721+AM721+AN721+AP721</f>
        <v>8049.53929090279</v>
      </c>
      <c r="AR721" s="2" t="n">
        <f aca="false">O721*AQ721-Hypothèses!$J$25/Hypothèses!$J$19</f>
        <v>1370.88565179746</v>
      </c>
      <c r="AS721" s="2" t="n">
        <f aca="false">Entrées!$C$79*(1+Q721)+Hypothèses!$J$20</f>
        <v>1500.23737203759</v>
      </c>
      <c r="AT721" s="2" t="n">
        <f aca="false">AI721-AR721+AS721+Y721*1000-AO721+Hypothèses!$J$23</f>
        <v>22492.1332382472</v>
      </c>
      <c r="AU721" s="2" t="n">
        <f aca="false">AT721/AQ721</f>
        <v>2.79421373390484</v>
      </c>
      <c r="AV721" s="2" t="n">
        <f aca="false">Hypothèses!$J$26*AQ721-AT721</f>
        <v>1656.4846344612</v>
      </c>
      <c r="AW721" s="2" t="n">
        <f aca="false">IF(AC721&gt;Hypothèses!$J$26,MAX(0,AV721)/(1-Hypothèses!$J$26/AC721),0)</f>
        <v>2420.88810199411</v>
      </c>
      <c r="AX721" s="2" t="n">
        <f aca="false">AQ721-Entrées!$C$17*1000</f>
        <v>49.5392909027923</v>
      </c>
      <c r="AY721" s="2" t="n">
        <f aca="false">AI721+(Entrées!$C$244-Entrées!$C$13)</f>
        <v>28647.9152234274</v>
      </c>
      <c r="AZ721" s="2" t="n">
        <f aca="false">AA721*AH721</f>
        <v>5537.04527105537</v>
      </c>
      <c r="BA721" s="2" t="n">
        <f aca="false">AZ721/AY721</f>
        <v>0.193279169805953</v>
      </c>
      <c r="BB721" s="2" t="n">
        <f aca="false">AZ721/(Entrées!$C$151/100)-AY721</f>
        <v>2113.44739354694</v>
      </c>
      <c r="BC721" s="2" t="n">
        <f aca="false">AT721+(Entrées!$C$244-Entrées!$C$13)</f>
        <v>28239.1332382472</v>
      </c>
      <c r="BD721" s="2" t="n">
        <f aca="false">AA721*AQ721</f>
        <v>5932.43323834655</v>
      </c>
      <c r="BE721" s="2" t="n">
        <f aca="false">BD721/BC721</f>
        <v>0.210078446399043</v>
      </c>
      <c r="BF721" s="2" t="n">
        <f aca="false">BD721/(Entrées!$C$151/100)-BC721</f>
        <v>4718.82919701143</v>
      </c>
      <c r="BG721" s="2" t="n">
        <f aca="false">MIN(AV721,BF721)</f>
        <v>1656.4846344612</v>
      </c>
      <c r="BH721" s="2" t="n">
        <f aca="false">IF(AC721&gt;Hypothèses!$J$26,MAX(0,BG721)/(1-Hypothèses!$J$26/AC721),0)</f>
        <v>2420.88810199411</v>
      </c>
    </row>
    <row r="722" customFormat="false" ht="15" hidden="false" customHeight="false" outlineLevel="0" collapsed="false">
      <c r="A722" s="2" t="n">
        <v>707</v>
      </c>
      <c r="B722" s="2" t="n">
        <v>0.380250356</v>
      </c>
      <c r="C722" s="2"/>
      <c r="D722" s="2" t="n">
        <v>0.032059841</v>
      </c>
      <c r="E722" s="2" t="n">
        <f aca="false">IF(E$7=E$5,E$6,IF(NORMSDIST(E$9*SQRT($C$11)*NORMSINV($B722)+SQRT(1-E$9^2*$C$11)*NORMSINV(D722))&lt;E$8,E$5+SQRT(NORMSDIST(E$9*SQRT($C$11)*NORMSINV($B722)+SQRT(1-E$9^2*$C$11)*NORMSINV(D722))*(E$7-E$5)*(E$6-E$5)),E$7-SQRT((1-NORMSDIST(E$9*SQRT($C$11)*NORMSINV($B722)+SQRT(1-E$9^2*$C$11)*NORMSINV(D722)))*(E$7-E$5)*(E$7-E$6))))</f>
        <v>0.0516106854692246</v>
      </c>
      <c r="F722" s="2" t="n">
        <v>0.351217067</v>
      </c>
      <c r="G722" s="2" t="n">
        <f aca="false">IF(G$7=G$5,G$6,IF(NORMSDIST(G$9*SQRT($C$11)*NORMSINV($B722)+SQRT(1-G$9^2*$C$11)*NORMSINV(F722))&lt;G$8,G$5+SQRT(NORMSDIST(G$9*SQRT($C$11)*NORMSINV($B722)+SQRT(1-G$9^2*$C$11)*NORMSINV(F722))*(G$7-G$5)*(G$6-G$5)),G$7-SQRT((1-NORMSDIST(G$9*SQRT($C$11)*NORMSINV($B722)+SQRT(1-G$9^2*$C$11)*NORMSINV(F722)))*(G$7-G$5)*(G$7-G$6))))</f>
        <v>0.0518589767992061</v>
      </c>
      <c r="H722" s="2" t="n">
        <v>0.244956241</v>
      </c>
      <c r="I722" s="2" t="n">
        <f aca="false">IF(I$7=I$5,I$6,IF(NORMSDIST(I$9*SQRT($C$11)*NORMSINV($B722)+SQRT(1-I$9^2*$C$11)*NORMSINV(H722))&lt;I$8,I$5+SQRT(NORMSDIST(I$9*SQRT($C$11)*NORMSINV($B722)+SQRT(1-I$9^2*$C$11)*NORMSINV(H722))*(I$7-I$5)*(I$6-I$5)),I$7-SQRT((1-NORMSDIST(I$9*SQRT($C$11)*NORMSINV($B722)+SQRT(1-I$9^2*$C$11)*NORMSINV(H722)))*(I$7-I$5)*(I$7-I$6))))</f>
        <v>193.665355327448</v>
      </c>
      <c r="J722" s="2" t="n">
        <v>0.924351972</v>
      </c>
      <c r="K722" s="2" t="n">
        <f aca="false">IF(K$7=K$5,K$6,IF(NORMSDIST(K$9*SQRT($C$11)*NORMSINV($B722)+SQRT(1-K$9^2*$C$11)*NORMSINV(J722))&lt;K$8,K$5+SQRT(NORMSDIST(K$9*SQRT($C$11)*NORMSINV($B722)+SQRT(1-K$9^2*$C$11)*NORMSINV(J722))*(K$7-K$5)*(K$6-K$5)),K$7-SQRT((1-NORMSDIST(K$9*SQRT($C$11)*NORMSINV($B722)+SQRT(1-K$9^2*$C$11)*NORMSINV(J722)))*(K$7-K$5)*(K$7-K$6))))</f>
        <v>0.350368291362814</v>
      </c>
      <c r="L722" s="2" t="n">
        <v>0.678838742</v>
      </c>
      <c r="M722" s="2" t="n">
        <f aca="false">IF(M$7=M$5,M$6,IF(NORMSDIST(M$9*SQRT($C$11)*NORMSINV($B722)+SQRT(1-M$9^2*$C$11)*NORMSINV(L722))&lt;M$8,M$5+SQRT(NORMSDIST(M$9*SQRT($C$11)*NORMSINV($B722)+SQRT(1-M$9^2*$C$11)*NORMSINV(L722))*(M$7-M$5)*(M$6-M$5)),M$7-SQRT((1-NORMSDIST(M$9*SQRT($C$11)*NORMSINV($B722)+SQRT(1-M$9^2*$C$11)*NORMSINV(L722)))*(M$7-M$5)*(M$7-M$6))))</f>
        <v>1603.47716724011</v>
      </c>
      <c r="N722" s="2" t="n">
        <v>0.177152943</v>
      </c>
      <c r="O722" s="2" t="n">
        <f aca="false">IF(O$7=O$5,O$6,IF(NORMSDIST(O$9*SQRT($C$11)*NORMSINV($B722)+SQRT(1-O$9^2*$C$11)*NORMSINV(N722))&lt;O$8,O$5+SQRT(NORMSDIST(O$9*SQRT($C$11)*NORMSINV($B722)+SQRT(1-O$9^2*$C$11)*NORMSINV(N722))*(O$7-O$5)*(O$6-O$5)),O$7-SQRT((1-NORMSDIST(O$9*SQRT($C$11)*NORMSINV($B722)+SQRT(1-O$9^2*$C$11)*NORMSINV(N722)))*(O$7-O$5)*(O$7-O$6))))</f>
        <v>0.156130377172593</v>
      </c>
      <c r="P722" s="2" t="n">
        <v>0.356274023</v>
      </c>
      <c r="Q722" s="2" t="n">
        <f aca="false">IF(Q$7=Q$5,Q$6,IF(NORMSDIST(Q$9*SQRT($C$11)*NORMSINV($B722)+SQRT(1-Q$9^2*$C$11)*NORMSINV(P722))&lt;Q$8,Q$5+SQRT(NORMSDIST(Q$9*SQRT($C$11)*NORMSINV($B722)+SQRT(1-Q$9^2*$C$11)*NORMSINV(P722))*(Q$7-Q$5)*(Q$6-Q$5)),Q$7-SQRT((1-NORMSDIST(Q$9*SQRT($C$11)*NORMSINV($B722)+SQRT(1-Q$9^2*$C$11)*NORMSINV(P722)))*(Q$7-Q$5)*(Q$7-Q$6))))</f>
        <v>0.0737650244128447</v>
      </c>
      <c r="R722" s="2" t="n">
        <v>0.153864936</v>
      </c>
      <c r="S722" s="2" t="n">
        <f aca="false">IF(S$7=S$5,S$6,IF(NORMSDIST(S$9*SQRT($C$11)*NORMSINV($B722)+SQRT(1-S$9^2*$C$11)*NORMSINV(R722))&lt;S$8,S$5+SQRT(NORMSDIST(S$9*SQRT($C$11)*NORMSINV($B722)+SQRT(1-S$9^2*$C$11)*NORMSINV(R722))*(S$7-S$5)*(S$6-S$5)),S$7-SQRT((1-NORMSDIST(S$9*SQRT($C$11)*NORMSINV($B722)+SQRT(1-S$9^2*$C$11)*NORMSINV(R722)))*(S$7-S$5)*(S$7-S$6))))</f>
        <v>0.285337389012781</v>
      </c>
      <c r="T722" s="2" t="n">
        <v>0.525538137</v>
      </c>
      <c r="U722" s="2" t="n">
        <f aca="false">IF(U$7=U$5,U$6,IF(NORMSDIST(U$9*SQRT($C$11)*NORMSINV($B722)+SQRT(1-U$9^2*$C$11)*NORMSINV(T722))&lt;U$8,U$5+SQRT(NORMSDIST(U$9*SQRT($C$11)*NORMSINV($B722)+SQRT(1-U$9^2*$C$11)*NORMSINV(T722))*(U$7-U$5)*(U$6-U$5)),U$7-SQRT((1-NORMSDIST(U$9*SQRT($C$11)*NORMSINV($B722)+SQRT(1-U$9^2*$C$11)*NORMSINV(T722)))*(U$7-U$5)*(U$7-U$6))))</f>
        <v>0.470679741684235</v>
      </c>
      <c r="V722" s="2" t="n">
        <v>0.436060546</v>
      </c>
      <c r="W722" s="2" t="n">
        <f aca="false">IF(W$7=W$5,W$6,IF(NORMSDIST(W$9*SQRT($C$11)*NORMSINV($B722)+SQRT(1-W$9^2*$C$11)*NORMSINV(V722))&lt;W$8,W$5+SQRT(NORMSDIST(W$9*SQRT($C$11)*NORMSINV($B722)+SQRT(1-W$9^2*$C$11)*NORMSINV(V722))*(W$7-W$5)*(W$6-W$5)),W$7-SQRT((1-NORMSDIST(W$9*SQRT($C$11)*NORMSINV($B722)+SQRT(1-W$9^2*$C$11)*NORMSINV(V722)))*(W$7-W$5)*(W$7-W$6))))</f>
        <v>9.73307469642532</v>
      </c>
      <c r="X722" s="2" t="n">
        <v>0.707537929</v>
      </c>
      <c r="Y722" s="2" t="n">
        <f aca="false">IF(Y$7=Y$5,Y$6,IF(NORMSDIST(Y$9*SQRT($C$11)*NORMSINV($B722)+SQRT(1-Y$9^2*$C$11)*NORMSINV(X722))&lt;Y$8,Y$5+SQRT(NORMSDIST(Y$9*SQRT($C$11)*NORMSINV($B722)+SQRT(1-Y$9^2*$C$11)*NORMSINV(X722))*(Y$7-Y$5)*(Y$6-Y$5)),Y$7-SQRT((1-NORMSDIST(Y$9*SQRT($C$11)*NORMSINV($B722)+SQRT(1-Y$9^2*$C$11)*NORMSINV(X722)))*(Y$7-Y$5)*(Y$7-Y$6))))</f>
        <v>0.617598332247361</v>
      </c>
      <c r="Z722" s="2" t="n">
        <v>0.133708792</v>
      </c>
      <c r="AA722" s="2" t="n">
        <f aca="false">IF(AA$7=AA$5,AA$6,IF(NORMSDIST(AA$9*SQRT($C$11)*NORMSINV($B722)+SQRT(1-AA$9^2*$C$11)*NORMSINV(Z722))&lt;AA$8,AA$5+SQRT(NORMSDIST(AA$9*SQRT($C$11)*NORMSINV($B722)+SQRT(1-AA$9^2*$C$11)*NORMSINV(Z722))*(AA$7-AA$5)*(AA$6-AA$5)),AA$7-SQRT((1-NORMSDIST(AA$9*SQRT($C$11)*NORMSINV($B722)+SQRT(1-AA$9^2*$C$11)*NORMSINV(Z722)))*(AA$7-AA$5)*(AA$7-AA$6))))</f>
        <v>0.713033125444115</v>
      </c>
      <c r="AB722" s="2" t="n">
        <v>0.937695683</v>
      </c>
      <c r="AC722" s="2" t="n">
        <f aca="false">IF(AC$7=AC$5,AC$6,IF(NORMSDIST(AC$9*SQRT($C$11)*NORMSINV($B722)+SQRT(1-AC$9^2*$C$11)*NORMSINV(AB722))&lt;AC$8,AC$5+SQRT(NORMSDIST(AC$9*SQRT($C$11)*NORMSINV($B722)+SQRT(1-AC$9^2*$C$11)*NORMSINV(AB722))*(AC$7-AC$5)*(AC$6-AC$5)),AC$7-SQRT((1-NORMSDIST(AC$9*SQRT($C$11)*NORMSINV($B722)+SQRT(1-AC$9^2*$C$11)*NORMSINV(AB722)))*(AC$7-AC$5)*(AC$7-AC$6))))</f>
        <v>10.1700777200209</v>
      </c>
      <c r="AD722" s="2" t="n">
        <f aca="false">Entrées!$C$8*(1+E722)</f>
        <v>7413.85533255803</v>
      </c>
      <c r="AE722" s="2" t="n">
        <f aca="false">I722*Hypothèses!$J$24/12/Hypothèses!$J$19</f>
        <v>96.0767629278637</v>
      </c>
      <c r="AF722" s="2" t="n">
        <f aca="false">Entrées!$C$36*S722*1000</f>
        <v>142.66869450639</v>
      </c>
      <c r="AG722" s="2" t="n">
        <f aca="false">-AF722/W722</f>
        <v>-14.6581320863374</v>
      </c>
      <c r="AH722" s="2" t="n">
        <f aca="false">AD722+AE722+AG722</f>
        <v>7495.27396339956</v>
      </c>
      <c r="AI722" s="2" t="n">
        <f aca="false">Entrées!$C$16-M722+Hypothèses!$J$22*1000-AF722+Hypothèses!$J$23</f>
        <v>22801.8541382535</v>
      </c>
      <c r="AJ722" s="2" t="n">
        <f aca="false">AI722/AH722</f>
        <v>3.04216420234911</v>
      </c>
      <c r="AK722" s="2" t="n">
        <f aca="false">AI722/(AH722+I722*(12-Hypothèses!$J$24)/12/Hypothèses!$J$19)</f>
        <v>3.01456305174712</v>
      </c>
      <c r="AL722" s="2" t="n">
        <f aca="false">(AD722+AG722+I722/Hypothèses!$J$19)*(1+G722)</f>
        <v>7956.15634879082</v>
      </c>
      <c r="AM722" s="2" t="n">
        <f aca="false">Entrées!$C$54*K722/Hypothèses!$J$19</f>
        <v>35.7565552349658</v>
      </c>
      <c r="AN722" s="2" t="n">
        <f aca="false">Y722*1000/AC722</f>
        <v>60.7270022166646</v>
      </c>
      <c r="AO722" s="2" t="n">
        <f aca="false">(Entrées!$C$36*(1-S722)+MAX(0,Entrées!$C$30-Entrées!$C$35-Entrées!$C$36)*U722)*1000</f>
        <v>1016.28294385154</v>
      </c>
      <c r="AP722" s="2" t="n">
        <f aca="false">-AO722/W722</f>
        <v>-104.415405773552</v>
      </c>
      <c r="AQ722" s="2" t="n">
        <f aca="false">AL722+AM722+AN722+AP722</f>
        <v>7948.2245004689</v>
      </c>
      <c r="AR722" s="2" t="n">
        <f aca="false">O722*AQ722-Hypothèses!$J$25/Hypothèses!$J$19</f>
        <v>1221.82412684903</v>
      </c>
      <c r="AS722" s="2" t="n">
        <f aca="false">Entrées!$C$79*(1+Q722)+Hypothèses!$J$20</f>
        <v>1475.06776182972</v>
      </c>
      <c r="AT722" s="2" t="n">
        <f aca="false">AI722-AR722+AS722+Y722*1000-AO722+Hypothèses!$J$23</f>
        <v>22656.41316163</v>
      </c>
      <c r="AU722" s="2" t="n">
        <f aca="false">AT722/AQ722</f>
        <v>2.85049990224778</v>
      </c>
      <c r="AV722" s="2" t="n">
        <f aca="false">Hypothèses!$J$26*AQ722-AT722</f>
        <v>1188.26033977669</v>
      </c>
      <c r="AW722" s="2" t="n">
        <f aca="false">IF(AC722&gt;Hypothèses!$J$26,MAX(0,AV722)/(1-Hypothèses!$J$26/AC722),0)</f>
        <v>1685.43500907995</v>
      </c>
      <c r="AX722" s="2" t="n">
        <f aca="false">AQ722-Entrées!$C$17*1000</f>
        <v>-51.7754995310979</v>
      </c>
      <c r="AY722" s="2" t="n">
        <f aca="false">AI722+(Entrées!$C$244-Entrées!$C$13)</f>
        <v>28548.8541382535</v>
      </c>
      <c r="AZ722" s="2" t="n">
        <f aca="false">AA722*AH722</f>
        <v>5344.37862018269</v>
      </c>
      <c r="BA722" s="2" t="n">
        <f aca="false">AZ722/AY722</f>
        <v>0.187201160309323</v>
      </c>
      <c r="BB722" s="2" t="n">
        <f aca="false">AZ722/(Entrées!$C$151/100)-AY722</f>
        <v>1142.13819609475</v>
      </c>
      <c r="BC722" s="2" t="n">
        <f aca="false">AT722+(Entrées!$C$244-Entrées!$C$13)</f>
        <v>28403.41316163</v>
      </c>
      <c r="BD722" s="2" t="n">
        <f aca="false">AA722*AQ722</f>
        <v>5667.34735730083</v>
      </c>
      <c r="BE722" s="2" t="n">
        <f aca="false">BD722/BC722</f>
        <v>0.199530504487285</v>
      </c>
      <c r="BF722" s="2" t="n">
        <f aca="false">BD722/(Entrées!$C$151/100)-BC722</f>
        <v>3081.8499344857</v>
      </c>
      <c r="BG722" s="2" t="n">
        <f aca="false">MIN(AV722,BF722)</f>
        <v>1188.26033977669</v>
      </c>
      <c r="BH722" s="2" t="n">
        <f aca="false">IF(AC722&gt;Hypothèses!$J$26,MAX(0,BG722)/(1-Hypothèses!$J$26/AC722),0)</f>
        <v>1685.43500907995</v>
      </c>
    </row>
    <row r="723" customFormat="false" ht="15" hidden="false" customHeight="false" outlineLevel="0" collapsed="false">
      <c r="A723" s="2" t="n">
        <v>708</v>
      </c>
      <c r="B723" s="2" t="n">
        <v>0.167575456</v>
      </c>
      <c r="C723" s="2"/>
      <c r="D723" s="2" t="n">
        <v>0.031242707</v>
      </c>
      <c r="E723" s="2" t="n">
        <f aca="false">IF(E$7=E$5,E$6,IF(NORMSDIST(E$9*SQRT($C$11)*NORMSINV($B723)+SQRT(1-E$9^2*$C$11)*NORMSINV(D723))&lt;E$8,E$5+SQRT(NORMSDIST(E$9*SQRT($C$11)*NORMSINV($B723)+SQRT(1-E$9^2*$C$11)*NORMSINV(D723))*(E$7-E$5)*(E$6-E$5)),E$7-SQRT((1-NORMSDIST(E$9*SQRT($C$11)*NORMSINV($B723)+SQRT(1-E$9^2*$C$11)*NORMSINV(D723)))*(E$7-E$5)*(E$7-E$6))))</f>
        <v>0.0510015114784988</v>
      </c>
      <c r="F723" s="2" t="n">
        <v>0.857634832</v>
      </c>
      <c r="G723" s="2" t="n">
        <f aca="false">IF(G$7=G$5,G$6,IF(NORMSDIST(G$9*SQRT($C$11)*NORMSINV($B723)+SQRT(1-G$9^2*$C$11)*NORMSINV(F723))&lt;G$8,G$5+SQRT(NORMSDIST(G$9*SQRT($C$11)*NORMSINV($B723)+SQRT(1-G$9^2*$C$11)*NORMSINV(F723))*(G$7-G$5)*(G$6-G$5)),G$7-SQRT((1-NORMSDIST(G$9*SQRT($C$11)*NORMSINV($B723)+SQRT(1-G$9^2*$C$11)*NORMSINV(F723)))*(G$7-G$5)*(G$7-G$6))))</f>
        <v>0.056362422490763</v>
      </c>
      <c r="H723" s="2" t="n">
        <v>0.899706042</v>
      </c>
      <c r="I723" s="2" t="n">
        <f aca="false">IF(I$7=I$5,I$6,IF(NORMSDIST(I$9*SQRT($C$11)*NORMSINV($B723)+SQRT(1-I$9^2*$C$11)*NORMSINV(H723))&lt;I$8,I$5+SQRT(NORMSDIST(I$9*SQRT($C$11)*NORMSINV($B723)+SQRT(1-I$9^2*$C$11)*NORMSINV(H723))*(I$7-I$5)*(I$6-I$5)),I$7-SQRT((1-NORMSDIST(I$9*SQRT($C$11)*NORMSINV($B723)+SQRT(1-I$9^2*$C$11)*NORMSINV(H723)))*(I$7-I$5)*(I$7-I$6))))</f>
        <v>203.23594448531</v>
      </c>
      <c r="J723" s="2" t="n">
        <v>0.235525622</v>
      </c>
      <c r="K723" s="2" t="n">
        <f aca="false">IF(K$7=K$5,K$6,IF(NORMSDIST(K$9*SQRT($C$11)*NORMSINV($B723)+SQRT(1-K$9^2*$C$11)*NORMSINV(J723))&lt;K$8,K$5+SQRT(NORMSDIST(K$9*SQRT($C$11)*NORMSINV($B723)+SQRT(1-K$9^2*$C$11)*NORMSINV(J723))*(K$7-K$5)*(K$6-K$5)),K$7-SQRT((1-NORMSDIST(K$9*SQRT($C$11)*NORMSINV($B723)+SQRT(1-K$9^2*$C$11)*NORMSINV(J723)))*(K$7-K$5)*(K$7-K$6))))</f>
        <v>0.123202842091982</v>
      </c>
      <c r="L723" s="2" t="n">
        <v>0.506113525</v>
      </c>
      <c r="M723" s="2" t="n">
        <f aca="false">IF(M$7=M$5,M$6,IF(NORMSDIST(M$9*SQRT($C$11)*NORMSINV($B723)+SQRT(1-M$9^2*$C$11)*NORMSINV(L723))&lt;M$8,M$5+SQRT(NORMSDIST(M$9*SQRT($C$11)*NORMSINV($B723)+SQRT(1-M$9^2*$C$11)*NORMSINV(L723))*(M$7-M$5)*(M$6-M$5)),M$7-SQRT((1-NORMSDIST(M$9*SQRT($C$11)*NORMSINV($B723)+SQRT(1-M$9^2*$C$11)*NORMSINV(L723)))*(M$7-M$5)*(M$7-M$6))))</f>
        <v>1512.45849449004</v>
      </c>
      <c r="N723" s="2" t="n">
        <v>0.351865798</v>
      </c>
      <c r="O723" s="2" t="n">
        <f aca="false">IF(O$7=O$5,O$6,IF(NORMSDIST(O$9*SQRT($C$11)*NORMSINV($B723)+SQRT(1-O$9^2*$C$11)*NORMSINV(N723))&lt;O$8,O$5+SQRT(NORMSDIST(O$9*SQRT($C$11)*NORMSINV($B723)+SQRT(1-O$9^2*$C$11)*NORMSINV(N723))*(O$7-O$5)*(O$6-O$5)),O$7-SQRT((1-NORMSDIST(O$9*SQRT($C$11)*NORMSINV($B723)+SQRT(1-O$9^2*$C$11)*NORMSINV(N723)))*(O$7-O$5)*(O$7-O$6))))</f>
        <v>0.15620250133498</v>
      </c>
      <c r="P723" s="2" t="n">
        <v>0.978887355</v>
      </c>
      <c r="Q723" s="2" t="n">
        <f aca="false">IF(Q$7=Q$5,Q$6,IF(NORMSDIST(Q$9*SQRT($C$11)*NORMSINV($B723)+SQRT(1-Q$9^2*$C$11)*NORMSINV(P723))&lt;Q$8,Q$5+SQRT(NORMSDIST(Q$9*SQRT($C$11)*NORMSINV($B723)+SQRT(1-Q$9^2*$C$11)*NORMSINV(P723))*(Q$7-Q$5)*(Q$6-Q$5)),Q$7-SQRT((1-NORMSDIST(Q$9*SQRT($C$11)*NORMSINV($B723)+SQRT(1-Q$9^2*$C$11)*NORMSINV(P723)))*(Q$7-Q$5)*(Q$7-Q$6))))</f>
        <v>0.111780482739236</v>
      </c>
      <c r="R723" s="2" t="n">
        <v>0.26544399</v>
      </c>
      <c r="S723" s="2" t="n">
        <f aca="false">IF(S$7=S$5,S$6,IF(NORMSDIST(S$9*SQRT($C$11)*NORMSINV($B723)+SQRT(1-S$9^2*$C$11)*NORMSINV(R723))&lt;S$8,S$5+SQRT(NORMSDIST(S$9*SQRT($C$11)*NORMSINV($B723)+SQRT(1-S$9^2*$C$11)*NORMSINV(R723))*(S$7-S$5)*(S$6-S$5)),S$7-SQRT((1-NORMSDIST(S$9*SQRT($C$11)*NORMSINV($B723)+SQRT(1-S$9^2*$C$11)*NORMSINV(R723)))*(S$7-S$5)*(S$7-S$6))))</f>
        <v>0.261503190829482</v>
      </c>
      <c r="T723" s="2" t="n">
        <v>0.145627588</v>
      </c>
      <c r="U723" s="2" t="n">
        <f aca="false">IF(U$7=U$5,U$6,IF(NORMSDIST(U$9*SQRT($C$11)*NORMSINV($B723)+SQRT(1-U$9^2*$C$11)*NORMSINV(T723))&lt;U$8,U$5+SQRT(NORMSDIST(U$9*SQRT($C$11)*NORMSINV($B723)+SQRT(1-U$9^2*$C$11)*NORMSINV(T723))*(U$7-U$5)*(U$6-U$5)),U$7-SQRT((1-NORMSDIST(U$9*SQRT($C$11)*NORMSINV($B723)+SQRT(1-U$9^2*$C$11)*NORMSINV(T723)))*(U$7-U$5)*(U$7-U$6))))</f>
        <v>0.195938553317355</v>
      </c>
      <c r="V723" s="2" t="n">
        <v>0.110894486</v>
      </c>
      <c r="W723" s="2" t="n">
        <f aca="false">IF(W$7=W$5,W$6,IF(NORMSDIST(W$9*SQRT($C$11)*NORMSINV($B723)+SQRT(1-W$9^2*$C$11)*NORMSINV(V723))&lt;W$8,W$5+SQRT(NORMSDIST(W$9*SQRT($C$11)*NORMSINV($B723)+SQRT(1-W$9^2*$C$11)*NORMSINV(V723))*(W$7-W$5)*(W$6-W$5)),W$7-SQRT((1-NORMSDIST(W$9*SQRT($C$11)*NORMSINV($B723)+SQRT(1-W$9^2*$C$11)*NORMSINV(V723)))*(W$7-W$5)*(W$7-W$6))))</f>
        <v>8.69201478258251</v>
      </c>
      <c r="X723" s="2" t="n">
        <v>0.707108367</v>
      </c>
      <c r="Y723" s="2" t="n">
        <f aca="false">IF(Y$7=Y$5,Y$6,IF(NORMSDIST(Y$9*SQRT($C$11)*NORMSINV($B723)+SQRT(1-Y$9^2*$C$11)*NORMSINV(X723))&lt;Y$8,Y$5+SQRT(NORMSDIST(Y$9*SQRT($C$11)*NORMSINV($B723)+SQRT(1-Y$9^2*$C$11)*NORMSINV(X723))*(Y$7-Y$5)*(Y$6-Y$5)),Y$7-SQRT((1-NORMSDIST(Y$9*SQRT($C$11)*NORMSINV($B723)+SQRT(1-Y$9^2*$C$11)*NORMSINV(X723)))*(Y$7-Y$5)*(Y$7-Y$6))))</f>
        <v>0.617317603618876</v>
      </c>
      <c r="Z723" s="2" t="n">
        <v>0.406039532</v>
      </c>
      <c r="AA723" s="2" t="n">
        <f aca="false">IF(AA$7=AA$5,AA$6,IF(NORMSDIST(AA$9*SQRT($C$11)*NORMSINV($B723)+SQRT(1-AA$9^2*$C$11)*NORMSINV(Z723))&lt;AA$8,AA$5+SQRT(NORMSDIST(AA$9*SQRT($C$11)*NORMSINV($B723)+SQRT(1-AA$9^2*$C$11)*NORMSINV(Z723))*(AA$7-AA$5)*(AA$6-AA$5)),AA$7-SQRT((1-NORMSDIST(AA$9*SQRT($C$11)*NORMSINV($B723)+SQRT(1-AA$9^2*$C$11)*NORMSINV(Z723)))*(AA$7-AA$5)*(AA$7-AA$6))))</f>
        <v>0.716717208542921</v>
      </c>
      <c r="AB723" s="2" t="n">
        <v>0.556911335</v>
      </c>
      <c r="AC723" s="2" t="n">
        <f aca="false">IF(AC$7=AC$5,AC$6,IF(NORMSDIST(AC$9*SQRT($C$11)*NORMSINV($B723)+SQRT(1-AC$9^2*$C$11)*NORMSINV(AB723))&lt;AC$8,AC$5+SQRT(NORMSDIST(AC$9*SQRT($C$11)*NORMSINV($B723)+SQRT(1-AC$9^2*$C$11)*NORMSINV(AB723))*(AC$7-AC$5)*(AC$6-AC$5)),AC$7-SQRT((1-NORMSDIST(AC$9*SQRT($C$11)*NORMSINV($B723)+SQRT(1-AC$9^2*$C$11)*NORMSINV(AB723)))*(AC$7-AC$5)*(AC$7-AC$6))))</f>
        <v>9.03394949152907</v>
      </c>
      <c r="AD723" s="2" t="n">
        <f aca="false">Entrées!$C$8*(1+E723)</f>
        <v>7409.56065592342</v>
      </c>
      <c r="AE723" s="2" t="n">
        <f aca="false">I723*Hypothèses!$J$24/12/Hypothèses!$J$19</f>
        <v>100.824701577217</v>
      </c>
      <c r="AF723" s="2" t="n">
        <f aca="false">Entrées!$C$36*S723*1000</f>
        <v>130.751595414741</v>
      </c>
      <c r="AG723" s="2" t="n">
        <f aca="false">-AF723/W723</f>
        <v>-15.0427258449615</v>
      </c>
      <c r="AH723" s="2" t="n">
        <f aca="false">AD723+AE723+AG723</f>
        <v>7495.34263165567</v>
      </c>
      <c r="AI723" s="2" t="n">
        <f aca="false">Entrées!$C$16-M723+Hypothèses!$J$22*1000-AF723+Hypothèses!$J$23</f>
        <v>22904.7899100952</v>
      </c>
      <c r="AJ723" s="2" t="n">
        <f aca="false">AI723/AH723</f>
        <v>3.05586962940955</v>
      </c>
      <c r="AK723" s="2" t="n">
        <f aca="false">AI723/(AH723+I723*(12-Hypothèses!$J$24)/12/Hypothèses!$J$19)</f>
        <v>3.02678729118126</v>
      </c>
      <c r="AL723" s="2" t="n">
        <f aca="false">(AD723+AG723+I723/Hypothèses!$J$19)*(1+G723)</f>
        <v>7993.8750326348</v>
      </c>
      <c r="AM723" s="2" t="n">
        <f aca="false">Entrées!$C$54*K723/Hypothèses!$J$19</f>
        <v>12.5733673307923</v>
      </c>
      <c r="AN723" s="2" t="n">
        <f aca="false">Y723*1000/AC723</f>
        <v>68.3330811399511</v>
      </c>
      <c r="AO723" s="2" t="n">
        <f aca="false">(Entrées!$C$36*(1-S723)+MAX(0,Entrées!$C$30-Entrées!$C$35-Entrées!$C$36)*U723)*1000</f>
        <v>643.562379229556</v>
      </c>
      <c r="AP723" s="2" t="n">
        <f aca="false">-AO723/W723</f>
        <v>-74.0406448133473</v>
      </c>
      <c r="AQ723" s="2" t="n">
        <f aca="false">AL723+AM723+AN723+AP723</f>
        <v>8000.7408362922</v>
      </c>
      <c r="AR723" s="2" t="n">
        <f aca="false">O723*AQ723-Hypothèses!$J$25/Hypothèses!$J$19</f>
        <v>1230.60056890013</v>
      </c>
      <c r="AS723" s="2" t="n">
        <f aca="false">Entrées!$C$79*(1+Q723)+Hypothèses!$J$20</f>
        <v>1516.84675053042</v>
      </c>
      <c r="AT723" s="2" t="n">
        <f aca="false">AI723-AR723+AS723+Y723*1000-AO723+Hypothèses!$J$23</f>
        <v>23164.7913161148</v>
      </c>
      <c r="AU723" s="2" t="n">
        <f aca="false">AT723/AQ723</f>
        <v>2.89533079374811</v>
      </c>
      <c r="AV723" s="2" t="n">
        <f aca="false">Hypothèses!$J$26*AQ723-AT723</f>
        <v>837.431192761775</v>
      </c>
      <c r="AW723" s="2" t="n">
        <f aca="false">IF(AC723&gt;Hypothèses!$J$26,MAX(0,AV723)/(1-Hypothèses!$J$26/AC723),0)</f>
        <v>1253.79092229088</v>
      </c>
      <c r="AX723" s="2" t="n">
        <f aca="false">AQ723-Entrées!$C$17*1000</f>
        <v>0.740836292198765</v>
      </c>
      <c r="AY723" s="2" t="n">
        <f aca="false">AI723+(Entrées!$C$244-Entrées!$C$13)</f>
        <v>28651.7899100952</v>
      </c>
      <c r="AZ723" s="2" t="n">
        <f aca="false">AA723*AH723</f>
        <v>5372.041048033</v>
      </c>
      <c r="BA723" s="2" t="n">
        <f aca="false">AZ723/AY723</f>
        <v>0.187494082041283</v>
      </c>
      <c r="BB723" s="2" t="n">
        <f aca="false">AZ723/(Entrées!$C$151/100)-AY723</f>
        <v>1192.88257897703</v>
      </c>
      <c r="BC723" s="2" t="n">
        <f aca="false">AT723+(Entrées!$C$244-Entrées!$C$13)</f>
        <v>28911.7913161148</v>
      </c>
      <c r="BD723" s="2" t="n">
        <f aca="false">AA723*AQ723</f>
        <v>5734.2686384627</v>
      </c>
      <c r="BE723" s="2" t="n">
        <f aca="false">BD723/BC723</f>
        <v>0.19833667778539</v>
      </c>
      <c r="BF723" s="2" t="n">
        <f aca="false">BD723/(Entrées!$C$151/100)-BC723</f>
        <v>2945.25667534462</v>
      </c>
      <c r="BG723" s="2" t="n">
        <f aca="false">MIN(AV723,BF723)</f>
        <v>837.431192761775</v>
      </c>
      <c r="BH723" s="2" t="n">
        <f aca="false">IF(AC723&gt;Hypothèses!$J$26,MAX(0,BG723)/(1-Hypothèses!$J$26/AC723),0)</f>
        <v>1253.79092229088</v>
      </c>
    </row>
    <row r="724" customFormat="false" ht="15" hidden="false" customHeight="false" outlineLevel="0" collapsed="false">
      <c r="A724" s="2" t="n">
        <v>709</v>
      </c>
      <c r="B724" s="2" t="n">
        <v>0.815199981</v>
      </c>
      <c r="C724" s="2"/>
      <c r="D724" s="2" t="n">
        <v>0.483692857</v>
      </c>
      <c r="E724" s="2" t="n">
        <f aca="false">IF(E$7=E$5,E$6,IF(NORMSDIST(E$9*SQRT($C$11)*NORMSINV($B724)+SQRT(1-E$9^2*$C$11)*NORMSINV(D724))&lt;E$8,E$5+SQRT(NORMSDIST(E$9*SQRT($C$11)*NORMSINV($B724)+SQRT(1-E$9^2*$C$11)*NORMSINV(D724))*(E$7-E$5)*(E$6-E$5)),E$7-SQRT((1-NORMSDIST(E$9*SQRT($C$11)*NORMSINV($B724)+SQRT(1-E$9^2*$C$11)*NORMSINV(D724)))*(E$7-E$5)*(E$7-E$6))))</f>
        <v>0.0561525690608714</v>
      </c>
      <c r="F724" s="2" t="n">
        <v>0.8929362</v>
      </c>
      <c r="G724" s="2" t="n">
        <f aca="false">IF(G$7=G$5,G$6,IF(NORMSDIST(G$9*SQRT($C$11)*NORMSINV($B724)+SQRT(1-G$9^2*$C$11)*NORMSINV(F724))&lt;G$8,G$5+SQRT(NORMSDIST(G$9*SQRT($C$11)*NORMSINV($B724)+SQRT(1-G$9^2*$C$11)*NORMSINV(F724))*(G$7-G$5)*(G$6-G$5)),G$7-SQRT((1-NORMSDIST(G$9*SQRT($C$11)*NORMSINV($B724)+SQRT(1-G$9^2*$C$11)*NORMSINV(F724)))*(G$7-G$5)*(G$7-G$6))))</f>
        <v>0.0646737699182306</v>
      </c>
      <c r="H724" s="2" t="n">
        <v>0.369209881</v>
      </c>
      <c r="I724" s="2" t="n">
        <f aca="false">IF(I$7=I$5,I$6,IF(NORMSDIST(I$9*SQRT($C$11)*NORMSINV($B724)+SQRT(1-I$9^2*$C$11)*NORMSINV(H724))&lt;I$8,I$5+SQRT(NORMSDIST(I$9*SQRT($C$11)*NORMSINV($B724)+SQRT(1-I$9^2*$C$11)*NORMSINV(H724))*(I$7-I$5)*(I$6-I$5)),I$7-SQRT((1-NORMSDIST(I$9*SQRT($C$11)*NORMSINV($B724)+SQRT(1-I$9^2*$C$11)*NORMSINV(H724)))*(I$7-I$5)*(I$7-I$6))))</f>
        <v>202.593228236258</v>
      </c>
      <c r="J724" s="2" t="n">
        <v>0.510004191</v>
      </c>
      <c r="K724" s="2" t="n">
        <f aca="false">IF(K$7=K$5,K$6,IF(NORMSDIST(K$9*SQRT($C$11)*NORMSINV($B724)+SQRT(1-K$9^2*$C$11)*NORMSINV(J724))&lt;K$8,K$5+SQRT(NORMSDIST(K$9*SQRT($C$11)*NORMSINV($B724)+SQRT(1-K$9^2*$C$11)*NORMSINV(J724))*(K$7-K$5)*(K$6-K$5)),K$7-SQRT((1-NORMSDIST(K$9*SQRT($C$11)*NORMSINV($B724)+SQRT(1-K$9^2*$C$11)*NORMSINV(J724)))*(K$7-K$5)*(K$7-K$6))))</f>
        <v>0.313371302821835</v>
      </c>
      <c r="L724" s="2" t="n">
        <v>0.638459766</v>
      </c>
      <c r="M724" s="2" t="n">
        <f aca="false">IF(M$7=M$5,M$6,IF(NORMSDIST(M$9*SQRT($C$11)*NORMSINV($B724)+SQRT(1-M$9^2*$C$11)*NORMSINV(L724))&lt;M$8,M$5+SQRT(NORMSDIST(M$9*SQRT($C$11)*NORMSINV($B724)+SQRT(1-M$9^2*$C$11)*NORMSINV(L724))*(M$7-M$5)*(M$6-M$5)),M$7-SQRT((1-NORMSDIST(M$9*SQRT($C$11)*NORMSINV($B724)+SQRT(1-M$9^2*$C$11)*NORMSINV(L724)))*(M$7-M$5)*(M$7-M$6))))</f>
        <v>1665.74528172811</v>
      </c>
      <c r="N724" s="2" t="n">
        <v>0.70592713</v>
      </c>
      <c r="O724" s="2" t="n">
        <f aca="false">IF(O$7=O$5,O$6,IF(NORMSDIST(O$9*SQRT($C$11)*NORMSINV($B724)+SQRT(1-O$9^2*$C$11)*NORMSINV(N724))&lt;O$8,O$5+SQRT(NORMSDIST(O$9*SQRT($C$11)*NORMSINV($B724)+SQRT(1-O$9^2*$C$11)*NORMSINV(N724))*(O$7-O$5)*(O$6-O$5)),O$7-SQRT((1-NORMSDIST(O$9*SQRT($C$11)*NORMSINV($B724)+SQRT(1-O$9^2*$C$11)*NORMSINV(N724)))*(O$7-O$5)*(O$7-O$6))))</f>
        <v>0.17687023282851</v>
      </c>
      <c r="P724" s="2" t="n">
        <v>0.804350971</v>
      </c>
      <c r="Q724" s="2" t="n">
        <f aca="false">IF(Q$7=Q$5,Q$6,IF(NORMSDIST(Q$9*SQRT($C$11)*NORMSINV($B724)+SQRT(1-Q$9^2*$C$11)*NORMSINV(P724))&lt;Q$8,Q$5+SQRT(NORMSDIST(Q$9*SQRT($C$11)*NORMSINV($B724)+SQRT(1-Q$9^2*$C$11)*NORMSINV(P724))*(Q$7-Q$5)*(Q$6-Q$5)),Q$7-SQRT((1-NORMSDIST(Q$9*SQRT($C$11)*NORMSINV($B724)+SQRT(1-Q$9^2*$C$11)*NORMSINV(P724)))*(Q$7-Q$5)*(Q$7-Q$6))))</f>
        <v>0.0949784714136006</v>
      </c>
      <c r="R724" s="2" t="n">
        <v>0.337164971</v>
      </c>
      <c r="S724" s="2" t="n">
        <f aca="false">IF(S$7=S$5,S$6,IF(NORMSDIST(S$9*SQRT($C$11)*NORMSINV($B724)+SQRT(1-S$9^2*$C$11)*NORMSINV(R724))&lt;S$8,S$5+SQRT(NORMSDIST(S$9*SQRT($C$11)*NORMSINV($B724)+SQRT(1-S$9^2*$C$11)*NORMSINV(R724))*(S$7-S$5)*(S$6-S$5)),S$7-SQRT((1-NORMSDIST(S$9*SQRT($C$11)*NORMSINV($B724)+SQRT(1-S$9^2*$C$11)*NORMSINV(R724)))*(S$7-S$5)*(S$7-S$6))))</f>
        <v>0.550329929871146</v>
      </c>
      <c r="T724" s="2" t="n">
        <v>0.671219453</v>
      </c>
      <c r="U724" s="2" t="n">
        <f aca="false">IF(U$7=U$5,U$6,IF(NORMSDIST(U$9*SQRT($C$11)*NORMSINV($B724)+SQRT(1-U$9^2*$C$11)*NORMSINV(T724))&lt;U$8,U$5+SQRT(NORMSDIST(U$9*SQRT($C$11)*NORMSINV($B724)+SQRT(1-U$9^2*$C$11)*NORMSINV(T724))*(U$7-U$5)*(U$6-U$5)),U$7-SQRT((1-NORMSDIST(U$9*SQRT($C$11)*NORMSINV($B724)+SQRT(1-U$9^2*$C$11)*NORMSINV(T724)))*(U$7-U$5)*(U$7-U$6))))</f>
        <v>0.699005506146574</v>
      </c>
      <c r="V724" s="2" t="n">
        <v>0.875920779</v>
      </c>
      <c r="W724" s="2" t="n">
        <f aca="false">IF(W$7=W$5,W$6,IF(NORMSDIST(W$9*SQRT($C$11)*NORMSINV($B724)+SQRT(1-W$9^2*$C$11)*NORMSINV(V724))&lt;W$8,W$5+SQRT(NORMSDIST(W$9*SQRT($C$11)*NORMSINV($B724)+SQRT(1-W$9^2*$C$11)*NORMSINV(V724))*(W$7-W$5)*(W$6-W$5)),W$7-SQRT((1-NORMSDIST(W$9*SQRT($C$11)*NORMSINV($B724)+SQRT(1-W$9^2*$C$11)*NORMSINV(V724)))*(W$7-W$5)*(W$7-W$6))))</f>
        <v>11.2417241032961</v>
      </c>
      <c r="X724" s="2" t="n">
        <v>0.604136295</v>
      </c>
      <c r="Y724" s="2" t="n">
        <f aca="false">IF(Y$7=Y$5,Y$6,IF(NORMSDIST(Y$9*SQRT($C$11)*NORMSINV($B724)+SQRT(1-Y$9^2*$C$11)*NORMSINV(X724))&lt;Y$8,Y$5+SQRT(NORMSDIST(Y$9*SQRT($C$11)*NORMSINV($B724)+SQRT(1-Y$9^2*$C$11)*NORMSINV(X724))*(Y$7-Y$5)*(Y$6-Y$5)),Y$7-SQRT((1-NORMSDIST(Y$9*SQRT($C$11)*NORMSINV($B724)+SQRT(1-Y$9^2*$C$11)*NORMSINV(X724)))*(Y$7-Y$5)*(Y$7-Y$6))))</f>
        <v>0.555104672422827</v>
      </c>
      <c r="Z724" s="2" t="n">
        <v>0.202257924</v>
      </c>
      <c r="AA724" s="2" t="n">
        <f aca="false">IF(AA$7=AA$5,AA$6,IF(NORMSDIST(AA$9*SQRT($C$11)*NORMSINV($B724)+SQRT(1-AA$9^2*$C$11)*NORMSINV(Z724))&lt;AA$8,AA$5+SQRT(NORMSDIST(AA$9*SQRT($C$11)*NORMSINV($B724)+SQRT(1-AA$9^2*$C$11)*NORMSINV(Z724))*(AA$7-AA$5)*(AA$6-AA$5)),AA$7-SQRT((1-NORMSDIST(AA$9*SQRT($C$11)*NORMSINV($B724)+SQRT(1-AA$9^2*$C$11)*NORMSINV(Z724)))*(AA$7-AA$5)*(AA$7-AA$6))))</f>
        <v>0.727014347723895</v>
      </c>
      <c r="AB724" s="2" t="n">
        <v>0.543826989</v>
      </c>
      <c r="AC724" s="2" t="n">
        <f aca="false">IF(AC$7=AC$5,AC$6,IF(NORMSDIST(AC$9*SQRT($C$11)*NORMSINV($B724)+SQRT(1-AC$9^2*$C$11)*NORMSINV(AB724))&lt;AC$8,AC$5+SQRT(NORMSDIST(AC$9*SQRT($C$11)*NORMSINV($B724)+SQRT(1-AC$9^2*$C$11)*NORMSINV(AB724))*(AC$7-AC$5)*(AC$6-AC$5)),AC$7-SQRT((1-NORMSDIST(AC$9*SQRT($C$11)*NORMSINV($B724)+SQRT(1-AC$9^2*$C$11)*NORMSINV(AB724)))*(AC$7-AC$5)*(AC$7-AC$6))))</f>
        <v>9.94638619226044</v>
      </c>
      <c r="AD724" s="2" t="n">
        <f aca="false">Entrées!$C$8*(1+E724)</f>
        <v>7445.87561187914</v>
      </c>
      <c r="AE724" s="2" t="n">
        <f aca="false">I724*Hypothèses!$J$24/12/Hypothèses!$J$19</f>
        <v>100.505852103155</v>
      </c>
      <c r="AF724" s="2" t="n">
        <f aca="false">Entrées!$C$36*S724*1000</f>
        <v>275.164964935573</v>
      </c>
      <c r="AG724" s="2" t="n">
        <f aca="false">-AF724/W724</f>
        <v>-24.4771142226213</v>
      </c>
      <c r="AH724" s="2" t="n">
        <f aca="false">AD724+AE724+AG724</f>
        <v>7521.90434975968</v>
      </c>
      <c r="AI724" s="2" t="n">
        <f aca="false">Entrées!$C$16-M724+Hypothèses!$J$22*1000-AF724+Hypothèses!$J$23</f>
        <v>22607.0897533363</v>
      </c>
      <c r="AJ724" s="2" t="n">
        <f aca="false">AI724/AH724</f>
        <v>3.00550082826547</v>
      </c>
      <c r="AK724" s="2" t="n">
        <f aca="false">AI724/(AH724+I724*(12-Hypothèses!$J$24)/12/Hypothèses!$J$19)</f>
        <v>2.97708717609276</v>
      </c>
      <c r="AL724" s="2" t="n">
        <f aca="false">(AD724+AG724+I724/Hypothèses!$J$19)*(1+G724)</f>
        <v>8084.80707849262</v>
      </c>
      <c r="AM724" s="2" t="n">
        <f aca="false">Entrées!$C$54*K724/Hypothèses!$J$19</f>
        <v>31.9808572140424</v>
      </c>
      <c r="AN724" s="2" t="n">
        <f aca="false">Y724*1000/AC724</f>
        <v>55.8096842102079</v>
      </c>
      <c r="AO724" s="2" t="n">
        <f aca="false">(Entrées!$C$36*(1-S724)+MAX(0,Entrées!$C$30-Entrées!$C$35-Entrées!$C$36)*U724)*1000</f>
        <v>1203.44274366963</v>
      </c>
      <c r="AP724" s="2" t="n">
        <f aca="false">-AO724/W724</f>
        <v>-107.05143913973</v>
      </c>
      <c r="AQ724" s="2" t="n">
        <f aca="false">AL724+AM724+AN724+AP724</f>
        <v>8065.54618077714</v>
      </c>
      <c r="AR724" s="2" t="n">
        <f aca="false">O724*AQ724-Hypothèses!$J$25/Hypothèses!$J$19</f>
        <v>1407.41986862153</v>
      </c>
      <c r="AS724" s="2" t="n">
        <f aca="false">Entrées!$C$79*(1+Q724)+Hypothèses!$J$20</f>
        <v>1498.38134008355</v>
      </c>
      <c r="AT724" s="2" t="n">
        <f aca="false">AI724-AR724+AS724+Y724*1000-AO724+Hypothèses!$J$23</f>
        <v>22049.7131535515</v>
      </c>
      <c r="AU724" s="2" t="n">
        <f aca="false">AT724/AQ724</f>
        <v>2.73381525061542</v>
      </c>
      <c r="AV724" s="2" t="n">
        <f aca="false">Hypothèses!$J$26*AQ724-AT724</f>
        <v>2146.9253887799</v>
      </c>
      <c r="AW724" s="2" t="n">
        <f aca="false">IF(AC724&gt;Hypothèses!$J$26,MAX(0,AV724)/(1-Hypothèses!$J$26/AC724),0)</f>
        <v>3074.13789728049</v>
      </c>
      <c r="AX724" s="2" t="n">
        <f aca="false">AQ724-Entrées!$C$17*1000</f>
        <v>65.5461807771426</v>
      </c>
      <c r="AY724" s="2" t="n">
        <f aca="false">AI724+(Entrées!$C$244-Entrées!$C$13)</f>
        <v>28354.0897533363</v>
      </c>
      <c r="AZ724" s="2" t="n">
        <f aca="false">AA724*AH724</f>
        <v>5468.53238448206</v>
      </c>
      <c r="BA724" s="2" t="n">
        <f aca="false">AZ724/AY724</f>
        <v>0.192865735844636</v>
      </c>
      <c r="BB724" s="2" t="n">
        <f aca="false">AZ724/(Entrées!$C$151/100)-AY724</f>
        <v>2026.64571600845</v>
      </c>
      <c r="BC724" s="2" t="n">
        <f aca="false">AT724+(Entrées!$C$244-Entrées!$C$13)</f>
        <v>27796.7131535515</v>
      </c>
      <c r="BD724" s="2" t="n">
        <f aca="false">AA724*AQ724</f>
        <v>5863.76779565465</v>
      </c>
      <c r="BE724" s="2" t="n">
        <f aca="false">BD724/BC724</f>
        <v>0.210951840358343</v>
      </c>
      <c r="BF724" s="2" t="n">
        <f aca="false">BD724/(Entrées!$C$151/100)-BC724</f>
        <v>4779.77460008539</v>
      </c>
      <c r="BG724" s="2" t="n">
        <f aca="false">MIN(AV724,BF724)</f>
        <v>2146.9253887799</v>
      </c>
      <c r="BH724" s="2" t="n">
        <f aca="false">IF(AC724&gt;Hypothèses!$J$26,MAX(0,BG724)/(1-Hypothèses!$J$26/AC724),0)</f>
        <v>3074.13789728049</v>
      </c>
    </row>
    <row r="725" customFormat="false" ht="15" hidden="false" customHeight="false" outlineLevel="0" collapsed="false">
      <c r="A725" s="2" t="n">
        <v>710</v>
      </c>
      <c r="B725" s="2" t="n">
        <v>0.066018454</v>
      </c>
      <c r="C725" s="2"/>
      <c r="D725" s="2" t="n">
        <v>0.51648516</v>
      </c>
      <c r="E725" s="2" t="n">
        <f aca="false">IF(E$7=E$5,E$6,IF(NORMSDIST(E$9*SQRT($C$11)*NORMSINV($B725)+SQRT(1-E$9^2*$C$11)*NORMSINV(D725))&lt;E$8,E$5+SQRT(NORMSDIST(E$9*SQRT($C$11)*NORMSINV($B725)+SQRT(1-E$9^2*$C$11)*NORMSINV(D725))*(E$7-E$5)*(E$6-E$5)),E$7-SQRT((1-NORMSDIST(E$9*SQRT($C$11)*NORMSINV($B725)+SQRT(1-E$9^2*$C$11)*NORMSINV(D725)))*(E$7-E$5)*(E$7-E$6))))</f>
        <v>0.0529886995649362</v>
      </c>
      <c r="F725" s="2" t="n">
        <v>0.266776843</v>
      </c>
      <c r="G725" s="2" t="n">
        <f aca="false">IF(G$7=G$5,G$6,IF(NORMSDIST(G$9*SQRT($C$11)*NORMSINV($B725)+SQRT(1-G$9^2*$C$11)*NORMSINV(F725))&lt;G$8,G$5+SQRT(NORMSDIST(G$9*SQRT($C$11)*NORMSINV($B725)+SQRT(1-G$9^2*$C$11)*NORMSINV(F725))*(G$7-G$5)*(G$6-G$5)),G$7-SQRT((1-NORMSDIST(G$9*SQRT($C$11)*NORMSINV($B725)+SQRT(1-G$9^2*$C$11)*NORMSINV(F725)))*(G$7-G$5)*(G$7-G$6))))</f>
        <v>0.0458353953355547</v>
      </c>
      <c r="H725" s="2" t="n">
        <v>0.393707705</v>
      </c>
      <c r="I725" s="2" t="n">
        <f aca="false">IF(I$7=I$5,I$6,IF(NORMSDIST(I$9*SQRT($C$11)*NORMSINV($B725)+SQRT(1-I$9^2*$C$11)*NORMSINV(H725))&lt;I$8,I$5+SQRT(NORMSDIST(I$9*SQRT($C$11)*NORMSINV($B725)+SQRT(1-I$9^2*$C$11)*NORMSINV(H725))*(I$7-I$5)*(I$6-I$5)),I$7-SQRT((1-NORMSDIST(I$9*SQRT($C$11)*NORMSINV($B725)+SQRT(1-I$9^2*$C$11)*NORMSINV(H725)))*(I$7-I$5)*(I$7-I$6))))</f>
        <v>189.9088709018</v>
      </c>
      <c r="J725" s="2" t="n">
        <v>0.956383129</v>
      </c>
      <c r="K725" s="2" t="n">
        <f aca="false">IF(K$7=K$5,K$6,IF(NORMSDIST(K$9*SQRT($C$11)*NORMSINV($B725)+SQRT(1-K$9^2*$C$11)*NORMSINV(J725))&lt;K$8,K$5+SQRT(NORMSDIST(K$9*SQRT($C$11)*NORMSINV($B725)+SQRT(1-K$9^2*$C$11)*NORMSINV(J725))*(K$7-K$5)*(K$6-K$5)),K$7-SQRT((1-NORMSDIST(K$9*SQRT($C$11)*NORMSINV($B725)+SQRT(1-K$9^2*$C$11)*NORMSINV(J725)))*(K$7-K$5)*(K$7-K$6))))</f>
        <v>0.289377871903233</v>
      </c>
      <c r="L725" s="2" t="n">
        <v>0.501327435</v>
      </c>
      <c r="M725" s="2" t="n">
        <f aca="false">IF(M$7=M$5,M$6,IF(NORMSDIST(M$9*SQRT($C$11)*NORMSINV($B725)+SQRT(1-M$9^2*$C$11)*NORMSINV(L725))&lt;M$8,M$5+SQRT(NORMSDIST(M$9*SQRT($C$11)*NORMSINV($B725)+SQRT(1-M$9^2*$C$11)*NORMSINV(L725))*(M$7-M$5)*(M$6-M$5)),M$7-SQRT((1-NORMSDIST(M$9*SQRT($C$11)*NORMSINV($B725)+SQRT(1-M$9^2*$C$11)*NORMSINV(L725)))*(M$7-M$5)*(M$7-M$6))))</f>
        <v>1468.23422534195</v>
      </c>
      <c r="N725" s="2" t="n">
        <v>0.730491747</v>
      </c>
      <c r="O725" s="2" t="n">
        <f aca="false">IF(O$7=O$5,O$6,IF(NORMSDIST(O$9*SQRT($C$11)*NORMSINV($B725)+SQRT(1-O$9^2*$C$11)*NORMSINV(N725))&lt;O$8,O$5+SQRT(NORMSDIST(O$9*SQRT($C$11)*NORMSINV($B725)+SQRT(1-O$9^2*$C$11)*NORMSINV(N725))*(O$7-O$5)*(O$6-O$5)),O$7-SQRT((1-NORMSDIST(O$9*SQRT($C$11)*NORMSINV($B725)+SQRT(1-O$9^2*$C$11)*NORMSINV(N725)))*(O$7-O$5)*(O$7-O$6))))</f>
        <v>0.16131957439823</v>
      </c>
      <c r="P725" s="2" t="n">
        <v>0.477041228</v>
      </c>
      <c r="Q725" s="2" t="n">
        <f aca="false">IF(Q$7=Q$5,Q$6,IF(NORMSDIST(Q$9*SQRT($C$11)*NORMSINV($B725)+SQRT(1-Q$9^2*$C$11)*NORMSINV(P725))&lt;Q$8,Q$5+SQRT(NORMSDIST(Q$9*SQRT($C$11)*NORMSINV($B725)+SQRT(1-Q$9^2*$C$11)*NORMSINV(P725))*(Q$7-Q$5)*(Q$6-Q$5)),Q$7-SQRT((1-NORMSDIST(Q$9*SQRT($C$11)*NORMSINV($B725)+SQRT(1-Q$9^2*$C$11)*NORMSINV(P725)))*(Q$7-Q$5)*(Q$7-Q$6))))</f>
        <v>0.0790708578047629</v>
      </c>
      <c r="R725" s="2" t="n">
        <v>0.685827845</v>
      </c>
      <c r="S725" s="2" t="n">
        <f aca="false">IF(S$7=S$5,S$6,IF(NORMSDIST(S$9*SQRT($C$11)*NORMSINV($B725)+SQRT(1-S$9^2*$C$11)*NORMSINV(R725))&lt;S$8,S$5+SQRT(NORMSDIST(S$9*SQRT($C$11)*NORMSINV($B725)+SQRT(1-S$9^2*$C$11)*NORMSINV(R725))*(S$7-S$5)*(S$6-S$5)),S$7-SQRT((1-NORMSDIST(S$9*SQRT($C$11)*NORMSINV($B725)+SQRT(1-S$9^2*$C$11)*NORMSINV(R725)))*(S$7-S$5)*(S$7-S$6))))</f>
        <v>0.375344025196355</v>
      </c>
      <c r="T725" s="2" t="n">
        <v>0.683100438</v>
      </c>
      <c r="U725" s="2" t="n">
        <f aca="false">IF(U$7=U$5,U$6,IF(NORMSDIST(U$9*SQRT($C$11)*NORMSINV($B725)+SQRT(1-U$9^2*$C$11)*NORMSINV(T725))&lt;U$8,U$5+SQRT(NORMSDIST(U$9*SQRT($C$11)*NORMSINV($B725)+SQRT(1-U$9^2*$C$11)*NORMSINV(T725))*(U$7-U$5)*(U$6-U$5)),U$7-SQRT((1-NORMSDIST(U$9*SQRT($C$11)*NORMSINV($B725)+SQRT(1-U$9^2*$C$11)*NORMSINV(T725)))*(U$7-U$5)*(U$7-U$6))))</f>
        <v>0.37400744639535</v>
      </c>
      <c r="V725" s="2" t="n">
        <v>0.586544436</v>
      </c>
      <c r="W725" s="2" t="n">
        <f aca="false">IF(W$7=W$5,W$6,IF(NORMSDIST(W$9*SQRT($C$11)*NORMSINV($B725)+SQRT(1-W$9^2*$C$11)*NORMSINV(V725))&lt;W$8,W$5+SQRT(NORMSDIST(W$9*SQRT($C$11)*NORMSINV($B725)+SQRT(1-W$9^2*$C$11)*NORMSINV(V725))*(W$7-W$5)*(W$6-W$5)),W$7-SQRT((1-NORMSDIST(W$9*SQRT($C$11)*NORMSINV($B725)+SQRT(1-W$9^2*$C$11)*NORMSINV(V725)))*(W$7-W$5)*(W$7-W$6))))</f>
        <v>9.31685084875625</v>
      </c>
      <c r="X725" s="2" t="n">
        <v>0.482740455</v>
      </c>
      <c r="Y725" s="2" t="n">
        <f aca="false">IF(Y$7=Y$5,Y$6,IF(NORMSDIST(Y$9*SQRT($C$11)*NORMSINV($B725)+SQRT(1-Y$9^2*$C$11)*NORMSINV(X725))&lt;Y$8,Y$5+SQRT(NORMSDIST(Y$9*SQRT($C$11)*NORMSINV($B725)+SQRT(1-Y$9^2*$C$11)*NORMSINV(X725))*(Y$7-Y$5)*(Y$6-Y$5)),Y$7-SQRT((1-NORMSDIST(Y$9*SQRT($C$11)*NORMSINV($B725)+SQRT(1-Y$9^2*$C$11)*NORMSINV(X725)))*(Y$7-Y$5)*(Y$7-Y$6))))</f>
        <v>0.491294440737935</v>
      </c>
      <c r="Z725" s="2" t="n">
        <v>0.526855398</v>
      </c>
      <c r="AA725" s="2" t="n">
        <f aca="false">IF(AA$7=AA$5,AA$6,IF(NORMSDIST(AA$9*SQRT($C$11)*NORMSINV($B725)+SQRT(1-AA$9^2*$C$11)*NORMSINV(Z725))&lt;AA$8,AA$5+SQRT(NORMSDIST(AA$9*SQRT($C$11)*NORMSINV($B725)+SQRT(1-AA$9^2*$C$11)*NORMSINV(Z725))*(AA$7-AA$5)*(AA$6-AA$5)),AA$7-SQRT((1-NORMSDIST(AA$9*SQRT($C$11)*NORMSINV($B725)+SQRT(1-AA$9^2*$C$11)*NORMSINV(Z725)))*(AA$7-AA$5)*(AA$7-AA$6))))</f>
        <v>0.715173434711155</v>
      </c>
      <c r="AB725" s="2" t="n">
        <v>0.598017969</v>
      </c>
      <c r="AC725" s="2" t="n">
        <f aca="false">IF(AC$7=AC$5,AC$6,IF(NORMSDIST(AC$9*SQRT($C$11)*NORMSINV($B725)+SQRT(1-AC$9^2*$C$11)*NORMSINV(AB725))&lt;AC$8,AC$5+SQRT(NORMSDIST(AC$9*SQRT($C$11)*NORMSINV($B725)+SQRT(1-AC$9^2*$C$11)*NORMSINV(AB725))*(AC$7-AC$5)*(AC$6-AC$5)),AC$7-SQRT((1-NORMSDIST(AC$9*SQRT($C$11)*NORMSINV($B725)+SQRT(1-AC$9^2*$C$11)*NORMSINV(AB725)))*(AC$7-AC$5)*(AC$7-AC$6))))</f>
        <v>8.78975230268567</v>
      </c>
      <c r="AD725" s="2" t="n">
        <f aca="false">Entrées!$C$8*(1+E725)</f>
        <v>7423.5703319328</v>
      </c>
      <c r="AE725" s="2" t="n">
        <f aca="false">I725*Hypothèses!$J$24/12/Hypothèses!$J$19</f>
        <v>94.2131830273958</v>
      </c>
      <c r="AF725" s="2" t="n">
        <f aca="false">Entrées!$C$36*S725*1000</f>
        <v>187.672012598177</v>
      </c>
      <c r="AG725" s="2" t="n">
        <f aca="false">-AF725/W725</f>
        <v>-20.1432882896511</v>
      </c>
      <c r="AH725" s="2" t="n">
        <f aca="false">AD725+AE725+AG725</f>
        <v>7497.64022667054</v>
      </c>
      <c r="AI725" s="2" t="n">
        <f aca="false">Entrées!$C$16-M725+Hypothèses!$J$22*1000-AF725+Hypothèses!$J$23</f>
        <v>22892.0937620599</v>
      </c>
      <c r="AJ725" s="2" t="n">
        <f aca="false">AI725/AH725</f>
        <v>3.05323982879684</v>
      </c>
      <c r="AK725" s="2" t="n">
        <f aca="false">AI725/(AH725+I725*(12-Hypothèses!$J$24)/12/Hypothèses!$J$19)</f>
        <v>3.02607923009594</v>
      </c>
      <c r="AL725" s="2" t="n">
        <f aca="false">(AD725+AG725+I725/Hypothèses!$J$19)*(1+G725)</f>
        <v>7911.67716019895</v>
      </c>
      <c r="AM725" s="2" t="n">
        <f aca="false">Entrées!$C$54*K725/Hypothèses!$J$19</f>
        <v>29.5322268468927</v>
      </c>
      <c r="AN725" s="2" t="n">
        <f aca="false">Y725*1000/AC725</f>
        <v>55.8940029047032</v>
      </c>
      <c r="AO725" s="2" t="n">
        <f aca="false">(Entrées!$C$36*(1-S725)+MAX(0,Entrées!$C$30-Entrées!$C$35-Entrées!$C$36)*U725)*1000</f>
        <v>835.938412355313</v>
      </c>
      <c r="AP725" s="2" t="n">
        <f aca="false">-AO725/W725</f>
        <v>-89.7232794562667</v>
      </c>
      <c r="AQ725" s="2" t="n">
        <f aca="false">AL725+AM725+AN725+AP725</f>
        <v>7907.38011049428</v>
      </c>
      <c r="AR725" s="2" t="n">
        <f aca="false">O725*AQ725-Hypothèses!$J$25/Hypothèses!$J$19</f>
        <v>1256.48003176834</v>
      </c>
      <c r="AS725" s="2" t="n">
        <f aca="false">Entrées!$C$79*(1+Q725)+Hypothèses!$J$20</f>
        <v>1480.89887272743</v>
      </c>
      <c r="AT725" s="2" t="n">
        <f aca="false">AI725-AR725+AS725+Y725*1000-AO725+Hypothèses!$J$23</f>
        <v>22771.8686314016</v>
      </c>
      <c r="AU725" s="2" t="n">
        <f aca="false">AT725/AQ725</f>
        <v>2.87982470972654</v>
      </c>
      <c r="AV725" s="2" t="n">
        <f aca="false">Hypothèses!$J$26*AQ725-AT725</f>
        <v>950.271700081237</v>
      </c>
      <c r="AW725" s="2" t="n">
        <f aca="false">IF(AC725&gt;Hypothèses!$J$26,MAX(0,AV725)/(1-Hypothèses!$J$26/AC725),0)</f>
        <v>1442.66152113132</v>
      </c>
      <c r="AX725" s="2" t="n">
        <f aca="false">AQ725-Entrées!$C$17*1000</f>
        <v>-92.619889505725</v>
      </c>
      <c r="AY725" s="2" t="n">
        <f aca="false">AI725+(Entrées!$C$244-Entrées!$C$13)</f>
        <v>28639.0937620599</v>
      </c>
      <c r="AZ725" s="2" t="n">
        <f aca="false">AA725*AH725</f>
        <v>5362.1131131365</v>
      </c>
      <c r="BA725" s="2" t="n">
        <f aca="false">AZ725/AY725</f>
        <v>0.187230544293271</v>
      </c>
      <c r="BB725" s="2" t="n">
        <f aca="false">AZ725/(Entrées!$C$151/100)-AY725</f>
        <v>1150.42353314291</v>
      </c>
      <c r="BC725" s="2" t="n">
        <f aca="false">AT725+(Entrées!$C$244-Entrées!$C$13)</f>
        <v>28518.8686314016</v>
      </c>
      <c r="BD725" s="2" t="n">
        <f aca="false">AA725*AQ725</f>
        <v>5655.14819318887</v>
      </c>
      <c r="BE725" s="2" t="n">
        <f aca="false">BD725/BC725</f>
        <v>0.19829496977177</v>
      </c>
      <c r="BF725" s="2" t="n">
        <f aca="false">BD725/(Entrées!$C$151/100)-BC725</f>
        <v>2898.62133075878</v>
      </c>
      <c r="BG725" s="2" t="n">
        <f aca="false">MIN(AV725,BF725)</f>
        <v>950.271700081237</v>
      </c>
      <c r="BH725" s="2" t="n">
        <f aca="false">IF(AC725&gt;Hypothèses!$J$26,MAX(0,BG725)/(1-Hypothèses!$J$26/AC725),0)</f>
        <v>1442.66152113132</v>
      </c>
    </row>
    <row r="726" customFormat="false" ht="15" hidden="false" customHeight="false" outlineLevel="0" collapsed="false">
      <c r="A726" s="2" t="n">
        <v>711</v>
      </c>
      <c r="B726" s="2" t="n">
        <v>0.04990989</v>
      </c>
      <c r="C726" s="2"/>
      <c r="D726" s="2" t="n">
        <v>0.058560679</v>
      </c>
      <c r="E726" s="2" t="n">
        <f aca="false">IF(E$7=E$5,E$6,IF(NORMSDIST(E$9*SQRT($C$11)*NORMSINV($B726)+SQRT(1-E$9^2*$C$11)*NORMSINV(D726))&lt;E$8,E$5+SQRT(NORMSDIST(E$9*SQRT($C$11)*NORMSINV($B726)+SQRT(1-E$9^2*$C$11)*NORMSINV(D726))*(E$7-E$5)*(E$6-E$5)),E$7-SQRT((1-NORMSDIST(E$9*SQRT($C$11)*NORMSINV($B726)+SQRT(1-E$9^2*$C$11)*NORMSINV(D726)))*(E$7-E$5)*(E$7-E$6))))</f>
        <v>0.0507771285396027</v>
      </c>
      <c r="F726" s="2" t="n">
        <v>0.245990377</v>
      </c>
      <c r="G726" s="2" t="n">
        <f aca="false">IF(G$7=G$5,G$6,IF(NORMSDIST(G$9*SQRT($C$11)*NORMSINV($B726)+SQRT(1-G$9^2*$C$11)*NORMSINV(F726))&lt;G$8,G$5+SQRT(NORMSDIST(G$9*SQRT($C$11)*NORMSINV($B726)+SQRT(1-G$9^2*$C$11)*NORMSINV(F726))*(G$7-G$5)*(G$6-G$5)),G$7-SQRT((1-NORMSDIST(G$9*SQRT($C$11)*NORMSINV($B726)+SQRT(1-G$9^2*$C$11)*NORMSINV(F726)))*(G$7-G$5)*(G$7-G$6))))</f>
        <v>0.0451019923193586</v>
      </c>
      <c r="H726" s="2" t="n">
        <v>0.384033196</v>
      </c>
      <c r="I726" s="2" t="n">
        <f aca="false">IF(I$7=I$5,I$6,IF(NORMSDIST(I$9*SQRT($C$11)*NORMSINV($B726)+SQRT(1-I$9^2*$C$11)*NORMSINV(H726))&lt;I$8,I$5+SQRT(NORMSDIST(I$9*SQRT($C$11)*NORMSINV($B726)+SQRT(1-I$9^2*$C$11)*NORMSINV(H726))*(I$7-I$5)*(I$6-I$5)),I$7-SQRT((1-NORMSDIST(I$9*SQRT($C$11)*NORMSINV($B726)+SQRT(1-I$9^2*$C$11)*NORMSINV(H726)))*(I$7-I$5)*(I$7-I$6))))</f>
        <v>189.040805648118</v>
      </c>
      <c r="J726" s="2" t="n">
        <v>0.088480356</v>
      </c>
      <c r="K726" s="2" t="n">
        <f aca="false">IF(K$7=K$5,K$6,IF(NORMSDIST(K$9*SQRT($C$11)*NORMSINV($B726)+SQRT(1-K$9^2*$C$11)*NORMSINV(J726))&lt;K$8,K$5+SQRT(NORMSDIST(K$9*SQRT($C$11)*NORMSINV($B726)+SQRT(1-K$9^2*$C$11)*NORMSINV(J726))*(K$7-K$5)*(K$6-K$5)),K$7-SQRT((1-NORMSDIST(K$9*SQRT($C$11)*NORMSINV($B726)+SQRT(1-K$9^2*$C$11)*NORMSINV(J726)))*(K$7-K$5)*(K$7-K$6))))</f>
        <v>0.0480340242013462</v>
      </c>
      <c r="L726" s="2" t="n">
        <v>0.005803344</v>
      </c>
      <c r="M726" s="2" t="n">
        <f aca="false">IF(M$7=M$5,M$6,IF(NORMSDIST(M$9*SQRT($C$11)*NORMSINV($B726)+SQRT(1-M$9^2*$C$11)*NORMSINV(L726))&lt;M$8,M$5+SQRT(NORMSDIST(M$9*SQRT($C$11)*NORMSINV($B726)+SQRT(1-M$9^2*$C$11)*NORMSINV(L726))*(M$7-M$5)*(M$6-M$5)),M$7-SQRT((1-NORMSDIST(M$9*SQRT($C$11)*NORMSINV($B726)+SQRT(1-M$9^2*$C$11)*NORMSINV(L726)))*(M$7-M$5)*(M$7-M$6))))</f>
        <v>1317.96083512496</v>
      </c>
      <c r="N726" s="2" t="n">
        <v>0.557962641</v>
      </c>
      <c r="O726" s="2" t="n">
        <f aca="false">IF(O$7=O$5,O$6,IF(NORMSDIST(O$9*SQRT($C$11)*NORMSINV($B726)+SQRT(1-O$9^2*$C$11)*NORMSINV(N726))&lt;O$8,O$5+SQRT(NORMSDIST(O$9*SQRT($C$11)*NORMSINV($B726)+SQRT(1-O$9^2*$C$11)*NORMSINV(N726))*(O$7-O$5)*(O$6-O$5)),O$7-SQRT((1-NORMSDIST(O$9*SQRT($C$11)*NORMSINV($B726)+SQRT(1-O$9^2*$C$11)*NORMSINV(N726)))*(O$7-O$5)*(O$7-O$6))))</f>
        <v>0.155923933077412</v>
      </c>
      <c r="P726" s="2" t="n">
        <v>0.000331158</v>
      </c>
      <c r="Q726" s="2" t="n">
        <f aca="false">IF(Q$7=Q$5,Q$6,IF(NORMSDIST(Q$9*SQRT($C$11)*NORMSINV($B726)+SQRT(1-Q$9^2*$C$11)*NORMSINV(P726))&lt;Q$8,Q$5+SQRT(NORMSDIST(Q$9*SQRT($C$11)*NORMSINV($B726)+SQRT(1-Q$9^2*$C$11)*NORMSINV(P726))*(Q$7-Q$5)*(Q$6-Q$5)),Q$7-SQRT((1-NORMSDIST(Q$9*SQRT($C$11)*NORMSINV($B726)+SQRT(1-Q$9^2*$C$11)*NORMSINV(P726)))*(Q$7-Q$5)*(Q$7-Q$6))))</f>
        <v>0.0410294200308912</v>
      </c>
      <c r="R726" s="2" t="n">
        <v>0.820639554</v>
      </c>
      <c r="S726" s="2" t="n">
        <f aca="false">IF(S$7=S$5,S$6,IF(NORMSDIST(S$9*SQRT($C$11)*NORMSINV($B726)+SQRT(1-S$9^2*$C$11)*NORMSINV(R726))&lt;S$8,S$5+SQRT(NORMSDIST(S$9*SQRT($C$11)*NORMSINV($B726)+SQRT(1-S$9^2*$C$11)*NORMSINV(R726))*(S$7-S$5)*(S$6-S$5)),S$7-SQRT((1-NORMSDIST(S$9*SQRT($C$11)*NORMSINV($B726)+SQRT(1-S$9^2*$C$11)*NORMSINV(R726)))*(S$7-S$5)*(S$7-S$6))))</f>
        <v>0.430540269217508</v>
      </c>
      <c r="T726" s="2" t="n">
        <v>0.272212122</v>
      </c>
      <c r="U726" s="2" t="n">
        <f aca="false">IF(U$7=U$5,U$6,IF(NORMSDIST(U$9*SQRT($C$11)*NORMSINV($B726)+SQRT(1-U$9^2*$C$11)*NORMSINV(T726))&lt;U$8,U$5+SQRT(NORMSDIST(U$9*SQRT($C$11)*NORMSINV($B726)+SQRT(1-U$9^2*$C$11)*NORMSINV(T726))*(U$7-U$5)*(U$6-U$5)),U$7-SQRT((1-NORMSDIST(U$9*SQRT($C$11)*NORMSINV($B726)+SQRT(1-U$9^2*$C$11)*NORMSINV(T726)))*(U$7-U$5)*(U$7-U$6))))</f>
        <v>0.180936007933454</v>
      </c>
      <c r="V726" s="2" t="n">
        <v>0.899163685</v>
      </c>
      <c r="W726" s="2" t="n">
        <f aca="false">IF(W$7=W$5,W$6,IF(NORMSDIST(W$9*SQRT($C$11)*NORMSINV($B726)+SQRT(1-W$9^2*$C$11)*NORMSINV(V726))&lt;W$8,W$5+SQRT(NORMSDIST(W$9*SQRT($C$11)*NORMSINV($B726)+SQRT(1-W$9^2*$C$11)*NORMSINV(V726))*(W$7-W$5)*(W$6-W$5)),W$7-SQRT((1-NORMSDIST(W$9*SQRT($C$11)*NORMSINV($B726)+SQRT(1-W$9^2*$C$11)*NORMSINV(V726)))*(W$7-W$5)*(W$7-W$6))))</f>
        <v>9.95821636182829</v>
      </c>
      <c r="X726" s="2" t="n">
        <v>0.286145731</v>
      </c>
      <c r="Y726" s="2" t="n">
        <f aca="false">IF(Y$7=Y$5,Y$6,IF(NORMSDIST(Y$9*SQRT($C$11)*NORMSINV($B726)+SQRT(1-Y$9^2*$C$11)*NORMSINV(X726))&lt;Y$8,Y$5+SQRT(NORMSDIST(Y$9*SQRT($C$11)*NORMSINV($B726)+SQRT(1-Y$9^2*$C$11)*NORMSINV(X726))*(Y$7-Y$5)*(Y$6-Y$5)),Y$7-SQRT((1-NORMSDIST(Y$9*SQRT($C$11)*NORMSINV($B726)+SQRT(1-Y$9^2*$C$11)*NORMSINV(X726)))*(Y$7-Y$5)*(Y$7-Y$6))))</f>
        <v>0.378249739590129</v>
      </c>
      <c r="Z726" s="2" t="n">
        <v>0.111505247</v>
      </c>
      <c r="AA726" s="2" t="n">
        <f aca="false">IF(AA$7=AA$5,AA$6,IF(NORMSDIST(AA$9*SQRT($C$11)*NORMSINV($B726)+SQRT(1-AA$9^2*$C$11)*NORMSINV(Z726))&lt;AA$8,AA$5+SQRT(NORMSDIST(AA$9*SQRT($C$11)*NORMSINV($B726)+SQRT(1-AA$9^2*$C$11)*NORMSINV(Z726))*(AA$7-AA$5)*(AA$6-AA$5)),AA$7-SQRT((1-NORMSDIST(AA$9*SQRT($C$11)*NORMSINV($B726)+SQRT(1-AA$9^2*$C$11)*NORMSINV(Z726)))*(AA$7-AA$5)*(AA$7-AA$6))))</f>
        <v>0.702428373920111</v>
      </c>
      <c r="AB726" s="2" t="n">
        <v>0.361140917</v>
      </c>
      <c r="AC726" s="2" t="n">
        <f aca="false">IF(AC$7=AC$5,AC$6,IF(NORMSDIST(AC$9*SQRT($C$11)*NORMSINV($B726)+SQRT(1-AC$9^2*$C$11)*NORMSINV(AB726))&lt;AC$8,AC$5+SQRT(NORMSDIST(AC$9*SQRT($C$11)*NORMSINV($B726)+SQRT(1-AC$9^2*$C$11)*NORMSINV(AB726))*(AC$7-AC$5)*(AC$6-AC$5)),AC$7-SQRT((1-NORMSDIST(AC$9*SQRT($C$11)*NORMSINV($B726)+SQRT(1-AC$9^2*$C$11)*NORMSINV(AB726)))*(AC$7-AC$5)*(AC$7-AC$6))))</f>
        <v>8.3014958024521</v>
      </c>
      <c r="AD726" s="2" t="n">
        <f aca="false">Entrées!$C$8*(1+E726)</f>
        <v>7407.9787562042</v>
      </c>
      <c r="AE726" s="2" t="n">
        <f aca="false">I726*Hypothèses!$J$24/12/Hypothèses!$J$19</f>
        <v>93.7825386333949</v>
      </c>
      <c r="AF726" s="2" t="n">
        <f aca="false">Entrées!$C$36*S726*1000</f>
        <v>215.270134608754</v>
      </c>
      <c r="AG726" s="2" t="n">
        <f aca="false">-AF726/W726</f>
        <v>-21.6173385661638</v>
      </c>
      <c r="AH726" s="2" t="n">
        <f aca="false">AD726+AE726+AG726</f>
        <v>7480.14395627143</v>
      </c>
      <c r="AI726" s="2" t="n">
        <f aca="false">Entrées!$C$16-M726+Hypothèses!$J$22*1000-AF726+Hypothèses!$J$23</f>
        <v>23014.7690302663</v>
      </c>
      <c r="AJ726" s="2" t="n">
        <f aca="false">AI726/AH726</f>
        <v>3.07678156527596</v>
      </c>
      <c r="AK726" s="2" t="n">
        <f aca="false">AI726/(AH726+I726*(12-Hypothèses!$J$24)/12/Hypothèses!$J$19)</f>
        <v>3.0494723829132</v>
      </c>
      <c r="AL726" s="2" t="n">
        <f aca="false">(AD726+AG726+I726/Hypothèses!$J$19)*(1+G726)</f>
        <v>7887.52215008526</v>
      </c>
      <c r="AM726" s="2" t="n">
        <f aca="false">Entrées!$C$54*K726/Hypothèses!$J$19</f>
        <v>4.90207385158201</v>
      </c>
      <c r="AN726" s="2" t="n">
        <f aca="false">Y726*1000/AC726</f>
        <v>45.564046358778</v>
      </c>
      <c r="AO726" s="2" t="n">
        <f aca="false">(Entrées!$C$36*(1-S726)+MAX(0,Entrées!$C$30-Entrées!$C$35-Entrées!$C$36)*U726)*1000</f>
        <v>538.040276498082</v>
      </c>
      <c r="AP726" s="2" t="n">
        <f aca="false">-AO726/W726</f>
        <v>-54.0297837432506</v>
      </c>
      <c r="AQ726" s="2" t="n">
        <f aca="false">AL726+AM726+AN726+AP726</f>
        <v>7883.95848655237</v>
      </c>
      <c r="AR726" s="2" t="n">
        <f aca="false">O726*AQ726-Hypothèses!$J$25/Hypothèses!$J$19</f>
        <v>1210.16265318066</v>
      </c>
      <c r="AS726" s="2" t="n">
        <f aca="false">Entrées!$C$79*(1+Q726)+Hypothèses!$J$20</f>
        <v>1439.09133261395</v>
      </c>
      <c r="AT726" s="2" t="n">
        <f aca="false">AI726-AR726+AS726+Y726*1000-AO726+Hypothèses!$J$23</f>
        <v>23083.9071727916</v>
      </c>
      <c r="AU726" s="2" t="n">
        <f aca="false">AT726/AQ726</f>
        <v>2.92795899574633</v>
      </c>
      <c r="AV726" s="2" t="n">
        <f aca="false">Hypothèses!$J$26*AQ726-AT726</f>
        <v>567.968286865478</v>
      </c>
      <c r="AW726" s="2" t="n">
        <f aca="false">IF(AC726&gt;Hypothèses!$J$26,MAX(0,AV726)/(1-Hypothèses!$J$26/AC726),0)</f>
        <v>889.36906205959</v>
      </c>
      <c r="AX726" s="2" t="n">
        <f aca="false">AQ726-Entrées!$C$17*1000</f>
        <v>-116.041513447633</v>
      </c>
      <c r="AY726" s="2" t="n">
        <f aca="false">AI726+(Entrées!$C$244-Entrées!$C$13)</f>
        <v>28761.7690302663</v>
      </c>
      <c r="AZ726" s="2" t="n">
        <f aca="false">AA726*AH726</f>
        <v>5254.26535589209</v>
      </c>
      <c r="BA726" s="2" t="n">
        <f aca="false">AZ726/AY726</f>
        <v>0.182682273484742</v>
      </c>
      <c r="BB726" s="2" t="n">
        <f aca="false">AZ726/(Entrées!$C$151/100)-AY726</f>
        <v>428.594058023085</v>
      </c>
      <c r="BC726" s="2" t="n">
        <f aca="false">AT726+(Entrées!$C$244-Entrées!$C$13)</f>
        <v>28830.9071727916</v>
      </c>
      <c r="BD726" s="2" t="n">
        <f aca="false">AA726*AQ726</f>
        <v>5537.91613976264</v>
      </c>
      <c r="BE726" s="2" t="n">
        <f aca="false">BD726/BC726</f>
        <v>0.192082618371055</v>
      </c>
      <c r="BF726" s="2" t="n">
        <f aca="false">BD726/(Entrées!$C$151/100)-BC726</f>
        <v>1935.29360366749</v>
      </c>
      <c r="BG726" s="2" t="n">
        <f aca="false">MIN(AV726,BF726)</f>
        <v>567.968286865478</v>
      </c>
      <c r="BH726" s="2" t="n">
        <f aca="false">IF(AC726&gt;Hypothèses!$J$26,MAX(0,BG726)/(1-Hypothèses!$J$26/AC726),0)</f>
        <v>889.36906205959</v>
      </c>
    </row>
    <row r="727" customFormat="false" ht="15" hidden="false" customHeight="false" outlineLevel="0" collapsed="false">
      <c r="A727" s="2" t="n">
        <v>712</v>
      </c>
      <c r="B727" s="2" t="n">
        <v>0.533706007</v>
      </c>
      <c r="C727" s="2"/>
      <c r="D727" s="2" t="n">
        <v>0.849272091</v>
      </c>
      <c r="E727" s="2" t="n">
        <f aca="false">IF(E$7=E$5,E$6,IF(NORMSDIST(E$9*SQRT($C$11)*NORMSINV($B727)+SQRT(1-E$9^2*$C$11)*NORMSINV(D727))&lt;E$8,E$5+SQRT(NORMSDIST(E$9*SQRT($C$11)*NORMSINV($B727)+SQRT(1-E$9^2*$C$11)*NORMSINV(D727))*(E$7-E$5)*(E$6-E$5)),E$7-SQRT((1-NORMSDIST(E$9*SQRT($C$11)*NORMSINV($B727)+SQRT(1-E$9^2*$C$11)*NORMSINV(D727)))*(E$7-E$5)*(E$7-E$6))))</f>
        <v>0.0568648801290009</v>
      </c>
      <c r="F727" s="2" t="n">
        <v>0.06415562</v>
      </c>
      <c r="G727" s="2" t="n">
        <f aca="false">IF(G$7=G$5,G$6,IF(NORMSDIST(G$9*SQRT($C$11)*NORMSINV($B727)+SQRT(1-G$9^2*$C$11)*NORMSINV(F727))&lt;G$8,G$5+SQRT(NORMSDIST(G$9*SQRT($C$11)*NORMSINV($B727)+SQRT(1-G$9^2*$C$11)*NORMSINV(F727))*(G$7-G$5)*(G$6-G$5)),G$7-SQRT((1-NORMSDIST(G$9*SQRT($C$11)*NORMSINV($B727)+SQRT(1-G$9^2*$C$11)*NORMSINV(F727)))*(G$7-G$5)*(G$7-G$6))))</f>
        <v>0.0476602766247513</v>
      </c>
      <c r="H727" s="2" t="n">
        <v>0.707794306</v>
      </c>
      <c r="I727" s="2" t="n">
        <f aca="false">IF(I$7=I$5,I$6,IF(NORMSDIST(I$9*SQRT($C$11)*NORMSINV($B727)+SQRT(1-I$9^2*$C$11)*NORMSINV(H727))&lt;I$8,I$5+SQRT(NORMSDIST(I$9*SQRT($C$11)*NORMSINV($B727)+SQRT(1-I$9^2*$C$11)*NORMSINV(H727))*(I$7-I$5)*(I$6-I$5)),I$7-SQRT((1-NORMSDIST(I$9*SQRT($C$11)*NORMSINV($B727)+SQRT(1-I$9^2*$C$11)*NORMSINV(H727)))*(I$7-I$5)*(I$7-I$6))))</f>
        <v>204.084679235903</v>
      </c>
      <c r="J727" s="2" t="n">
        <v>0.701693319</v>
      </c>
      <c r="K727" s="2" t="n">
        <f aca="false">IF(K$7=K$5,K$6,IF(NORMSDIST(K$9*SQRT($C$11)*NORMSINV($B727)+SQRT(1-K$9^2*$C$11)*NORMSINV(J727))&lt;K$8,K$5+SQRT(NORMSDIST(K$9*SQRT($C$11)*NORMSINV($B727)+SQRT(1-K$9^2*$C$11)*NORMSINV(J727))*(K$7-K$5)*(K$6-K$5)),K$7-SQRT((1-NORMSDIST(K$9*SQRT($C$11)*NORMSINV($B727)+SQRT(1-K$9^2*$C$11)*NORMSINV(J727)))*(K$7-K$5)*(K$7-K$6))))</f>
        <v>0.299528073069585</v>
      </c>
      <c r="L727" s="2" t="n">
        <v>0.67184418</v>
      </c>
      <c r="M727" s="2" t="n">
        <f aca="false">IF(M$7=M$5,M$6,IF(NORMSDIST(M$9*SQRT($C$11)*NORMSINV($B727)+SQRT(1-M$9^2*$C$11)*NORMSINV(L727))&lt;M$8,M$5+SQRT(NORMSDIST(M$9*SQRT($C$11)*NORMSINV($B727)+SQRT(1-M$9^2*$C$11)*NORMSINV(L727))*(M$7-M$5)*(M$6-M$5)),M$7-SQRT((1-NORMSDIST(M$9*SQRT($C$11)*NORMSINV($B727)+SQRT(1-M$9^2*$C$11)*NORMSINV(L727)))*(M$7-M$5)*(M$7-M$6))))</f>
        <v>1626.07744093963</v>
      </c>
      <c r="N727" s="2" t="n">
        <v>0.454896534</v>
      </c>
      <c r="O727" s="2" t="n">
        <f aca="false">IF(O$7=O$5,O$6,IF(NORMSDIST(O$9*SQRT($C$11)*NORMSINV($B727)+SQRT(1-O$9^2*$C$11)*NORMSINV(N727))&lt;O$8,O$5+SQRT(NORMSDIST(O$9*SQRT($C$11)*NORMSINV($B727)+SQRT(1-O$9^2*$C$11)*NORMSINV(N727))*(O$7-O$5)*(O$6-O$5)),O$7-SQRT((1-NORMSDIST(O$9*SQRT($C$11)*NORMSINV($B727)+SQRT(1-O$9^2*$C$11)*NORMSINV(N727)))*(O$7-O$5)*(O$7-O$6))))</f>
        <v>0.166415918157738</v>
      </c>
      <c r="P727" s="2" t="n">
        <v>0.276638276</v>
      </c>
      <c r="Q727" s="2" t="n">
        <f aca="false">IF(Q$7=Q$5,Q$6,IF(NORMSDIST(Q$9*SQRT($C$11)*NORMSINV($B727)+SQRT(1-Q$9^2*$C$11)*NORMSINV(P727))&lt;Q$8,Q$5+SQRT(NORMSDIST(Q$9*SQRT($C$11)*NORMSINV($B727)+SQRT(1-Q$9^2*$C$11)*NORMSINV(P727))*(Q$7-Q$5)*(Q$6-Q$5)),Q$7-SQRT((1-NORMSDIST(Q$9*SQRT($C$11)*NORMSINV($B727)+SQRT(1-Q$9^2*$C$11)*NORMSINV(P727)))*(Q$7-Q$5)*(Q$7-Q$6))))</f>
        <v>0.0697530247739621</v>
      </c>
      <c r="R727" s="2" t="n">
        <v>0.090720143</v>
      </c>
      <c r="S727" s="2" t="n">
        <f aca="false">IF(S$7=S$5,S$6,IF(NORMSDIST(S$9*SQRT($C$11)*NORMSINV($B727)+SQRT(1-S$9^2*$C$11)*NORMSINV(R727))&lt;S$8,S$5+SQRT(NORMSDIST(S$9*SQRT($C$11)*NORMSINV($B727)+SQRT(1-S$9^2*$C$11)*NORMSINV(R727))*(S$7-S$5)*(S$6-S$5)),S$7-SQRT((1-NORMSDIST(S$9*SQRT($C$11)*NORMSINV($B727)+SQRT(1-S$9^2*$C$11)*NORMSINV(R727)))*(S$7-S$5)*(S$7-S$6))))</f>
        <v>0.285607599166224</v>
      </c>
      <c r="T727" s="2" t="n">
        <v>0.186177982</v>
      </c>
      <c r="U727" s="2" t="n">
        <f aca="false">IF(U$7=U$5,U$6,IF(NORMSDIST(U$9*SQRT($C$11)*NORMSINV($B727)+SQRT(1-U$9^2*$C$11)*NORMSINV(T727))&lt;U$8,U$5+SQRT(NORMSDIST(U$9*SQRT($C$11)*NORMSINV($B727)+SQRT(1-U$9^2*$C$11)*NORMSINV(T727))*(U$7-U$5)*(U$6-U$5)),U$7-SQRT((1-NORMSDIST(U$9*SQRT($C$11)*NORMSINV($B727)+SQRT(1-U$9^2*$C$11)*NORMSINV(T727)))*(U$7-U$5)*(U$7-U$6))))</f>
        <v>0.361871050816962</v>
      </c>
      <c r="V727" s="2" t="n">
        <v>0.627366261</v>
      </c>
      <c r="W727" s="2" t="n">
        <f aca="false">IF(W$7=W$5,W$6,IF(NORMSDIST(W$9*SQRT($C$11)*NORMSINV($B727)+SQRT(1-W$9^2*$C$11)*NORMSINV(V727))&lt;W$8,W$5+SQRT(NORMSDIST(W$9*SQRT($C$11)*NORMSINV($B727)+SQRT(1-W$9^2*$C$11)*NORMSINV(V727))*(W$7-W$5)*(W$6-W$5)),W$7-SQRT((1-NORMSDIST(W$9*SQRT($C$11)*NORMSINV($B727)+SQRT(1-W$9^2*$C$11)*NORMSINV(V727)))*(W$7-W$5)*(W$7-W$6))))</f>
        <v>10.256155320964</v>
      </c>
      <c r="X727" s="2" t="n">
        <v>0.353623138</v>
      </c>
      <c r="Y727" s="2" t="n">
        <f aca="false">IF(Y$7=Y$5,Y$6,IF(NORMSDIST(Y$9*SQRT($C$11)*NORMSINV($B727)+SQRT(1-Y$9^2*$C$11)*NORMSINV(X727))&lt;Y$8,Y$5+SQRT(NORMSDIST(Y$9*SQRT($C$11)*NORMSINV($B727)+SQRT(1-Y$9^2*$C$11)*NORMSINV(X727))*(Y$7-Y$5)*(Y$6-Y$5)),Y$7-SQRT((1-NORMSDIST(Y$9*SQRT($C$11)*NORMSINV($B727)+SQRT(1-Y$9^2*$C$11)*NORMSINV(X727)))*(Y$7-Y$5)*(Y$7-Y$6))))</f>
        <v>0.42048967763787</v>
      </c>
      <c r="Z727" s="2" t="n">
        <v>0.388922468</v>
      </c>
      <c r="AA727" s="2" t="n">
        <f aca="false">IF(AA$7=AA$5,AA$6,IF(NORMSDIST(AA$9*SQRT($C$11)*NORMSINV($B727)+SQRT(1-AA$9^2*$C$11)*NORMSINV(Z727))&lt;AA$8,AA$5+SQRT(NORMSDIST(AA$9*SQRT($C$11)*NORMSINV($B727)+SQRT(1-AA$9^2*$C$11)*NORMSINV(Z727))*(AA$7-AA$5)*(AA$6-AA$5)),AA$7-SQRT((1-NORMSDIST(AA$9*SQRT($C$11)*NORMSINV($B727)+SQRT(1-AA$9^2*$C$11)*NORMSINV(Z727)))*(AA$7-AA$5)*(AA$7-AA$6))))</f>
        <v>0.725830694506312</v>
      </c>
      <c r="AB727" s="2" t="n">
        <v>0.535747276</v>
      </c>
      <c r="AC727" s="2" t="n">
        <f aca="false">IF(AC$7=AC$5,AC$6,IF(NORMSDIST(AC$9*SQRT($C$11)*NORMSINV($B727)+SQRT(1-AC$9^2*$C$11)*NORMSINV(AB727))&lt;AC$8,AC$5+SQRT(NORMSDIST(AC$9*SQRT($C$11)*NORMSINV($B727)+SQRT(1-AC$9^2*$C$11)*NORMSINV(AB727))*(AC$7-AC$5)*(AC$6-AC$5)),AC$7-SQRT((1-NORMSDIST(AC$9*SQRT($C$11)*NORMSINV($B727)+SQRT(1-AC$9^2*$C$11)*NORMSINV(AB727)))*(AC$7-AC$5)*(AC$7-AC$6))))</f>
        <v>9.57781931036829</v>
      </c>
      <c r="AD727" s="2" t="n">
        <f aca="false">Entrées!$C$8*(1+E727)</f>
        <v>7450.89740490946</v>
      </c>
      <c r="AE727" s="2" t="n">
        <f aca="false">I727*Hypothèses!$J$24/12/Hypothèses!$J$19</f>
        <v>101.245756170505</v>
      </c>
      <c r="AF727" s="2" t="n">
        <f aca="false">Entrées!$C$36*S727*1000</f>
        <v>142.803799583112</v>
      </c>
      <c r="AG727" s="2" t="n">
        <f aca="false">-AF727/W727</f>
        <v>-13.9237165501204</v>
      </c>
      <c r="AH727" s="2" t="n">
        <f aca="false">AD727+AE727+AG727</f>
        <v>7538.21944452984</v>
      </c>
      <c r="AI727" s="2" t="n">
        <f aca="false">Entrées!$C$16-M727+Hypothèses!$J$22*1000-AF727+Hypothèses!$J$23</f>
        <v>22779.1187594773</v>
      </c>
      <c r="AJ727" s="2" t="n">
        <f aca="false">AI727/AH727</f>
        <v>3.0218168795825</v>
      </c>
      <c r="AK727" s="2" t="n">
        <f aca="false">AI727/(AH727+I727*(12-Hypothèses!$J$24)/12/Hypothèses!$J$19)</f>
        <v>2.99310235794139</v>
      </c>
      <c r="AL727" s="2" t="n">
        <f aca="false">(AD727+AG727+I727/Hypothèses!$J$19)*(1+G727)</f>
        <v>7973.25818059755</v>
      </c>
      <c r="AM727" s="2" t="n">
        <f aca="false">Entrées!$C$54*K727/Hypothèses!$J$19</f>
        <v>30.5680974938596</v>
      </c>
      <c r="AN727" s="2" t="n">
        <f aca="false">Y727*1000/AC727</f>
        <v>43.9024441798226</v>
      </c>
      <c r="AO727" s="2" t="n">
        <f aca="false">(Entrées!$C$36*(1-S727)+MAX(0,Entrées!$C$30-Entrées!$C$35-Entrées!$C$36)*U727)*1000</f>
        <v>863.815671560636</v>
      </c>
      <c r="AP727" s="2" t="n">
        <f aca="false">-AO727/W727</f>
        <v>-84.2241214692759</v>
      </c>
      <c r="AQ727" s="2" t="n">
        <f aca="false">AL727+AM727+AN727+AP727</f>
        <v>7963.50460080196</v>
      </c>
      <c r="AR727" s="2" t="n">
        <f aca="false">O727*AQ727-Hypothèses!$J$25/Hypothèses!$J$19</f>
        <v>1306.11876763421</v>
      </c>
      <c r="AS727" s="2" t="n">
        <f aca="false">Entrées!$C$79*(1+Q727)+Hypothèses!$J$20</f>
        <v>1470.65857422658</v>
      </c>
      <c r="AT727" s="2" t="n">
        <f aca="false">AI727-AR727+AS727+Y727*1000-AO727+Hypothèses!$J$23</f>
        <v>22500.3325721469</v>
      </c>
      <c r="AU727" s="2" t="n">
        <f aca="false">AT727/AQ727</f>
        <v>2.82543097543775</v>
      </c>
      <c r="AV727" s="2" t="n">
        <f aca="false">Hypothèses!$J$26*AQ727-AT727</f>
        <v>1390.18123025899</v>
      </c>
      <c r="AW727" s="2" t="n">
        <f aca="false">IF(AC727&gt;Hypothèses!$J$26,MAX(0,AV727)/(1-Hypothèses!$J$26/AC727),0)</f>
        <v>2024.21258533181</v>
      </c>
      <c r="AX727" s="2" t="n">
        <f aca="false">AQ727-Entrées!$C$17*1000</f>
        <v>-36.4953991980447</v>
      </c>
      <c r="AY727" s="2" t="n">
        <f aca="false">AI727+(Entrées!$C$244-Entrées!$C$13)</f>
        <v>28526.1187594773</v>
      </c>
      <c r="AZ727" s="2" t="n">
        <f aca="false">AA727*AH727</f>
        <v>5471.47105476408</v>
      </c>
      <c r="BA727" s="2" t="n">
        <f aca="false">AZ727/AY727</f>
        <v>0.191805660661294</v>
      </c>
      <c r="BB727" s="2" t="n">
        <f aca="false">AZ727/(Entrées!$C$151/100)-AY727</f>
        <v>1870.94265587874</v>
      </c>
      <c r="BC727" s="2" t="n">
        <f aca="false">AT727+(Entrées!$C$244-Entrées!$C$13)</f>
        <v>28247.3325721469</v>
      </c>
      <c r="BD727" s="2" t="n">
        <f aca="false">AA727*AQ727</f>
        <v>5780.1560751043</v>
      </c>
      <c r="BE727" s="2" t="n">
        <f aca="false">BD727/BC727</f>
        <v>0.204626615994311</v>
      </c>
      <c r="BF727" s="2" t="n">
        <f aca="false">BD727/(Entrées!$C$151/100)-BC727</f>
        <v>3864.64562287699</v>
      </c>
      <c r="BG727" s="2" t="n">
        <f aca="false">MIN(AV727,BF727)</f>
        <v>1390.18123025899</v>
      </c>
      <c r="BH727" s="2" t="n">
        <f aca="false">IF(AC727&gt;Hypothèses!$J$26,MAX(0,BG727)/(1-Hypothèses!$J$26/AC727),0)</f>
        <v>2024.21258533181</v>
      </c>
    </row>
    <row r="728" customFormat="false" ht="15" hidden="false" customHeight="false" outlineLevel="0" collapsed="false">
      <c r="A728" s="2" t="n">
        <v>713</v>
      </c>
      <c r="B728" s="2" t="n">
        <v>0.388419408</v>
      </c>
      <c r="C728" s="2"/>
      <c r="D728" s="2" t="n">
        <v>0.867049389</v>
      </c>
      <c r="E728" s="2" t="n">
        <f aca="false">IF(E$7=E$5,E$6,IF(NORMSDIST(E$9*SQRT($C$11)*NORMSINV($B728)+SQRT(1-E$9^2*$C$11)*NORMSINV(D728))&lt;E$8,E$5+SQRT(NORMSDIST(E$9*SQRT($C$11)*NORMSINV($B728)+SQRT(1-E$9^2*$C$11)*NORMSINV(D728))*(E$7-E$5)*(E$6-E$5)),E$7-SQRT((1-NORMSDIST(E$9*SQRT($C$11)*NORMSINV($B728)+SQRT(1-E$9^2*$C$11)*NORMSINV(D728)))*(E$7-E$5)*(E$7-E$6))))</f>
        <v>0.0564824952625971</v>
      </c>
      <c r="F728" s="2" t="n">
        <v>0.141399998</v>
      </c>
      <c r="G728" s="2" t="n">
        <f aca="false">IF(G$7=G$5,G$6,IF(NORMSDIST(G$9*SQRT($C$11)*NORMSINV($B728)+SQRT(1-G$9^2*$C$11)*NORMSINV(F728))&lt;G$8,G$5+SQRT(NORMSDIST(G$9*SQRT($C$11)*NORMSINV($B728)+SQRT(1-G$9^2*$C$11)*NORMSINV(F728))*(G$7-G$5)*(G$6-G$5)),G$7-SQRT((1-NORMSDIST(G$9*SQRT($C$11)*NORMSINV($B728)+SQRT(1-G$9^2*$C$11)*NORMSINV(F728)))*(G$7-G$5)*(G$7-G$6))))</f>
        <v>0.0483773518539135</v>
      </c>
      <c r="H728" s="2" t="n">
        <v>0.798496246</v>
      </c>
      <c r="I728" s="2" t="n">
        <f aca="false">IF(I$7=I$5,I$6,IF(NORMSDIST(I$9*SQRT($C$11)*NORMSINV($B728)+SQRT(1-I$9^2*$C$11)*NORMSINV(H728))&lt;I$8,I$5+SQRT(NORMSDIST(I$9*SQRT($C$11)*NORMSINV($B728)+SQRT(1-I$9^2*$C$11)*NORMSINV(H728))*(I$7-I$5)*(I$6-I$5)),I$7-SQRT((1-NORMSDIST(I$9*SQRT($C$11)*NORMSINV($B728)+SQRT(1-I$9^2*$C$11)*NORMSINV(H728)))*(I$7-I$5)*(I$7-I$6))))</f>
        <v>204.007180799611</v>
      </c>
      <c r="J728" s="2" t="n">
        <v>0.751263055</v>
      </c>
      <c r="K728" s="2" t="n">
        <f aca="false">IF(K$7=K$5,K$6,IF(NORMSDIST(K$9*SQRT($C$11)*NORMSINV($B728)+SQRT(1-K$9^2*$C$11)*NORMSINV(J728))&lt;K$8,K$5+SQRT(NORMSDIST(K$9*SQRT($C$11)*NORMSINV($B728)+SQRT(1-K$9^2*$C$11)*NORMSINV(J728))*(K$7-K$5)*(K$6-K$5)),K$7-SQRT((1-NORMSDIST(K$9*SQRT($C$11)*NORMSINV($B728)+SQRT(1-K$9^2*$C$11)*NORMSINV(J728)))*(K$7-K$5)*(K$7-K$6))))</f>
        <v>0.28652651618878</v>
      </c>
      <c r="L728" s="2" t="n">
        <v>0.000295903</v>
      </c>
      <c r="M728" s="2" t="n">
        <f aca="false">IF(M$7=M$5,M$6,IF(NORMSDIST(M$9*SQRT($C$11)*NORMSINV($B728)+SQRT(1-M$9^2*$C$11)*NORMSINV(L728))&lt;M$8,M$5+SQRT(NORMSDIST(M$9*SQRT($C$11)*NORMSINV($B728)+SQRT(1-M$9^2*$C$11)*NORMSINV(L728))*(M$7-M$5)*(M$6-M$5)),M$7-SQRT((1-NORMSDIST(M$9*SQRT($C$11)*NORMSINV($B728)+SQRT(1-M$9^2*$C$11)*NORMSINV(L728)))*(M$7-M$5)*(M$7-M$6))))</f>
        <v>1322.1431584636</v>
      </c>
      <c r="N728" s="2" t="n">
        <v>0.758530466</v>
      </c>
      <c r="O728" s="2" t="n">
        <f aca="false">IF(O$7=O$5,O$6,IF(NORMSDIST(O$9*SQRT($C$11)*NORMSINV($B728)+SQRT(1-O$9^2*$C$11)*NORMSINV(N728))&lt;O$8,O$5+SQRT(NORMSDIST(O$9*SQRT($C$11)*NORMSINV($B728)+SQRT(1-O$9^2*$C$11)*NORMSINV(N728))*(O$7-O$5)*(O$6-O$5)),O$7-SQRT((1-NORMSDIST(O$9*SQRT($C$11)*NORMSINV($B728)+SQRT(1-O$9^2*$C$11)*NORMSINV(N728)))*(O$7-O$5)*(O$7-O$6))))</f>
        <v>0.170475969666247</v>
      </c>
      <c r="P728" s="2" t="n">
        <v>0.861490167</v>
      </c>
      <c r="Q728" s="2" t="n">
        <f aca="false">IF(Q$7=Q$5,Q$6,IF(NORMSDIST(Q$9*SQRT($C$11)*NORMSINV($B728)+SQRT(1-Q$9^2*$C$11)*NORMSINV(P728))&lt;Q$8,Q$5+SQRT(NORMSDIST(Q$9*SQRT($C$11)*NORMSINV($B728)+SQRT(1-Q$9^2*$C$11)*NORMSINV(P728))*(Q$7-Q$5)*(Q$6-Q$5)),Q$7-SQRT((1-NORMSDIST(Q$9*SQRT($C$11)*NORMSINV($B728)+SQRT(1-Q$9^2*$C$11)*NORMSINV(P728)))*(Q$7-Q$5)*(Q$7-Q$6))))</f>
        <v>0.0989469369069487</v>
      </c>
      <c r="R728" s="2" t="n">
        <v>0.470600563</v>
      </c>
      <c r="S728" s="2" t="n">
        <f aca="false">IF(S$7=S$5,S$6,IF(NORMSDIST(S$9*SQRT($C$11)*NORMSINV($B728)+SQRT(1-S$9^2*$C$11)*NORMSINV(R728))&lt;S$8,S$5+SQRT(NORMSDIST(S$9*SQRT($C$11)*NORMSINV($B728)+SQRT(1-S$9^2*$C$11)*NORMSINV(R728))*(S$7-S$5)*(S$6-S$5)),S$7-SQRT((1-NORMSDIST(S$9*SQRT($C$11)*NORMSINV($B728)+SQRT(1-S$9^2*$C$11)*NORMSINV(R728)))*(S$7-S$5)*(S$7-S$6))))</f>
        <v>0.450866837809076</v>
      </c>
      <c r="T728" s="2" t="n">
        <v>0.257626642</v>
      </c>
      <c r="U728" s="2" t="n">
        <f aca="false">IF(U$7=U$5,U$6,IF(NORMSDIST(U$9*SQRT($C$11)*NORMSINV($B728)+SQRT(1-U$9^2*$C$11)*NORMSINV(T728))&lt;U$8,U$5+SQRT(NORMSDIST(U$9*SQRT($C$11)*NORMSINV($B728)+SQRT(1-U$9^2*$C$11)*NORMSINV(T728))*(U$7-U$5)*(U$6-U$5)),U$7-SQRT((1-NORMSDIST(U$9*SQRT($C$11)*NORMSINV($B728)+SQRT(1-U$9^2*$C$11)*NORMSINV(T728)))*(U$7-U$5)*(U$7-U$6))))</f>
        <v>0.351578978116555</v>
      </c>
      <c r="V728" s="2" t="n">
        <v>0.636937715</v>
      </c>
      <c r="W728" s="2" t="n">
        <f aca="false">IF(W$7=W$5,W$6,IF(NORMSDIST(W$9*SQRT($C$11)*NORMSINV($B728)+SQRT(1-W$9^2*$C$11)*NORMSINV(V728))&lt;W$8,W$5+SQRT(NORMSDIST(W$9*SQRT($C$11)*NORMSINV($B728)+SQRT(1-W$9^2*$C$11)*NORMSINV(V728))*(W$7-W$5)*(W$6-W$5)),W$7-SQRT((1-NORMSDIST(W$9*SQRT($C$11)*NORMSINV($B728)+SQRT(1-W$9^2*$C$11)*NORMSINV(V728)))*(W$7-W$5)*(W$7-W$6))))</f>
        <v>10.0747513686274</v>
      </c>
      <c r="X728" s="2" t="n">
        <v>0.080956548</v>
      </c>
      <c r="Y728" s="2" t="n">
        <f aca="false">IF(Y$7=Y$5,Y$6,IF(NORMSDIST(Y$9*SQRT($C$11)*NORMSINV($B728)+SQRT(1-Y$9^2*$C$11)*NORMSINV(X728))&lt;Y$8,Y$5+SQRT(NORMSDIST(Y$9*SQRT($C$11)*NORMSINV($B728)+SQRT(1-Y$9^2*$C$11)*NORMSINV(X728))*(Y$7-Y$5)*(Y$6-Y$5)),Y$7-SQRT((1-NORMSDIST(Y$9*SQRT($C$11)*NORMSINV($B728)+SQRT(1-Y$9^2*$C$11)*NORMSINV(X728)))*(Y$7-Y$5)*(Y$7-Y$6))))</f>
        <v>0.201192132052921</v>
      </c>
      <c r="Z728" s="2" t="n">
        <v>0.327556427</v>
      </c>
      <c r="AA728" s="2" t="n">
        <f aca="false">IF(AA$7=AA$5,AA$6,IF(NORMSDIST(AA$9*SQRT($C$11)*NORMSINV($B728)+SQRT(1-AA$9^2*$C$11)*NORMSINV(Z728))&lt;AA$8,AA$5+SQRT(NORMSDIST(AA$9*SQRT($C$11)*NORMSINV($B728)+SQRT(1-AA$9^2*$C$11)*NORMSINV(Z728))*(AA$7-AA$5)*(AA$6-AA$5)),AA$7-SQRT((1-NORMSDIST(AA$9*SQRT($C$11)*NORMSINV($B728)+SQRT(1-AA$9^2*$C$11)*NORMSINV(Z728)))*(AA$7-AA$5)*(AA$7-AA$6))))</f>
        <v>0.720660892677931</v>
      </c>
      <c r="AB728" s="2" t="n">
        <v>0.602179683</v>
      </c>
      <c r="AC728" s="2" t="n">
        <f aca="false">IF(AC$7=AC$5,AC$6,IF(NORMSDIST(AC$9*SQRT($C$11)*NORMSINV($B728)+SQRT(1-AC$9^2*$C$11)*NORMSINV(AB728))&lt;AC$8,AC$5+SQRT(NORMSDIST(AC$9*SQRT($C$11)*NORMSINV($B728)+SQRT(1-AC$9^2*$C$11)*NORMSINV(AB728))*(AC$7-AC$5)*(AC$6-AC$5)),AC$7-SQRT((1-NORMSDIST(AC$9*SQRT($C$11)*NORMSINV($B728)+SQRT(1-AC$9^2*$C$11)*NORMSINV(AB728)))*(AC$7-AC$5)*(AC$7-AC$6))))</f>
        <v>9.49608907145095</v>
      </c>
      <c r="AD728" s="2" t="n">
        <f aca="false">Entrées!$C$8*(1+E728)</f>
        <v>7448.20159160131</v>
      </c>
      <c r="AE728" s="2" t="n">
        <f aca="false">I728*Hypothèses!$J$24/12/Hypothèses!$J$19</f>
        <v>101.207309444303</v>
      </c>
      <c r="AF728" s="2" t="n">
        <f aca="false">Entrées!$C$36*S728*1000</f>
        <v>225.433418904538</v>
      </c>
      <c r="AG728" s="2" t="n">
        <f aca="false">-AF728/W728</f>
        <v>-22.3760776475868</v>
      </c>
      <c r="AH728" s="2" t="n">
        <f aca="false">AD728+AE728+AG728</f>
        <v>7527.03282339803</v>
      </c>
      <c r="AI728" s="2" t="n">
        <f aca="false">Entrées!$C$16-M728+Hypothèses!$J$22*1000-AF728+Hypothèses!$J$23</f>
        <v>23000.4234226319</v>
      </c>
      <c r="AJ728" s="2" t="n">
        <f aca="false">AI728/AH728</f>
        <v>3.05570919674142</v>
      </c>
      <c r="AK728" s="2" t="n">
        <f aca="false">AI728/(AH728+I728*(12-Hypothèses!$J$24)/12/Hypothèses!$J$19)</f>
        <v>3.02664081080287</v>
      </c>
      <c r="AL728" s="2" t="n">
        <f aca="false">(AD728+AG728+I728/Hypothèses!$J$19)*(1+G728)</f>
        <v>7966.95891804257</v>
      </c>
      <c r="AM728" s="2" t="n">
        <f aca="false">Entrées!$C$54*K728/Hypothèses!$J$19</f>
        <v>29.2412340241637</v>
      </c>
      <c r="AN728" s="2" t="n">
        <f aca="false">Y728*1000/AC728</f>
        <v>21.1868412921468</v>
      </c>
      <c r="AO728" s="2" t="n">
        <f aca="false">(Entrées!$C$36*(1-S728)+MAX(0,Entrées!$C$30-Entrées!$C$35-Entrées!$C$36)*U728)*1000</f>
        <v>766.777150458639</v>
      </c>
      <c r="AP728" s="2" t="n">
        <f aca="false">-AO728/W728</f>
        <v>-76.1087914135897</v>
      </c>
      <c r="AQ728" s="2" t="n">
        <f aca="false">AL728+AM728+AN728+AP728</f>
        <v>7941.27820194529</v>
      </c>
      <c r="AR728" s="2" t="n">
        <f aca="false">O728*AQ728-Hypothèses!$J$25/Hypothèses!$J$19</f>
        <v>1334.66193960443</v>
      </c>
      <c r="AS728" s="2" t="n">
        <f aca="false">Entrées!$C$79*(1+Q728)+Hypothèses!$J$20</f>
        <v>1502.74268366074</v>
      </c>
      <c r="AT728" s="2" t="n">
        <f aca="false">AI728-AR728+AS728+Y728*1000-AO728+Hypothèses!$J$23</f>
        <v>22602.9191482825</v>
      </c>
      <c r="AU728" s="2" t="n">
        <f aca="false">AT728/AQ728</f>
        <v>2.84625706007198</v>
      </c>
      <c r="AV728" s="2" t="n">
        <f aca="false">Hypothèses!$J$26*AQ728-AT728</f>
        <v>1220.91545755339</v>
      </c>
      <c r="AW728" s="2" t="n">
        <f aca="false">IF(AC728&gt;Hypothèses!$J$26,MAX(0,AV728)/(1-Hypothèses!$J$26/AC728),0)</f>
        <v>1784.75415070759</v>
      </c>
      <c r="AX728" s="2" t="n">
        <f aca="false">AQ728-Entrées!$C$17*1000</f>
        <v>-58.7217980547148</v>
      </c>
      <c r="AY728" s="2" t="n">
        <f aca="false">AI728+(Entrées!$C$244-Entrées!$C$13)</f>
        <v>28747.4234226319</v>
      </c>
      <c r="AZ728" s="2" t="n">
        <f aca="false">AA728*AH728</f>
        <v>5424.43819372611</v>
      </c>
      <c r="BA728" s="2" t="n">
        <f aca="false">AZ728/AY728</f>
        <v>0.188693021770279</v>
      </c>
      <c r="BB728" s="2" t="n">
        <f aca="false">AZ728/(Entrées!$C$151/100)-AY728</f>
        <v>1388.34432029094</v>
      </c>
      <c r="BC728" s="2" t="n">
        <f aca="false">AT728+(Entrées!$C$244-Entrées!$C$13)</f>
        <v>28349.9191482825</v>
      </c>
      <c r="BD728" s="2" t="n">
        <f aca="false">AA728*AQ728</f>
        <v>5722.96863801768</v>
      </c>
      <c r="BE728" s="2" t="n">
        <f aca="false">BD728/BC728</f>
        <v>0.201868958005984</v>
      </c>
      <c r="BF728" s="2" t="n">
        <f aca="false">BD728/(Entrées!$C$151/100)-BC728</f>
        <v>3444.35106292688</v>
      </c>
      <c r="BG728" s="2" t="n">
        <f aca="false">MIN(AV728,BF728)</f>
        <v>1220.91545755339</v>
      </c>
      <c r="BH728" s="2" t="n">
        <f aca="false">IF(AC728&gt;Hypothèses!$J$26,MAX(0,BG728)/(1-Hypothèses!$J$26/AC728),0)</f>
        <v>1784.75415070759</v>
      </c>
    </row>
    <row r="729" customFormat="false" ht="15" hidden="false" customHeight="false" outlineLevel="0" collapsed="false">
      <c r="A729" s="2" t="n">
        <v>714</v>
      </c>
      <c r="B729" s="2" t="n">
        <v>0.695206764</v>
      </c>
      <c r="C729" s="2"/>
      <c r="D729" s="2" t="n">
        <v>0.949662779</v>
      </c>
      <c r="E729" s="2" t="n">
        <f aca="false">IF(E$7=E$5,E$6,IF(NORMSDIST(E$9*SQRT($C$11)*NORMSINV($B729)+SQRT(1-E$9^2*$C$11)*NORMSINV(D729))&lt;E$8,E$5+SQRT(NORMSDIST(E$9*SQRT($C$11)*NORMSINV($B729)+SQRT(1-E$9^2*$C$11)*NORMSINV(D729))*(E$7-E$5)*(E$6-E$5)),E$7-SQRT((1-NORMSDIST(E$9*SQRT($C$11)*NORMSINV($B729)+SQRT(1-E$9^2*$C$11)*NORMSINV(D729)))*(E$7-E$5)*(E$7-E$6))))</f>
        <v>0.0583355619990993</v>
      </c>
      <c r="F729" s="2" t="n">
        <v>0.736688602</v>
      </c>
      <c r="G729" s="2" t="n">
        <f aca="false">IF(G$7=G$5,G$6,IF(NORMSDIST(G$9*SQRT($C$11)*NORMSINV($B729)+SQRT(1-G$9^2*$C$11)*NORMSINV(F729))&lt;G$8,G$5+SQRT(NORMSDIST(G$9*SQRT($C$11)*NORMSINV($B729)+SQRT(1-G$9^2*$C$11)*NORMSINV(F729))*(G$7-G$5)*(G$6-G$5)),G$7-SQRT((1-NORMSDIST(G$9*SQRT($C$11)*NORMSINV($B729)+SQRT(1-G$9^2*$C$11)*NORMSINV(F729)))*(G$7-G$5)*(G$7-G$6))))</f>
        <v>0.060325577006808</v>
      </c>
      <c r="H729" s="2" t="n">
        <v>0.683421842</v>
      </c>
      <c r="I729" s="2" t="n">
        <f aca="false">IF(I$7=I$5,I$6,IF(NORMSDIST(I$9*SQRT($C$11)*NORMSINV($B729)+SQRT(1-I$9^2*$C$11)*NORMSINV(H729))&lt;I$8,I$5+SQRT(NORMSDIST(I$9*SQRT($C$11)*NORMSINV($B729)+SQRT(1-I$9^2*$C$11)*NORMSINV(H729))*(I$7-I$5)*(I$6-I$5)),I$7-SQRT((1-NORMSDIST(I$9*SQRT($C$11)*NORMSINV($B729)+SQRT(1-I$9^2*$C$11)*NORMSINV(H729)))*(I$7-I$5)*(I$7-I$6))))</f>
        <v>206.021284291738</v>
      </c>
      <c r="J729" s="2" t="n">
        <v>0.949319251</v>
      </c>
      <c r="K729" s="2" t="n">
        <f aca="false">IF(K$7=K$5,K$6,IF(NORMSDIST(K$9*SQRT($C$11)*NORMSINV($B729)+SQRT(1-K$9^2*$C$11)*NORMSINV(J729))&lt;K$8,K$5+SQRT(NORMSDIST(K$9*SQRT($C$11)*NORMSINV($B729)+SQRT(1-K$9^2*$C$11)*NORMSINV(J729))*(K$7-K$5)*(K$6-K$5)),K$7-SQRT((1-NORMSDIST(K$9*SQRT($C$11)*NORMSINV($B729)+SQRT(1-K$9^2*$C$11)*NORMSINV(J729)))*(K$7-K$5)*(K$7-K$6))))</f>
        <v>0.41656287674509</v>
      </c>
      <c r="L729" s="2" t="n">
        <v>0.387891161</v>
      </c>
      <c r="M729" s="2" t="n">
        <f aca="false">IF(M$7=M$5,M$6,IF(NORMSDIST(M$9*SQRT($C$11)*NORMSINV($B729)+SQRT(1-M$9^2*$C$11)*NORMSINV(L729))&lt;M$8,M$5+SQRT(NORMSDIST(M$9*SQRT($C$11)*NORMSINV($B729)+SQRT(1-M$9^2*$C$11)*NORMSINV(L729))*(M$7-M$5)*(M$6-M$5)),M$7-SQRT((1-NORMSDIST(M$9*SQRT($C$11)*NORMSINV($B729)+SQRT(1-M$9^2*$C$11)*NORMSINV(L729)))*(M$7-M$5)*(M$7-M$6))))</f>
        <v>1596.62661648144</v>
      </c>
      <c r="N729" s="2" t="n">
        <v>0.587030656</v>
      </c>
      <c r="O729" s="2" t="n">
        <f aca="false">IF(O$7=O$5,O$6,IF(NORMSDIST(O$9*SQRT($C$11)*NORMSINV($B729)+SQRT(1-O$9^2*$C$11)*NORMSINV(N729))&lt;O$8,O$5+SQRT(NORMSDIST(O$9*SQRT($C$11)*NORMSINV($B729)+SQRT(1-O$9^2*$C$11)*NORMSINV(N729))*(O$7-O$5)*(O$6-O$5)),O$7-SQRT((1-NORMSDIST(O$9*SQRT($C$11)*NORMSINV($B729)+SQRT(1-O$9^2*$C$11)*NORMSINV(N729)))*(O$7-O$5)*(O$7-O$6))))</f>
        <v>0.171802219104241</v>
      </c>
      <c r="P729" s="2" t="n">
        <v>0.6222703</v>
      </c>
      <c r="Q729" s="2" t="n">
        <f aca="false">IF(Q$7=Q$5,Q$6,IF(NORMSDIST(Q$9*SQRT($C$11)*NORMSINV($B729)+SQRT(1-Q$9^2*$C$11)*NORMSINV(P729))&lt;Q$8,Q$5+SQRT(NORMSDIST(Q$9*SQRT($C$11)*NORMSINV($B729)+SQRT(1-Q$9^2*$C$11)*NORMSINV(P729))*(Q$7-Q$5)*(Q$6-Q$5)),Q$7-SQRT((1-NORMSDIST(Q$9*SQRT($C$11)*NORMSINV($B729)+SQRT(1-Q$9^2*$C$11)*NORMSINV(P729)))*(Q$7-Q$5)*(Q$7-Q$6))))</f>
        <v>0.0852331330143195</v>
      </c>
      <c r="R729" s="2" t="n">
        <v>0.35393935</v>
      </c>
      <c r="S729" s="2" t="n">
        <f aca="false">IF(S$7=S$5,S$6,IF(NORMSDIST(S$9*SQRT($C$11)*NORMSINV($B729)+SQRT(1-S$9^2*$C$11)*NORMSINV(R729))&lt;S$8,S$5+SQRT(NORMSDIST(S$9*SQRT($C$11)*NORMSINV($B729)+SQRT(1-S$9^2*$C$11)*NORMSINV(R729))*(S$7-S$5)*(S$6-S$5)),S$7-SQRT((1-NORMSDIST(S$9*SQRT($C$11)*NORMSINV($B729)+SQRT(1-S$9^2*$C$11)*NORMSINV(R729)))*(S$7-S$5)*(S$7-S$6))))</f>
        <v>0.506569829856327</v>
      </c>
      <c r="T729" s="2" t="n">
        <v>0.886676224</v>
      </c>
      <c r="U729" s="2" t="n">
        <f aca="false">IF(U$7=U$5,U$6,IF(NORMSDIST(U$9*SQRT($C$11)*NORMSINV($B729)+SQRT(1-U$9^2*$C$11)*NORMSINV(T729))&lt;U$8,U$5+SQRT(NORMSDIST(U$9*SQRT($C$11)*NORMSINV($B729)+SQRT(1-U$9^2*$C$11)*NORMSINV(T729))*(U$7-U$5)*(U$6-U$5)),U$7-SQRT((1-NORMSDIST(U$9*SQRT($C$11)*NORMSINV($B729)+SQRT(1-U$9^2*$C$11)*NORMSINV(T729)))*(U$7-U$5)*(U$7-U$6))))</f>
        <v>0.772045363412441</v>
      </c>
      <c r="V729" s="2" t="n">
        <v>0.20374638</v>
      </c>
      <c r="W729" s="2" t="n">
        <f aca="false">IF(W$7=W$5,W$6,IF(NORMSDIST(W$9*SQRT($C$11)*NORMSINV($B729)+SQRT(1-W$9^2*$C$11)*NORMSINV(V729))&lt;W$8,W$5+SQRT(NORMSDIST(W$9*SQRT($C$11)*NORMSINV($B729)+SQRT(1-W$9^2*$C$11)*NORMSINV(V729))*(W$7-W$5)*(W$6-W$5)),W$7-SQRT((1-NORMSDIST(W$9*SQRT($C$11)*NORMSINV($B729)+SQRT(1-W$9^2*$C$11)*NORMSINV(V729)))*(W$7-W$5)*(W$7-W$6))))</f>
        <v>9.7320528654673</v>
      </c>
      <c r="X729" s="2" t="n">
        <v>0.199218611</v>
      </c>
      <c r="Y729" s="2" t="n">
        <f aca="false">IF(Y$7=Y$5,Y$6,IF(NORMSDIST(Y$9*SQRT($C$11)*NORMSINV($B729)+SQRT(1-Y$9^2*$C$11)*NORMSINV(X729))&lt;Y$8,Y$5+SQRT(NORMSDIST(Y$9*SQRT($C$11)*NORMSINV($B729)+SQRT(1-Y$9^2*$C$11)*NORMSINV(X729))*(Y$7-Y$5)*(Y$6-Y$5)),Y$7-SQRT((1-NORMSDIST(Y$9*SQRT($C$11)*NORMSINV($B729)+SQRT(1-Y$9^2*$C$11)*NORMSINV(X729)))*(Y$7-Y$5)*(Y$7-Y$6))))</f>
        <v>0.315609419219389</v>
      </c>
      <c r="Z729" s="2" t="n">
        <v>0.023514354</v>
      </c>
      <c r="AA729" s="2" t="n">
        <f aca="false">IF(AA$7=AA$5,AA$6,IF(NORMSDIST(AA$9*SQRT($C$11)*NORMSINV($B729)+SQRT(1-AA$9^2*$C$11)*NORMSINV(Z729))&lt;AA$8,AA$5+SQRT(NORMSDIST(AA$9*SQRT($C$11)*NORMSINV($B729)+SQRT(1-AA$9^2*$C$11)*NORMSINV(Z729))*(AA$7-AA$5)*(AA$6-AA$5)),AA$7-SQRT((1-NORMSDIST(AA$9*SQRT($C$11)*NORMSINV($B729)+SQRT(1-AA$9^2*$C$11)*NORMSINV(Z729)))*(AA$7-AA$5)*(AA$7-AA$6))))</f>
        <v>0.710818131732261</v>
      </c>
      <c r="AB729" s="2" t="n">
        <v>0.211723025</v>
      </c>
      <c r="AC729" s="2" t="n">
        <f aca="false">IF(AC$7=AC$5,AC$6,IF(NORMSDIST(AC$9*SQRT($C$11)*NORMSINV($B729)+SQRT(1-AC$9^2*$C$11)*NORMSINV(AB729))&lt;AC$8,AC$5+SQRT(NORMSDIST(AC$9*SQRT($C$11)*NORMSINV($B729)+SQRT(1-AC$9^2*$C$11)*NORMSINV(AB729))*(AC$7-AC$5)*(AC$6-AC$5)),AC$7-SQRT((1-NORMSDIST(AC$9*SQRT($C$11)*NORMSINV($B729)+SQRT(1-AC$9^2*$C$11)*NORMSINV(AB729)))*(AC$7-AC$5)*(AC$7-AC$6))))</f>
        <v>9.21959888989769</v>
      </c>
      <c r="AD729" s="2" t="n">
        <f aca="false">Entrées!$C$8*(1+E729)</f>
        <v>7461.26571209365</v>
      </c>
      <c r="AE729" s="2" t="n">
        <f aca="false">I729*Hypothèses!$J$24/12/Hypothèses!$J$19</f>
        <v>102.206499740358</v>
      </c>
      <c r="AF729" s="2" t="n">
        <f aca="false">Entrées!$C$36*S729*1000</f>
        <v>253.284914928164</v>
      </c>
      <c r="AG729" s="2" t="n">
        <f aca="false">-AF729/W729</f>
        <v>-26.0258465947001</v>
      </c>
      <c r="AH729" s="2" t="n">
        <f aca="false">AD729+AE729+AG729</f>
        <v>7537.44636523931</v>
      </c>
      <c r="AI729" s="2" t="n">
        <f aca="false">Entrées!$C$16-M729+Hypothèses!$J$22*1000-AF729+Hypothèses!$J$23</f>
        <v>22698.0884685904</v>
      </c>
      <c r="AJ729" s="2" t="n">
        <f aca="false">AI729/AH729</f>
        <v>3.0113764488286</v>
      </c>
      <c r="AK729" s="2" t="n">
        <f aca="false">AI729/(AH729+I729*(12-Hypothèses!$J$24)/12/Hypothèses!$J$19)</f>
        <v>2.98248926968927</v>
      </c>
      <c r="AL729" s="2" t="n">
        <f aca="false">(AD729+AG729+I729/Hypothèses!$J$19)*(1+G729)</f>
        <v>8069.55585624527</v>
      </c>
      <c r="AM729" s="2" t="n">
        <f aca="false">Entrées!$C$54*K729/Hypothèses!$J$19</f>
        <v>42.5119906063307</v>
      </c>
      <c r="AN729" s="2" t="n">
        <f aca="false">Y729*1000/AC729</f>
        <v>34.2324457916727</v>
      </c>
      <c r="AO729" s="2" t="n">
        <f aca="false">(Entrées!$C$36*(1-S729)+MAX(0,Entrées!$C$30-Entrées!$C$35-Entrées!$C$36)*U729)*1000</f>
        <v>1327.57859384925</v>
      </c>
      <c r="AP729" s="2" t="n">
        <f aca="false">-AO729/W729</f>
        <v>-136.4130068138</v>
      </c>
      <c r="AQ729" s="2" t="n">
        <f aca="false">AL729+AM729+AN729+AP729</f>
        <v>8009.88728582947</v>
      </c>
      <c r="AR729" s="2" t="n">
        <f aca="false">O729*AQ729-Hypothèses!$J$25/Hypothèses!$J$19</f>
        <v>1356.98124821872</v>
      </c>
      <c r="AS729" s="2" t="n">
        <f aca="false">Entrées!$C$79*(1+Q729)+Hypothèses!$J$20</f>
        <v>1487.67121318274</v>
      </c>
      <c r="AT729" s="2" t="n">
        <f aca="false">AI729-AR729+AS729+Y729*1000-AO729+Hypothèses!$J$23</f>
        <v>21816.8092589245</v>
      </c>
      <c r="AU729" s="2" t="n">
        <f aca="false">AT729/AQ729</f>
        <v>2.72373486422478</v>
      </c>
      <c r="AV729" s="2" t="n">
        <f aca="false">Hypothèses!$J$26*AQ729-AT729</f>
        <v>2212.85259856387</v>
      </c>
      <c r="AW729" s="2" t="n">
        <f aca="false">IF(AC729&gt;Hypothèses!$J$26,MAX(0,AV729)/(1-Hypothèses!$J$26/AC729),0)</f>
        <v>3280.21367975424</v>
      </c>
      <c r="AX729" s="2" t="n">
        <f aca="false">AQ729-Entrées!$C$17*1000</f>
        <v>9.88728582947169</v>
      </c>
      <c r="AY729" s="2" t="n">
        <f aca="false">AI729+(Entrées!$C$244-Entrées!$C$13)</f>
        <v>28445.0884685904</v>
      </c>
      <c r="AZ729" s="2" t="n">
        <f aca="false">AA729*AH729</f>
        <v>5357.75354337153</v>
      </c>
      <c r="BA729" s="2" t="n">
        <f aca="false">AZ729/AY729</f>
        <v>0.188354258391133</v>
      </c>
      <c r="BB729" s="2" t="n">
        <f aca="false">AZ729/(Entrées!$C$151/100)-AY729</f>
        <v>1320.20899458475</v>
      </c>
      <c r="BC729" s="2" t="n">
        <f aca="false">AT729+(Entrées!$C$244-Entrées!$C$13)</f>
        <v>27563.8092589245</v>
      </c>
      <c r="BD729" s="2" t="n">
        <f aca="false">AA729*AQ729</f>
        <v>5693.57311589929</v>
      </c>
      <c r="BE729" s="2" t="n">
        <f aca="false">BD729/BC729</f>
        <v>0.206559734266621</v>
      </c>
      <c r="BF729" s="2" t="n">
        <f aca="false">BD729/(Entrées!$C$151/100)-BC729</f>
        <v>4067.15249607154</v>
      </c>
      <c r="BG729" s="2" t="n">
        <f aca="false">MIN(AV729,BF729)</f>
        <v>2212.85259856387</v>
      </c>
      <c r="BH729" s="2" t="n">
        <f aca="false">IF(AC729&gt;Hypothèses!$J$26,MAX(0,BG729)/(1-Hypothèses!$J$26/AC729),0)</f>
        <v>3280.21367975424</v>
      </c>
    </row>
    <row r="730" customFormat="false" ht="15" hidden="false" customHeight="false" outlineLevel="0" collapsed="false">
      <c r="A730" s="2" t="n">
        <v>715</v>
      </c>
      <c r="B730" s="2" t="n">
        <v>0.751721614</v>
      </c>
      <c r="C730" s="2"/>
      <c r="D730" s="2" t="n">
        <v>0.959186823</v>
      </c>
      <c r="E730" s="2" t="n">
        <f aca="false">IF(E$7=E$5,E$6,IF(NORMSDIST(E$9*SQRT($C$11)*NORMSINV($B730)+SQRT(1-E$9^2*$C$11)*NORMSINV(D730))&lt;E$8,E$5+SQRT(NORMSDIST(E$9*SQRT($C$11)*NORMSINV($B730)+SQRT(1-E$9^2*$C$11)*NORMSINV(D730))*(E$7-E$5)*(E$6-E$5)),E$7-SQRT((1-NORMSDIST(E$9*SQRT($C$11)*NORMSINV($B730)+SQRT(1-E$9^2*$C$11)*NORMSINV(D730)))*(E$7-E$5)*(E$7-E$6))))</f>
        <v>0.0586282724190323</v>
      </c>
      <c r="F730" s="2" t="n">
        <v>0.019887655</v>
      </c>
      <c r="G730" s="2" t="n">
        <f aca="false">IF(G$7=G$5,G$6,IF(NORMSDIST(G$9*SQRT($C$11)*NORMSINV($B730)+SQRT(1-G$9^2*$C$11)*NORMSINV(F730))&lt;G$8,G$5+SQRT(NORMSDIST(G$9*SQRT($C$11)*NORMSINV($B730)+SQRT(1-G$9^2*$C$11)*NORMSINV(F730))*(G$7-G$5)*(G$6-G$5)),G$7-SQRT((1-NORMSDIST(G$9*SQRT($C$11)*NORMSINV($B730)+SQRT(1-G$9^2*$C$11)*NORMSINV(F730)))*(G$7-G$5)*(G$7-G$6))))</f>
        <v>0.0474244288160984</v>
      </c>
      <c r="H730" s="2" t="n">
        <v>0.330384279</v>
      </c>
      <c r="I730" s="2" t="n">
        <f aca="false">IF(I$7=I$5,I$6,IF(NORMSDIST(I$9*SQRT($C$11)*NORMSINV($B730)+SQRT(1-I$9^2*$C$11)*NORMSINV(H730))&lt;I$8,I$5+SQRT(NORMSDIST(I$9*SQRT($C$11)*NORMSINV($B730)+SQRT(1-I$9^2*$C$11)*NORMSINV(H730))*(I$7-I$5)*(I$6-I$5)),I$7-SQRT((1-NORMSDIST(I$9*SQRT($C$11)*NORMSINV($B730)+SQRT(1-I$9^2*$C$11)*NORMSINV(H730)))*(I$7-I$5)*(I$7-I$6))))</f>
        <v>200.731160072018</v>
      </c>
      <c r="J730" s="2" t="n">
        <v>0.539046935</v>
      </c>
      <c r="K730" s="2" t="n">
        <f aca="false">IF(K$7=K$5,K$6,IF(NORMSDIST(K$9*SQRT($C$11)*NORMSINV($B730)+SQRT(1-K$9^2*$C$11)*NORMSINV(J730))&lt;K$8,K$5+SQRT(NORMSDIST(K$9*SQRT($C$11)*NORMSINV($B730)+SQRT(1-K$9^2*$C$11)*NORMSINV(J730))*(K$7-K$5)*(K$6-K$5)),K$7-SQRT((1-NORMSDIST(K$9*SQRT($C$11)*NORMSINV($B730)+SQRT(1-K$9^2*$C$11)*NORMSINV(J730)))*(K$7-K$5)*(K$7-K$6))))</f>
        <v>0.304281885138362</v>
      </c>
      <c r="L730" s="2" t="n">
        <v>0.99544524</v>
      </c>
      <c r="M730" s="2" t="n">
        <f aca="false">IF(M$7=M$5,M$6,IF(NORMSDIST(M$9*SQRT($C$11)*NORMSINV($B730)+SQRT(1-M$9^2*$C$11)*NORMSINV(L730))&lt;M$8,M$5+SQRT(NORMSDIST(M$9*SQRT($C$11)*NORMSINV($B730)+SQRT(1-M$9^2*$C$11)*NORMSINV(L730))*(M$7-M$5)*(M$6-M$5)),M$7-SQRT((1-NORMSDIST(M$9*SQRT($C$11)*NORMSINV($B730)+SQRT(1-M$9^2*$C$11)*NORMSINV(L730)))*(M$7-M$5)*(M$7-M$6))))</f>
        <v>1768.05729905092</v>
      </c>
      <c r="N730" s="2" t="n">
        <v>0.11148493</v>
      </c>
      <c r="O730" s="2" t="n">
        <f aca="false">IF(O$7=O$5,O$6,IF(NORMSDIST(O$9*SQRT($C$11)*NORMSINV($B730)+SQRT(1-O$9^2*$C$11)*NORMSINV(N730))&lt;O$8,O$5+SQRT(NORMSDIST(O$9*SQRT($C$11)*NORMSINV($B730)+SQRT(1-O$9^2*$C$11)*NORMSINV(N730))*(O$7-O$5)*(O$6-O$5)),O$7-SQRT((1-NORMSDIST(O$9*SQRT($C$11)*NORMSINV($B730)+SQRT(1-O$9^2*$C$11)*NORMSINV(N730)))*(O$7-O$5)*(O$7-O$6))))</f>
        <v>0.16087267278455</v>
      </c>
      <c r="P730" s="2" t="n">
        <v>0.078451959</v>
      </c>
      <c r="Q730" s="2" t="n">
        <f aca="false">IF(Q$7=Q$5,Q$6,IF(NORMSDIST(Q$9*SQRT($C$11)*NORMSINV($B730)+SQRT(1-Q$9^2*$C$11)*NORMSINV(P730))&lt;Q$8,Q$5+SQRT(NORMSDIST(Q$9*SQRT($C$11)*NORMSINV($B730)+SQRT(1-Q$9^2*$C$11)*NORMSINV(P730))*(Q$7-Q$5)*(Q$6-Q$5)),Q$7-SQRT((1-NORMSDIST(Q$9*SQRT($C$11)*NORMSINV($B730)+SQRT(1-Q$9^2*$C$11)*NORMSINV(P730)))*(Q$7-Q$5)*(Q$7-Q$6))))</f>
        <v>0.055844439680847</v>
      </c>
      <c r="R730" s="2" t="n">
        <v>0.883263282</v>
      </c>
      <c r="S730" s="2" t="n">
        <f aca="false">IF(S$7=S$5,S$6,IF(NORMSDIST(S$9*SQRT($C$11)*NORMSINV($B730)+SQRT(1-S$9^2*$C$11)*NORMSINV(R730))&lt;S$8,S$5+SQRT(NORMSDIST(S$9*SQRT($C$11)*NORMSINV($B730)+SQRT(1-S$9^2*$C$11)*NORMSINV(R730))*(S$7-S$5)*(S$6-S$5)),S$7-SQRT((1-NORMSDIST(S$9*SQRT($C$11)*NORMSINV($B730)+SQRT(1-S$9^2*$C$11)*NORMSINV(R730)))*(S$7-S$5)*(S$7-S$6))))</f>
        <v>0.790189416146778</v>
      </c>
      <c r="T730" s="2" t="n">
        <v>0.948467914</v>
      </c>
      <c r="U730" s="2" t="n">
        <f aca="false">IF(U$7=U$5,U$6,IF(NORMSDIST(U$9*SQRT($C$11)*NORMSINV($B730)+SQRT(1-U$9^2*$C$11)*NORMSINV(T730))&lt;U$8,U$5+SQRT(NORMSDIST(U$9*SQRT($C$11)*NORMSINV($B730)+SQRT(1-U$9^2*$C$11)*NORMSINV(T730))*(U$7-U$5)*(U$6-U$5)),U$7-SQRT((1-NORMSDIST(U$9*SQRT($C$11)*NORMSINV($B730)+SQRT(1-U$9^2*$C$11)*NORMSINV(T730)))*(U$7-U$5)*(U$7-U$6))))</f>
        <v>0.84958087382712</v>
      </c>
      <c r="V730" s="2" t="n">
        <v>0.895046819</v>
      </c>
      <c r="W730" s="2" t="n">
        <f aca="false">IF(W$7=W$5,W$6,IF(NORMSDIST(W$9*SQRT($C$11)*NORMSINV($B730)+SQRT(1-W$9^2*$C$11)*NORMSINV(V730))&lt;W$8,W$5+SQRT(NORMSDIST(W$9*SQRT($C$11)*NORMSINV($B730)+SQRT(1-W$9^2*$C$11)*NORMSINV(V730))*(W$7-W$5)*(W$6-W$5)),W$7-SQRT((1-NORMSDIST(W$9*SQRT($C$11)*NORMSINV($B730)+SQRT(1-W$9^2*$C$11)*NORMSINV(V730)))*(W$7-W$5)*(W$7-W$6))))</f>
        <v>11.1971378201599</v>
      </c>
      <c r="X730" s="2" t="n">
        <v>0.287864798</v>
      </c>
      <c r="Y730" s="2" t="n">
        <f aca="false">IF(Y$7=Y$5,Y$6,IF(NORMSDIST(Y$9*SQRT($C$11)*NORMSINV($B730)+SQRT(1-Y$9^2*$C$11)*NORMSINV(X730))&lt;Y$8,Y$5+SQRT(NORMSDIST(Y$9*SQRT($C$11)*NORMSINV($B730)+SQRT(1-Y$9^2*$C$11)*NORMSINV(X730))*(Y$7-Y$5)*(Y$6-Y$5)),Y$7-SQRT((1-NORMSDIST(Y$9*SQRT($C$11)*NORMSINV($B730)+SQRT(1-Y$9^2*$C$11)*NORMSINV(X730)))*(Y$7-Y$5)*(Y$7-Y$6))))</f>
        <v>0.379384236625614</v>
      </c>
      <c r="Z730" s="2" t="n">
        <v>0.913001994</v>
      </c>
      <c r="AA730" s="2" t="n">
        <f aca="false">IF(AA$7=AA$5,AA$6,IF(NORMSDIST(AA$9*SQRT($C$11)*NORMSINV($B730)+SQRT(1-AA$9^2*$C$11)*NORMSINV(Z730))&lt;AA$8,AA$5+SQRT(NORMSDIST(AA$9*SQRT($C$11)*NORMSINV($B730)+SQRT(1-AA$9^2*$C$11)*NORMSINV(Z730))*(AA$7-AA$5)*(AA$6-AA$5)),AA$7-SQRT((1-NORMSDIST(AA$9*SQRT($C$11)*NORMSINV($B730)+SQRT(1-AA$9^2*$C$11)*NORMSINV(Z730)))*(AA$7-AA$5)*(AA$7-AA$6))))</f>
        <v>0.744451673325131</v>
      </c>
      <c r="AB730" s="2" t="n">
        <v>0.89331889</v>
      </c>
      <c r="AC730" s="2" t="n">
        <f aca="false">IF(AC$7=AC$5,AC$6,IF(NORMSDIST(AC$9*SQRT($C$11)*NORMSINV($B730)+SQRT(1-AC$9^2*$C$11)*NORMSINV(AB730))&lt;AC$8,AC$5+SQRT(NORMSDIST(AC$9*SQRT($C$11)*NORMSINV($B730)+SQRT(1-AC$9^2*$C$11)*NORMSINV(AB730))*(AC$7-AC$5)*(AC$6-AC$5)),AC$7-SQRT((1-NORMSDIST(AC$9*SQRT($C$11)*NORMSINV($B730)+SQRT(1-AC$9^2*$C$11)*NORMSINV(AB730)))*(AC$7-AC$5)*(AC$7-AC$6))))</f>
        <v>10.4060066797152</v>
      </c>
      <c r="AD730" s="2" t="n">
        <f aca="false">Entrées!$C$8*(1+E730)</f>
        <v>7463.32932055418</v>
      </c>
      <c r="AE730" s="2" t="n">
        <f aca="false">I730*Hypothèses!$J$24/12/Hypothèses!$J$19</f>
        <v>99.5820860466569</v>
      </c>
      <c r="AF730" s="2" t="n">
        <f aca="false">Entrées!$C$36*S730*1000</f>
        <v>395.094708073389</v>
      </c>
      <c r="AG730" s="2" t="n">
        <f aca="false">-AF730/W730</f>
        <v>-35.2853304495404</v>
      </c>
      <c r="AH730" s="2" t="n">
        <f aca="false">AD730+AE730+AG730</f>
        <v>7527.62607615129</v>
      </c>
      <c r="AI730" s="2" t="n">
        <f aca="false">Entrées!$C$16-M730+Hypothèses!$J$22*1000-AF730+Hypothèses!$J$23</f>
        <v>22384.8479928757</v>
      </c>
      <c r="AJ730" s="2" t="n">
        <f aca="false">AI730/AH730</f>
        <v>2.97369287029206</v>
      </c>
      <c r="AK730" s="2" t="n">
        <f aca="false">AI730/(AH730+I730*(12-Hypothèses!$J$24)/12/Hypothèses!$J$19)</f>
        <v>2.94585687282062</v>
      </c>
      <c r="AL730" s="2" t="n">
        <f aca="false">(AD730+AG730+I730/Hypothèses!$J$19)*(1+G730)</f>
        <v>7959.12280715232</v>
      </c>
      <c r="AM730" s="2" t="n">
        <f aca="false">Entrées!$C$54*K730/Hypothèses!$J$19</f>
        <v>31.0532439754453</v>
      </c>
      <c r="AN730" s="2" t="n">
        <f aca="false">Y730*1000/AC730</f>
        <v>36.4581965303907</v>
      </c>
      <c r="AO730" s="2" t="n">
        <f aca="false">(Entrées!$C$36*(1-S730)+MAX(0,Entrées!$C$30-Entrées!$C$35-Entrées!$C$36)*U730)*1000</f>
        <v>1294.31851528458</v>
      </c>
      <c r="AP730" s="2" t="n">
        <f aca="false">-AO730/W730</f>
        <v>-115.593693323505</v>
      </c>
      <c r="AQ730" s="2" t="n">
        <f aca="false">AL730+AM730+AN730+AP730</f>
        <v>7911.04055433465</v>
      </c>
      <c r="AR730" s="2" t="n">
        <f aca="false">O730*AQ730-Hypothèses!$J$25/Hypothèses!$J$19</f>
        <v>1253.53507622116</v>
      </c>
      <c r="AS730" s="2" t="n">
        <f aca="false">Entrées!$C$79*(1+Q730)+Hypothèses!$J$20</f>
        <v>1455.37303920925</v>
      </c>
      <c r="AT730" s="2" t="n">
        <f aca="false">AI730-AR730+AS730+Y730*1000-AO730+Hypothèses!$J$23</f>
        <v>21671.7516772048</v>
      </c>
      <c r="AU730" s="2" t="n">
        <f aca="false">AT730/AQ730</f>
        <v>2.73943124527789</v>
      </c>
      <c r="AV730" s="2" t="n">
        <f aca="false">Hypothèses!$J$26*AQ730-AT730</f>
        <v>2061.36998579913</v>
      </c>
      <c r="AW730" s="2" t="n">
        <f aca="false">IF(AC730&gt;Hypothèses!$J$26,MAX(0,AV730)/(1-Hypothèses!$J$26/AC730),0)</f>
        <v>2896.3827294867</v>
      </c>
      <c r="AX730" s="2" t="n">
        <f aca="false">AQ730-Entrées!$C$17*1000</f>
        <v>-88.9594456653495</v>
      </c>
      <c r="AY730" s="2" t="n">
        <f aca="false">AI730+(Entrées!$C$244-Entrées!$C$13)</f>
        <v>28131.8479928757</v>
      </c>
      <c r="AZ730" s="2" t="n">
        <f aca="false">AA730*AH730</f>
        <v>5603.95382855672</v>
      </c>
      <c r="BA730" s="2" t="n">
        <f aca="false">AZ730/AY730</f>
        <v>0.199203188854707</v>
      </c>
      <c r="BB730" s="2" t="n">
        <f aca="false">AZ730/(Entrées!$C$151/100)-AY730</f>
        <v>3001.22883243941</v>
      </c>
      <c r="BC730" s="2" t="n">
        <f aca="false">AT730+(Entrées!$C$244-Entrées!$C$13)</f>
        <v>27418.7516772048</v>
      </c>
      <c r="BD730" s="2" t="n">
        <f aca="false">AA730*AQ730</f>
        <v>5889.3873784174</v>
      </c>
      <c r="BE730" s="2" t="n">
        <f aca="false">BD730/BC730</f>
        <v>0.214794147003916</v>
      </c>
      <c r="BF730" s="2" t="n">
        <f aca="false">BD730/(Entrées!$C$151/100)-BC730</f>
        <v>5300.06709178073</v>
      </c>
      <c r="BG730" s="2" t="n">
        <f aca="false">MIN(AV730,BF730)</f>
        <v>2061.36998579913</v>
      </c>
      <c r="BH730" s="2" t="n">
        <f aca="false">IF(AC730&gt;Hypothèses!$J$26,MAX(0,BG730)/(1-Hypothèses!$J$26/AC730),0)</f>
        <v>2896.3827294867</v>
      </c>
    </row>
    <row r="731" customFormat="false" ht="15" hidden="false" customHeight="false" outlineLevel="0" collapsed="false">
      <c r="A731" s="2" t="n">
        <v>716</v>
      </c>
      <c r="B731" s="2" t="n">
        <v>0.978124949</v>
      </c>
      <c r="C731" s="2"/>
      <c r="D731" s="2" t="n">
        <v>0.502772799</v>
      </c>
      <c r="E731" s="2" t="n">
        <f aca="false">IF(E$7=E$5,E$6,IF(NORMSDIST(E$9*SQRT($C$11)*NORMSINV($B731)+SQRT(1-E$9^2*$C$11)*NORMSINV(D731))&lt;E$8,E$5+SQRT(NORMSDIST(E$9*SQRT($C$11)*NORMSINV($B731)+SQRT(1-E$9^2*$C$11)*NORMSINV(D731))*(E$7-E$5)*(E$6-E$5)),E$7-SQRT((1-NORMSDIST(E$9*SQRT($C$11)*NORMSINV($B731)+SQRT(1-E$9^2*$C$11)*NORMSINV(D731)))*(E$7-E$5)*(E$7-E$6))))</f>
        <v>0.0577622921195764</v>
      </c>
      <c r="F731" s="2" t="n">
        <v>0.66906733</v>
      </c>
      <c r="G731" s="2" t="n">
        <f aca="false">IF(G$7=G$5,G$6,IF(NORMSDIST(G$9*SQRT($C$11)*NORMSINV($B731)+SQRT(1-G$9^2*$C$11)*NORMSINV(F731))&lt;G$8,G$5+SQRT(NORMSDIST(G$9*SQRT($C$11)*NORMSINV($B731)+SQRT(1-G$9^2*$C$11)*NORMSINV(F731))*(G$7-G$5)*(G$6-G$5)),G$7-SQRT((1-NORMSDIST(G$9*SQRT($C$11)*NORMSINV($B731)+SQRT(1-G$9^2*$C$11)*NORMSINV(F731)))*(G$7-G$5)*(G$7-G$6))))</f>
        <v>0.0651046859284284</v>
      </c>
      <c r="H731" s="2" t="n">
        <v>0.596315011</v>
      </c>
      <c r="I731" s="2" t="n">
        <f aca="false">IF(I$7=I$5,I$6,IF(NORMSDIST(I$9*SQRT($C$11)*NORMSINV($B731)+SQRT(1-I$9^2*$C$11)*NORMSINV(H731))&lt;I$8,I$5+SQRT(NORMSDIST(I$9*SQRT($C$11)*NORMSINV($B731)+SQRT(1-I$9^2*$C$11)*NORMSINV(H731))*(I$7-I$5)*(I$6-I$5)),I$7-SQRT((1-NORMSDIST(I$9*SQRT($C$11)*NORMSINV($B731)+SQRT(1-I$9^2*$C$11)*NORMSINV(H731)))*(I$7-I$5)*(I$7-I$6))))</f>
        <v>212.433209501601</v>
      </c>
      <c r="J731" s="2" t="n">
        <v>0.086936329</v>
      </c>
      <c r="K731" s="2" t="n">
        <f aca="false">IF(K$7=K$5,K$6,IF(NORMSDIST(K$9*SQRT($C$11)*NORMSINV($B731)+SQRT(1-K$9^2*$C$11)*NORMSINV(J731))&lt;K$8,K$5+SQRT(NORMSDIST(K$9*SQRT($C$11)*NORMSINV($B731)+SQRT(1-K$9^2*$C$11)*NORMSINV(J731))*(K$7-K$5)*(K$6-K$5)),K$7-SQRT((1-NORMSDIST(K$9*SQRT($C$11)*NORMSINV($B731)+SQRT(1-K$9^2*$C$11)*NORMSINV(J731)))*(K$7-K$5)*(K$7-K$6))))</f>
        <v>0.273019088278613</v>
      </c>
      <c r="L731" s="2" t="n">
        <v>0.129005546</v>
      </c>
      <c r="M731" s="2" t="n">
        <f aca="false">IF(M$7=M$5,M$6,IF(NORMSDIST(M$9*SQRT($C$11)*NORMSINV($B731)+SQRT(1-M$9^2*$C$11)*NORMSINV(L731))&lt;M$8,M$5+SQRT(NORMSDIST(M$9*SQRT($C$11)*NORMSINV($B731)+SQRT(1-M$9^2*$C$11)*NORMSINV(L731))*(M$7-M$5)*(M$6-M$5)),M$7-SQRT((1-NORMSDIST(M$9*SQRT($C$11)*NORMSINV($B731)+SQRT(1-M$9^2*$C$11)*NORMSINV(L731)))*(M$7-M$5)*(M$7-M$6))))</f>
        <v>1626.16638905221</v>
      </c>
      <c r="N731" s="2" t="n">
        <v>0.952713766</v>
      </c>
      <c r="O731" s="2" t="n">
        <f aca="false">IF(O$7=O$5,O$6,IF(NORMSDIST(O$9*SQRT($C$11)*NORMSINV($B731)+SQRT(1-O$9^2*$C$11)*NORMSINV(N731))&lt;O$8,O$5+SQRT(NORMSDIST(O$9*SQRT($C$11)*NORMSINV($B731)+SQRT(1-O$9^2*$C$11)*NORMSINV(N731))*(O$7-O$5)*(O$6-O$5)),O$7-SQRT((1-NORMSDIST(O$9*SQRT($C$11)*NORMSINV($B731)+SQRT(1-O$9^2*$C$11)*NORMSINV(N731)))*(O$7-O$5)*(O$7-O$6))))</f>
        <v>0.187673592753607</v>
      </c>
      <c r="P731" s="2" t="n">
        <v>0.522783228</v>
      </c>
      <c r="Q731" s="2" t="n">
        <f aca="false">IF(Q$7=Q$5,Q$6,IF(NORMSDIST(Q$9*SQRT($C$11)*NORMSINV($B731)+SQRT(1-Q$9^2*$C$11)*NORMSINV(P731))&lt;Q$8,Q$5+SQRT(NORMSDIST(Q$9*SQRT($C$11)*NORMSINV($B731)+SQRT(1-Q$9^2*$C$11)*NORMSINV(P731))*(Q$7-Q$5)*(Q$6-Q$5)),Q$7-SQRT((1-NORMSDIST(Q$9*SQRT($C$11)*NORMSINV($B731)+SQRT(1-Q$9^2*$C$11)*NORMSINV(P731)))*(Q$7-Q$5)*(Q$7-Q$6))))</f>
        <v>0.0809219541123152</v>
      </c>
      <c r="R731" s="2" t="n">
        <v>0.556610903</v>
      </c>
      <c r="S731" s="2" t="n">
        <f aca="false">IF(S$7=S$5,S$6,IF(NORMSDIST(S$9*SQRT($C$11)*NORMSINV($B731)+SQRT(1-S$9^2*$C$11)*NORMSINV(R731))&lt;S$8,S$5+SQRT(NORMSDIST(S$9*SQRT($C$11)*NORMSINV($B731)+SQRT(1-S$9^2*$C$11)*NORMSINV(R731))*(S$7-S$5)*(S$6-S$5)),S$7-SQRT((1-NORMSDIST(S$9*SQRT($C$11)*NORMSINV($B731)+SQRT(1-S$9^2*$C$11)*NORMSINV(R731)))*(S$7-S$5)*(S$7-S$6))))</f>
        <v>0.796368772876915</v>
      </c>
      <c r="T731" s="2" t="n">
        <v>0.245918516</v>
      </c>
      <c r="U731" s="2" t="n">
        <f aca="false">IF(U$7=U$5,U$6,IF(NORMSDIST(U$9*SQRT($C$11)*NORMSINV($B731)+SQRT(1-U$9^2*$C$11)*NORMSINV(T731))&lt;U$8,U$5+SQRT(NORMSDIST(U$9*SQRT($C$11)*NORMSINV($B731)+SQRT(1-U$9^2*$C$11)*NORMSINV(T731))*(U$7-U$5)*(U$6-U$5)),U$7-SQRT((1-NORMSDIST(U$9*SQRT($C$11)*NORMSINV($B731)+SQRT(1-U$9^2*$C$11)*NORMSINV(T731)))*(U$7-U$5)*(U$7-U$6))))</f>
        <v>0.661786675467061</v>
      </c>
      <c r="V731" s="2" t="n">
        <v>0.13586091</v>
      </c>
      <c r="W731" s="2" t="n">
        <f aca="false">IF(W$7=W$5,W$6,IF(NORMSDIST(W$9*SQRT($C$11)*NORMSINV($B731)+SQRT(1-W$9^2*$C$11)*NORMSINV(V731))&lt;W$8,W$5+SQRT(NORMSDIST(W$9*SQRT($C$11)*NORMSINV($B731)+SQRT(1-W$9^2*$C$11)*NORMSINV(V731))*(W$7-W$5)*(W$6-W$5)),W$7-SQRT((1-NORMSDIST(W$9*SQRT($C$11)*NORMSINV($B731)+SQRT(1-W$9^2*$C$11)*NORMSINV(V731)))*(W$7-W$5)*(W$7-W$6))))</f>
        <v>10.360989386427</v>
      </c>
      <c r="X731" s="2" t="n">
        <v>0.43935193</v>
      </c>
      <c r="Y731" s="2" t="n">
        <f aca="false">IF(Y$7=Y$5,Y$6,IF(NORMSDIST(Y$9*SQRT($C$11)*NORMSINV($B731)+SQRT(1-Y$9^2*$C$11)*NORMSINV(X731))&lt;Y$8,Y$5+SQRT(NORMSDIST(Y$9*SQRT($C$11)*NORMSINV($B731)+SQRT(1-Y$9^2*$C$11)*NORMSINV(X731))*(Y$7-Y$5)*(Y$6-Y$5)),Y$7-SQRT((1-NORMSDIST(Y$9*SQRT($C$11)*NORMSINV($B731)+SQRT(1-Y$9^2*$C$11)*NORMSINV(X731)))*(Y$7-Y$5)*(Y$7-Y$6))))</f>
        <v>0.468696026225954</v>
      </c>
      <c r="Z731" s="2" t="n">
        <v>0.856952457</v>
      </c>
      <c r="AA731" s="2" t="n">
        <f aca="false">IF(AA$7=AA$5,AA$6,IF(NORMSDIST(AA$9*SQRT($C$11)*NORMSINV($B731)+SQRT(1-AA$9^2*$C$11)*NORMSINV(Z731))&lt;AA$8,AA$5+SQRT(NORMSDIST(AA$9*SQRT($C$11)*NORMSINV($B731)+SQRT(1-AA$9^2*$C$11)*NORMSINV(Z731))*(AA$7-AA$5)*(AA$6-AA$5)),AA$7-SQRT((1-NORMSDIST(AA$9*SQRT($C$11)*NORMSINV($B731)+SQRT(1-AA$9^2*$C$11)*NORMSINV(Z731)))*(AA$7-AA$5)*(AA$7-AA$6))))</f>
        <v>0.749089380198646</v>
      </c>
      <c r="AB731" s="2" t="n">
        <v>0.610021095</v>
      </c>
      <c r="AC731" s="2" t="n">
        <f aca="false">IF(AC$7=AC$5,AC$6,IF(NORMSDIST(AC$9*SQRT($C$11)*NORMSINV($B731)+SQRT(1-AC$9^2*$C$11)*NORMSINV(AB731))&lt;AC$8,AC$5+SQRT(NORMSDIST(AC$9*SQRT($C$11)*NORMSINV($B731)+SQRT(1-AC$9^2*$C$11)*NORMSINV(AB731))*(AC$7-AC$5)*(AC$6-AC$5)),AC$7-SQRT((1-NORMSDIST(AC$9*SQRT($C$11)*NORMSINV($B731)+SQRT(1-AC$9^2*$C$11)*NORMSINV(AB731)))*(AC$7-AC$5)*(AC$7-AC$6))))</f>
        <v>10.4584645719456</v>
      </c>
      <c r="AD731" s="2" t="n">
        <f aca="false">Entrées!$C$8*(1+E731)</f>
        <v>7457.22415944301</v>
      </c>
      <c r="AE731" s="2" t="n">
        <f aca="false">I731*Hypothèses!$J$24/12/Hypothèses!$J$19</f>
        <v>105.387435314807</v>
      </c>
      <c r="AF731" s="2" t="n">
        <f aca="false">Entrées!$C$36*S731*1000</f>
        <v>398.184386438458</v>
      </c>
      <c r="AG731" s="2" t="n">
        <f aca="false">-AF731/W731</f>
        <v>-38.4311161403256</v>
      </c>
      <c r="AH731" s="2" t="n">
        <f aca="false">AD731+AE731+AG731</f>
        <v>7524.18047861749</v>
      </c>
      <c r="AI731" s="2" t="n">
        <f aca="false">Entrées!$C$16-M731+Hypothèses!$J$22*1000-AF731+Hypothèses!$J$23</f>
        <v>22523.6492245093</v>
      </c>
      <c r="AJ731" s="2" t="n">
        <f aca="false">AI731/AH731</f>
        <v>2.99350198849136</v>
      </c>
      <c r="AK731" s="2" t="n">
        <f aca="false">AI731/(AH731+I731*(12-Hypothèses!$J$24)/12/Hypothèses!$J$19)</f>
        <v>2.96384973005446</v>
      </c>
      <c r="AL731" s="2" t="n">
        <f aca="false">(AD731+AG731+I731/Hypothèses!$J$19)*(1+G731)</f>
        <v>8094.21749354083</v>
      </c>
      <c r="AM731" s="2" t="n">
        <f aca="false">Entrées!$C$54*K731/Hypothèses!$J$19</f>
        <v>27.8627442919063</v>
      </c>
      <c r="AN731" s="2" t="n">
        <f aca="false">Y731*1000/AC731</f>
        <v>44.8149939220724</v>
      </c>
      <c r="AO731" s="2" t="n">
        <f aca="false">(Entrées!$C$36*(1-S731)+MAX(0,Entrées!$C$30-Entrées!$C$35-Entrées!$C$36)*U731)*1000</f>
        <v>1028.31695921543</v>
      </c>
      <c r="AP731" s="2" t="n">
        <f aca="false">-AO731/W731</f>
        <v>-99.2489154136701</v>
      </c>
      <c r="AQ731" s="2" t="n">
        <f aca="false">AL731+AM731+AN731+AP731</f>
        <v>8067.64631634114</v>
      </c>
      <c r="AR731" s="2" t="n">
        <f aca="false">O731*AQ731-Hypothèses!$J$25/Hypothèses!$J$19</f>
        <v>1494.94900699152</v>
      </c>
      <c r="AS731" s="2" t="n">
        <f aca="false">Entrées!$C$79*(1+Q731)+Hypothèses!$J$20</f>
        <v>1482.93322756943</v>
      </c>
      <c r="AT731" s="2" t="n">
        <f aca="false">AI731-AR731+AS731+Y731*1000-AO731+Hypothèses!$J$23</f>
        <v>21952.0125120978</v>
      </c>
      <c r="AU731" s="2" t="n">
        <f aca="false">AT731/AQ731</f>
        <v>2.72099341633676</v>
      </c>
      <c r="AV731" s="2" t="n">
        <f aca="false">Hypothèses!$J$26*AQ731-AT731</f>
        <v>2250.92643692564</v>
      </c>
      <c r="AW731" s="2" t="n">
        <f aca="false">IF(AC731&gt;Hypothèses!$J$26,MAX(0,AV731)/(1-Hypothèses!$J$26/AC731),0)</f>
        <v>3156.31108354271</v>
      </c>
      <c r="AX731" s="2" t="n">
        <f aca="false">AQ731-Entrées!$C$17*1000</f>
        <v>67.6463163411363</v>
      </c>
      <c r="AY731" s="2" t="n">
        <f aca="false">AI731+(Entrées!$C$244-Entrées!$C$13)</f>
        <v>28270.6492245093</v>
      </c>
      <c r="AZ731" s="2" t="n">
        <f aca="false">AA731*AH731</f>
        <v>5636.28369123033</v>
      </c>
      <c r="BA731" s="2" t="n">
        <f aca="false">AZ731/AY731</f>
        <v>0.199368739163724</v>
      </c>
      <c r="BB731" s="2" t="n">
        <f aca="false">AZ731/(Entrées!$C$151/100)-AY731</f>
        <v>3042.03794899251</v>
      </c>
      <c r="BC731" s="2" t="n">
        <f aca="false">AT731+(Entrées!$C$244-Entrées!$C$13)</f>
        <v>27699.0125120978</v>
      </c>
      <c r="BD731" s="2" t="n">
        <f aca="false">AA731*AQ731</f>
        <v>6043.38817876987</v>
      </c>
      <c r="BE731" s="2" t="n">
        <f aca="false">BD731/BC731</f>
        <v>0.218180636444363</v>
      </c>
      <c r="BF731" s="2" t="n">
        <f aca="false">BD731/(Entrées!$C$151/100)-BC731</f>
        <v>5875.36625884596</v>
      </c>
      <c r="BG731" s="2" t="n">
        <f aca="false">MIN(AV731,BF731)</f>
        <v>2250.92643692564</v>
      </c>
      <c r="BH731" s="2" t="n">
        <f aca="false">IF(AC731&gt;Hypothèses!$J$26,MAX(0,BG731)/(1-Hypothèses!$J$26/AC731),0)</f>
        <v>3156.31108354271</v>
      </c>
    </row>
    <row r="732" customFormat="false" ht="15" hidden="false" customHeight="false" outlineLevel="0" collapsed="false">
      <c r="A732" s="2" t="n">
        <v>717</v>
      </c>
      <c r="B732" s="2" t="n">
        <v>0.194552636</v>
      </c>
      <c r="C732" s="2"/>
      <c r="D732" s="2" t="n">
        <v>0.168104721</v>
      </c>
      <c r="E732" s="2" t="n">
        <f aca="false">IF(E$7=E$5,E$6,IF(NORMSDIST(E$9*SQRT($C$11)*NORMSINV($B732)+SQRT(1-E$9^2*$C$11)*NORMSINV(D732))&lt;E$8,E$5+SQRT(NORMSDIST(E$9*SQRT($C$11)*NORMSINV($B732)+SQRT(1-E$9^2*$C$11)*NORMSINV(D732))*(E$7-E$5)*(E$6-E$5)),E$7-SQRT((1-NORMSDIST(E$9*SQRT($C$11)*NORMSINV($B732)+SQRT(1-E$9^2*$C$11)*NORMSINV(D732)))*(E$7-E$5)*(E$7-E$6))))</f>
        <v>0.0522202776835936</v>
      </c>
      <c r="F732" s="2" t="n">
        <v>0.955663105</v>
      </c>
      <c r="G732" s="2" t="n">
        <f aca="false">IF(G$7=G$5,G$6,IF(NORMSDIST(G$9*SQRT($C$11)*NORMSINV($B732)+SQRT(1-G$9^2*$C$11)*NORMSINV(F732))&lt;G$8,G$5+SQRT(NORMSDIST(G$9*SQRT($C$11)*NORMSINV($B732)+SQRT(1-G$9^2*$C$11)*NORMSINV(F732))*(G$7-G$5)*(G$6-G$5)),G$7-SQRT((1-NORMSDIST(G$9*SQRT($C$11)*NORMSINV($B732)+SQRT(1-G$9^2*$C$11)*NORMSINV(F732)))*(G$7-G$5)*(G$7-G$6))))</f>
        <v>0.0600622492921929</v>
      </c>
      <c r="H732" s="2" t="n">
        <v>0.758682619</v>
      </c>
      <c r="I732" s="2" t="n">
        <f aca="false">IF(I$7=I$5,I$6,IF(NORMSDIST(I$9*SQRT($C$11)*NORMSINV($B732)+SQRT(1-I$9^2*$C$11)*NORMSINV(H732))&lt;I$8,I$5+SQRT(NORMSDIST(I$9*SQRT($C$11)*NORMSINV($B732)+SQRT(1-I$9^2*$C$11)*NORMSINV(H732))*(I$7-I$5)*(I$6-I$5)),I$7-SQRT((1-NORMSDIST(I$9*SQRT($C$11)*NORMSINV($B732)+SQRT(1-I$9^2*$C$11)*NORMSINV(H732)))*(I$7-I$5)*(I$7-I$6))))</f>
        <v>199.993019841305</v>
      </c>
      <c r="J732" s="2" t="n">
        <v>0.136707774</v>
      </c>
      <c r="K732" s="2" t="n">
        <f aca="false">IF(K$7=K$5,K$6,IF(NORMSDIST(K$9*SQRT($C$11)*NORMSINV($B732)+SQRT(1-K$9^2*$C$11)*NORMSINV(J732))&lt;K$8,K$5+SQRT(NORMSDIST(K$9*SQRT($C$11)*NORMSINV($B732)+SQRT(1-K$9^2*$C$11)*NORMSINV(J732))*(K$7-K$5)*(K$6-K$5)),K$7-SQRT((1-NORMSDIST(K$9*SQRT($C$11)*NORMSINV($B732)+SQRT(1-K$9^2*$C$11)*NORMSINV(J732)))*(K$7-K$5)*(K$7-K$6))))</f>
        <v>0.101119363319034</v>
      </c>
      <c r="L732" s="2" t="n">
        <v>0.27932272</v>
      </c>
      <c r="M732" s="2" t="n">
        <f aca="false">IF(M$7=M$5,M$6,IF(NORMSDIST(M$9*SQRT($C$11)*NORMSINV($B732)+SQRT(1-M$9^2*$C$11)*NORMSINV(L732))&lt;M$8,M$5+SQRT(NORMSDIST(M$9*SQRT($C$11)*NORMSINV($B732)+SQRT(1-M$9^2*$C$11)*NORMSINV(L732))*(M$7-M$5)*(M$6-M$5)),M$7-SQRT((1-NORMSDIST(M$9*SQRT($C$11)*NORMSINV($B732)+SQRT(1-M$9^2*$C$11)*NORMSINV(L732)))*(M$7-M$5)*(M$7-M$6))))</f>
        <v>1462.41263311021</v>
      </c>
      <c r="N732" s="2" t="n">
        <v>0.215128177</v>
      </c>
      <c r="O732" s="2" t="n">
        <f aca="false">IF(O$7=O$5,O$6,IF(NORMSDIST(O$9*SQRT($C$11)*NORMSINV($B732)+SQRT(1-O$9^2*$C$11)*NORMSINV(N732))&lt;O$8,O$5+SQRT(NORMSDIST(O$9*SQRT($C$11)*NORMSINV($B732)+SQRT(1-O$9^2*$C$11)*NORMSINV(N732))*(O$7-O$5)*(O$6-O$5)),O$7-SQRT((1-NORMSDIST(O$9*SQRT($C$11)*NORMSINV($B732)+SQRT(1-O$9^2*$C$11)*NORMSINV(N732)))*(O$7-O$5)*(O$7-O$6))))</f>
        <v>0.153333711758934</v>
      </c>
      <c r="P732" s="2" t="n">
        <v>0.915998963</v>
      </c>
      <c r="Q732" s="2" t="n">
        <f aca="false">IF(Q$7=Q$5,Q$6,IF(NORMSDIST(Q$9*SQRT($C$11)*NORMSINV($B732)+SQRT(1-Q$9^2*$C$11)*NORMSINV(P732))&lt;Q$8,Q$5+SQRT(NORMSDIST(Q$9*SQRT($C$11)*NORMSINV($B732)+SQRT(1-Q$9^2*$C$11)*NORMSINV(P732))*(Q$7-Q$5)*(Q$6-Q$5)),Q$7-SQRT((1-NORMSDIST(Q$9*SQRT($C$11)*NORMSINV($B732)+SQRT(1-Q$9^2*$C$11)*NORMSINV(P732)))*(Q$7-Q$5)*(Q$7-Q$6))))</f>
        <v>0.103604777573939</v>
      </c>
      <c r="R732" s="2" t="n">
        <v>0.924204747</v>
      </c>
      <c r="S732" s="2" t="n">
        <f aca="false">IF(S$7=S$5,S$6,IF(NORMSDIST(S$9*SQRT($C$11)*NORMSINV($B732)+SQRT(1-S$9^2*$C$11)*NORMSINV(R732))&lt;S$8,S$5+SQRT(NORMSDIST(S$9*SQRT($C$11)*NORMSINV($B732)+SQRT(1-S$9^2*$C$11)*NORMSINV(R732))*(S$7-S$5)*(S$6-S$5)),S$7-SQRT((1-NORMSDIST(S$9*SQRT($C$11)*NORMSINV($B732)+SQRT(1-S$9^2*$C$11)*NORMSINV(R732)))*(S$7-S$5)*(S$7-S$6))))</f>
        <v>0.622052746904804</v>
      </c>
      <c r="T732" s="2" t="n">
        <v>0.495188828</v>
      </c>
      <c r="U732" s="2" t="n">
        <f aca="false">IF(U$7=U$5,U$6,IF(NORMSDIST(U$9*SQRT($C$11)*NORMSINV($B732)+SQRT(1-U$9^2*$C$11)*NORMSINV(T732))&lt;U$8,U$5+SQRT(NORMSDIST(U$9*SQRT($C$11)*NORMSINV($B732)+SQRT(1-U$9^2*$C$11)*NORMSINV(T732))*(U$7-U$5)*(U$6-U$5)),U$7-SQRT((1-NORMSDIST(U$9*SQRT($C$11)*NORMSINV($B732)+SQRT(1-U$9^2*$C$11)*NORMSINV(T732)))*(U$7-U$5)*(U$7-U$6))))</f>
        <v>0.380641745905424</v>
      </c>
      <c r="V732" s="2" t="n">
        <v>0.126187345</v>
      </c>
      <c r="W732" s="2" t="n">
        <f aca="false">IF(W$7=W$5,W$6,IF(NORMSDIST(W$9*SQRT($C$11)*NORMSINV($B732)+SQRT(1-W$9^2*$C$11)*NORMSINV(V732))&lt;W$8,W$5+SQRT(NORMSDIST(W$9*SQRT($C$11)*NORMSINV($B732)+SQRT(1-W$9^2*$C$11)*NORMSINV(V732))*(W$7-W$5)*(W$6-W$5)),W$7-SQRT((1-NORMSDIST(W$9*SQRT($C$11)*NORMSINV($B732)+SQRT(1-W$9^2*$C$11)*NORMSINV(V732)))*(W$7-W$5)*(W$7-W$6))))</f>
        <v>8.78062573317323</v>
      </c>
      <c r="X732" s="2" t="n">
        <v>0.965970336</v>
      </c>
      <c r="Y732" s="2" t="n">
        <f aca="false">IF(Y$7=Y$5,Y$6,IF(NORMSDIST(Y$9*SQRT($C$11)*NORMSINV($B732)+SQRT(1-Y$9^2*$C$11)*NORMSINV(X732))&lt;Y$8,Y$5+SQRT(NORMSDIST(Y$9*SQRT($C$11)*NORMSINV($B732)+SQRT(1-Y$9^2*$C$11)*NORMSINV(X732))*(Y$7-Y$5)*(Y$6-Y$5)),Y$7-SQRT((1-NORMSDIST(Y$9*SQRT($C$11)*NORMSINV($B732)+SQRT(1-Y$9^2*$C$11)*NORMSINV(X732)))*(Y$7-Y$5)*(Y$7-Y$6))))</f>
        <v>0.869559086173088</v>
      </c>
      <c r="Z732" s="2" t="n">
        <v>0.308110265</v>
      </c>
      <c r="AA732" s="2" t="n">
        <f aca="false">IF(AA$7=AA$5,AA$6,IF(NORMSDIST(AA$9*SQRT($C$11)*NORMSINV($B732)+SQRT(1-AA$9^2*$C$11)*NORMSINV(Z732))&lt;AA$8,AA$5+SQRT(NORMSDIST(AA$9*SQRT($C$11)*NORMSINV($B732)+SQRT(1-AA$9^2*$C$11)*NORMSINV(Z732))*(AA$7-AA$5)*(AA$6-AA$5)),AA$7-SQRT((1-NORMSDIST(AA$9*SQRT($C$11)*NORMSINV($B732)+SQRT(1-AA$9^2*$C$11)*NORMSINV(Z732)))*(AA$7-AA$5)*(AA$7-AA$6))))</f>
        <v>0.714707388894106</v>
      </c>
      <c r="AB732" s="2" t="n">
        <v>0.927984631</v>
      </c>
      <c r="AC732" s="2" t="n">
        <f aca="false">IF(AC$7=AC$5,AC$6,IF(NORMSDIST(AC$9*SQRT($C$11)*NORMSINV($B732)+SQRT(1-AC$9^2*$C$11)*NORMSINV(AB732))&lt;AC$8,AC$5+SQRT(NORMSDIST(AC$9*SQRT($C$11)*NORMSINV($B732)+SQRT(1-AC$9^2*$C$11)*NORMSINV(AB732))*(AC$7-AC$5)*(AC$6-AC$5)),AC$7-SQRT((1-NORMSDIST(AC$9*SQRT($C$11)*NORMSINV($B732)+SQRT(1-AC$9^2*$C$11)*NORMSINV(AB732)))*(AC$7-AC$5)*(AC$7-AC$6))))</f>
        <v>9.90289538426991</v>
      </c>
      <c r="AD732" s="2" t="n">
        <f aca="false">Entrées!$C$8*(1+E732)</f>
        <v>7418.15295766934</v>
      </c>
      <c r="AE732" s="2" t="n">
        <f aca="false">I732*Hypothèses!$J$24/12/Hypothèses!$J$19</f>
        <v>99.2158970407101</v>
      </c>
      <c r="AF732" s="2" t="n">
        <f aca="false">Entrées!$C$36*S732*1000</f>
        <v>311.026373452402</v>
      </c>
      <c r="AG732" s="2" t="n">
        <f aca="false">-AF732/W732</f>
        <v>-35.4218916628394</v>
      </c>
      <c r="AH732" s="2" t="n">
        <f aca="false">AD732+AE732+AG732</f>
        <v>7481.94696304721</v>
      </c>
      <c r="AI732" s="2" t="n">
        <f aca="false">Entrées!$C$16-M732+Hypothèses!$J$22*1000-AF732+Hypothèses!$J$23</f>
        <v>22774.5609934374</v>
      </c>
      <c r="AJ732" s="2" t="n">
        <f aca="false">AI732/AH732</f>
        <v>3.04393510217585</v>
      </c>
      <c r="AK732" s="2" t="n">
        <f aca="false">AI732/(AH732+I732*(12-Hypothèses!$J$24)/12/Hypothèses!$J$19)</f>
        <v>3.0153736856458</v>
      </c>
      <c r="AL732" s="2" t="n">
        <f aca="false">(AD732+AG732+I732/Hypothèses!$J$19)*(1+G732)</f>
        <v>8006.45454600594</v>
      </c>
      <c r="AM732" s="2" t="n">
        <f aca="false">Entrées!$C$54*K732/Hypothèses!$J$19</f>
        <v>10.3196555994775</v>
      </c>
      <c r="AN732" s="2" t="n">
        <f aca="false">Y732*1000/AC732</f>
        <v>87.808570365625</v>
      </c>
      <c r="AO732" s="2" t="n">
        <f aca="false">(Entrées!$C$36*(1-S732)+MAX(0,Entrées!$C$30-Entrées!$C$35-Entrées!$C$36)*U732)*1000</f>
        <v>721.872070815192</v>
      </c>
      <c r="AP732" s="2" t="n">
        <f aca="false">-AO732/W732</f>
        <v>-82.2119166391476</v>
      </c>
      <c r="AQ732" s="2" t="n">
        <f aca="false">AL732+AM732+AN732+AP732</f>
        <v>8022.3708553319</v>
      </c>
      <c r="AR732" s="2" t="n">
        <f aca="false">O732*AQ732-Hypothèses!$J$25/Hypothèses!$J$19</f>
        <v>1210.96473809311</v>
      </c>
      <c r="AS732" s="2" t="n">
        <f aca="false">Entrées!$C$79*(1+Q732)+Hypothèses!$J$20</f>
        <v>1507.86165055376</v>
      </c>
      <c r="AT732" s="2" t="n">
        <f aca="false">AI732-AR732+AS732+Y732*1000-AO732+Hypothèses!$J$23</f>
        <v>23219.1449212559</v>
      </c>
      <c r="AU732" s="2" t="n">
        <f aca="false">AT732/AQ732</f>
        <v>2.89429962039512</v>
      </c>
      <c r="AV732" s="2" t="n">
        <f aca="false">Hypothèses!$J$26*AQ732-AT732</f>
        <v>847.967644739743</v>
      </c>
      <c r="AW732" s="2" t="n">
        <f aca="false">IF(AC732&gt;Hypothèses!$J$26,MAX(0,AV732)/(1-Hypothèses!$J$26/AC732),0)</f>
        <v>1216.49458779848</v>
      </c>
      <c r="AX732" s="2" t="n">
        <f aca="false">AQ732-Entrées!$C$17*1000</f>
        <v>22.3708553318947</v>
      </c>
      <c r="AY732" s="2" t="n">
        <f aca="false">AI732+(Entrées!$C$244-Entrées!$C$13)</f>
        <v>28521.5609934374</v>
      </c>
      <c r="AZ732" s="2" t="n">
        <f aca="false">AA732*AH732</f>
        <v>5347.40277780365</v>
      </c>
      <c r="BA732" s="2" t="n">
        <f aca="false">AZ732/AY732</f>
        <v>0.187486329343406</v>
      </c>
      <c r="BB732" s="2" t="n">
        <f aca="false">AZ732/(Entrées!$C$151/100)-AY732</f>
        <v>1186.2322165829</v>
      </c>
      <c r="BC732" s="2" t="n">
        <f aca="false">AT732+(Entrées!$C$244-Entrées!$C$13)</f>
        <v>28966.1449212559</v>
      </c>
      <c r="BD732" s="2" t="n">
        <f aca="false">AA732*AQ732</f>
        <v>5733.64772675443</v>
      </c>
      <c r="BE732" s="2" t="n">
        <f aca="false">BD732/BC732</f>
        <v>0.197943072588405</v>
      </c>
      <c r="BF732" s="2" t="n">
        <f aca="false">BD732/(Entrées!$C$151/100)-BC732</f>
        <v>2887.45356071313</v>
      </c>
      <c r="BG732" s="2" t="n">
        <f aca="false">MIN(AV732,BF732)</f>
        <v>847.967644739743</v>
      </c>
      <c r="BH732" s="2" t="n">
        <f aca="false">IF(AC732&gt;Hypothèses!$J$26,MAX(0,BG732)/(1-Hypothèses!$J$26/AC732),0)</f>
        <v>1216.49458779848</v>
      </c>
    </row>
    <row r="733" customFormat="false" ht="15" hidden="false" customHeight="false" outlineLevel="0" collapsed="false">
      <c r="A733" s="2" t="n">
        <v>718</v>
      </c>
      <c r="B733" s="2" t="n">
        <v>0.346532037</v>
      </c>
      <c r="C733" s="2"/>
      <c r="D733" s="2" t="n">
        <v>0.483432571</v>
      </c>
      <c r="E733" s="2" t="n">
        <f aca="false">IF(E$7=E$5,E$6,IF(NORMSDIST(E$9*SQRT($C$11)*NORMSINV($B733)+SQRT(1-E$9^2*$C$11)*NORMSINV(D733))&lt;E$8,E$5+SQRT(NORMSDIST(E$9*SQRT($C$11)*NORMSINV($B733)+SQRT(1-E$9^2*$C$11)*NORMSINV(D733))*(E$7-E$5)*(E$6-E$5)),E$7-SQRT((1-NORMSDIST(E$9*SQRT($C$11)*NORMSINV($B733)+SQRT(1-E$9^2*$C$11)*NORMSINV(D733)))*(E$7-E$5)*(E$7-E$6))))</f>
        <v>0.054410473896725</v>
      </c>
      <c r="F733" s="2" t="n">
        <v>0.616697333</v>
      </c>
      <c r="G733" s="2" t="n">
        <f aca="false">IF(G$7=G$5,G$6,IF(NORMSDIST(G$9*SQRT($C$11)*NORMSINV($B733)+SQRT(1-G$9^2*$C$11)*NORMSINV(F733))&lt;G$8,G$5+SQRT(NORMSDIST(G$9*SQRT($C$11)*NORMSINV($B733)+SQRT(1-G$9^2*$C$11)*NORMSINV(F733))*(G$7-G$5)*(G$6-G$5)),G$7-SQRT((1-NORMSDIST(G$9*SQRT($C$11)*NORMSINV($B733)+SQRT(1-G$9^2*$C$11)*NORMSINV(F733)))*(G$7-G$5)*(G$7-G$6))))</f>
        <v>0.0548815566458724</v>
      </c>
      <c r="H733" s="2" t="n">
        <v>0.380402838</v>
      </c>
      <c r="I733" s="2" t="n">
        <f aca="false">IF(I$7=I$5,I$6,IF(NORMSDIST(I$9*SQRT($C$11)*NORMSINV($B733)+SQRT(1-I$9^2*$C$11)*NORMSINV(H733))&lt;I$8,I$5+SQRT(NORMSDIST(I$9*SQRT($C$11)*NORMSINV($B733)+SQRT(1-I$9^2*$C$11)*NORMSINV(H733))*(I$7-I$5)*(I$6-I$5)),I$7-SQRT((1-NORMSDIST(I$9*SQRT($C$11)*NORMSINV($B733)+SQRT(1-I$9^2*$C$11)*NORMSINV(H733)))*(I$7-I$5)*(I$7-I$6))))</f>
        <v>195.841307033201</v>
      </c>
      <c r="J733" s="2" t="n">
        <v>0.306795549</v>
      </c>
      <c r="K733" s="2" t="n">
        <f aca="false">IF(K$7=K$5,K$6,IF(NORMSDIST(K$9*SQRT($C$11)*NORMSINV($B733)+SQRT(1-K$9^2*$C$11)*NORMSINV(J733))&lt;K$8,K$5+SQRT(NORMSDIST(K$9*SQRT($C$11)*NORMSINV($B733)+SQRT(1-K$9^2*$C$11)*NORMSINV(J733))*(K$7-K$5)*(K$6-K$5)),K$7-SQRT((1-NORMSDIST(K$9*SQRT($C$11)*NORMSINV($B733)+SQRT(1-K$9^2*$C$11)*NORMSINV(J733)))*(K$7-K$5)*(K$7-K$6))))</f>
        <v>0.180567618859686</v>
      </c>
      <c r="L733" s="2" t="n">
        <v>0.813429747</v>
      </c>
      <c r="M733" s="2" t="n">
        <f aca="false">IF(M$7=M$5,M$6,IF(NORMSDIST(M$9*SQRT($C$11)*NORMSINV($B733)+SQRT(1-M$9^2*$C$11)*NORMSINV(L733))&lt;M$8,M$5+SQRT(NORMSDIST(M$9*SQRT($C$11)*NORMSINV($B733)+SQRT(1-M$9^2*$C$11)*NORMSINV(L733))*(M$7-M$5)*(M$6-M$5)),M$7-SQRT((1-NORMSDIST(M$9*SQRT($C$11)*NORMSINV($B733)+SQRT(1-M$9^2*$C$11)*NORMSINV(L733)))*(M$7-M$5)*(M$7-M$6))))</f>
        <v>1629.84473877574</v>
      </c>
      <c r="N733" s="2" t="n">
        <v>0.852623628</v>
      </c>
      <c r="O733" s="2" t="n">
        <f aca="false">IF(O$7=O$5,O$6,IF(NORMSDIST(O$9*SQRT($C$11)*NORMSINV($B733)+SQRT(1-O$9^2*$C$11)*NORMSINV(N733))&lt;O$8,O$5+SQRT(NORMSDIST(O$9*SQRT($C$11)*NORMSINV($B733)+SQRT(1-O$9^2*$C$11)*NORMSINV(N733))*(O$7-O$5)*(O$6-O$5)),O$7-SQRT((1-NORMSDIST(O$9*SQRT($C$11)*NORMSINV($B733)+SQRT(1-O$9^2*$C$11)*NORMSINV(N733)))*(O$7-O$5)*(O$7-O$6))))</f>
        <v>0.172513282969743</v>
      </c>
      <c r="P733" s="2" t="n">
        <v>0.74037782</v>
      </c>
      <c r="Q733" s="2" t="n">
        <f aca="false">IF(Q$7=Q$5,Q$6,IF(NORMSDIST(Q$9*SQRT($C$11)*NORMSINV($B733)+SQRT(1-Q$9^2*$C$11)*NORMSINV(P733))&lt;Q$8,Q$5+SQRT(NORMSDIST(Q$9*SQRT($C$11)*NORMSINV($B733)+SQRT(1-Q$9^2*$C$11)*NORMSINV(P733))*(Q$7-Q$5)*(Q$6-Q$5)),Q$7-SQRT((1-NORMSDIST(Q$9*SQRT($C$11)*NORMSINV($B733)+SQRT(1-Q$9^2*$C$11)*NORMSINV(P733)))*(Q$7-Q$5)*(Q$7-Q$6))))</f>
        <v>0.0911765550983232</v>
      </c>
      <c r="R733" s="2" t="n">
        <v>0.373823955</v>
      </c>
      <c r="S733" s="2" t="n">
        <f aca="false">IF(S$7=S$5,S$6,IF(NORMSDIST(S$9*SQRT($C$11)*NORMSINV($B733)+SQRT(1-S$9^2*$C$11)*NORMSINV(R733))&lt;S$8,S$5+SQRT(NORMSDIST(S$9*SQRT($C$11)*NORMSINV($B733)+SQRT(1-S$9^2*$C$11)*NORMSINV(R733))*(S$7-S$5)*(S$6-S$5)),S$7-SQRT((1-NORMSDIST(S$9*SQRT($C$11)*NORMSINV($B733)+SQRT(1-S$9^2*$C$11)*NORMSINV(R733)))*(S$7-S$5)*(S$7-S$6))))</f>
        <v>0.393028118026295</v>
      </c>
      <c r="T733" s="2" t="n">
        <v>0.504517729</v>
      </c>
      <c r="U733" s="2" t="n">
        <f aca="false">IF(U$7=U$5,U$6,IF(NORMSDIST(U$9*SQRT($C$11)*NORMSINV($B733)+SQRT(1-U$9^2*$C$11)*NORMSINV(T733))&lt;U$8,U$5+SQRT(NORMSDIST(U$9*SQRT($C$11)*NORMSINV($B733)+SQRT(1-U$9^2*$C$11)*NORMSINV(T733))*(U$7-U$5)*(U$6-U$5)),U$7-SQRT((1-NORMSDIST(U$9*SQRT($C$11)*NORMSINV($B733)+SQRT(1-U$9^2*$C$11)*NORMSINV(T733)))*(U$7-U$5)*(U$7-U$6))))</f>
        <v>0.449906882818405</v>
      </c>
      <c r="V733" s="2" t="n">
        <v>0.92469249</v>
      </c>
      <c r="W733" s="2" t="n">
        <f aca="false">IF(W$7=W$5,W$6,IF(NORMSDIST(W$9*SQRT($C$11)*NORMSINV($B733)+SQRT(1-W$9^2*$C$11)*NORMSINV(V733))&lt;W$8,W$5+SQRT(NORMSDIST(W$9*SQRT($C$11)*NORMSINV($B733)+SQRT(1-W$9^2*$C$11)*NORMSINV(V733))*(W$7-W$5)*(W$6-W$5)),W$7-SQRT((1-NORMSDIST(W$9*SQRT($C$11)*NORMSINV($B733)+SQRT(1-W$9^2*$C$11)*NORMSINV(V733)))*(W$7-W$5)*(W$7-W$6))))</f>
        <v>10.7546445573924</v>
      </c>
      <c r="X733" s="2" t="n">
        <v>0.030955917</v>
      </c>
      <c r="Y733" s="2" t="n">
        <f aca="false">IF(Y$7=Y$5,Y$6,IF(NORMSDIST(Y$9*SQRT($C$11)*NORMSINV($B733)+SQRT(1-Y$9^2*$C$11)*NORMSINV(X733))&lt;Y$8,Y$5+SQRT(NORMSDIST(Y$9*SQRT($C$11)*NORMSINV($B733)+SQRT(1-Y$9^2*$C$11)*NORMSINV(X733))*(Y$7-Y$5)*(Y$6-Y$5)),Y$7-SQRT((1-NORMSDIST(Y$9*SQRT($C$11)*NORMSINV($B733)+SQRT(1-Y$9^2*$C$11)*NORMSINV(X733)))*(Y$7-Y$5)*(Y$7-Y$6))))</f>
        <v>0.124410443693446</v>
      </c>
      <c r="Z733" s="2" t="n">
        <v>0.198351721</v>
      </c>
      <c r="AA733" s="2" t="n">
        <f aca="false">IF(AA$7=AA$5,AA$6,IF(NORMSDIST(AA$9*SQRT($C$11)*NORMSINV($B733)+SQRT(1-AA$9^2*$C$11)*NORMSINV(Z733))&lt;AA$8,AA$5+SQRT(NORMSDIST(AA$9*SQRT($C$11)*NORMSINV($B733)+SQRT(1-AA$9^2*$C$11)*NORMSINV(Z733))*(AA$7-AA$5)*(AA$6-AA$5)),AA$7-SQRT((1-NORMSDIST(AA$9*SQRT($C$11)*NORMSINV($B733)+SQRT(1-AA$9^2*$C$11)*NORMSINV(Z733)))*(AA$7-AA$5)*(AA$7-AA$6))))</f>
        <v>0.715090953232045</v>
      </c>
      <c r="AB733" s="2" t="n">
        <v>0.831761548</v>
      </c>
      <c r="AC733" s="2" t="n">
        <f aca="false">IF(AC$7=AC$5,AC$6,IF(NORMSDIST(AC$9*SQRT($C$11)*NORMSINV($B733)+SQRT(1-AC$9^2*$C$11)*NORMSINV(AB733))&lt;AC$8,AC$5+SQRT(NORMSDIST(AC$9*SQRT($C$11)*NORMSINV($B733)+SQRT(1-AC$9^2*$C$11)*NORMSINV(AB733))*(AC$7-AC$5)*(AC$6-AC$5)),AC$7-SQRT((1-NORMSDIST(AC$9*SQRT($C$11)*NORMSINV($B733)+SQRT(1-AC$9^2*$C$11)*NORMSINV(AB733)))*(AC$7-AC$5)*(AC$7-AC$6))))</f>
        <v>9.84211832873792</v>
      </c>
      <c r="AD733" s="2" t="n">
        <f aca="false">Entrées!$C$8*(1+E733)</f>
        <v>7433.59384097191</v>
      </c>
      <c r="AE733" s="2" t="n">
        <f aca="false">I733*Hypothèses!$J$24/12/Hypothèses!$J$19</f>
        <v>97.1562456046833</v>
      </c>
      <c r="AF733" s="2" t="n">
        <f aca="false">Entrées!$C$36*S733*1000</f>
        <v>196.514059013147</v>
      </c>
      <c r="AG733" s="2" t="n">
        <f aca="false">-AF733/W733</f>
        <v>-18.2724829225593</v>
      </c>
      <c r="AH733" s="2" t="n">
        <f aca="false">AD733+AE733+AG733</f>
        <v>7512.47760365404</v>
      </c>
      <c r="AI733" s="2" t="n">
        <f aca="false">Entrées!$C$16-M733+Hypothèses!$J$22*1000-AF733+Hypothèses!$J$23</f>
        <v>22721.6412022111</v>
      </c>
      <c r="AJ733" s="2" t="n">
        <f aca="false">AI733/AH733</f>
        <v>3.02452032484721</v>
      </c>
      <c r="AK733" s="2" t="n">
        <f aca="false">AI733/(AH733+I733*(12-Hypothèses!$J$24)/12/Hypothèses!$J$19)</f>
        <v>2.99683672391525</v>
      </c>
      <c r="AL733" s="2" t="n">
        <f aca="false">(AD733+AG733+I733/Hypothèses!$J$19)*(1+G733)</f>
        <v>7997.98001995364</v>
      </c>
      <c r="AM733" s="2" t="n">
        <f aca="false">Entrées!$C$54*K733/Hypothèses!$J$19</f>
        <v>18.4276836590695</v>
      </c>
      <c r="AN733" s="2" t="n">
        <f aca="false">Y733*1000/AC733</f>
        <v>12.6406165357899</v>
      </c>
      <c r="AO733" s="2" t="n">
        <f aca="false">(Entrées!$C$36*(1-S733)+MAX(0,Entrées!$C$30-Entrées!$C$35-Entrées!$C$36)*U733)*1000</f>
        <v>933.35557693262</v>
      </c>
      <c r="AP733" s="2" t="n">
        <f aca="false">-AO733/W733</f>
        <v>-86.7862784261953</v>
      </c>
      <c r="AQ733" s="2" t="n">
        <f aca="false">AL733+AM733+AN733+AP733</f>
        <v>7942.2620417223</v>
      </c>
      <c r="AR733" s="2" t="n">
        <f aca="false">O733*AQ733-Hypothèses!$J$25/Hypothèses!$J$19</f>
        <v>1351.01053676186</v>
      </c>
      <c r="AS733" s="2" t="n">
        <f aca="false">Entrées!$C$79*(1+Q733)+Hypothèses!$J$20</f>
        <v>1494.20303405306</v>
      </c>
      <c r="AT733" s="2" t="n">
        <f aca="false">AI733-AR733+AS733+Y733*1000-AO733+Hypothèses!$J$23</f>
        <v>22055.8885662631</v>
      </c>
      <c r="AU733" s="2" t="n">
        <f aca="false">AT733/AQ733</f>
        <v>2.7770285657158</v>
      </c>
      <c r="AV733" s="2" t="n">
        <f aca="false">Hypothèses!$J$26*AQ733-AT733</f>
        <v>1770.89755890376</v>
      </c>
      <c r="AW733" s="2" t="n">
        <f aca="false">IF(AC733&gt;Hypothèses!$J$26,MAX(0,AV733)/(1-Hypothèses!$J$26/AC733),0)</f>
        <v>2547.36654430514</v>
      </c>
      <c r="AX733" s="2" t="n">
        <f aca="false">AQ733-Entrées!$C$17*1000</f>
        <v>-57.7379582776994</v>
      </c>
      <c r="AY733" s="2" t="n">
        <f aca="false">AI733+(Entrées!$C$244-Entrées!$C$13)</f>
        <v>28468.6412022111</v>
      </c>
      <c r="AZ733" s="2" t="n">
        <f aca="false">AA733*AH733</f>
        <v>5372.10477073136</v>
      </c>
      <c r="BA733" s="2" t="n">
        <f aca="false">AZ733/AY733</f>
        <v>0.188702535276398</v>
      </c>
      <c r="BB733" s="2" t="n">
        <f aca="false">AZ733/(Entrées!$C$151/100)-AY733</f>
        <v>1376.38530185198</v>
      </c>
      <c r="BC733" s="2" t="n">
        <f aca="false">AT733+(Entrées!$C$244-Entrées!$C$13)</f>
        <v>27802.8885662631</v>
      </c>
      <c r="BD733" s="2" t="n">
        <f aca="false">AA733*AQ733</f>
        <v>5679.43973423389</v>
      </c>
      <c r="BE733" s="2" t="n">
        <f aca="false">BD733/BC733</f>
        <v>0.20427516805306</v>
      </c>
      <c r="BF733" s="2" t="n">
        <f aca="false">BD733/(Entrées!$C$151/100)-BC733</f>
        <v>3749.55440170292</v>
      </c>
      <c r="BG733" s="2" t="n">
        <f aca="false">MIN(AV733,BF733)</f>
        <v>1770.89755890376</v>
      </c>
      <c r="BH733" s="2" t="n">
        <f aca="false">IF(AC733&gt;Hypothèses!$J$26,MAX(0,BG733)/(1-Hypothèses!$J$26/AC733),0)</f>
        <v>2547.36654430514</v>
      </c>
    </row>
    <row r="734" customFormat="false" ht="15" hidden="false" customHeight="false" outlineLevel="0" collapsed="false">
      <c r="A734" s="2" t="n">
        <v>719</v>
      </c>
      <c r="B734" s="2" t="n">
        <v>0.481377395</v>
      </c>
      <c r="C734" s="2"/>
      <c r="D734" s="2" t="n">
        <v>0.216366123</v>
      </c>
      <c r="E734" s="2" t="n">
        <f aca="false">IF(E$7=E$5,E$6,IF(NORMSDIST(E$9*SQRT($C$11)*NORMSINV($B734)+SQRT(1-E$9^2*$C$11)*NORMSINV(D734))&lt;E$8,E$5+SQRT(NORMSDIST(E$9*SQRT($C$11)*NORMSINV($B734)+SQRT(1-E$9^2*$C$11)*NORMSINV(D734))*(E$7-E$5)*(E$6-E$5)),E$7-SQRT((1-NORMSDIST(E$9*SQRT($C$11)*NORMSINV($B734)+SQRT(1-E$9^2*$C$11)*NORMSINV(D734)))*(E$7-E$5)*(E$7-E$6))))</f>
        <v>0.0536193194924972</v>
      </c>
      <c r="F734" s="2" t="n">
        <v>0.482222273</v>
      </c>
      <c r="G734" s="2" t="n">
        <f aca="false">IF(G$7=G$5,G$6,IF(NORMSDIST(G$9*SQRT($C$11)*NORMSINV($B734)+SQRT(1-G$9^2*$C$11)*NORMSINV(F734))&lt;G$8,G$5+SQRT(NORMSDIST(G$9*SQRT($C$11)*NORMSINV($B734)+SQRT(1-G$9^2*$C$11)*NORMSINV(F734))*(G$7-G$5)*(G$6-G$5)),G$7-SQRT((1-NORMSDIST(G$9*SQRT($C$11)*NORMSINV($B734)+SQRT(1-G$9^2*$C$11)*NORMSINV(F734)))*(G$7-G$5)*(G$7-G$6))))</f>
        <v>0.0546118801401455</v>
      </c>
      <c r="H734" s="2" t="n">
        <v>0.369706504</v>
      </c>
      <c r="I734" s="2" t="n">
        <f aca="false">IF(I$7=I$5,I$6,IF(NORMSDIST(I$9*SQRT($C$11)*NORMSINV($B734)+SQRT(1-I$9^2*$C$11)*NORMSINV(H734))&lt;I$8,I$5+SQRT(NORMSDIST(I$9*SQRT($C$11)*NORMSINV($B734)+SQRT(1-I$9^2*$C$11)*NORMSINV(H734))*(I$7-I$5)*(I$6-I$5)),I$7-SQRT((1-NORMSDIST(I$9*SQRT($C$11)*NORMSINV($B734)+SQRT(1-I$9^2*$C$11)*NORMSINV(H734)))*(I$7-I$5)*(I$7-I$6))))</f>
        <v>197.595090874761</v>
      </c>
      <c r="J734" s="2" t="n">
        <v>0.419218931</v>
      </c>
      <c r="K734" s="2" t="n">
        <f aca="false">IF(K$7=K$5,K$6,IF(NORMSDIST(K$9*SQRT($C$11)*NORMSINV($B734)+SQRT(1-K$9^2*$C$11)*NORMSINV(J734))&lt;K$8,K$5+SQRT(NORMSDIST(K$9*SQRT($C$11)*NORMSINV($B734)+SQRT(1-K$9^2*$C$11)*NORMSINV(J734))*(K$7-K$5)*(K$6-K$5)),K$7-SQRT((1-NORMSDIST(K$9*SQRT($C$11)*NORMSINV($B734)+SQRT(1-K$9^2*$C$11)*NORMSINV(J734)))*(K$7-K$5)*(K$7-K$6))))</f>
        <v>0.230663967192451</v>
      </c>
      <c r="L734" s="2" t="n">
        <v>0.43857254</v>
      </c>
      <c r="M734" s="2" t="n">
        <f aca="false">IF(M$7=M$5,M$6,IF(NORMSDIST(M$9*SQRT($C$11)*NORMSINV($B734)+SQRT(1-M$9^2*$C$11)*NORMSINV(L734))&lt;M$8,M$5+SQRT(NORMSDIST(M$9*SQRT($C$11)*NORMSINV($B734)+SQRT(1-M$9^2*$C$11)*NORMSINV(L734))*(M$7-M$5)*(M$6-M$5)),M$7-SQRT((1-NORMSDIST(M$9*SQRT($C$11)*NORMSINV($B734)+SQRT(1-M$9^2*$C$11)*NORMSINV(L734)))*(M$7-M$5)*(M$7-M$6))))</f>
        <v>1568.08174043374</v>
      </c>
      <c r="N734" s="2" t="n">
        <v>0.824657278</v>
      </c>
      <c r="O734" s="2" t="n">
        <f aca="false">IF(O$7=O$5,O$6,IF(NORMSDIST(O$9*SQRT($C$11)*NORMSINV($B734)+SQRT(1-O$9^2*$C$11)*NORMSINV(N734))&lt;O$8,O$5+SQRT(NORMSDIST(O$9*SQRT($C$11)*NORMSINV($B734)+SQRT(1-O$9^2*$C$11)*NORMSINV(N734))*(O$7-O$5)*(O$6-O$5)),O$7-SQRT((1-NORMSDIST(O$9*SQRT($C$11)*NORMSINV($B734)+SQRT(1-O$9^2*$C$11)*NORMSINV(N734)))*(O$7-O$5)*(O$7-O$6))))</f>
        <v>0.173877139452651</v>
      </c>
      <c r="P734" s="2" t="n">
        <v>0.886341529</v>
      </c>
      <c r="Q734" s="2" t="n">
        <f aca="false">IF(Q$7=Q$5,Q$6,IF(NORMSDIST(Q$9*SQRT($C$11)*NORMSINV($B734)+SQRT(1-Q$9^2*$C$11)*NORMSINV(P734))&lt;Q$8,Q$5+SQRT(NORMSDIST(Q$9*SQRT($C$11)*NORMSINV($B734)+SQRT(1-Q$9^2*$C$11)*NORMSINV(P734))*(Q$7-Q$5)*(Q$6-Q$5)),Q$7-SQRT((1-NORMSDIST(Q$9*SQRT($C$11)*NORMSINV($B734)+SQRT(1-Q$9^2*$C$11)*NORMSINV(P734)))*(Q$7-Q$5)*(Q$7-Q$6))))</f>
        <v>0.100928893393408</v>
      </c>
      <c r="R734" s="2" t="n">
        <v>0.94043777</v>
      </c>
      <c r="S734" s="2" t="n">
        <f aca="false">IF(S$7=S$5,S$6,IF(NORMSDIST(S$9*SQRT($C$11)*NORMSINV($B734)+SQRT(1-S$9^2*$C$11)*NORMSINV(R734))&lt;S$8,S$5+SQRT(NORMSDIST(S$9*SQRT($C$11)*NORMSINV($B734)+SQRT(1-S$9^2*$C$11)*NORMSINV(R734))*(S$7-S$5)*(S$6-S$5)),S$7-SQRT((1-NORMSDIST(S$9*SQRT($C$11)*NORMSINV($B734)+SQRT(1-S$9^2*$C$11)*NORMSINV(R734)))*(S$7-S$5)*(S$7-S$6))))</f>
        <v>0.75559318617337</v>
      </c>
      <c r="T734" s="2" t="n">
        <v>0.527801234</v>
      </c>
      <c r="U734" s="2" t="n">
        <f aca="false">IF(U$7=U$5,U$6,IF(NORMSDIST(U$9*SQRT($C$11)*NORMSINV($B734)+SQRT(1-U$9^2*$C$11)*NORMSINV(T734))&lt;U$8,U$5+SQRT(NORMSDIST(U$9*SQRT($C$11)*NORMSINV($B734)+SQRT(1-U$9^2*$C$11)*NORMSINV(T734))*(U$7-U$5)*(U$6-U$5)),U$7-SQRT((1-NORMSDIST(U$9*SQRT($C$11)*NORMSINV($B734)+SQRT(1-U$9^2*$C$11)*NORMSINV(T734)))*(U$7-U$5)*(U$7-U$6))))</f>
        <v>0.504908582280757</v>
      </c>
      <c r="V734" s="2" t="n">
        <v>0.10644148</v>
      </c>
      <c r="W734" s="2" t="n">
        <f aca="false">IF(W$7=W$5,W$6,IF(NORMSDIST(W$9*SQRT($C$11)*NORMSINV($B734)+SQRT(1-W$9^2*$C$11)*NORMSINV(V734))&lt;W$8,W$5+SQRT(NORMSDIST(W$9*SQRT($C$11)*NORMSINV($B734)+SQRT(1-W$9^2*$C$11)*NORMSINV(V734))*(W$7-W$5)*(W$6-W$5)),W$7-SQRT((1-NORMSDIST(W$9*SQRT($C$11)*NORMSINV($B734)+SQRT(1-W$9^2*$C$11)*NORMSINV(V734)))*(W$7-W$5)*(W$7-W$6))))</f>
        <v>9.13139392185727</v>
      </c>
      <c r="X734" s="2" t="n">
        <v>0.234389854</v>
      </c>
      <c r="Y734" s="2" t="n">
        <f aca="false">IF(Y$7=Y$5,Y$6,IF(NORMSDIST(Y$9*SQRT($C$11)*NORMSINV($B734)+SQRT(1-Y$9^2*$C$11)*NORMSINV(X734))&lt;Y$8,Y$5+SQRT(NORMSDIST(Y$9*SQRT($C$11)*NORMSINV($B734)+SQRT(1-Y$9^2*$C$11)*NORMSINV(X734))*(Y$7-Y$5)*(Y$6-Y$5)),Y$7-SQRT((1-NORMSDIST(Y$9*SQRT($C$11)*NORMSINV($B734)+SQRT(1-Y$9^2*$C$11)*NORMSINV(X734)))*(Y$7-Y$5)*(Y$7-Y$6))))</f>
        <v>0.342337446096684</v>
      </c>
      <c r="Z734" s="2" t="n">
        <v>0.849524874</v>
      </c>
      <c r="AA734" s="2" t="n">
        <f aca="false">IF(AA$7=AA$5,AA$6,IF(NORMSDIST(AA$9*SQRT($C$11)*NORMSINV($B734)+SQRT(1-AA$9^2*$C$11)*NORMSINV(Z734))&lt;AA$8,AA$5+SQRT(NORMSDIST(AA$9*SQRT($C$11)*NORMSINV($B734)+SQRT(1-AA$9^2*$C$11)*NORMSINV(Z734))*(AA$7-AA$5)*(AA$6-AA$5)),AA$7-SQRT((1-NORMSDIST(AA$9*SQRT($C$11)*NORMSINV($B734)+SQRT(1-AA$9^2*$C$11)*NORMSINV(Z734)))*(AA$7-AA$5)*(AA$7-AA$6))))</f>
        <v>0.737048717498186</v>
      </c>
      <c r="AB734" s="2" t="n">
        <v>0.636245331</v>
      </c>
      <c r="AC734" s="2" t="n">
        <f aca="false">IF(AC$7=AC$5,AC$6,IF(NORMSDIST(AC$9*SQRT($C$11)*NORMSINV($B734)+SQRT(1-AC$9^2*$C$11)*NORMSINV(AB734))&lt;AC$8,AC$5+SQRT(NORMSDIST(AC$9*SQRT($C$11)*NORMSINV($B734)+SQRT(1-AC$9^2*$C$11)*NORMSINV(AB734))*(AC$7-AC$5)*(AC$6-AC$5)),AC$7-SQRT((1-NORMSDIST(AC$9*SQRT($C$11)*NORMSINV($B734)+SQRT(1-AC$9^2*$C$11)*NORMSINV(AB734)))*(AC$7-AC$5)*(AC$7-AC$6))))</f>
        <v>9.66728977851949</v>
      </c>
      <c r="AD734" s="2" t="n">
        <f aca="false">Entrées!$C$8*(1+E734)</f>
        <v>7428.01620242211</v>
      </c>
      <c r="AE734" s="2" t="n">
        <f aca="false">I734*Hypothèses!$J$24/12/Hypothèses!$J$19</f>
        <v>98.0262921552774</v>
      </c>
      <c r="AF734" s="2" t="n">
        <f aca="false">Entrées!$C$36*S734*1000</f>
        <v>377.796593086685</v>
      </c>
      <c r="AG734" s="2" t="n">
        <f aca="false">-AF734/W734</f>
        <v>-41.373375885403</v>
      </c>
      <c r="AH734" s="2" t="n">
        <f aca="false">AD734+AE734+AG734</f>
        <v>7484.66911869198</v>
      </c>
      <c r="AI734" s="2" t="n">
        <f aca="false">Entrées!$C$16-M734+Hypothèses!$J$22*1000-AF734+Hypothèses!$J$23</f>
        <v>22602.1216664796</v>
      </c>
      <c r="AJ734" s="2" t="n">
        <f aca="false">AI734/AH734</f>
        <v>3.01978902581461</v>
      </c>
      <c r="AK734" s="2" t="n">
        <f aca="false">AI734/(AH734+I734*(12-Hypothèses!$J$24)/12/Hypothèses!$J$19)</f>
        <v>2.99180084859112</v>
      </c>
      <c r="AL734" s="2" t="n">
        <f aca="false">(AD734+AG734+I734/Hypothèses!$J$19)*(1+G734)</f>
        <v>7967.26360882852</v>
      </c>
      <c r="AM734" s="2" t="n">
        <f aca="false">Entrées!$C$54*K734/Hypothèses!$J$19</f>
        <v>23.5402263474023</v>
      </c>
      <c r="AN734" s="2" t="n">
        <f aca="false">Y734*1000/AC734</f>
        <v>35.4119359137605</v>
      </c>
      <c r="AO734" s="2" t="n">
        <f aca="false">(Entrées!$C$36*(1-S734)+MAX(0,Entrées!$C$30-Entrées!$C$35-Entrées!$C$36)*U734)*1000</f>
        <v>829.075422106374</v>
      </c>
      <c r="AP734" s="2" t="n">
        <f aca="false">-AO734/W734</f>
        <v>-90.7939608345957</v>
      </c>
      <c r="AQ734" s="2" t="n">
        <f aca="false">AL734+AM734+AN734+AP734</f>
        <v>7935.42181025509</v>
      </c>
      <c r="AR734" s="2" t="n">
        <f aca="false">O734*AQ734-Hypothèses!$J$25/Hypothèses!$J$19</f>
        <v>1360.6532824557</v>
      </c>
      <c r="AS734" s="2" t="n">
        <f aca="false">Entrées!$C$79*(1+Q734)+Hypothèses!$J$20</f>
        <v>1504.92085383936</v>
      </c>
      <c r="AT734" s="2" t="n">
        <f aca="false">AI734-AR734+AS734+Y734*1000-AO734+Hypothèses!$J$23</f>
        <v>22259.6512618535</v>
      </c>
      <c r="AU734" s="2" t="n">
        <f aca="false">AT734/AQ734</f>
        <v>2.80509994227238</v>
      </c>
      <c r="AV734" s="2" t="n">
        <f aca="false">Hypothèses!$J$26*AQ734-AT734</f>
        <v>1546.61416891173</v>
      </c>
      <c r="AW734" s="2" t="n">
        <f aca="false">IF(AC734&gt;Hypothèses!$J$26,MAX(0,AV734)/(1-Hypothèses!$J$26/AC734),0)</f>
        <v>2242.52550033214</v>
      </c>
      <c r="AX734" s="2" t="n">
        <f aca="false">AQ734-Entrées!$C$17*1000</f>
        <v>-64.5781897449106</v>
      </c>
      <c r="AY734" s="2" t="n">
        <f aca="false">AI734+(Entrées!$C$244-Entrées!$C$13)</f>
        <v>28349.1216664796</v>
      </c>
      <c r="AZ734" s="2" t="n">
        <f aca="false">AA734*AH734</f>
        <v>5516.5657748302</v>
      </c>
      <c r="BA734" s="2" t="n">
        <f aca="false">AZ734/AY734</f>
        <v>0.194593886884089</v>
      </c>
      <c r="BB734" s="2" t="n">
        <f aca="false">AZ734/(Entrées!$C$151/100)-AY734</f>
        <v>2298.46597146599</v>
      </c>
      <c r="BC734" s="2" t="n">
        <f aca="false">AT734+(Entrées!$C$244-Entrées!$C$13)</f>
        <v>28006.6512618535</v>
      </c>
      <c r="BD734" s="2" t="n">
        <f aca="false">AA734*AQ734</f>
        <v>5848.79246805565</v>
      </c>
      <c r="BE734" s="2" t="n">
        <f aca="false">BD734/BC734</f>
        <v>0.20883583736489</v>
      </c>
      <c r="BF734" s="2" t="n">
        <f aca="false">BD734/(Entrées!$C$151/100)-BC734</f>
        <v>4486.6402273445</v>
      </c>
      <c r="BG734" s="2" t="n">
        <f aca="false">MIN(AV734,BF734)</f>
        <v>1546.61416891173</v>
      </c>
      <c r="BH734" s="2" t="n">
        <f aca="false">IF(AC734&gt;Hypothèses!$J$26,MAX(0,BG734)/(1-Hypothèses!$J$26/AC734),0)</f>
        <v>2242.52550033214</v>
      </c>
    </row>
    <row r="735" customFormat="false" ht="15" hidden="false" customHeight="false" outlineLevel="0" collapsed="false">
      <c r="A735" s="2" t="n">
        <v>720</v>
      </c>
      <c r="B735" s="2" t="n">
        <v>0.74159086</v>
      </c>
      <c r="C735" s="2"/>
      <c r="D735" s="2" t="n">
        <v>0.414266522</v>
      </c>
      <c r="E735" s="2" t="n">
        <f aca="false">IF(E$7=E$5,E$6,IF(NORMSDIST(E$9*SQRT($C$11)*NORMSINV($B735)+SQRT(1-E$9^2*$C$11)*NORMSINV(D735))&lt;E$8,E$5+SQRT(NORMSDIST(E$9*SQRT($C$11)*NORMSINV($B735)+SQRT(1-E$9^2*$C$11)*NORMSINV(D735))*(E$7-E$5)*(E$6-E$5)),E$7-SQRT((1-NORMSDIST(E$9*SQRT($C$11)*NORMSINV($B735)+SQRT(1-E$9^2*$C$11)*NORMSINV(D735)))*(E$7-E$5)*(E$7-E$6))))</f>
        <v>0.0555038838910656</v>
      </c>
      <c r="F735" s="2" t="n">
        <v>0.660083053</v>
      </c>
      <c r="G735" s="2" t="n">
        <f aca="false">IF(G$7=G$5,G$6,IF(NORMSDIST(G$9*SQRT($C$11)*NORMSINV($B735)+SQRT(1-G$9^2*$C$11)*NORMSINV(F735))&lt;G$8,G$5+SQRT(NORMSDIST(G$9*SQRT($C$11)*NORMSINV($B735)+SQRT(1-G$9^2*$C$11)*NORMSINV(F735))*(G$7-G$5)*(G$6-G$5)),G$7-SQRT((1-NORMSDIST(G$9*SQRT($C$11)*NORMSINV($B735)+SQRT(1-G$9^2*$C$11)*NORMSINV(F735)))*(G$7-G$5)*(G$7-G$6))))</f>
        <v>0.0597648039423241</v>
      </c>
      <c r="H735" s="2" t="n">
        <v>0.944804849</v>
      </c>
      <c r="I735" s="2" t="n">
        <f aca="false">IF(I$7=I$5,I$6,IF(NORMSDIST(I$9*SQRT($C$11)*NORMSINV($B735)+SQRT(1-I$9^2*$C$11)*NORMSINV(H735))&lt;I$8,I$5+SQRT(NORMSDIST(I$9*SQRT($C$11)*NORMSINV($B735)+SQRT(1-I$9^2*$C$11)*NORMSINV(H735))*(I$7-I$5)*(I$6-I$5)),I$7-SQRT((1-NORMSDIST(I$9*SQRT($C$11)*NORMSINV($B735)+SQRT(1-I$9^2*$C$11)*NORMSINV(H735)))*(I$7-I$5)*(I$7-I$6))))</f>
        <v>213.686779693699</v>
      </c>
      <c r="J735" s="2" t="n">
        <v>0.000330948</v>
      </c>
      <c r="K735" s="2" t="n">
        <f aca="false">IF(K$7=K$5,K$6,IF(NORMSDIST(K$9*SQRT($C$11)*NORMSINV($B735)+SQRT(1-K$9^2*$C$11)*NORMSINV(J735))&lt;K$8,K$5+SQRT(NORMSDIST(K$9*SQRT($C$11)*NORMSINV($B735)+SQRT(1-K$9^2*$C$11)*NORMSINV(J735))*(K$7-K$5)*(K$6-K$5)),K$7-SQRT((1-NORMSDIST(K$9*SQRT($C$11)*NORMSINV($B735)+SQRT(1-K$9^2*$C$11)*NORMSINV(J735)))*(K$7-K$5)*(K$7-K$6))))</f>
        <v>0.0402483136596021</v>
      </c>
      <c r="L735" s="2" t="n">
        <v>0.82993038</v>
      </c>
      <c r="M735" s="2" t="n">
        <f aca="false">IF(M$7=M$5,M$6,IF(NORMSDIST(M$9*SQRT($C$11)*NORMSINV($B735)+SQRT(1-M$9^2*$C$11)*NORMSINV(L735))&lt;M$8,M$5+SQRT(NORMSDIST(M$9*SQRT($C$11)*NORMSINV($B735)+SQRT(1-M$9^2*$C$11)*NORMSINV(L735))*(M$7-M$5)*(M$6-M$5)),M$7-SQRT((1-NORMSDIST(M$9*SQRT($C$11)*NORMSINV($B735)+SQRT(1-M$9^2*$C$11)*NORMSINV(L735)))*(M$7-M$5)*(M$7-M$6))))</f>
        <v>1692.0233398585</v>
      </c>
      <c r="N735" s="2" t="n">
        <v>0.797425772</v>
      </c>
      <c r="O735" s="2" t="n">
        <f aca="false">IF(O$7=O$5,O$6,IF(NORMSDIST(O$9*SQRT($C$11)*NORMSINV($B735)+SQRT(1-O$9^2*$C$11)*NORMSINV(N735))&lt;O$8,O$5+SQRT(NORMSDIST(O$9*SQRT($C$11)*NORMSINV($B735)+SQRT(1-O$9^2*$C$11)*NORMSINV(N735))*(O$7-O$5)*(O$6-O$5)),O$7-SQRT((1-NORMSDIST(O$9*SQRT($C$11)*NORMSINV($B735)+SQRT(1-O$9^2*$C$11)*NORMSINV(N735)))*(O$7-O$5)*(O$7-O$6))))</f>
        <v>0.177539853090685</v>
      </c>
      <c r="P735" s="2" t="n">
        <v>0.38186527</v>
      </c>
      <c r="Q735" s="2" t="n">
        <f aca="false">IF(Q$7=Q$5,Q$6,IF(NORMSDIST(Q$9*SQRT($C$11)*NORMSINV($B735)+SQRT(1-Q$9^2*$C$11)*NORMSINV(P735))&lt;Q$8,Q$5+SQRT(NORMSDIST(Q$9*SQRT($C$11)*NORMSINV($B735)+SQRT(1-Q$9^2*$C$11)*NORMSINV(P735))*(Q$7-Q$5)*(Q$6-Q$5)),Q$7-SQRT((1-NORMSDIST(Q$9*SQRT($C$11)*NORMSINV($B735)+SQRT(1-Q$9^2*$C$11)*NORMSINV(P735)))*(Q$7-Q$5)*(Q$7-Q$6))))</f>
        <v>0.0749566712374047</v>
      </c>
      <c r="R735" s="2" t="n">
        <v>0.504371069</v>
      </c>
      <c r="S735" s="2" t="n">
        <f aca="false">IF(S$7=S$5,S$6,IF(NORMSDIST(S$9*SQRT($C$11)*NORMSINV($B735)+SQRT(1-S$9^2*$C$11)*NORMSINV(R735))&lt;S$8,S$5+SQRT(NORMSDIST(S$9*SQRT($C$11)*NORMSINV($B735)+SQRT(1-S$9^2*$C$11)*NORMSINV(R735))*(S$7-S$5)*(S$6-S$5)),S$7-SQRT((1-NORMSDIST(S$9*SQRT($C$11)*NORMSINV($B735)+SQRT(1-S$9^2*$C$11)*NORMSINV(R735)))*(S$7-S$5)*(S$7-S$6))))</f>
        <v>0.589026997164433</v>
      </c>
      <c r="T735" s="2" t="n">
        <v>0.208043332</v>
      </c>
      <c r="U735" s="2" t="n">
        <f aca="false">IF(U$7=U$5,U$6,IF(NORMSDIST(U$9*SQRT($C$11)*NORMSINV($B735)+SQRT(1-U$9^2*$C$11)*NORMSINV(T735))&lt;U$8,U$5+SQRT(NORMSDIST(U$9*SQRT($C$11)*NORMSINV($B735)+SQRT(1-U$9^2*$C$11)*NORMSINV(T735))*(U$7-U$5)*(U$6-U$5)),U$7-SQRT((1-NORMSDIST(U$9*SQRT($C$11)*NORMSINV($B735)+SQRT(1-U$9^2*$C$11)*NORMSINV(T735)))*(U$7-U$5)*(U$7-U$6))))</f>
        <v>0.454402168241573</v>
      </c>
      <c r="V735" s="2" t="n">
        <v>0.004410345</v>
      </c>
      <c r="W735" s="2" t="n">
        <f aca="false">IF(W$7=W$5,W$6,IF(NORMSDIST(W$9*SQRT($C$11)*NORMSINV($B735)+SQRT(1-W$9^2*$C$11)*NORMSINV(V735))&lt;W$8,W$5+SQRT(NORMSDIST(W$9*SQRT($C$11)*NORMSINV($B735)+SQRT(1-W$9^2*$C$11)*NORMSINV(V735))*(W$7-W$5)*(W$6-W$5)),W$7-SQRT((1-NORMSDIST(W$9*SQRT($C$11)*NORMSINV($B735)+SQRT(1-W$9^2*$C$11)*NORMSINV(V735)))*(W$7-W$5)*(W$7-W$6))))</f>
        <v>8.64970621158327</v>
      </c>
      <c r="X735" s="2" t="n">
        <v>0.673081602</v>
      </c>
      <c r="Y735" s="2" t="n">
        <f aca="false">IF(Y$7=Y$5,Y$6,IF(NORMSDIST(Y$9*SQRT($C$11)*NORMSINV($B735)+SQRT(1-Y$9^2*$C$11)*NORMSINV(X735))&lt;Y$8,Y$5+SQRT(NORMSDIST(Y$9*SQRT($C$11)*NORMSINV($B735)+SQRT(1-Y$9^2*$C$11)*NORMSINV(X735))*(Y$7-Y$5)*(Y$6-Y$5)),Y$7-SQRT((1-NORMSDIST(Y$9*SQRT($C$11)*NORMSINV($B735)+SQRT(1-Y$9^2*$C$11)*NORMSINV(X735)))*(Y$7-Y$5)*(Y$7-Y$6))))</f>
        <v>0.59569912317681</v>
      </c>
      <c r="Z735" s="2" t="n">
        <v>0.420903852</v>
      </c>
      <c r="AA735" s="2" t="n">
        <f aca="false">IF(AA$7=AA$5,AA$6,IF(NORMSDIST(AA$9*SQRT($C$11)*NORMSINV($B735)+SQRT(1-AA$9^2*$C$11)*NORMSINV(Z735))&lt;AA$8,AA$5+SQRT(NORMSDIST(AA$9*SQRT($C$11)*NORMSINV($B735)+SQRT(1-AA$9^2*$C$11)*NORMSINV(Z735))*(AA$7-AA$5)*(AA$6-AA$5)),AA$7-SQRT((1-NORMSDIST(AA$9*SQRT($C$11)*NORMSINV($B735)+SQRT(1-AA$9^2*$C$11)*NORMSINV(Z735)))*(AA$7-AA$5)*(AA$7-AA$6))))</f>
        <v>0.731199180519909</v>
      </c>
      <c r="AB735" s="2" t="n">
        <v>0.561231518</v>
      </c>
      <c r="AC735" s="2" t="n">
        <f aca="false">IF(AC$7=AC$5,AC$6,IF(NORMSDIST(AC$9*SQRT($C$11)*NORMSINV($B735)+SQRT(1-AC$9^2*$C$11)*NORMSINV(AB735))&lt;AC$8,AC$5+SQRT(NORMSDIST(AC$9*SQRT($C$11)*NORMSINV($B735)+SQRT(1-AC$9^2*$C$11)*NORMSINV(AB735))*(AC$7-AC$5)*(AC$6-AC$5)),AC$7-SQRT((1-NORMSDIST(AC$9*SQRT($C$11)*NORMSINV($B735)+SQRT(1-AC$9^2*$C$11)*NORMSINV(AB735)))*(AC$7-AC$5)*(AC$7-AC$6))))</f>
        <v>9.86484800298721</v>
      </c>
      <c r="AD735" s="2" t="n">
        <f aca="false">Entrées!$C$8*(1+E735)</f>
        <v>7441.30238143201</v>
      </c>
      <c r="AE735" s="2" t="n">
        <f aca="false">I735*Hypothèses!$J$24/12/Hypothèses!$J$19</f>
        <v>106.009327474899</v>
      </c>
      <c r="AF735" s="2" t="n">
        <f aca="false">Entrées!$C$36*S735*1000</f>
        <v>294.513498582216</v>
      </c>
      <c r="AG735" s="2" t="n">
        <f aca="false">-AF735/W735</f>
        <v>-34.0489597424498</v>
      </c>
      <c r="AH735" s="2" t="n">
        <f aca="false">AD735+AE735+AG735</f>
        <v>7513.26274916446</v>
      </c>
      <c r="AI735" s="2" t="n">
        <f aca="false">Entrées!$C$16-M735+Hypothèses!$J$22*1000-AF735+Hypothèses!$J$23</f>
        <v>22561.4631615593</v>
      </c>
      <c r="AJ735" s="2" t="n">
        <f aca="false">AI735/AH735</f>
        <v>3.00288488700443</v>
      </c>
      <c r="AK735" s="2" t="n">
        <f aca="false">AI735/(AH735+I735*(12-Hypothèses!$J$24)/12/Hypothèses!$J$19)</f>
        <v>2.97292286573305</v>
      </c>
      <c r="AL735" s="2" t="n">
        <f aca="false">(AD735+AG735+I735/Hypothèses!$J$19)*(1+G735)</f>
        <v>8042.53782015508</v>
      </c>
      <c r="AM735" s="2" t="n">
        <f aca="false">Entrées!$C$54*K735/Hypothèses!$J$19</f>
        <v>4.10750940071095</v>
      </c>
      <c r="AN735" s="2" t="n">
        <f aca="false">Y735*1000/AC735</f>
        <v>60.3860417308431</v>
      </c>
      <c r="AO735" s="2" t="n">
        <f aca="false">(Entrées!$C$36*(1-S735)+MAX(0,Entrées!$C$30-Entrées!$C$35-Entrées!$C$36)*U735)*1000</f>
        <v>841.649536955986</v>
      </c>
      <c r="AP735" s="2" t="n">
        <f aca="false">-AO735/W735</f>
        <v>-97.30382932878</v>
      </c>
      <c r="AQ735" s="2" t="n">
        <f aca="false">AL735+AM735+AN735+AP735</f>
        <v>8009.72754195786</v>
      </c>
      <c r="AR735" s="2" t="n">
        <f aca="false">O735*AQ735-Hypothèses!$J$25/Hypothèses!$J$19</f>
        <v>1402.91068883399</v>
      </c>
      <c r="AS735" s="2" t="n">
        <f aca="false">Entrées!$C$79*(1+Q735)+Hypothèses!$J$20</f>
        <v>1476.37738168991</v>
      </c>
      <c r="AT735" s="2" t="n">
        <f aca="false">AI735-AR735+AS735+Y735*1000-AO735+Hypothèses!$J$23</f>
        <v>22388.979440636</v>
      </c>
      <c r="AU735" s="2" t="n">
        <f aca="false">AT735/AQ735</f>
        <v>2.79522359822534</v>
      </c>
      <c r="AV735" s="2" t="n">
        <f aca="false">Hypothèses!$J$26*AQ735-AT735</f>
        <v>1640.20318523753</v>
      </c>
      <c r="AW735" s="2" t="n">
        <f aca="false">IF(AC735&gt;Hypothèses!$J$26,MAX(0,AV735)/(1-Hypothèses!$J$26/AC735),0)</f>
        <v>2356.986652777</v>
      </c>
      <c r="AX735" s="2" t="n">
        <f aca="false">AQ735-Entrées!$C$17*1000</f>
        <v>9.72754195785637</v>
      </c>
      <c r="AY735" s="2" t="n">
        <f aca="false">AI735+(Entrées!$C$244-Entrées!$C$13)</f>
        <v>28308.4631615593</v>
      </c>
      <c r="AZ735" s="2" t="n">
        <f aca="false">AA735*AH735</f>
        <v>5493.69156521982</v>
      </c>
      <c r="BA735" s="2" t="n">
        <f aca="false">AZ735/AY735</f>
        <v>0.194065341303297</v>
      </c>
      <c r="BB735" s="2" t="n">
        <f aca="false">AZ735/(Entrées!$C$151/100)-AY735</f>
        <v>2212.04553410636</v>
      </c>
      <c r="BC735" s="2" t="n">
        <f aca="false">AT735+(Entrées!$C$244-Entrées!$C$13)</f>
        <v>28135.979440636</v>
      </c>
      <c r="BD735" s="2" t="n">
        <f aca="false">AA735*AQ735</f>
        <v>5856.70621486733</v>
      </c>
      <c r="BE735" s="2" t="n">
        <f aca="false">BD735/BC735</f>
        <v>0.208157182771063</v>
      </c>
      <c r="BF735" s="2" t="n">
        <f aca="false">BD735/(Entrées!$C$151/100)-BC735</f>
        <v>4401.27730862693</v>
      </c>
      <c r="BG735" s="2" t="n">
        <f aca="false">MIN(AV735,BF735)</f>
        <v>1640.20318523753</v>
      </c>
      <c r="BH735" s="2" t="n">
        <f aca="false">IF(AC735&gt;Hypothèses!$J$26,MAX(0,BG735)/(1-Hypothèses!$J$26/AC735),0)</f>
        <v>2356.986652777</v>
      </c>
    </row>
    <row r="736" customFormat="false" ht="15" hidden="false" customHeight="false" outlineLevel="0" collapsed="false">
      <c r="A736" s="2" t="n">
        <v>721</v>
      </c>
      <c r="B736" s="2" t="n">
        <v>0.015592845</v>
      </c>
      <c r="C736" s="2"/>
      <c r="D736" s="2" t="n">
        <v>0.605049703</v>
      </c>
      <c r="E736" s="2" t="n">
        <f aca="false">IF(E$7=E$5,E$6,IF(NORMSDIST(E$9*SQRT($C$11)*NORMSINV($B736)+SQRT(1-E$9^2*$C$11)*NORMSINV(D736))&lt;E$8,E$5+SQRT(NORMSDIST(E$9*SQRT($C$11)*NORMSINV($B736)+SQRT(1-E$9^2*$C$11)*NORMSINV(D736))*(E$7-E$5)*(E$6-E$5)),E$7-SQRT((1-NORMSDIST(E$9*SQRT($C$11)*NORMSINV($B736)+SQRT(1-E$9^2*$C$11)*NORMSINV(D736)))*(E$7-E$5)*(E$7-E$6))))</f>
        <v>0.052487627564241</v>
      </c>
      <c r="F736" s="2" t="n">
        <v>0.276939293</v>
      </c>
      <c r="G736" s="2" t="n">
        <f aca="false">IF(G$7=G$5,G$6,IF(NORMSDIST(G$9*SQRT($C$11)*NORMSINV($B736)+SQRT(1-G$9^2*$C$11)*NORMSINV(F736))&lt;G$8,G$5+SQRT(NORMSDIST(G$9*SQRT($C$11)*NORMSINV($B736)+SQRT(1-G$9^2*$C$11)*NORMSINV(F736))*(G$7-G$5)*(G$6-G$5)),G$7-SQRT((1-NORMSDIST(G$9*SQRT($C$11)*NORMSINV($B736)+SQRT(1-G$9^2*$C$11)*NORMSINV(F736)))*(G$7-G$5)*(G$7-G$6))))</f>
        <v>0.0439277276922546</v>
      </c>
      <c r="H736" s="2" t="n">
        <v>0.586643088</v>
      </c>
      <c r="I736" s="2" t="n">
        <f aca="false">IF(I$7=I$5,I$6,IF(NORMSDIST(I$9*SQRT($C$11)*NORMSINV($B736)+SQRT(1-I$9^2*$C$11)*NORMSINV(H736))&lt;I$8,I$5+SQRT(NORMSDIST(I$9*SQRT($C$11)*NORMSINV($B736)+SQRT(1-I$9^2*$C$11)*NORMSINV(H736))*(I$7-I$5)*(I$6-I$5)),I$7-SQRT((1-NORMSDIST(I$9*SQRT($C$11)*NORMSINV($B736)+SQRT(1-I$9^2*$C$11)*NORMSINV(H736)))*(I$7-I$5)*(I$7-I$6))))</f>
        <v>189.649882468102</v>
      </c>
      <c r="J736" s="2" t="n">
        <v>0.703656783</v>
      </c>
      <c r="K736" s="2" t="n">
        <f aca="false">IF(K$7=K$5,K$6,IF(NORMSDIST(K$9*SQRT($C$11)*NORMSINV($B736)+SQRT(1-K$9^2*$C$11)*NORMSINV(J736))&lt;K$8,K$5+SQRT(NORMSDIST(K$9*SQRT($C$11)*NORMSINV($B736)+SQRT(1-K$9^2*$C$11)*NORMSINV(J736))*(K$7-K$5)*(K$6-K$5)),K$7-SQRT((1-NORMSDIST(K$9*SQRT($C$11)*NORMSINV($B736)+SQRT(1-K$9^2*$C$11)*NORMSINV(J736)))*(K$7-K$5)*(K$7-K$6))))</f>
        <v>0.146401778064629</v>
      </c>
      <c r="L736" s="2" t="n">
        <v>0.018690781</v>
      </c>
      <c r="M736" s="2" t="n">
        <f aca="false">IF(M$7=M$5,M$6,IF(NORMSDIST(M$9*SQRT($C$11)*NORMSINV($B736)+SQRT(1-M$9^2*$C$11)*NORMSINV(L736))&lt;M$8,M$5+SQRT(NORMSDIST(M$9*SQRT($C$11)*NORMSINV($B736)+SQRT(1-M$9^2*$C$11)*NORMSINV(L736))*(M$7-M$5)*(M$6-M$5)),M$7-SQRT((1-NORMSDIST(M$9*SQRT($C$11)*NORMSINV($B736)+SQRT(1-M$9^2*$C$11)*NORMSINV(L736)))*(M$7-M$5)*(M$7-M$6))))</f>
        <v>1318.46920922071</v>
      </c>
      <c r="N736" s="2" t="n">
        <v>0.896666946</v>
      </c>
      <c r="O736" s="2" t="n">
        <f aca="false">IF(O$7=O$5,O$6,IF(NORMSDIST(O$9*SQRT($C$11)*NORMSINV($B736)+SQRT(1-O$9^2*$C$11)*NORMSINV(N736))&lt;O$8,O$5+SQRT(NORMSDIST(O$9*SQRT($C$11)*NORMSINV($B736)+SQRT(1-O$9^2*$C$11)*NORMSINV(N736))*(O$7-O$5)*(O$6-O$5)),O$7-SQRT((1-NORMSDIST(O$9*SQRT($C$11)*NORMSINV($B736)+SQRT(1-O$9^2*$C$11)*NORMSINV(N736)))*(O$7-O$5)*(O$7-O$6))))</f>
        <v>0.162418068462777</v>
      </c>
      <c r="P736" s="2" t="n">
        <v>0.730960604</v>
      </c>
      <c r="Q736" s="2" t="n">
        <f aca="false">IF(Q$7=Q$5,Q$6,IF(NORMSDIST(Q$9*SQRT($C$11)*NORMSINV($B736)+SQRT(1-Q$9^2*$C$11)*NORMSINV(P736))&lt;Q$8,Q$5+SQRT(NORMSDIST(Q$9*SQRT($C$11)*NORMSINV($B736)+SQRT(1-Q$9^2*$C$11)*NORMSINV(P736))*(Q$7-Q$5)*(Q$6-Q$5)),Q$7-SQRT((1-NORMSDIST(Q$9*SQRT($C$11)*NORMSINV($B736)+SQRT(1-Q$9^2*$C$11)*NORMSINV(P736)))*(Q$7-Q$5)*(Q$7-Q$6))))</f>
        <v>0.090658458336345</v>
      </c>
      <c r="R736" s="2" t="n">
        <v>0.630204233</v>
      </c>
      <c r="S736" s="2" t="n">
        <f aca="false">IF(S$7=S$5,S$6,IF(NORMSDIST(S$9*SQRT($C$11)*NORMSINV($B736)+SQRT(1-S$9^2*$C$11)*NORMSINV(R736))&lt;S$8,S$5+SQRT(NORMSDIST(S$9*SQRT($C$11)*NORMSINV($B736)+SQRT(1-S$9^2*$C$11)*NORMSINV(R736))*(S$7-S$5)*(S$6-S$5)),S$7-SQRT((1-NORMSDIST(S$9*SQRT($C$11)*NORMSINV($B736)+SQRT(1-S$9^2*$C$11)*NORMSINV(R736)))*(S$7-S$5)*(S$7-S$6))))</f>
        <v>0.259345043513452</v>
      </c>
      <c r="T736" s="2" t="n">
        <v>0.49150698</v>
      </c>
      <c r="U736" s="2" t="n">
        <f aca="false">IF(U$7=U$5,U$6,IF(NORMSDIST(U$9*SQRT($C$11)*NORMSINV($B736)+SQRT(1-U$9^2*$C$11)*NORMSINV(T736))&lt;U$8,U$5+SQRT(NORMSDIST(U$9*SQRT($C$11)*NORMSINV($B736)+SQRT(1-U$9^2*$C$11)*NORMSINV(T736))*(U$7-U$5)*(U$6-U$5)),U$7-SQRT((1-NORMSDIST(U$9*SQRT($C$11)*NORMSINV($B736)+SQRT(1-U$9^2*$C$11)*NORMSINV(T736)))*(U$7-U$5)*(U$7-U$6))))</f>
        <v>0.204829583221831</v>
      </c>
      <c r="V736" s="2" t="n">
        <v>0.003114952</v>
      </c>
      <c r="W736" s="2" t="n">
        <f aca="false">IF(W$7=W$5,W$6,IF(NORMSDIST(W$9*SQRT($C$11)*NORMSINV($B736)+SQRT(1-W$9^2*$C$11)*NORMSINV(V736))&lt;W$8,W$5+SQRT(NORMSDIST(W$9*SQRT($C$11)*NORMSINV($B736)+SQRT(1-W$9^2*$C$11)*NORMSINV(V736))*(W$7-W$5)*(W$6-W$5)),W$7-SQRT((1-NORMSDIST(W$9*SQRT($C$11)*NORMSINV($B736)+SQRT(1-W$9^2*$C$11)*NORMSINV(V736)))*(W$7-W$5)*(W$7-W$6))))</f>
        <v>8.04465073098243</v>
      </c>
      <c r="X736" s="2" t="n">
        <v>0.145619745</v>
      </c>
      <c r="Y736" s="2" t="n">
        <f aca="false">IF(Y$7=Y$5,Y$6,IF(NORMSDIST(Y$9*SQRT($C$11)*NORMSINV($B736)+SQRT(1-Y$9^2*$C$11)*NORMSINV(X736))&lt;Y$8,Y$5+SQRT(NORMSDIST(Y$9*SQRT($C$11)*NORMSINV($B736)+SQRT(1-Y$9^2*$C$11)*NORMSINV(X736))*(Y$7-Y$5)*(Y$6-Y$5)),Y$7-SQRT((1-NORMSDIST(Y$9*SQRT($C$11)*NORMSINV($B736)+SQRT(1-Y$9^2*$C$11)*NORMSINV(X736)))*(Y$7-Y$5)*(Y$7-Y$6))))</f>
        <v>0.269833045604129</v>
      </c>
      <c r="Z736" s="2" t="n">
        <v>0.919766608</v>
      </c>
      <c r="AA736" s="2" t="n">
        <f aca="false">IF(AA$7=AA$5,AA$6,IF(NORMSDIST(AA$9*SQRT($C$11)*NORMSINV($B736)+SQRT(1-AA$9^2*$C$11)*NORMSINV(Z736))&lt;AA$8,AA$5+SQRT(NORMSDIST(AA$9*SQRT($C$11)*NORMSINV($B736)+SQRT(1-AA$9^2*$C$11)*NORMSINV(Z736))*(AA$7-AA$5)*(AA$6-AA$5)),AA$7-SQRT((1-NORMSDIST(AA$9*SQRT($C$11)*NORMSINV($B736)+SQRT(1-AA$9^2*$C$11)*NORMSINV(Z736)))*(AA$7-AA$5)*(AA$7-AA$6))))</f>
        <v>0.724280335952635</v>
      </c>
      <c r="AB736" s="2" t="n">
        <v>0.319167585</v>
      </c>
      <c r="AC736" s="2" t="n">
        <f aca="false">IF(AC$7=AC$5,AC$6,IF(NORMSDIST(AC$9*SQRT($C$11)*NORMSINV($B736)+SQRT(1-AC$9^2*$C$11)*NORMSINV(AB736))&lt;AC$8,AC$5+SQRT(NORMSDIST(AC$9*SQRT($C$11)*NORMSINV($B736)+SQRT(1-AC$9^2*$C$11)*NORMSINV(AB736))*(AC$7-AC$5)*(AC$6-AC$5)),AC$7-SQRT((1-NORMSDIST(AC$9*SQRT($C$11)*NORMSINV($B736)+SQRT(1-AC$9^2*$C$11)*NORMSINV(AB736)))*(AC$7-AC$5)*(AC$7-AC$6))))</f>
        <v>8.00310491222011</v>
      </c>
      <c r="AD736" s="2" t="n">
        <f aca="false">Entrées!$C$8*(1+E736)</f>
        <v>7420.0377743279</v>
      </c>
      <c r="AE736" s="2" t="n">
        <f aca="false">I736*Hypothèses!$J$24/12/Hypothèses!$J$19</f>
        <v>94.0846996943629</v>
      </c>
      <c r="AF736" s="2" t="n">
        <f aca="false">Entrées!$C$36*S736*1000</f>
        <v>129.672521756726</v>
      </c>
      <c r="AG736" s="2" t="n">
        <f aca="false">-AF736/W736</f>
        <v>-16.1190990253085</v>
      </c>
      <c r="AH736" s="2" t="n">
        <f aca="false">AD736+AE736+AG736</f>
        <v>7498.00337499695</v>
      </c>
      <c r="AI736" s="2" t="n">
        <f aca="false">Entrées!$C$16-M736+Hypothèses!$J$22*1000-AF736+Hypothèses!$J$23</f>
        <v>23099.8582690226</v>
      </c>
      <c r="AJ736" s="2" t="n">
        <f aca="false">AI736/AH736</f>
        <v>3.08080126318054</v>
      </c>
      <c r="AK736" s="2" t="n">
        <f aca="false">AI736/(AH736+I736*(12-Hypothèses!$J$24)/12/Hypothèses!$J$19)</f>
        <v>3.05343384359245</v>
      </c>
      <c r="AL736" s="2" t="n">
        <f aca="false">(AD736+AG736+I736/Hypothèses!$J$19)*(1+G736)</f>
        <v>7897.52907317696</v>
      </c>
      <c r="AM736" s="2" t="n">
        <f aca="false">Entrées!$C$54*K736/Hypothèses!$J$19</f>
        <v>14.9409161528386</v>
      </c>
      <c r="AN736" s="2" t="n">
        <f aca="false">Y736*1000/AC736</f>
        <v>33.7160450304875</v>
      </c>
      <c r="AO736" s="2" t="n">
        <f aca="false">(Entrées!$C$36*(1-S736)+MAX(0,Entrées!$C$30-Entrées!$C$35-Entrées!$C$36)*U736)*1000</f>
        <v>657.088894753838</v>
      </c>
      <c r="AP736" s="2" t="n">
        <f aca="false">-AO736/W736</f>
        <v>-81.6802266160775</v>
      </c>
      <c r="AQ736" s="2" t="n">
        <f aca="false">AL736+AM736+AN736+AP736</f>
        <v>7864.5058077442</v>
      </c>
      <c r="AR736" s="2" t="n">
        <f aca="false">O736*AQ736-Hypothèses!$J$25/Hypothèses!$J$19</f>
        <v>1258.20268044648</v>
      </c>
      <c r="AS736" s="2" t="n">
        <f aca="false">Entrées!$C$79*(1+Q736)+Hypothèses!$J$20</f>
        <v>1493.63364571164</v>
      </c>
      <c r="AT736" s="2" t="n">
        <f aca="false">AI736-AR736+AS736+Y736*1000-AO736+Hypothèses!$J$23</f>
        <v>22948.033385138</v>
      </c>
      <c r="AU736" s="2" t="n">
        <f aca="false">AT736/AQ736</f>
        <v>2.9179243993362</v>
      </c>
      <c r="AV736" s="2" t="n">
        <f aca="false">Hypothèses!$J$26*AQ736-AT736</f>
        <v>645.48403809459</v>
      </c>
      <c r="AW736" s="2" t="n">
        <f aca="false">IF(AC736&gt;Hypothèses!$J$26,MAX(0,AV736)/(1-Hypothèses!$J$26/AC736),0)</f>
        <v>1032.53410965195</v>
      </c>
      <c r="AX736" s="2" t="n">
        <f aca="false">AQ736-Entrées!$C$17*1000</f>
        <v>-135.494192255796</v>
      </c>
      <c r="AY736" s="2" t="n">
        <f aca="false">AI736+(Entrées!$C$244-Entrées!$C$13)</f>
        <v>28846.8582690226</v>
      </c>
      <c r="AZ736" s="2" t="n">
        <f aca="false">AA736*AH736</f>
        <v>5430.65640341678</v>
      </c>
      <c r="BA736" s="2" t="n">
        <f aca="false">AZ736/AY736</f>
        <v>0.188258158055588</v>
      </c>
      <c r="BB736" s="2" t="n">
        <f aca="false">AZ736/(Entrées!$C$151/100)-AY736</f>
        <v>1323.45508329289</v>
      </c>
      <c r="BC736" s="2" t="n">
        <f aca="false">AT736+(Entrées!$C$244-Entrées!$C$13)</f>
        <v>28695.033385138</v>
      </c>
      <c r="BD736" s="2" t="n">
        <f aca="false">AA736*AQ736</f>
        <v>5696.10690853442</v>
      </c>
      <c r="BE736" s="2" t="n">
        <f aca="false">BD736/BC736</f>
        <v>0.198504975829183</v>
      </c>
      <c r="BF736" s="2" t="n">
        <f aca="false">BD736/(Entrées!$C$151/100)-BC736</f>
        <v>2950.00499560875</v>
      </c>
      <c r="BG736" s="2" t="n">
        <f aca="false">MIN(AV736,BF736)</f>
        <v>645.48403809459</v>
      </c>
      <c r="BH736" s="2" t="n">
        <f aca="false">IF(AC736&gt;Hypothèses!$J$26,MAX(0,BG736)/(1-Hypothèses!$J$26/AC736),0)</f>
        <v>1032.53410965195</v>
      </c>
    </row>
    <row r="737" customFormat="false" ht="15" hidden="false" customHeight="false" outlineLevel="0" collapsed="false">
      <c r="A737" s="2" t="n">
        <v>722</v>
      </c>
      <c r="B737" s="2" t="n">
        <v>0.557885058</v>
      </c>
      <c r="C737" s="2"/>
      <c r="D737" s="2" t="n">
        <v>0.70099474</v>
      </c>
      <c r="E737" s="2" t="n">
        <f aca="false">IF(E$7=E$5,E$6,IF(NORMSDIST(E$9*SQRT($C$11)*NORMSINV($B737)+SQRT(1-E$9^2*$C$11)*NORMSINV(D737))&lt;E$8,E$5+SQRT(NORMSDIST(E$9*SQRT($C$11)*NORMSINV($B737)+SQRT(1-E$9^2*$C$11)*NORMSINV(D737))*(E$7-E$5)*(E$6-E$5)),E$7-SQRT((1-NORMSDIST(E$9*SQRT($C$11)*NORMSINV($B737)+SQRT(1-E$9^2*$C$11)*NORMSINV(D737)))*(E$7-E$5)*(E$7-E$6))))</f>
        <v>0.0560734321277747</v>
      </c>
      <c r="F737" s="2" t="n">
        <v>0.305018148</v>
      </c>
      <c r="G737" s="2" t="n">
        <f aca="false">IF(G$7=G$5,G$6,IF(NORMSDIST(G$9*SQRT($C$11)*NORMSINV($B737)+SQRT(1-G$9^2*$C$11)*NORMSINV(F737))&lt;G$8,G$5+SQRT(NORMSDIST(G$9*SQRT($C$11)*NORMSINV($B737)+SQRT(1-G$9^2*$C$11)*NORMSINV(F737))*(G$7-G$5)*(G$6-G$5)),G$7-SQRT((1-NORMSDIST(G$9*SQRT($C$11)*NORMSINV($B737)+SQRT(1-G$9^2*$C$11)*NORMSINV(F737)))*(G$7-G$5)*(G$7-G$6))))</f>
        <v>0.053093143737283</v>
      </c>
      <c r="H737" s="2" t="n">
        <v>0.829746379</v>
      </c>
      <c r="I737" s="2" t="n">
        <f aca="false">IF(I$7=I$5,I$6,IF(NORMSDIST(I$9*SQRT($C$11)*NORMSINV($B737)+SQRT(1-I$9^2*$C$11)*NORMSINV(H737))&lt;I$8,I$5+SQRT(NORMSDIST(I$9*SQRT($C$11)*NORMSINV($B737)+SQRT(1-I$9^2*$C$11)*NORMSINV(H737))*(I$7-I$5)*(I$6-I$5)),I$7-SQRT((1-NORMSDIST(I$9*SQRT($C$11)*NORMSINV($B737)+SQRT(1-I$9^2*$C$11)*NORMSINV(H737)))*(I$7-I$5)*(I$7-I$6))))</f>
        <v>207.251544551347</v>
      </c>
      <c r="J737" s="2" t="n">
        <v>0.216863194</v>
      </c>
      <c r="K737" s="2" t="n">
        <f aca="false">IF(K$7=K$5,K$6,IF(NORMSDIST(K$9*SQRT($C$11)*NORMSINV($B737)+SQRT(1-K$9^2*$C$11)*NORMSINV(J737))&lt;K$8,K$5+SQRT(NORMSDIST(K$9*SQRT($C$11)*NORMSINV($B737)+SQRT(1-K$9^2*$C$11)*NORMSINV(J737))*(K$7-K$5)*(K$6-K$5)),K$7-SQRT((1-NORMSDIST(K$9*SQRT($C$11)*NORMSINV($B737)+SQRT(1-K$9^2*$C$11)*NORMSINV(J737)))*(K$7-K$5)*(K$7-K$6))))</f>
        <v>0.194783762676012</v>
      </c>
      <c r="L737" s="2" t="n">
        <v>0.43414018</v>
      </c>
      <c r="M737" s="2" t="n">
        <f aca="false">IF(M$7=M$5,M$6,IF(NORMSDIST(M$9*SQRT($C$11)*NORMSINV($B737)+SQRT(1-M$9^2*$C$11)*NORMSINV(L737))&lt;M$8,M$5+SQRT(NORMSDIST(M$9*SQRT($C$11)*NORMSINV($B737)+SQRT(1-M$9^2*$C$11)*NORMSINV(L737))*(M$7-M$5)*(M$6-M$5)),M$7-SQRT((1-NORMSDIST(M$9*SQRT($C$11)*NORMSINV($B737)+SQRT(1-M$9^2*$C$11)*NORMSINV(L737)))*(M$7-M$5)*(M$7-M$6))))</f>
        <v>1581.22794866065</v>
      </c>
      <c r="N737" s="2" t="n">
        <v>0.554736468</v>
      </c>
      <c r="O737" s="2" t="n">
        <f aca="false">IF(O$7=O$5,O$6,IF(NORMSDIST(O$9*SQRT($C$11)*NORMSINV($B737)+SQRT(1-O$9^2*$C$11)*NORMSINV(N737))&lt;O$8,O$5+SQRT(NORMSDIST(O$9*SQRT($C$11)*NORMSINV($B737)+SQRT(1-O$9^2*$C$11)*NORMSINV(N737))*(O$7-O$5)*(O$6-O$5)),O$7-SQRT((1-NORMSDIST(O$9*SQRT($C$11)*NORMSINV($B737)+SQRT(1-O$9^2*$C$11)*NORMSINV(N737)))*(O$7-O$5)*(O$7-O$6))))</f>
        <v>0.16881735460376</v>
      </c>
      <c r="P737" s="2" t="n">
        <v>0.861453544</v>
      </c>
      <c r="Q737" s="2" t="n">
        <f aca="false">IF(Q$7=Q$5,Q$6,IF(NORMSDIST(Q$9*SQRT($C$11)*NORMSINV($B737)+SQRT(1-Q$9^2*$C$11)*NORMSINV(P737))&lt;Q$8,Q$5+SQRT(NORMSDIST(Q$9*SQRT($C$11)*NORMSINV($B737)+SQRT(1-Q$9^2*$C$11)*NORMSINV(P737))*(Q$7-Q$5)*(Q$6-Q$5)),Q$7-SQRT((1-NORMSDIST(Q$9*SQRT($C$11)*NORMSINV($B737)+SQRT(1-Q$9^2*$C$11)*NORMSINV(P737)))*(Q$7-Q$5)*(Q$7-Q$6))))</f>
        <v>0.0989441537999538</v>
      </c>
      <c r="R737" s="2" t="n">
        <v>0.05942931</v>
      </c>
      <c r="S737" s="2" t="n">
        <f aca="false">IF(S$7=S$5,S$6,IF(NORMSDIST(S$9*SQRT($C$11)*NORMSINV($B737)+SQRT(1-S$9^2*$C$11)*NORMSINV(R737))&lt;S$8,S$5+SQRT(NORMSDIST(S$9*SQRT($C$11)*NORMSINV($B737)+SQRT(1-S$9^2*$C$11)*NORMSINV(R737))*(S$7-S$5)*(S$6-S$5)),S$7-SQRT((1-NORMSDIST(S$9*SQRT($C$11)*NORMSINV($B737)+SQRT(1-S$9^2*$C$11)*NORMSINV(R737)))*(S$7-S$5)*(S$7-S$6))))</f>
        <v>0.257119141509726</v>
      </c>
      <c r="T737" s="2" t="n">
        <v>0.707817248</v>
      </c>
      <c r="U737" s="2" t="n">
        <f aca="false">IF(U$7=U$5,U$6,IF(NORMSDIST(U$9*SQRT($C$11)*NORMSINV($B737)+SQRT(1-U$9^2*$C$11)*NORMSINV(T737))&lt;U$8,U$5+SQRT(NORMSDIST(U$9*SQRT($C$11)*NORMSINV($B737)+SQRT(1-U$9^2*$C$11)*NORMSINV(T737))*(U$7-U$5)*(U$6-U$5)),U$7-SQRT((1-NORMSDIST(U$9*SQRT($C$11)*NORMSINV($B737)+SQRT(1-U$9^2*$C$11)*NORMSINV(T737)))*(U$7-U$5)*(U$7-U$6))))</f>
        <v>0.610774274615129</v>
      </c>
      <c r="V737" s="2" t="n">
        <v>0.564877088</v>
      </c>
      <c r="W737" s="2" t="n">
        <f aca="false">IF(W$7=W$5,W$6,IF(NORMSDIST(W$9*SQRT($C$11)*NORMSINV($B737)+SQRT(1-W$9^2*$C$11)*NORMSINV(V737))&lt;W$8,W$5+SQRT(NORMSDIST(W$9*SQRT($C$11)*NORMSINV($B737)+SQRT(1-W$9^2*$C$11)*NORMSINV(V737))*(W$7-W$5)*(W$6-W$5)),W$7-SQRT((1-NORMSDIST(W$9*SQRT($C$11)*NORMSINV($B737)+SQRT(1-W$9^2*$C$11)*NORMSINV(V737)))*(W$7-W$5)*(W$7-W$6))))</f>
        <v>10.1812674828537</v>
      </c>
      <c r="X737" s="2" t="n">
        <v>0.245449312</v>
      </c>
      <c r="Y737" s="2" t="n">
        <f aca="false">IF(Y$7=Y$5,Y$6,IF(NORMSDIST(Y$9*SQRT($C$11)*NORMSINV($B737)+SQRT(1-Y$9^2*$C$11)*NORMSINV(X737))&lt;Y$8,Y$5+SQRT(NORMSDIST(Y$9*SQRT($C$11)*NORMSINV($B737)+SQRT(1-Y$9^2*$C$11)*NORMSINV(X737))*(Y$7-Y$5)*(Y$6-Y$5)),Y$7-SQRT((1-NORMSDIST(Y$9*SQRT($C$11)*NORMSINV($B737)+SQRT(1-Y$9^2*$C$11)*NORMSINV(X737)))*(Y$7-Y$5)*(Y$7-Y$6))))</f>
        <v>0.350320790133843</v>
      </c>
      <c r="Z737" s="2" t="n">
        <v>0.243135163</v>
      </c>
      <c r="AA737" s="2" t="n">
        <f aca="false">IF(AA$7=AA$5,AA$6,IF(NORMSDIST(AA$9*SQRT($C$11)*NORMSINV($B737)+SQRT(1-AA$9^2*$C$11)*NORMSINV(Z737))&lt;AA$8,AA$5+SQRT(NORMSDIST(AA$9*SQRT($C$11)*NORMSINV($B737)+SQRT(1-AA$9^2*$C$11)*NORMSINV(Z737))*(AA$7-AA$5)*(AA$6-AA$5)),AA$7-SQRT((1-NORMSDIST(AA$9*SQRT($C$11)*NORMSINV($B737)+SQRT(1-AA$9^2*$C$11)*NORMSINV(Z737)))*(AA$7-AA$5)*(AA$7-AA$6))))</f>
        <v>0.721804222198698</v>
      </c>
      <c r="AB737" s="2" t="n">
        <v>0.989763097</v>
      </c>
      <c r="AC737" s="2" t="n">
        <f aca="false">IF(AC$7=AC$5,AC$6,IF(NORMSDIST(AC$9*SQRT($C$11)*NORMSINV($B737)+SQRT(1-AC$9^2*$C$11)*NORMSINV(AB737))&lt;AC$8,AC$5+SQRT(NORMSDIST(AC$9*SQRT($C$11)*NORMSINV($B737)+SQRT(1-AC$9^2*$C$11)*NORMSINV(AB737))*(AC$7-AC$5)*(AC$6-AC$5)),AC$7-SQRT((1-NORMSDIST(AC$9*SQRT($C$11)*NORMSINV($B737)+SQRT(1-AC$9^2*$C$11)*NORMSINV(AB737)))*(AC$7-AC$5)*(AC$7-AC$6))))</f>
        <v>10.6426325858925</v>
      </c>
      <c r="AD737" s="2" t="n">
        <f aca="false">Entrées!$C$8*(1+E737)</f>
        <v>7445.31769650081</v>
      </c>
      <c r="AE737" s="2" t="n">
        <f aca="false">I737*Hypothèses!$J$24/12/Hypothèses!$J$19</f>
        <v>102.816827917549</v>
      </c>
      <c r="AF737" s="2" t="n">
        <f aca="false">Entrées!$C$36*S737*1000</f>
        <v>128.559570754863</v>
      </c>
      <c r="AG737" s="2" t="n">
        <f aca="false">-AF737/W737</f>
        <v>-12.6270693674801</v>
      </c>
      <c r="AH737" s="2" t="n">
        <f aca="false">AD737+AE737+AG737</f>
        <v>7535.50745505088</v>
      </c>
      <c r="AI737" s="2" t="n">
        <f aca="false">Entrées!$C$16-M737+Hypothèses!$J$22*1000-AF737+Hypothèses!$J$23</f>
        <v>22838.2124805845</v>
      </c>
      <c r="AJ737" s="2" t="n">
        <f aca="false">AI737/AH737</f>
        <v>3.03074645162438</v>
      </c>
      <c r="AK737" s="2" t="n">
        <f aca="false">AI737/(AH737+I737*(12-Hypothèses!$J$24)/12/Hypothèses!$J$19)</f>
        <v>3.00149407529838</v>
      </c>
      <c r="AL737" s="2" t="n">
        <f aca="false">(AD737+AG737+I737/Hypothèses!$J$19)*(1+G737)</f>
        <v>8012.93101873869</v>
      </c>
      <c r="AM737" s="2" t="n">
        <f aca="false">Entrées!$C$54*K737/Hypothèses!$J$19</f>
        <v>19.8785008252562</v>
      </c>
      <c r="AN737" s="2" t="n">
        <f aca="false">Y737*1000/AC737</f>
        <v>32.9167419157375</v>
      </c>
      <c r="AO737" s="2" t="n">
        <f aca="false">(Entrées!$C$36*(1-S737)+MAX(0,Entrées!$C$30-Entrées!$C$35-Entrées!$C$36)*U737)*1000</f>
        <v>1226.52441370632</v>
      </c>
      <c r="AP737" s="2" t="n">
        <f aca="false">-AO737/W737</f>
        <v>-120.468734936187</v>
      </c>
      <c r="AQ737" s="2" t="n">
        <f aca="false">AL737+AM737+AN737+AP737</f>
        <v>7945.25752654349</v>
      </c>
      <c r="AR737" s="2" t="n">
        <f aca="false">O737*AQ737-Hypothèses!$J$25/Hypothèses!$J$19</f>
        <v>1322.16219501506</v>
      </c>
      <c r="AS737" s="2" t="n">
        <f aca="false">Entrées!$C$79*(1+Q737)+Hypothèses!$J$20</f>
        <v>1502.73962502615</v>
      </c>
      <c r="AT737" s="2" t="n">
        <f aca="false">AI737-AR737+AS737+Y737*1000-AO737+Hypothèses!$J$23</f>
        <v>22142.5862870231</v>
      </c>
      <c r="AU737" s="2" t="n">
        <f aca="false">AT737/AQ737</f>
        <v>2.78689346607699</v>
      </c>
      <c r="AV737" s="2" t="n">
        <f aca="false">Hypothèses!$J$26*AQ737-AT737</f>
        <v>1693.18629260737</v>
      </c>
      <c r="AW737" s="2" t="n">
        <f aca="false">IF(AC737&gt;Hypothèses!$J$26,MAX(0,AV737)/(1-Hypothèses!$J$26/AC737),0)</f>
        <v>2357.82100070499</v>
      </c>
      <c r="AX737" s="2" t="n">
        <f aca="false">AQ737-Entrées!$C$17*1000</f>
        <v>-54.7424734565075</v>
      </c>
      <c r="AY737" s="2" t="n">
        <f aca="false">AI737+(Entrées!$C$244-Entrées!$C$13)</f>
        <v>28585.2124805845</v>
      </c>
      <c r="AZ737" s="2" t="n">
        <f aca="false">AA737*AH737</f>
        <v>5439.16109746549</v>
      </c>
      <c r="BA737" s="2" t="n">
        <f aca="false">AZ737/AY737</f>
        <v>0.190278840892292</v>
      </c>
      <c r="BB737" s="2" t="n">
        <f aca="false">AZ737/(Entrées!$C$151/100)-AY737</f>
        <v>1632.34917200157</v>
      </c>
      <c r="BC737" s="2" t="n">
        <f aca="false">AT737+(Entrées!$C$244-Entrées!$C$13)</f>
        <v>27889.5862870231</v>
      </c>
      <c r="BD737" s="2" t="n">
        <f aca="false">AA737*AQ737</f>
        <v>5734.92042911508</v>
      </c>
      <c r="BE737" s="2" t="n">
        <f aca="false">BD737/BC737</f>
        <v>0.205629455026499</v>
      </c>
      <c r="BF737" s="2" t="n">
        <f aca="false">BD737/(Entrées!$C$151/100)-BC737</f>
        <v>3971.0827636162</v>
      </c>
      <c r="BG737" s="2" t="n">
        <f aca="false">MIN(AV737,BF737)</f>
        <v>1693.18629260737</v>
      </c>
      <c r="BH737" s="2" t="n">
        <f aca="false">IF(AC737&gt;Hypothèses!$J$26,MAX(0,BG737)/(1-Hypothèses!$J$26/AC737),0)</f>
        <v>2357.82100070499</v>
      </c>
    </row>
    <row r="738" customFormat="false" ht="15" hidden="false" customHeight="false" outlineLevel="0" collapsed="false">
      <c r="A738" s="2" t="n">
        <v>723</v>
      </c>
      <c r="B738" s="2" t="n">
        <v>0.425001805</v>
      </c>
      <c r="C738" s="2"/>
      <c r="D738" s="2" t="n">
        <v>0.085572531</v>
      </c>
      <c r="E738" s="2" t="n">
        <f aca="false">IF(E$7=E$5,E$6,IF(NORMSDIST(E$9*SQRT($C$11)*NORMSINV($B738)+SQRT(1-E$9^2*$C$11)*NORMSINV(D738))&lt;E$8,E$5+SQRT(NORMSDIST(E$9*SQRT($C$11)*NORMSINV($B738)+SQRT(1-E$9^2*$C$11)*NORMSINV(D738))*(E$7-E$5)*(E$6-E$5)),E$7-SQRT((1-NORMSDIST(E$9*SQRT($C$11)*NORMSINV($B738)+SQRT(1-E$9^2*$C$11)*NORMSINV(D738)))*(E$7-E$5)*(E$7-E$6))))</f>
        <v>0.0524399404487456</v>
      </c>
      <c r="F738" s="2" t="n">
        <v>0.493920809</v>
      </c>
      <c r="G738" s="2" t="n">
        <f aca="false">IF(G$7=G$5,G$6,IF(NORMSDIST(G$9*SQRT($C$11)*NORMSINV($B738)+SQRT(1-G$9^2*$C$11)*NORMSINV(F738))&lt;G$8,G$5+SQRT(NORMSDIST(G$9*SQRT($C$11)*NORMSINV($B738)+SQRT(1-G$9^2*$C$11)*NORMSINV(F738))*(G$7-G$5)*(G$6-G$5)),G$7-SQRT((1-NORMSDIST(G$9*SQRT($C$11)*NORMSINV($B738)+SQRT(1-G$9^2*$C$11)*NORMSINV(F738)))*(G$7-G$5)*(G$7-G$6))))</f>
        <v>0.0541942404038846</v>
      </c>
      <c r="H738" s="2" t="n">
        <v>0.159879361</v>
      </c>
      <c r="I738" s="2" t="n">
        <f aca="false">IF(I$7=I$5,I$6,IF(NORMSDIST(I$9*SQRT($C$11)*NORMSINV($B738)+SQRT(1-I$9^2*$C$11)*NORMSINV(H738))&lt;I$8,I$5+SQRT(NORMSDIST(I$9*SQRT($C$11)*NORMSINV($B738)+SQRT(1-I$9^2*$C$11)*NORMSINV(H738))*(I$7-I$5)*(I$6-I$5)),I$7-SQRT((1-NORMSDIST(I$9*SQRT($C$11)*NORMSINV($B738)+SQRT(1-I$9^2*$C$11)*NORMSINV(H738)))*(I$7-I$5)*(I$7-I$6))))</f>
        <v>192.219787905896</v>
      </c>
      <c r="J738" s="2" t="n">
        <v>0.33675062</v>
      </c>
      <c r="K738" s="2" t="n">
        <f aca="false">IF(K$7=K$5,K$6,IF(NORMSDIST(K$9*SQRT($C$11)*NORMSINV($B738)+SQRT(1-K$9^2*$C$11)*NORMSINV(J738))&lt;K$8,K$5+SQRT(NORMSDIST(K$9*SQRT($C$11)*NORMSINV($B738)+SQRT(1-K$9^2*$C$11)*NORMSINV(J738))*(K$7-K$5)*(K$6-K$5)),K$7-SQRT((1-NORMSDIST(K$9*SQRT($C$11)*NORMSINV($B738)+SQRT(1-K$9^2*$C$11)*NORMSINV(J738)))*(K$7-K$5)*(K$7-K$6))))</f>
        <v>0.202424566591034</v>
      </c>
      <c r="L738" s="2" t="n">
        <v>0.404511813</v>
      </c>
      <c r="M738" s="2" t="n">
        <f aca="false">IF(M$7=M$5,M$6,IF(NORMSDIST(M$9*SQRT($C$11)*NORMSINV($B738)+SQRT(1-M$9^2*$C$11)*NORMSINV(L738))&lt;M$8,M$5+SQRT(NORMSDIST(M$9*SQRT($C$11)*NORMSINV($B738)+SQRT(1-M$9^2*$C$11)*NORMSINV(L738))*(M$7-M$5)*(M$6-M$5)),M$7-SQRT((1-NORMSDIST(M$9*SQRT($C$11)*NORMSINV($B738)+SQRT(1-M$9^2*$C$11)*NORMSINV(L738)))*(M$7-M$5)*(M$7-M$6))))</f>
        <v>1549.00915486364</v>
      </c>
      <c r="N738" s="2" t="n">
        <v>0.199732328</v>
      </c>
      <c r="O738" s="2" t="n">
        <f aca="false">IF(O$7=O$5,O$6,IF(NORMSDIST(O$9*SQRT($C$11)*NORMSINV($B738)+SQRT(1-O$9^2*$C$11)*NORMSINV(N738))&lt;O$8,O$5+SQRT(NORMSDIST(O$9*SQRT($C$11)*NORMSINV($B738)+SQRT(1-O$9^2*$C$11)*NORMSINV(N738))*(O$7-O$5)*(O$6-O$5)),O$7-SQRT((1-NORMSDIST(O$9*SQRT($C$11)*NORMSINV($B738)+SQRT(1-O$9^2*$C$11)*NORMSINV(N738)))*(O$7-O$5)*(O$7-O$6))))</f>
        <v>0.157765977229093</v>
      </c>
      <c r="P738" s="2" t="n">
        <v>0.435727454</v>
      </c>
      <c r="Q738" s="2" t="n">
        <f aca="false">IF(Q$7=Q$5,Q$6,IF(NORMSDIST(Q$9*SQRT($C$11)*NORMSINV($B738)+SQRT(1-Q$9^2*$C$11)*NORMSINV(P738))&lt;Q$8,Q$5+SQRT(NORMSDIST(Q$9*SQRT($C$11)*NORMSINV($B738)+SQRT(1-Q$9^2*$C$11)*NORMSINV(P738))*(Q$7-Q$5)*(Q$6-Q$5)),Q$7-SQRT((1-NORMSDIST(Q$9*SQRT($C$11)*NORMSINV($B738)+SQRT(1-Q$9^2*$C$11)*NORMSINV(P738)))*(Q$7-Q$5)*(Q$7-Q$6))))</f>
        <v>0.0773406996827858</v>
      </c>
      <c r="R738" s="2" t="n">
        <v>0.425004932</v>
      </c>
      <c r="S738" s="2" t="n">
        <f aca="false">IF(S$7=S$5,S$6,IF(NORMSDIST(S$9*SQRT($C$11)*NORMSINV($B738)+SQRT(1-S$9^2*$C$11)*NORMSINV(R738))&lt;S$8,S$5+SQRT(NORMSDIST(S$9*SQRT($C$11)*NORMSINV($B738)+SQRT(1-S$9^2*$C$11)*NORMSINV(R738))*(S$7-S$5)*(S$6-S$5)),S$7-SQRT((1-NORMSDIST(S$9*SQRT($C$11)*NORMSINV($B738)+SQRT(1-S$9^2*$C$11)*NORMSINV(R738)))*(S$7-S$5)*(S$7-S$6))))</f>
        <v>0.444458190676962</v>
      </c>
      <c r="T738" s="2" t="n">
        <v>0.477746628</v>
      </c>
      <c r="U738" s="2" t="n">
        <f aca="false">IF(U$7=U$5,U$6,IF(NORMSDIST(U$9*SQRT($C$11)*NORMSINV($B738)+SQRT(1-U$9^2*$C$11)*NORMSINV(T738))&lt;U$8,U$5+SQRT(NORMSDIST(U$9*SQRT($C$11)*NORMSINV($B738)+SQRT(1-U$9^2*$C$11)*NORMSINV(T738))*(U$7-U$5)*(U$6-U$5)),U$7-SQRT((1-NORMSDIST(U$9*SQRT($C$11)*NORMSINV($B738)+SQRT(1-U$9^2*$C$11)*NORMSINV(T738)))*(U$7-U$5)*(U$7-U$6))))</f>
        <v>0.466542435420717</v>
      </c>
      <c r="V738" s="2" t="n">
        <v>0.087192956</v>
      </c>
      <c r="W738" s="2" t="n">
        <f aca="false">IF(W$7=W$5,W$6,IF(NORMSDIST(W$9*SQRT($C$11)*NORMSINV($B738)+SQRT(1-W$9^2*$C$11)*NORMSINV(V738))&lt;W$8,W$5+SQRT(NORMSDIST(W$9*SQRT($C$11)*NORMSINV($B738)+SQRT(1-W$9^2*$C$11)*NORMSINV(V738))*(W$7-W$5)*(W$6-W$5)),W$7-SQRT((1-NORMSDIST(W$9*SQRT($C$11)*NORMSINV($B738)+SQRT(1-W$9^2*$C$11)*NORMSINV(V738)))*(W$7-W$5)*(W$7-W$6))))</f>
        <v>8.9824830361588</v>
      </c>
      <c r="X738" s="2" t="n">
        <v>0.300508831</v>
      </c>
      <c r="Y738" s="2" t="n">
        <f aca="false">IF(Y$7=Y$5,Y$6,IF(NORMSDIST(Y$9*SQRT($C$11)*NORMSINV($B738)+SQRT(1-Y$9^2*$C$11)*NORMSINV(X738))&lt;Y$8,Y$5+SQRT(NORMSDIST(Y$9*SQRT($C$11)*NORMSINV($B738)+SQRT(1-Y$9^2*$C$11)*NORMSINV(X738))*(Y$7-Y$5)*(Y$6-Y$5)),Y$7-SQRT((1-NORMSDIST(Y$9*SQRT($C$11)*NORMSINV($B738)+SQRT(1-Y$9^2*$C$11)*NORMSINV(X738)))*(Y$7-Y$5)*(Y$7-Y$6))))</f>
        <v>0.387626644466038</v>
      </c>
      <c r="Z738" s="2" t="n">
        <v>0.404456313</v>
      </c>
      <c r="AA738" s="2" t="n">
        <f aca="false">IF(AA$7=AA$5,AA$6,IF(NORMSDIST(AA$9*SQRT($C$11)*NORMSINV($B738)+SQRT(1-AA$9^2*$C$11)*NORMSINV(Z738))&lt;AA$8,AA$5+SQRT(NORMSDIST(AA$9*SQRT($C$11)*NORMSINV($B738)+SQRT(1-AA$9^2*$C$11)*NORMSINV(Z738))*(AA$7-AA$5)*(AA$6-AA$5)),AA$7-SQRT((1-NORMSDIST(AA$9*SQRT($C$11)*NORMSINV($B738)+SQRT(1-AA$9^2*$C$11)*NORMSINV(Z738)))*(AA$7-AA$5)*(AA$7-AA$6))))</f>
        <v>0.723833780167528</v>
      </c>
      <c r="AB738" s="2" t="n">
        <v>0.136534202</v>
      </c>
      <c r="AC738" s="2" t="n">
        <f aca="false">IF(AC$7=AC$5,AC$6,IF(NORMSDIST(AC$9*SQRT($C$11)*NORMSINV($B738)+SQRT(1-AC$9^2*$C$11)*NORMSINV(AB738))&lt;AC$8,AC$5+SQRT(NORMSDIST(AC$9*SQRT($C$11)*NORMSINV($B738)+SQRT(1-AC$9^2*$C$11)*NORMSINV(AB738))*(AC$7-AC$5)*(AC$6-AC$5)),AC$7-SQRT((1-NORMSDIST(AC$9*SQRT($C$11)*NORMSINV($B738)+SQRT(1-AC$9^2*$C$11)*NORMSINV(AB738)))*(AC$7-AC$5)*(AC$7-AC$6))))</f>
        <v>8.59895601595396</v>
      </c>
      <c r="AD738" s="2" t="n">
        <f aca="false">Entrées!$C$8*(1+E738)</f>
        <v>7419.70158016366</v>
      </c>
      <c r="AE738" s="2" t="n">
        <f aca="false">I738*Hypothèses!$J$24/12/Hypothèses!$J$19</f>
        <v>95.3596215567502</v>
      </c>
      <c r="AF738" s="2" t="n">
        <f aca="false">Entrées!$C$36*S738*1000</f>
        <v>222.229095338481</v>
      </c>
      <c r="AG738" s="2" t="n">
        <f aca="false">-AF738/W738</f>
        <v>-24.7402744256685</v>
      </c>
      <c r="AH738" s="2" t="n">
        <f aca="false">AD738+AE738+AG738</f>
        <v>7490.32092729474</v>
      </c>
      <c r="AI738" s="2" t="n">
        <f aca="false">Entrées!$C$16-M738+Hypothèses!$J$22*1000-AF738+Hypothèses!$J$23</f>
        <v>22776.7617497979</v>
      </c>
      <c r="AJ738" s="2" t="n">
        <f aca="false">AI738/AH738</f>
        <v>3.04082588328083</v>
      </c>
      <c r="AK738" s="2" t="n">
        <f aca="false">AI738/(AH738+I738*(12-Hypothèses!$J$24)/12/Hypothèses!$J$19)</f>
        <v>3.01342300654697</v>
      </c>
      <c r="AL738" s="2" t="n">
        <f aca="false">(AD738+AG738+I738/Hypothèses!$J$19)*(1+G738)</f>
        <v>7968.05858305381</v>
      </c>
      <c r="AM738" s="2" t="n">
        <f aca="false">Entrées!$C$54*K738/Hypothèses!$J$19</f>
        <v>20.6582769464466</v>
      </c>
      <c r="AN738" s="2" t="n">
        <f aca="false">Y738*1000/AC738</f>
        <v>45.078337852509</v>
      </c>
      <c r="AO738" s="2" t="n">
        <f aca="false">(Entrées!$C$36*(1-S738)+MAX(0,Entrées!$C$30-Entrées!$C$35-Entrées!$C$36)*U738)*1000</f>
        <v>930.930314250522</v>
      </c>
      <c r="AP738" s="2" t="n">
        <f aca="false">-AO738/W738</f>
        <v>-103.638416070822</v>
      </c>
      <c r="AQ738" s="2" t="n">
        <f aca="false">AL738+AM738+AN738+AP738</f>
        <v>7930.15678178195</v>
      </c>
      <c r="AR738" s="2" t="n">
        <f aca="false">O738*AQ738-Hypothèses!$J$25/Hypothèses!$J$19</f>
        <v>1231.97377199612</v>
      </c>
      <c r="AS738" s="2" t="n">
        <f aca="false">Entrées!$C$79*(1+Q738)+Hypothèses!$J$20</f>
        <v>1478.99742895138</v>
      </c>
      <c r="AT738" s="2" t="n">
        <f aca="false">AI738-AR738+AS738+Y738*1000-AO738+Hypothèses!$J$23</f>
        <v>22480.4817369687</v>
      </c>
      <c r="AU738" s="2" t="n">
        <f aca="false">AT738/AQ738</f>
        <v>2.83480924218464</v>
      </c>
      <c r="AV738" s="2" t="n">
        <f aca="false">Hypothèses!$J$26*AQ738-AT738</f>
        <v>1309.98860837719</v>
      </c>
      <c r="AW738" s="2" t="n">
        <f aca="false">IF(AC738&gt;Hypothèses!$J$26,MAX(0,AV738)/(1-Hypothèses!$J$26/AC738),0)</f>
        <v>2011.89907417355</v>
      </c>
      <c r="AX738" s="2" t="n">
        <f aca="false">AQ738-Entrées!$C$17*1000</f>
        <v>-69.8432182180532</v>
      </c>
      <c r="AY738" s="2" t="n">
        <f aca="false">AI738+(Entrées!$C$244-Entrées!$C$13)</f>
        <v>28523.7617497979</v>
      </c>
      <c r="AZ738" s="2" t="n">
        <f aca="false">AA738*AH738</f>
        <v>5421.7473114717</v>
      </c>
      <c r="BA738" s="2" t="n">
        <f aca="false">AZ738/AY738</f>
        <v>0.190078270847642</v>
      </c>
      <c r="BB738" s="2" t="n">
        <f aca="false">AZ738/(Entrées!$C$151/100)-AY738</f>
        <v>1597.05664726711</v>
      </c>
      <c r="BC738" s="2" t="n">
        <f aca="false">AT738+(Entrées!$C$244-Entrées!$C$13)</f>
        <v>28227.4817369687</v>
      </c>
      <c r="BD738" s="2" t="n">
        <f aca="false">AA738*AQ738</f>
        <v>5740.11536067839</v>
      </c>
      <c r="BE738" s="2" t="n">
        <f aca="false">BD738/BC738</f>
        <v>0.203352017518472</v>
      </c>
      <c r="BF738" s="2" t="n">
        <f aca="false">BD738/(Entrées!$C$151/100)-BC738</f>
        <v>3662.04804457795</v>
      </c>
      <c r="BG738" s="2" t="n">
        <f aca="false">MIN(AV738,BF738)</f>
        <v>1309.98860837719</v>
      </c>
      <c r="BH738" s="2" t="n">
        <f aca="false">IF(AC738&gt;Hypothèses!$J$26,MAX(0,BG738)/(1-Hypothèses!$J$26/AC738),0)</f>
        <v>2011.89907417355</v>
      </c>
    </row>
    <row r="739" customFormat="false" ht="15" hidden="false" customHeight="false" outlineLevel="0" collapsed="false">
      <c r="A739" s="2" t="n">
        <v>724</v>
      </c>
      <c r="B739" s="2" t="n">
        <v>0.309145579</v>
      </c>
      <c r="C739" s="2"/>
      <c r="D739" s="2" t="n">
        <v>0.001085841</v>
      </c>
      <c r="E739" s="2" t="n">
        <f aca="false">IF(E$7=E$5,E$6,IF(NORMSDIST(E$9*SQRT($C$11)*NORMSINV($B739)+SQRT(1-E$9^2*$C$11)*NORMSINV(D739))&lt;E$8,E$5+SQRT(NORMSDIST(E$9*SQRT($C$11)*NORMSINV($B739)+SQRT(1-E$9^2*$C$11)*NORMSINV(D739))*(E$7-E$5)*(E$6-E$5)),E$7-SQRT((1-NORMSDIST(E$9*SQRT($C$11)*NORMSINV($B739)+SQRT(1-E$9^2*$C$11)*NORMSINV(D739)))*(E$7-E$5)*(E$7-E$6))))</f>
        <v>0.0504227672136133</v>
      </c>
      <c r="F739" s="2" t="n">
        <v>0.908302751</v>
      </c>
      <c r="G739" s="2" t="n">
        <f aca="false">IF(G$7=G$5,G$6,IF(NORMSDIST(G$9*SQRT($C$11)*NORMSINV($B739)+SQRT(1-G$9^2*$C$11)*NORMSINV(F739))&lt;G$8,G$5+SQRT(NORMSDIST(G$9*SQRT($C$11)*NORMSINV($B739)+SQRT(1-G$9^2*$C$11)*NORMSINV(F739))*(G$7-G$5)*(G$6-G$5)),G$7-SQRT((1-NORMSDIST(G$9*SQRT($C$11)*NORMSINV($B739)+SQRT(1-G$9^2*$C$11)*NORMSINV(F739)))*(G$7-G$5)*(G$7-G$6))))</f>
        <v>0.0596686988869568</v>
      </c>
      <c r="H739" s="2" t="n">
        <v>0.425695134</v>
      </c>
      <c r="I739" s="2" t="n">
        <f aca="false">IF(I$7=I$5,I$6,IF(NORMSDIST(I$9*SQRT($C$11)*NORMSINV($B739)+SQRT(1-I$9^2*$C$11)*NORMSINV(H739))&lt;I$8,I$5+SQRT(NORMSDIST(I$9*SQRT($C$11)*NORMSINV($B739)+SQRT(1-I$9^2*$C$11)*NORMSINV(H739))*(I$7-I$5)*(I$6-I$5)),I$7-SQRT((1-NORMSDIST(I$9*SQRT($C$11)*NORMSINV($B739)+SQRT(1-I$9^2*$C$11)*NORMSINV(H739)))*(I$7-I$5)*(I$7-I$6))))</f>
        <v>196.066547804598</v>
      </c>
      <c r="J739" s="2" t="n">
        <v>0.606181006</v>
      </c>
      <c r="K739" s="2" t="n">
        <f aca="false">IF(K$7=K$5,K$6,IF(NORMSDIST(K$9*SQRT($C$11)*NORMSINV($B739)+SQRT(1-K$9^2*$C$11)*NORMSINV(J739))&lt;K$8,K$5+SQRT(NORMSDIST(K$9*SQRT($C$11)*NORMSINV($B739)+SQRT(1-K$9^2*$C$11)*NORMSINV(J739))*(K$7-K$5)*(K$6-K$5)),K$7-SQRT((1-NORMSDIST(K$9*SQRT($C$11)*NORMSINV($B739)+SQRT(1-K$9^2*$C$11)*NORMSINV(J739)))*(K$7-K$5)*(K$7-K$6))))</f>
        <v>0.23916584811736</v>
      </c>
      <c r="L739" s="2" t="n">
        <v>0.536273648</v>
      </c>
      <c r="M739" s="2" t="n">
        <f aca="false">IF(M$7=M$5,M$6,IF(NORMSDIST(M$9*SQRT($C$11)*NORMSINV($B739)+SQRT(1-M$9^2*$C$11)*NORMSINV(L739))&lt;M$8,M$5+SQRT(NORMSDIST(M$9*SQRT($C$11)*NORMSINV($B739)+SQRT(1-M$9^2*$C$11)*NORMSINV(L739))*(M$7-M$5)*(M$6-M$5)),M$7-SQRT((1-NORMSDIST(M$9*SQRT($C$11)*NORMSINV($B739)+SQRT(1-M$9^2*$C$11)*NORMSINV(L739)))*(M$7-M$5)*(M$7-M$6))))</f>
        <v>1556.62749036158</v>
      </c>
      <c r="N739" s="2" t="n">
        <v>0.576815404</v>
      </c>
      <c r="O739" s="2" t="n">
        <f aca="false">IF(O$7=O$5,O$6,IF(NORMSDIST(O$9*SQRT($C$11)*NORMSINV($B739)+SQRT(1-O$9^2*$C$11)*NORMSINV(N739))&lt;O$8,O$5+SQRT(NORMSDIST(O$9*SQRT($C$11)*NORMSINV($B739)+SQRT(1-O$9^2*$C$11)*NORMSINV(N739))*(O$7-O$5)*(O$6-O$5)),O$7-SQRT((1-NORMSDIST(O$9*SQRT($C$11)*NORMSINV($B739)+SQRT(1-O$9^2*$C$11)*NORMSINV(N739)))*(O$7-O$5)*(O$7-O$6))))</f>
        <v>0.164967119120271</v>
      </c>
      <c r="P739" s="2" t="n">
        <v>0.495581816</v>
      </c>
      <c r="Q739" s="2" t="n">
        <f aca="false">IF(Q$7=Q$5,Q$6,IF(NORMSDIST(Q$9*SQRT($C$11)*NORMSINV($B739)+SQRT(1-Q$9^2*$C$11)*NORMSINV(P739))&lt;Q$8,Q$5+SQRT(NORMSDIST(Q$9*SQRT($C$11)*NORMSINV($B739)+SQRT(1-Q$9^2*$C$11)*NORMSINV(P739))*(Q$7-Q$5)*(Q$6-Q$5)),Q$7-SQRT((1-NORMSDIST(Q$9*SQRT($C$11)*NORMSINV($B739)+SQRT(1-Q$9^2*$C$11)*NORMSINV(P739)))*(Q$7-Q$5)*(Q$7-Q$6))))</f>
        <v>0.0798228804985275</v>
      </c>
      <c r="R739" s="2" t="n">
        <v>0.613239516</v>
      </c>
      <c r="S739" s="2" t="n">
        <f aca="false">IF(S$7=S$5,S$6,IF(NORMSDIST(S$9*SQRT($C$11)*NORMSINV($B739)+SQRT(1-S$9^2*$C$11)*NORMSINV(R739))&lt;S$8,S$5+SQRT(NORMSDIST(S$9*SQRT($C$11)*NORMSINV($B739)+SQRT(1-S$9^2*$C$11)*NORMSINV(R739))*(S$7-S$5)*(S$6-S$5)),S$7-SQRT((1-NORMSDIST(S$9*SQRT($C$11)*NORMSINV($B739)+SQRT(1-S$9^2*$C$11)*NORMSINV(R739)))*(S$7-S$5)*(S$7-S$6))))</f>
        <v>0.481278654017929</v>
      </c>
      <c r="T739" s="2" t="n">
        <v>0.067130677</v>
      </c>
      <c r="U739" s="2" t="n">
        <f aca="false">IF(U$7=U$5,U$6,IF(NORMSDIST(U$9*SQRT($C$11)*NORMSINV($B739)+SQRT(1-U$9^2*$C$11)*NORMSINV(T739))&lt;U$8,U$5+SQRT(NORMSDIST(U$9*SQRT($C$11)*NORMSINV($B739)+SQRT(1-U$9^2*$C$11)*NORMSINV(T739))*(U$7-U$5)*(U$6-U$5)),U$7-SQRT((1-NORMSDIST(U$9*SQRT($C$11)*NORMSINV($B739)+SQRT(1-U$9^2*$C$11)*NORMSINV(T739)))*(U$7-U$5)*(U$7-U$6))))</f>
        <v>0.187206882822885</v>
      </c>
      <c r="V739" s="2" t="n">
        <v>0.738950228</v>
      </c>
      <c r="W739" s="2" t="n">
        <f aca="false">IF(W$7=W$5,W$6,IF(NORMSDIST(W$9*SQRT($C$11)*NORMSINV($B739)+SQRT(1-W$9^2*$C$11)*NORMSINV(V739))&lt;W$8,W$5+SQRT(NORMSDIST(W$9*SQRT($C$11)*NORMSINV($B739)+SQRT(1-W$9^2*$C$11)*NORMSINV(V739))*(W$7-W$5)*(W$6-W$5)),W$7-SQRT((1-NORMSDIST(W$9*SQRT($C$11)*NORMSINV($B739)+SQRT(1-W$9^2*$C$11)*NORMSINV(V739)))*(W$7-W$5)*(W$7-W$6))))</f>
        <v>10.1489369787917</v>
      </c>
      <c r="X739" s="2" t="n">
        <v>0.553950509</v>
      </c>
      <c r="Y739" s="2" t="n">
        <f aca="false">IF(Y$7=Y$5,Y$6,IF(NORMSDIST(Y$9*SQRT($C$11)*NORMSINV($B739)+SQRT(1-Y$9^2*$C$11)*NORMSINV(X739))&lt;Y$8,Y$5+SQRT(NORMSDIST(Y$9*SQRT($C$11)*NORMSINV($B739)+SQRT(1-Y$9^2*$C$11)*NORMSINV(X739))*(Y$7-Y$5)*(Y$6-Y$5)),Y$7-SQRT((1-NORMSDIST(Y$9*SQRT($C$11)*NORMSINV($B739)+SQRT(1-Y$9^2*$C$11)*NORMSINV(X739)))*(Y$7-Y$5)*(Y$7-Y$6))))</f>
        <v>0.527745041847097</v>
      </c>
      <c r="Z739" s="2" t="n">
        <v>0.718977213</v>
      </c>
      <c r="AA739" s="2" t="n">
        <f aca="false">IF(AA$7=AA$5,AA$6,IF(NORMSDIST(AA$9*SQRT($C$11)*NORMSINV($B739)+SQRT(1-AA$9^2*$C$11)*NORMSINV(Z739))&lt;AA$8,AA$5+SQRT(NORMSDIST(AA$9*SQRT($C$11)*NORMSINV($B739)+SQRT(1-AA$9^2*$C$11)*NORMSINV(Z739))*(AA$7-AA$5)*(AA$6-AA$5)),AA$7-SQRT((1-NORMSDIST(AA$9*SQRT($C$11)*NORMSINV($B739)+SQRT(1-AA$9^2*$C$11)*NORMSINV(Z739)))*(AA$7-AA$5)*(AA$7-AA$6))))</f>
        <v>0.729751546329945</v>
      </c>
      <c r="AB739" s="2" t="n">
        <v>0.975088188</v>
      </c>
      <c r="AC739" s="2" t="n">
        <f aca="false">IF(AC$7=AC$5,AC$6,IF(NORMSDIST(AC$9*SQRT($C$11)*NORMSINV($B739)+SQRT(1-AC$9^2*$C$11)*NORMSINV(AB739))&lt;AC$8,AC$5+SQRT(NORMSDIST(AC$9*SQRT($C$11)*NORMSINV($B739)+SQRT(1-AC$9^2*$C$11)*NORMSINV(AB739))*(AC$7-AC$5)*(AC$6-AC$5)),AC$7-SQRT((1-NORMSDIST(AC$9*SQRT($C$11)*NORMSINV($B739)+SQRT(1-AC$9^2*$C$11)*NORMSINV(AB739)))*(AC$7-AC$5)*(AC$7-AC$6))))</f>
        <v>10.2974524539796</v>
      </c>
      <c r="AD739" s="2" t="n">
        <f aca="false">Entrées!$C$8*(1+E739)</f>
        <v>7405.48050885597</v>
      </c>
      <c r="AE739" s="2" t="n">
        <f aca="false">I739*Hypothèses!$J$24/12/Hypothèses!$J$19</f>
        <v>97.2679868304624</v>
      </c>
      <c r="AF739" s="2" t="n">
        <f aca="false">Entrées!$C$36*S739*1000</f>
        <v>240.639327008964</v>
      </c>
      <c r="AG739" s="2" t="n">
        <f aca="false">-AF739/W739</f>
        <v>-23.7107913382288</v>
      </c>
      <c r="AH739" s="2" t="n">
        <f aca="false">AD739+AE739+AG739</f>
        <v>7479.03770434821</v>
      </c>
      <c r="AI739" s="2" t="n">
        <f aca="false">Entrées!$C$16-M739+Hypothèses!$J$22*1000-AF739+Hypothèses!$J$23</f>
        <v>22750.7331826295</v>
      </c>
      <c r="AJ739" s="2" t="n">
        <f aca="false">AI739/AH739</f>
        <v>3.04193321146148</v>
      </c>
      <c r="AK739" s="2" t="n">
        <f aca="false">AI739/(AH739+I739*(12-Hypothèses!$J$24)/12/Hypothèses!$J$19)</f>
        <v>3.01393501523069</v>
      </c>
      <c r="AL739" s="2" t="n">
        <f aca="false">(AD739+AG739+I739/Hypothèses!$J$19)*(1+G739)</f>
        <v>7998.92489669886</v>
      </c>
      <c r="AM739" s="2" t="n">
        <f aca="false">Entrées!$C$54*K739/Hypothèses!$J$19</f>
        <v>24.4078789928804</v>
      </c>
      <c r="AN739" s="2" t="n">
        <f aca="false">Y739*1000/AC739</f>
        <v>51.2500586145596</v>
      </c>
      <c r="AO739" s="2" t="n">
        <f aca="false">(Entrées!$C$36*(1-S739)+MAX(0,Entrées!$C$30-Entrées!$C$35-Entrées!$C$36)*U739)*1000</f>
        <v>521.450308943075</v>
      </c>
      <c r="AP739" s="2" t="n">
        <f aca="false">-AO739/W739</f>
        <v>-51.3797957394702</v>
      </c>
      <c r="AQ739" s="2" t="n">
        <f aca="false">AL739+AM739+AN739+AP739</f>
        <v>8023.20303856683</v>
      </c>
      <c r="AR739" s="2" t="n">
        <f aca="false">O739*AQ739-Hypothèses!$J$25/Hypothèses!$J$19</f>
        <v>1304.42952912775</v>
      </c>
      <c r="AS739" s="2" t="n">
        <f aca="false">Entrées!$C$79*(1+Q739)+Hypothèses!$J$20</f>
        <v>1481.72534566788</v>
      </c>
      <c r="AT739" s="2" t="n">
        <f aca="false">AI739-AR739+AS739+Y739*1000-AO739+Hypothèses!$J$23</f>
        <v>22934.3237320736</v>
      </c>
      <c r="AU739" s="2" t="n">
        <f aca="false">AT739/AQ739</f>
        <v>2.85849973156984</v>
      </c>
      <c r="AV739" s="2" t="n">
        <f aca="false">Hypothèses!$J$26*AQ739-AT739</f>
        <v>1135.2853836269</v>
      </c>
      <c r="AW739" s="2" t="n">
        <f aca="false">IF(AC739&gt;Hypothèses!$J$26,MAX(0,AV739)/(1-Hypothèses!$J$26/AC739),0)</f>
        <v>1602.00389564999</v>
      </c>
      <c r="AX739" s="2" t="n">
        <f aca="false">AQ739-Entrées!$C$17*1000</f>
        <v>23.203038566834</v>
      </c>
      <c r="AY739" s="2" t="n">
        <f aca="false">AI739+(Entrées!$C$244-Entrées!$C$13)</f>
        <v>28497.7331826295</v>
      </c>
      <c r="AZ739" s="2" t="n">
        <f aca="false">AA739*AH739</f>
        <v>5457.83932980806</v>
      </c>
      <c r="BA739" s="2" t="n">
        <f aca="false">AZ739/AY739</f>
        <v>0.191518367262097</v>
      </c>
      <c r="BB739" s="2" t="n">
        <f aca="false">AZ739/(Entrées!$C$151/100)-AY739</f>
        <v>1823.59642741534</v>
      </c>
      <c r="BC739" s="2" t="n">
        <f aca="false">AT739+(Entrées!$C$244-Entrées!$C$13)</f>
        <v>28681.3237320736</v>
      </c>
      <c r="BD739" s="2" t="n">
        <f aca="false">AA739*AQ739</f>
        <v>5854.94482391326</v>
      </c>
      <c r="BE739" s="2" t="n">
        <f aca="false">BD739/BC739</f>
        <v>0.204137887030849</v>
      </c>
      <c r="BF739" s="2" t="n">
        <f aca="false">BD739/(Entrées!$C$151/100)-BC739</f>
        <v>3846.14751188894</v>
      </c>
      <c r="BG739" s="2" t="n">
        <f aca="false">MIN(AV739,BF739)</f>
        <v>1135.2853836269</v>
      </c>
      <c r="BH739" s="2" t="n">
        <f aca="false">IF(AC739&gt;Hypothèses!$J$26,MAX(0,BG739)/(1-Hypothèses!$J$26/AC739),0)</f>
        <v>1602.00389564999</v>
      </c>
    </row>
    <row r="740" customFormat="false" ht="15" hidden="false" customHeight="false" outlineLevel="0" collapsed="false">
      <c r="A740" s="2" t="n">
        <v>725</v>
      </c>
      <c r="B740" s="2" t="n">
        <v>0.251490578</v>
      </c>
      <c r="C740" s="2"/>
      <c r="D740" s="2" t="n">
        <v>0.579261744</v>
      </c>
      <c r="E740" s="2" t="n">
        <f aca="false">IF(E$7=E$5,E$6,IF(NORMSDIST(E$9*SQRT($C$11)*NORMSINV($B740)+SQRT(1-E$9^2*$C$11)*NORMSINV(D740))&lt;E$8,E$5+SQRT(NORMSDIST(E$9*SQRT($C$11)*NORMSINV($B740)+SQRT(1-E$9^2*$C$11)*NORMSINV(D740))*(E$7-E$5)*(E$6-E$5)),E$7-SQRT((1-NORMSDIST(E$9*SQRT($C$11)*NORMSINV($B740)+SQRT(1-E$9^2*$C$11)*NORMSINV(D740)))*(E$7-E$5)*(E$7-E$6))))</f>
        <v>0.0544389215204326</v>
      </c>
      <c r="F740" s="2" t="n">
        <v>0.212681116</v>
      </c>
      <c r="G740" s="2" t="n">
        <f aca="false">IF(G$7=G$5,G$6,IF(NORMSDIST(G$9*SQRT($C$11)*NORMSINV($B740)+SQRT(1-G$9^2*$C$11)*NORMSINV(F740))&lt;G$8,G$5+SQRT(NORMSDIST(G$9*SQRT($C$11)*NORMSINV($B740)+SQRT(1-G$9^2*$C$11)*NORMSINV(F740))*(G$7-G$5)*(G$6-G$5)),G$7-SQRT((1-NORMSDIST(G$9*SQRT($C$11)*NORMSINV($B740)+SQRT(1-G$9^2*$C$11)*NORMSINV(F740)))*(G$7-G$5)*(G$7-G$6))))</f>
        <v>0.0481860917786719</v>
      </c>
      <c r="H740" s="2" t="n">
        <v>0.459853341</v>
      </c>
      <c r="I740" s="2" t="n">
        <f aca="false">IF(I$7=I$5,I$6,IF(NORMSDIST(I$9*SQRT($C$11)*NORMSINV($B740)+SQRT(1-I$9^2*$C$11)*NORMSINV(H740))&lt;I$8,I$5+SQRT(NORMSDIST(I$9*SQRT($C$11)*NORMSINV($B740)+SQRT(1-I$9^2*$C$11)*NORMSINV(H740))*(I$7-I$5)*(I$6-I$5)),I$7-SQRT((1-NORMSDIST(I$9*SQRT($C$11)*NORMSINV($B740)+SQRT(1-I$9^2*$C$11)*NORMSINV(H740)))*(I$7-I$5)*(I$7-I$6))))</f>
        <v>195.695544527467</v>
      </c>
      <c r="J740" s="2" t="n">
        <v>0.350831043</v>
      </c>
      <c r="K740" s="2" t="n">
        <f aca="false">IF(K$7=K$5,K$6,IF(NORMSDIST(K$9*SQRT($C$11)*NORMSINV($B740)+SQRT(1-K$9^2*$C$11)*NORMSINV(J740))&lt;K$8,K$5+SQRT(NORMSDIST(K$9*SQRT($C$11)*NORMSINV($B740)+SQRT(1-K$9^2*$C$11)*NORMSINV(J740))*(K$7-K$5)*(K$6-K$5)),K$7-SQRT((1-NORMSDIST(K$9*SQRT($C$11)*NORMSINV($B740)+SQRT(1-K$9^2*$C$11)*NORMSINV(J740)))*(K$7-K$5)*(K$7-K$6))))</f>
        <v>0.171629562993295</v>
      </c>
      <c r="L740" s="2" t="n">
        <v>0.096643444</v>
      </c>
      <c r="M740" s="2" t="n">
        <f aca="false">IF(M$7=M$5,M$6,IF(NORMSDIST(M$9*SQRT($C$11)*NORMSINV($B740)+SQRT(1-M$9^2*$C$11)*NORMSINV(L740))&lt;M$8,M$5+SQRT(NORMSDIST(M$9*SQRT($C$11)*NORMSINV($B740)+SQRT(1-M$9^2*$C$11)*NORMSINV(L740))*(M$7-M$5)*(M$6-M$5)),M$7-SQRT((1-NORMSDIST(M$9*SQRT($C$11)*NORMSINV($B740)+SQRT(1-M$9^2*$C$11)*NORMSINV(L740)))*(M$7-M$5)*(M$7-M$6))))</f>
        <v>1413.3263332883</v>
      </c>
      <c r="N740" s="2" t="n">
        <v>0.151776486</v>
      </c>
      <c r="O740" s="2" t="n">
        <f aca="false">IF(O$7=O$5,O$6,IF(NORMSDIST(O$9*SQRT($C$11)*NORMSINV($B740)+SQRT(1-O$9^2*$C$11)*NORMSINV(N740))&lt;O$8,O$5+SQRT(NORMSDIST(O$9*SQRT($C$11)*NORMSINV($B740)+SQRT(1-O$9^2*$C$11)*NORMSINV(N740))*(O$7-O$5)*(O$6-O$5)),O$7-SQRT((1-NORMSDIST(O$9*SQRT($C$11)*NORMSINV($B740)+SQRT(1-O$9^2*$C$11)*NORMSINV(N740)))*(O$7-O$5)*(O$7-O$6))))</f>
        <v>0.152627174846765</v>
      </c>
      <c r="P740" s="2" t="n">
        <v>0.367889717</v>
      </c>
      <c r="Q740" s="2" t="n">
        <f aca="false">IF(Q$7=Q$5,Q$6,IF(NORMSDIST(Q$9*SQRT($C$11)*NORMSINV($B740)+SQRT(1-Q$9^2*$C$11)*NORMSINV(P740))&lt;Q$8,Q$5+SQRT(NORMSDIST(Q$9*SQRT($C$11)*NORMSINV($B740)+SQRT(1-Q$9^2*$C$11)*NORMSINV(P740))*(Q$7-Q$5)*(Q$6-Q$5)),Q$7-SQRT((1-NORMSDIST(Q$9*SQRT($C$11)*NORMSINV($B740)+SQRT(1-Q$9^2*$C$11)*NORMSINV(P740)))*(Q$7-Q$5)*(Q$7-Q$6))))</f>
        <v>0.0743110345865583</v>
      </c>
      <c r="R740" s="2" t="n">
        <v>0.503645496</v>
      </c>
      <c r="S740" s="2" t="n">
        <f aca="false">IF(S$7=S$5,S$6,IF(NORMSDIST(S$9*SQRT($C$11)*NORMSINV($B740)+SQRT(1-S$9^2*$C$11)*NORMSINV(R740))&lt;S$8,S$5+SQRT(NORMSDIST(S$9*SQRT($C$11)*NORMSINV($B740)+SQRT(1-S$9^2*$C$11)*NORMSINV(R740))*(S$7-S$5)*(S$6-S$5)),S$7-SQRT((1-NORMSDIST(S$9*SQRT($C$11)*NORMSINV($B740)+SQRT(1-S$9^2*$C$11)*NORMSINV(R740)))*(S$7-S$5)*(S$7-S$6))))</f>
        <v>0.411403569623993</v>
      </c>
      <c r="T740" s="2" t="n">
        <v>0.653927012</v>
      </c>
      <c r="U740" s="2" t="n">
        <f aca="false">IF(U$7=U$5,U$6,IF(NORMSDIST(U$9*SQRT($C$11)*NORMSINV($B740)+SQRT(1-U$9^2*$C$11)*NORMSINV(T740))&lt;U$8,U$5+SQRT(NORMSDIST(U$9*SQRT($C$11)*NORMSINV($B740)+SQRT(1-U$9^2*$C$11)*NORMSINV(T740))*(U$7-U$5)*(U$6-U$5)),U$7-SQRT((1-NORMSDIST(U$9*SQRT($C$11)*NORMSINV($B740)+SQRT(1-U$9^2*$C$11)*NORMSINV(T740)))*(U$7-U$5)*(U$7-U$6))))</f>
        <v>0.476161491578476</v>
      </c>
      <c r="V740" s="2" t="n">
        <v>0.144814788</v>
      </c>
      <c r="W740" s="2" t="n">
        <f aca="false">IF(W$7=W$5,W$6,IF(NORMSDIST(W$9*SQRT($C$11)*NORMSINV($B740)+SQRT(1-W$9^2*$C$11)*NORMSINV(V740))&lt;W$8,W$5+SQRT(NORMSDIST(W$9*SQRT($C$11)*NORMSINV($B740)+SQRT(1-W$9^2*$C$11)*NORMSINV(V740))*(W$7-W$5)*(W$6-W$5)),W$7-SQRT((1-NORMSDIST(W$9*SQRT($C$11)*NORMSINV($B740)+SQRT(1-W$9^2*$C$11)*NORMSINV(V740)))*(W$7-W$5)*(W$7-W$6))))</f>
        <v>8.92422379627302</v>
      </c>
      <c r="X740" s="2" t="n">
        <v>0.325615721</v>
      </c>
      <c r="Y740" s="2" t="n">
        <f aca="false">IF(Y$7=Y$5,Y$6,IF(NORMSDIST(Y$9*SQRT($C$11)*NORMSINV($B740)+SQRT(1-Y$9^2*$C$11)*NORMSINV(X740))&lt;Y$8,Y$5+SQRT(NORMSDIST(Y$9*SQRT($C$11)*NORMSINV($B740)+SQRT(1-Y$9^2*$C$11)*NORMSINV(X740))*(Y$7-Y$5)*(Y$6-Y$5)),Y$7-SQRT((1-NORMSDIST(Y$9*SQRT($C$11)*NORMSINV($B740)+SQRT(1-Y$9^2*$C$11)*NORMSINV(X740)))*(Y$7-Y$5)*(Y$7-Y$6))))</f>
        <v>0.403494560682049</v>
      </c>
      <c r="Z740" s="2" t="n">
        <v>0.716385557</v>
      </c>
      <c r="AA740" s="2" t="n">
        <f aca="false">IF(AA$7=AA$5,AA$6,IF(NORMSDIST(AA$9*SQRT($C$11)*NORMSINV($B740)+SQRT(1-AA$9^2*$C$11)*NORMSINV(Z740))&lt;AA$8,AA$5+SQRT(NORMSDIST(AA$9*SQRT($C$11)*NORMSINV($B740)+SQRT(1-AA$9^2*$C$11)*NORMSINV(Z740))*(AA$7-AA$5)*(AA$6-AA$5)),AA$7-SQRT((1-NORMSDIST(AA$9*SQRT($C$11)*NORMSINV($B740)+SQRT(1-AA$9^2*$C$11)*NORMSINV(Z740)))*(AA$7-AA$5)*(AA$7-AA$6))))</f>
        <v>0.728305700984588</v>
      </c>
      <c r="AB740" s="2" t="n">
        <v>0.826834085</v>
      </c>
      <c r="AC740" s="2" t="n">
        <f aca="false">IF(AC$7=AC$5,AC$6,IF(NORMSDIST(AC$9*SQRT($C$11)*NORMSINV($B740)+SQRT(1-AC$9^2*$C$11)*NORMSINV(AB740))&lt;AC$8,AC$5+SQRT(NORMSDIST(AC$9*SQRT($C$11)*NORMSINV($B740)+SQRT(1-AC$9^2*$C$11)*NORMSINV(AB740))*(AC$7-AC$5)*(AC$6-AC$5)),AC$7-SQRT((1-NORMSDIST(AC$9*SQRT($C$11)*NORMSINV($B740)+SQRT(1-AC$9^2*$C$11)*NORMSINV(AB740)))*(AC$7-AC$5)*(AC$7-AC$6))))</f>
        <v>9.71472908363916</v>
      </c>
      <c r="AD740" s="2" t="n">
        <f aca="false">Entrées!$C$8*(1+E740)</f>
        <v>7433.79439671905</v>
      </c>
      <c r="AE740" s="2" t="n">
        <f aca="false">I740*Hypothèses!$J$24/12/Hypothèses!$J$19</f>
        <v>97.0839332921198</v>
      </c>
      <c r="AF740" s="2" t="n">
        <f aca="false">Entrées!$C$36*S740*1000</f>
        <v>205.701784811997</v>
      </c>
      <c r="AG740" s="2" t="n">
        <f aca="false">-AF740/W740</f>
        <v>-23.0498236606194</v>
      </c>
      <c r="AH740" s="2" t="n">
        <f aca="false">AD740+AE740+AG740</f>
        <v>7507.82850635055</v>
      </c>
      <c r="AI740" s="2" t="n">
        <f aca="false">Entrées!$C$16-M740+Hypothèses!$J$22*1000-AF740+Hypothèses!$J$23</f>
        <v>22928.9718818997</v>
      </c>
      <c r="AJ740" s="2" t="n">
        <f aca="false">AI740/AH740</f>
        <v>3.05400847428855</v>
      </c>
      <c r="AK740" s="2" t="n">
        <f aca="false">AI740/(AH740+I740*(12-Hypothèses!$J$24)/12/Hypothèses!$J$19)</f>
        <v>3.02605844321756</v>
      </c>
      <c r="AL740" s="2" t="n">
        <f aca="false">(AD740+AG740+I740/Hypothèses!$J$19)*(1+G740)</f>
        <v>7942.28858311035</v>
      </c>
      <c r="AM740" s="2" t="n">
        <f aca="false">Entrées!$C$54*K740/Hypothèses!$J$19</f>
        <v>17.5155175294328</v>
      </c>
      <c r="AN740" s="2" t="n">
        <f aca="false">Y740*1000/AC740</f>
        <v>41.5343091102341</v>
      </c>
      <c r="AO740" s="2" t="n">
        <f aca="false">(Entrées!$C$36*(1-S740)+MAX(0,Entrées!$C$30-Entrées!$C$35-Entrées!$C$36)*U740)*1000</f>
        <v>960.92430339787</v>
      </c>
      <c r="AP740" s="2" t="n">
        <f aca="false">-AO740/W740</f>
        <v>-107.67595315115</v>
      </c>
      <c r="AQ740" s="2" t="n">
        <f aca="false">AL740+AM740+AN740+AP740</f>
        <v>7893.66245659887</v>
      </c>
      <c r="AR740" s="2" t="n">
        <f aca="false">O740*AQ740-Hypothèses!$J$25/Hypothèses!$J$19</f>
        <v>1185.65223768304</v>
      </c>
      <c r="AS740" s="2" t="n">
        <f aca="false">Entrées!$C$79*(1+Q740)+Hypothèses!$J$20</f>
        <v>1475.66782701063</v>
      </c>
      <c r="AT740" s="2" t="n">
        <f aca="false">AI740-AR740+AS740+Y740*1000-AO740+Hypothèses!$J$23</f>
        <v>22661.5577285115</v>
      </c>
      <c r="AU740" s="2" t="n">
        <f aca="false">AT740/AQ740</f>
        <v>2.87085467020028</v>
      </c>
      <c r="AV740" s="2" t="n">
        <f aca="false">Hypothèses!$J$26*AQ740-AT740</f>
        <v>1019.42964128513</v>
      </c>
      <c r="AW740" s="2" t="n">
        <f aca="false">IF(AC740&gt;Hypothèses!$J$26,MAX(0,AV740)/(1-Hypothèses!$J$26/AC740),0)</f>
        <v>1474.8894052996</v>
      </c>
      <c r="AX740" s="2" t="n">
        <f aca="false">AQ740-Entrées!$C$17*1000</f>
        <v>-106.337543401132</v>
      </c>
      <c r="AY740" s="2" t="n">
        <f aca="false">AI740+(Entrées!$C$244-Entrées!$C$13)</f>
        <v>28675.9718818997</v>
      </c>
      <c r="AZ740" s="2" t="n">
        <f aca="false">AA740*AH740</f>
        <v>5467.99430318971</v>
      </c>
      <c r="BA740" s="2" t="n">
        <f aca="false">AZ740/AY740</f>
        <v>0.190682091812243</v>
      </c>
      <c r="BB740" s="2" t="n">
        <f aca="false">AZ740/(Entrées!$C$151/100)-AY740</f>
        <v>1701.77424693203</v>
      </c>
      <c r="BC740" s="2" t="n">
        <f aca="false">AT740+(Entrées!$C$244-Entrées!$C$13)</f>
        <v>28408.5577285115</v>
      </c>
      <c r="BD740" s="2" t="n">
        <f aca="false">AA740*AQ740</f>
        <v>5748.99936878896</v>
      </c>
      <c r="BE740" s="2" t="n">
        <f aca="false">BD740/BC740</f>
        <v>0.202368575825979</v>
      </c>
      <c r="BF740" s="2" t="n">
        <f aca="false">BD740/(Entrées!$C$151/100)-BC740</f>
        <v>3530.32765364944</v>
      </c>
      <c r="BG740" s="2" t="n">
        <f aca="false">MIN(AV740,BF740)</f>
        <v>1019.42964128513</v>
      </c>
      <c r="BH740" s="2" t="n">
        <f aca="false">IF(AC740&gt;Hypothèses!$J$26,MAX(0,BG740)/(1-Hypothèses!$J$26/AC740),0)</f>
        <v>1474.8894052996</v>
      </c>
    </row>
    <row r="741" customFormat="false" ht="15" hidden="false" customHeight="false" outlineLevel="0" collapsed="false">
      <c r="A741" s="2" t="n">
        <v>726</v>
      </c>
      <c r="B741" s="2" t="n">
        <v>0.531515184</v>
      </c>
      <c r="C741" s="2"/>
      <c r="D741" s="2" t="n">
        <v>0.361764217</v>
      </c>
      <c r="E741" s="2" t="n">
        <f aca="false">IF(E$7=E$5,E$6,IF(NORMSDIST(E$9*SQRT($C$11)*NORMSINV($B741)+SQRT(1-E$9^2*$C$11)*NORMSINV(D741))&lt;E$8,E$5+SQRT(NORMSDIST(E$9*SQRT($C$11)*NORMSINV($B741)+SQRT(1-E$9^2*$C$11)*NORMSINV(D741))*(E$7-E$5)*(E$6-E$5)),E$7-SQRT((1-NORMSDIST(E$9*SQRT($C$11)*NORMSINV($B741)+SQRT(1-E$9^2*$C$11)*NORMSINV(D741)))*(E$7-E$5)*(E$7-E$6))))</f>
        <v>0.0545353044337694</v>
      </c>
      <c r="F741" s="2" t="n">
        <v>0.631877504</v>
      </c>
      <c r="G741" s="2" t="n">
        <f aca="false">IF(G$7=G$5,G$6,IF(NORMSDIST(G$9*SQRT($C$11)*NORMSINV($B741)+SQRT(1-G$9^2*$C$11)*NORMSINV(F741))&lt;G$8,G$5+SQRT(NORMSDIST(G$9*SQRT($C$11)*NORMSINV($B741)+SQRT(1-G$9^2*$C$11)*NORMSINV(F741))*(G$7-G$5)*(G$6-G$5)),G$7-SQRT((1-NORMSDIST(G$9*SQRT($C$11)*NORMSINV($B741)+SQRT(1-G$9^2*$C$11)*NORMSINV(F741)))*(G$7-G$5)*(G$7-G$6))))</f>
        <v>0.0569589662555177</v>
      </c>
      <c r="H741" s="2" t="n">
        <v>0.229707343</v>
      </c>
      <c r="I741" s="2" t="n">
        <f aca="false">IF(I$7=I$5,I$6,IF(NORMSDIST(I$9*SQRT($C$11)*NORMSINV($B741)+SQRT(1-I$9^2*$C$11)*NORMSINV(H741))&lt;I$8,I$5+SQRT(NORMSDIST(I$9*SQRT($C$11)*NORMSINV($B741)+SQRT(1-I$9^2*$C$11)*NORMSINV(H741))*(I$7-I$5)*(I$6-I$5)),I$7-SQRT((1-NORMSDIST(I$9*SQRT($C$11)*NORMSINV($B741)+SQRT(1-I$9^2*$C$11)*NORMSINV(H741)))*(I$7-I$5)*(I$7-I$6))))</f>
        <v>195.504137262657</v>
      </c>
      <c r="J741" s="2" t="n">
        <v>0.010946947</v>
      </c>
      <c r="K741" s="2" t="n">
        <f aca="false">IF(K$7=K$5,K$6,IF(NORMSDIST(K$9*SQRT($C$11)*NORMSINV($B741)+SQRT(1-K$9^2*$C$11)*NORMSINV(J741))&lt;K$8,K$5+SQRT(NORMSDIST(K$9*SQRT($C$11)*NORMSINV($B741)+SQRT(1-K$9^2*$C$11)*NORMSINV(J741))*(K$7-K$5)*(K$6-K$5)),K$7-SQRT((1-NORMSDIST(K$9*SQRT($C$11)*NORMSINV($B741)+SQRT(1-K$9^2*$C$11)*NORMSINV(J741)))*(K$7-K$5)*(K$7-K$6))))</f>
        <v>0.0726437965026414</v>
      </c>
      <c r="L741" s="2" t="n">
        <v>0.820223103</v>
      </c>
      <c r="M741" s="2" t="n">
        <f aca="false">IF(M$7=M$5,M$6,IF(NORMSDIST(M$9*SQRT($C$11)*NORMSINV($B741)+SQRT(1-M$9^2*$C$11)*NORMSINV(L741))&lt;M$8,M$5+SQRT(NORMSDIST(M$9*SQRT($C$11)*NORMSINV($B741)+SQRT(1-M$9^2*$C$11)*NORMSINV(L741))*(M$7-M$5)*(M$6-M$5)),M$7-SQRT((1-NORMSDIST(M$9*SQRT($C$11)*NORMSINV($B741)+SQRT(1-M$9^2*$C$11)*NORMSINV(L741)))*(M$7-M$5)*(M$7-M$6))))</f>
        <v>1658.44717124931</v>
      </c>
      <c r="N741" s="2" t="n">
        <v>0.742696404</v>
      </c>
      <c r="O741" s="2" t="n">
        <f aca="false">IF(O$7=O$5,O$6,IF(NORMSDIST(O$9*SQRT($C$11)*NORMSINV($B741)+SQRT(1-O$9^2*$C$11)*NORMSINV(N741))&lt;O$8,O$5+SQRT(NORMSDIST(O$9*SQRT($C$11)*NORMSINV($B741)+SQRT(1-O$9^2*$C$11)*NORMSINV(N741))*(O$7-O$5)*(O$6-O$5)),O$7-SQRT((1-NORMSDIST(O$9*SQRT($C$11)*NORMSINV($B741)+SQRT(1-O$9^2*$C$11)*NORMSINV(N741)))*(O$7-O$5)*(O$7-O$6))))</f>
        <v>0.172439091259878</v>
      </c>
      <c r="P741" s="2" t="n">
        <v>0.922398887</v>
      </c>
      <c r="Q741" s="2" t="n">
        <f aca="false">IF(Q$7=Q$5,Q$6,IF(NORMSDIST(Q$9*SQRT($C$11)*NORMSINV($B741)+SQRT(1-Q$9^2*$C$11)*NORMSINV(P741))&lt;Q$8,Q$5+SQRT(NORMSDIST(Q$9*SQRT($C$11)*NORMSINV($B741)+SQRT(1-Q$9^2*$C$11)*NORMSINV(P741))*(Q$7-Q$5)*(Q$6-Q$5)),Q$7-SQRT((1-NORMSDIST(Q$9*SQRT($C$11)*NORMSINV($B741)+SQRT(1-Q$9^2*$C$11)*NORMSINV(P741)))*(Q$7-Q$5)*(Q$7-Q$6))))</f>
        <v>0.104241714509503</v>
      </c>
      <c r="R741" s="2" t="n">
        <v>0.22713717</v>
      </c>
      <c r="S741" s="2" t="n">
        <f aca="false">IF(S$7=S$5,S$6,IF(NORMSDIST(S$9*SQRT($C$11)*NORMSINV($B741)+SQRT(1-S$9^2*$C$11)*NORMSINV(R741))&lt;S$8,S$5+SQRT(NORMSDIST(S$9*SQRT($C$11)*NORMSINV($B741)+SQRT(1-S$9^2*$C$11)*NORMSINV(R741))*(S$7-S$5)*(S$6-S$5)),S$7-SQRT((1-NORMSDIST(S$9*SQRT($C$11)*NORMSINV($B741)+SQRT(1-S$9^2*$C$11)*NORMSINV(R741)))*(S$7-S$5)*(S$7-S$6))))</f>
        <v>0.386126087664858</v>
      </c>
      <c r="T741" s="2" t="n">
        <v>0.236743812</v>
      </c>
      <c r="U741" s="2" t="n">
        <f aca="false">IF(U$7=U$5,U$6,IF(NORMSDIST(U$9*SQRT($C$11)*NORMSINV($B741)+SQRT(1-U$9^2*$C$11)*NORMSINV(T741))&lt;U$8,U$5+SQRT(NORMSDIST(U$9*SQRT($C$11)*NORMSINV($B741)+SQRT(1-U$9^2*$C$11)*NORMSINV(T741))*(U$7-U$5)*(U$6-U$5)),U$7-SQRT((1-NORMSDIST(U$9*SQRT($C$11)*NORMSINV($B741)+SQRT(1-U$9^2*$C$11)*NORMSINV(T741)))*(U$7-U$5)*(U$7-U$6))))</f>
        <v>0.391598596424346</v>
      </c>
      <c r="V741" s="2" t="n">
        <v>0.721155035</v>
      </c>
      <c r="W741" s="2" t="n">
        <f aca="false">IF(W$7=W$5,W$6,IF(NORMSDIST(W$9*SQRT($C$11)*NORMSINV($B741)+SQRT(1-W$9^2*$C$11)*NORMSINV(V741))&lt;W$8,W$5+SQRT(NORMSDIST(W$9*SQRT($C$11)*NORMSINV($B741)+SQRT(1-W$9^2*$C$11)*NORMSINV(V741))*(W$7-W$5)*(W$6-W$5)),W$7-SQRT((1-NORMSDIST(W$9*SQRT($C$11)*NORMSINV($B741)+SQRT(1-W$9^2*$C$11)*NORMSINV(V741)))*(W$7-W$5)*(W$7-W$6))))</f>
        <v>10.432630438219</v>
      </c>
      <c r="X741" s="2" t="n">
        <v>0.886232238</v>
      </c>
      <c r="Y741" s="2" t="n">
        <f aca="false">IF(Y$7=Y$5,Y$6,IF(NORMSDIST(Y$9*SQRT($C$11)*NORMSINV($B741)+SQRT(1-Y$9^2*$C$11)*NORMSINV(X741))&lt;Y$8,Y$5+SQRT(NORMSDIST(Y$9*SQRT($C$11)*NORMSINV($B741)+SQRT(1-Y$9^2*$C$11)*NORMSINV(X741))*(Y$7-Y$5)*(Y$6-Y$5)),Y$7-SQRT((1-NORMSDIST(Y$9*SQRT($C$11)*NORMSINV($B741)+SQRT(1-Y$9^2*$C$11)*NORMSINV(X741)))*(Y$7-Y$5)*(Y$7-Y$6))))</f>
        <v>0.761496580737298</v>
      </c>
      <c r="Z741" s="2" t="n">
        <v>0.596195055</v>
      </c>
      <c r="AA741" s="2" t="n">
        <f aca="false">IF(AA$7=AA$5,AA$6,IF(NORMSDIST(AA$9*SQRT($C$11)*NORMSINV($B741)+SQRT(1-AA$9^2*$C$11)*NORMSINV(Z741))&lt;AA$8,AA$5+SQRT(NORMSDIST(AA$9*SQRT($C$11)*NORMSINV($B741)+SQRT(1-AA$9^2*$C$11)*NORMSINV(Z741))*(AA$7-AA$5)*(AA$6-AA$5)),AA$7-SQRT((1-NORMSDIST(AA$9*SQRT($C$11)*NORMSINV($B741)+SQRT(1-AA$9^2*$C$11)*NORMSINV(Z741)))*(AA$7-AA$5)*(AA$7-AA$6))))</f>
        <v>0.731004974204857</v>
      </c>
      <c r="AB741" s="2" t="n">
        <v>0.041345186</v>
      </c>
      <c r="AC741" s="2" t="n">
        <f aca="false">IF(AC$7=AC$5,AC$6,IF(NORMSDIST(AC$9*SQRT($C$11)*NORMSINV($B741)+SQRT(1-AC$9^2*$C$11)*NORMSINV(AB741))&lt;AC$8,AC$5+SQRT(NORMSDIST(AC$9*SQRT($C$11)*NORMSINV($B741)+SQRT(1-AC$9^2*$C$11)*NORMSINV(AB741))*(AC$7-AC$5)*(AC$6-AC$5)),AC$7-SQRT((1-NORMSDIST(AC$9*SQRT($C$11)*NORMSINV($B741)+SQRT(1-AC$9^2*$C$11)*NORMSINV(AB741)))*(AC$7-AC$5)*(AC$7-AC$6))))</f>
        <v>8.31928125763056</v>
      </c>
      <c r="AD741" s="2" t="n">
        <f aca="false">Entrées!$C$8*(1+E741)</f>
        <v>7434.47389625807</v>
      </c>
      <c r="AE741" s="2" t="n">
        <f aca="false">I741*Hypothèses!$J$24/12/Hypothèses!$J$19</f>
        <v>96.9889767606702</v>
      </c>
      <c r="AF741" s="2" t="n">
        <f aca="false">Entrées!$C$36*S741*1000</f>
        <v>193.063043832429</v>
      </c>
      <c r="AG741" s="2" t="n">
        <f aca="false">-AF741/W741</f>
        <v>-18.5056918267861</v>
      </c>
      <c r="AH741" s="2" t="n">
        <f aca="false">AD741+AE741+AG741</f>
        <v>7512.95718119196</v>
      </c>
      <c r="AI741" s="2" t="n">
        <f aca="false">Entrées!$C$16-M741+Hypothèses!$J$22*1000-AF741+Hypothèses!$J$23</f>
        <v>22696.4897849183</v>
      </c>
      <c r="AJ741" s="2" t="n">
        <f aca="false">AI741/AH741</f>
        <v>3.02097952078537</v>
      </c>
      <c r="AK741" s="2" t="n">
        <f aca="false">AI741/(AH741+I741*(12-Hypothèses!$J$24)/12/Hypothèses!$J$19)</f>
        <v>2.9933772456085</v>
      </c>
      <c r="AL741" s="2" t="n">
        <f aca="false">(AD741+AG741+I741/Hypothèses!$J$19)*(1+G741)</f>
        <v>8014.11129047972</v>
      </c>
      <c r="AM741" s="2" t="n">
        <f aca="false">Entrées!$C$54*K741/Hypothèses!$J$19</f>
        <v>7.41360444468576</v>
      </c>
      <c r="AN741" s="2" t="n">
        <f aca="false">Y741*1000/AC741</f>
        <v>91.5339387088089</v>
      </c>
      <c r="AO741" s="2" t="n">
        <f aca="false">(Entrées!$C$36*(1-S741)+MAX(0,Entrées!$C$30-Entrées!$C$35-Entrées!$C$36)*U741)*1000</f>
        <v>855.174991161656</v>
      </c>
      <c r="AP741" s="2" t="n">
        <f aca="false">-AO741/W741</f>
        <v>-81.971176514487</v>
      </c>
      <c r="AQ741" s="2" t="n">
        <f aca="false">AL741+AM741+AN741+AP741</f>
        <v>8031.08765711873</v>
      </c>
      <c r="AR741" s="2" t="n">
        <f aca="false">O741*AQ741-Hypothèses!$J$25/Hypothèses!$J$19</f>
        <v>1365.73829516035</v>
      </c>
      <c r="AS741" s="2" t="n">
        <f aca="false">Entrées!$C$79*(1+Q741)+Hypothèses!$J$20</f>
        <v>1508.56164424594</v>
      </c>
      <c r="AT741" s="2" t="n">
        <f aca="false">AI741-AR741+AS741+Y741*1000-AO741+Hypothèses!$J$23</f>
        <v>22745.6347235795</v>
      </c>
      <c r="AU741" s="2" t="n">
        <f aca="false">AT741/AQ741</f>
        <v>2.83219853831602</v>
      </c>
      <c r="AV741" s="2" t="n">
        <f aca="false">Hypothèses!$J$26*AQ741-AT741</f>
        <v>1347.62824777669</v>
      </c>
      <c r="AW741" s="2" t="n">
        <f aca="false">IF(AC741&gt;Hypothèses!$J$26,MAX(0,AV741)/(1-Hypothèses!$J$26/AC741),0)</f>
        <v>2107.67167235224</v>
      </c>
      <c r="AX741" s="2" t="n">
        <f aca="false">AQ741-Entrées!$C$17*1000</f>
        <v>31.0876571187255</v>
      </c>
      <c r="AY741" s="2" t="n">
        <f aca="false">AI741+(Entrées!$C$244-Entrées!$C$13)</f>
        <v>28443.4897849183</v>
      </c>
      <c r="AZ741" s="2" t="n">
        <f aca="false">AA741*AH741</f>
        <v>5492.00907043942</v>
      </c>
      <c r="BA741" s="2" t="n">
        <f aca="false">AZ741/AY741</f>
        <v>0.193084924246935</v>
      </c>
      <c r="BB741" s="2" t="n">
        <f aca="false">AZ741/(Entrées!$C$151/100)-AY741</f>
        <v>2067.67171752296</v>
      </c>
      <c r="BC741" s="2" t="n">
        <f aca="false">AT741+(Entrées!$C$244-Entrées!$C$13)</f>
        <v>28492.6347235795</v>
      </c>
      <c r="BD741" s="2" t="n">
        <f aca="false">AA741*AQ741</f>
        <v>5870.76502562902</v>
      </c>
      <c r="BE741" s="2" t="n">
        <f aca="false">BD741/BC741</f>
        <v>0.206045003650385</v>
      </c>
      <c r="BF741" s="2" t="n">
        <f aca="false">BD741/(Entrées!$C$151/100)-BC741</f>
        <v>4122.72652991505</v>
      </c>
      <c r="BG741" s="2" t="n">
        <f aca="false">MIN(AV741,BF741)</f>
        <v>1347.62824777669</v>
      </c>
      <c r="BH741" s="2" t="n">
        <f aca="false">IF(AC741&gt;Hypothèses!$J$26,MAX(0,BG741)/(1-Hypothèses!$J$26/AC741),0)</f>
        <v>2107.67167235224</v>
      </c>
    </row>
    <row r="742" customFormat="false" ht="15" hidden="false" customHeight="false" outlineLevel="0" collapsed="false">
      <c r="A742" s="2" t="n">
        <v>727</v>
      </c>
      <c r="B742" s="2" t="n">
        <v>0.116706419</v>
      </c>
      <c r="C742" s="2"/>
      <c r="D742" s="2" t="n">
        <v>0.443505571</v>
      </c>
      <c r="E742" s="2" t="n">
        <f aca="false">IF(E$7=E$5,E$6,IF(NORMSDIST(E$9*SQRT($C$11)*NORMSINV($B742)+SQRT(1-E$9^2*$C$11)*NORMSINV(D742))&lt;E$8,E$5+SQRT(NORMSDIST(E$9*SQRT($C$11)*NORMSINV($B742)+SQRT(1-E$9^2*$C$11)*NORMSINV(D742))*(E$7-E$5)*(E$6-E$5)),E$7-SQRT((1-NORMSDIST(E$9*SQRT($C$11)*NORMSINV($B742)+SQRT(1-E$9^2*$C$11)*NORMSINV(D742)))*(E$7-E$5)*(E$7-E$6))))</f>
        <v>0.0531134834918497</v>
      </c>
      <c r="F742" s="2" t="n">
        <v>0.720971977</v>
      </c>
      <c r="G742" s="2" t="n">
        <f aca="false">IF(G$7=G$5,G$6,IF(NORMSDIST(G$9*SQRT($C$11)*NORMSINV($B742)+SQRT(1-G$9^2*$C$11)*NORMSINV(F742))&lt;G$8,G$5+SQRT(NORMSDIST(G$9*SQRT($C$11)*NORMSINV($B742)+SQRT(1-G$9^2*$C$11)*NORMSINV(F742))*(G$7-G$5)*(G$6-G$5)),G$7-SQRT((1-NORMSDIST(G$9*SQRT($C$11)*NORMSINV($B742)+SQRT(1-G$9^2*$C$11)*NORMSINV(F742)))*(G$7-G$5)*(G$7-G$6))))</f>
        <v>0.0531129965600971</v>
      </c>
      <c r="H742" s="2" t="n">
        <v>0.173681741</v>
      </c>
      <c r="I742" s="2" t="n">
        <f aca="false">IF(I$7=I$5,I$6,IF(NORMSDIST(I$9*SQRT($C$11)*NORMSINV($B742)+SQRT(1-I$9^2*$C$11)*NORMSINV(H742))&lt;I$8,I$5+SQRT(NORMSDIST(I$9*SQRT($C$11)*NORMSINV($B742)+SQRT(1-I$9^2*$C$11)*NORMSINV(H742))*(I$7-I$5)*(I$6-I$5)),I$7-SQRT((1-NORMSDIST(I$9*SQRT($C$11)*NORMSINV($B742)+SQRT(1-I$9^2*$C$11)*NORMSINV(H742)))*(I$7-I$5)*(I$7-I$6))))</f>
        <v>187.442094182412</v>
      </c>
      <c r="J742" s="2" t="n">
        <v>0.280121574</v>
      </c>
      <c r="K742" s="2" t="n">
        <f aca="false">IF(K$7=K$5,K$6,IF(NORMSDIST(K$9*SQRT($C$11)*NORMSINV($B742)+SQRT(1-K$9^2*$C$11)*NORMSINV(J742))&lt;K$8,K$5+SQRT(NORMSDIST(K$9*SQRT($C$11)*NORMSINV($B742)+SQRT(1-K$9^2*$C$11)*NORMSINV(J742))*(K$7-K$5)*(K$6-K$5)),K$7-SQRT((1-NORMSDIST(K$9*SQRT($C$11)*NORMSINV($B742)+SQRT(1-K$9^2*$C$11)*NORMSINV(J742)))*(K$7-K$5)*(K$7-K$6))))</f>
        <v>0.119443755883188</v>
      </c>
      <c r="L742" s="2" t="n">
        <v>0.915009518</v>
      </c>
      <c r="M742" s="2" t="n">
        <f aca="false">IF(M$7=M$5,M$6,IF(NORMSDIST(M$9*SQRT($C$11)*NORMSINV($B742)+SQRT(1-M$9^2*$C$11)*NORMSINV(L742))&lt;M$8,M$5+SQRT(NORMSDIST(M$9*SQRT($C$11)*NORMSINV($B742)+SQRT(1-M$9^2*$C$11)*NORMSINV(L742))*(M$7-M$5)*(M$6-M$5)),M$7-SQRT((1-NORMSDIST(M$9*SQRT($C$11)*NORMSINV($B742)+SQRT(1-M$9^2*$C$11)*NORMSINV(L742)))*(M$7-M$5)*(M$7-M$6))))</f>
        <v>1617.75907038577</v>
      </c>
      <c r="N742" s="2" t="n">
        <v>0.953845773</v>
      </c>
      <c r="O742" s="2" t="n">
        <f aca="false">IF(O$7=O$5,O$6,IF(NORMSDIST(O$9*SQRT($C$11)*NORMSINV($B742)+SQRT(1-O$9^2*$C$11)*NORMSINV(N742))&lt;O$8,O$5+SQRT(NORMSDIST(O$9*SQRT($C$11)*NORMSINV($B742)+SQRT(1-O$9^2*$C$11)*NORMSINV(N742))*(O$7-O$5)*(O$6-O$5)),O$7-SQRT((1-NORMSDIST(O$9*SQRT($C$11)*NORMSINV($B742)+SQRT(1-O$9^2*$C$11)*NORMSINV(N742)))*(O$7-O$5)*(O$7-O$6))))</f>
        <v>0.172392069025657</v>
      </c>
      <c r="P742" s="2" t="n">
        <v>0.880041616</v>
      </c>
      <c r="Q742" s="2" t="n">
        <f aca="false">IF(Q$7=Q$5,Q$6,IF(NORMSDIST(Q$9*SQRT($C$11)*NORMSINV($B742)+SQRT(1-Q$9^2*$C$11)*NORMSINV(P742))&lt;Q$8,Q$5+SQRT(NORMSDIST(Q$9*SQRT($C$11)*NORMSINV($B742)+SQRT(1-Q$9^2*$C$11)*NORMSINV(P742))*(Q$7-Q$5)*(Q$6-Q$5)),Q$7-SQRT((1-NORMSDIST(Q$9*SQRT($C$11)*NORMSINV($B742)+SQRT(1-Q$9^2*$C$11)*NORMSINV(P742)))*(Q$7-Q$5)*(Q$7-Q$6))))</f>
        <v>0.100407480284558</v>
      </c>
      <c r="R742" s="2" t="n">
        <v>0.977566267</v>
      </c>
      <c r="S742" s="2" t="n">
        <f aca="false">IF(S$7=S$5,S$6,IF(NORMSDIST(S$9*SQRT($C$11)*NORMSINV($B742)+SQRT(1-S$9^2*$C$11)*NORMSINV(R742))&lt;S$8,S$5+SQRT(NORMSDIST(S$9*SQRT($C$11)*NORMSINV($B742)+SQRT(1-S$9^2*$C$11)*NORMSINV(R742))*(S$7-S$5)*(S$6-S$5)),S$7-SQRT((1-NORMSDIST(S$9*SQRT($C$11)*NORMSINV($B742)+SQRT(1-S$9^2*$C$11)*NORMSINV(R742)))*(S$7-S$5)*(S$7-S$6))))</f>
        <v>0.674560664992793</v>
      </c>
      <c r="T742" s="2" t="n">
        <v>0.003524</v>
      </c>
      <c r="U742" s="2" t="n">
        <f aca="false">IF(U$7=U$5,U$6,IF(NORMSDIST(U$9*SQRT($C$11)*NORMSINV($B742)+SQRT(1-U$9^2*$C$11)*NORMSINV(T742))&lt;U$8,U$5+SQRT(NORMSDIST(U$9*SQRT($C$11)*NORMSINV($B742)+SQRT(1-U$9^2*$C$11)*NORMSINV(T742))*(U$7-U$5)*(U$6-U$5)),U$7-SQRT((1-NORMSDIST(U$9*SQRT($C$11)*NORMSINV($B742)+SQRT(1-U$9^2*$C$11)*NORMSINV(T742)))*(U$7-U$5)*(U$7-U$6))))</f>
        <v>0.033538810666881</v>
      </c>
      <c r="V742" s="2" t="n">
        <v>0.124582976</v>
      </c>
      <c r="W742" s="2" t="n">
        <f aca="false">IF(W$7=W$5,W$6,IF(NORMSDIST(W$9*SQRT($C$11)*NORMSINV($B742)+SQRT(1-W$9^2*$C$11)*NORMSINV(V742))&lt;W$8,W$5+SQRT(NORMSDIST(W$9*SQRT($C$11)*NORMSINV($B742)+SQRT(1-W$9^2*$C$11)*NORMSINV(V742))*(W$7-W$5)*(W$6-W$5)),W$7-SQRT((1-NORMSDIST(W$9*SQRT($C$11)*NORMSINV($B742)+SQRT(1-W$9^2*$C$11)*NORMSINV(V742)))*(W$7-W$5)*(W$7-W$6))))</f>
        <v>8.63153181259027</v>
      </c>
      <c r="X742" s="2" t="n">
        <v>0.174817784</v>
      </c>
      <c r="Y742" s="2" t="n">
        <f aca="false">IF(Y$7=Y$5,Y$6,IF(NORMSDIST(Y$9*SQRT($C$11)*NORMSINV($B742)+SQRT(1-Y$9^2*$C$11)*NORMSINV(X742))&lt;Y$8,Y$5+SQRT(NORMSDIST(Y$9*SQRT($C$11)*NORMSINV($B742)+SQRT(1-Y$9^2*$C$11)*NORMSINV(X742))*(Y$7-Y$5)*(Y$6-Y$5)),Y$7-SQRT((1-NORMSDIST(Y$9*SQRT($C$11)*NORMSINV($B742)+SQRT(1-Y$9^2*$C$11)*NORMSINV(X742)))*(Y$7-Y$5)*(Y$7-Y$6))))</f>
        <v>0.295649948418734</v>
      </c>
      <c r="Z742" s="2" t="n">
        <v>0.21243177</v>
      </c>
      <c r="AA742" s="2" t="n">
        <f aca="false">IF(AA$7=AA$5,AA$6,IF(NORMSDIST(AA$9*SQRT($C$11)*NORMSINV($B742)+SQRT(1-AA$9^2*$C$11)*NORMSINV(Z742))&lt;AA$8,AA$5+SQRT(NORMSDIST(AA$9*SQRT($C$11)*NORMSINV($B742)+SQRT(1-AA$9^2*$C$11)*NORMSINV(Z742))*(AA$7-AA$5)*(AA$6-AA$5)),AA$7-SQRT((1-NORMSDIST(AA$9*SQRT($C$11)*NORMSINV($B742)+SQRT(1-AA$9^2*$C$11)*NORMSINV(Z742)))*(AA$7-AA$5)*(AA$7-AA$6))))</f>
        <v>0.708820229268648</v>
      </c>
      <c r="AB742" s="2" t="n">
        <v>0.16105808</v>
      </c>
      <c r="AC742" s="2" t="n">
        <f aca="false">IF(AC$7=AC$5,AC$6,IF(NORMSDIST(AC$9*SQRT($C$11)*NORMSINV($B742)+SQRT(1-AC$9^2*$C$11)*NORMSINV(AB742))&lt;AC$8,AC$5+SQRT(NORMSDIST(AC$9*SQRT($C$11)*NORMSINV($B742)+SQRT(1-AC$9^2*$C$11)*NORMSINV(AB742))*(AC$7-AC$5)*(AC$6-AC$5)),AC$7-SQRT((1-NORMSDIST(AC$9*SQRT($C$11)*NORMSINV($B742)+SQRT(1-AC$9^2*$C$11)*NORMSINV(AB742)))*(AC$7-AC$5)*(AC$7-AC$6))))</f>
        <v>8.14466934628442</v>
      </c>
      <c r="AD742" s="2" t="n">
        <f aca="false">Entrées!$C$8*(1+E742)</f>
        <v>7424.45005861754</v>
      </c>
      <c r="AE742" s="2" t="n">
        <f aca="false">I742*Hypothèses!$J$24/12/Hypothèses!$J$19</f>
        <v>92.9894229921333</v>
      </c>
      <c r="AF742" s="2" t="n">
        <f aca="false">Entrées!$C$36*S742*1000</f>
        <v>337.280332496397</v>
      </c>
      <c r="AG742" s="2" t="n">
        <f aca="false">-AF742/W742</f>
        <v>-39.0753738524635</v>
      </c>
      <c r="AH742" s="2" t="n">
        <f aca="false">AD742+AE742+AG742</f>
        <v>7478.36410775721</v>
      </c>
      <c r="AI742" s="2" t="n">
        <f aca="false">Entrées!$C$16-M742+Hypothèses!$J$22*1000-AF742+Hypothèses!$J$23</f>
        <v>22592.9605971178</v>
      </c>
      <c r="AJ742" s="2" t="n">
        <f aca="false">AI742/AH742</f>
        <v>3.0211100010071</v>
      </c>
      <c r="AK742" s="2" t="n">
        <f aca="false">AI742/(AH742+I742*(12-Hypothèses!$J$24)/12/Hypothèses!$J$19)</f>
        <v>2.9945134586683</v>
      </c>
      <c r="AL742" s="2" t="n">
        <f aca="false">(AD742+AG742+I742/Hypothèses!$J$19)*(1+G742)</f>
        <v>7945.51127052742</v>
      </c>
      <c r="AM742" s="2" t="n">
        <f aca="false">Entrées!$C$54*K742/Hypothèses!$J$19</f>
        <v>12.1897367998019</v>
      </c>
      <c r="AN742" s="2" t="n">
        <f aca="false">Y742*1000/AC742</f>
        <v>36.2998098325021</v>
      </c>
      <c r="AO742" s="2" t="n">
        <f aca="false">(Entrées!$C$36*(1-S742)+MAX(0,Entrées!$C$30-Entrées!$C$35-Entrées!$C$36)*U742)*1000</f>
        <v>209.674002437237</v>
      </c>
      <c r="AP742" s="2" t="n">
        <f aca="false">-AO742/W742</f>
        <v>-24.2916329325692</v>
      </c>
      <c r="AQ742" s="2" t="n">
        <f aca="false">AL742+AM742+AN742+AP742</f>
        <v>7969.70918422715</v>
      </c>
      <c r="AR742" s="2" t="n">
        <f aca="false">O742*AQ742-Hypothèses!$J$25/Hypothèses!$J$19</f>
        <v>1354.77949354008</v>
      </c>
      <c r="AS742" s="2" t="n">
        <f aca="false">Entrées!$C$79*(1+Q742)+Hypothèses!$J$20</f>
        <v>1504.34782083273</v>
      </c>
      <c r="AT742" s="2" t="n">
        <f aca="false">AI742-AR742+AS742+Y742*1000-AO742+Hypothèses!$J$23</f>
        <v>22828.504870392</v>
      </c>
      <c r="AU742" s="2" t="n">
        <f aca="false">AT742/AQ742</f>
        <v>2.86440876858743</v>
      </c>
      <c r="AV742" s="2" t="n">
        <f aca="false">Hypothèses!$J$26*AQ742-AT742</f>
        <v>1080.62268228946</v>
      </c>
      <c r="AW742" s="2" t="n">
        <f aca="false">IF(AC742&gt;Hypothèses!$J$26,MAX(0,AV742)/(1-Hypothèses!$J$26/AC742),0)</f>
        <v>1710.76386895478</v>
      </c>
      <c r="AX742" s="2" t="n">
        <f aca="false">AQ742-Entrées!$C$17*1000</f>
        <v>-30.2908157728498</v>
      </c>
      <c r="AY742" s="2" t="n">
        <f aca="false">AI742+(Entrées!$C$244-Entrées!$C$13)</f>
        <v>28339.9605971178</v>
      </c>
      <c r="AZ742" s="2" t="n">
        <f aca="false">AA742*AH742</f>
        <v>5300.81576141489</v>
      </c>
      <c r="BA742" s="2" t="n">
        <f aca="false">AZ742/AY742</f>
        <v>0.187043864907631</v>
      </c>
      <c r="BB742" s="2" t="n">
        <f aca="false">AZ742/(Entrées!$C$151/100)-AY742</f>
        <v>1109.01585518711</v>
      </c>
      <c r="BC742" s="2" t="n">
        <f aca="false">AT742+(Entrées!$C$244-Entrées!$C$13)</f>
        <v>28575.504870392</v>
      </c>
      <c r="BD742" s="2" t="n">
        <f aca="false">AA742*AQ742</f>
        <v>5649.09109116834</v>
      </c>
      <c r="BE742" s="2" t="n">
        <f aca="false">BD742/BC742</f>
        <v>0.197689983669249</v>
      </c>
      <c r="BF742" s="2" t="n">
        <f aca="false">BD742/(Entrées!$C$151/100)-BC742</f>
        <v>2808.33452498765</v>
      </c>
      <c r="BG742" s="2" t="n">
        <f aca="false">MIN(AV742,BF742)</f>
        <v>1080.62268228946</v>
      </c>
      <c r="BH742" s="2" t="n">
        <f aca="false">IF(AC742&gt;Hypothèses!$J$26,MAX(0,BG742)/(1-Hypothèses!$J$26/AC742),0)</f>
        <v>1710.76386895478</v>
      </c>
    </row>
    <row r="743" customFormat="false" ht="15" hidden="false" customHeight="false" outlineLevel="0" collapsed="false">
      <c r="A743" s="2" t="n">
        <v>728</v>
      </c>
      <c r="B743" s="2" t="n">
        <v>0.1268939</v>
      </c>
      <c r="C743" s="2"/>
      <c r="D743" s="2" t="n">
        <v>0.197576046</v>
      </c>
      <c r="E743" s="2" t="n">
        <f aca="false">IF(E$7=E$5,E$6,IF(NORMSDIST(E$9*SQRT($C$11)*NORMSINV($B743)+SQRT(1-E$9^2*$C$11)*NORMSINV(D743))&lt;E$8,E$5+SQRT(NORMSDIST(E$9*SQRT($C$11)*NORMSINV($B743)+SQRT(1-E$9^2*$C$11)*NORMSINV(D743))*(E$7-E$5)*(E$6-E$5)),E$7-SQRT((1-NORMSDIST(E$9*SQRT($C$11)*NORMSINV($B743)+SQRT(1-E$9^2*$C$11)*NORMSINV(D743)))*(E$7-E$5)*(E$7-E$6))))</f>
        <v>0.0520461063023765</v>
      </c>
      <c r="F743" s="2" t="n">
        <v>0.621443931</v>
      </c>
      <c r="G743" s="2" t="n">
        <f aca="false">IF(G$7=G$5,G$6,IF(NORMSDIST(G$9*SQRT($C$11)*NORMSINV($B743)+SQRT(1-G$9^2*$C$11)*NORMSINV(F743))&lt;G$8,G$5+SQRT(NORMSDIST(G$9*SQRT($C$11)*NORMSINV($B743)+SQRT(1-G$9^2*$C$11)*NORMSINV(F743))*(G$7-G$5)*(G$6-G$5)),G$7-SQRT((1-NORMSDIST(G$9*SQRT($C$11)*NORMSINV($B743)+SQRT(1-G$9^2*$C$11)*NORMSINV(F743)))*(G$7-G$5)*(G$7-G$6))))</f>
        <v>0.0519027514705204</v>
      </c>
      <c r="H743" s="2" t="n">
        <v>0.277275614</v>
      </c>
      <c r="I743" s="2" t="n">
        <f aca="false">IF(I$7=I$5,I$6,IF(NORMSDIST(I$9*SQRT($C$11)*NORMSINV($B743)+SQRT(1-I$9^2*$C$11)*NORMSINV(H743))&lt;I$8,I$5+SQRT(NORMSDIST(I$9*SQRT($C$11)*NORMSINV($B743)+SQRT(1-I$9^2*$C$11)*NORMSINV(H743))*(I$7-I$5)*(I$6-I$5)),I$7-SQRT((1-NORMSDIST(I$9*SQRT($C$11)*NORMSINV($B743)+SQRT(1-I$9^2*$C$11)*NORMSINV(H743)))*(I$7-I$5)*(I$7-I$6))))</f>
        <v>189.761067775845</v>
      </c>
      <c r="J743" s="2" t="n">
        <v>0.000648417</v>
      </c>
      <c r="K743" s="2" t="n">
        <f aca="false">IF(K$7=K$5,K$6,IF(NORMSDIST(K$9*SQRT($C$11)*NORMSINV($B743)+SQRT(1-K$9^2*$C$11)*NORMSINV(J743))&lt;K$8,K$5+SQRT(NORMSDIST(K$9*SQRT($C$11)*NORMSINV($B743)+SQRT(1-K$9^2*$C$11)*NORMSINV(J743))*(K$7-K$5)*(K$6-K$5)),K$7-SQRT((1-NORMSDIST(K$9*SQRT($C$11)*NORMSINV($B743)+SQRT(1-K$9^2*$C$11)*NORMSINV(J743)))*(K$7-K$5)*(K$7-K$6))))</f>
        <v>0.00905469358049165</v>
      </c>
      <c r="L743" s="2" t="n">
        <v>0.572336162</v>
      </c>
      <c r="M743" s="2" t="n">
        <f aca="false">IF(M$7=M$5,M$6,IF(NORMSDIST(M$9*SQRT($C$11)*NORMSINV($B743)+SQRT(1-M$9^2*$C$11)*NORMSINV(L743))&lt;M$8,M$5+SQRT(NORMSDIST(M$9*SQRT($C$11)*NORMSINV($B743)+SQRT(1-M$9^2*$C$11)*NORMSINV(L743))*(M$7-M$5)*(M$6-M$5)),M$7-SQRT((1-NORMSDIST(M$9*SQRT($C$11)*NORMSINV($B743)+SQRT(1-M$9^2*$C$11)*NORMSINV(L743)))*(M$7-M$5)*(M$7-M$6))))</f>
        <v>1514.63612601701</v>
      </c>
      <c r="N743" s="2" t="n">
        <v>0.017926963</v>
      </c>
      <c r="O743" s="2" t="n">
        <f aca="false">IF(O$7=O$5,O$6,IF(NORMSDIST(O$9*SQRT($C$11)*NORMSINV($B743)+SQRT(1-O$9^2*$C$11)*NORMSINV(N743))&lt;O$8,O$5+SQRT(NORMSDIST(O$9*SQRT($C$11)*NORMSINV($B743)+SQRT(1-O$9^2*$C$11)*NORMSINV(N743))*(O$7-O$5)*(O$6-O$5)),O$7-SQRT((1-NORMSDIST(O$9*SQRT($C$11)*NORMSINV($B743)+SQRT(1-O$9^2*$C$11)*NORMSINV(N743)))*(O$7-O$5)*(O$7-O$6))))</f>
        <v>0.143683186869618</v>
      </c>
      <c r="P743" s="2" t="n">
        <v>0.479067014</v>
      </c>
      <c r="Q743" s="2" t="n">
        <f aca="false">IF(Q$7=Q$5,Q$6,IF(NORMSDIST(Q$9*SQRT($C$11)*NORMSINV($B743)+SQRT(1-Q$9^2*$C$11)*NORMSINV(P743))&lt;Q$8,Q$5+SQRT(NORMSDIST(Q$9*SQRT($C$11)*NORMSINV($B743)+SQRT(1-Q$9^2*$C$11)*NORMSINV(P743))*(Q$7-Q$5)*(Q$6-Q$5)),Q$7-SQRT((1-NORMSDIST(Q$9*SQRT($C$11)*NORMSINV($B743)+SQRT(1-Q$9^2*$C$11)*NORMSINV(P743)))*(Q$7-Q$5)*(Q$7-Q$6))))</f>
        <v>0.0791537283639758</v>
      </c>
      <c r="R743" s="2" t="n">
        <v>0.036619873</v>
      </c>
      <c r="S743" s="2" t="n">
        <f aca="false">IF(S$7=S$5,S$6,IF(NORMSDIST(S$9*SQRT($C$11)*NORMSINV($B743)+SQRT(1-S$9^2*$C$11)*NORMSINV(R743))&lt;S$8,S$5+SQRT(NORMSDIST(S$9*SQRT($C$11)*NORMSINV($B743)+SQRT(1-S$9^2*$C$11)*NORMSINV(R743))*(S$7-S$5)*(S$6-S$5)),S$7-SQRT((1-NORMSDIST(S$9*SQRT($C$11)*NORMSINV($B743)+SQRT(1-S$9^2*$C$11)*NORMSINV(R743)))*(S$7-S$5)*(S$7-S$6))))</f>
        <v>0.0934306710681131</v>
      </c>
      <c r="T743" s="2" t="n">
        <v>0.49223925</v>
      </c>
      <c r="U743" s="2" t="n">
        <f aca="false">IF(U$7=U$5,U$6,IF(NORMSDIST(U$9*SQRT($C$11)*NORMSINV($B743)+SQRT(1-U$9^2*$C$11)*NORMSINV(T743))&lt;U$8,U$5+SQRT(NORMSDIST(U$9*SQRT($C$11)*NORMSINV($B743)+SQRT(1-U$9^2*$C$11)*NORMSINV(T743))*(U$7-U$5)*(U$6-U$5)),U$7-SQRT((1-NORMSDIST(U$9*SQRT($C$11)*NORMSINV($B743)+SQRT(1-U$9^2*$C$11)*NORMSINV(T743)))*(U$7-U$5)*(U$7-U$6))))</f>
        <v>0.339568904216587</v>
      </c>
      <c r="V743" s="2" t="n">
        <v>0.016932836</v>
      </c>
      <c r="W743" s="2" t="n">
        <f aca="false">IF(W$7=W$5,W$6,IF(NORMSDIST(W$9*SQRT($C$11)*NORMSINV($B743)+SQRT(1-W$9^2*$C$11)*NORMSINV(V743))&lt;W$8,W$5+SQRT(NORMSDIST(W$9*SQRT($C$11)*NORMSINV($B743)+SQRT(1-W$9^2*$C$11)*NORMSINV(V743))*(W$7-W$5)*(W$6-W$5)),W$7-SQRT((1-NORMSDIST(W$9*SQRT($C$11)*NORMSINV($B743)+SQRT(1-W$9^2*$C$11)*NORMSINV(V743)))*(W$7-W$5)*(W$7-W$6))))</f>
        <v>8.26848217824419</v>
      </c>
      <c r="X743" s="2" t="n">
        <v>0.428446168</v>
      </c>
      <c r="Y743" s="2" t="n">
        <f aca="false">IF(Y$7=Y$5,Y$6,IF(NORMSDIST(Y$9*SQRT($C$11)*NORMSINV($B743)+SQRT(1-Y$9^2*$C$11)*NORMSINV(X743))&lt;Y$8,Y$5+SQRT(NORMSDIST(Y$9*SQRT($C$11)*NORMSINV($B743)+SQRT(1-Y$9^2*$C$11)*NORMSINV(X743))*(Y$7-Y$5)*(Y$6-Y$5)),Y$7-SQRT((1-NORMSDIST(Y$9*SQRT($C$11)*NORMSINV($B743)+SQRT(1-Y$9^2*$C$11)*NORMSINV(X743)))*(Y$7-Y$5)*(Y$7-Y$6))))</f>
        <v>0.462842396502308</v>
      </c>
      <c r="Z743" s="2" t="n">
        <v>0.796998543</v>
      </c>
      <c r="AA743" s="2" t="n">
        <f aca="false">IF(AA$7=AA$5,AA$6,IF(NORMSDIST(AA$9*SQRT($C$11)*NORMSINV($B743)+SQRT(1-AA$9^2*$C$11)*NORMSINV(Z743))&lt;AA$8,AA$5+SQRT(NORMSDIST(AA$9*SQRT($C$11)*NORMSINV($B743)+SQRT(1-AA$9^2*$C$11)*NORMSINV(Z743))*(AA$7-AA$5)*(AA$6-AA$5)),AA$7-SQRT((1-NORMSDIST(AA$9*SQRT($C$11)*NORMSINV($B743)+SQRT(1-AA$9^2*$C$11)*NORMSINV(Z743)))*(AA$7-AA$5)*(AA$7-AA$6))))</f>
        <v>0.72701610082472</v>
      </c>
      <c r="AB743" s="2" t="n">
        <v>0.61187181</v>
      </c>
      <c r="AC743" s="2" t="n">
        <f aca="false">IF(AC$7=AC$5,AC$6,IF(NORMSDIST(AC$9*SQRT($C$11)*NORMSINV($B743)+SQRT(1-AC$9^2*$C$11)*NORMSINV(AB743))&lt;AC$8,AC$5+SQRT(NORMSDIST(AC$9*SQRT($C$11)*NORMSINV($B743)+SQRT(1-AC$9^2*$C$11)*NORMSINV(AB743))*(AC$7-AC$5)*(AC$6-AC$5)),AC$7-SQRT((1-NORMSDIST(AC$9*SQRT($C$11)*NORMSINV($B743)+SQRT(1-AC$9^2*$C$11)*NORMSINV(AB743)))*(AC$7-AC$5)*(AC$7-AC$6))))</f>
        <v>9.03121191450704</v>
      </c>
      <c r="AD743" s="2" t="n">
        <f aca="false">Entrées!$C$8*(1+E743)</f>
        <v>7416.92504943175</v>
      </c>
      <c r="AE743" s="2" t="n">
        <f aca="false">I743*Hypothèses!$J$24/12/Hypothèses!$J$19</f>
        <v>94.1398583696715</v>
      </c>
      <c r="AF743" s="2" t="n">
        <f aca="false">Entrées!$C$36*S743*1000</f>
        <v>46.7153355340566</v>
      </c>
      <c r="AG743" s="2" t="n">
        <f aca="false">-AF743/W743</f>
        <v>-5.64980785191419</v>
      </c>
      <c r="AH743" s="2" t="n">
        <f aca="false">AD743+AE743+AG743</f>
        <v>7505.41509994951</v>
      </c>
      <c r="AI743" s="2" t="n">
        <f aca="false">Entrées!$C$16-M743+Hypothèses!$J$22*1000-AF743+Hypothèses!$J$23</f>
        <v>22986.6485384489</v>
      </c>
      <c r="AJ743" s="2" t="n">
        <f aca="false">AI743/AH743</f>
        <v>3.06267517949854</v>
      </c>
      <c r="AK743" s="2" t="n">
        <f aca="false">AI743/(AH743+I743*(12-Hypothèses!$J$24)/12/Hypothèses!$J$19)</f>
        <v>3.03547961307338</v>
      </c>
      <c r="AL743" s="2" t="n">
        <f aca="false">(AD743+AG743+I743/Hypothèses!$J$19)*(1+G743)</f>
        <v>7965.69963459536</v>
      </c>
      <c r="AM743" s="2" t="n">
        <f aca="false">Entrées!$C$54*K743/Hypothèses!$J$19</f>
        <v>0.924069498090724</v>
      </c>
      <c r="AN743" s="2" t="n">
        <f aca="false">Y743*1000/AC743</f>
        <v>51.2492012017605</v>
      </c>
      <c r="AO743" s="2" t="n">
        <f aca="false">(Entrées!$C$36*(1-S743)+MAX(0,Entrées!$C$30-Entrées!$C$35-Entrées!$C$36)*U743)*1000</f>
        <v>928.681130369164</v>
      </c>
      <c r="AP743" s="2" t="n">
        <f aca="false">-AO743/W743</f>
        <v>-112.31579271135</v>
      </c>
      <c r="AQ743" s="2" t="n">
        <f aca="false">AL743+AM743+AN743+AP743</f>
        <v>7905.55711258386</v>
      </c>
      <c r="AR743" s="2" t="n">
        <f aca="false">O743*AQ743-Hypothèses!$J$25/Hypothèses!$J$19</f>
        <v>1116.7604776542</v>
      </c>
      <c r="AS743" s="2" t="n">
        <f aca="false">Entrées!$C$79*(1+Q743)+Hypothèses!$J$20</f>
        <v>1480.98994747201</v>
      </c>
      <c r="AT743" s="2" t="n">
        <f aca="false">AI743-AR743+AS743+Y743*1000-AO743+Hypothèses!$J$23</f>
        <v>22885.0392743999</v>
      </c>
      <c r="AU743" s="2" t="n">
        <f aca="false">AT743/AQ743</f>
        <v>2.89480411671077</v>
      </c>
      <c r="AV743" s="2" t="n">
        <f aca="false">Hypothèses!$J$26*AQ743-AT743</f>
        <v>831.632063351684</v>
      </c>
      <c r="AW743" s="2" t="n">
        <f aca="false">IF(AC743&gt;Hypothèses!$J$26,MAX(0,AV743)/(1-Hypothèses!$J$26/AC743),0)</f>
        <v>1245.29621997898</v>
      </c>
      <c r="AX743" s="2" t="n">
        <f aca="false">AQ743-Entrées!$C$17*1000</f>
        <v>-94.442887416144</v>
      </c>
      <c r="AY743" s="2" t="n">
        <f aca="false">AI743+(Entrées!$C$244-Entrées!$C$13)</f>
        <v>28733.6485384489</v>
      </c>
      <c r="AZ743" s="2" t="n">
        <f aca="false">AA743*AH743</f>
        <v>5456.55762103627</v>
      </c>
      <c r="BA743" s="2" t="n">
        <f aca="false">AZ743/AY743</f>
        <v>0.189901314263476</v>
      </c>
      <c r="BB743" s="2" t="n">
        <f aca="false">AZ743/(Entrées!$C$151/100)-AY743</f>
        <v>1580.56046730811</v>
      </c>
      <c r="BC743" s="2" t="n">
        <f aca="false">AT743+(Entrées!$C$244-Entrées!$C$13)</f>
        <v>28632.0392743999</v>
      </c>
      <c r="BD743" s="2" t="n">
        <f aca="false">AA743*AQ743</f>
        <v>5747.46730683784</v>
      </c>
      <c r="BE743" s="2" t="n">
        <f aca="false">BD743/BC743</f>
        <v>0.200735520504007</v>
      </c>
      <c r="BF743" s="2" t="n">
        <f aca="false">BD743/(Entrées!$C$151/100)-BC743</f>
        <v>3298.33465247703</v>
      </c>
      <c r="BG743" s="2" t="n">
        <f aca="false">MIN(AV743,BF743)</f>
        <v>831.632063351684</v>
      </c>
      <c r="BH743" s="2" t="n">
        <f aca="false">IF(AC743&gt;Hypothèses!$J$26,MAX(0,BG743)/(1-Hypothèses!$J$26/AC743),0)</f>
        <v>1245.29621997898</v>
      </c>
    </row>
    <row r="744" customFormat="false" ht="15" hidden="false" customHeight="false" outlineLevel="0" collapsed="false">
      <c r="A744" s="2" t="n">
        <v>729</v>
      </c>
      <c r="B744" s="2" t="n">
        <v>0.923851619</v>
      </c>
      <c r="C744" s="2"/>
      <c r="D744" s="2" t="n">
        <v>0.088540101</v>
      </c>
      <c r="E744" s="2" t="n">
        <f aca="false">IF(E$7=E$5,E$6,IF(NORMSDIST(E$9*SQRT($C$11)*NORMSINV($B744)+SQRT(1-E$9^2*$C$11)*NORMSINV(D744))&lt;E$8,E$5+SQRT(NORMSDIST(E$9*SQRT($C$11)*NORMSINV($B744)+SQRT(1-E$9^2*$C$11)*NORMSINV(D744))*(E$7-E$5)*(E$6-E$5)),E$7-SQRT((1-NORMSDIST(E$9*SQRT($C$11)*NORMSINV($B744)+SQRT(1-E$9^2*$C$11)*NORMSINV(D744)))*(E$7-E$5)*(E$7-E$6))))</f>
        <v>0.054712994018916</v>
      </c>
      <c r="F744" s="2" t="n">
        <v>0.707381854</v>
      </c>
      <c r="G744" s="2" t="n">
        <f aca="false">IF(G$7=G$5,G$6,IF(NORMSDIST(G$9*SQRT($C$11)*NORMSINV($B744)+SQRT(1-G$9^2*$C$11)*NORMSINV(F744))&lt;G$8,G$5+SQRT(NORMSDIST(G$9*SQRT($C$11)*NORMSINV($B744)+SQRT(1-G$9^2*$C$11)*NORMSINV(F744))*(G$7-G$5)*(G$6-G$5)),G$7-SQRT((1-NORMSDIST(G$9*SQRT($C$11)*NORMSINV($B744)+SQRT(1-G$9^2*$C$11)*NORMSINV(F744)))*(G$7-G$5)*(G$7-G$6))))</f>
        <v>0.0635630439222345</v>
      </c>
      <c r="H744" s="2" t="n">
        <v>0.047480335</v>
      </c>
      <c r="I744" s="2" t="n">
        <f aca="false">IF(I$7=I$5,I$6,IF(NORMSDIST(I$9*SQRT($C$11)*NORMSINV($B744)+SQRT(1-I$9^2*$C$11)*NORMSINV(H744))&lt;I$8,I$5+SQRT(NORMSDIST(I$9*SQRT($C$11)*NORMSINV($B744)+SQRT(1-I$9^2*$C$11)*NORMSINV(H744))*(I$7-I$5)*(I$6-I$5)),I$7-SQRT((1-NORMSDIST(I$9*SQRT($C$11)*NORMSINV($B744)+SQRT(1-I$9^2*$C$11)*NORMSINV(H744)))*(I$7-I$5)*(I$7-I$6))))</f>
        <v>196.708795061069</v>
      </c>
      <c r="J744" s="2" t="n">
        <v>0.293713142</v>
      </c>
      <c r="K744" s="2" t="n">
        <f aca="false">IF(K$7=K$5,K$6,IF(NORMSDIST(K$9*SQRT($C$11)*NORMSINV($B744)+SQRT(1-K$9^2*$C$11)*NORMSINV(J744))&lt;K$8,K$5+SQRT(NORMSDIST(K$9*SQRT($C$11)*NORMSINV($B744)+SQRT(1-K$9^2*$C$11)*NORMSINV(J744))*(K$7-K$5)*(K$6-K$5)),K$7-SQRT((1-NORMSDIST(K$9*SQRT($C$11)*NORMSINV($B744)+SQRT(1-K$9^2*$C$11)*NORMSINV(J744)))*(K$7-K$5)*(K$7-K$6))))</f>
        <v>0.301942315557738</v>
      </c>
      <c r="L744" s="2" t="n">
        <v>0.670307919</v>
      </c>
      <c r="M744" s="2" t="n">
        <f aca="false">IF(M$7=M$5,M$6,IF(NORMSDIST(M$9*SQRT($C$11)*NORMSINV($B744)+SQRT(1-M$9^2*$C$11)*NORMSINV(L744))&lt;M$8,M$5+SQRT(NORMSDIST(M$9*SQRT($C$11)*NORMSINV($B744)+SQRT(1-M$9^2*$C$11)*NORMSINV(L744))*(M$7-M$5)*(M$6-M$5)),M$7-SQRT((1-NORMSDIST(M$9*SQRT($C$11)*NORMSINV($B744)+SQRT(1-M$9^2*$C$11)*NORMSINV(L744)))*(M$7-M$5)*(M$7-M$6))))</f>
        <v>1699.93253850461</v>
      </c>
      <c r="N744" s="2" t="n">
        <v>0.595944799</v>
      </c>
      <c r="O744" s="2" t="n">
        <f aca="false">IF(O$7=O$5,O$6,IF(NORMSDIST(O$9*SQRT($C$11)*NORMSINV($B744)+SQRT(1-O$9^2*$C$11)*NORMSINV(N744))&lt;O$8,O$5+SQRT(NORMSDIST(O$9*SQRT($C$11)*NORMSINV($B744)+SQRT(1-O$9^2*$C$11)*NORMSINV(N744))*(O$7-O$5)*(O$6-O$5)),O$7-SQRT((1-NORMSDIST(O$9*SQRT($C$11)*NORMSINV($B744)+SQRT(1-O$9^2*$C$11)*NORMSINV(N744)))*(O$7-O$5)*(O$7-O$6))))</f>
        <v>0.177915630334853</v>
      </c>
      <c r="P744" s="2" t="n">
        <v>0.359821411</v>
      </c>
      <c r="Q744" s="2" t="n">
        <f aca="false">IF(Q$7=Q$5,Q$6,IF(NORMSDIST(Q$9*SQRT($C$11)*NORMSINV($B744)+SQRT(1-Q$9^2*$C$11)*NORMSINV(P744))&lt;Q$8,Q$5+SQRT(NORMSDIST(Q$9*SQRT($C$11)*NORMSINV($B744)+SQRT(1-Q$9^2*$C$11)*NORMSINV(P744))*(Q$7-Q$5)*(Q$6-Q$5)),Q$7-SQRT((1-NORMSDIST(Q$9*SQRT($C$11)*NORMSINV($B744)+SQRT(1-Q$9^2*$C$11)*NORMSINV(P744)))*(Q$7-Q$5)*(Q$7-Q$6))))</f>
        <v>0.0739327056864023</v>
      </c>
      <c r="R744" s="2" t="n">
        <v>0.535376497</v>
      </c>
      <c r="S744" s="2" t="n">
        <f aca="false">IF(S$7=S$5,S$6,IF(NORMSDIST(S$9*SQRT($C$11)*NORMSINV($B744)+SQRT(1-S$9^2*$C$11)*NORMSINV(R744))&lt;S$8,S$5+SQRT(NORMSDIST(S$9*SQRT($C$11)*NORMSINV($B744)+SQRT(1-S$9^2*$C$11)*NORMSINV(R744))*(S$7-S$5)*(S$6-S$5)),S$7-SQRT((1-NORMSDIST(S$9*SQRT($C$11)*NORMSINV($B744)+SQRT(1-S$9^2*$C$11)*NORMSINV(R744)))*(S$7-S$5)*(S$7-S$6))))</f>
        <v>0.712772468017267</v>
      </c>
      <c r="T744" s="2" t="n">
        <v>0.900210709</v>
      </c>
      <c r="U744" s="2" t="n">
        <f aca="false">IF(U$7=U$5,U$6,IF(NORMSDIST(U$9*SQRT($C$11)*NORMSINV($B744)+SQRT(1-U$9^2*$C$11)*NORMSINV(T744))&lt;U$8,U$5+SQRT(NORMSDIST(U$9*SQRT($C$11)*NORMSINV($B744)+SQRT(1-U$9^2*$C$11)*NORMSINV(T744))*(U$7-U$5)*(U$6-U$5)),U$7-SQRT((1-NORMSDIST(U$9*SQRT($C$11)*NORMSINV($B744)+SQRT(1-U$9^2*$C$11)*NORMSINV(T744)))*(U$7-U$5)*(U$7-U$6))))</f>
        <v>0.880030811872141</v>
      </c>
      <c r="V744" s="2" t="n">
        <v>0.454846733</v>
      </c>
      <c r="W744" s="2" t="n">
        <f aca="false">IF(W$7=W$5,W$6,IF(NORMSDIST(W$9*SQRT($C$11)*NORMSINV($B744)+SQRT(1-W$9^2*$C$11)*NORMSINV(V744))&lt;W$8,W$5+SQRT(NORMSDIST(W$9*SQRT($C$11)*NORMSINV($B744)+SQRT(1-W$9^2*$C$11)*NORMSINV(V744))*(W$7-W$5)*(W$6-W$5)),W$7-SQRT((1-NORMSDIST(W$9*SQRT($C$11)*NORMSINV($B744)+SQRT(1-W$9^2*$C$11)*NORMSINV(V744)))*(W$7-W$5)*(W$7-W$6))))</f>
        <v>10.7136806715002</v>
      </c>
      <c r="X744" s="2" t="n">
        <v>0.347389321</v>
      </c>
      <c r="Y744" s="2" t="n">
        <f aca="false">IF(Y$7=Y$5,Y$6,IF(NORMSDIST(Y$9*SQRT($C$11)*NORMSINV($B744)+SQRT(1-Y$9^2*$C$11)*NORMSINV(X744))&lt;Y$8,Y$5+SQRT(NORMSDIST(Y$9*SQRT($C$11)*NORMSINV($B744)+SQRT(1-Y$9^2*$C$11)*NORMSINV(X744))*(Y$7-Y$5)*(Y$6-Y$5)),Y$7-SQRT((1-NORMSDIST(Y$9*SQRT($C$11)*NORMSINV($B744)+SQRT(1-Y$9^2*$C$11)*NORMSINV(X744)))*(Y$7-Y$5)*(Y$7-Y$6))))</f>
        <v>0.41676691387393</v>
      </c>
      <c r="Z744" s="2" t="n">
        <v>0.878815409</v>
      </c>
      <c r="AA744" s="2" t="n">
        <f aca="false">IF(AA$7=AA$5,AA$6,IF(NORMSDIST(AA$9*SQRT($C$11)*NORMSINV($B744)+SQRT(1-AA$9^2*$C$11)*NORMSINV(Z744))&lt;AA$8,AA$5+SQRT(NORMSDIST(AA$9*SQRT($C$11)*NORMSINV($B744)+SQRT(1-AA$9^2*$C$11)*NORMSINV(Z744))*(AA$7-AA$5)*(AA$6-AA$5)),AA$7-SQRT((1-NORMSDIST(AA$9*SQRT($C$11)*NORMSINV($B744)+SQRT(1-AA$9^2*$C$11)*NORMSINV(Z744)))*(AA$7-AA$5)*(AA$7-AA$6))))</f>
        <v>0.747156803906927</v>
      </c>
      <c r="AB744" s="2" t="n">
        <v>0.821801054</v>
      </c>
      <c r="AC744" s="2" t="n">
        <f aca="false">IF(AC$7=AC$5,AC$6,IF(NORMSDIST(AC$9*SQRT($C$11)*NORMSINV($B744)+SQRT(1-AC$9^2*$C$11)*NORMSINV(AB744))&lt;AC$8,AC$5+SQRT(NORMSDIST(AC$9*SQRT($C$11)*NORMSINV($B744)+SQRT(1-AC$9^2*$C$11)*NORMSINV(AB744))*(AC$7-AC$5)*(AC$6-AC$5)),AC$7-SQRT((1-NORMSDIST(AC$9*SQRT($C$11)*NORMSINV($B744)+SQRT(1-AC$9^2*$C$11)*NORMSINV(AB744)))*(AC$7-AC$5)*(AC$7-AC$6))))</f>
        <v>10.5230975030346</v>
      </c>
      <c r="AD744" s="2" t="n">
        <f aca="false">Entrées!$C$8*(1+E744)</f>
        <v>7435.72660783336</v>
      </c>
      <c r="AE744" s="2" t="n">
        <f aca="false">I744*Hypothèses!$J$24/12/Hypothèses!$J$19</f>
        <v>97.5866036388053</v>
      </c>
      <c r="AF744" s="2" t="n">
        <f aca="false">Entrées!$C$36*S744*1000</f>
        <v>356.386234008634</v>
      </c>
      <c r="AG744" s="2" t="n">
        <f aca="false">-AF744/W744</f>
        <v>-33.2645936476965</v>
      </c>
      <c r="AH744" s="2" t="n">
        <f aca="false">AD744+AE744+AG744</f>
        <v>7500.04861782447</v>
      </c>
      <c r="AI744" s="2" t="n">
        <f aca="false">Entrées!$C$16-M744+Hypothèses!$J$22*1000-AF744+Hypothèses!$J$23</f>
        <v>22491.6812274868</v>
      </c>
      <c r="AJ744" s="2" t="n">
        <f aca="false">AI744/AH744</f>
        <v>2.99887139051785</v>
      </c>
      <c r="AK744" s="2" t="n">
        <f aca="false">AI744/(AH744+I744*(12-Hypothèses!$J$24)/12/Hypothèses!$J$19)</f>
        <v>2.97125682079447</v>
      </c>
      <c r="AL744" s="2" t="n">
        <f aca="false">(AD744+AG744+I744/Hypothèses!$J$19)*(1+G744)</f>
        <v>8050.90989840394</v>
      </c>
      <c r="AM744" s="2" t="n">
        <f aca="false">Entrées!$C$54*K744/Hypothèses!$J$19</f>
        <v>30.8144810765247</v>
      </c>
      <c r="AN744" s="2" t="n">
        <f aca="false">Y744*1000/AC744</f>
        <v>39.6049655297546</v>
      </c>
      <c r="AO744" s="2" t="n">
        <f aca="false">(Entrées!$C$36*(1-S744)+MAX(0,Entrées!$C$30-Entrées!$C$35-Entrées!$C$36)*U744)*1000</f>
        <v>1375.65690261236</v>
      </c>
      <c r="AP744" s="2" t="n">
        <f aca="false">-AO744/W744</f>
        <v>-128.401895183585</v>
      </c>
      <c r="AQ744" s="2" t="n">
        <f aca="false">AL744+AM744+AN744+AP744</f>
        <v>7992.92744982663</v>
      </c>
      <c r="AR744" s="2" t="n">
        <f aca="false">O744*AQ744-Hypothèses!$J$25/Hypothèses!$J$19</f>
        <v>1402.93156319503</v>
      </c>
      <c r="AS744" s="2" t="n">
        <f aca="false">Entrées!$C$79*(1+Q744)+Hypothèses!$J$20</f>
        <v>1475.25204354936</v>
      </c>
      <c r="AT744" s="2" t="n">
        <f aca="false">AI744-AR744+AS744+Y744*1000-AO744+Hypothèses!$J$23</f>
        <v>21605.1117191026</v>
      </c>
      <c r="AU744" s="2" t="n">
        <f aca="false">AT744/AQ744</f>
        <v>2.70302862808685</v>
      </c>
      <c r="AV744" s="2" t="n">
        <f aca="false">Hypothèses!$J$26*AQ744-AT744</f>
        <v>2373.67063037726</v>
      </c>
      <c r="AW744" s="2" t="n">
        <f aca="false">IF(AC744&gt;Hypothèses!$J$26,MAX(0,AV744)/(1-Hypothèses!$J$26/AC744),0)</f>
        <v>3320.22381385778</v>
      </c>
      <c r="AX744" s="2" t="n">
        <f aca="false">AQ744-Entrées!$C$17*1000</f>
        <v>-7.07255017336775</v>
      </c>
      <c r="AY744" s="2" t="n">
        <f aca="false">AI744+(Entrées!$C$244-Entrées!$C$13)</f>
        <v>28238.6812274868</v>
      </c>
      <c r="AZ744" s="2" t="n">
        <f aca="false">AA744*AH744</f>
        <v>5603.71235444029</v>
      </c>
      <c r="BA744" s="2" t="n">
        <f aca="false">AZ744/AY744</f>
        <v>0.198441007542016</v>
      </c>
      <c r="BB744" s="2" t="n">
        <f aca="false">AZ744/(Entrées!$C$151/100)-AY744</f>
        <v>2893.05407495932</v>
      </c>
      <c r="BC744" s="2" t="n">
        <f aca="false">AT744+(Entrées!$C$244-Entrées!$C$13)</f>
        <v>27352.1117191026</v>
      </c>
      <c r="BD744" s="2" t="n">
        <f aca="false">AA744*AQ744</f>
        <v>5971.97012727241</v>
      </c>
      <c r="BE744" s="2" t="n">
        <f aca="false">BD744/BC744</f>
        <v>0.218336711571034</v>
      </c>
      <c r="BF744" s="2" t="n">
        <f aca="false">BD744/(Entrées!$C$151/100)-BC744</f>
        <v>5825.50009907741</v>
      </c>
      <c r="BG744" s="2" t="n">
        <f aca="false">MIN(AV744,BF744)</f>
        <v>2373.67063037726</v>
      </c>
      <c r="BH744" s="2" t="n">
        <f aca="false">IF(AC744&gt;Hypothèses!$J$26,MAX(0,BG744)/(1-Hypothèses!$J$26/AC744),0)</f>
        <v>3320.22381385778</v>
      </c>
    </row>
    <row r="745" customFormat="false" ht="15" hidden="false" customHeight="false" outlineLevel="0" collapsed="false">
      <c r="A745" s="2" t="n">
        <v>730</v>
      </c>
      <c r="B745" s="2" t="n">
        <v>0.524970155</v>
      </c>
      <c r="C745" s="2"/>
      <c r="D745" s="2" t="n">
        <v>0.781869639</v>
      </c>
      <c r="E745" s="2" t="n">
        <f aca="false">IF(E$7=E$5,E$6,IF(NORMSDIST(E$9*SQRT($C$11)*NORMSINV($B745)+SQRT(1-E$9^2*$C$11)*NORMSINV(D745))&lt;E$8,E$5+SQRT(NORMSDIST(E$9*SQRT($C$11)*NORMSINV($B745)+SQRT(1-E$9^2*$C$11)*NORMSINV(D745))*(E$7-E$5)*(E$6-E$5)),E$7-SQRT((1-NORMSDIST(E$9*SQRT($C$11)*NORMSINV($B745)+SQRT(1-E$9^2*$C$11)*NORMSINV(D745)))*(E$7-E$5)*(E$7-E$6))))</f>
        <v>0.0563928919076491</v>
      </c>
      <c r="F745" s="2" t="n">
        <v>0.797938124</v>
      </c>
      <c r="G745" s="2" t="n">
        <f aca="false">IF(G$7=G$5,G$6,IF(NORMSDIST(G$9*SQRT($C$11)*NORMSINV($B745)+SQRT(1-G$9^2*$C$11)*NORMSINV(F745))&lt;G$8,G$5+SQRT(NORMSDIST(G$9*SQRT($C$11)*NORMSINV($B745)+SQRT(1-G$9^2*$C$11)*NORMSINV(F745))*(G$7-G$5)*(G$6-G$5)),G$7-SQRT((1-NORMSDIST(G$9*SQRT($C$11)*NORMSINV($B745)+SQRT(1-G$9^2*$C$11)*NORMSINV(F745)))*(G$7-G$5)*(G$7-G$6))))</f>
        <v>0.059469903966473</v>
      </c>
      <c r="H745" s="2" t="n">
        <v>0.292823115</v>
      </c>
      <c r="I745" s="2" t="n">
        <f aca="false">IF(I$7=I$5,I$6,IF(NORMSDIST(I$9*SQRT($C$11)*NORMSINV($B745)+SQRT(1-I$9^2*$C$11)*NORMSINV(H745))&lt;I$8,I$5+SQRT(NORMSDIST(I$9*SQRT($C$11)*NORMSINV($B745)+SQRT(1-I$9^2*$C$11)*NORMSINV(H745))*(I$7-I$5)*(I$6-I$5)),I$7-SQRT((1-NORMSDIST(I$9*SQRT($C$11)*NORMSINV($B745)+SQRT(1-I$9^2*$C$11)*NORMSINV(H745)))*(I$7-I$5)*(I$7-I$6))))</f>
        <v>196.756715383534</v>
      </c>
      <c r="J745" s="2" t="n">
        <v>0.949428349</v>
      </c>
      <c r="K745" s="2" t="n">
        <f aca="false">IF(K$7=K$5,K$6,IF(NORMSDIST(K$9*SQRT($C$11)*NORMSINV($B745)+SQRT(1-K$9^2*$C$11)*NORMSINV(J745))&lt;K$8,K$5+SQRT(NORMSDIST(K$9*SQRT($C$11)*NORMSINV($B745)+SQRT(1-K$9^2*$C$11)*NORMSINV(J745))*(K$7-K$5)*(K$6-K$5)),K$7-SQRT((1-NORMSDIST(K$9*SQRT($C$11)*NORMSINV($B745)+SQRT(1-K$9^2*$C$11)*NORMSINV(J745)))*(K$7-K$5)*(K$7-K$6))))</f>
        <v>0.39091669261479</v>
      </c>
      <c r="L745" s="2" t="n">
        <v>0.835799875</v>
      </c>
      <c r="M745" s="2" t="n">
        <f aca="false">IF(M$7=M$5,M$6,IF(NORMSDIST(M$9*SQRT($C$11)*NORMSINV($B745)+SQRT(1-M$9^2*$C$11)*NORMSINV(L745))&lt;M$8,M$5+SQRT(NORMSDIST(M$9*SQRT($C$11)*NORMSINV($B745)+SQRT(1-M$9^2*$C$11)*NORMSINV(L745))*(M$7-M$5)*(M$6-M$5)),M$7-SQRT((1-NORMSDIST(M$9*SQRT($C$11)*NORMSINV($B745)+SQRT(1-M$9^2*$C$11)*NORMSINV(L745)))*(M$7-M$5)*(M$7-M$6))))</f>
        <v>1661.73532518734</v>
      </c>
      <c r="N745" s="2" t="n">
        <v>0.318124085</v>
      </c>
      <c r="O745" s="2" t="n">
        <f aca="false">IF(O$7=O$5,O$6,IF(NORMSDIST(O$9*SQRT($C$11)*NORMSINV($B745)+SQRT(1-O$9^2*$C$11)*NORMSINV(N745))&lt;O$8,O$5+SQRT(NORMSDIST(O$9*SQRT($C$11)*NORMSINV($B745)+SQRT(1-O$9^2*$C$11)*NORMSINV(N745))*(O$7-O$5)*(O$6-O$5)),O$7-SQRT((1-NORMSDIST(O$9*SQRT($C$11)*NORMSINV($B745)+SQRT(1-O$9^2*$C$11)*NORMSINV(N745)))*(O$7-O$5)*(O$7-O$6))))</f>
        <v>0.163101044216223</v>
      </c>
      <c r="P745" s="2" t="n">
        <v>0.736150259</v>
      </c>
      <c r="Q745" s="2" t="n">
        <f aca="false">IF(Q$7=Q$5,Q$6,IF(NORMSDIST(Q$9*SQRT($C$11)*NORMSINV($B745)+SQRT(1-Q$9^2*$C$11)*NORMSINV(P745))&lt;Q$8,Q$5+SQRT(NORMSDIST(Q$9*SQRT($C$11)*NORMSINV($B745)+SQRT(1-Q$9^2*$C$11)*NORMSINV(P745))*(Q$7-Q$5)*(Q$6-Q$5)),Q$7-SQRT((1-NORMSDIST(Q$9*SQRT($C$11)*NORMSINV($B745)+SQRT(1-Q$9^2*$C$11)*NORMSINV(P745)))*(Q$7-Q$5)*(Q$7-Q$6))))</f>
        <v>0.090942829263674</v>
      </c>
      <c r="R745" s="2" t="n">
        <v>0.046814861</v>
      </c>
      <c r="S745" s="2" t="n">
        <f aca="false">IF(S$7=S$5,S$6,IF(NORMSDIST(S$9*SQRT($C$11)*NORMSINV($B745)+SQRT(1-S$9^2*$C$11)*NORMSINV(R745))&lt;S$8,S$5+SQRT(NORMSDIST(S$9*SQRT($C$11)*NORMSINV($B745)+SQRT(1-S$9^2*$C$11)*NORMSINV(R745))*(S$7-S$5)*(S$6-S$5)),S$7-SQRT((1-NORMSDIST(S$9*SQRT($C$11)*NORMSINV($B745)+SQRT(1-S$9^2*$C$11)*NORMSINV(R745)))*(S$7-S$5)*(S$7-S$6))))</f>
        <v>0.228043529171386</v>
      </c>
      <c r="T745" s="2" t="n">
        <v>0.220069828</v>
      </c>
      <c r="U745" s="2" t="n">
        <f aca="false">IF(U$7=U$5,U$6,IF(NORMSDIST(U$9*SQRT($C$11)*NORMSINV($B745)+SQRT(1-U$9^2*$C$11)*NORMSINV(T745))&lt;U$8,U$5+SQRT(NORMSDIST(U$9*SQRT($C$11)*NORMSINV($B745)+SQRT(1-U$9^2*$C$11)*NORMSINV(T745))*(U$7-U$5)*(U$6-U$5)),U$7-SQRT((1-NORMSDIST(U$9*SQRT($C$11)*NORMSINV($B745)+SQRT(1-U$9^2*$C$11)*NORMSINV(T745)))*(U$7-U$5)*(U$7-U$6))))</f>
        <v>0.379674085879969</v>
      </c>
      <c r="V745" s="2" t="n">
        <v>0.124214495</v>
      </c>
      <c r="W745" s="2" t="n">
        <f aca="false">IF(W$7=W$5,W$6,IF(NORMSDIST(W$9*SQRT($C$11)*NORMSINV($B745)+SQRT(1-W$9^2*$C$11)*NORMSINV(V745))&lt;W$8,W$5+SQRT(NORMSDIST(W$9*SQRT($C$11)*NORMSINV($B745)+SQRT(1-W$9^2*$C$11)*NORMSINV(V745))*(W$7-W$5)*(W$6-W$5)),W$7-SQRT((1-NORMSDIST(W$9*SQRT($C$11)*NORMSINV($B745)+SQRT(1-W$9^2*$C$11)*NORMSINV(V745)))*(W$7-W$5)*(W$7-W$6))))</f>
        <v>9.25360185383113</v>
      </c>
      <c r="X745" s="2" t="n">
        <v>0.231383208</v>
      </c>
      <c r="Y745" s="2" t="n">
        <f aca="false">IF(Y$7=Y$5,Y$6,IF(NORMSDIST(Y$9*SQRT($C$11)*NORMSINV($B745)+SQRT(1-Y$9^2*$C$11)*NORMSINV(X745))&lt;Y$8,Y$5+SQRT(NORMSDIST(Y$9*SQRT($C$11)*NORMSINV($B745)+SQRT(1-Y$9^2*$C$11)*NORMSINV(X745))*(Y$7-Y$5)*(Y$6-Y$5)),Y$7-SQRT((1-NORMSDIST(Y$9*SQRT($C$11)*NORMSINV($B745)+SQRT(1-Y$9^2*$C$11)*NORMSINV(X745)))*(Y$7-Y$5)*(Y$7-Y$6))))</f>
        <v>0.340134685088128</v>
      </c>
      <c r="Z745" s="2" t="n">
        <v>0.50443409</v>
      </c>
      <c r="AA745" s="2" t="n">
        <f aca="false">IF(AA$7=AA$5,AA$6,IF(NORMSDIST(AA$9*SQRT($C$11)*NORMSINV($B745)+SQRT(1-AA$9^2*$C$11)*NORMSINV(Z745))&lt;AA$8,AA$5+SQRT(NORMSDIST(AA$9*SQRT($C$11)*NORMSINV($B745)+SQRT(1-AA$9^2*$C$11)*NORMSINV(Z745))*(AA$7-AA$5)*(AA$6-AA$5)),AA$7-SQRT((1-NORMSDIST(AA$9*SQRT($C$11)*NORMSINV($B745)+SQRT(1-AA$9^2*$C$11)*NORMSINV(Z745)))*(AA$7-AA$5)*(AA$7-AA$6))))</f>
        <v>0.728674883214016</v>
      </c>
      <c r="AB745" s="2" t="n">
        <v>0.24987387</v>
      </c>
      <c r="AC745" s="2" t="n">
        <f aca="false">IF(AC$7=AC$5,AC$6,IF(NORMSDIST(AC$9*SQRT($C$11)*NORMSINV($B745)+SQRT(1-AC$9^2*$C$11)*NORMSINV(AB745))&lt;AC$8,AC$5+SQRT(NORMSDIST(AC$9*SQRT($C$11)*NORMSINV($B745)+SQRT(1-AC$9^2*$C$11)*NORMSINV(AB745))*(AC$7-AC$5)*(AC$6-AC$5)),AC$7-SQRT((1-NORMSDIST(AC$9*SQRT($C$11)*NORMSINV($B745)+SQRT(1-AC$9^2*$C$11)*NORMSINV(AB745)))*(AC$7-AC$5)*(AC$7-AC$6))))</f>
        <v>9.0484003741987</v>
      </c>
      <c r="AD745" s="2" t="n">
        <f aca="false">Entrées!$C$8*(1+E745)</f>
        <v>7447.56988794893</v>
      </c>
      <c r="AE745" s="2" t="n">
        <f aca="false">I745*Hypothèses!$J$24/12/Hypothèses!$J$19</f>
        <v>97.6103767574052</v>
      </c>
      <c r="AF745" s="2" t="n">
        <f aca="false">Entrées!$C$36*S745*1000</f>
        <v>114.021764585693</v>
      </c>
      <c r="AG745" s="2" t="n">
        <f aca="false">-AF745/W745</f>
        <v>-12.321879240837</v>
      </c>
      <c r="AH745" s="2" t="n">
        <f aca="false">AD745+AE745+AG745</f>
        <v>7532.85838546549</v>
      </c>
      <c r="AI745" s="2" t="n">
        <f aca="false">Entrées!$C$16-M745+Hypothèses!$J$22*1000-AF745+Hypothèses!$J$23</f>
        <v>22772.242910227</v>
      </c>
      <c r="AJ745" s="2" t="n">
        <f aca="false">AI745/AH745</f>
        <v>3.02305469516931</v>
      </c>
      <c r="AK745" s="2" t="n">
        <f aca="false">AI745/(AH745+I745*(12-Hypothèses!$J$24)/12/Hypothèses!$J$19)</f>
        <v>2.99533088256449</v>
      </c>
      <c r="AL745" s="2" t="n">
        <f aca="false">(AD745+AG745+I745/Hypothèses!$J$19)*(1+G745)</f>
        <v>8054.70479059167</v>
      </c>
      <c r="AM745" s="2" t="n">
        <f aca="false">Entrées!$C$54*K745/Hypothèses!$J$19</f>
        <v>39.8946898344649</v>
      </c>
      <c r="AN745" s="2" t="n">
        <f aca="false">Y745*1000/AC745</f>
        <v>37.5905873990738</v>
      </c>
      <c r="AO745" s="2" t="n">
        <f aca="false">(Entrées!$C$36*(1-S745)+MAX(0,Entrées!$C$30-Entrées!$C$35-Entrées!$C$36)*U745)*1000</f>
        <v>917.521955646264</v>
      </c>
      <c r="AP745" s="2" t="n">
        <f aca="false">-AO745/W745</f>
        <v>-99.1529536432774</v>
      </c>
      <c r="AQ745" s="2" t="n">
        <f aca="false">AL745+AM745+AN745+AP745</f>
        <v>8033.03711418193</v>
      </c>
      <c r="AR745" s="2" t="n">
        <f aca="false">O745*AQ745-Hypothèses!$J$25/Hypothèses!$J$19</f>
        <v>1291.06157928912</v>
      </c>
      <c r="AS745" s="2" t="n">
        <f aca="false">Entrées!$C$79*(1+Q745)+Hypothèses!$J$20</f>
        <v>1493.94616936078</v>
      </c>
      <c r="AT745" s="2" t="n">
        <f aca="false">AI745-AR745+AS745+Y745*1000-AO745+Hypothèses!$J$23</f>
        <v>22397.7402297405</v>
      </c>
      <c r="AU745" s="2" t="n">
        <f aca="false">AT745/AQ745</f>
        <v>2.7882032550551</v>
      </c>
      <c r="AV745" s="2" t="n">
        <f aca="false">Hypothèses!$J$26*AQ745-AT745</f>
        <v>1701.3711128053</v>
      </c>
      <c r="AW745" s="2" t="n">
        <f aca="false">IF(AC745&gt;Hypothèses!$J$26,MAX(0,AV745)/(1-Hypothèses!$J$26/AC745),0)</f>
        <v>2545.24933227455</v>
      </c>
      <c r="AX745" s="2" t="n">
        <f aca="false">AQ745-Entrées!$C$17*1000</f>
        <v>33.0371141819287</v>
      </c>
      <c r="AY745" s="2" t="n">
        <f aca="false">AI745+(Entrées!$C$244-Entrées!$C$13)</f>
        <v>28519.242910227</v>
      </c>
      <c r="AZ745" s="2" t="n">
        <f aca="false">AA745*AH745</f>
        <v>5489.00470429679</v>
      </c>
      <c r="BA745" s="2" t="n">
        <f aca="false">AZ745/AY745</f>
        <v>0.192466704728983</v>
      </c>
      <c r="BB745" s="2" t="n">
        <f aca="false">AZ745/(Entrées!$C$151/100)-AY745</f>
        <v>1975.22766919964</v>
      </c>
      <c r="BC745" s="2" t="n">
        <f aca="false">AT745+(Entrées!$C$244-Entrées!$C$13)</f>
        <v>28144.7402297405</v>
      </c>
      <c r="BD745" s="2" t="n">
        <f aca="false">AA745*AQ745</f>
        <v>5853.47238103037</v>
      </c>
      <c r="BE745" s="2" t="n">
        <f aca="false">BD745/BC745</f>
        <v>0.207977488271326</v>
      </c>
      <c r="BF745" s="2" t="n">
        <f aca="false">BD745/(Entrées!$C$151/100)-BC745</f>
        <v>4374.55077598381</v>
      </c>
      <c r="BG745" s="2" t="n">
        <f aca="false">MIN(AV745,BF745)</f>
        <v>1701.3711128053</v>
      </c>
      <c r="BH745" s="2" t="n">
        <f aca="false">IF(AC745&gt;Hypothèses!$J$26,MAX(0,BG745)/(1-Hypothèses!$J$26/AC745),0)</f>
        <v>2545.24933227455</v>
      </c>
    </row>
    <row r="746" customFormat="false" ht="15" hidden="false" customHeight="false" outlineLevel="0" collapsed="false">
      <c r="A746" s="2" t="n">
        <v>731</v>
      </c>
      <c r="B746" s="2" t="n">
        <v>0.892576235</v>
      </c>
      <c r="C746" s="2"/>
      <c r="D746" s="2" t="n">
        <v>0.348549708</v>
      </c>
      <c r="E746" s="2" t="n">
        <f aca="false">IF(E$7=E$5,E$6,IF(NORMSDIST(E$9*SQRT($C$11)*NORMSINV($B746)+SQRT(1-E$9^2*$C$11)*NORMSINV(D746))&lt;E$8,E$5+SQRT(NORMSDIST(E$9*SQRT($C$11)*NORMSINV($B746)+SQRT(1-E$9^2*$C$11)*NORMSINV(D746))*(E$7-E$5)*(E$6-E$5)),E$7-SQRT((1-NORMSDIST(E$9*SQRT($C$11)*NORMSINV($B746)+SQRT(1-E$9^2*$C$11)*NORMSINV(D746)))*(E$7-E$5)*(E$7-E$6))))</f>
        <v>0.0560341335355733</v>
      </c>
      <c r="F746" s="2" t="n">
        <v>0.188952542</v>
      </c>
      <c r="G746" s="2" t="n">
        <f aca="false">IF(G$7=G$5,G$6,IF(NORMSDIST(G$9*SQRT($C$11)*NORMSINV($B746)+SQRT(1-G$9^2*$C$11)*NORMSINV(F746))&lt;G$8,G$5+SQRT(NORMSDIST(G$9*SQRT($C$11)*NORMSINV($B746)+SQRT(1-G$9^2*$C$11)*NORMSINV(F746))*(G$7-G$5)*(G$6-G$5)),G$7-SQRT((1-NORMSDIST(G$9*SQRT($C$11)*NORMSINV($B746)+SQRT(1-G$9^2*$C$11)*NORMSINV(F746)))*(G$7-G$5)*(G$7-G$6))))</f>
        <v>0.0556188337042633</v>
      </c>
      <c r="H746" s="2" t="n">
        <v>0.051963866</v>
      </c>
      <c r="I746" s="2" t="n">
        <f aca="false">IF(I$7=I$5,I$6,IF(NORMSDIST(I$9*SQRT($C$11)*NORMSINV($B746)+SQRT(1-I$9^2*$C$11)*NORMSINV(H746))&lt;I$8,I$5+SQRT(NORMSDIST(I$9*SQRT($C$11)*NORMSINV($B746)+SQRT(1-I$9^2*$C$11)*NORMSINV(H746))*(I$7-I$5)*(I$6-I$5)),I$7-SQRT((1-NORMSDIST(I$9*SQRT($C$11)*NORMSINV($B746)+SQRT(1-I$9^2*$C$11)*NORMSINV(H746)))*(I$7-I$5)*(I$7-I$6))))</f>
        <v>195.933715611751</v>
      </c>
      <c r="J746" s="2" t="n">
        <v>0.174897904</v>
      </c>
      <c r="K746" s="2" t="n">
        <f aca="false">IF(K$7=K$5,K$6,IF(NORMSDIST(K$9*SQRT($C$11)*NORMSINV($B746)+SQRT(1-K$9^2*$C$11)*NORMSINV(J746))&lt;K$8,K$5+SQRT(NORMSDIST(K$9*SQRT($C$11)*NORMSINV($B746)+SQRT(1-K$9^2*$C$11)*NORMSINV(J746))*(K$7-K$5)*(K$6-K$5)),K$7-SQRT((1-NORMSDIST(K$9*SQRT($C$11)*NORMSINV($B746)+SQRT(1-K$9^2*$C$11)*NORMSINV(J746)))*(K$7-K$5)*(K$7-K$6))))</f>
        <v>0.256076999009371</v>
      </c>
      <c r="L746" s="2" t="n">
        <v>0.142981103</v>
      </c>
      <c r="M746" s="2" t="n">
        <f aca="false">IF(M$7=M$5,M$6,IF(NORMSDIST(M$9*SQRT($C$11)*NORMSINV($B746)+SQRT(1-M$9^2*$C$11)*NORMSINV(L746))&lt;M$8,M$5+SQRT(NORMSDIST(M$9*SQRT($C$11)*NORMSINV($B746)+SQRT(1-M$9^2*$C$11)*NORMSINV(L746))*(M$7-M$5)*(M$6-M$5)),M$7-SQRT((1-NORMSDIST(M$9*SQRT($C$11)*NORMSINV($B746)+SQRT(1-M$9^2*$C$11)*NORMSINV(L746)))*(M$7-M$5)*(M$7-M$6))))</f>
        <v>1580.57915382431</v>
      </c>
      <c r="N746" s="2" t="n">
        <v>0.265880907</v>
      </c>
      <c r="O746" s="2" t="n">
        <f aca="false">IF(O$7=O$5,O$6,IF(NORMSDIST(O$9*SQRT($C$11)*NORMSINV($B746)+SQRT(1-O$9^2*$C$11)*NORMSINV(N746))&lt;O$8,O$5+SQRT(NORMSDIST(O$9*SQRT($C$11)*NORMSINV($B746)+SQRT(1-O$9^2*$C$11)*NORMSINV(N746))*(O$7-O$5)*(O$6-O$5)),O$7-SQRT((1-NORMSDIST(O$9*SQRT($C$11)*NORMSINV($B746)+SQRT(1-O$9^2*$C$11)*NORMSINV(N746)))*(O$7-O$5)*(O$7-O$6))))</f>
        <v>0.169826855824941</v>
      </c>
      <c r="P746" s="2" t="n">
        <v>0.761030607</v>
      </c>
      <c r="Q746" s="2" t="n">
        <f aca="false">IF(Q$7=Q$5,Q$6,IF(NORMSDIST(Q$9*SQRT($C$11)*NORMSINV($B746)+SQRT(1-Q$9^2*$C$11)*NORMSINV(P746))&lt;Q$8,Q$5+SQRT(NORMSDIST(Q$9*SQRT($C$11)*NORMSINV($B746)+SQRT(1-Q$9^2*$C$11)*NORMSINV(P746))*(Q$7-Q$5)*(Q$6-Q$5)),Q$7-SQRT((1-NORMSDIST(Q$9*SQRT($C$11)*NORMSINV($B746)+SQRT(1-Q$9^2*$C$11)*NORMSINV(P746)))*(Q$7-Q$5)*(Q$7-Q$6))))</f>
        <v>0.0923467532177504</v>
      </c>
      <c r="R746" s="2" t="n">
        <v>0.007874103</v>
      </c>
      <c r="S746" s="2" t="n">
        <f aca="false">IF(S$7=S$5,S$6,IF(NORMSDIST(S$9*SQRT($C$11)*NORMSINV($B746)+SQRT(1-S$9^2*$C$11)*NORMSINV(R746))&lt;S$8,S$5+SQRT(NORMSDIST(S$9*SQRT($C$11)*NORMSINV($B746)+SQRT(1-S$9^2*$C$11)*NORMSINV(R746))*(S$7-S$5)*(S$6-S$5)),S$7-SQRT((1-NORMSDIST(S$9*SQRT($C$11)*NORMSINV($B746)+SQRT(1-S$9^2*$C$11)*NORMSINV(R746)))*(S$7-S$5)*(S$7-S$6))))</f>
        <v>0.263390934037394</v>
      </c>
      <c r="T746" s="2" t="n">
        <v>0.32572991</v>
      </c>
      <c r="U746" s="2" t="n">
        <f aca="false">IF(U$7=U$5,U$6,IF(NORMSDIST(U$9*SQRT($C$11)*NORMSINV($B746)+SQRT(1-U$9^2*$C$11)*NORMSINV(T746))&lt;U$8,U$5+SQRT(NORMSDIST(U$9*SQRT($C$11)*NORMSINV($B746)+SQRT(1-U$9^2*$C$11)*NORMSINV(T746))*(U$7-U$5)*(U$6-U$5)),U$7-SQRT((1-NORMSDIST(U$9*SQRT($C$11)*NORMSINV($B746)+SQRT(1-U$9^2*$C$11)*NORMSINV(T746)))*(U$7-U$5)*(U$7-U$6))))</f>
        <v>0.59260328108932</v>
      </c>
      <c r="V746" s="2" t="n">
        <v>0.389518343</v>
      </c>
      <c r="W746" s="2" t="n">
        <f aca="false">IF(W$7=W$5,W$6,IF(NORMSDIST(W$9*SQRT($C$11)*NORMSINV($B746)+SQRT(1-W$9^2*$C$11)*NORMSINV(V746))&lt;W$8,W$5+SQRT(NORMSDIST(W$9*SQRT($C$11)*NORMSINV($B746)+SQRT(1-W$9^2*$C$11)*NORMSINV(V746))*(W$7-W$5)*(W$6-W$5)),W$7-SQRT((1-NORMSDIST(W$9*SQRT($C$11)*NORMSINV($B746)+SQRT(1-W$9^2*$C$11)*NORMSINV(V746)))*(W$7-W$5)*(W$7-W$6))))</f>
        <v>10.4892056061592</v>
      </c>
      <c r="X746" s="2" t="n">
        <v>0.63454964</v>
      </c>
      <c r="Y746" s="2" t="n">
        <f aca="false">IF(Y$7=Y$5,Y$6,IF(NORMSDIST(Y$9*SQRT($C$11)*NORMSINV($B746)+SQRT(1-Y$9^2*$C$11)*NORMSINV(X746))&lt;Y$8,Y$5+SQRT(NORMSDIST(Y$9*SQRT($C$11)*NORMSINV($B746)+SQRT(1-Y$9^2*$C$11)*NORMSINV(X746))*(Y$7-Y$5)*(Y$6-Y$5)),Y$7-SQRT((1-NORMSDIST(Y$9*SQRT($C$11)*NORMSINV($B746)+SQRT(1-Y$9^2*$C$11)*NORMSINV(X746)))*(Y$7-Y$5)*(Y$7-Y$6))))</f>
        <v>0.572536340725905</v>
      </c>
      <c r="Z746" s="2" t="n">
        <v>0.948343932</v>
      </c>
      <c r="AA746" s="2" t="n">
        <f aca="false">IF(AA$7=AA$5,AA$6,IF(NORMSDIST(AA$9*SQRT($C$11)*NORMSINV($B746)+SQRT(1-AA$9^2*$C$11)*NORMSINV(Z746))&lt;AA$8,AA$5+SQRT(NORMSDIST(AA$9*SQRT($C$11)*NORMSINV($B746)+SQRT(1-AA$9^2*$C$11)*NORMSINV(Z746))*(AA$7-AA$5)*(AA$6-AA$5)),AA$7-SQRT((1-NORMSDIST(AA$9*SQRT($C$11)*NORMSINV($B746)+SQRT(1-AA$9^2*$C$11)*NORMSINV(Z746)))*(AA$7-AA$5)*(AA$7-AA$6))))</f>
        <v>0.748755525760544</v>
      </c>
      <c r="AB746" s="2" t="n">
        <v>0.833374465</v>
      </c>
      <c r="AC746" s="2" t="n">
        <f aca="false">IF(AC$7=AC$5,AC$6,IF(NORMSDIST(AC$9*SQRT($C$11)*NORMSINV($B746)+SQRT(1-AC$9^2*$C$11)*NORMSINV(AB746))&lt;AC$8,AC$5+SQRT(NORMSDIST(AC$9*SQRT($C$11)*NORMSINV($B746)+SQRT(1-AC$9^2*$C$11)*NORMSINV(AB746))*(AC$7-AC$5)*(AC$6-AC$5)),AC$7-SQRT((1-NORMSDIST(AC$9*SQRT($C$11)*NORMSINV($B746)+SQRT(1-AC$9^2*$C$11)*NORMSINV(AB746)))*(AC$7-AC$5)*(AC$7-AC$6))))</f>
        <v>10.4802988921217</v>
      </c>
      <c r="AD746" s="2" t="n">
        <f aca="false">Entrées!$C$8*(1+E746)</f>
        <v>7445.04064142579</v>
      </c>
      <c r="AE746" s="2" t="n">
        <f aca="false">I746*Hypothèses!$J$24/12/Hypothèses!$J$19</f>
        <v>97.2020892047368</v>
      </c>
      <c r="AF746" s="2" t="n">
        <f aca="false">Entrées!$C$36*S746*1000</f>
        <v>131.695467018697</v>
      </c>
      <c r="AG746" s="2" t="n">
        <f aca="false">-AF746/W746</f>
        <v>-12.5553327833869</v>
      </c>
      <c r="AH746" s="2" t="n">
        <f aca="false">AD746+AE746+AG746</f>
        <v>7529.68739784714</v>
      </c>
      <c r="AI746" s="2" t="n">
        <f aca="false">Entrées!$C$16-M746+Hypothèses!$J$22*1000-AF746+Hypothèses!$J$23</f>
        <v>22835.725379157</v>
      </c>
      <c r="AJ746" s="2" t="n">
        <f aca="false">AI746/AH746</f>
        <v>3.03275875512257</v>
      </c>
      <c r="AK746" s="2" t="n">
        <f aca="false">AI746/(AH746+I746*(12-Hypothèses!$J$24)/12/Hypothèses!$J$19)</f>
        <v>3.00504966460338</v>
      </c>
      <c r="AL746" s="2" t="n">
        <f aca="false">(AD746+AG746+I746/Hypothèses!$J$19)*(1+G746)</f>
        <v>8021.77151195875</v>
      </c>
      <c r="AM746" s="2" t="n">
        <f aca="false">Entrées!$C$54*K746/Hypothèses!$J$19</f>
        <v>26.1337329467442</v>
      </c>
      <c r="AN746" s="2" t="n">
        <f aca="false">Y746*1000/AC746</f>
        <v>54.6297721676901</v>
      </c>
      <c r="AO746" s="2" t="n">
        <f aca="false">(Entrées!$C$36*(1-S746)+MAX(0,Entrées!$C$30-Entrées!$C$35-Entrées!$C$36)*U746)*1000</f>
        <v>1197.94912650635</v>
      </c>
      <c r="AP746" s="2" t="n">
        <f aca="false">-AO746/W746</f>
        <v>-114.207802905772</v>
      </c>
      <c r="AQ746" s="2" t="n">
        <f aca="false">AL746+AM746+AN746+AP746</f>
        <v>7988.32721416741</v>
      </c>
      <c r="AR746" s="2" t="n">
        <f aca="false">O746*AQ746-Hypothèses!$J$25/Hypothèses!$J$19</f>
        <v>1337.49733182123</v>
      </c>
      <c r="AS746" s="2" t="n">
        <f aca="false">Entrées!$C$79*(1+Q746)+Hypothèses!$J$20</f>
        <v>1495.48908178631</v>
      </c>
      <c r="AT746" s="2" t="n">
        <f aca="false">AI746-AR746+AS746+Y746*1000-AO746+Hypothèses!$J$23</f>
        <v>22368.3043433416</v>
      </c>
      <c r="AU746" s="2" t="n">
        <f aca="false">AT746/AQ746</f>
        <v>2.8001236984473</v>
      </c>
      <c r="AV746" s="2" t="n">
        <f aca="false">Hypothèses!$J$26*AQ746-AT746</f>
        <v>1596.67729916061</v>
      </c>
      <c r="AW746" s="2" t="n">
        <f aca="false">IF(AC746&gt;Hypothèses!$J$26,MAX(0,AV746)/(1-Hypothèses!$J$26/AC746),0)</f>
        <v>2237.03030731737</v>
      </c>
      <c r="AX746" s="2" t="n">
        <f aca="false">AQ746-Entrées!$C$17*1000</f>
        <v>-11.6727858325894</v>
      </c>
      <c r="AY746" s="2" t="n">
        <f aca="false">AI746+(Entrées!$C$244-Entrées!$C$13)</f>
        <v>28582.725379157</v>
      </c>
      <c r="AZ746" s="2" t="n">
        <f aca="false">AA746*AH746</f>
        <v>5637.89504638758</v>
      </c>
      <c r="BA746" s="2" t="n">
        <f aca="false">AZ746/AY746</f>
        <v>0.197248336944763</v>
      </c>
      <c r="BB746" s="2" t="n">
        <f aca="false">AZ746/(Entrées!$C$151/100)-AY746</f>
        <v>2738.91376744067</v>
      </c>
      <c r="BC746" s="2" t="n">
        <f aca="false">AT746+(Entrées!$C$244-Entrées!$C$13)</f>
        <v>28115.3043433416</v>
      </c>
      <c r="BD746" s="2" t="n">
        <f aca="false">AA746*AQ746</f>
        <v>5981.30414319118</v>
      </c>
      <c r="BE746" s="2" t="n">
        <f aca="false">BD746/BC746</f>
        <v>0.212741931232471</v>
      </c>
      <c r="BF746" s="2" t="n">
        <f aca="false">BD746/(Entrées!$C$151/100)-BC746</f>
        <v>5114.1631188316</v>
      </c>
      <c r="BG746" s="2" t="n">
        <f aca="false">MIN(AV746,BF746)</f>
        <v>1596.67729916061</v>
      </c>
      <c r="BH746" s="2" t="n">
        <f aca="false">IF(AC746&gt;Hypothèses!$J$26,MAX(0,BG746)/(1-Hypothèses!$J$26/AC746),0)</f>
        <v>2237.03030731737</v>
      </c>
    </row>
    <row r="747" customFormat="false" ht="15" hidden="false" customHeight="false" outlineLevel="0" collapsed="false">
      <c r="A747" s="2" t="n">
        <v>732</v>
      </c>
      <c r="B747" s="2" t="n">
        <v>0.310980563</v>
      </c>
      <c r="C747" s="2"/>
      <c r="D747" s="2" t="n">
        <v>0.241047757</v>
      </c>
      <c r="E747" s="2" t="n">
        <f aca="false">IF(E$7=E$5,E$6,IF(NORMSDIST(E$9*SQRT($C$11)*NORMSINV($B747)+SQRT(1-E$9^2*$C$11)*NORMSINV(D747))&lt;E$8,E$5+SQRT(NORMSDIST(E$9*SQRT($C$11)*NORMSINV($B747)+SQRT(1-E$9^2*$C$11)*NORMSINV(D747))*(E$7-E$5)*(E$6-E$5)),E$7-SQRT((1-NORMSDIST(E$9*SQRT($C$11)*NORMSINV($B747)+SQRT(1-E$9^2*$C$11)*NORMSINV(D747)))*(E$7-E$5)*(E$7-E$6))))</f>
        <v>0.0531297383063195</v>
      </c>
      <c r="F747" s="2" t="n">
        <v>0.087252395</v>
      </c>
      <c r="G747" s="2" t="n">
        <f aca="false">IF(G$7=G$5,G$6,IF(NORMSDIST(G$9*SQRT($C$11)*NORMSINV($B747)+SQRT(1-G$9^2*$C$11)*NORMSINV(F747))&lt;G$8,G$5+SQRT(NORMSDIST(G$9*SQRT($C$11)*NORMSINV($B747)+SQRT(1-G$9^2*$C$11)*NORMSINV(F747))*(G$7-G$5)*(G$6-G$5)),G$7-SQRT((1-NORMSDIST(G$9*SQRT($C$11)*NORMSINV($B747)+SQRT(1-G$9^2*$C$11)*NORMSINV(F747)))*(G$7-G$5)*(G$7-G$6))))</f>
        <v>0.0462331848747028</v>
      </c>
      <c r="H747" s="2" t="n">
        <v>0.283495512</v>
      </c>
      <c r="I747" s="2" t="n">
        <f aca="false">IF(I$7=I$5,I$6,IF(NORMSDIST(I$9*SQRT($C$11)*NORMSINV($B747)+SQRT(1-I$9^2*$C$11)*NORMSINV(H747))&lt;I$8,I$5+SQRT(NORMSDIST(I$9*SQRT($C$11)*NORMSINV($B747)+SQRT(1-I$9^2*$C$11)*NORMSINV(H747))*(I$7-I$5)*(I$6-I$5)),I$7-SQRT((1-NORMSDIST(I$9*SQRT($C$11)*NORMSINV($B747)+SQRT(1-I$9^2*$C$11)*NORMSINV(H747)))*(I$7-I$5)*(I$7-I$6))))</f>
        <v>193.417486615344</v>
      </c>
      <c r="J747" s="2" t="n">
        <v>0.54931615</v>
      </c>
      <c r="K747" s="2" t="n">
        <f aca="false">IF(K$7=K$5,K$6,IF(NORMSDIST(K$9*SQRT($C$11)*NORMSINV($B747)+SQRT(1-K$9^2*$C$11)*NORMSINV(J747))&lt;K$8,K$5+SQRT(NORMSDIST(K$9*SQRT($C$11)*NORMSINV($B747)+SQRT(1-K$9^2*$C$11)*NORMSINV(J747))*(K$7-K$5)*(K$6-K$5)),K$7-SQRT((1-NORMSDIST(K$9*SQRT($C$11)*NORMSINV($B747)+SQRT(1-K$9^2*$C$11)*NORMSINV(J747)))*(K$7-K$5)*(K$7-K$6))))</f>
        <v>0.227638182954656</v>
      </c>
      <c r="L747" s="2" t="n">
        <v>0.384609414</v>
      </c>
      <c r="M747" s="2" t="n">
        <f aca="false">IF(M$7=M$5,M$6,IF(NORMSDIST(M$9*SQRT($C$11)*NORMSINV($B747)+SQRT(1-M$9^2*$C$11)*NORMSINV(L747))&lt;M$8,M$5+SQRT(NORMSDIST(M$9*SQRT($C$11)*NORMSINV($B747)+SQRT(1-M$9^2*$C$11)*NORMSINV(L747))*(M$7-M$5)*(M$6-M$5)),M$7-SQRT((1-NORMSDIST(M$9*SQRT($C$11)*NORMSINV($B747)+SQRT(1-M$9^2*$C$11)*NORMSINV(L747)))*(M$7-M$5)*(M$7-M$6))))</f>
        <v>1519.88952061052</v>
      </c>
      <c r="N747" s="2" t="n">
        <v>0.500454527</v>
      </c>
      <c r="O747" s="2" t="n">
        <f aca="false">IF(O$7=O$5,O$6,IF(NORMSDIST(O$9*SQRT($C$11)*NORMSINV($B747)+SQRT(1-O$9^2*$C$11)*NORMSINV(N747))&lt;O$8,O$5+SQRT(NORMSDIST(O$9*SQRT($C$11)*NORMSINV($B747)+SQRT(1-O$9^2*$C$11)*NORMSINV(N747))*(O$7-O$5)*(O$6-O$5)),O$7-SQRT((1-NORMSDIST(O$9*SQRT($C$11)*NORMSINV($B747)+SQRT(1-O$9^2*$C$11)*NORMSINV(N747)))*(O$7-O$5)*(O$7-O$6))))</f>
        <v>0.163286000549026</v>
      </c>
      <c r="P747" s="2" t="n">
        <v>0.490986505</v>
      </c>
      <c r="Q747" s="2" t="n">
        <f aca="false">IF(Q$7=Q$5,Q$6,IF(NORMSDIST(Q$9*SQRT($C$11)*NORMSINV($B747)+SQRT(1-Q$9^2*$C$11)*NORMSINV(P747))&lt;Q$8,Q$5+SQRT(NORMSDIST(Q$9*SQRT($C$11)*NORMSINV($B747)+SQRT(1-Q$9^2*$C$11)*NORMSINV(P747))*(Q$7-Q$5)*(Q$6-Q$5)),Q$7-SQRT((1-NORMSDIST(Q$9*SQRT($C$11)*NORMSINV($B747)+SQRT(1-Q$9^2*$C$11)*NORMSINV(P747)))*(Q$7-Q$5)*(Q$7-Q$6))))</f>
        <v>0.0796378205253518</v>
      </c>
      <c r="R747" s="2" t="n">
        <v>0.838872896</v>
      </c>
      <c r="S747" s="2" t="n">
        <f aca="false">IF(S$7=S$5,S$6,IF(NORMSDIST(S$9*SQRT($C$11)*NORMSINV($B747)+SQRT(1-S$9^2*$C$11)*NORMSINV(R747))&lt;S$8,S$5+SQRT(NORMSDIST(S$9*SQRT($C$11)*NORMSINV($B747)+SQRT(1-S$9^2*$C$11)*NORMSINV(R747))*(S$7-S$5)*(S$6-S$5)),S$7-SQRT((1-NORMSDIST(S$9*SQRT($C$11)*NORMSINV($B747)+SQRT(1-S$9^2*$C$11)*NORMSINV(R747)))*(S$7-S$5)*(S$7-S$6))))</f>
        <v>0.597135996283582</v>
      </c>
      <c r="T747" s="2" t="n">
        <v>0.453142034</v>
      </c>
      <c r="U747" s="2" t="n">
        <f aca="false">IF(U$7=U$5,U$6,IF(NORMSDIST(U$9*SQRT($C$11)*NORMSINV($B747)+SQRT(1-U$9^2*$C$11)*NORMSINV(T747))&lt;U$8,U$5+SQRT(NORMSDIST(U$9*SQRT($C$11)*NORMSINV($B747)+SQRT(1-U$9^2*$C$11)*NORMSINV(T747))*(U$7-U$5)*(U$6-U$5)),U$7-SQRT((1-NORMSDIST(U$9*SQRT($C$11)*NORMSINV($B747)+SQRT(1-U$9^2*$C$11)*NORMSINV(T747)))*(U$7-U$5)*(U$7-U$6))))</f>
        <v>0.414403379980282</v>
      </c>
      <c r="V747" s="2" t="n">
        <v>0.333717908</v>
      </c>
      <c r="W747" s="2" t="n">
        <f aca="false">IF(W$7=W$5,W$6,IF(NORMSDIST(W$9*SQRT($C$11)*NORMSINV($B747)+SQRT(1-W$9^2*$C$11)*NORMSINV(V747))&lt;W$8,W$5+SQRT(NORMSDIST(W$9*SQRT($C$11)*NORMSINV($B747)+SQRT(1-W$9^2*$C$11)*NORMSINV(V747))*(W$7-W$5)*(W$6-W$5)),W$7-SQRT((1-NORMSDIST(W$9*SQRT($C$11)*NORMSINV($B747)+SQRT(1-W$9^2*$C$11)*NORMSINV(V747)))*(W$7-W$5)*(W$7-W$6))))</f>
        <v>9.44103115335722</v>
      </c>
      <c r="X747" s="2" t="n">
        <v>0.890493939</v>
      </c>
      <c r="Y747" s="2" t="n">
        <f aca="false">IF(Y$7=Y$5,Y$6,IF(NORMSDIST(Y$9*SQRT($C$11)*NORMSINV($B747)+SQRT(1-Y$9^2*$C$11)*NORMSINV(X747))&lt;Y$8,Y$5+SQRT(NORMSDIST(Y$9*SQRT($C$11)*NORMSINV($B747)+SQRT(1-Y$9^2*$C$11)*NORMSINV(X747))*(Y$7-Y$5)*(Y$6-Y$5)),Y$7-SQRT((1-NORMSDIST(Y$9*SQRT($C$11)*NORMSINV($B747)+SQRT(1-Y$9^2*$C$11)*NORMSINV(X747)))*(Y$7-Y$5)*(Y$7-Y$6))))</f>
        <v>0.766006345171498</v>
      </c>
      <c r="Z747" s="2" t="n">
        <v>0.333764401</v>
      </c>
      <c r="AA747" s="2" t="n">
        <f aca="false">IF(AA$7=AA$5,AA$6,IF(NORMSDIST(AA$9*SQRT($C$11)*NORMSINV($B747)+SQRT(1-AA$9^2*$C$11)*NORMSINV(Z747))&lt;AA$8,AA$5+SQRT(NORMSDIST(AA$9*SQRT($C$11)*NORMSINV($B747)+SQRT(1-AA$9^2*$C$11)*NORMSINV(Z747))*(AA$7-AA$5)*(AA$6-AA$5)),AA$7-SQRT((1-NORMSDIST(AA$9*SQRT($C$11)*NORMSINV($B747)+SQRT(1-AA$9^2*$C$11)*NORMSINV(Z747)))*(AA$7-AA$5)*(AA$7-AA$6))))</f>
        <v>0.718904687437429</v>
      </c>
      <c r="AB747" s="2" t="n">
        <v>0.539546065</v>
      </c>
      <c r="AC747" s="2" t="n">
        <f aca="false">IF(AC$7=AC$5,AC$6,IF(NORMSDIST(AC$9*SQRT($C$11)*NORMSINV($B747)+SQRT(1-AC$9^2*$C$11)*NORMSINV(AB747))&lt;AC$8,AC$5+SQRT(NORMSDIST(AC$9*SQRT($C$11)*NORMSINV($B747)+SQRT(1-AC$9^2*$C$11)*NORMSINV(AB747))*(AC$7-AC$5)*(AC$6-AC$5)),AC$7-SQRT((1-NORMSDIST(AC$9*SQRT($C$11)*NORMSINV($B747)+SQRT(1-AC$9^2*$C$11)*NORMSINV(AB747)))*(AC$7-AC$5)*(AC$7-AC$6))))</f>
        <v>9.27552490286835</v>
      </c>
      <c r="AD747" s="2" t="n">
        <f aca="false">Entrées!$C$8*(1+E747)</f>
        <v>7424.56465505955</v>
      </c>
      <c r="AE747" s="2" t="n">
        <f aca="false">I747*Hypothèses!$J$24/12/Hypothèses!$J$19</f>
        <v>95.9537960531235</v>
      </c>
      <c r="AF747" s="2" t="n">
        <f aca="false">Entrées!$C$36*S747*1000</f>
        <v>298.567998141791</v>
      </c>
      <c r="AG747" s="2" t="n">
        <f aca="false">-AF747/W747</f>
        <v>-31.6245114852333</v>
      </c>
      <c r="AH747" s="2" t="n">
        <f aca="false">AD747+AE747+AG747</f>
        <v>7488.89393962744</v>
      </c>
      <c r="AI747" s="2" t="n">
        <f aca="false">Entrées!$C$16-M747+Hypothèses!$J$22*1000-AF747+Hypothèses!$J$23</f>
        <v>22729.5424812477</v>
      </c>
      <c r="AJ747" s="2" t="n">
        <f aca="false">AI747/AH747</f>
        <v>3.03510006477384</v>
      </c>
      <c r="AK747" s="2" t="n">
        <f aca="false">AI747/(AH747+I747*(12-Hypothèses!$J$24)/12/Hypothèses!$J$19)</f>
        <v>3.00757471351922</v>
      </c>
      <c r="AL747" s="2" t="n">
        <f aca="false">(AD747+AG747+I747/Hypothèses!$J$19)*(1+G747)</f>
        <v>7906.83653310634</v>
      </c>
      <c r="AM747" s="2" t="n">
        <f aca="false">Entrées!$C$54*K747/Hypothèses!$J$19</f>
        <v>23.2314323614882</v>
      </c>
      <c r="AN747" s="2" t="n">
        <f aca="false">Y747*1000/AC747</f>
        <v>82.5836115144944</v>
      </c>
      <c r="AO747" s="2" t="n">
        <f aca="false">(Entrées!$C$36*(1-S747)+MAX(0,Entrées!$C$30-Entrées!$C$35-Entrées!$C$36)*U747)*1000</f>
        <v>781.596733830604</v>
      </c>
      <c r="AP747" s="2" t="n">
        <f aca="false">-AO747/W747</f>
        <v>-82.7872211344911</v>
      </c>
      <c r="AQ747" s="2" t="n">
        <f aca="false">AL747+AM747+AN747+AP747</f>
        <v>7929.86435584783</v>
      </c>
      <c r="AR747" s="2" t="n">
        <f aca="false">O747*AQ747-Hypothèses!$J$25/Hypothèses!$J$19</f>
        <v>1275.70067330104</v>
      </c>
      <c r="AS747" s="2" t="n">
        <f aca="false">Entrées!$C$79*(1+Q747)+Hypothèses!$J$20</f>
        <v>1481.52196475736</v>
      </c>
      <c r="AT747" s="2" t="n">
        <f aca="false">AI747-AR747+AS747+Y747*1000-AO747+Hypothèses!$J$23</f>
        <v>22919.7733840449</v>
      </c>
      <c r="AU747" s="2" t="n">
        <f aca="false">AT747/AQ747</f>
        <v>2.89031090010296</v>
      </c>
      <c r="AV747" s="2" t="n">
        <f aca="false">Hypothèses!$J$26*AQ747-AT747</f>
        <v>869.819683498579</v>
      </c>
      <c r="AW747" s="2" t="n">
        <f aca="false">IF(AC747&gt;Hypothèses!$J$26,MAX(0,AV747)/(1-Hypothèses!$J$26/AC747),0)</f>
        <v>1285.63494849785</v>
      </c>
      <c r="AX747" s="2" t="n">
        <f aca="false">AQ747-Entrées!$C$17*1000</f>
        <v>-70.135644152173</v>
      </c>
      <c r="AY747" s="2" t="n">
        <f aca="false">AI747+(Entrées!$C$244-Entrées!$C$13)</f>
        <v>28476.5424812477</v>
      </c>
      <c r="AZ747" s="2" t="n">
        <f aca="false">AA747*AH747</f>
        <v>5383.80095691992</v>
      </c>
      <c r="BA747" s="2" t="n">
        <f aca="false">AZ747/AY747</f>
        <v>0.189060907252531</v>
      </c>
      <c r="BB747" s="2" t="n">
        <f aca="false">AZ747/(Entrées!$C$151/100)-AY747</f>
        <v>1433.46283497411</v>
      </c>
      <c r="BC747" s="2" t="n">
        <f aca="false">AT747+(Entrées!$C$244-Entrées!$C$13)</f>
        <v>28666.7733840449</v>
      </c>
      <c r="BD747" s="2" t="n">
        <f aca="false">AA747*AQ747</f>
        <v>5700.81665616199</v>
      </c>
      <c r="BE747" s="2" t="n">
        <f aca="false">BD747/BC747</f>
        <v>0.198864956993552</v>
      </c>
      <c r="BF747" s="2" t="n">
        <f aca="false">BD747/(Entrées!$C$151/100)-BC747</f>
        <v>3004.43026129949</v>
      </c>
      <c r="BG747" s="2" t="n">
        <f aca="false">MIN(AV747,BF747)</f>
        <v>869.819683498579</v>
      </c>
      <c r="BH747" s="2" t="n">
        <f aca="false">IF(AC747&gt;Hypothèses!$J$26,MAX(0,BG747)/(1-Hypothèses!$J$26/AC747),0)</f>
        <v>1285.63494849785</v>
      </c>
    </row>
    <row r="748" customFormat="false" ht="15" hidden="false" customHeight="false" outlineLevel="0" collapsed="false">
      <c r="A748" s="2" t="n">
        <v>733</v>
      </c>
      <c r="B748" s="2" t="n">
        <v>0.398049312</v>
      </c>
      <c r="C748" s="2"/>
      <c r="D748" s="2" t="n">
        <v>0.715841144</v>
      </c>
      <c r="E748" s="2" t="n">
        <f aca="false">IF(E$7=E$5,E$6,IF(NORMSDIST(E$9*SQRT($C$11)*NORMSINV($B748)+SQRT(1-E$9^2*$C$11)*NORMSINV(D748))&lt;E$8,E$5+SQRT(NORMSDIST(E$9*SQRT($C$11)*NORMSINV($B748)+SQRT(1-E$9^2*$C$11)*NORMSINV(D748))*(E$7-E$5)*(E$6-E$5)),E$7-SQRT((1-NORMSDIST(E$9*SQRT($C$11)*NORMSINV($B748)+SQRT(1-E$9^2*$C$11)*NORMSINV(D748)))*(E$7-E$5)*(E$7-E$6))))</f>
        <v>0.0555823517522921</v>
      </c>
      <c r="F748" s="2" t="n">
        <v>0.181157434</v>
      </c>
      <c r="G748" s="2" t="n">
        <f aca="false">IF(G$7=G$5,G$6,IF(NORMSDIST(G$9*SQRT($C$11)*NORMSINV($B748)+SQRT(1-G$9^2*$C$11)*NORMSINV(F748))&lt;G$8,G$5+SQRT(NORMSDIST(G$9*SQRT($C$11)*NORMSINV($B748)+SQRT(1-G$9^2*$C$11)*NORMSINV(F748))*(G$7-G$5)*(G$6-G$5)),G$7-SQRT((1-NORMSDIST(G$9*SQRT($C$11)*NORMSINV($B748)+SQRT(1-G$9^2*$C$11)*NORMSINV(F748)))*(G$7-G$5)*(G$7-G$6))))</f>
        <v>0.0493050430253124</v>
      </c>
      <c r="H748" s="2" t="n">
        <v>0.925331855</v>
      </c>
      <c r="I748" s="2" t="n">
        <f aca="false">IF(I$7=I$5,I$6,IF(NORMSDIST(I$9*SQRT($C$11)*NORMSINV($B748)+SQRT(1-I$9^2*$C$11)*NORMSINV(H748))&lt;I$8,I$5+SQRT(NORMSDIST(I$9*SQRT($C$11)*NORMSINV($B748)+SQRT(1-I$9^2*$C$11)*NORMSINV(H748))*(I$7-I$5)*(I$6-I$5)),I$7-SQRT((1-NORMSDIST(I$9*SQRT($C$11)*NORMSINV($B748)+SQRT(1-I$9^2*$C$11)*NORMSINV(H748)))*(I$7-I$5)*(I$7-I$6))))</f>
        <v>208.331879800509</v>
      </c>
      <c r="J748" s="2" t="n">
        <v>0.142516496</v>
      </c>
      <c r="K748" s="2" t="n">
        <f aca="false">IF(K$7=K$5,K$6,IF(NORMSDIST(K$9*SQRT($C$11)*NORMSINV($B748)+SQRT(1-K$9^2*$C$11)*NORMSINV(J748))&lt;K$8,K$5+SQRT(NORMSDIST(K$9*SQRT($C$11)*NORMSINV($B748)+SQRT(1-K$9^2*$C$11)*NORMSINV(J748))*(K$7-K$5)*(K$6-K$5)),K$7-SQRT((1-NORMSDIST(K$9*SQRT($C$11)*NORMSINV($B748)+SQRT(1-K$9^2*$C$11)*NORMSINV(J748)))*(K$7-K$5)*(K$7-K$6))))</f>
        <v>0.141735967999008</v>
      </c>
      <c r="L748" s="2" t="n">
        <v>0.093583814</v>
      </c>
      <c r="M748" s="2" t="n">
        <f aca="false">IF(M$7=M$5,M$6,IF(NORMSDIST(M$9*SQRT($C$11)*NORMSINV($B748)+SQRT(1-M$9^2*$C$11)*NORMSINV(L748))&lt;M$8,M$5+SQRT(NORMSDIST(M$9*SQRT($C$11)*NORMSINV($B748)+SQRT(1-M$9^2*$C$11)*NORMSINV(L748))*(M$7-M$5)*(M$6-M$5)),M$7-SQRT((1-NORMSDIST(M$9*SQRT($C$11)*NORMSINV($B748)+SQRT(1-M$9^2*$C$11)*NORMSINV(L748)))*(M$7-M$5)*(M$7-M$6))))</f>
        <v>1440.25950477347</v>
      </c>
      <c r="N748" s="2" t="n">
        <v>0.300861334</v>
      </c>
      <c r="O748" s="2" t="n">
        <f aca="false">IF(O$7=O$5,O$6,IF(NORMSDIST(O$9*SQRT($C$11)*NORMSINV($B748)+SQRT(1-O$9^2*$C$11)*NORMSINV(N748))&lt;O$8,O$5+SQRT(NORMSDIST(O$9*SQRT($C$11)*NORMSINV($B748)+SQRT(1-O$9^2*$C$11)*NORMSINV(N748))*(O$7-O$5)*(O$6-O$5)),O$7-SQRT((1-NORMSDIST(O$9*SQRT($C$11)*NORMSINV($B748)+SQRT(1-O$9^2*$C$11)*NORMSINV(N748)))*(O$7-O$5)*(O$7-O$6))))</f>
        <v>0.160225993716892</v>
      </c>
      <c r="P748" s="2" t="n">
        <v>0.843806361</v>
      </c>
      <c r="Q748" s="2" t="n">
        <f aca="false">IF(Q$7=Q$5,Q$6,IF(NORMSDIST(Q$9*SQRT($C$11)*NORMSINV($B748)+SQRT(1-Q$9^2*$C$11)*NORMSINV(P748))&lt;Q$8,Q$5+SQRT(NORMSDIST(Q$9*SQRT($C$11)*NORMSINV($B748)+SQRT(1-Q$9^2*$C$11)*NORMSINV(P748))*(Q$7-Q$5)*(Q$6-Q$5)),Q$7-SQRT((1-NORMSDIST(Q$9*SQRT($C$11)*NORMSINV($B748)+SQRT(1-Q$9^2*$C$11)*NORMSINV(P748)))*(Q$7-Q$5)*(Q$7-Q$6))))</f>
        <v>0.0976433534536147</v>
      </c>
      <c r="R748" s="2" t="n">
        <v>0.041845128</v>
      </c>
      <c r="S748" s="2" t="n">
        <f aca="false">IF(S$7=S$5,S$6,IF(NORMSDIST(S$9*SQRT($C$11)*NORMSINV($B748)+SQRT(1-S$9^2*$C$11)*NORMSINV(R748))&lt;S$8,S$5+SQRT(NORMSDIST(S$9*SQRT($C$11)*NORMSINV($B748)+SQRT(1-S$9^2*$C$11)*NORMSINV(R748))*(S$7-S$5)*(S$6-S$5)),S$7-SQRT((1-NORMSDIST(S$9*SQRT($C$11)*NORMSINV($B748)+SQRT(1-S$9^2*$C$11)*NORMSINV(R748)))*(S$7-S$5)*(S$7-S$6))))</f>
        <v>0.182196818555795</v>
      </c>
      <c r="T748" s="2" t="n">
        <v>0.755890884</v>
      </c>
      <c r="U748" s="2" t="n">
        <f aca="false">IF(U$7=U$5,U$6,IF(NORMSDIST(U$9*SQRT($C$11)*NORMSINV($B748)+SQRT(1-U$9^2*$C$11)*NORMSINV(T748))&lt;U$8,U$5+SQRT(NORMSDIST(U$9*SQRT($C$11)*NORMSINV($B748)+SQRT(1-U$9^2*$C$11)*NORMSINV(T748))*(U$7-U$5)*(U$6-U$5)),U$7-SQRT((1-NORMSDIST(U$9*SQRT($C$11)*NORMSINV($B748)+SQRT(1-U$9^2*$C$11)*NORMSINV(T748)))*(U$7-U$5)*(U$7-U$6))))</f>
        <v>0.579051751455521</v>
      </c>
      <c r="V748" s="2" t="n">
        <v>0.013099223</v>
      </c>
      <c r="W748" s="2" t="n">
        <f aca="false">IF(W$7=W$5,W$6,IF(NORMSDIST(W$9*SQRT($C$11)*NORMSINV($B748)+SQRT(1-W$9^2*$C$11)*NORMSINV(V748))&lt;W$8,W$5+SQRT(NORMSDIST(W$9*SQRT($C$11)*NORMSINV($B748)+SQRT(1-W$9^2*$C$11)*NORMSINV(V748))*(W$7-W$5)*(W$6-W$5)),W$7-SQRT((1-NORMSDIST(W$9*SQRT($C$11)*NORMSINV($B748)+SQRT(1-W$9^2*$C$11)*NORMSINV(V748)))*(W$7-W$5)*(W$7-W$6))))</f>
        <v>8.48725797677391</v>
      </c>
      <c r="X748" s="2" t="n">
        <v>0.370674059</v>
      </c>
      <c r="Y748" s="2" t="n">
        <f aca="false">IF(Y$7=Y$5,Y$6,IF(NORMSDIST(Y$9*SQRT($C$11)*NORMSINV($B748)+SQRT(1-Y$9^2*$C$11)*NORMSINV(X748))&lt;Y$8,Y$5+SQRT(NORMSDIST(Y$9*SQRT($C$11)*NORMSINV($B748)+SQRT(1-Y$9^2*$C$11)*NORMSINV(X748))*(Y$7-Y$5)*(Y$6-Y$5)),Y$7-SQRT((1-NORMSDIST(Y$9*SQRT($C$11)*NORMSINV($B748)+SQRT(1-Y$9^2*$C$11)*NORMSINV(X748)))*(Y$7-Y$5)*(Y$7-Y$6))))</f>
        <v>0.430507873911732</v>
      </c>
      <c r="Z748" s="2" t="n">
        <v>0.361050478</v>
      </c>
      <c r="AA748" s="2" t="n">
        <f aca="false">IF(AA$7=AA$5,AA$6,IF(NORMSDIST(AA$9*SQRT($C$11)*NORMSINV($B748)+SQRT(1-AA$9^2*$C$11)*NORMSINV(Z748))&lt;AA$8,AA$5+SQRT(NORMSDIST(AA$9*SQRT($C$11)*NORMSINV($B748)+SQRT(1-AA$9^2*$C$11)*NORMSINV(Z748))*(AA$7-AA$5)*(AA$6-AA$5)),AA$7-SQRT((1-NORMSDIST(AA$9*SQRT($C$11)*NORMSINV($B748)+SQRT(1-AA$9^2*$C$11)*NORMSINV(Z748)))*(AA$7-AA$5)*(AA$7-AA$6))))</f>
        <v>0.721925526322828</v>
      </c>
      <c r="AB748" s="2" t="n">
        <v>0.115641115</v>
      </c>
      <c r="AC748" s="2" t="n">
        <f aca="false">IF(AC$7=AC$5,AC$6,IF(NORMSDIST(AC$9*SQRT($C$11)*NORMSINV($B748)+SQRT(1-AC$9^2*$C$11)*NORMSINV(AB748))&lt;AC$8,AC$5+SQRT(NORMSDIST(AC$9*SQRT($C$11)*NORMSINV($B748)+SQRT(1-AC$9^2*$C$11)*NORMSINV(AB748))*(AC$7-AC$5)*(AC$6-AC$5)),AC$7-SQRT((1-NORMSDIST(AC$9*SQRT($C$11)*NORMSINV($B748)+SQRT(1-AC$9^2*$C$11)*NORMSINV(AB748)))*(AC$7-AC$5)*(AC$7-AC$6))))</f>
        <v>8.4907852565407</v>
      </c>
      <c r="AD748" s="2" t="n">
        <f aca="false">Entrées!$C$8*(1+E748)</f>
        <v>7441.85557985366</v>
      </c>
      <c r="AE748" s="2" t="n">
        <f aca="false">I748*Hypothèses!$J$24/12/Hypothèses!$J$19</f>
        <v>103.352778776911</v>
      </c>
      <c r="AF748" s="2" t="n">
        <f aca="false">Entrées!$C$36*S748*1000</f>
        <v>91.0984092778973</v>
      </c>
      <c r="AG748" s="2" t="n">
        <f aca="false">-AF748/W748</f>
        <v>-10.7335501674623</v>
      </c>
      <c r="AH748" s="2" t="n">
        <f aca="false">AD748+AE748+AG748</f>
        <v>7534.47480846311</v>
      </c>
      <c r="AI748" s="2" t="n">
        <f aca="false">Entrées!$C$16-M748+Hypothèses!$J$22*1000-AF748+Hypothèses!$J$23</f>
        <v>23016.6420859486</v>
      </c>
      <c r="AJ748" s="2" t="n">
        <f aca="false">AI748/AH748</f>
        <v>3.05484359176504</v>
      </c>
      <c r="AK748" s="2" t="n">
        <f aca="false">AI748/(AH748+I748*(12-Hypothèses!$J$24)/12/Hypothèses!$J$19)</f>
        <v>3.025202405943</v>
      </c>
      <c r="AL748" s="2" t="n">
        <f aca="false">(AD748+AG748+I748/Hypothèses!$J$19)*(1+G748)</f>
        <v>7983.42569305415</v>
      </c>
      <c r="AM748" s="2" t="n">
        <f aca="false">Entrées!$C$54*K748/Hypothèses!$J$19</f>
        <v>14.4647506451714</v>
      </c>
      <c r="AN748" s="2" t="n">
        <f aca="false">Y748*1000/AC748</f>
        <v>50.7029516003952</v>
      </c>
      <c r="AO748" s="2" t="n">
        <f aca="false">(Entrées!$C$36*(1-S748)+MAX(0,Entrées!$C$30-Entrées!$C$35-Entrées!$C$36)*U748)*1000</f>
        <v>1219.57404275983</v>
      </c>
      <c r="AP748" s="2" t="n">
        <f aca="false">-AO748/W748</f>
        <v>-143.694706358319</v>
      </c>
      <c r="AQ748" s="2" t="n">
        <f aca="false">AL748+AM748+AN748+AP748</f>
        <v>7904.8986889414</v>
      </c>
      <c r="AR748" s="2" t="n">
        <f aca="false">O748*AQ748-Hypothèses!$J$25/Hypothèses!$J$19</f>
        <v>1247.43508540537</v>
      </c>
      <c r="AS748" s="2" t="n">
        <f aca="false">Entrées!$C$79*(1+Q748)+Hypothèses!$J$20</f>
        <v>1501.31004544552</v>
      </c>
      <c r="AT748" s="2" t="n">
        <f aca="false">AI748-AR748+AS748+Y748*1000-AO748+Hypothèses!$J$23</f>
        <v>22481.4508771407</v>
      </c>
      <c r="AU748" s="2" t="n">
        <f aca="false">AT748/AQ748</f>
        <v>2.84398975392199</v>
      </c>
      <c r="AV748" s="2" t="n">
        <f aca="false">Hypothèses!$J$26*AQ748-AT748</f>
        <v>1233.2451896835</v>
      </c>
      <c r="AW748" s="2" t="n">
        <f aca="false">IF(AC748&gt;Hypothèses!$J$26,MAX(0,AV748)/(1-Hypothèses!$J$26/AC748),0)</f>
        <v>1907.05328746757</v>
      </c>
      <c r="AX748" s="2" t="n">
        <f aca="false">AQ748-Entrées!$C$17*1000</f>
        <v>-95.1013110586036</v>
      </c>
      <c r="AY748" s="2" t="n">
        <f aca="false">AI748+(Entrées!$C$244-Entrées!$C$13)</f>
        <v>28763.6420859486</v>
      </c>
      <c r="AZ748" s="2" t="n">
        <f aca="false">AA748*AH748</f>
        <v>5439.32969166582</v>
      </c>
      <c r="BA748" s="2" t="n">
        <f aca="false">AZ748/AY748</f>
        <v>0.189104344832708</v>
      </c>
      <c r="BB748" s="2" t="n">
        <f aca="false">AZ748/(Entrées!$C$151/100)-AY748</f>
        <v>1454.85620108369</v>
      </c>
      <c r="BC748" s="2" t="n">
        <f aca="false">AT748+(Entrées!$C$244-Entrées!$C$13)</f>
        <v>28228.4508771407</v>
      </c>
      <c r="BD748" s="2" t="n">
        <f aca="false">AA748*AQ748</f>
        <v>5706.74814654265</v>
      </c>
      <c r="BE748" s="2" t="n">
        <f aca="false">BD748/BC748</f>
        <v>0.202162994043855</v>
      </c>
      <c r="BF748" s="2" t="n">
        <f aca="false">BD748/(Entrées!$C$151/100)-BC748</f>
        <v>3475.70549254072</v>
      </c>
      <c r="BG748" s="2" t="n">
        <f aca="false">MIN(AV748,BF748)</f>
        <v>1233.2451896835</v>
      </c>
      <c r="BH748" s="2" t="n">
        <f aca="false">IF(AC748&gt;Hypothèses!$J$26,MAX(0,BG748)/(1-Hypothèses!$J$26/AC748),0)</f>
        <v>1907.05328746757</v>
      </c>
    </row>
    <row r="749" customFormat="false" ht="15" hidden="false" customHeight="false" outlineLevel="0" collapsed="false">
      <c r="A749" s="2" t="n">
        <v>734</v>
      </c>
      <c r="B749" s="2" t="n">
        <v>0.023483168</v>
      </c>
      <c r="C749" s="2"/>
      <c r="D749" s="2" t="n">
        <v>0.977367961</v>
      </c>
      <c r="E749" s="2" t="n">
        <f aca="false">IF(E$7=E$5,E$6,IF(NORMSDIST(E$9*SQRT($C$11)*NORMSINV($B749)+SQRT(1-E$9^2*$C$11)*NORMSINV(D749))&lt;E$8,E$5+SQRT(NORMSDIST(E$9*SQRT($C$11)*NORMSINV($B749)+SQRT(1-E$9^2*$C$11)*NORMSINV(D749))*(E$7-E$5)*(E$6-E$5)),E$7-SQRT((1-NORMSDIST(E$9*SQRT($C$11)*NORMSINV($B749)+SQRT(1-E$9^2*$C$11)*NORMSINV(D749)))*(E$7-E$5)*(E$7-E$6))))</f>
        <v>0.0556170446745527</v>
      </c>
      <c r="F749" s="2" t="n">
        <v>0.655086132</v>
      </c>
      <c r="G749" s="2" t="n">
        <f aca="false">IF(G$7=G$5,G$6,IF(NORMSDIST(G$9*SQRT($C$11)*NORMSINV($B749)+SQRT(1-G$9^2*$C$11)*NORMSINV(F749))&lt;G$8,G$5+SQRT(NORMSDIST(G$9*SQRT($C$11)*NORMSINV($B749)+SQRT(1-G$9^2*$C$11)*NORMSINV(F749))*(G$7-G$5)*(G$6-G$5)),G$7-SQRT((1-NORMSDIST(G$9*SQRT($C$11)*NORMSINV($B749)+SQRT(1-G$9^2*$C$11)*NORMSINV(F749)))*(G$7-G$5)*(G$7-G$6))))</f>
        <v>0.0487911145720647</v>
      </c>
      <c r="H749" s="2" t="n">
        <v>0.785556559</v>
      </c>
      <c r="I749" s="2" t="n">
        <f aca="false">IF(I$7=I$5,I$6,IF(NORMSDIST(I$9*SQRT($C$11)*NORMSINV($B749)+SQRT(1-I$9^2*$C$11)*NORMSINV(H749))&lt;I$8,I$5+SQRT(NORMSDIST(I$9*SQRT($C$11)*NORMSINV($B749)+SQRT(1-I$9^2*$C$11)*NORMSINV(H749))*(I$7-I$5)*(I$6-I$5)),I$7-SQRT((1-NORMSDIST(I$9*SQRT($C$11)*NORMSINV($B749)+SQRT(1-I$9^2*$C$11)*NORMSINV(H749)))*(I$7-I$5)*(I$7-I$6))))</f>
        <v>194.419404658506</v>
      </c>
      <c r="J749" s="2" t="n">
        <v>0.783092685</v>
      </c>
      <c r="K749" s="2" t="n">
        <f aca="false">IF(K$7=K$5,K$6,IF(NORMSDIST(K$9*SQRT($C$11)*NORMSINV($B749)+SQRT(1-K$9^2*$C$11)*NORMSINV(J749))&lt;K$8,K$5+SQRT(NORMSDIST(K$9*SQRT($C$11)*NORMSINV($B749)+SQRT(1-K$9^2*$C$11)*NORMSINV(J749))*(K$7-K$5)*(K$6-K$5)),K$7-SQRT((1-NORMSDIST(K$9*SQRT($C$11)*NORMSINV($B749)+SQRT(1-K$9^2*$C$11)*NORMSINV(J749)))*(K$7-K$5)*(K$7-K$6))))</f>
        <v>0.179509428153943</v>
      </c>
      <c r="L749" s="2" t="n">
        <v>0.843395213</v>
      </c>
      <c r="M749" s="2" t="n">
        <f aca="false">IF(M$7=M$5,M$6,IF(NORMSDIST(M$9*SQRT($C$11)*NORMSINV($B749)+SQRT(1-M$9^2*$C$11)*NORMSINV(L749))&lt;M$8,M$5+SQRT(NORMSDIST(M$9*SQRT($C$11)*NORMSINV($B749)+SQRT(1-M$9^2*$C$11)*NORMSINV(L749))*(M$7-M$5)*(M$6-M$5)),M$7-SQRT((1-NORMSDIST(M$9*SQRT($C$11)*NORMSINV($B749)+SQRT(1-M$9^2*$C$11)*NORMSINV(L749)))*(M$7-M$5)*(M$7-M$6))))</f>
        <v>1527.9681668347</v>
      </c>
      <c r="N749" s="2" t="n">
        <v>0.571478019</v>
      </c>
      <c r="O749" s="2" t="n">
        <f aca="false">IF(O$7=O$5,O$6,IF(NORMSDIST(O$9*SQRT($C$11)*NORMSINV($B749)+SQRT(1-O$9^2*$C$11)*NORMSINV(N749))&lt;O$8,O$5+SQRT(NORMSDIST(O$9*SQRT($C$11)*NORMSINV($B749)+SQRT(1-O$9^2*$C$11)*NORMSINV(N749))*(O$7-O$5)*(O$6-O$5)),O$7-SQRT((1-NORMSDIST(O$9*SQRT($C$11)*NORMSINV($B749)+SQRT(1-O$9^2*$C$11)*NORMSINV(N749)))*(O$7-O$5)*(O$7-O$6))))</f>
        <v>0.153763045106034</v>
      </c>
      <c r="P749" s="2" t="n">
        <v>0.23433409</v>
      </c>
      <c r="Q749" s="2" t="n">
        <f aca="false">IF(Q$7=Q$5,Q$6,IF(NORMSDIST(Q$9*SQRT($C$11)*NORMSINV($B749)+SQRT(1-Q$9^2*$C$11)*NORMSINV(P749))&lt;Q$8,Q$5+SQRT(NORMSDIST(Q$9*SQRT($C$11)*NORMSINV($B749)+SQRT(1-Q$9^2*$C$11)*NORMSINV(P749))*(Q$7-Q$5)*(Q$6-Q$5)),Q$7-SQRT((1-NORMSDIST(Q$9*SQRT($C$11)*NORMSINV($B749)+SQRT(1-Q$9^2*$C$11)*NORMSINV(P749)))*(Q$7-Q$5)*(Q$7-Q$6))))</f>
        <v>0.0673837376557693</v>
      </c>
      <c r="R749" s="2" t="n">
        <v>0.490685724</v>
      </c>
      <c r="S749" s="2" t="n">
        <f aca="false">IF(S$7=S$5,S$6,IF(NORMSDIST(S$9*SQRT($C$11)*NORMSINV($B749)+SQRT(1-S$9^2*$C$11)*NORMSINV(R749))&lt;S$8,S$5+SQRT(NORMSDIST(S$9*SQRT($C$11)*NORMSINV($B749)+SQRT(1-S$9^2*$C$11)*NORMSINV(R749))*(S$7-S$5)*(S$6-S$5)),S$7-SQRT((1-NORMSDIST(S$9*SQRT($C$11)*NORMSINV($B749)+SQRT(1-S$9^2*$C$11)*NORMSINV(R749)))*(S$7-S$5)*(S$7-S$6))))</f>
        <v>0.224987463429186</v>
      </c>
      <c r="T749" s="2" t="n">
        <v>0.394926802</v>
      </c>
      <c r="U749" s="2" t="n">
        <f aca="false">IF(U$7=U$5,U$6,IF(NORMSDIST(U$9*SQRT($C$11)*NORMSINV($B749)+SQRT(1-U$9^2*$C$11)*NORMSINV(T749))&lt;U$8,U$5+SQRT(NORMSDIST(U$9*SQRT($C$11)*NORMSINV($B749)+SQRT(1-U$9^2*$C$11)*NORMSINV(T749))*(U$7-U$5)*(U$6-U$5)),U$7-SQRT((1-NORMSDIST(U$9*SQRT($C$11)*NORMSINV($B749)+SQRT(1-U$9^2*$C$11)*NORMSINV(T749)))*(U$7-U$5)*(U$7-U$6))))</f>
        <v>0.189409092009622</v>
      </c>
      <c r="V749" s="2" t="n">
        <v>0.178044834</v>
      </c>
      <c r="W749" s="2" t="n">
        <f aca="false">IF(W$7=W$5,W$6,IF(NORMSDIST(W$9*SQRT($C$11)*NORMSINV($B749)+SQRT(1-W$9^2*$C$11)*NORMSINV(V749))&lt;W$8,W$5+SQRT(NORMSDIST(W$9*SQRT($C$11)*NORMSINV($B749)+SQRT(1-W$9^2*$C$11)*NORMSINV(V749))*(W$7-W$5)*(W$6-W$5)),W$7-SQRT((1-NORMSDIST(W$9*SQRT($C$11)*NORMSINV($B749)+SQRT(1-W$9^2*$C$11)*NORMSINV(V749)))*(W$7-W$5)*(W$7-W$6))))</f>
        <v>8.44133052013091</v>
      </c>
      <c r="X749" s="2" t="n">
        <v>0.454849208</v>
      </c>
      <c r="Y749" s="2" t="n">
        <f aca="false">IF(Y$7=Y$5,Y$6,IF(NORMSDIST(Y$9*SQRT($C$11)*NORMSINV($B749)+SQRT(1-Y$9^2*$C$11)*NORMSINV(X749))&lt;Y$8,Y$5+SQRT(NORMSDIST(Y$9*SQRT($C$11)*NORMSINV($B749)+SQRT(1-Y$9^2*$C$11)*NORMSINV(X749))*(Y$7-Y$5)*(Y$6-Y$5)),Y$7-SQRT((1-NORMSDIST(Y$9*SQRT($C$11)*NORMSINV($B749)+SQRT(1-Y$9^2*$C$11)*NORMSINV(X749)))*(Y$7-Y$5)*(Y$7-Y$6))))</f>
        <v>0.476890557675448</v>
      </c>
      <c r="Z749" s="2" t="n">
        <v>0.510768699</v>
      </c>
      <c r="AA749" s="2" t="n">
        <f aca="false">IF(AA$7=AA$5,AA$6,IF(NORMSDIST(AA$9*SQRT($C$11)*NORMSINV($B749)+SQRT(1-AA$9^2*$C$11)*NORMSINV(Z749))&lt;AA$8,AA$5+SQRT(NORMSDIST(AA$9*SQRT($C$11)*NORMSINV($B749)+SQRT(1-AA$9^2*$C$11)*NORMSINV(Z749))*(AA$7-AA$5)*(AA$6-AA$5)),AA$7-SQRT((1-NORMSDIST(AA$9*SQRT($C$11)*NORMSINV($B749)+SQRT(1-AA$9^2*$C$11)*NORMSINV(Z749)))*(AA$7-AA$5)*(AA$7-AA$6))))</f>
        <v>0.710554037175401</v>
      </c>
      <c r="AB749" s="2" t="n">
        <v>0.83826985</v>
      </c>
      <c r="AC749" s="2" t="n">
        <f aca="false">IF(AC$7=AC$5,AC$6,IF(NORMSDIST(AC$9*SQRT($C$11)*NORMSINV($B749)+SQRT(1-AC$9^2*$C$11)*NORMSINV(AB749))&lt;AC$8,AC$5+SQRT(NORMSDIST(AC$9*SQRT($C$11)*NORMSINV($B749)+SQRT(1-AC$9^2*$C$11)*NORMSINV(AB749))*(AC$7-AC$5)*(AC$6-AC$5)),AC$7-SQRT((1-NORMSDIST(AC$9*SQRT($C$11)*NORMSINV($B749)+SQRT(1-AC$9^2*$C$11)*NORMSINV(AB749)))*(AC$7-AC$5)*(AC$7-AC$6))))</f>
        <v>9.04051753591145</v>
      </c>
      <c r="AD749" s="2" t="n">
        <f aca="false">Entrées!$C$8*(1+E749)</f>
        <v>7442.1001649556</v>
      </c>
      <c r="AE749" s="2" t="n">
        <f aca="false">I749*Hypothèses!$J$24/12/Hypothèses!$J$19</f>
        <v>96.4508443875725</v>
      </c>
      <c r="AF749" s="2" t="n">
        <f aca="false">Entrées!$C$36*S749*1000</f>
        <v>112.493731714593</v>
      </c>
      <c r="AG749" s="2" t="n">
        <f aca="false">-AF749/W749</f>
        <v>-13.3265403417527</v>
      </c>
      <c r="AH749" s="2" t="n">
        <f aca="false">AD749+AE749+AG749</f>
        <v>7525.22446900142</v>
      </c>
      <c r="AI749" s="2" t="n">
        <f aca="false">Entrées!$C$16-M749+Hypothèses!$J$22*1000-AF749+Hypothèses!$J$23</f>
        <v>22907.5381014507</v>
      </c>
      <c r="AJ749" s="2" t="n">
        <f aca="false">AI749/AH749</f>
        <v>3.04410030502259</v>
      </c>
      <c r="AK749" s="2" t="n">
        <f aca="false">AI749/(AH749+I749*(12-Hypothèses!$J$24)/12/Hypothèses!$J$19)</f>
        <v>3.01648437840731</v>
      </c>
      <c r="AL749" s="2" t="n">
        <f aca="false">(AD749+AG749+I749/Hypothèses!$J$19)*(1+G749)</f>
        <v>7964.64340723944</v>
      </c>
      <c r="AM749" s="2" t="n">
        <f aca="false">Entrées!$C$54*K749/Hypothèses!$J$19</f>
        <v>18.3196908544928</v>
      </c>
      <c r="AN749" s="2" t="n">
        <f aca="false">Y749*1000/AC749</f>
        <v>52.7503603395609</v>
      </c>
      <c r="AO749" s="2" t="n">
        <f aca="false">(Entrées!$C$36*(1-S749)+MAX(0,Entrées!$C$30-Entrées!$C$35-Entrées!$C$36)*U749)*1000</f>
        <v>652.678997098878</v>
      </c>
      <c r="AP749" s="2" t="n">
        <f aca="false">-AO749/W749</f>
        <v>-77.3194457369448</v>
      </c>
      <c r="AQ749" s="2" t="n">
        <f aca="false">AL749+AM749+AN749+AP749</f>
        <v>7958.39401269655</v>
      </c>
      <c r="AR749" s="2" t="n">
        <f aca="false">O749*AQ749-Hypothèses!$J$25/Hypothèses!$J$19</f>
        <v>1204.57173528422</v>
      </c>
      <c r="AS749" s="2" t="n">
        <f aca="false">Entrées!$C$79*(1+Q749)+Hypothèses!$J$20</f>
        <v>1468.05472768369</v>
      </c>
      <c r="AT749" s="2" t="n">
        <f aca="false">AI749-AR749+AS749+Y749*1000-AO749+Hypothèses!$J$23</f>
        <v>22995.2326544267</v>
      </c>
      <c r="AU749" s="2" t="n">
        <f aca="false">AT749/AQ749</f>
        <v>2.8894312869834</v>
      </c>
      <c r="AV749" s="2" t="n">
        <f aca="false">Hypothèses!$J$26*AQ749-AT749</f>
        <v>879.949383662904</v>
      </c>
      <c r="AW749" s="2" t="n">
        <f aca="false">IF(AC749&gt;Hypothèses!$J$26,MAX(0,AV749)/(1-Hypothèses!$J$26/AC749),0)</f>
        <v>1316.97288956195</v>
      </c>
      <c r="AX749" s="2" t="n">
        <f aca="false">AQ749-Entrées!$C$17*1000</f>
        <v>-41.6059873034519</v>
      </c>
      <c r="AY749" s="2" t="n">
        <f aca="false">AI749+(Entrées!$C$244-Entrées!$C$13)</f>
        <v>28654.5381014507</v>
      </c>
      <c r="AZ749" s="2" t="n">
        <f aca="false">AA749*AH749</f>
        <v>5347.07862710007</v>
      </c>
      <c r="BA749" s="2" t="n">
        <f aca="false">AZ749/AY749</f>
        <v>0.186604949211496</v>
      </c>
      <c r="BB749" s="2" t="n">
        <f aca="false">AZ749/(Entrées!$C$151/100)-AY749</f>
        <v>1051.45427132748</v>
      </c>
      <c r="BC749" s="2" t="n">
        <f aca="false">AT749+(Entrées!$C$244-Entrées!$C$13)</f>
        <v>28742.2326544267</v>
      </c>
      <c r="BD749" s="2" t="n">
        <f aca="false">AA749*AQ749</f>
        <v>5654.86899515408</v>
      </c>
      <c r="BE749" s="2" t="n">
        <f aca="false">BD749/BC749</f>
        <v>0.196744249590616</v>
      </c>
      <c r="BF749" s="2" t="n">
        <f aca="false">BD749/(Entrées!$C$151/100)-BC749</f>
        <v>2673.70620754034</v>
      </c>
      <c r="BG749" s="2" t="n">
        <f aca="false">MIN(AV749,BF749)</f>
        <v>879.949383662904</v>
      </c>
      <c r="BH749" s="2" t="n">
        <f aca="false">IF(AC749&gt;Hypothèses!$J$26,MAX(0,BG749)/(1-Hypothèses!$J$26/AC749),0)</f>
        <v>1316.97288956195</v>
      </c>
    </row>
    <row r="750" customFormat="false" ht="15" hidden="false" customHeight="false" outlineLevel="0" collapsed="false">
      <c r="A750" s="2" t="n">
        <v>735</v>
      </c>
      <c r="B750" s="2" t="n">
        <v>0.787866409</v>
      </c>
      <c r="C750" s="2"/>
      <c r="D750" s="2" t="n">
        <v>0.790732154</v>
      </c>
      <c r="E750" s="2" t="n">
        <f aca="false">IF(E$7=E$5,E$6,IF(NORMSDIST(E$9*SQRT($C$11)*NORMSINV($B750)+SQRT(1-E$9^2*$C$11)*NORMSINV(D750))&lt;E$8,E$5+SQRT(NORMSDIST(E$9*SQRT($C$11)*NORMSINV($B750)+SQRT(1-E$9^2*$C$11)*NORMSINV(D750))*(E$7-E$5)*(E$6-E$5)),E$7-SQRT((1-NORMSDIST(E$9*SQRT($C$11)*NORMSINV($B750)+SQRT(1-E$9^2*$C$11)*NORMSINV(D750)))*(E$7-E$5)*(E$7-E$6))))</f>
        <v>0.0574620700450391</v>
      </c>
      <c r="F750" s="2" t="n">
        <v>0.610607913</v>
      </c>
      <c r="G750" s="2" t="n">
        <f aca="false">IF(G$7=G$5,G$6,IF(NORMSDIST(G$9*SQRT($C$11)*NORMSINV($B750)+SQRT(1-G$9^2*$C$11)*NORMSINV(F750))&lt;G$8,G$5+SQRT(NORMSDIST(G$9*SQRT($C$11)*NORMSINV($B750)+SQRT(1-G$9^2*$C$11)*NORMSINV(F750))*(G$7-G$5)*(G$6-G$5)),G$7-SQRT((1-NORMSDIST(G$9*SQRT($C$11)*NORMSINV($B750)+SQRT(1-G$9^2*$C$11)*NORMSINV(F750)))*(G$7-G$5)*(G$7-G$6))))</f>
        <v>0.0597196473566047</v>
      </c>
      <c r="H750" s="2" t="n">
        <v>0.661718653</v>
      </c>
      <c r="I750" s="2" t="n">
        <f aca="false">IF(I$7=I$5,I$6,IF(NORMSDIST(I$9*SQRT($C$11)*NORMSINV($B750)+SQRT(1-I$9^2*$C$11)*NORMSINV(H750))&lt;I$8,I$5+SQRT(NORMSDIST(I$9*SQRT($C$11)*NORMSINV($B750)+SQRT(1-I$9^2*$C$11)*NORMSINV(H750))*(I$7-I$5)*(I$6-I$5)),I$7-SQRT((1-NORMSDIST(I$9*SQRT($C$11)*NORMSINV($B750)+SQRT(1-I$9^2*$C$11)*NORMSINV(H750)))*(I$7-I$5)*(I$7-I$6))))</f>
        <v>207.23450048781</v>
      </c>
      <c r="J750" s="2" t="n">
        <v>0.401081827</v>
      </c>
      <c r="K750" s="2" t="n">
        <f aca="false">IF(K$7=K$5,K$6,IF(NORMSDIST(K$9*SQRT($C$11)*NORMSINV($B750)+SQRT(1-K$9^2*$C$11)*NORMSINV(J750))&lt;K$8,K$5+SQRT(NORMSDIST(K$9*SQRT($C$11)*NORMSINV($B750)+SQRT(1-K$9^2*$C$11)*NORMSINV(J750))*(K$7-K$5)*(K$6-K$5)),K$7-SQRT((1-NORMSDIST(K$9*SQRT($C$11)*NORMSINV($B750)+SQRT(1-K$9^2*$C$11)*NORMSINV(J750)))*(K$7-K$5)*(K$7-K$6))))</f>
        <v>0.282689027899604</v>
      </c>
      <c r="L750" s="2" t="n">
        <v>0.434129161</v>
      </c>
      <c r="M750" s="2" t="n">
        <f aca="false">IF(M$7=M$5,M$6,IF(NORMSDIST(M$9*SQRT($C$11)*NORMSINV($B750)+SQRT(1-M$9^2*$C$11)*NORMSINV(L750))&lt;M$8,M$5+SQRT(NORMSDIST(M$9*SQRT($C$11)*NORMSINV($B750)+SQRT(1-M$9^2*$C$11)*NORMSINV(L750))*(M$7-M$5)*(M$6-M$5)),M$7-SQRT((1-NORMSDIST(M$9*SQRT($C$11)*NORMSINV($B750)+SQRT(1-M$9^2*$C$11)*NORMSINV(L750)))*(M$7-M$5)*(M$7-M$6))))</f>
        <v>1624.12533522144</v>
      </c>
      <c r="N750" s="2" t="n">
        <v>0.168024222</v>
      </c>
      <c r="O750" s="2" t="n">
        <f aca="false">IF(O$7=O$5,O$6,IF(NORMSDIST(O$9*SQRT($C$11)*NORMSINV($B750)+SQRT(1-O$9^2*$C$11)*NORMSINV(N750))&lt;O$8,O$5+SQRT(NORMSDIST(O$9*SQRT($C$11)*NORMSINV($B750)+SQRT(1-O$9^2*$C$11)*NORMSINV(N750))*(O$7-O$5)*(O$6-O$5)),O$7-SQRT((1-NORMSDIST(O$9*SQRT($C$11)*NORMSINV($B750)+SQRT(1-O$9^2*$C$11)*NORMSINV(N750)))*(O$7-O$5)*(O$7-O$6))))</f>
        <v>0.164113190207944</v>
      </c>
      <c r="P750" s="2" t="n">
        <v>0.017527518</v>
      </c>
      <c r="Q750" s="2" t="n">
        <f aca="false">IF(Q$7=Q$5,Q$6,IF(NORMSDIST(Q$9*SQRT($C$11)*NORMSINV($B750)+SQRT(1-Q$9^2*$C$11)*NORMSINV(P750))&lt;Q$8,Q$5+SQRT(NORMSDIST(Q$9*SQRT($C$11)*NORMSINV($B750)+SQRT(1-Q$9^2*$C$11)*NORMSINV(P750))*(Q$7-Q$5)*(Q$6-Q$5)),Q$7-SQRT((1-NORMSDIST(Q$9*SQRT($C$11)*NORMSINV($B750)+SQRT(1-Q$9^2*$C$11)*NORMSINV(P750)))*(Q$7-Q$5)*(Q$7-Q$6))))</f>
        <v>0.047489196058323</v>
      </c>
      <c r="R750" s="2" t="n">
        <v>0.093934791</v>
      </c>
      <c r="S750" s="2" t="n">
        <f aca="false">IF(S$7=S$5,S$6,IF(NORMSDIST(S$9*SQRT($C$11)*NORMSINV($B750)+SQRT(1-S$9^2*$C$11)*NORMSINV(R750))&lt;S$8,S$5+SQRT(NORMSDIST(S$9*SQRT($C$11)*NORMSINV($B750)+SQRT(1-S$9^2*$C$11)*NORMSINV(R750))*(S$7-S$5)*(S$6-S$5)),S$7-SQRT((1-NORMSDIST(S$9*SQRT($C$11)*NORMSINV($B750)+SQRT(1-S$9^2*$C$11)*NORMSINV(R750)))*(S$7-S$5)*(S$7-S$6))))</f>
        <v>0.389471504161612</v>
      </c>
      <c r="T750" s="2" t="n">
        <v>0.769471138</v>
      </c>
      <c r="U750" s="2" t="n">
        <f aca="false">IF(U$7=U$5,U$6,IF(NORMSDIST(U$9*SQRT($C$11)*NORMSINV($B750)+SQRT(1-U$9^2*$C$11)*NORMSINV(T750))&lt;U$8,U$5+SQRT(NORMSDIST(U$9*SQRT($C$11)*NORMSINV($B750)+SQRT(1-U$9^2*$C$11)*NORMSINV(T750))*(U$7-U$5)*(U$6-U$5)),U$7-SQRT((1-NORMSDIST(U$9*SQRT($C$11)*NORMSINV($B750)+SQRT(1-U$9^2*$C$11)*NORMSINV(T750)))*(U$7-U$5)*(U$7-U$6))))</f>
        <v>0.73458271462033</v>
      </c>
      <c r="V750" s="2" t="n">
        <v>0.229410359</v>
      </c>
      <c r="W750" s="2" t="n">
        <f aca="false">IF(W$7=W$5,W$6,IF(NORMSDIST(W$9*SQRT($C$11)*NORMSINV($B750)+SQRT(1-W$9^2*$C$11)*NORMSINV(V750))&lt;W$8,W$5+SQRT(NORMSDIST(W$9*SQRT($C$11)*NORMSINV($B750)+SQRT(1-W$9^2*$C$11)*NORMSINV(V750))*(W$7-W$5)*(W$6-W$5)),W$7-SQRT((1-NORMSDIST(W$9*SQRT($C$11)*NORMSINV($B750)+SQRT(1-W$9^2*$C$11)*NORMSINV(V750)))*(W$7-W$5)*(W$7-W$6))))</f>
        <v>9.94465673701347</v>
      </c>
      <c r="X750" s="2" t="n">
        <v>0.660715412</v>
      </c>
      <c r="Y750" s="2" t="n">
        <f aca="false">IF(Y$7=Y$5,Y$6,IF(NORMSDIST(Y$9*SQRT($C$11)*NORMSINV($B750)+SQRT(1-Y$9^2*$C$11)*NORMSINV(X750))&lt;Y$8,Y$5+SQRT(NORMSDIST(Y$9*SQRT($C$11)*NORMSINV($B750)+SQRT(1-Y$9^2*$C$11)*NORMSINV(X750))*(Y$7-Y$5)*(Y$6-Y$5)),Y$7-SQRT((1-NORMSDIST(Y$9*SQRT($C$11)*NORMSINV($B750)+SQRT(1-Y$9^2*$C$11)*NORMSINV(X750)))*(Y$7-Y$5)*(Y$7-Y$6))))</f>
        <v>0.58812344810611</v>
      </c>
      <c r="Z750" s="2" t="n">
        <v>0.517199032</v>
      </c>
      <c r="AA750" s="2" t="n">
        <f aca="false">IF(AA$7=AA$5,AA$6,IF(NORMSDIST(AA$9*SQRT($C$11)*NORMSINV($B750)+SQRT(1-AA$9^2*$C$11)*NORMSINV(Z750))&lt;AA$8,AA$5+SQRT(NORMSDIST(AA$9*SQRT($C$11)*NORMSINV($B750)+SQRT(1-AA$9^2*$C$11)*NORMSINV(Z750))*(AA$7-AA$5)*(AA$6-AA$5)),AA$7-SQRT((1-NORMSDIST(AA$9*SQRT($C$11)*NORMSINV($B750)+SQRT(1-AA$9^2*$C$11)*NORMSINV(Z750)))*(AA$7-AA$5)*(AA$7-AA$6))))</f>
        <v>0.734396505732311</v>
      </c>
      <c r="AB750" s="2" t="n">
        <v>0.447223917</v>
      </c>
      <c r="AC750" s="2" t="n">
        <f aca="false">IF(AC$7=AC$5,AC$6,IF(NORMSDIST(AC$9*SQRT($C$11)*NORMSINV($B750)+SQRT(1-AC$9^2*$C$11)*NORMSINV(AB750))&lt;AC$8,AC$5+SQRT(NORMSDIST(AC$9*SQRT($C$11)*NORMSINV($B750)+SQRT(1-AC$9^2*$C$11)*NORMSINV(AB750))*(AC$7-AC$5)*(AC$6-AC$5)),AC$7-SQRT((1-NORMSDIST(AC$9*SQRT($C$11)*NORMSINV($B750)+SQRT(1-AC$9^2*$C$11)*NORMSINV(AB750)))*(AC$7-AC$5)*(AC$7-AC$6))))</f>
        <v>9.78139984276142</v>
      </c>
      <c r="AD750" s="2" t="n">
        <f aca="false">Entrées!$C$8*(1+E750)</f>
        <v>7455.10759381753</v>
      </c>
      <c r="AE750" s="2" t="n">
        <f aca="false">I750*Hypothèses!$J$24/12/Hypothèses!$J$19</f>
        <v>102.80837241218</v>
      </c>
      <c r="AF750" s="2" t="n">
        <f aca="false">Entrées!$C$36*S750*1000</f>
        <v>194.735752080806</v>
      </c>
      <c r="AG750" s="2" t="n">
        <f aca="false">-AF750/W750</f>
        <v>-19.5819480984206</v>
      </c>
      <c r="AH750" s="2" t="n">
        <f aca="false">AD750+AE750+AG750</f>
        <v>7538.33401813129</v>
      </c>
      <c r="AI750" s="2" t="n">
        <f aca="false">Entrées!$C$16-M750+Hypothèses!$J$22*1000-AF750+Hypothèses!$J$23</f>
        <v>22729.1389126978</v>
      </c>
      <c r="AJ750" s="2" t="n">
        <f aca="false">AI750/AH750</f>
        <v>3.01514085977477</v>
      </c>
      <c r="AK750" s="2" t="n">
        <f aca="false">AI750/(AH750+I750*(12-Hypothèses!$J$24)/12/Hypothèses!$J$19)</f>
        <v>2.98605228260808</v>
      </c>
      <c r="AL750" s="2" t="n">
        <f aca="false">(AD750+AG750+I750/Hypothèses!$J$19)*(1+G750)</f>
        <v>8066.34070460606</v>
      </c>
      <c r="AM750" s="2" t="n">
        <f aca="false">Entrées!$C$54*K750/Hypothèses!$J$19</f>
        <v>28.8496022316812</v>
      </c>
      <c r="AN750" s="2" t="n">
        <f aca="false">Y750*1000/AC750</f>
        <v>60.1267157626055</v>
      </c>
      <c r="AO750" s="2" t="n">
        <f aca="false">(Entrées!$C$36*(1-S750)+MAX(0,Entrées!$C$30-Entrées!$C$35-Entrées!$C$36)*U750)*1000</f>
        <v>1333.68004838766</v>
      </c>
      <c r="AP750" s="2" t="n">
        <f aca="false">-AO750/W750</f>
        <v>-134.110214525934</v>
      </c>
      <c r="AQ750" s="2" t="n">
        <f aca="false">AL750+AM750+AN750+AP750</f>
        <v>8021.20680807441</v>
      </c>
      <c r="AR750" s="2" t="n">
        <f aca="false">O750*AQ750-Hypothèses!$J$25/Hypothèses!$J$19</f>
        <v>1297.25067632915</v>
      </c>
      <c r="AS750" s="2" t="n">
        <f aca="false">Entrées!$C$79*(1+Q750)+Hypothèses!$J$20</f>
        <v>1446.1906264681</v>
      </c>
      <c r="AT750" s="2" t="n">
        <f aca="false">AI750-AR750+AS750+Y750*1000-AO750+Hypothèses!$J$23</f>
        <v>22132.5222625552</v>
      </c>
      <c r="AU750" s="2" t="n">
        <f aca="false">AT750/AQ750</f>
        <v>2.7592509197339</v>
      </c>
      <c r="AV750" s="2" t="n">
        <f aca="false">Hypothèses!$J$26*AQ750-AT750</f>
        <v>1931.09816166806</v>
      </c>
      <c r="AW750" s="2" t="n">
        <f aca="false">IF(AC750&gt;Hypothèses!$J$26,MAX(0,AV750)/(1-Hypothèses!$J$26/AC750),0)</f>
        <v>2785.38999216498</v>
      </c>
      <c r="AX750" s="2" t="n">
        <f aca="false">AQ750-Entrées!$C$17*1000</f>
        <v>21.2068080744066</v>
      </c>
      <c r="AY750" s="2" t="n">
        <f aca="false">AI750+(Entrées!$C$244-Entrées!$C$13)</f>
        <v>28476.1389126978</v>
      </c>
      <c r="AZ750" s="2" t="n">
        <f aca="false">AA750*AH750</f>
        <v>5536.12616195863</v>
      </c>
      <c r="BA750" s="2" t="n">
        <f aca="false">AZ750/AY750</f>
        <v>0.194412809227097</v>
      </c>
      <c r="BB750" s="2" t="n">
        <f aca="false">AZ750/(Entrées!$C$151/100)-AY750</f>
        <v>2280.11754262796</v>
      </c>
      <c r="BC750" s="2" t="n">
        <f aca="false">AT750+(Entrées!$C$244-Entrées!$C$13)</f>
        <v>27879.5222625552</v>
      </c>
      <c r="BD750" s="2" t="n">
        <f aca="false">AA750*AQ750</f>
        <v>5890.74625160607</v>
      </c>
      <c r="BE750" s="2" t="n">
        <f aca="false">BD750/BC750</f>
        <v>0.211292940966851</v>
      </c>
      <c r="BF750" s="2" t="n">
        <f aca="false">BD750/(Entrées!$C$151/100)-BC750</f>
        <v>4846.845801923</v>
      </c>
      <c r="BG750" s="2" t="n">
        <f aca="false">MIN(AV750,BF750)</f>
        <v>1931.09816166806</v>
      </c>
      <c r="BH750" s="2" t="n">
        <f aca="false">IF(AC750&gt;Hypothèses!$J$26,MAX(0,BG750)/(1-Hypothèses!$J$26/AC750),0)</f>
        <v>2785.38999216498</v>
      </c>
    </row>
    <row r="751" customFormat="false" ht="15" hidden="false" customHeight="false" outlineLevel="0" collapsed="false">
      <c r="A751" s="2" t="n">
        <v>736</v>
      </c>
      <c r="B751" s="2" t="n">
        <v>0.110877815</v>
      </c>
      <c r="C751" s="2"/>
      <c r="D751" s="2" t="n">
        <v>0.893532574</v>
      </c>
      <c r="E751" s="2" t="n">
        <f aca="false">IF(E$7=E$5,E$6,IF(NORMSDIST(E$9*SQRT($C$11)*NORMSINV($B751)+SQRT(1-E$9^2*$C$11)*NORMSINV(D751))&lt;E$8,E$5+SQRT(NORMSDIST(E$9*SQRT($C$11)*NORMSINV($B751)+SQRT(1-E$9^2*$C$11)*NORMSINV(D751))*(E$7-E$5)*(E$6-E$5)),E$7-SQRT((1-NORMSDIST(E$9*SQRT($C$11)*NORMSINV($B751)+SQRT(1-E$9^2*$C$11)*NORMSINV(D751)))*(E$7-E$5)*(E$7-E$6))))</f>
        <v>0.0553963701513968</v>
      </c>
      <c r="F751" s="2" t="n">
        <v>0.061635537</v>
      </c>
      <c r="G751" s="2" t="n">
        <f aca="false">IF(G$7=G$5,G$6,IF(NORMSDIST(G$9*SQRT($C$11)*NORMSINV($B751)+SQRT(1-G$9^2*$C$11)*NORMSINV(F751))&lt;G$8,G$5+SQRT(NORMSDIST(G$9*SQRT($C$11)*NORMSINV($B751)+SQRT(1-G$9^2*$C$11)*NORMSINV(F751))*(G$7-G$5)*(G$6-G$5)),G$7-SQRT((1-NORMSDIST(G$9*SQRT($C$11)*NORMSINV($B751)+SQRT(1-G$9^2*$C$11)*NORMSINV(F751)))*(G$7-G$5)*(G$7-G$6))))</f>
        <v>0.0433282334882748</v>
      </c>
      <c r="H751" s="2" t="n">
        <v>0.913118621</v>
      </c>
      <c r="I751" s="2" t="n">
        <f aca="false">IF(I$7=I$5,I$6,IF(NORMSDIST(I$9*SQRT($C$11)*NORMSINV($B751)+SQRT(1-I$9^2*$C$11)*NORMSINV(H751))&lt;I$8,I$5+SQRT(NORMSDIST(I$9*SQRT($C$11)*NORMSINV($B751)+SQRT(1-I$9^2*$C$11)*NORMSINV(H751))*(I$7-I$5)*(I$6-I$5)),I$7-SQRT((1-NORMSDIST(I$9*SQRT($C$11)*NORMSINV($B751)+SQRT(1-I$9^2*$C$11)*NORMSINV(H751)))*(I$7-I$5)*(I$7-I$6))))</f>
        <v>202.34965653742</v>
      </c>
      <c r="J751" s="2" t="n">
        <v>0.906960872</v>
      </c>
      <c r="K751" s="2" t="n">
        <f aca="false">IF(K$7=K$5,K$6,IF(NORMSDIST(K$9*SQRT($C$11)*NORMSINV($B751)+SQRT(1-K$9^2*$C$11)*NORMSINV(J751))&lt;K$8,K$5+SQRT(NORMSDIST(K$9*SQRT($C$11)*NORMSINV($B751)+SQRT(1-K$9^2*$C$11)*NORMSINV(J751))*(K$7-K$5)*(K$6-K$5)),K$7-SQRT((1-NORMSDIST(K$9*SQRT($C$11)*NORMSINV($B751)+SQRT(1-K$9^2*$C$11)*NORMSINV(J751)))*(K$7-K$5)*(K$7-K$6))))</f>
        <v>0.27618790712495</v>
      </c>
      <c r="L751" s="2" t="n">
        <v>0.611019806</v>
      </c>
      <c r="M751" s="2" t="n">
        <f aca="false">IF(M$7=M$5,M$6,IF(NORMSDIST(M$9*SQRT($C$11)*NORMSINV($B751)+SQRT(1-M$9^2*$C$11)*NORMSINV(L751))&lt;M$8,M$5+SQRT(NORMSDIST(M$9*SQRT($C$11)*NORMSINV($B751)+SQRT(1-M$9^2*$C$11)*NORMSINV(L751))*(M$7-M$5)*(M$6-M$5)),M$7-SQRT((1-NORMSDIST(M$9*SQRT($C$11)*NORMSINV($B751)+SQRT(1-M$9^2*$C$11)*NORMSINV(L751)))*(M$7-M$5)*(M$7-M$6))))</f>
        <v>1517.95602432199</v>
      </c>
      <c r="N751" s="2" t="n">
        <v>0.274792486</v>
      </c>
      <c r="O751" s="2" t="n">
        <f aca="false">IF(O$7=O$5,O$6,IF(NORMSDIST(O$9*SQRT($C$11)*NORMSINV($B751)+SQRT(1-O$9^2*$C$11)*NORMSINV(N751))&lt;O$8,O$5+SQRT(NORMSDIST(O$9*SQRT($C$11)*NORMSINV($B751)+SQRT(1-O$9^2*$C$11)*NORMSINV(N751))*(O$7-O$5)*(O$6-O$5)),O$7-SQRT((1-NORMSDIST(O$9*SQRT($C$11)*NORMSINV($B751)+SQRT(1-O$9^2*$C$11)*NORMSINV(N751)))*(O$7-O$5)*(O$7-O$6))))</f>
        <v>0.152458463140617</v>
      </c>
      <c r="P751" s="2" t="n">
        <v>0.40926623</v>
      </c>
      <c r="Q751" s="2" t="n">
        <f aca="false">IF(Q$7=Q$5,Q$6,IF(NORMSDIST(Q$9*SQRT($C$11)*NORMSINV($B751)+SQRT(1-Q$9^2*$C$11)*NORMSINV(P751))&lt;Q$8,Q$5+SQRT(NORMSDIST(Q$9*SQRT($C$11)*NORMSINV($B751)+SQRT(1-Q$9^2*$C$11)*NORMSINV(P751))*(Q$7-Q$5)*(Q$6-Q$5)),Q$7-SQRT((1-NORMSDIST(Q$9*SQRT($C$11)*NORMSINV($B751)+SQRT(1-Q$9^2*$C$11)*NORMSINV(P751)))*(Q$7-Q$5)*(Q$7-Q$6))))</f>
        <v>0.0761891135011622</v>
      </c>
      <c r="R751" s="2" t="n">
        <v>0.094456889</v>
      </c>
      <c r="S751" s="2" t="n">
        <f aca="false">IF(S$7=S$5,S$6,IF(NORMSDIST(S$9*SQRT($C$11)*NORMSINV($B751)+SQRT(1-S$9^2*$C$11)*NORMSINV(R751))&lt;S$8,S$5+SQRT(NORMSDIST(S$9*SQRT($C$11)*NORMSINV($B751)+SQRT(1-S$9^2*$C$11)*NORMSINV(R751))*(S$7-S$5)*(S$6-S$5)),S$7-SQRT((1-NORMSDIST(S$9*SQRT($C$11)*NORMSINV($B751)+SQRT(1-S$9^2*$C$11)*NORMSINV(R751)))*(S$7-S$5)*(S$7-S$6))))</f>
        <v>0.135445948125274</v>
      </c>
      <c r="T751" s="2" t="n">
        <v>0.23494706</v>
      </c>
      <c r="U751" s="2" t="n">
        <f aca="false">IF(U$7=U$5,U$6,IF(NORMSDIST(U$9*SQRT($C$11)*NORMSINV($B751)+SQRT(1-U$9^2*$C$11)*NORMSINV(T751))&lt;U$8,U$5+SQRT(NORMSDIST(U$9*SQRT($C$11)*NORMSINV($B751)+SQRT(1-U$9^2*$C$11)*NORMSINV(T751))*(U$7-U$5)*(U$6-U$5)),U$7-SQRT((1-NORMSDIST(U$9*SQRT($C$11)*NORMSINV($B751)+SQRT(1-U$9^2*$C$11)*NORMSINV(T751)))*(U$7-U$5)*(U$7-U$6))))</f>
        <v>0.213706335160126</v>
      </c>
      <c r="V751" s="2" t="n">
        <v>0.361067552</v>
      </c>
      <c r="W751" s="2" t="n">
        <f aca="false">IF(W$7=W$5,W$6,IF(NORMSDIST(W$9*SQRT($C$11)*NORMSINV($B751)+SQRT(1-W$9^2*$C$11)*NORMSINV(V751))&lt;W$8,W$5+SQRT(NORMSDIST(W$9*SQRT($C$11)*NORMSINV($B751)+SQRT(1-W$9^2*$C$11)*NORMSINV(V751))*(W$7-W$5)*(W$6-W$5)),W$7-SQRT((1-NORMSDIST(W$9*SQRT($C$11)*NORMSINV($B751)+SQRT(1-W$9^2*$C$11)*NORMSINV(V751)))*(W$7-W$5)*(W$7-W$6))))</f>
        <v>9.08541540734901</v>
      </c>
      <c r="X751" s="2" t="n">
        <v>0.098972254</v>
      </c>
      <c r="Y751" s="2" t="n">
        <f aca="false">IF(Y$7=Y$5,Y$6,IF(NORMSDIST(Y$9*SQRT($C$11)*NORMSINV($B751)+SQRT(1-Y$9^2*$C$11)*NORMSINV(X751))&lt;Y$8,Y$5+SQRT(NORMSDIST(Y$9*SQRT($C$11)*NORMSINV($B751)+SQRT(1-Y$9^2*$C$11)*NORMSINV(X751))*(Y$7-Y$5)*(Y$6-Y$5)),Y$7-SQRT((1-NORMSDIST(Y$9*SQRT($C$11)*NORMSINV($B751)+SQRT(1-Y$9^2*$C$11)*NORMSINV(X751)))*(Y$7-Y$5)*(Y$7-Y$6))))</f>
        <v>0.222454775179136</v>
      </c>
      <c r="Z751" s="2" t="n">
        <v>0.50607372</v>
      </c>
      <c r="AA751" s="2" t="n">
        <f aca="false">IF(AA$7=AA$5,AA$6,IF(NORMSDIST(AA$9*SQRT($C$11)*NORMSINV($B751)+SQRT(1-AA$9^2*$C$11)*NORMSINV(Z751))&lt;AA$8,AA$5+SQRT(NORMSDIST(AA$9*SQRT($C$11)*NORMSINV($B751)+SQRT(1-AA$9^2*$C$11)*NORMSINV(Z751))*(AA$7-AA$5)*(AA$6-AA$5)),AA$7-SQRT((1-NORMSDIST(AA$9*SQRT($C$11)*NORMSINV($B751)+SQRT(1-AA$9^2*$C$11)*NORMSINV(Z751)))*(AA$7-AA$5)*(AA$7-AA$6))))</f>
        <v>0.717195075253352</v>
      </c>
      <c r="AB751" s="2" t="n">
        <v>0.908166573</v>
      </c>
      <c r="AC751" s="2" t="n">
        <f aca="false">IF(AC$7=AC$5,AC$6,IF(NORMSDIST(AC$9*SQRT($C$11)*NORMSINV($B751)+SQRT(1-AC$9^2*$C$11)*NORMSINV(AB751))&lt;AC$8,AC$5+SQRT(NORMSDIST(AC$9*SQRT($C$11)*NORMSINV($B751)+SQRT(1-AC$9^2*$C$11)*NORMSINV(AB751))*(AC$7-AC$5)*(AC$6-AC$5)),AC$7-SQRT((1-NORMSDIST(AC$9*SQRT($C$11)*NORMSINV($B751)+SQRT(1-AC$9^2*$C$11)*NORMSINV(AB751)))*(AC$7-AC$5)*(AC$7-AC$6))))</f>
        <v>9.67957622207371</v>
      </c>
      <c r="AD751" s="2" t="n">
        <f aca="false">Entrées!$C$8*(1+E751)</f>
        <v>7440.54440956735</v>
      </c>
      <c r="AE751" s="2" t="n">
        <f aca="false">I751*Hypothèses!$J$24/12/Hypothèses!$J$19</f>
        <v>100.385016962943</v>
      </c>
      <c r="AF751" s="2" t="n">
        <f aca="false">Entrées!$C$36*S751*1000</f>
        <v>67.7229740626372</v>
      </c>
      <c r="AG751" s="2" t="n">
        <f aca="false">-AF751/W751</f>
        <v>-7.45403165691879</v>
      </c>
      <c r="AH751" s="2" t="n">
        <f aca="false">AD751+AE751+AG751</f>
        <v>7533.47539487337</v>
      </c>
      <c r="AI751" s="2" t="n">
        <f aca="false">Entrées!$C$16-M751+Hypothèses!$J$22*1000-AF751+Hypothèses!$J$23</f>
        <v>22962.3210016154</v>
      </c>
      <c r="AJ751" s="2" t="n">
        <f aca="false">AI751/AH751</f>
        <v>3.04803822910758</v>
      </c>
      <c r="AK751" s="2" t="n">
        <f aca="false">AI751/(AH751+I751*(12-Hypothèses!$J$24)/12/Hypothèses!$J$19)</f>
        <v>3.0193005406943</v>
      </c>
      <c r="AL751" s="2" t="n">
        <f aca="false">(AD751+AG751+I751/Hypothèses!$J$19)*(1+G751)</f>
        <v>7934.69794891536</v>
      </c>
      <c r="AM751" s="2" t="n">
        <f aca="false">Entrées!$C$54*K751/Hypothèses!$J$19</f>
        <v>28.1861355601856</v>
      </c>
      <c r="AN751" s="2" t="n">
        <f aca="false">Y751*1000/AC751</f>
        <v>22.9818713211681</v>
      </c>
      <c r="AO751" s="2" t="n">
        <f aca="false">(Entrées!$C$36*(1-S751)+MAX(0,Entrées!$C$30-Entrées!$C$35-Entrées!$C$36)*U751)*1000</f>
        <v>731.465895161539</v>
      </c>
      <c r="AP751" s="2" t="n">
        <f aca="false">-AO751/W751</f>
        <v>-80.509901018931</v>
      </c>
      <c r="AQ751" s="2" t="n">
        <f aca="false">AL751+AM751+AN751+AP751</f>
        <v>7905.35605477778</v>
      </c>
      <c r="AR751" s="2" t="n">
        <f aca="false">O751*AQ751-Hypothèses!$J$25/Hypothèses!$J$19</f>
        <v>1186.10327242917</v>
      </c>
      <c r="AS751" s="2" t="n">
        <f aca="false">Entrées!$C$79*(1+Q751)+Hypothèses!$J$20</f>
        <v>1477.73183573778</v>
      </c>
      <c r="AT751" s="2" t="n">
        <f aca="false">AI751-AR751+AS751+Y751*1000-AO751+Hypothèses!$J$23</f>
        <v>22744.9384449416</v>
      </c>
      <c r="AU751" s="2" t="n">
        <f aca="false">AT751/AQ751</f>
        <v>2.87715547374936</v>
      </c>
      <c r="AV751" s="2" t="n">
        <f aca="false">Hypothèses!$J$26*AQ751-AT751</f>
        <v>971.129719391774</v>
      </c>
      <c r="AW751" s="2" t="n">
        <f aca="false">IF(AC751&gt;Hypothèses!$J$26,MAX(0,AV751)/(1-Hypothèses!$J$26/AC751),0)</f>
        <v>1407.29349106154</v>
      </c>
      <c r="AX751" s="2" t="n">
        <f aca="false">AQ751-Entrées!$C$17*1000</f>
        <v>-94.6439452222166</v>
      </c>
      <c r="AY751" s="2" t="n">
        <f aca="false">AI751+(Entrées!$C$244-Entrées!$C$13)</f>
        <v>28709.3210016154</v>
      </c>
      <c r="AZ751" s="2" t="n">
        <f aca="false">AA751*AH751</f>
        <v>5402.97145274549</v>
      </c>
      <c r="BA751" s="2" t="n">
        <f aca="false">AZ751/AY751</f>
        <v>0.188195724045214</v>
      </c>
      <c r="BB751" s="2" t="n">
        <f aca="false">AZ751/(Entrées!$C$151/100)-AY751</f>
        <v>1307.18706919289</v>
      </c>
      <c r="BC751" s="2" t="n">
        <f aca="false">AT751+(Entrées!$C$244-Entrées!$C$13)</f>
        <v>28491.9384449416</v>
      </c>
      <c r="BD751" s="2" t="n">
        <f aca="false">AA751*AQ751</f>
        <v>5669.6824306109</v>
      </c>
      <c r="BE751" s="2" t="n">
        <f aca="false">BD751/BC751</f>
        <v>0.198992512972296</v>
      </c>
      <c r="BF751" s="2" t="n">
        <f aca="false">BD751/(Entrées!$C$151/100)-BC751</f>
        <v>3006.29728067452</v>
      </c>
      <c r="BG751" s="2" t="n">
        <f aca="false">MIN(AV751,BF751)</f>
        <v>971.129719391774</v>
      </c>
      <c r="BH751" s="2" t="n">
        <f aca="false">IF(AC751&gt;Hypothèses!$J$26,MAX(0,BG751)/(1-Hypothèses!$J$26/AC751),0)</f>
        <v>1407.29349106154</v>
      </c>
    </row>
    <row r="752" customFormat="false" ht="15" hidden="false" customHeight="false" outlineLevel="0" collapsed="false">
      <c r="A752" s="2" t="n">
        <v>737</v>
      </c>
      <c r="B752" s="2" t="n">
        <v>0.225068734</v>
      </c>
      <c r="C752" s="2"/>
      <c r="D752" s="2" t="n">
        <v>0.077817978</v>
      </c>
      <c r="E752" s="2" t="n">
        <f aca="false">IF(E$7=E$5,E$6,IF(NORMSDIST(E$9*SQRT($C$11)*NORMSINV($B752)+SQRT(1-E$9^2*$C$11)*NORMSINV(D752))&lt;E$8,E$5+SQRT(NORMSDIST(E$9*SQRT($C$11)*NORMSINV($B752)+SQRT(1-E$9^2*$C$11)*NORMSINV(D752))*(E$7-E$5)*(E$6-E$5)),E$7-SQRT((1-NORMSDIST(E$9*SQRT($C$11)*NORMSINV($B752)+SQRT(1-E$9^2*$C$11)*NORMSINV(D752)))*(E$7-E$5)*(E$7-E$6))))</f>
        <v>0.0516932705742322</v>
      </c>
      <c r="F752" s="2" t="n">
        <v>0.826402768</v>
      </c>
      <c r="G752" s="2" t="n">
        <f aca="false">IF(G$7=G$5,G$6,IF(NORMSDIST(G$9*SQRT($C$11)*NORMSINV($B752)+SQRT(1-G$9^2*$C$11)*NORMSINV(F752))&lt;G$8,G$5+SQRT(NORMSDIST(G$9*SQRT($C$11)*NORMSINV($B752)+SQRT(1-G$9^2*$C$11)*NORMSINV(F752))*(G$7-G$5)*(G$6-G$5)),G$7-SQRT((1-NORMSDIST(G$9*SQRT($C$11)*NORMSINV($B752)+SQRT(1-G$9^2*$C$11)*NORMSINV(F752)))*(G$7-G$5)*(G$7-G$6))))</f>
        <v>0.0565653732315002</v>
      </c>
      <c r="H752" s="2" t="n">
        <v>0.513868612</v>
      </c>
      <c r="I752" s="2" t="n">
        <f aca="false">IF(I$7=I$5,I$6,IF(NORMSDIST(I$9*SQRT($C$11)*NORMSINV($B752)+SQRT(1-I$9^2*$C$11)*NORMSINV(H752))&lt;I$8,I$5+SQRT(NORMSDIST(I$9*SQRT($C$11)*NORMSINV($B752)+SQRT(1-I$9^2*$C$11)*NORMSINV(H752))*(I$7-I$5)*(I$6-I$5)),I$7-SQRT((1-NORMSDIST(I$9*SQRT($C$11)*NORMSINV($B752)+SQRT(1-I$9^2*$C$11)*NORMSINV(H752)))*(I$7-I$5)*(I$7-I$6))))</f>
        <v>196.151955258032</v>
      </c>
      <c r="J752" s="2" t="n">
        <v>0.806142644</v>
      </c>
      <c r="K752" s="2" t="n">
        <f aca="false">IF(K$7=K$5,K$6,IF(NORMSDIST(K$9*SQRT($C$11)*NORMSINV($B752)+SQRT(1-K$9^2*$C$11)*NORMSINV(J752))&lt;K$8,K$5+SQRT(NORMSDIST(K$9*SQRT($C$11)*NORMSINV($B752)+SQRT(1-K$9^2*$C$11)*NORMSINV(J752))*(K$7-K$5)*(K$6-K$5)),K$7-SQRT((1-NORMSDIST(K$9*SQRT($C$11)*NORMSINV($B752)+SQRT(1-K$9^2*$C$11)*NORMSINV(J752)))*(K$7-K$5)*(K$7-K$6))))</f>
        <v>0.26975935396156</v>
      </c>
      <c r="L752" s="2" t="n">
        <v>0.636831262</v>
      </c>
      <c r="M752" s="2" t="n">
        <f aca="false">IF(M$7=M$5,M$6,IF(NORMSDIST(M$9*SQRT($C$11)*NORMSINV($B752)+SQRT(1-M$9^2*$C$11)*NORMSINV(L752))&lt;M$8,M$5+SQRT(NORMSDIST(M$9*SQRT($C$11)*NORMSINV($B752)+SQRT(1-M$9^2*$C$11)*NORMSINV(L752))*(M$7-M$5)*(M$6-M$5)),M$7-SQRT((1-NORMSDIST(M$9*SQRT($C$11)*NORMSINV($B752)+SQRT(1-M$9^2*$C$11)*NORMSINV(L752)))*(M$7-M$5)*(M$7-M$6))))</f>
        <v>1561.23968917995</v>
      </c>
      <c r="N752" s="2" t="n">
        <v>0.879602233</v>
      </c>
      <c r="O752" s="2" t="n">
        <f aca="false">IF(O$7=O$5,O$6,IF(NORMSDIST(O$9*SQRT($C$11)*NORMSINV($B752)+SQRT(1-O$9^2*$C$11)*NORMSINV(N752))&lt;O$8,O$5+SQRT(NORMSDIST(O$9*SQRT($C$11)*NORMSINV($B752)+SQRT(1-O$9^2*$C$11)*NORMSINV(N752))*(O$7-O$5)*(O$6-O$5)),O$7-SQRT((1-NORMSDIST(O$9*SQRT($C$11)*NORMSINV($B752)+SQRT(1-O$9^2*$C$11)*NORMSINV(N752)))*(O$7-O$5)*(O$7-O$6))))</f>
        <v>0.171159555128673</v>
      </c>
      <c r="P752" s="2" t="n">
        <v>0.603985389</v>
      </c>
      <c r="Q752" s="2" t="n">
        <f aca="false">IF(Q$7=Q$5,Q$6,IF(NORMSDIST(Q$9*SQRT($C$11)*NORMSINV($B752)+SQRT(1-Q$9^2*$C$11)*NORMSINV(P752))&lt;Q$8,Q$5+SQRT(NORMSDIST(Q$9*SQRT($C$11)*NORMSINV($B752)+SQRT(1-Q$9^2*$C$11)*NORMSINV(P752))*(Q$7-Q$5)*(Q$6-Q$5)),Q$7-SQRT((1-NORMSDIST(Q$9*SQRT($C$11)*NORMSINV($B752)+SQRT(1-Q$9^2*$C$11)*NORMSINV(P752)))*(Q$7-Q$5)*(Q$7-Q$6))))</f>
        <v>0.0844015905523856</v>
      </c>
      <c r="R752" s="2" t="n">
        <v>0.635038075</v>
      </c>
      <c r="S752" s="2" t="n">
        <f aca="false">IF(S$7=S$5,S$6,IF(NORMSDIST(S$9*SQRT($C$11)*NORMSINV($B752)+SQRT(1-S$9^2*$C$11)*NORMSINV(R752))&lt;S$8,S$5+SQRT(NORMSDIST(S$9*SQRT($C$11)*NORMSINV($B752)+SQRT(1-S$9^2*$C$11)*NORMSINV(R752))*(S$7-S$5)*(S$6-S$5)),S$7-SQRT((1-NORMSDIST(S$9*SQRT($C$11)*NORMSINV($B752)+SQRT(1-S$9^2*$C$11)*NORMSINV(R752)))*(S$7-S$5)*(S$7-S$6))))</f>
        <v>0.45648215536234</v>
      </c>
      <c r="T752" s="2" t="n">
        <v>0.393202481</v>
      </c>
      <c r="U752" s="2" t="n">
        <f aca="false">IF(U$7=U$5,U$6,IF(NORMSDIST(U$9*SQRT($C$11)*NORMSINV($B752)+SQRT(1-U$9^2*$C$11)*NORMSINV(T752))&lt;U$8,U$5+SQRT(NORMSDIST(U$9*SQRT($C$11)*NORMSINV($B752)+SQRT(1-U$9^2*$C$11)*NORMSINV(T752))*(U$7-U$5)*(U$6-U$5)),U$7-SQRT((1-NORMSDIST(U$9*SQRT($C$11)*NORMSINV($B752)+SQRT(1-U$9^2*$C$11)*NORMSINV(T752)))*(U$7-U$5)*(U$7-U$6))))</f>
        <v>0.350625555053982</v>
      </c>
      <c r="V752" s="2" t="n">
        <v>0.044392061</v>
      </c>
      <c r="W752" s="2" t="n">
        <f aca="false">IF(W$7=W$5,W$6,IF(NORMSDIST(W$9*SQRT($C$11)*NORMSINV($B752)+SQRT(1-W$9^2*$C$11)*NORMSINV(V752))&lt;W$8,W$5+SQRT(NORMSDIST(W$9*SQRT($C$11)*NORMSINV($B752)+SQRT(1-W$9^2*$C$11)*NORMSINV(V752))*(W$7-W$5)*(W$6-W$5)),W$7-SQRT((1-NORMSDIST(W$9*SQRT($C$11)*NORMSINV($B752)+SQRT(1-W$9^2*$C$11)*NORMSINV(V752)))*(W$7-W$5)*(W$7-W$6))))</f>
        <v>8.53857514664305</v>
      </c>
      <c r="X752" s="2" t="n">
        <v>0.386152171</v>
      </c>
      <c r="Y752" s="2" t="n">
        <f aca="false">IF(Y$7=Y$5,Y$6,IF(NORMSDIST(Y$9*SQRT($C$11)*NORMSINV($B752)+SQRT(1-Y$9^2*$C$11)*NORMSINV(X752))&lt;Y$8,Y$5+SQRT(NORMSDIST(Y$9*SQRT($C$11)*NORMSINV($B752)+SQRT(1-Y$9^2*$C$11)*NORMSINV(X752))*(Y$7-Y$5)*(Y$6-Y$5)),Y$7-SQRT((1-NORMSDIST(Y$9*SQRT($C$11)*NORMSINV($B752)+SQRT(1-Y$9^2*$C$11)*NORMSINV(X752)))*(Y$7-Y$5)*(Y$7-Y$6))))</f>
        <v>0.439404239283146</v>
      </c>
      <c r="Z752" s="2" t="n">
        <v>0.499708221</v>
      </c>
      <c r="AA752" s="2" t="n">
        <f aca="false">IF(AA$7=AA$5,AA$6,IF(NORMSDIST(AA$9*SQRT($C$11)*NORMSINV($B752)+SQRT(1-AA$9^2*$C$11)*NORMSINV(Z752))&lt;AA$8,AA$5+SQRT(NORMSDIST(AA$9*SQRT($C$11)*NORMSINV($B752)+SQRT(1-AA$9^2*$C$11)*NORMSINV(Z752))*(AA$7-AA$5)*(AA$6-AA$5)),AA$7-SQRT((1-NORMSDIST(AA$9*SQRT($C$11)*NORMSINV($B752)+SQRT(1-AA$9^2*$C$11)*NORMSINV(Z752)))*(AA$7-AA$5)*(AA$7-AA$6))))</f>
        <v>0.721351385221526</v>
      </c>
      <c r="AB752" s="2" t="n">
        <v>0.870454592</v>
      </c>
      <c r="AC752" s="2" t="n">
        <f aca="false">IF(AC$7=AC$5,AC$6,IF(NORMSDIST(AC$9*SQRT($C$11)*NORMSINV($B752)+SQRT(1-AC$9^2*$C$11)*NORMSINV(AB752))&lt;AC$8,AC$5+SQRT(NORMSDIST(AC$9*SQRT($C$11)*NORMSINV($B752)+SQRT(1-AC$9^2*$C$11)*NORMSINV(AB752))*(AC$7-AC$5)*(AC$6-AC$5)),AC$7-SQRT((1-NORMSDIST(AC$9*SQRT($C$11)*NORMSINV($B752)+SQRT(1-AC$9^2*$C$11)*NORMSINV(AB752)))*(AC$7-AC$5)*(AC$7-AC$6))))</f>
        <v>9.77735976504297</v>
      </c>
      <c r="AD752" s="2" t="n">
        <f aca="false">Entrées!$C$8*(1+E752)</f>
        <v>7414.43755754834</v>
      </c>
      <c r="AE752" s="2" t="n">
        <f aca="false">I752*Hypothèses!$J$24/12/Hypothèses!$J$19</f>
        <v>97.3103571947535</v>
      </c>
      <c r="AF752" s="2" t="n">
        <f aca="false">Entrées!$C$36*S752*1000</f>
        <v>228.24107768117</v>
      </c>
      <c r="AG752" s="2" t="n">
        <f aca="false">-AF752/W752</f>
        <v>-26.7305813629694</v>
      </c>
      <c r="AH752" s="2" t="n">
        <f aca="false">AD752+AE752+AG752</f>
        <v>7485.01733338012</v>
      </c>
      <c r="AI752" s="2" t="n">
        <f aca="false">Entrées!$C$16-M752+Hypothèses!$J$22*1000-AF752+Hypothèses!$J$23</f>
        <v>22758.5192331389</v>
      </c>
      <c r="AJ752" s="2" t="n">
        <f aca="false">AI752/AH752</f>
        <v>3.04054329061406</v>
      </c>
      <c r="AK752" s="2" t="n">
        <f aca="false">AI752/(AH752+I752*(12-Hypothèses!$J$24)/12/Hypothèses!$J$19)</f>
        <v>3.01256796984401</v>
      </c>
      <c r="AL752" s="2" t="n">
        <f aca="false">(AD752+AG752+I752/Hypothèses!$J$19)*(1+G752)</f>
        <v>7981.84924239328</v>
      </c>
      <c r="AM752" s="2" t="n">
        <f aca="false">Entrées!$C$54*K752/Hypothèses!$J$19</f>
        <v>27.5300747181112</v>
      </c>
      <c r="AN752" s="2" t="n">
        <f aca="false">Y752*1000/AC752</f>
        <v>44.9409912125919</v>
      </c>
      <c r="AO752" s="2" t="n">
        <f aca="false">(Entrées!$C$36*(1-S752)+MAX(0,Entrées!$C$30-Entrées!$C$35-Entrées!$C$36)*U752)*1000</f>
        <v>762.634699394405</v>
      </c>
      <c r="AP752" s="2" t="n">
        <f aca="false">-AO752/W752</f>
        <v>-89.3163890106695</v>
      </c>
      <c r="AQ752" s="2" t="n">
        <f aca="false">AL752+AM752+AN752+AP752</f>
        <v>7965.00391931331</v>
      </c>
      <c r="AR752" s="2" t="n">
        <f aca="false">O752*AQ752-Hypothèses!$J$25/Hypothèses!$J$19</f>
        <v>1344.15136516618</v>
      </c>
      <c r="AS752" s="2" t="n">
        <f aca="false">Entrées!$C$79*(1+Q752)+Hypothèses!$J$20</f>
        <v>1486.75734801707</v>
      </c>
      <c r="AT752" s="2" t="n">
        <f aca="false">AI752-AR752+AS752+Y752*1000-AO752+Hypothèses!$J$23</f>
        <v>22577.8947558785</v>
      </c>
      <c r="AU752" s="2" t="n">
        <f aca="false">AT752/AQ752</f>
        <v>2.83463699259862</v>
      </c>
      <c r="AV752" s="2" t="n">
        <f aca="false">Hypothèses!$J$26*AQ752-AT752</f>
        <v>1317.11700206141</v>
      </c>
      <c r="AW752" s="2" t="n">
        <f aca="false">IF(AC752&gt;Hypothèses!$J$26,MAX(0,AV752)/(1-Hypothèses!$J$26/AC752),0)</f>
        <v>1900.13917340385</v>
      </c>
      <c r="AX752" s="2" t="n">
        <f aca="false">AQ752-Entrées!$C$17*1000</f>
        <v>-34.9960806866911</v>
      </c>
      <c r="AY752" s="2" t="n">
        <f aca="false">AI752+(Entrées!$C$244-Entrées!$C$13)</f>
        <v>28505.5192331389</v>
      </c>
      <c r="AZ752" s="2" t="n">
        <f aca="false">AA752*AH752</f>
        <v>5399.32762184088</v>
      </c>
      <c r="BA752" s="2" t="n">
        <f aca="false">AZ752/AY752</f>
        <v>0.189413410704125</v>
      </c>
      <c r="BB752" s="2" t="n">
        <f aca="false">AZ752/(Entrées!$C$151/100)-AY752</f>
        <v>1490.74533264379</v>
      </c>
      <c r="BC752" s="2" t="n">
        <f aca="false">AT752+(Entrées!$C$244-Entrées!$C$13)</f>
        <v>28324.8947558785</v>
      </c>
      <c r="BD752" s="2" t="n">
        <f aca="false">AA752*AQ752</f>
        <v>5745.56661049154</v>
      </c>
      <c r="BE752" s="2" t="n">
        <f aca="false">BD752/BC752</f>
        <v>0.202845117696302</v>
      </c>
      <c r="BF752" s="2" t="n">
        <f aca="false">BD752/(Entrées!$C$151/100)-BC752</f>
        <v>3594.91974685224</v>
      </c>
      <c r="BG752" s="2" t="n">
        <f aca="false">MIN(AV752,BF752)</f>
        <v>1317.11700206141</v>
      </c>
      <c r="BH752" s="2" t="n">
        <f aca="false">IF(AC752&gt;Hypothèses!$J$26,MAX(0,BG752)/(1-Hypothèses!$J$26/AC752),0)</f>
        <v>1900.13917340385</v>
      </c>
    </row>
    <row r="753" customFormat="false" ht="15" hidden="false" customHeight="false" outlineLevel="0" collapsed="false">
      <c r="A753" s="2" t="n">
        <v>738</v>
      </c>
      <c r="B753" s="2" t="n">
        <v>0.340886494</v>
      </c>
      <c r="C753" s="2"/>
      <c r="D753" s="2" t="n">
        <v>0.698038109</v>
      </c>
      <c r="E753" s="2" t="n">
        <f aca="false">IF(E$7=E$5,E$6,IF(NORMSDIST(E$9*SQRT($C$11)*NORMSINV($B753)+SQRT(1-E$9^2*$C$11)*NORMSINV(D753))&lt;E$8,E$5+SQRT(NORMSDIST(E$9*SQRT($C$11)*NORMSINV($B753)+SQRT(1-E$9^2*$C$11)*NORMSINV(D753))*(E$7-E$5)*(E$6-E$5)),E$7-SQRT((1-NORMSDIST(E$9*SQRT($C$11)*NORMSINV($B753)+SQRT(1-E$9^2*$C$11)*NORMSINV(D753)))*(E$7-E$5)*(E$7-E$6))))</f>
        <v>0.0552918008834015</v>
      </c>
      <c r="F753" s="2" t="n">
        <v>0.843490858</v>
      </c>
      <c r="G753" s="2" t="n">
        <f aca="false">IF(G$7=G$5,G$6,IF(NORMSDIST(G$9*SQRT($C$11)*NORMSINV($B753)+SQRT(1-G$9^2*$C$11)*NORMSINV(F753))&lt;G$8,G$5+SQRT(NORMSDIST(G$9*SQRT($C$11)*NORMSINV($B753)+SQRT(1-G$9^2*$C$11)*NORMSINV(F753))*(G$7-G$5)*(G$6-G$5)),G$7-SQRT((1-NORMSDIST(G$9*SQRT($C$11)*NORMSINV($B753)+SQRT(1-G$9^2*$C$11)*NORMSINV(F753)))*(G$7-G$5)*(G$7-G$6))))</f>
        <v>0.0583659813099047</v>
      </c>
      <c r="H753" s="2" t="n">
        <v>0.36450553</v>
      </c>
      <c r="I753" s="2" t="n">
        <f aca="false">IF(I$7=I$5,I$6,IF(NORMSDIST(I$9*SQRT($C$11)*NORMSINV($B753)+SQRT(1-I$9^2*$C$11)*NORMSINV(H753))&lt;I$8,I$5+SQRT(NORMSDIST(I$9*SQRT($C$11)*NORMSINV($B753)+SQRT(1-I$9^2*$C$11)*NORMSINV(H753))*(I$7-I$5)*(I$6-I$5)),I$7-SQRT((1-NORMSDIST(I$9*SQRT($C$11)*NORMSINV($B753)+SQRT(1-I$9^2*$C$11)*NORMSINV(H753)))*(I$7-I$5)*(I$7-I$6))))</f>
        <v>195.462422244536</v>
      </c>
      <c r="J753" s="2" t="n">
        <v>0.160824543</v>
      </c>
      <c r="K753" s="2" t="n">
        <f aca="false">IF(K$7=K$5,K$6,IF(NORMSDIST(K$9*SQRT($C$11)*NORMSINV($B753)+SQRT(1-K$9^2*$C$11)*NORMSINV(J753))&lt;K$8,K$5+SQRT(NORMSDIST(K$9*SQRT($C$11)*NORMSINV($B753)+SQRT(1-K$9^2*$C$11)*NORMSINV(J753))*(K$7-K$5)*(K$6-K$5)),K$7-SQRT((1-NORMSDIST(K$9*SQRT($C$11)*NORMSINV($B753)+SQRT(1-K$9^2*$C$11)*NORMSINV(J753)))*(K$7-K$5)*(K$7-K$6))))</f>
        <v>0.137933817981179</v>
      </c>
      <c r="L753" s="2" t="n">
        <v>0.839876163</v>
      </c>
      <c r="M753" s="2" t="n">
        <f aca="false">IF(M$7=M$5,M$6,IF(NORMSDIST(M$9*SQRT($C$11)*NORMSINV($B753)+SQRT(1-M$9^2*$C$11)*NORMSINV(L753))&lt;M$8,M$5+SQRT(NORMSDIST(M$9*SQRT($C$11)*NORMSINV($B753)+SQRT(1-M$9^2*$C$11)*NORMSINV(L753))*(M$7-M$5)*(M$6-M$5)),M$7-SQRT((1-NORMSDIST(M$9*SQRT($C$11)*NORMSINV($B753)+SQRT(1-M$9^2*$C$11)*NORMSINV(L753)))*(M$7-M$5)*(M$7-M$6))))</f>
        <v>1636.12180220745</v>
      </c>
      <c r="N753" s="2" t="n">
        <v>0.42785469</v>
      </c>
      <c r="O753" s="2" t="n">
        <f aca="false">IF(O$7=O$5,O$6,IF(NORMSDIST(O$9*SQRT($C$11)*NORMSINV($B753)+SQRT(1-O$9^2*$C$11)*NORMSINV(N753))&lt;O$8,O$5+SQRT(NORMSDIST(O$9*SQRT($C$11)*NORMSINV($B753)+SQRT(1-O$9^2*$C$11)*NORMSINV(N753))*(O$7-O$5)*(O$6-O$5)),O$7-SQRT((1-NORMSDIST(O$9*SQRT($C$11)*NORMSINV($B753)+SQRT(1-O$9^2*$C$11)*NORMSINV(N753)))*(O$7-O$5)*(O$7-O$6))))</f>
        <v>0.16223304924657</v>
      </c>
      <c r="P753" s="2" t="n">
        <v>0.585914639</v>
      </c>
      <c r="Q753" s="2" t="n">
        <f aca="false">IF(Q$7=Q$5,Q$6,IF(NORMSDIST(Q$9*SQRT($C$11)*NORMSINV($B753)+SQRT(1-Q$9^2*$C$11)*NORMSINV(P753))&lt;Q$8,Q$5+SQRT(NORMSDIST(Q$9*SQRT($C$11)*NORMSINV($B753)+SQRT(1-Q$9^2*$C$11)*NORMSINV(P753))*(Q$7-Q$5)*(Q$6-Q$5)),Q$7-SQRT((1-NORMSDIST(Q$9*SQRT($C$11)*NORMSINV($B753)+SQRT(1-Q$9^2*$C$11)*NORMSINV(P753)))*(Q$7-Q$5)*(Q$7-Q$6))))</f>
        <v>0.0835984457035143</v>
      </c>
      <c r="R753" s="2" t="n">
        <v>0.700834048</v>
      </c>
      <c r="S753" s="2" t="n">
        <f aca="false">IF(S$7=S$5,S$6,IF(NORMSDIST(S$9*SQRT($C$11)*NORMSINV($B753)+SQRT(1-S$9^2*$C$11)*NORMSINV(R753))&lt;S$8,S$5+SQRT(NORMSDIST(S$9*SQRT($C$11)*NORMSINV($B753)+SQRT(1-S$9^2*$C$11)*NORMSINV(R753))*(S$7-S$5)*(S$6-S$5)),S$7-SQRT((1-NORMSDIST(S$9*SQRT($C$11)*NORMSINV($B753)+SQRT(1-S$9^2*$C$11)*NORMSINV(R753)))*(S$7-S$5)*(S$7-S$6))))</f>
        <v>0.530486362606518</v>
      </c>
      <c r="T753" s="2" t="n">
        <v>0.049581549</v>
      </c>
      <c r="U753" s="2" t="n">
        <f aca="false">IF(U$7=U$5,U$6,IF(NORMSDIST(U$9*SQRT($C$11)*NORMSINV($B753)+SQRT(1-U$9^2*$C$11)*NORMSINV(T753))&lt;U$8,U$5+SQRT(NORMSDIST(U$9*SQRT($C$11)*NORMSINV($B753)+SQRT(1-U$9^2*$C$11)*NORMSINV(T753))*(U$7-U$5)*(U$6-U$5)),U$7-SQRT((1-NORMSDIST(U$9*SQRT($C$11)*NORMSINV($B753)+SQRT(1-U$9^2*$C$11)*NORMSINV(T753)))*(U$7-U$5)*(U$7-U$6))))</f>
        <v>0.176348071057981</v>
      </c>
      <c r="V753" s="2" t="n">
        <v>0.44845665</v>
      </c>
      <c r="W753" s="2" t="n">
        <f aca="false">IF(W$7=W$5,W$6,IF(NORMSDIST(W$9*SQRT($C$11)*NORMSINV($B753)+SQRT(1-W$9^2*$C$11)*NORMSINV(V753))&lt;W$8,W$5+SQRT(NORMSDIST(W$9*SQRT($C$11)*NORMSINV($B753)+SQRT(1-W$9^2*$C$11)*NORMSINV(V753))*(W$7-W$5)*(W$6-W$5)),W$7-SQRT((1-NORMSDIST(W$9*SQRT($C$11)*NORMSINV($B753)+SQRT(1-W$9^2*$C$11)*NORMSINV(V753)))*(W$7-W$5)*(W$7-W$6))))</f>
        <v>9.69596770179241</v>
      </c>
      <c r="X753" s="2" t="n">
        <v>0.605489201</v>
      </c>
      <c r="Y753" s="2" t="n">
        <f aca="false">IF(Y$7=Y$5,Y$6,IF(NORMSDIST(Y$9*SQRT($C$11)*NORMSINV($B753)+SQRT(1-Y$9^2*$C$11)*NORMSINV(X753))&lt;Y$8,Y$5+SQRT(NORMSDIST(Y$9*SQRT($C$11)*NORMSINV($B753)+SQRT(1-Y$9^2*$C$11)*NORMSINV(X753))*(Y$7-Y$5)*(Y$6-Y$5)),Y$7-SQRT((1-NORMSDIST(Y$9*SQRT($C$11)*NORMSINV($B753)+SQRT(1-Y$9^2*$C$11)*NORMSINV(X753)))*(Y$7-Y$5)*(Y$7-Y$6))))</f>
        <v>0.555865561456894</v>
      </c>
      <c r="Z753" s="2" t="n">
        <v>0.448101834</v>
      </c>
      <c r="AA753" s="2" t="n">
        <f aca="false">IF(AA$7=AA$5,AA$6,IF(NORMSDIST(AA$9*SQRT($C$11)*NORMSINV($B753)+SQRT(1-AA$9^2*$C$11)*NORMSINV(Z753))&lt;AA$8,AA$5+SQRT(NORMSDIST(AA$9*SQRT($C$11)*NORMSINV($B753)+SQRT(1-AA$9^2*$C$11)*NORMSINV(Z753))*(AA$7-AA$5)*(AA$6-AA$5)),AA$7-SQRT((1-NORMSDIST(AA$9*SQRT($C$11)*NORMSINV($B753)+SQRT(1-AA$9^2*$C$11)*NORMSINV(Z753)))*(AA$7-AA$5)*(AA$7-AA$6))))</f>
        <v>0.7230655214145</v>
      </c>
      <c r="AB753" s="2" t="n">
        <v>0.092051631</v>
      </c>
      <c r="AC753" s="2" t="n">
        <f aca="false">IF(AC$7=AC$5,AC$6,IF(NORMSDIST(AC$9*SQRT($C$11)*NORMSINV($B753)+SQRT(1-AC$9^2*$C$11)*NORMSINV(AB753))&lt;AC$8,AC$5+SQRT(NORMSDIST(AC$9*SQRT($C$11)*NORMSINV($B753)+SQRT(1-AC$9^2*$C$11)*NORMSINV(AB753))*(AC$7-AC$5)*(AC$6-AC$5)),AC$7-SQRT((1-NORMSDIST(AC$9*SQRT($C$11)*NORMSINV($B753)+SQRT(1-AC$9^2*$C$11)*NORMSINV(AB753)))*(AC$7-AC$5)*(AC$7-AC$6))))</f>
        <v>8.32412082924361</v>
      </c>
      <c r="AD753" s="2" t="n">
        <f aca="false">Entrées!$C$8*(1+E753)</f>
        <v>7439.80719622798</v>
      </c>
      <c r="AE753" s="2" t="n">
        <f aca="false">I753*Hypothèses!$J$24/12/Hypothèses!$J$19</f>
        <v>96.9682820736942</v>
      </c>
      <c r="AF753" s="2" t="n">
        <f aca="false">Entrées!$C$36*S753*1000</f>
        <v>265.243181303259</v>
      </c>
      <c r="AG753" s="2" t="n">
        <f aca="false">-AF753/W753</f>
        <v>-27.3560297910466</v>
      </c>
      <c r="AH753" s="2" t="n">
        <f aca="false">AD753+AE753+AG753</f>
        <v>7509.41944851063</v>
      </c>
      <c r="AI753" s="2" t="n">
        <f aca="false">Entrées!$C$16-M753+Hypothèses!$J$22*1000-AF753+Hypothèses!$J$23</f>
        <v>22646.6350164893</v>
      </c>
      <c r="AJ753" s="2" t="n">
        <f aca="false">AI753/AH753</f>
        <v>3.01576375800674</v>
      </c>
      <c r="AK753" s="2" t="n">
        <f aca="false">AI753/(AH753+I753*(12-Hypothèses!$J$24)/12/Hypothèses!$J$19)</f>
        <v>2.98820210441187</v>
      </c>
      <c r="AL753" s="2" t="n">
        <f aca="false">(AD753+AG753+I753/Hypothèses!$J$19)*(1+G753)</f>
        <v>8021.01974869982</v>
      </c>
      <c r="AM753" s="2" t="n">
        <f aca="false">Entrées!$C$54*K753/Hypothèses!$J$19</f>
        <v>14.0767252716557</v>
      </c>
      <c r="AN753" s="2" t="n">
        <f aca="false">Y753*1000/AC753</f>
        <v>66.7776901440538</v>
      </c>
      <c r="AO753" s="2" t="n">
        <f aca="false">(Entrées!$C$36*(1-S753)+MAX(0,Entrées!$C$30-Entrées!$C$35-Entrées!$C$36)*U753)*1000</f>
        <v>481.644118177915</v>
      </c>
      <c r="AP753" s="2" t="n">
        <f aca="false">-AO753/W753</f>
        <v>-49.6746826094396</v>
      </c>
      <c r="AQ753" s="2" t="n">
        <f aca="false">AL753+AM753+AN753+AP753</f>
        <v>8052.19948150609</v>
      </c>
      <c r="AR753" s="2" t="n">
        <f aca="false">O753*AQ753-Hypothèses!$J$25/Hypothèses!$J$19</f>
        <v>1287.19771276476</v>
      </c>
      <c r="AS753" s="2" t="n">
        <f aca="false">Entrées!$C$79*(1+Q753)+Hypothèses!$J$20</f>
        <v>1485.87469182816</v>
      </c>
      <c r="AT753" s="2" t="n">
        <f aca="false">AI753-AR753+AS753+Y753*1000-AO753+Hypothèses!$J$23</f>
        <v>22919.5334388317</v>
      </c>
      <c r="AU753" s="2" t="n">
        <f aca="false">AT753/AQ753</f>
        <v>2.84636930461946</v>
      </c>
      <c r="AV753" s="2" t="n">
        <f aca="false">Hypothèses!$J$26*AQ753-AT753</f>
        <v>1237.0650056866</v>
      </c>
      <c r="AW753" s="2" t="n">
        <f aca="false">IF(AC753&gt;Hypothèses!$J$26,MAX(0,AV753)/(1-Hypothèses!$J$26/AC753),0)</f>
        <v>1934.11812226417</v>
      </c>
      <c r="AX753" s="2" t="n">
        <f aca="false">AQ753-Entrées!$C$17*1000</f>
        <v>52.1994815060916</v>
      </c>
      <c r="AY753" s="2" t="n">
        <f aca="false">AI753+(Entrées!$C$244-Entrées!$C$13)</f>
        <v>28393.6350164893</v>
      </c>
      <c r="AZ753" s="2" t="n">
        <f aca="false">AA753*AH753</f>
        <v>5429.80228905752</v>
      </c>
      <c r="BA753" s="2" t="n">
        <f aca="false">AZ753/AY753</f>
        <v>0.191233080438775</v>
      </c>
      <c r="BB753" s="2" t="n">
        <f aca="false">AZ753/(Entrées!$C$151/100)-AY753</f>
        <v>1771.93325605251</v>
      </c>
      <c r="BC753" s="2" t="n">
        <f aca="false">AT753+(Entrées!$C$244-Entrées!$C$13)</f>
        <v>28666.5334388317</v>
      </c>
      <c r="BD753" s="2" t="n">
        <f aca="false">AA753*AQ753</f>
        <v>5822.26781662877</v>
      </c>
      <c r="BE753" s="2" t="n">
        <f aca="false">BD753/BC753</f>
        <v>0.203103309615453</v>
      </c>
      <c r="BF753" s="2" t="n">
        <f aca="false">BD753/(Entrées!$C$151/100)-BC753</f>
        <v>3679.39887577259</v>
      </c>
      <c r="BG753" s="2" t="n">
        <f aca="false">MIN(AV753,BF753)</f>
        <v>1237.0650056866</v>
      </c>
      <c r="BH753" s="2" t="n">
        <f aca="false">IF(AC753&gt;Hypothèses!$J$26,MAX(0,BG753)/(1-Hypothèses!$J$26/AC753),0)</f>
        <v>1934.11812226417</v>
      </c>
    </row>
    <row r="754" customFormat="false" ht="15" hidden="false" customHeight="false" outlineLevel="0" collapsed="false">
      <c r="A754" s="2" t="n">
        <v>739</v>
      </c>
      <c r="B754" s="2" t="n">
        <v>0.805146374</v>
      </c>
      <c r="C754" s="2"/>
      <c r="D754" s="2" t="n">
        <v>0.027638236</v>
      </c>
      <c r="E754" s="2" t="n">
        <f aca="false">IF(E$7=E$5,E$6,IF(NORMSDIST(E$9*SQRT($C$11)*NORMSINV($B754)+SQRT(1-E$9^2*$C$11)*NORMSINV(D754))&lt;E$8,E$5+SQRT(NORMSDIST(E$9*SQRT($C$11)*NORMSINV($B754)+SQRT(1-E$9^2*$C$11)*NORMSINV(D754))*(E$7-E$5)*(E$6-E$5)),E$7-SQRT((1-NORMSDIST(E$9*SQRT($C$11)*NORMSINV($B754)+SQRT(1-E$9^2*$C$11)*NORMSINV(D754)))*(E$7-E$5)*(E$7-E$6))))</f>
        <v>0.0529448194406383</v>
      </c>
      <c r="F754" s="2" t="n">
        <v>0.997810091</v>
      </c>
      <c r="G754" s="2" t="n">
        <f aca="false">IF(G$7=G$5,G$6,IF(NORMSDIST(G$9*SQRT($C$11)*NORMSINV($B754)+SQRT(1-G$9^2*$C$11)*NORMSINV(F754))&lt;G$8,G$5+SQRT(NORMSDIST(G$9*SQRT($C$11)*NORMSINV($B754)+SQRT(1-G$9^2*$C$11)*NORMSINV(F754))*(G$7-G$5)*(G$6-G$5)),G$7-SQRT((1-NORMSDIST(G$9*SQRT($C$11)*NORMSINV($B754)+SQRT(1-G$9^2*$C$11)*NORMSINV(F754)))*(G$7-G$5)*(G$7-G$6))))</f>
        <v>0.0688440814095274</v>
      </c>
      <c r="H754" s="2" t="n">
        <v>0.68379508</v>
      </c>
      <c r="I754" s="2" t="n">
        <f aca="false">IF(I$7=I$5,I$6,IF(NORMSDIST(I$9*SQRT($C$11)*NORMSINV($B754)+SQRT(1-I$9^2*$C$11)*NORMSINV(H754))&lt;I$8,I$5+SQRT(NORMSDIST(I$9*SQRT($C$11)*NORMSINV($B754)+SQRT(1-I$9^2*$C$11)*NORMSINV(H754))*(I$7-I$5)*(I$6-I$5)),I$7-SQRT((1-NORMSDIST(I$9*SQRT($C$11)*NORMSINV($B754)+SQRT(1-I$9^2*$C$11)*NORMSINV(H754)))*(I$7-I$5)*(I$7-I$6))))</f>
        <v>207.99264641977</v>
      </c>
      <c r="J754" s="2" t="n">
        <v>0.369956005</v>
      </c>
      <c r="K754" s="2" t="n">
        <f aca="false">IF(K$7=K$5,K$6,IF(NORMSDIST(K$9*SQRT($C$11)*NORMSINV($B754)+SQRT(1-K$9^2*$C$11)*NORMSINV(J754))&lt;K$8,K$5+SQRT(NORMSDIST(K$9*SQRT($C$11)*NORMSINV($B754)+SQRT(1-K$9^2*$C$11)*NORMSINV(J754))*(K$7-K$5)*(K$6-K$5)),K$7-SQRT((1-NORMSDIST(K$9*SQRT($C$11)*NORMSINV($B754)+SQRT(1-K$9^2*$C$11)*NORMSINV(J754)))*(K$7-K$5)*(K$7-K$6))))</f>
        <v>0.280025947896735</v>
      </c>
      <c r="L754" s="2" t="n">
        <v>0.636856825</v>
      </c>
      <c r="M754" s="2" t="n">
        <f aca="false">IF(M$7=M$5,M$6,IF(NORMSDIST(M$9*SQRT($C$11)*NORMSINV($B754)+SQRT(1-M$9^2*$C$11)*NORMSINV(L754))&lt;M$8,M$5+SQRT(NORMSDIST(M$9*SQRT($C$11)*NORMSINV($B754)+SQRT(1-M$9^2*$C$11)*NORMSINV(L754))*(M$7-M$5)*(M$6-M$5)),M$7-SQRT((1-NORMSDIST(M$9*SQRT($C$11)*NORMSINV($B754)+SQRT(1-M$9^2*$C$11)*NORMSINV(L754)))*(M$7-M$5)*(M$7-M$6))))</f>
        <v>1663.37780241942</v>
      </c>
      <c r="N754" s="2" t="n">
        <v>0.820535076</v>
      </c>
      <c r="O754" s="2" t="n">
        <f aca="false">IF(O$7=O$5,O$6,IF(NORMSDIST(O$9*SQRT($C$11)*NORMSINV($B754)+SQRT(1-O$9^2*$C$11)*NORMSINV(N754))&lt;O$8,O$5+SQRT(NORMSDIST(O$9*SQRT($C$11)*NORMSINV($B754)+SQRT(1-O$9^2*$C$11)*NORMSINV(N754))*(O$7-O$5)*(O$6-O$5)),O$7-SQRT((1-NORMSDIST(O$9*SQRT($C$11)*NORMSINV($B754)+SQRT(1-O$9^2*$C$11)*NORMSINV(N754)))*(O$7-O$5)*(O$7-O$6))))</f>
        <v>0.179434067521298</v>
      </c>
      <c r="P754" s="2" t="n">
        <v>0.996737514</v>
      </c>
      <c r="Q754" s="2" t="n">
        <f aca="false">IF(Q$7=Q$5,Q$6,IF(NORMSDIST(Q$9*SQRT($C$11)*NORMSINV($B754)+SQRT(1-Q$9^2*$C$11)*NORMSINV(P754))&lt;Q$8,Q$5+SQRT(NORMSDIST(Q$9*SQRT($C$11)*NORMSINV($B754)+SQRT(1-Q$9^2*$C$11)*NORMSINV(P754))*(Q$7-Q$5)*(Q$6-Q$5)),Q$7-SQRT((1-NORMSDIST(Q$9*SQRT($C$11)*NORMSINV($B754)+SQRT(1-Q$9^2*$C$11)*NORMSINV(P754)))*(Q$7-Q$5)*(Q$7-Q$6))))</f>
        <v>0.116768908048353</v>
      </c>
      <c r="R754" s="2" t="n">
        <v>0.497361713</v>
      </c>
      <c r="S754" s="2" t="n">
        <f aca="false">IF(S$7=S$5,S$6,IF(NORMSDIST(S$9*SQRT($C$11)*NORMSINV($B754)+SQRT(1-S$9^2*$C$11)*NORMSINV(R754))&lt;S$8,S$5+SQRT(NORMSDIST(S$9*SQRT($C$11)*NORMSINV($B754)+SQRT(1-S$9^2*$C$11)*NORMSINV(R754))*(S$7-S$5)*(S$6-S$5)),S$7-SQRT((1-NORMSDIST(S$9*SQRT($C$11)*NORMSINV($B754)+SQRT(1-S$9^2*$C$11)*NORMSINV(R754)))*(S$7-S$5)*(S$7-S$6))))</f>
        <v>0.615953262230393</v>
      </c>
      <c r="T754" s="2" t="n">
        <v>0.529256861</v>
      </c>
      <c r="U754" s="2" t="n">
        <f aca="false">IF(U$7=U$5,U$6,IF(NORMSDIST(U$9*SQRT($C$11)*NORMSINV($B754)+SQRT(1-U$9^2*$C$11)*NORMSINV(T754))&lt;U$8,U$5+SQRT(NORMSDIST(U$9*SQRT($C$11)*NORMSINV($B754)+SQRT(1-U$9^2*$C$11)*NORMSINV(T754))*(U$7-U$5)*(U$6-U$5)),U$7-SQRT((1-NORMSDIST(U$9*SQRT($C$11)*NORMSINV($B754)+SQRT(1-U$9^2*$C$11)*NORMSINV(T754)))*(U$7-U$5)*(U$7-U$6))))</f>
        <v>0.629887999269011</v>
      </c>
      <c r="V754" s="2" t="n">
        <v>0.940250253</v>
      </c>
      <c r="W754" s="2" t="n">
        <f aca="false">IF(W$7=W$5,W$6,IF(NORMSDIST(W$9*SQRT($C$11)*NORMSINV($B754)+SQRT(1-W$9^2*$C$11)*NORMSINV(V754))&lt;W$8,W$5+SQRT(NORMSDIST(W$9*SQRT($C$11)*NORMSINV($B754)+SQRT(1-W$9^2*$C$11)*NORMSINV(V754))*(W$7-W$5)*(W$6-W$5)),W$7-SQRT((1-NORMSDIST(W$9*SQRT($C$11)*NORMSINV($B754)+SQRT(1-W$9^2*$C$11)*NORMSINV(V754)))*(W$7-W$5)*(W$7-W$6))))</f>
        <v>11.433870814767</v>
      </c>
      <c r="X754" s="2" t="n">
        <v>0.759115095</v>
      </c>
      <c r="Y754" s="2" t="n">
        <f aca="false">IF(Y$7=Y$5,Y$6,IF(NORMSDIST(Y$9*SQRT($C$11)*NORMSINV($B754)+SQRT(1-Y$9^2*$C$11)*NORMSINV(X754))&lt;Y$8,Y$5+SQRT(NORMSDIST(Y$9*SQRT($C$11)*NORMSINV($B754)+SQRT(1-Y$9^2*$C$11)*NORMSINV(X754))*(Y$7-Y$5)*(Y$6-Y$5)),Y$7-SQRT((1-NORMSDIST(Y$9*SQRT($C$11)*NORMSINV($B754)+SQRT(1-Y$9^2*$C$11)*NORMSINV(X754)))*(Y$7-Y$5)*(Y$7-Y$6))))</f>
        <v>0.652951800897916</v>
      </c>
      <c r="Z754" s="2" t="n">
        <v>0.577743355</v>
      </c>
      <c r="AA754" s="2" t="n">
        <f aca="false">IF(AA$7=AA$5,AA$6,IF(NORMSDIST(AA$9*SQRT($C$11)*NORMSINV($B754)+SQRT(1-AA$9^2*$C$11)*NORMSINV(Z754))&lt;AA$8,AA$5+SQRT(NORMSDIST(AA$9*SQRT($C$11)*NORMSINV($B754)+SQRT(1-AA$9^2*$C$11)*NORMSINV(Z754))*(AA$7-AA$5)*(AA$6-AA$5)),AA$7-SQRT((1-NORMSDIST(AA$9*SQRT($C$11)*NORMSINV($B754)+SQRT(1-AA$9^2*$C$11)*NORMSINV(Z754)))*(AA$7-AA$5)*(AA$7-AA$6))))</f>
        <v>0.73618825729638</v>
      </c>
      <c r="AB754" s="2" t="n">
        <v>0.530503115</v>
      </c>
      <c r="AC754" s="2" t="n">
        <f aca="false">IF(AC$7=AC$5,AC$6,IF(NORMSDIST(AC$9*SQRT($C$11)*NORMSINV($B754)+SQRT(1-AC$9^2*$C$11)*NORMSINV(AB754))&lt;AC$8,AC$5+SQRT(NORMSDIST(AC$9*SQRT($C$11)*NORMSINV($B754)+SQRT(1-AC$9^2*$C$11)*NORMSINV(AB754))*(AC$7-AC$5)*(AC$6-AC$5)),AC$7-SQRT((1-NORMSDIST(AC$9*SQRT($C$11)*NORMSINV($B754)+SQRT(1-AC$9^2*$C$11)*NORMSINV(AB754)))*(AC$7-AC$5)*(AC$7-AC$6))))</f>
        <v>9.91370195986097</v>
      </c>
      <c r="AD754" s="2" t="n">
        <f aca="false">Entrées!$C$8*(1+E754)</f>
        <v>7423.2609770565</v>
      </c>
      <c r="AE754" s="2" t="n">
        <f aca="false">I754*Hypothèses!$J$24/12/Hypothèses!$J$19</f>
        <v>103.184486182486</v>
      </c>
      <c r="AF754" s="2" t="n">
        <f aca="false">Entrées!$C$36*S754*1000</f>
        <v>307.976631115197</v>
      </c>
      <c r="AG754" s="2" t="n">
        <f aca="false">-AF754/W754</f>
        <v>-26.9354653471719</v>
      </c>
      <c r="AH754" s="2" t="n">
        <f aca="false">AD754+AE754+AG754</f>
        <v>7499.50999789181</v>
      </c>
      <c r="AI754" s="2" t="n">
        <f aca="false">Entrées!$C$16-M754+Hypothèses!$J$22*1000-AF754+Hypothèses!$J$23</f>
        <v>22576.6455664654</v>
      </c>
      <c r="AJ754" s="2" t="n">
        <f aca="false">AI754/AH754</f>
        <v>3.01041609022615</v>
      </c>
      <c r="AK754" s="2" t="n">
        <f aca="false">AI754/(AH754+I754*(12-Hypothèses!$J$24)/12/Hypothèses!$J$19)</f>
        <v>2.98111844515157</v>
      </c>
      <c r="AL754" s="2" t="n">
        <f aca="false">(AD754+AG754+I754/Hypothèses!$J$19)*(1+G754)</f>
        <v>8094.58410853927</v>
      </c>
      <c r="AM754" s="2" t="n">
        <f aca="false">Entrées!$C$54*K754/Hypothèses!$J$19</f>
        <v>28.5778237358381</v>
      </c>
      <c r="AN754" s="2" t="n">
        <f aca="false">Y754*1000/AC754</f>
        <v>65.8635697887243</v>
      </c>
      <c r="AO754" s="2" t="n">
        <f aca="false">(Entrées!$C$36*(1-S754)+MAX(0,Entrées!$C$30-Entrées!$C$35-Entrées!$C$36)*U754)*1000</f>
        <v>1073.86656786142</v>
      </c>
      <c r="AP754" s="2" t="n">
        <f aca="false">-AO754/W754</f>
        <v>-93.9197744367119</v>
      </c>
      <c r="AQ754" s="2" t="n">
        <f aca="false">AL754+AM754+AN754+AP754</f>
        <v>8095.10572762712</v>
      </c>
      <c r="AR754" s="2" t="n">
        <f aca="false">O754*AQ754-Hypothèses!$J$25/Hypothèses!$J$19</f>
        <v>1433.40258546147</v>
      </c>
      <c r="AS754" s="2" t="n">
        <f aca="false">Entrées!$C$79*(1+Q754)+Hypothèses!$J$20</f>
        <v>1522.32902994514</v>
      </c>
      <c r="AT754" s="2" t="n">
        <f aca="false">AI754-AR754+AS754+Y754*1000-AO754+Hypothèses!$J$23</f>
        <v>22244.6572439855</v>
      </c>
      <c r="AU754" s="2" t="n">
        <f aca="false">AT754/AQ754</f>
        <v>2.74791435621015</v>
      </c>
      <c r="AV754" s="2" t="n">
        <f aca="false">Hypothèses!$J$26*AQ754-AT754</f>
        <v>2040.6599388958</v>
      </c>
      <c r="AW754" s="2" t="n">
        <f aca="false">IF(AC754&gt;Hypothèses!$J$26,MAX(0,AV754)/(1-Hypothèses!$J$26/AC754),0)</f>
        <v>2926.14500206889</v>
      </c>
      <c r="AX754" s="2" t="n">
        <f aca="false">AQ754-Entrées!$C$17*1000</f>
        <v>95.1057276271167</v>
      </c>
      <c r="AY754" s="2" t="n">
        <f aca="false">AI754+(Entrées!$C$244-Entrées!$C$13)</f>
        <v>28323.6455664654</v>
      </c>
      <c r="AZ754" s="2" t="n">
        <f aca="false">AA754*AH754</f>
        <v>5521.05119592475</v>
      </c>
      <c r="BA754" s="2" t="n">
        <f aca="false">AZ754/AY754</f>
        <v>0.194927280210764</v>
      </c>
      <c r="BB754" s="2" t="n">
        <f aca="false">AZ754/(Entrées!$C$151/100)-AY754</f>
        <v>2348.86107756101</v>
      </c>
      <c r="BC754" s="2" t="n">
        <f aca="false">AT754+(Entrées!$C$244-Entrées!$C$13)</f>
        <v>27991.6572439855</v>
      </c>
      <c r="BD754" s="2" t="n">
        <f aca="false">AA754*AQ754</f>
        <v>5959.52177825175</v>
      </c>
      <c r="BE754" s="2" t="n">
        <f aca="false">BD754/BC754</f>
        <v>0.212903499292892</v>
      </c>
      <c r="BF754" s="2" t="n">
        <f aca="false">BD754/(Entrées!$C$151/100)-BC754</f>
        <v>5116.79707963527</v>
      </c>
      <c r="BG754" s="2" t="n">
        <f aca="false">MIN(AV754,BF754)</f>
        <v>2040.6599388958</v>
      </c>
      <c r="BH754" s="2" t="n">
        <f aca="false">IF(AC754&gt;Hypothèses!$J$26,MAX(0,BG754)/(1-Hypothèses!$J$26/AC754),0)</f>
        <v>2926.14500206889</v>
      </c>
    </row>
    <row r="755" customFormat="false" ht="15" hidden="false" customHeight="false" outlineLevel="0" collapsed="false">
      <c r="A755" s="2" t="n">
        <v>740</v>
      </c>
      <c r="B755" s="2" t="n">
        <v>0.017855253</v>
      </c>
      <c r="C755" s="2"/>
      <c r="D755" s="2" t="n">
        <v>0.762717731</v>
      </c>
      <c r="E755" s="2" t="n">
        <f aca="false">IF(E$7=E$5,E$6,IF(NORMSDIST(E$9*SQRT($C$11)*NORMSINV($B755)+SQRT(1-E$9^2*$C$11)*NORMSINV(D755))&lt;E$8,E$5+SQRT(NORMSDIST(E$9*SQRT($C$11)*NORMSINV($B755)+SQRT(1-E$9^2*$C$11)*NORMSINV(D755))*(E$7-E$5)*(E$6-E$5)),E$7-SQRT((1-NORMSDIST(E$9*SQRT($C$11)*NORMSINV($B755)+SQRT(1-E$9^2*$C$11)*NORMSINV(D755)))*(E$7-E$5)*(E$7-E$6))))</f>
        <v>0.0533117088231029</v>
      </c>
      <c r="F755" s="2" t="n">
        <v>0.322127623</v>
      </c>
      <c r="G755" s="2" t="n">
        <f aca="false">IF(G$7=G$5,G$6,IF(NORMSDIST(G$9*SQRT($C$11)*NORMSINV($B755)+SQRT(1-G$9^2*$C$11)*NORMSINV(F755))&lt;G$8,G$5+SQRT(NORMSDIST(G$9*SQRT($C$11)*NORMSINV($B755)+SQRT(1-G$9^2*$C$11)*NORMSINV(F755))*(G$7-G$5)*(G$6-G$5)),G$7-SQRT((1-NORMSDIST(G$9*SQRT($C$11)*NORMSINV($B755)+SQRT(1-G$9^2*$C$11)*NORMSINV(F755)))*(G$7-G$5)*(G$7-G$6))))</f>
        <v>0.044544843572201</v>
      </c>
      <c r="H755" s="2" t="n">
        <v>0.446558457</v>
      </c>
      <c r="I755" s="2" t="n">
        <f aca="false">IF(I$7=I$5,I$6,IF(NORMSDIST(I$9*SQRT($C$11)*NORMSINV($B755)+SQRT(1-I$9^2*$C$11)*NORMSINV(H755))&lt;I$8,I$5+SQRT(NORMSDIST(I$9*SQRT($C$11)*NORMSINV($B755)+SQRT(1-I$9^2*$C$11)*NORMSINV(H755))*(I$7-I$5)*(I$6-I$5)),I$7-SQRT((1-NORMSDIST(I$9*SQRT($C$11)*NORMSINV($B755)+SQRT(1-I$9^2*$C$11)*NORMSINV(H755)))*(I$7-I$5)*(I$7-I$6))))</f>
        <v>187.798451206562</v>
      </c>
      <c r="J755" s="2" t="n">
        <v>0.806258614</v>
      </c>
      <c r="K755" s="2" t="n">
        <f aca="false">IF(K$7=K$5,K$6,IF(NORMSDIST(K$9*SQRT($C$11)*NORMSINV($B755)+SQRT(1-K$9^2*$C$11)*NORMSINV(J755))&lt;K$8,K$5+SQRT(NORMSDIST(K$9*SQRT($C$11)*NORMSINV($B755)+SQRT(1-K$9^2*$C$11)*NORMSINV(J755))*(K$7-K$5)*(K$6-K$5)),K$7-SQRT((1-NORMSDIST(K$9*SQRT($C$11)*NORMSINV($B755)+SQRT(1-K$9^2*$C$11)*NORMSINV(J755)))*(K$7-K$5)*(K$7-K$6))))</f>
        <v>0.178529975524827</v>
      </c>
      <c r="L755" s="2" t="n">
        <v>0.460125935</v>
      </c>
      <c r="M755" s="2" t="n">
        <f aca="false">IF(M$7=M$5,M$6,IF(NORMSDIST(M$9*SQRT($C$11)*NORMSINV($B755)+SQRT(1-M$9^2*$C$11)*NORMSINV(L755))&lt;M$8,M$5+SQRT(NORMSDIST(M$9*SQRT($C$11)*NORMSINV($B755)+SQRT(1-M$9^2*$C$11)*NORMSINV(L755))*(M$7-M$5)*(M$6-M$5)),M$7-SQRT((1-NORMSDIST(M$9*SQRT($C$11)*NORMSINV($B755)+SQRT(1-M$9^2*$C$11)*NORMSINV(L755)))*(M$7-M$5)*(M$7-M$6))))</f>
        <v>1415.98003587689</v>
      </c>
      <c r="N755" s="2" t="n">
        <v>0.780348622</v>
      </c>
      <c r="O755" s="2" t="n">
        <f aca="false">IF(O$7=O$5,O$6,IF(NORMSDIST(O$9*SQRT($C$11)*NORMSINV($B755)+SQRT(1-O$9^2*$C$11)*NORMSINV(N755))&lt;O$8,O$5+SQRT(NORMSDIST(O$9*SQRT($C$11)*NORMSINV($B755)+SQRT(1-O$9^2*$C$11)*NORMSINV(N755))*(O$7-O$5)*(O$6-O$5)),O$7-SQRT((1-NORMSDIST(O$9*SQRT($C$11)*NORMSINV($B755)+SQRT(1-O$9^2*$C$11)*NORMSINV(N755)))*(O$7-O$5)*(O$7-O$6))))</f>
        <v>0.158281398030658</v>
      </c>
      <c r="P755" s="2" t="n">
        <v>0.017764129</v>
      </c>
      <c r="Q755" s="2" t="n">
        <f aca="false">IF(Q$7=Q$5,Q$6,IF(NORMSDIST(Q$9*SQRT($C$11)*NORMSINV($B755)+SQRT(1-Q$9^2*$C$11)*NORMSINV(P755))&lt;Q$8,Q$5+SQRT(NORMSDIST(Q$9*SQRT($C$11)*NORMSINV($B755)+SQRT(1-Q$9^2*$C$11)*NORMSINV(P755))*(Q$7-Q$5)*(Q$6-Q$5)),Q$7-SQRT((1-NORMSDIST(Q$9*SQRT($C$11)*NORMSINV($B755)+SQRT(1-Q$9^2*$C$11)*NORMSINV(P755)))*(Q$7-Q$5)*(Q$7-Q$6))))</f>
        <v>0.0475395764337262</v>
      </c>
      <c r="R755" s="2" t="n">
        <v>0.552032242</v>
      </c>
      <c r="S755" s="2" t="n">
        <f aca="false">IF(S$7=S$5,S$6,IF(NORMSDIST(S$9*SQRT($C$11)*NORMSINV($B755)+SQRT(1-S$9^2*$C$11)*NORMSINV(R755))&lt;S$8,S$5+SQRT(NORMSDIST(S$9*SQRT($C$11)*NORMSINV($B755)+SQRT(1-S$9^2*$C$11)*NORMSINV(R755))*(S$7-S$5)*(S$6-S$5)),S$7-SQRT((1-NORMSDIST(S$9*SQRT($C$11)*NORMSINV($B755)+SQRT(1-S$9^2*$C$11)*NORMSINV(R755)))*(S$7-S$5)*(S$7-S$6))))</f>
        <v>0.234431585255049</v>
      </c>
      <c r="T755" s="2" t="n">
        <v>0.972167644</v>
      </c>
      <c r="U755" s="2" t="n">
        <f aca="false">IF(U$7=U$5,U$6,IF(NORMSDIST(U$9*SQRT($C$11)*NORMSINV($B755)+SQRT(1-U$9^2*$C$11)*NORMSINV(T755))&lt;U$8,U$5+SQRT(NORMSDIST(U$9*SQRT($C$11)*NORMSINV($B755)+SQRT(1-U$9^2*$C$11)*NORMSINV(T755))*(U$7-U$5)*(U$6-U$5)),U$7-SQRT((1-NORMSDIST(U$9*SQRT($C$11)*NORMSINV($B755)+SQRT(1-U$9^2*$C$11)*NORMSINV(T755)))*(U$7-U$5)*(U$7-U$6))))</f>
        <v>0.53159997535106</v>
      </c>
      <c r="V755" s="2" t="n">
        <v>0.290697858</v>
      </c>
      <c r="W755" s="2" t="n">
        <f aca="false">IF(W$7=W$5,W$6,IF(NORMSDIST(W$9*SQRT($C$11)*NORMSINV($B755)+SQRT(1-W$9^2*$C$11)*NORMSINV(V755))&lt;W$8,W$5+SQRT(NORMSDIST(W$9*SQRT($C$11)*NORMSINV($B755)+SQRT(1-W$9^2*$C$11)*NORMSINV(V755))*(W$7-W$5)*(W$6-W$5)),W$7-SQRT((1-NORMSDIST(W$9*SQRT($C$11)*NORMSINV($B755)+SQRT(1-W$9^2*$C$11)*NORMSINV(V755)))*(W$7-W$5)*(W$7-W$6))))</f>
        <v>8.56284180739786</v>
      </c>
      <c r="X755" s="2" t="n">
        <v>0.022079896</v>
      </c>
      <c r="Y755" s="2" t="n">
        <f aca="false">IF(Y$7=Y$5,Y$6,IF(NORMSDIST(Y$9*SQRT($C$11)*NORMSINV($B755)+SQRT(1-Y$9^2*$C$11)*NORMSINV(X755))&lt;Y$8,Y$5+SQRT(NORMSDIST(Y$9*SQRT($C$11)*NORMSINV($B755)+SQRT(1-Y$9^2*$C$11)*NORMSINV(X755))*(Y$7-Y$5)*(Y$6-Y$5)),Y$7-SQRT((1-NORMSDIST(Y$9*SQRT($C$11)*NORMSINV($B755)+SQRT(1-Y$9^2*$C$11)*NORMSINV(X755)))*(Y$7-Y$5)*(Y$7-Y$6))))</f>
        <v>0.105071156841447</v>
      </c>
      <c r="Z755" s="2" t="n">
        <v>0.661190139</v>
      </c>
      <c r="AA755" s="2" t="n">
        <f aca="false">IF(AA$7=AA$5,AA$6,IF(NORMSDIST(AA$9*SQRT($C$11)*NORMSINV($B755)+SQRT(1-AA$9^2*$C$11)*NORMSINV(Z755))&lt;AA$8,AA$5+SQRT(NORMSDIST(AA$9*SQRT($C$11)*NORMSINV($B755)+SQRT(1-AA$9^2*$C$11)*NORMSINV(Z755))*(AA$7-AA$5)*(AA$6-AA$5)),AA$7-SQRT((1-NORMSDIST(AA$9*SQRT($C$11)*NORMSINV($B755)+SQRT(1-AA$9^2*$C$11)*NORMSINV(Z755)))*(AA$7-AA$5)*(AA$7-AA$6))))</f>
        <v>0.713669110538317</v>
      </c>
      <c r="AB755" s="2" t="n">
        <v>0.1752847</v>
      </c>
      <c r="AC755" s="2" t="n">
        <f aca="false">IF(AC$7=AC$5,AC$6,IF(NORMSDIST(AC$9*SQRT($C$11)*NORMSINV($B755)+SQRT(1-AC$9^2*$C$11)*NORMSINV(AB755))&lt;AC$8,AC$5+SQRT(NORMSDIST(AC$9*SQRT($C$11)*NORMSINV($B755)+SQRT(1-AC$9^2*$C$11)*NORMSINV(AB755))*(AC$7-AC$5)*(AC$6-AC$5)),AC$7-SQRT((1-NORMSDIST(AC$9*SQRT($C$11)*NORMSINV($B755)+SQRT(1-AC$9^2*$C$11)*NORMSINV(AB755)))*(AC$7-AC$5)*(AC$7-AC$6))))</f>
        <v>7.81689385453219</v>
      </c>
      <c r="AD755" s="2" t="n">
        <f aca="false">Entrées!$C$8*(1+E755)</f>
        <v>7425.84754720288</v>
      </c>
      <c r="AE755" s="2" t="n">
        <f aca="false">I755*Hypothèses!$J$24/12/Hypothèses!$J$19</f>
        <v>93.1662105712494</v>
      </c>
      <c r="AF755" s="2" t="n">
        <f aca="false">Entrées!$C$36*S755*1000</f>
        <v>117.215792627525</v>
      </c>
      <c r="AG755" s="2" t="n">
        <f aca="false">-AF755/W755</f>
        <v>-13.6888891870286</v>
      </c>
      <c r="AH755" s="2" t="n">
        <f aca="false">AD755+AE755+AG755</f>
        <v>7505.3248685871</v>
      </c>
      <c r="AI755" s="2" t="n">
        <f aca="false">Entrées!$C$16-M755+Hypothèses!$J$22*1000-AF755+Hypothèses!$J$23</f>
        <v>23014.8041714956</v>
      </c>
      <c r="AJ755" s="2" t="n">
        <f aca="false">AI755/AH755</f>
        <v>3.06646342090029</v>
      </c>
      <c r="AK755" s="2" t="n">
        <f aca="false">AI755/(AH755+I755*(12-Hypothèses!$J$24)/12/Hypothèses!$J$19)</f>
        <v>3.03951303977979</v>
      </c>
      <c r="AL755" s="2" t="n">
        <f aca="false">(AD755+AG755+I755/Hypothèses!$J$19)*(1+G755)</f>
        <v>7909.16002285069</v>
      </c>
      <c r="AM755" s="2" t="n">
        <f aca="false">Entrées!$C$54*K755/Hypothèses!$J$19</f>
        <v>18.2197336012356</v>
      </c>
      <c r="AN755" s="2" t="n">
        <f aca="false">Y755*1000/AC755</f>
        <v>13.441548369053</v>
      </c>
      <c r="AO755" s="2" t="n">
        <f aca="false">(Entrées!$C$36*(1-S755)+MAX(0,Entrées!$C$30-Entrées!$C$35-Entrées!$C$36)*U755)*1000</f>
        <v>1127.02417286396</v>
      </c>
      <c r="AP755" s="2" t="n">
        <f aca="false">-AO755/W755</f>
        <v>-131.618006990421</v>
      </c>
      <c r="AQ755" s="2" t="n">
        <f aca="false">AL755+AM755+AN755+AP755</f>
        <v>7809.20329783055</v>
      </c>
      <c r="AR755" s="2" t="n">
        <f aca="false">O755*AQ755-Hypothèses!$J$25/Hypothèses!$J$19</f>
        <v>1216.91645322462</v>
      </c>
      <c r="AS755" s="2" t="n">
        <f aca="false">Entrées!$C$79*(1+Q755)+Hypothèses!$J$20</f>
        <v>1446.24599450067</v>
      </c>
      <c r="AT755" s="2" t="n">
        <f aca="false">AI755-AR755+AS755+Y755*1000-AO755+Hypothèses!$J$23</f>
        <v>22222.1806967491</v>
      </c>
      <c r="AU755" s="2" t="n">
        <f aca="false">AT755/AQ755</f>
        <v>2.84563992628065</v>
      </c>
      <c r="AV755" s="2" t="n">
        <f aca="false">Hypothèses!$J$26*AQ755-AT755</f>
        <v>1205.42919674255</v>
      </c>
      <c r="AW755" s="2" t="n">
        <f aca="false">IF(AC755&gt;Hypothèses!$J$26,MAX(0,AV755)/(1-Hypothèses!$J$26/AC755),0)</f>
        <v>1956.18013696206</v>
      </c>
      <c r="AX755" s="2" t="n">
        <f aca="false">AQ755-Entrées!$C$17*1000</f>
        <v>-190.796702169446</v>
      </c>
      <c r="AY755" s="2" t="n">
        <f aca="false">AI755+(Entrées!$C$244-Entrées!$C$13)</f>
        <v>28761.8041714956</v>
      </c>
      <c r="AZ755" s="2" t="n">
        <f aca="false">AA755*AH755</f>
        <v>5356.31852326566</v>
      </c>
      <c r="BA755" s="2" t="n">
        <f aca="false">AZ755/AY755</f>
        <v>0.186230268842942</v>
      </c>
      <c r="BB755" s="2" t="n">
        <f aca="false">AZ755/(Entrées!$C$151/100)-AY755</f>
        <v>995.520957758108</v>
      </c>
      <c r="BC755" s="2" t="n">
        <f aca="false">AT755+(Entrées!$C$244-Entrées!$C$13)</f>
        <v>27969.1806967491</v>
      </c>
      <c r="BD755" s="2" t="n">
        <f aca="false">AA755*AQ755</f>
        <v>5573.18717157562</v>
      </c>
      <c r="BE755" s="2" t="n">
        <f aca="false">BD755/BC755</f>
        <v>0.199261724252917</v>
      </c>
      <c r="BF755" s="2" t="n">
        <f aca="false">BD755/(Entrées!$C$151/100)-BC755</f>
        <v>2992.97025644879</v>
      </c>
      <c r="BG755" s="2" t="n">
        <f aca="false">MIN(AV755,BF755)</f>
        <v>1205.42919674255</v>
      </c>
      <c r="BH755" s="2" t="n">
        <f aca="false">IF(AC755&gt;Hypothèses!$J$26,MAX(0,BG755)/(1-Hypothèses!$J$26/AC755),0)</f>
        <v>1956.18013696206</v>
      </c>
    </row>
    <row r="756" customFormat="false" ht="15" hidden="false" customHeight="false" outlineLevel="0" collapsed="false">
      <c r="A756" s="2" t="n">
        <v>741</v>
      </c>
      <c r="B756" s="2" t="n">
        <v>0.114162649</v>
      </c>
      <c r="C756" s="2"/>
      <c r="D756" s="2" t="n">
        <v>0.07930241</v>
      </c>
      <c r="E756" s="2" t="n">
        <f aca="false">IF(E$7=E$5,E$6,IF(NORMSDIST(E$9*SQRT($C$11)*NORMSINV($B756)+SQRT(1-E$9^2*$C$11)*NORMSINV(D756))&lt;E$8,E$5+SQRT(NORMSDIST(E$9*SQRT($C$11)*NORMSINV($B756)+SQRT(1-E$9^2*$C$11)*NORMSINV(D756))*(E$7-E$5)*(E$6-E$5)),E$7-SQRT((1-NORMSDIST(E$9*SQRT($C$11)*NORMSINV($B756)+SQRT(1-E$9^2*$C$11)*NORMSINV(D756)))*(E$7-E$5)*(E$7-E$6))))</f>
        <v>0.0512624447635633</v>
      </c>
      <c r="F756" s="2" t="n">
        <v>0.369762699</v>
      </c>
      <c r="G756" s="2" t="n">
        <f aca="false">IF(G$7=G$5,G$6,IF(NORMSDIST(G$9*SQRT($C$11)*NORMSINV($B756)+SQRT(1-G$9^2*$C$11)*NORMSINV(F756))&lt;G$8,G$5+SQRT(NORMSDIST(G$9*SQRT($C$11)*NORMSINV($B756)+SQRT(1-G$9^2*$C$11)*NORMSINV(F756))*(G$7-G$5)*(G$6-G$5)),G$7-SQRT((1-NORMSDIST(G$9*SQRT($C$11)*NORMSINV($B756)+SQRT(1-G$9^2*$C$11)*NORMSINV(F756)))*(G$7-G$5)*(G$7-G$6))))</f>
        <v>0.0483245284507705</v>
      </c>
      <c r="H756" s="2" t="n">
        <v>0.713481202</v>
      </c>
      <c r="I756" s="2" t="n">
        <f aca="false">IF(I$7=I$5,I$6,IF(NORMSDIST(I$9*SQRT($C$11)*NORMSINV($B756)+SQRT(1-I$9^2*$C$11)*NORMSINV(H756))&lt;I$8,I$5+SQRT(NORMSDIST(I$9*SQRT($C$11)*NORMSINV($B756)+SQRT(1-I$9^2*$C$11)*NORMSINV(H756))*(I$7-I$5)*(I$6-I$5)),I$7-SQRT((1-NORMSDIST(I$9*SQRT($C$11)*NORMSINV($B756)+SQRT(1-I$9^2*$C$11)*NORMSINV(H756)))*(I$7-I$5)*(I$7-I$6))))</f>
        <v>197.261625193183</v>
      </c>
      <c r="J756" s="2" t="n">
        <v>0.008190839</v>
      </c>
      <c r="K756" s="2" t="n">
        <f aca="false">IF(K$7=K$5,K$6,IF(NORMSDIST(K$9*SQRT($C$11)*NORMSINV($B756)+SQRT(1-K$9^2*$C$11)*NORMSINV(J756))&lt;K$8,K$5+SQRT(NORMSDIST(K$9*SQRT($C$11)*NORMSINV($B756)+SQRT(1-K$9^2*$C$11)*NORMSINV(J756))*(K$7-K$5)*(K$6-K$5)),K$7-SQRT((1-NORMSDIST(K$9*SQRT($C$11)*NORMSINV($B756)+SQRT(1-K$9^2*$C$11)*NORMSINV(J756)))*(K$7-K$5)*(K$7-K$6))))</f>
        <v>0.0234024343795596</v>
      </c>
      <c r="L756" s="2" t="n">
        <v>0.760135242</v>
      </c>
      <c r="M756" s="2" t="n">
        <f aca="false">IF(M$7=M$5,M$6,IF(NORMSDIST(M$9*SQRT($C$11)*NORMSINV($B756)+SQRT(1-M$9^2*$C$11)*NORMSINV(L756))&lt;M$8,M$5+SQRT(NORMSDIST(M$9*SQRT($C$11)*NORMSINV($B756)+SQRT(1-M$9^2*$C$11)*NORMSINV(L756))*(M$7-M$5)*(M$6-M$5)),M$7-SQRT((1-NORMSDIST(M$9*SQRT($C$11)*NORMSINV($B756)+SQRT(1-M$9^2*$C$11)*NORMSINV(L756)))*(M$7-M$5)*(M$7-M$6))))</f>
        <v>1560.27952735145</v>
      </c>
      <c r="N756" s="2" t="n">
        <v>0.58638711</v>
      </c>
      <c r="O756" s="2" t="n">
        <f aca="false">IF(O$7=O$5,O$6,IF(NORMSDIST(O$9*SQRT($C$11)*NORMSINV($B756)+SQRT(1-O$9^2*$C$11)*NORMSINV(N756))&lt;O$8,O$5+SQRT(NORMSDIST(O$9*SQRT($C$11)*NORMSINV($B756)+SQRT(1-O$9^2*$C$11)*NORMSINV(N756))*(O$7-O$5)*(O$6-O$5)),O$7-SQRT((1-NORMSDIST(O$9*SQRT($C$11)*NORMSINV($B756)+SQRT(1-O$9^2*$C$11)*NORMSINV(N756)))*(O$7-O$5)*(O$7-O$6))))</f>
        <v>0.159923144467351</v>
      </c>
      <c r="P756" s="2" t="n">
        <v>0.255634317</v>
      </c>
      <c r="Q756" s="2" t="n">
        <f aca="false">IF(Q$7=Q$5,Q$6,IF(NORMSDIST(Q$9*SQRT($C$11)*NORMSINV($B756)+SQRT(1-Q$9^2*$C$11)*NORMSINV(P756))&lt;Q$8,Q$5+SQRT(NORMSDIST(Q$9*SQRT($C$11)*NORMSINV($B756)+SQRT(1-Q$9^2*$C$11)*NORMSINV(P756))*(Q$7-Q$5)*(Q$6-Q$5)),Q$7-SQRT((1-NORMSDIST(Q$9*SQRT($C$11)*NORMSINV($B756)+SQRT(1-Q$9^2*$C$11)*NORMSINV(P756)))*(Q$7-Q$5)*(Q$7-Q$6))))</f>
        <v>0.068601220505426</v>
      </c>
      <c r="R756" s="2" t="n">
        <v>0.707002008</v>
      </c>
      <c r="S756" s="2" t="n">
        <f aca="false">IF(S$7=S$5,S$6,IF(NORMSDIST(S$9*SQRT($C$11)*NORMSINV($B756)+SQRT(1-S$9^2*$C$11)*NORMSINV(R756))&lt;S$8,S$5+SQRT(NORMSDIST(S$9*SQRT($C$11)*NORMSINV($B756)+SQRT(1-S$9^2*$C$11)*NORMSINV(R756))*(S$7-S$5)*(S$6-S$5)),S$7-SQRT((1-NORMSDIST(S$9*SQRT($C$11)*NORMSINV($B756)+SQRT(1-S$9^2*$C$11)*NORMSINV(R756)))*(S$7-S$5)*(S$7-S$6))))</f>
        <v>0.428321208183703</v>
      </c>
      <c r="T756" s="2" t="n">
        <v>0.768998363</v>
      </c>
      <c r="U756" s="2" t="n">
        <f aca="false">IF(U$7=U$5,U$6,IF(NORMSDIST(U$9*SQRT($C$11)*NORMSINV($B756)+SQRT(1-U$9^2*$C$11)*NORMSINV(T756))&lt;U$8,U$5+SQRT(NORMSDIST(U$9*SQRT($C$11)*NORMSINV($B756)+SQRT(1-U$9^2*$C$11)*NORMSINV(T756))*(U$7-U$5)*(U$6-U$5)),U$7-SQRT((1-NORMSDIST(U$9*SQRT($C$11)*NORMSINV($B756)+SQRT(1-U$9^2*$C$11)*NORMSINV(T756)))*(U$7-U$5)*(U$7-U$6))))</f>
        <v>0.460332081609523</v>
      </c>
      <c r="V756" s="2" t="n">
        <v>0.742521468</v>
      </c>
      <c r="W756" s="2" t="n">
        <f aca="false">IF(W$7=W$5,W$6,IF(NORMSDIST(W$9*SQRT($C$11)*NORMSINV($B756)+SQRT(1-W$9^2*$C$11)*NORMSINV(V756))&lt;W$8,W$5+SQRT(NORMSDIST(W$9*SQRT($C$11)*NORMSINV($B756)+SQRT(1-W$9^2*$C$11)*NORMSINV(V756))*(W$7-W$5)*(W$6-W$5)),W$7-SQRT((1-NORMSDIST(W$9*SQRT($C$11)*NORMSINV($B756)+SQRT(1-W$9^2*$C$11)*NORMSINV(V756)))*(W$7-W$5)*(W$7-W$6))))</f>
        <v>9.78523101428288</v>
      </c>
      <c r="X756" s="2" t="n">
        <v>0.223136475</v>
      </c>
      <c r="Y756" s="2" t="n">
        <f aca="false">IF(Y$7=Y$5,Y$6,IF(NORMSDIST(Y$9*SQRT($C$11)*NORMSINV($B756)+SQRT(1-Y$9^2*$C$11)*NORMSINV(X756))&lt;Y$8,Y$5+SQRT(NORMSDIST(Y$9*SQRT($C$11)*NORMSINV($B756)+SQRT(1-Y$9^2*$C$11)*NORMSINV(X756))*(Y$7-Y$5)*(Y$6-Y$5)),Y$7-SQRT((1-NORMSDIST(Y$9*SQRT($C$11)*NORMSINV($B756)+SQRT(1-Y$9^2*$C$11)*NORMSINV(X756)))*(Y$7-Y$5)*(Y$7-Y$6))))</f>
        <v>0.334018319108399</v>
      </c>
      <c r="Z756" s="2" t="n">
        <v>0.393431545</v>
      </c>
      <c r="AA756" s="2" t="n">
        <f aca="false">IF(AA$7=AA$5,AA$6,IF(NORMSDIST(AA$9*SQRT($C$11)*NORMSINV($B756)+SQRT(1-AA$9^2*$C$11)*NORMSINV(Z756))&lt;AA$8,AA$5+SQRT(NORMSDIST(AA$9*SQRT($C$11)*NORMSINV($B756)+SQRT(1-AA$9^2*$C$11)*NORMSINV(Z756))*(AA$7-AA$5)*(AA$6-AA$5)),AA$7-SQRT((1-NORMSDIST(AA$9*SQRT($C$11)*NORMSINV($B756)+SQRT(1-AA$9^2*$C$11)*NORMSINV(Z756)))*(AA$7-AA$5)*(AA$7-AA$6))))</f>
        <v>0.714161496209026</v>
      </c>
      <c r="AB756" s="2" t="n">
        <v>0.083083989</v>
      </c>
      <c r="AC756" s="2" t="n">
        <f aca="false">IF(AC$7=AC$5,AC$6,IF(NORMSDIST(AC$9*SQRT($C$11)*NORMSINV($B756)+SQRT(1-AC$9^2*$C$11)*NORMSINV(AB756))&lt;AC$8,AC$5+SQRT(NORMSDIST(AC$9*SQRT($C$11)*NORMSINV($B756)+SQRT(1-AC$9^2*$C$11)*NORMSINV(AB756))*(AC$7-AC$5)*(AC$6-AC$5)),AC$7-SQRT((1-NORMSDIST(AC$9*SQRT($C$11)*NORMSINV($B756)+SQRT(1-AC$9^2*$C$11)*NORMSINV(AB756)))*(AC$7-AC$5)*(AC$7-AC$6))))</f>
        <v>7.93634665801315</v>
      </c>
      <c r="AD756" s="2" t="n">
        <f aca="false">Entrées!$C$8*(1+E756)</f>
        <v>7411.40023558312</v>
      </c>
      <c r="AE756" s="2" t="n">
        <f aca="false">I756*Hypothèses!$J$24/12/Hypothèses!$J$19</f>
        <v>97.8608608979453</v>
      </c>
      <c r="AF756" s="2" t="n">
        <f aca="false">Entrées!$C$36*S756*1000</f>
        <v>214.160604091851</v>
      </c>
      <c r="AG756" s="2" t="n">
        <f aca="false">-AF756/W756</f>
        <v>-21.8861060898056</v>
      </c>
      <c r="AH756" s="2" t="n">
        <f aca="false">AD756+AE756+AG756</f>
        <v>7487.37499039126</v>
      </c>
      <c r="AI756" s="2" t="n">
        <f aca="false">Entrées!$C$16-M756+Hypothèses!$J$22*1000-AF756+Hypothèses!$J$23</f>
        <v>22773.5598685567</v>
      </c>
      <c r="AJ756" s="2" t="n">
        <f aca="false">AI756/AH756</f>
        <v>3.04159467073341</v>
      </c>
      <c r="AK756" s="2" t="n">
        <f aca="false">AI756/(AH756+I756*(12-Hypothèses!$J$24)/12/Hypothèses!$J$19)</f>
        <v>3.01346160414343</v>
      </c>
      <c r="AL756" s="2" t="n">
        <f aca="false">(AD756+AG756+I756/Hypothèses!$J$19)*(1+G756)</f>
        <v>7922.47738531789</v>
      </c>
      <c r="AM756" s="2" t="n">
        <f aca="false">Entrées!$C$54*K756/Hypothèses!$J$19</f>
        <v>2.38831668890628</v>
      </c>
      <c r="AN756" s="2" t="n">
        <f aca="false">Y756*1000/AC756</f>
        <v>42.0871634647093</v>
      </c>
      <c r="AO756" s="2" t="n">
        <f aca="false">(Entrées!$C$36*(1-S756)+MAX(0,Entrées!$C$30-Entrées!$C$35-Entrées!$C$36)*U756)*1000</f>
        <v>930.304310161482</v>
      </c>
      <c r="AP756" s="2" t="n">
        <f aca="false">-AO756/W756</f>
        <v>-95.0722889223132</v>
      </c>
      <c r="AQ756" s="2" t="n">
        <f aca="false">AL756+AM756+AN756+AP756</f>
        <v>7871.88057654919</v>
      </c>
      <c r="AR756" s="2" t="n">
        <f aca="false">O756*AQ756-Hypothèses!$J$25/Hypothèses!$J$19</f>
        <v>1239.76073241158</v>
      </c>
      <c r="AS756" s="2" t="n">
        <f aca="false">Entrées!$C$79*(1+Q756)+Hypothèses!$J$20</f>
        <v>1469.39274133546</v>
      </c>
      <c r="AT756" s="2" t="n">
        <f aca="false">AI756-AR756+AS756+Y756*1000-AO756+Hypothèses!$J$23</f>
        <v>22406.9058864275</v>
      </c>
      <c r="AU756" s="2" t="n">
        <f aca="false">AT756/AQ756</f>
        <v>2.84644890995667</v>
      </c>
      <c r="AV756" s="2" t="n">
        <f aca="false">Hypothèses!$J$26*AQ756-AT756</f>
        <v>1208.73584322006</v>
      </c>
      <c r="AW756" s="2" t="n">
        <f aca="false">IF(AC756&gt;Hypothèses!$J$26,MAX(0,AV756)/(1-Hypothèses!$J$26/AC756),0)</f>
        <v>1943.32921375934</v>
      </c>
      <c r="AX756" s="2" t="n">
        <f aca="false">AQ756-Entrées!$C$17*1000</f>
        <v>-128.119423450812</v>
      </c>
      <c r="AY756" s="2" t="n">
        <f aca="false">AI756+(Entrées!$C$244-Entrées!$C$13)</f>
        <v>28520.5598685567</v>
      </c>
      <c r="AZ756" s="2" t="n">
        <f aca="false">AA756*AH756</f>
        <v>5347.19492581586</v>
      </c>
      <c r="BA756" s="2" t="n">
        <f aca="false">AZ756/AY756</f>
        <v>0.187485622668685</v>
      </c>
      <c r="BB756" s="2" t="n">
        <f aca="false">AZ756/(Entrées!$C$151/100)-AY756</f>
        <v>1186.07860819809</v>
      </c>
      <c r="BC756" s="2" t="n">
        <f aca="false">AT756+(Entrées!$C$244-Entrées!$C$13)</f>
        <v>28153.9058864275</v>
      </c>
      <c r="BD756" s="2" t="n">
        <f aca="false">AA756*AQ756</f>
        <v>5621.79401052714</v>
      </c>
      <c r="BE756" s="2" t="n">
        <f aca="false">BD756/BC756</f>
        <v>0.199680784371639</v>
      </c>
      <c r="BF756" s="2" t="n">
        <f aca="false">BD756/(Entrées!$C$151/100)-BC756</f>
        <v>3078.28306094547</v>
      </c>
      <c r="BG756" s="2" t="n">
        <f aca="false">MIN(AV756,BF756)</f>
        <v>1208.73584322006</v>
      </c>
      <c r="BH756" s="2" t="n">
        <f aca="false">IF(AC756&gt;Hypothèses!$J$26,MAX(0,BG756)/(1-Hypothèses!$J$26/AC756),0)</f>
        <v>1943.32921375934</v>
      </c>
    </row>
    <row r="757" customFormat="false" ht="15" hidden="false" customHeight="false" outlineLevel="0" collapsed="false">
      <c r="A757" s="2" t="n">
        <v>742</v>
      </c>
      <c r="B757" s="2" t="n">
        <v>0.932289529</v>
      </c>
      <c r="C757" s="2"/>
      <c r="D757" s="2" t="n">
        <v>0.624313589</v>
      </c>
      <c r="E757" s="2" t="n">
        <f aca="false">IF(E$7=E$5,E$6,IF(NORMSDIST(E$9*SQRT($C$11)*NORMSINV($B757)+SQRT(1-E$9^2*$C$11)*NORMSINV(D757))&lt;E$8,E$5+SQRT(NORMSDIST(E$9*SQRT($C$11)*NORMSINV($B757)+SQRT(1-E$9^2*$C$11)*NORMSINV(D757))*(E$7-E$5)*(E$6-E$5)),E$7-SQRT((1-NORMSDIST(E$9*SQRT($C$11)*NORMSINV($B757)+SQRT(1-E$9^2*$C$11)*NORMSINV(D757)))*(E$7-E$5)*(E$7-E$6))))</f>
        <v>0.0575804950966717</v>
      </c>
      <c r="F757" s="2" t="n">
        <v>0.744958481</v>
      </c>
      <c r="G757" s="2" t="n">
        <f aca="false">IF(G$7=G$5,G$6,IF(NORMSDIST(G$9*SQRT($C$11)*NORMSINV($B757)+SQRT(1-G$9^2*$C$11)*NORMSINV(F757))&lt;G$8,G$5+SQRT(NORMSDIST(G$9*SQRT($C$11)*NORMSINV($B757)+SQRT(1-G$9^2*$C$11)*NORMSINV(F757))*(G$7-G$5)*(G$6-G$5)),G$7-SQRT((1-NORMSDIST(G$9*SQRT($C$11)*NORMSINV($B757)+SQRT(1-G$9^2*$C$11)*NORMSINV(F757)))*(G$7-G$5)*(G$7-G$6))))</f>
        <v>0.0642724393102384</v>
      </c>
      <c r="H757" s="2" t="n">
        <v>0.131121419</v>
      </c>
      <c r="I757" s="2" t="n">
        <f aca="false">IF(I$7=I$5,I$6,IF(NORMSDIST(I$9*SQRT($C$11)*NORMSINV($B757)+SQRT(1-I$9^2*$C$11)*NORMSINV(H757))&lt;I$8,I$5+SQRT(NORMSDIST(I$9*SQRT($C$11)*NORMSINV($B757)+SQRT(1-I$9^2*$C$11)*NORMSINV(H757))*(I$7-I$5)*(I$6-I$5)),I$7-SQRT((1-NORMSDIST(I$9*SQRT($C$11)*NORMSINV($B757)+SQRT(1-I$9^2*$C$11)*NORMSINV(H757)))*(I$7-I$5)*(I$7-I$6))))</f>
        <v>200.614374709561</v>
      </c>
      <c r="J757" s="2" t="n">
        <v>0.049984005</v>
      </c>
      <c r="K757" s="2" t="n">
        <f aca="false">IF(K$7=K$5,K$6,IF(NORMSDIST(K$9*SQRT($C$11)*NORMSINV($B757)+SQRT(1-K$9^2*$C$11)*NORMSINV(J757))&lt;K$8,K$5+SQRT(NORMSDIST(K$9*SQRT($C$11)*NORMSINV($B757)+SQRT(1-K$9^2*$C$11)*NORMSINV(J757))*(K$7-K$5)*(K$6-K$5)),K$7-SQRT((1-NORMSDIST(K$9*SQRT($C$11)*NORMSINV($B757)+SQRT(1-K$9^2*$C$11)*NORMSINV(J757)))*(K$7-K$5)*(K$7-K$6))))</f>
        <v>0.215269917901279</v>
      </c>
      <c r="L757" s="2" t="n">
        <v>0.183297343</v>
      </c>
      <c r="M757" s="2" t="n">
        <f aca="false">IF(M$7=M$5,M$6,IF(NORMSDIST(M$9*SQRT($C$11)*NORMSINV($B757)+SQRT(1-M$9^2*$C$11)*NORMSINV(L757))&lt;M$8,M$5+SQRT(NORMSDIST(M$9*SQRT($C$11)*NORMSINV($B757)+SQRT(1-M$9^2*$C$11)*NORMSINV(L757))*(M$7-M$5)*(M$6-M$5)),M$7-SQRT((1-NORMSDIST(M$9*SQRT($C$11)*NORMSINV($B757)+SQRT(1-M$9^2*$C$11)*NORMSINV(L757)))*(M$7-M$5)*(M$7-M$6))))</f>
        <v>1611.4419106103</v>
      </c>
      <c r="N757" s="2" t="n">
        <v>0.981866758</v>
      </c>
      <c r="O757" s="2" t="n">
        <f aca="false">IF(O$7=O$5,O$6,IF(NORMSDIST(O$9*SQRT($C$11)*NORMSINV($B757)+SQRT(1-O$9^2*$C$11)*NORMSINV(N757))&lt;O$8,O$5+SQRT(NORMSDIST(O$9*SQRT($C$11)*NORMSINV($B757)+SQRT(1-O$9^2*$C$11)*NORMSINV(N757))*(O$7-O$5)*(O$6-O$5)),O$7-SQRT((1-NORMSDIST(O$9*SQRT($C$11)*NORMSINV($B757)+SQRT(1-O$9^2*$C$11)*NORMSINV(N757)))*(O$7-O$5)*(O$7-O$6))))</f>
        <v>0.187660047912863</v>
      </c>
      <c r="P757" s="2" t="n">
        <v>0.852255278</v>
      </c>
      <c r="Q757" s="2" t="n">
        <f aca="false">IF(Q$7=Q$5,Q$6,IF(NORMSDIST(Q$9*SQRT($C$11)*NORMSINV($B757)+SQRT(1-Q$9^2*$C$11)*NORMSINV(P757))&lt;Q$8,Q$5+SQRT(NORMSDIST(Q$9*SQRT($C$11)*NORMSINV($B757)+SQRT(1-Q$9^2*$C$11)*NORMSINV(P757))*(Q$7-Q$5)*(Q$6-Q$5)),Q$7-SQRT((1-NORMSDIST(Q$9*SQRT($C$11)*NORMSINV($B757)+SQRT(1-Q$9^2*$C$11)*NORMSINV(P757)))*(Q$7-Q$5)*(Q$7-Q$6))))</f>
        <v>0.0982564236980206</v>
      </c>
      <c r="R757" s="2" t="n">
        <v>0.119088835</v>
      </c>
      <c r="S757" s="2" t="n">
        <f aca="false">IF(S$7=S$5,S$6,IF(NORMSDIST(S$9*SQRT($C$11)*NORMSINV($B757)+SQRT(1-S$9^2*$C$11)*NORMSINV(R757))&lt;S$8,S$5+SQRT(NORMSDIST(S$9*SQRT($C$11)*NORMSINV($B757)+SQRT(1-S$9^2*$C$11)*NORMSINV(R757))*(S$7-S$5)*(S$6-S$5)),S$7-SQRT((1-NORMSDIST(S$9*SQRT($C$11)*NORMSINV($B757)+SQRT(1-S$9^2*$C$11)*NORMSINV(R757)))*(S$7-S$5)*(S$7-S$6))))</f>
        <v>0.506143963348832</v>
      </c>
      <c r="T757" s="2" t="n">
        <v>0.576852568</v>
      </c>
      <c r="U757" s="2" t="n">
        <f aca="false">IF(U$7=U$5,U$6,IF(NORMSDIST(U$9*SQRT($C$11)*NORMSINV($B757)+SQRT(1-U$9^2*$C$11)*NORMSINV(T757))&lt;U$8,U$5+SQRT(NORMSDIST(U$9*SQRT($C$11)*NORMSINV($B757)+SQRT(1-U$9^2*$C$11)*NORMSINV(T757))*(U$7-U$5)*(U$6-U$5)),U$7-SQRT((1-NORMSDIST(U$9*SQRT($C$11)*NORMSINV($B757)+SQRT(1-U$9^2*$C$11)*NORMSINV(T757)))*(U$7-U$5)*(U$7-U$6))))</f>
        <v>0.738390595369604</v>
      </c>
      <c r="V757" s="2" t="n">
        <v>0.516291291</v>
      </c>
      <c r="W757" s="2" t="n">
        <f aca="false">IF(W$7=W$5,W$6,IF(NORMSDIST(W$9*SQRT($C$11)*NORMSINV($B757)+SQRT(1-W$9^2*$C$11)*NORMSINV(V757))&lt;W$8,W$5+SQRT(NORMSDIST(W$9*SQRT($C$11)*NORMSINV($B757)+SQRT(1-W$9^2*$C$11)*NORMSINV(V757))*(W$7-W$5)*(W$6-W$5)),W$7-SQRT((1-NORMSDIST(W$9*SQRT($C$11)*NORMSINV($B757)+SQRT(1-W$9^2*$C$11)*NORMSINV(V757)))*(W$7-W$5)*(W$7-W$6))))</f>
        <v>10.8526616811797</v>
      </c>
      <c r="X757" s="2" t="n">
        <v>0.016303696</v>
      </c>
      <c r="Y757" s="2" t="n">
        <f aca="false">IF(Y$7=Y$5,Y$6,IF(NORMSDIST(Y$9*SQRT($C$11)*NORMSINV($B757)+SQRT(1-Y$9^2*$C$11)*NORMSINV(X757))&lt;Y$8,Y$5+SQRT(NORMSDIST(Y$9*SQRT($C$11)*NORMSINV($B757)+SQRT(1-Y$9^2*$C$11)*NORMSINV(X757))*(Y$7-Y$5)*(Y$6-Y$5)),Y$7-SQRT((1-NORMSDIST(Y$9*SQRT($C$11)*NORMSINV($B757)+SQRT(1-Y$9^2*$C$11)*NORMSINV(X757)))*(Y$7-Y$5)*(Y$7-Y$6))))</f>
        <v>0.0902875849715785</v>
      </c>
      <c r="Z757" s="2" t="n">
        <v>0.32023284</v>
      </c>
      <c r="AA757" s="2" t="n">
        <f aca="false">IF(AA$7=AA$5,AA$6,IF(NORMSDIST(AA$9*SQRT($C$11)*NORMSINV($B757)+SQRT(1-AA$9^2*$C$11)*NORMSINV(Z757))&lt;AA$8,AA$5+SQRT(NORMSDIST(AA$9*SQRT($C$11)*NORMSINV($B757)+SQRT(1-AA$9^2*$C$11)*NORMSINV(Z757))*(AA$7-AA$5)*(AA$6-AA$5)),AA$7-SQRT((1-NORMSDIST(AA$9*SQRT($C$11)*NORMSINV($B757)+SQRT(1-AA$9^2*$C$11)*NORMSINV(Z757)))*(AA$7-AA$5)*(AA$7-AA$6))))</f>
        <v>0.734895290326628</v>
      </c>
      <c r="AB757" s="2" t="n">
        <v>0.763286428</v>
      </c>
      <c r="AC757" s="2" t="n">
        <f aca="false">IF(AC$7=AC$5,AC$6,IF(NORMSDIST(AC$9*SQRT($C$11)*NORMSINV($B757)+SQRT(1-AC$9^2*$C$11)*NORMSINV(AB757))&lt;AC$8,AC$5+SQRT(NORMSDIST(AC$9*SQRT($C$11)*NORMSINV($B757)+SQRT(1-AC$9^2*$C$11)*NORMSINV(AB757))*(AC$7-AC$5)*(AC$6-AC$5)),AC$7-SQRT((1-NORMSDIST(AC$9*SQRT($C$11)*NORMSINV($B757)+SQRT(1-AC$9^2*$C$11)*NORMSINV(AB757)))*(AC$7-AC$5)*(AC$7-AC$6))))</f>
        <v>10.4625776151914</v>
      </c>
      <c r="AD757" s="2" t="n">
        <f aca="false">Entrées!$C$8*(1+E757)</f>
        <v>7455.94249043154</v>
      </c>
      <c r="AE757" s="2" t="n">
        <f aca="false">I757*Hypothèses!$J$24/12/Hypothèses!$J$19</f>
        <v>99.524149202128</v>
      </c>
      <c r="AF757" s="2" t="n">
        <f aca="false">Entrées!$C$36*S757*1000</f>
        <v>253.071981674416</v>
      </c>
      <c r="AG757" s="2" t="n">
        <f aca="false">-AF757/W757</f>
        <v>-23.3188861045291</v>
      </c>
      <c r="AH757" s="2" t="n">
        <f aca="false">AD757+AE757+AG757</f>
        <v>7532.14775352913</v>
      </c>
      <c r="AI757" s="2" t="n">
        <f aca="false">Entrées!$C$16-M757+Hypothèses!$J$22*1000-AF757+Hypothèses!$J$23</f>
        <v>22683.4861077153</v>
      </c>
      <c r="AJ757" s="2" t="n">
        <f aca="false">AI757/AH757</f>
        <v>3.01155617892481</v>
      </c>
      <c r="AK757" s="2" t="n">
        <f aca="false">AI757/(AH757+I757*(12-Hypothèses!$J$24)/12/Hypothèses!$J$19)</f>
        <v>2.98339875551506</v>
      </c>
      <c r="AL757" s="2" t="n">
        <f aca="false">(AD757+AG757+I757/Hypothèses!$J$19)*(1+G757)</f>
        <v>8091.9149836376</v>
      </c>
      <c r="AM757" s="2" t="n">
        <f aca="false">Entrées!$C$54*K757/Hypothèses!$J$19</f>
        <v>21.969198981802</v>
      </c>
      <c r="AN757" s="2" t="n">
        <f aca="false">Y757*1000/AC757</f>
        <v>8.62957373338702</v>
      </c>
      <c r="AO757" s="2" t="n">
        <f aca="false">(Entrées!$C$36*(1-S757)+MAX(0,Entrées!$C$30-Entrées!$C$35-Entrées!$C$36)*U757)*1000</f>
        <v>1280.67485184303</v>
      </c>
      <c r="AP757" s="2" t="n">
        <f aca="false">-AO757/W757</f>
        <v>-118.005599867167</v>
      </c>
      <c r="AQ757" s="2" t="n">
        <f aca="false">AL757+AM757+AN757+AP757</f>
        <v>8004.50815648562</v>
      </c>
      <c r="AR757" s="2" t="n">
        <f aca="false">O757*AQ757-Hypothèses!$J$25/Hypothèses!$J$19</f>
        <v>1482.99122190336</v>
      </c>
      <c r="AS757" s="2" t="n">
        <f aca="false">Entrées!$C$79*(1+Q757)+Hypothèses!$J$20</f>
        <v>1501.98380964412</v>
      </c>
      <c r="AT757" s="2" t="n">
        <f aca="false">AI757-AR757+AS757+Y757*1000-AO757+Hypothèses!$J$23</f>
        <v>21512.0914285846</v>
      </c>
      <c r="AU757" s="2" t="n">
        <f aca="false">AT757/AQ757</f>
        <v>2.68749697146033</v>
      </c>
      <c r="AV757" s="2" t="n">
        <f aca="false">Hypothèses!$J$26*AQ757-AT757</f>
        <v>2501.43304087227</v>
      </c>
      <c r="AW757" s="2" t="n">
        <f aca="false">IF(AC757&gt;Hypothèses!$J$26,MAX(0,AV757)/(1-Hypothèses!$J$26/AC757),0)</f>
        <v>3507.02380448999</v>
      </c>
      <c r="AX757" s="2" t="n">
        <f aca="false">AQ757-Entrées!$C$17*1000</f>
        <v>4.50815648562093</v>
      </c>
      <c r="AY757" s="2" t="n">
        <f aca="false">AI757+(Entrées!$C$244-Entrées!$C$13)</f>
        <v>28430.4861077153</v>
      </c>
      <c r="AZ757" s="2" t="n">
        <f aca="false">AA757*AH757</f>
        <v>5535.33991011285</v>
      </c>
      <c r="BA757" s="2" t="n">
        <f aca="false">AZ757/AY757</f>
        <v>0.1946973361321</v>
      </c>
      <c r="BB757" s="2" t="n">
        <f aca="false">AZ757/(Entrées!$C$151/100)-AY757</f>
        <v>2321.40228180054</v>
      </c>
      <c r="BC757" s="2" t="n">
        <f aca="false">AT757+(Entrées!$C$244-Entrées!$C$13)</f>
        <v>27259.0914285846</v>
      </c>
      <c r="BD757" s="2" t="n">
        <f aca="false">AA757*AQ757</f>
        <v>5882.47534558236</v>
      </c>
      <c r="BE757" s="2" t="n">
        <f aca="false">BD757/BC757</f>
        <v>0.215798657889743</v>
      </c>
      <c r="BF757" s="2" t="n">
        <f aca="false">BD757/(Entrées!$C$151/100)-BC757</f>
        <v>5421.32715798408</v>
      </c>
      <c r="BG757" s="2" t="n">
        <f aca="false">MIN(AV757,BF757)</f>
        <v>2501.43304087227</v>
      </c>
      <c r="BH757" s="2" t="n">
        <f aca="false">IF(AC757&gt;Hypothèses!$J$26,MAX(0,BG757)/(1-Hypothèses!$J$26/AC757),0)</f>
        <v>3507.02380448999</v>
      </c>
    </row>
    <row r="758" customFormat="false" ht="15" hidden="false" customHeight="false" outlineLevel="0" collapsed="false">
      <c r="A758" s="2" t="n">
        <v>743</v>
      </c>
      <c r="B758" s="2" t="n">
        <v>0.386063303</v>
      </c>
      <c r="C758" s="2"/>
      <c r="D758" s="2" t="n">
        <v>0.37852689</v>
      </c>
      <c r="E758" s="2" t="n">
        <f aca="false">IF(E$7=E$5,E$6,IF(NORMSDIST(E$9*SQRT($C$11)*NORMSINV($B758)+SQRT(1-E$9^2*$C$11)*NORMSINV(D758))&lt;E$8,E$5+SQRT(NORMSDIST(E$9*SQRT($C$11)*NORMSINV($B758)+SQRT(1-E$9^2*$C$11)*NORMSINV(D758))*(E$7-E$5)*(E$6-E$5)),E$7-SQRT((1-NORMSDIST(E$9*SQRT($C$11)*NORMSINV($B758)+SQRT(1-E$9^2*$C$11)*NORMSINV(D758)))*(E$7-E$5)*(E$7-E$6))))</f>
        <v>0.0541001732562616</v>
      </c>
      <c r="F758" s="2" t="n">
        <v>0.171979551</v>
      </c>
      <c r="G758" s="2" t="n">
        <f aca="false">IF(G$7=G$5,G$6,IF(NORMSDIST(G$9*SQRT($C$11)*NORMSINV($B758)+SQRT(1-G$9^2*$C$11)*NORMSINV(F758))&lt;G$8,G$5+SQRT(NORMSDIST(G$9*SQRT($C$11)*NORMSINV($B758)+SQRT(1-G$9^2*$C$11)*NORMSINV(F758))*(G$7-G$5)*(G$6-G$5)),G$7-SQRT((1-NORMSDIST(G$9*SQRT($C$11)*NORMSINV($B758)+SQRT(1-G$9^2*$C$11)*NORMSINV(F758)))*(G$7-G$5)*(G$7-G$6))))</f>
        <v>0.0489944460096011</v>
      </c>
      <c r="H758" s="2" t="n">
        <v>0.555682714</v>
      </c>
      <c r="I758" s="2" t="n">
        <f aca="false">IF(I$7=I$5,I$6,IF(NORMSDIST(I$9*SQRT($C$11)*NORMSINV($B758)+SQRT(1-I$9^2*$C$11)*NORMSINV(H758))&lt;I$8,I$5+SQRT(NORMSDIST(I$9*SQRT($C$11)*NORMSINV($B758)+SQRT(1-I$9^2*$C$11)*NORMSINV(H758))*(I$7-I$5)*(I$6-I$5)),I$7-SQRT((1-NORMSDIST(I$9*SQRT($C$11)*NORMSINV($B758)+SQRT(1-I$9^2*$C$11)*NORMSINV(H758)))*(I$7-I$5)*(I$7-I$6))))</f>
        <v>199.395501395147</v>
      </c>
      <c r="J758" s="2" t="n">
        <v>0.94290916</v>
      </c>
      <c r="K758" s="2" t="n">
        <f aca="false">IF(K$7=K$5,K$6,IF(NORMSDIST(K$9*SQRT($C$11)*NORMSINV($B758)+SQRT(1-K$9^2*$C$11)*NORMSINV(J758))&lt;K$8,K$5+SQRT(NORMSDIST(K$9*SQRT($C$11)*NORMSINV($B758)+SQRT(1-K$9^2*$C$11)*NORMSINV(J758))*(K$7-K$5)*(K$6-K$5)),K$7-SQRT((1-NORMSDIST(K$9*SQRT($C$11)*NORMSINV($B758)+SQRT(1-K$9^2*$C$11)*NORMSINV(J758)))*(K$7-K$5)*(K$7-K$6))))</f>
        <v>0.363497041533742</v>
      </c>
      <c r="L758" s="2" t="n">
        <v>0.343565855</v>
      </c>
      <c r="M758" s="2" t="n">
        <f aca="false">IF(M$7=M$5,M$6,IF(NORMSDIST(M$9*SQRT($C$11)*NORMSINV($B758)+SQRT(1-M$9^2*$C$11)*NORMSINV(L758))&lt;M$8,M$5+SQRT(NORMSDIST(M$9*SQRT($C$11)*NORMSINV($B758)+SQRT(1-M$9^2*$C$11)*NORMSINV(L758))*(M$7-M$5)*(M$6-M$5)),M$7-SQRT((1-NORMSDIST(M$9*SQRT($C$11)*NORMSINV($B758)+SQRT(1-M$9^2*$C$11)*NORMSINV(L758)))*(M$7-M$5)*(M$7-M$6))))</f>
        <v>1525.45769859972</v>
      </c>
      <c r="N758" s="2" t="n">
        <v>0.372804329</v>
      </c>
      <c r="O758" s="2" t="n">
        <f aca="false">IF(O$7=O$5,O$6,IF(NORMSDIST(O$9*SQRT($C$11)*NORMSINV($B758)+SQRT(1-O$9^2*$C$11)*NORMSINV(N758))&lt;O$8,O$5+SQRT(NORMSDIST(O$9*SQRT($C$11)*NORMSINV($B758)+SQRT(1-O$9^2*$C$11)*NORMSINV(N758))*(O$7-O$5)*(O$6-O$5)),O$7-SQRT((1-NORMSDIST(O$9*SQRT($C$11)*NORMSINV($B758)+SQRT(1-O$9^2*$C$11)*NORMSINV(N758)))*(O$7-O$5)*(O$7-O$6))))</f>
        <v>0.161824893707641</v>
      </c>
      <c r="P758" s="2" t="n">
        <v>0.526024551</v>
      </c>
      <c r="Q758" s="2" t="n">
        <f aca="false">IF(Q$7=Q$5,Q$6,IF(NORMSDIST(Q$9*SQRT($C$11)*NORMSINV($B758)+SQRT(1-Q$9^2*$C$11)*NORMSINV(P758))&lt;Q$8,Q$5+SQRT(NORMSDIST(Q$9*SQRT($C$11)*NORMSINV($B758)+SQRT(1-Q$9^2*$C$11)*NORMSINV(P758))*(Q$7-Q$5)*(Q$6-Q$5)),Q$7-SQRT((1-NORMSDIST(Q$9*SQRT($C$11)*NORMSINV($B758)+SQRT(1-Q$9^2*$C$11)*NORMSINV(P758)))*(Q$7-Q$5)*(Q$7-Q$6))))</f>
        <v>0.0810548920042581</v>
      </c>
      <c r="R758" s="2" t="n">
        <v>0.58733174</v>
      </c>
      <c r="S758" s="2" t="n">
        <f aca="false">IF(S$7=S$5,S$6,IF(NORMSDIST(S$9*SQRT($C$11)*NORMSINV($B758)+SQRT(1-S$9^2*$C$11)*NORMSINV(R758))&lt;S$8,S$5+SQRT(NORMSDIST(S$9*SQRT($C$11)*NORMSINV($B758)+SQRT(1-S$9^2*$C$11)*NORMSINV(R758))*(S$7-S$5)*(S$6-S$5)),S$7-SQRT((1-NORMSDIST(S$9*SQRT($C$11)*NORMSINV($B758)+SQRT(1-S$9^2*$C$11)*NORMSINV(R758)))*(S$7-S$5)*(S$7-S$6))))</f>
        <v>0.497558059383766</v>
      </c>
      <c r="T758" s="2" t="n">
        <v>0.030331161</v>
      </c>
      <c r="U758" s="2" t="n">
        <f aca="false">IF(U$7=U$5,U$6,IF(NORMSDIST(U$9*SQRT($C$11)*NORMSINV($B758)+SQRT(1-U$9^2*$C$11)*NORMSINV(T758))&lt;U$8,U$5+SQRT(NORMSDIST(U$9*SQRT($C$11)*NORMSINV($B758)+SQRT(1-U$9^2*$C$11)*NORMSINV(T758))*(U$7-U$5)*(U$6-U$5)),U$7-SQRT((1-NORMSDIST(U$9*SQRT($C$11)*NORMSINV($B758)+SQRT(1-U$9^2*$C$11)*NORMSINV(T758)))*(U$7-U$5)*(U$7-U$6))))</f>
        <v>0.159519088752882</v>
      </c>
      <c r="V758" s="2" t="n">
        <v>0.505420582</v>
      </c>
      <c r="W758" s="2" t="n">
        <f aca="false">IF(W$7=W$5,W$6,IF(NORMSDIST(W$9*SQRT($C$11)*NORMSINV($B758)+SQRT(1-W$9^2*$C$11)*NORMSINV(V758))&lt;W$8,W$5+SQRT(NORMSDIST(W$9*SQRT($C$11)*NORMSINV($B758)+SQRT(1-W$9^2*$C$11)*NORMSINV(V758))*(W$7-W$5)*(W$6-W$5)),W$7-SQRT((1-NORMSDIST(W$9*SQRT($C$11)*NORMSINV($B758)+SQRT(1-W$9^2*$C$11)*NORMSINV(V758)))*(W$7-W$5)*(W$7-W$6))))</f>
        <v>9.85789332372987</v>
      </c>
      <c r="X758" s="2" t="n">
        <v>0.047221591</v>
      </c>
      <c r="Y758" s="2" t="n">
        <f aca="false">IF(Y$7=Y$5,Y$6,IF(NORMSDIST(Y$9*SQRT($C$11)*NORMSINV($B758)+SQRT(1-Y$9^2*$C$11)*NORMSINV(X758))&lt;Y$8,Y$5+SQRT(NORMSDIST(Y$9*SQRT($C$11)*NORMSINV($B758)+SQRT(1-Y$9^2*$C$11)*NORMSINV(X758))*(Y$7-Y$5)*(Y$6-Y$5)),Y$7-SQRT((1-NORMSDIST(Y$9*SQRT($C$11)*NORMSINV($B758)+SQRT(1-Y$9^2*$C$11)*NORMSINV(X758)))*(Y$7-Y$5)*(Y$7-Y$6))))</f>
        <v>0.15365804729984</v>
      </c>
      <c r="Z758" s="2" t="n">
        <v>0.437234698</v>
      </c>
      <c r="AA758" s="2" t="n">
        <f aca="false">IF(AA$7=AA$5,AA$6,IF(NORMSDIST(AA$9*SQRT($C$11)*NORMSINV($B758)+SQRT(1-AA$9^2*$C$11)*NORMSINV(Z758))&lt;AA$8,AA$5+SQRT(NORMSDIST(AA$9*SQRT($C$11)*NORMSINV($B758)+SQRT(1-AA$9^2*$C$11)*NORMSINV(Z758))*(AA$7-AA$5)*(AA$6-AA$5)),AA$7-SQRT((1-NORMSDIST(AA$9*SQRT($C$11)*NORMSINV($B758)+SQRT(1-AA$9^2*$C$11)*NORMSINV(Z758)))*(AA$7-AA$5)*(AA$7-AA$6))))</f>
        <v>0.723853749389334</v>
      </c>
      <c r="AB758" s="2" t="n">
        <v>0.504744882</v>
      </c>
      <c r="AC758" s="2" t="n">
        <f aca="false">IF(AC$7=AC$5,AC$6,IF(NORMSDIST(AC$9*SQRT($C$11)*NORMSINV($B758)+SQRT(1-AC$9^2*$C$11)*NORMSINV(AB758))&lt;AC$8,AC$5+SQRT(NORMSDIST(AC$9*SQRT($C$11)*NORMSINV($B758)+SQRT(1-AC$9^2*$C$11)*NORMSINV(AB758))*(AC$7-AC$5)*(AC$6-AC$5)),AC$7-SQRT((1-NORMSDIST(AC$9*SQRT($C$11)*NORMSINV($B758)+SQRT(1-AC$9^2*$C$11)*NORMSINV(AB758)))*(AC$7-AC$5)*(AC$7-AC$6))))</f>
        <v>9.32962532757712</v>
      </c>
      <c r="AD758" s="2" t="n">
        <f aca="false">Entrées!$C$8*(1+E758)</f>
        <v>7431.40622145664</v>
      </c>
      <c r="AE758" s="2" t="n">
        <f aca="false">I758*Hypothèses!$J$24/12/Hypothèses!$J$19</f>
        <v>98.9194700520029</v>
      </c>
      <c r="AF758" s="2" t="n">
        <f aca="false">Entrées!$C$36*S758*1000</f>
        <v>248.779029691883</v>
      </c>
      <c r="AG758" s="2" t="n">
        <f aca="false">-AF758/W758</f>
        <v>-25.2365309221823</v>
      </c>
      <c r="AH758" s="2" t="n">
        <f aca="false">AD758+AE758+AG758</f>
        <v>7505.08916058646</v>
      </c>
      <c r="AI758" s="2" t="n">
        <f aca="false">Entrées!$C$16-M758+Hypothèses!$J$22*1000-AF758+Hypothèses!$J$23</f>
        <v>22773.7632717084</v>
      </c>
      <c r="AJ758" s="2" t="n">
        <f aca="false">AI758/AH758</f>
        <v>3.03444273404592</v>
      </c>
      <c r="AK758" s="2" t="n">
        <f aca="false">AI758/(AH758+I758*(12-Hypothèses!$J$24)/12/Hypothèses!$J$19)</f>
        <v>3.00614137504631</v>
      </c>
      <c r="AL758" s="2" t="n">
        <f aca="false">(AD758+AG758+I758/Hypothèses!$J$19)*(1+G758)</f>
        <v>7946.91539960975</v>
      </c>
      <c r="AM758" s="2" t="n">
        <f aca="false">Entrées!$C$54*K758/Hypothèses!$J$19</f>
        <v>37.0963993139687</v>
      </c>
      <c r="AN758" s="2" t="n">
        <f aca="false">Y758*1000/AC758</f>
        <v>16.4699054790172</v>
      </c>
      <c r="AO758" s="2" t="n">
        <f aca="false">(Entrées!$C$36*(1-S758)+MAX(0,Entrées!$C$30-Entrées!$C$35-Entrées!$C$36)*U758)*1000</f>
        <v>474.547694562152</v>
      </c>
      <c r="AP758" s="2" t="n">
        <f aca="false">-AO758/W758</f>
        <v>-48.1388547205946</v>
      </c>
      <c r="AQ758" s="2" t="n">
        <f aca="false">AL758+AM758+AN758+AP758</f>
        <v>7952.34284968214</v>
      </c>
      <c r="AR758" s="2" t="n">
        <f aca="false">O758*AQ758-Hypothèses!$J$25/Hypothèses!$J$19</f>
        <v>1267.75187411491</v>
      </c>
      <c r="AS758" s="2" t="n">
        <f aca="false">Entrées!$C$79*(1+Q758)+Hypothèses!$J$20</f>
        <v>1483.07932631268</v>
      </c>
      <c r="AT758" s="2" t="n">
        <f aca="false">AI758-AR758+AS758+Y758*1000-AO758+Hypothèses!$J$23</f>
        <v>22668.2010766439</v>
      </c>
      <c r="AU758" s="2" t="n">
        <f aca="false">AT758/AQ758</f>
        <v>2.85050600874809</v>
      </c>
      <c r="AV758" s="2" t="n">
        <f aca="false">Hypothèses!$J$26*AQ758-AT758</f>
        <v>1188.82747240257</v>
      </c>
      <c r="AW758" s="2" t="n">
        <f aca="false">IF(AC758&gt;Hypothèses!$J$26,MAX(0,AV758)/(1-Hypothèses!$J$26/AC758),0)</f>
        <v>1752.28616586885</v>
      </c>
      <c r="AX758" s="2" t="n">
        <f aca="false">AQ758-Entrées!$C$17*1000</f>
        <v>-47.6571503178584</v>
      </c>
      <c r="AY758" s="2" t="n">
        <f aca="false">AI758+(Entrées!$C$244-Entrées!$C$13)</f>
        <v>28520.7632717084</v>
      </c>
      <c r="AZ758" s="2" t="n">
        <f aca="false">AA758*AH758</f>
        <v>5432.58692839176</v>
      </c>
      <c r="BA758" s="2" t="n">
        <f aca="false">AZ758/AY758</f>
        <v>0.190478314925768</v>
      </c>
      <c r="BB758" s="2" t="n">
        <f aca="false">AZ758/(Entrées!$C$151/100)-AY758</f>
        <v>1660.27521935695</v>
      </c>
      <c r="BC758" s="2" t="n">
        <f aca="false">AT758+(Entrées!$C$244-Entrées!$C$13)</f>
        <v>28415.2010766439</v>
      </c>
      <c r="BD758" s="2" t="n">
        <f aca="false">AA758*AQ758</f>
        <v>5756.33318817188</v>
      </c>
      <c r="BE758" s="2" t="n">
        <f aca="false">BD758/BC758</f>
        <v>0.202579357881206</v>
      </c>
      <c r="BF758" s="2" t="n">
        <f aca="false">BD758/(Entrées!$C$151/100)-BC758</f>
        <v>3564.42774653325</v>
      </c>
      <c r="BG758" s="2" t="n">
        <f aca="false">MIN(AV758,BF758)</f>
        <v>1188.82747240257</v>
      </c>
      <c r="BH758" s="2" t="n">
        <f aca="false">IF(AC758&gt;Hypothèses!$J$26,MAX(0,BG758)/(1-Hypothèses!$J$26/AC758),0)</f>
        <v>1752.28616586885</v>
      </c>
    </row>
    <row r="759" customFormat="false" ht="15" hidden="false" customHeight="false" outlineLevel="0" collapsed="false">
      <c r="A759" s="2" t="n">
        <v>744</v>
      </c>
      <c r="B759" s="2" t="n">
        <v>0.80334532</v>
      </c>
      <c r="C759" s="2"/>
      <c r="D759" s="2" t="n">
        <v>0.428176898</v>
      </c>
      <c r="E759" s="2" t="n">
        <f aca="false">IF(E$7=E$5,E$6,IF(NORMSDIST(E$9*SQRT($C$11)*NORMSINV($B759)+SQRT(1-E$9^2*$C$11)*NORMSINV(D759))&lt;E$8,E$5+SQRT(NORMSDIST(E$9*SQRT($C$11)*NORMSINV($B759)+SQRT(1-E$9^2*$C$11)*NORMSINV(D759))*(E$7-E$5)*(E$6-E$5)),E$7-SQRT((1-NORMSDIST(E$9*SQRT($C$11)*NORMSINV($B759)+SQRT(1-E$9^2*$C$11)*NORMSINV(D759)))*(E$7-E$5)*(E$7-E$6))))</f>
        <v>0.055848491455162</v>
      </c>
      <c r="F759" s="2" t="n">
        <v>0.127924864</v>
      </c>
      <c r="G759" s="2" t="n">
        <f aca="false">IF(G$7=G$5,G$6,IF(NORMSDIST(G$9*SQRT($C$11)*NORMSINV($B759)+SQRT(1-G$9^2*$C$11)*NORMSINV(F759))&lt;G$8,G$5+SQRT(NORMSDIST(G$9*SQRT($C$11)*NORMSINV($B759)+SQRT(1-G$9^2*$C$11)*NORMSINV(F759))*(G$7-G$5)*(G$6-G$5)),G$7-SQRT((1-NORMSDIST(G$9*SQRT($C$11)*NORMSINV($B759)+SQRT(1-G$9^2*$C$11)*NORMSINV(F759)))*(G$7-G$5)*(G$7-G$6))))</f>
        <v>0.0528481274044333</v>
      </c>
      <c r="H759" s="2" t="n">
        <v>0.332873444</v>
      </c>
      <c r="I759" s="2" t="n">
        <f aca="false">IF(I$7=I$5,I$6,IF(NORMSDIST(I$9*SQRT($C$11)*NORMSINV($B759)+SQRT(1-I$9^2*$C$11)*NORMSINV(H759))&lt;I$8,I$5+SQRT(NORMSDIST(I$9*SQRT($C$11)*NORMSINV($B759)+SQRT(1-I$9^2*$C$11)*NORMSINV(H759))*(I$7-I$5)*(I$6-I$5)),I$7-SQRT((1-NORMSDIST(I$9*SQRT($C$11)*NORMSINV($B759)+SQRT(1-I$9^2*$C$11)*NORMSINV(H759)))*(I$7-I$5)*(I$7-I$6))))</f>
        <v>201.698459274108</v>
      </c>
      <c r="J759" s="2" t="n">
        <v>0.012107331</v>
      </c>
      <c r="K759" s="2" t="n">
        <f aca="false">IF(K$7=K$5,K$6,IF(NORMSDIST(K$9*SQRT($C$11)*NORMSINV($B759)+SQRT(1-K$9^2*$C$11)*NORMSINV(J759))&lt;K$8,K$5+SQRT(NORMSDIST(K$9*SQRT($C$11)*NORMSINV($B759)+SQRT(1-K$9^2*$C$11)*NORMSINV(J759))*(K$7-K$5)*(K$6-K$5)),K$7-SQRT((1-NORMSDIST(K$9*SQRT($C$11)*NORMSINV($B759)+SQRT(1-K$9^2*$C$11)*NORMSINV(J759)))*(K$7-K$5)*(K$7-K$6))))</f>
        <v>0.119342796278644</v>
      </c>
      <c r="L759" s="2" t="n">
        <v>0.396485859</v>
      </c>
      <c r="M759" s="2" t="n">
        <f aca="false">IF(M$7=M$5,M$6,IF(NORMSDIST(M$9*SQRT($C$11)*NORMSINV($B759)+SQRT(1-M$9^2*$C$11)*NORMSINV(L759))&lt;M$8,M$5+SQRT(NORMSDIST(M$9*SQRT($C$11)*NORMSINV($B759)+SQRT(1-M$9^2*$C$11)*NORMSINV(L759))*(M$7-M$5)*(M$6-M$5)),M$7-SQRT((1-NORMSDIST(M$9*SQRT($C$11)*NORMSINV($B759)+SQRT(1-M$9^2*$C$11)*NORMSINV(L759)))*(M$7-M$5)*(M$7-M$6))))</f>
        <v>1620.36247753306</v>
      </c>
      <c r="N759" s="2" t="n">
        <v>0.528563008</v>
      </c>
      <c r="O759" s="2" t="n">
        <f aca="false">IF(O$7=O$5,O$6,IF(NORMSDIST(O$9*SQRT($C$11)*NORMSINV($B759)+SQRT(1-O$9^2*$C$11)*NORMSINV(N759))&lt;O$8,O$5+SQRT(NORMSDIST(O$9*SQRT($C$11)*NORMSINV($B759)+SQRT(1-O$9^2*$C$11)*NORMSINV(N759))*(O$7-O$5)*(O$6-O$5)),O$7-SQRT((1-NORMSDIST(O$9*SQRT($C$11)*NORMSINV($B759)+SQRT(1-O$9^2*$C$11)*NORMSINV(N759)))*(O$7-O$5)*(O$7-O$6))))</f>
        <v>0.172860338247972</v>
      </c>
      <c r="P759" s="2" t="n">
        <v>0.069746244</v>
      </c>
      <c r="Q759" s="2" t="n">
        <f aca="false">IF(Q$7=Q$5,Q$6,IF(NORMSDIST(Q$9*SQRT($C$11)*NORMSINV($B759)+SQRT(1-Q$9^2*$C$11)*NORMSINV(P759))&lt;Q$8,Q$5+SQRT(NORMSDIST(Q$9*SQRT($C$11)*NORMSINV($B759)+SQRT(1-Q$9^2*$C$11)*NORMSINV(P759))*(Q$7-Q$5)*(Q$6-Q$5)),Q$7-SQRT((1-NORMSDIST(Q$9*SQRT($C$11)*NORMSINV($B759)+SQRT(1-Q$9^2*$C$11)*NORMSINV(P759)))*(Q$7-Q$5)*(Q$7-Q$6))))</f>
        <v>0.0549394772599312</v>
      </c>
      <c r="R759" s="2" t="n">
        <v>0.513825197</v>
      </c>
      <c r="S759" s="2" t="n">
        <f aca="false">IF(S$7=S$5,S$6,IF(NORMSDIST(S$9*SQRT($C$11)*NORMSINV($B759)+SQRT(1-S$9^2*$C$11)*NORMSINV(R759))&lt;S$8,S$5+SQRT(NORMSDIST(S$9*SQRT($C$11)*NORMSINV($B759)+SQRT(1-S$9^2*$C$11)*NORMSINV(R759))*(S$7-S$5)*(S$6-S$5)),S$7-SQRT((1-NORMSDIST(S$9*SQRT($C$11)*NORMSINV($B759)+SQRT(1-S$9^2*$C$11)*NORMSINV(R759)))*(S$7-S$5)*(S$7-S$6))))</f>
        <v>0.622211724307429</v>
      </c>
      <c r="T759" s="2" t="n">
        <v>0.305542857</v>
      </c>
      <c r="U759" s="2" t="n">
        <f aca="false">IF(U$7=U$5,U$6,IF(NORMSDIST(U$9*SQRT($C$11)*NORMSINV($B759)+SQRT(1-U$9^2*$C$11)*NORMSINV(T759))&lt;U$8,U$5+SQRT(NORMSDIST(U$9*SQRT($C$11)*NORMSINV($B759)+SQRT(1-U$9^2*$C$11)*NORMSINV(T759))*(U$7-U$5)*(U$6-U$5)),U$7-SQRT((1-NORMSDIST(U$9*SQRT($C$11)*NORMSINV($B759)+SQRT(1-U$9^2*$C$11)*NORMSINV(T759)))*(U$7-U$5)*(U$7-U$6))))</f>
        <v>0.529910872344445</v>
      </c>
      <c r="V759" s="2" t="n">
        <v>0.28570495</v>
      </c>
      <c r="W759" s="2" t="n">
        <f aca="false">IF(W$7=W$5,W$6,IF(NORMSDIST(W$9*SQRT($C$11)*NORMSINV($B759)+SQRT(1-W$9^2*$C$11)*NORMSINV(V759))&lt;W$8,W$5+SQRT(NORMSDIST(W$9*SQRT($C$11)*NORMSINV($B759)+SQRT(1-W$9^2*$C$11)*NORMSINV(V759))*(W$7-W$5)*(W$6-W$5)),W$7-SQRT((1-NORMSDIST(W$9*SQRT($C$11)*NORMSINV($B759)+SQRT(1-W$9^2*$C$11)*NORMSINV(V759)))*(W$7-W$5)*(W$7-W$6))))</f>
        <v>10.0825338710357</v>
      </c>
      <c r="X759" s="2" t="n">
        <v>0.827989267</v>
      </c>
      <c r="Y759" s="2" t="n">
        <f aca="false">IF(Y$7=Y$5,Y$6,IF(NORMSDIST(Y$9*SQRT($C$11)*NORMSINV($B759)+SQRT(1-Y$9^2*$C$11)*NORMSINV(X759))&lt;Y$8,Y$5+SQRT(NORMSDIST(Y$9*SQRT($C$11)*NORMSINV($B759)+SQRT(1-Y$9^2*$C$11)*NORMSINV(X759))*(Y$7-Y$5)*(Y$6-Y$5)),Y$7-SQRT((1-NORMSDIST(Y$9*SQRT($C$11)*NORMSINV($B759)+SQRT(1-Y$9^2*$C$11)*NORMSINV(X759)))*(Y$7-Y$5)*(Y$7-Y$6))))</f>
        <v>0.706733284363875</v>
      </c>
      <c r="Z759" s="2" t="n">
        <v>0.754328007</v>
      </c>
      <c r="AA759" s="2" t="n">
        <f aca="false">IF(AA$7=AA$5,AA$6,IF(NORMSDIST(AA$9*SQRT($C$11)*NORMSINV($B759)+SQRT(1-AA$9^2*$C$11)*NORMSINV(Z759))&lt;AA$8,AA$5+SQRT(NORMSDIST(AA$9*SQRT($C$11)*NORMSINV($B759)+SQRT(1-AA$9^2*$C$11)*NORMSINV(Z759))*(AA$7-AA$5)*(AA$6-AA$5)),AA$7-SQRT((1-NORMSDIST(AA$9*SQRT($C$11)*NORMSINV($B759)+SQRT(1-AA$9^2*$C$11)*NORMSINV(Z759)))*(AA$7-AA$5)*(AA$7-AA$6))))</f>
        <v>0.740377338552813</v>
      </c>
      <c r="AB759" s="2" t="n">
        <v>0.092427619</v>
      </c>
      <c r="AC759" s="2" t="n">
        <f aca="false">IF(AC$7=AC$5,AC$6,IF(NORMSDIST(AC$9*SQRT($C$11)*NORMSINV($B759)+SQRT(1-AC$9^2*$C$11)*NORMSINV(AB759))&lt;AC$8,AC$5+SQRT(NORMSDIST(AC$9*SQRT($C$11)*NORMSINV($B759)+SQRT(1-AC$9^2*$C$11)*NORMSINV(AB759))*(AC$7-AC$5)*(AC$6-AC$5)),AC$7-SQRT((1-NORMSDIST(AC$9*SQRT($C$11)*NORMSINV($B759)+SQRT(1-AC$9^2*$C$11)*NORMSINV(AB759)))*(AC$7-AC$5)*(AC$7-AC$6))))</f>
        <v>9.04463942942487</v>
      </c>
      <c r="AD759" s="2" t="n">
        <f aca="false">Entrées!$C$8*(1+E759)</f>
        <v>7443.73186475889</v>
      </c>
      <c r="AE759" s="2" t="n">
        <f aca="false">I759*Hypothèses!$J$24/12/Hypothèses!$J$19</f>
        <v>100.061960084852</v>
      </c>
      <c r="AF759" s="2" t="n">
        <f aca="false">Entrées!$C$36*S759*1000</f>
        <v>311.105862153715</v>
      </c>
      <c r="AG759" s="2" t="n">
        <f aca="false">-AF759/W759</f>
        <v>-30.8559203602019</v>
      </c>
      <c r="AH759" s="2" t="n">
        <f aca="false">AD759+AE759+AG759</f>
        <v>7512.93790448354</v>
      </c>
      <c r="AI759" s="2" t="n">
        <f aca="false">Entrées!$C$16-M759+Hypothèses!$J$22*1000-AF759+Hypothèses!$J$23</f>
        <v>22616.5316603132</v>
      </c>
      <c r="AJ759" s="2" t="n">
        <f aca="false">AI759/AH759</f>
        <v>3.0103445480118</v>
      </c>
      <c r="AK759" s="2" t="n">
        <f aca="false">AI759/(AH759+I759*(12-Hypothèses!$J$24)/12/Hypothèses!$J$19)</f>
        <v>2.98197611603013</v>
      </c>
      <c r="AL759" s="2" t="n">
        <f aca="false">(AD759+AG759+I759/Hypothèses!$J$19)*(1+G759)</f>
        <v>7985.23263782682</v>
      </c>
      <c r="AM759" s="2" t="n">
        <f aca="false">Entrées!$C$54*K759/Hypothèses!$J$19</f>
        <v>12.1794334482562</v>
      </c>
      <c r="AN759" s="2" t="n">
        <f aca="false">Y759*1000/AC759</f>
        <v>78.1383591771126</v>
      </c>
      <c r="AO759" s="2" t="n">
        <f aca="false">(Entrées!$C$36*(1-S759)+MAX(0,Entrées!$C$30-Entrées!$C$35-Entrées!$C$36)*U759)*1000</f>
        <v>930.769359128508</v>
      </c>
      <c r="AP759" s="2" t="n">
        <f aca="false">-AO759/W759</f>
        <v>-92.3150242819766</v>
      </c>
      <c r="AQ759" s="2" t="n">
        <f aca="false">AL759+AM759+AN759+AP759</f>
        <v>7983.23540617022</v>
      </c>
      <c r="AR759" s="2" t="n">
        <f aca="false">O759*AQ759-Hypothèses!$J$25/Hypothèses!$J$19</f>
        <v>1360.84961036214</v>
      </c>
      <c r="AS759" s="2" t="n">
        <f aca="false">Entrées!$C$79*(1+Q759)+Hypothèses!$J$20</f>
        <v>1454.37848550866</v>
      </c>
      <c r="AT759" s="2" t="n">
        <f aca="false">AI759-AR759+AS759+Y759*1000-AO759+Hypothèses!$J$23</f>
        <v>22486.0244606951</v>
      </c>
      <c r="AU759" s="2" t="n">
        <f aca="false">AT759/AQ759</f>
        <v>2.81665556840723</v>
      </c>
      <c r="AV759" s="2" t="n">
        <f aca="false">Hypothèses!$J$26*AQ759-AT759</f>
        <v>1463.68175781553</v>
      </c>
      <c r="AW759" s="2" t="n">
        <f aca="false">IF(AC759&gt;Hypothèses!$J$26,MAX(0,AV759)/(1-Hypothèses!$J$26/AC759),0)</f>
        <v>2190.11802001362</v>
      </c>
      <c r="AX759" s="2" t="n">
        <f aca="false">AQ759-Entrées!$C$17*1000</f>
        <v>-16.7645938297846</v>
      </c>
      <c r="AY759" s="2" t="n">
        <f aca="false">AI759+(Entrées!$C$244-Entrées!$C$13)</f>
        <v>28363.5316603132</v>
      </c>
      <c r="AZ759" s="2" t="n">
        <f aca="false">AA759*AH759</f>
        <v>5562.40897043408</v>
      </c>
      <c r="BA759" s="2" t="n">
        <f aca="false">AZ759/AY759</f>
        <v>0.196111296613218</v>
      </c>
      <c r="BB759" s="2" t="n">
        <f aca="false">AZ759/(Entrées!$C$151/100)-AY759</f>
        <v>2538.74039765386</v>
      </c>
      <c r="BC759" s="2" t="n">
        <f aca="false">AT759+(Entrées!$C$244-Entrées!$C$13)</f>
        <v>28233.0244606951</v>
      </c>
      <c r="BD759" s="2" t="n">
        <f aca="false">AA759*AQ759</f>
        <v>5910.60658306089</v>
      </c>
      <c r="BE759" s="2" t="n">
        <f aca="false">BD759/BC759</f>
        <v>0.209350811539493</v>
      </c>
      <c r="BF759" s="2" t="n">
        <f aca="false">BD759/(Entrées!$C$151/100)-BC759</f>
        <v>4603.67877853206</v>
      </c>
      <c r="BG759" s="2" t="n">
        <f aca="false">MIN(AV759,BF759)</f>
        <v>1463.68175781553</v>
      </c>
      <c r="BH759" s="2" t="n">
        <f aca="false">IF(AC759&gt;Hypothèses!$J$26,MAX(0,BG759)/(1-Hypothèses!$J$26/AC759),0)</f>
        <v>2190.11802001362</v>
      </c>
    </row>
    <row r="760" customFormat="false" ht="15" hidden="false" customHeight="false" outlineLevel="0" collapsed="false">
      <c r="A760" s="2" t="n">
        <v>745</v>
      </c>
      <c r="B760" s="2" t="n">
        <v>0.314264828</v>
      </c>
      <c r="C760" s="2"/>
      <c r="D760" s="2" t="n">
        <v>0.574220502</v>
      </c>
      <c r="E760" s="2" t="n">
        <f aca="false">IF(E$7=E$5,E$6,IF(NORMSDIST(E$9*SQRT($C$11)*NORMSINV($B760)+SQRT(1-E$9^2*$C$11)*NORMSINV(D760))&lt;E$8,E$5+SQRT(NORMSDIST(E$9*SQRT($C$11)*NORMSINV($B760)+SQRT(1-E$9^2*$C$11)*NORMSINV(D760))*(E$7-E$5)*(E$6-E$5)),E$7-SQRT((1-NORMSDIST(E$9*SQRT($C$11)*NORMSINV($B760)+SQRT(1-E$9^2*$C$11)*NORMSINV(D760)))*(E$7-E$5)*(E$7-E$6))))</f>
        <v>0.0546692330509887</v>
      </c>
      <c r="F760" s="2" t="n">
        <v>0.706517849</v>
      </c>
      <c r="G760" s="2" t="n">
        <f aca="false">IF(G$7=G$5,G$6,IF(NORMSDIST(G$9*SQRT($C$11)*NORMSINV($B760)+SQRT(1-G$9^2*$C$11)*NORMSINV(F760))&lt;G$8,G$5+SQRT(NORMSDIST(G$9*SQRT($C$11)*NORMSINV($B760)+SQRT(1-G$9^2*$C$11)*NORMSINV(F760))*(G$7-G$5)*(G$6-G$5)),G$7-SQRT((1-NORMSDIST(G$9*SQRT($C$11)*NORMSINV($B760)+SQRT(1-G$9^2*$C$11)*NORMSINV(F760)))*(G$7-G$5)*(G$7-G$6))))</f>
        <v>0.0557019683948459</v>
      </c>
      <c r="H760" s="2" t="n">
        <v>0.088259919</v>
      </c>
      <c r="I760" s="2" t="n">
        <f aca="false">IF(I$7=I$5,I$6,IF(NORMSDIST(I$9*SQRT($C$11)*NORMSINV($B760)+SQRT(1-I$9^2*$C$11)*NORMSINV(H760))&lt;I$8,I$5+SQRT(NORMSDIST(I$9*SQRT($C$11)*NORMSINV($B760)+SQRT(1-I$9^2*$C$11)*NORMSINV(H760))*(I$7-I$5)*(I$6-I$5)),I$7-SQRT((1-NORMSDIST(I$9*SQRT($C$11)*NORMSINV($B760)+SQRT(1-I$9^2*$C$11)*NORMSINV(H760)))*(I$7-I$5)*(I$7-I$6))))</f>
        <v>188.392670749701</v>
      </c>
      <c r="J760" s="2" t="n">
        <v>0.038274805</v>
      </c>
      <c r="K760" s="2" t="n">
        <f aca="false">IF(K$7=K$5,K$6,IF(NORMSDIST(K$9*SQRT($C$11)*NORMSINV($B760)+SQRT(1-K$9^2*$C$11)*NORMSINV(J760))&lt;K$8,K$5+SQRT(NORMSDIST(K$9*SQRT($C$11)*NORMSINV($B760)+SQRT(1-K$9^2*$C$11)*NORMSINV(J760))*(K$7-K$5)*(K$6-K$5)),K$7-SQRT((1-NORMSDIST(K$9*SQRT($C$11)*NORMSINV($B760)+SQRT(1-K$9^2*$C$11)*NORMSINV(J760)))*(K$7-K$5)*(K$7-K$6))))</f>
        <v>0.076394456545078</v>
      </c>
      <c r="L760" s="2" t="n">
        <v>0.831936336</v>
      </c>
      <c r="M760" s="2" t="n">
        <f aca="false">IF(M$7=M$5,M$6,IF(NORMSDIST(M$9*SQRT($C$11)*NORMSINV($B760)+SQRT(1-M$9^2*$C$11)*NORMSINV(L760))&lt;M$8,M$5+SQRT(NORMSDIST(M$9*SQRT($C$11)*NORMSINV($B760)+SQRT(1-M$9^2*$C$11)*NORMSINV(L760))*(M$7-M$5)*(M$6-M$5)),M$7-SQRT((1-NORMSDIST(M$9*SQRT($C$11)*NORMSINV($B760)+SQRT(1-M$9^2*$C$11)*NORMSINV(L760)))*(M$7-M$5)*(M$7-M$6))))</f>
        <v>1629.74083275026</v>
      </c>
      <c r="N760" s="2" t="n">
        <v>0.0858866</v>
      </c>
      <c r="O760" s="2" t="n">
        <f aca="false">IF(O$7=O$5,O$6,IF(NORMSDIST(O$9*SQRT($C$11)*NORMSINV($B760)+SQRT(1-O$9^2*$C$11)*NORMSINV(N760))&lt;O$8,O$5+SQRT(NORMSDIST(O$9*SQRT($C$11)*NORMSINV($B760)+SQRT(1-O$9^2*$C$11)*NORMSINV(N760))*(O$7-O$5)*(O$6-O$5)),O$7-SQRT((1-NORMSDIST(O$9*SQRT($C$11)*NORMSINV($B760)+SQRT(1-O$9^2*$C$11)*NORMSINV(N760)))*(O$7-O$5)*(O$7-O$6))))</f>
        <v>0.15112165695979</v>
      </c>
      <c r="P760" s="2" t="n">
        <v>0.93732272</v>
      </c>
      <c r="Q760" s="2" t="n">
        <f aca="false">IF(Q$7=Q$5,Q$6,IF(NORMSDIST(Q$9*SQRT($C$11)*NORMSINV($B760)+SQRT(1-Q$9^2*$C$11)*NORMSINV(P760))&lt;Q$8,Q$5+SQRT(NORMSDIST(Q$9*SQRT($C$11)*NORMSINV($B760)+SQRT(1-Q$9^2*$C$11)*NORMSINV(P760))*(Q$7-Q$5)*(Q$6-Q$5)),Q$7-SQRT((1-NORMSDIST(Q$9*SQRT($C$11)*NORMSINV($B760)+SQRT(1-Q$9^2*$C$11)*NORMSINV(P760)))*(Q$7-Q$5)*(Q$7-Q$6))))</f>
        <v>0.105837821636485</v>
      </c>
      <c r="R760" s="2" t="n">
        <v>0.524639343</v>
      </c>
      <c r="S760" s="2" t="n">
        <f aca="false">IF(S$7=S$5,S$6,IF(NORMSDIST(S$9*SQRT($C$11)*NORMSINV($B760)+SQRT(1-S$9^2*$C$11)*NORMSINV(R760))&lt;S$8,S$5+SQRT(NORMSDIST(S$9*SQRT($C$11)*NORMSINV($B760)+SQRT(1-S$9^2*$C$11)*NORMSINV(R760))*(S$7-S$5)*(S$6-S$5)),S$7-SQRT((1-NORMSDIST(S$9*SQRT($C$11)*NORMSINV($B760)+SQRT(1-S$9^2*$C$11)*NORMSINV(R760)))*(S$7-S$5)*(S$7-S$6))))</f>
        <v>0.446184490140747</v>
      </c>
      <c r="T760" s="2" t="n">
        <v>0.695124685</v>
      </c>
      <c r="U760" s="2" t="n">
        <f aca="false">IF(U$7=U$5,U$6,IF(NORMSDIST(U$9*SQRT($C$11)*NORMSINV($B760)+SQRT(1-U$9^2*$C$11)*NORMSINV(T760))&lt;U$8,U$5+SQRT(NORMSDIST(U$9*SQRT($C$11)*NORMSINV($B760)+SQRT(1-U$9^2*$C$11)*NORMSINV(T760))*(U$7-U$5)*(U$6-U$5)),U$7-SQRT((1-NORMSDIST(U$9*SQRT($C$11)*NORMSINV($B760)+SQRT(1-U$9^2*$C$11)*NORMSINV(T760)))*(U$7-U$5)*(U$7-U$6))))</f>
        <v>0.518137280536275</v>
      </c>
      <c r="V760" s="2" t="n">
        <v>0.478128018</v>
      </c>
      <c r="W760" s="2" t="n">
        <f aca="false">IF(W$7=W$5,W$6,IF(NORMSDIST(W$9*SQRT($C$11)*NORMSINV($B760)+SQRT(1-W$9^2*$C$11)*NORMSINV(V760))&lt;W$8,W$5+SQRT(NORMSDIST(W$9*SQRT($C$11)*NORMSINV($B760)+SQRT(1-W$9^2*$C$11)*NORMSINV(V760))*(W$7-W$5)*(W$6-W$5)),W$7-SQRT((1-NORMSDIST(W$9*SQRT($C$11)*NORMSINV($B760)+SQRT(1-W$9^2*$C$11)*NORMSINV(V760)))*(W$7-W$5)*(W$7-W$6))))</f>
        <v>9.70585826347168</v>
      </c>
      <c r="X760" s="2" t="n">
        <v>0.893858543</v>
      </c>
      <c r="Y760" s="2" t="n">
        <f aca="false">IF(Y$7=Y$5,Y$6,IF(NORMSDIST(Y$9*SQRT($C$11)*NORMSINV($B760)+SQRT(1-Y$9^2*$C$11)*NORMSINV(X760))&lt;Y$8,Y$5+SQRT(NORMSDIST(Y$9*SQRT($C$11)*NORMSINV($B760)+SQRT(1-Y$9^2*$C$11)*NORMSINV(X760))*(Y$7-Y$5)*(Y$6-Y$5)),Y$7-SQRT((1-NORMSDIST(Y$9*SQRT($C$11)*NORMSINV($B760)+SQRT(1-Y$9^2*$C$11)*NORMSINV(X760)))*(Y$7-Y$5)*(Y$7-Y$6))))</f>
        <v>0.76962915006451</v>
      </c>
      <c r="Z760" s="2" t="n">
        <v>0.539003166</v>
      </c>
      <c r="AA760" s="2" t="n">
        <f aca="false">IF(AA$7=AA$5,AA$6,IF(NORMSDIST(AA$9*SQRT($C$11)*NORMSINV($B760)+SQRT(1-AA$9^2*$C$11)*NORMSINV(Z760))&lt;AA$8,AA$5+SQRT(NORMSDIST(AA$9*SQRT($C$11)*NORMSINV($B760)+SQRT(1-AA$9^2*$C$11)*NORMSINV(Z760))*(AA$7-AA$5)*(AA$6-AA$5)),AA$7-SQRT((1-NORMSDIST(AA$9*SQRT($C$11)*NORMSINV($B760)+SQRT(1-AA$9^2*$C$11)*NORMSINV(Z760)))*(AA$7-AA$5)*(AA$7-AA$6))))</f>
        <v>0.724923110586533</v>
      </c>
      <c r="AB760" s="2" t="n">
        <v>0.444839801</v>
      </c>
      <c r="AC760" s="2" t="n">
        <f aca="false">IF(AC$7=AC$5,AC$6,IF(NORMSDIST(AC$9*SQRT($C$11)*NORMSINV($B760)+SQRT(1-AC$9^2*$C$11)*NORMSINV(AB760))&lt;AC$8,AC$5+SQRT(NORMSDIST(AC$9*SQRT($C$11)*NORMSINV($B760)+SQRT(1-AC$9^2*$C$11)*NORMSINV(AB760))*(AC$7-AC$5)*(AC$6-AC$5)),AC$7-SQRT((1-NORMSDIST(AC$9*SQRT($C$11)*NORMSINV($B760)+SQRT(1-AC$9^2*$C$11)*NORMSINV(AB760)))*(AC$7-AC$5)*(AC$7-AC$6))))</f>
        <v>9.11305502675256</v>
      </c>
      <c r="AD760" s="2" t="n">
        <f aca="false">Entrées!$C$8*(1+E760)</f>
        <v>7435.41809300947</v>
      </c>
      <c r="AE760" s="2" t="n">
        <f aca="false">I760*Hypothèses!$J$24/12/Hypothèses!$J$19</f>
        <v>93.4610009847266</v>
      </c>
      <c r="AF760" s="2" t="n">
        <f aca="false">Entrées!$C$36*S760*1000</f>
        <v>223.092245070374</v>
      </c>
      <c r="AG760" s="2" t="n">
        <f aca="false">-AF760/W760</f>
        <v>-22.9853186616158</v>
      </c>
      <c r="AH760" s="2" t="n">
        <f aca="false">AD760+AE760+AG760</f>
        <v>7505.89377533258</v>
      </c>
      <c r="AI760" s="2" t="n">
        <f aca="false">Entrées!$C$16-M760+Hypothèses!$J$22*1000-AF760+Hypothèses!$J$23</f>
        <v>22695.1669221794</v>
      </c>
      <c r="AJ760" s="2" t="n">
        <f aca="false">AI760/AH760</f>
        <v>3.0236461641337</v>
      </c>
      <c r="AK760" s="2" t="n">
        <f aca="false">AI760/(AH760+I760*(12-Hypothèses!$J$24)/12/Hypothèses!$J$19)</f>
        <v>2.99699075324458</v>
      </c>
      <c r="AL760" s="2" t="n">
        <f aca="false">(AD760+AG760+I760/Hypothèses!$J$19)*(1+G760)</f>
        <v>7994.46323511532</v>
      </c>
      <c r="AM760" s="2" t="n">
        <f aca="false">Entrées!$C$54*K760/Hypothèses!$J$19</f>
        <v>7.79637505002027</v>
      </c>
      <c r="AN760" s="2" t="n">
        <f aca="false">Y760*1000/AC760</f>
        <v>84.4534733747534</v>
      </c>
      <c r="AO760" s="2" t="n">
        <f aca="false">(Entrées!$C$36*(1-S760)+MAX(0,Entrées!$C$30-Entrées!$C$35-Entrées!$C$36)*U760)*1000</f>
        <v>1002.29994768041</v>
      </c>
      <c r="AP760" s="2" t="n">
        <f aca="false">-AO760/W760</f>
        <v>-103.267523641119</v>
      </c>
      <c r="AQ760" s="2" t="n">
        <f aca="false">AL760+AM760+AN760+AP760</f>
        <v>7983.44555989897</v>
      </c>
      <c r="AR760" s="2" t="n">
        <f aca="false">O760*AQ760-Hypothèses!$J$25/Hypothèses!$J$19</f>
        <v>1187.33635899858</v>
      </c>
      <c r="AS760" s="2" t="n">
        <f aca="false">Entrées!$C$79*(1+Q760)+Hypothèses!$J$20</f>
        <v>1510.3157659785</v>
      </c>
      <c r="AT760" s="2" t="n">
        <f aca="false">AI760-AR760+AS760+Y760*1000-AO760+Hypothèses!$J$23</f>
        <v>22785.4755315434</v>
      </c>
      <c r="AU760" s="2" t="n">
        <f aca="false">AT760/AQ760</f>
        <v>2.85409042506601</v>
      </c>
      <c r="AV760" s="2" t="n">
        <f aca="false">Hypothèses!$J$26*AQ760-AT760</f>
        <v>1164.86114815354</v>
      </c>
      <c r="AW760" s="2" t="n">
        <f aca="false">IF(AC760&gt;Hypothèses!$J$26,MAX(0,AV760)/(1-Hypothèses!$J$26/AC760),0)</f>
        <v>1736.52023336827</v>
      </c>
      <c r="AX760" s="2" t="n">
        <f aca="false">AQ760-Entrées!$C$17*1000</f>
        <v>-16.5544401010256</v>
      </c>
      <c r="AY760" s="2" t="n">
        <f aca="false">AI760+(Entrées!$C$244-Entrées!$C$13)</f>
        <v>28442.1669221794</v>
      </c>
      <c r="AZ760" s="2" t="n">
        <f aca="false">AA760*AH760</f>
        <v>5441.19586334619</v>
      </c>
      <c r="BA760" s="2" t="n">
        <f aca="false">AZ760/AY760</f>
        <v>0.191307359886954</v>
      </c>
      <c r="BB760" s="2" t="n">
        <f aca="false">AZ760/(Entrées!$C$151/100)-AY760</f>
        <v>1786.69898529946</v>
      </c>
      <c r="BC760" s="2" t="n">
        <f aca="false">AT760+(Entrées!$C$244-Entrées!$C$13)</f>
        <v>28532.4755315434</v>
      </c>
      <c r="BD760" s="2" t="n">
        <f aca="false">AA760*AQ760</f>
        <v>5787.38418848021</v>
      </c>
      <c r="BE760" s="2" t="n">
        <f aca="false">BD760/BC760</f>
        <v>0.202834982968166</v>
      </c>
      <c r="BF760" s="2" t="n">
        <f aca="false">BD760/(Entrées!$C$151/100)-BC760</f>
        <v>3619.65884890223</v>
      </c>
      <c r="BG760" s="2" t="n">
        <f aca="false">MIN(AV760,BF760)</f>
        <v>1164.86114815354</v>
      </c>
      <c r="BH760" s="2" t="n">
        <f aca="false">IF(AC760&gt;Hypothèses!$J$26,MAX(0,BG760)/(1-Hypothèses!$J$26/AC760),0)</f>
        <v>1736.52023336827</v>
      </c>
    </row>
    <row r="761" customFormat="false" ht="15" hidden="false" customHeight="false" outlineLevel="0" collapsed="false">
      <c r="A761" s="2" t="n">
        <v>746</v>
      </c>
      <c r="B761" s="2" t="n">
        <v>0.464211439</v>
      </c>
      <c r="C761" s="2"/>
      <c r="D761" s="2" t="n">
        <v>0.050113252</v>
      </c>
      <c r="E761" s="2" t="n">
        <f aca="false">IF(E$7=E$5,E$6,IF(NORMSDIST(E$9*SQRT($C$11)*NORMSINV($B761)+SQRT(1-E$9^2*$C$11)*NORMSINV(D761))&lt;E$8,E$5+SQRT(NORMSDIST(E$9*SQRT($C$11)*NORMSINV($B761)+SQRT(1-E$9^2*$C$11)*NORMSINV(D761))*(E$7-E$5)*(E$6-E$5)),E$7-SQRT((1-NORMSDIST(E$9*SQRT($C$11)*NORMSINV($B761)+SQRT(1-E$9^2*$C$11)*NORMSINV(D761)))*(E$7-E$5)*(E$7-E$6))))</f>
        <v>0.052141833650463</v>
      </c>
      <c r="F761" s="2" t="n">
        <v>0.229698419</v>
      </c>
      <c r="G761" s="2" t="n">
        <f aca="false">IF(G$7=G$5,G$6,IF(NORMSDIST(G$9*SQRT($C$11)*NORMSINV($B761)+SQRT(1-G$9^2*$C$11)*NORMSINV(F761))&lt;G$8,G$5+SQRT(NORMSDIST(G$9*SQRT($C$11)*NORMSINV($B761)+SQRT(1-G$9^2*$C$11)*NORMSINV(F761))*(G$7-G$5)*(G$6-G$5)),G$7-SQRT((1-NORMSDIST(G$9*SQRT($C$11)*NORMSINV($B761)+SQRT(1-G$9^2*$C$11)*NORMSINV(F761)))*(G$7-G$5)*(G$7-G$6))))</f>
        <v>0.0509074440866218</v>
      </c>
      <c r="H761" s="2" t="n">
        <v>0.440155294</v>
      </c>
      <c r="I761" s="2" t="n">
        <f aca="false">IF(I$7=I$5,I$6,IF(NORMSDIST(I$9*SQRT($C$11)*NORMSINV($B761)+SQRT(1-I$9^2*$C$11)*NORMSINV(H761))&lt;I$8,I$5+SQRT(NORMSDIST(I$9*SQRT($C$11)*NORMSINV($B761)+SQRT(1-I$9^2*$C$11)*NORMSINV(H761))*(I$7-I$5)*(I$6-I$5)),I$7-SQRT((1-NORMSDIST(I$9*SQRT($C$11)*NORMSINV($B761)+SQRT(1-I$9^2*$C$11)*NORMSINV(H761)))*(I$7-I$5)*(I$7-I$6))))</f>
        <v>198.572011798632</v>
      </c>
      <c r="J761" s="2" t="n">
        <v>0.604240417</v>
      </c>
      <c r="K761" s="2" t="n">
        <f aca="false">IF(K$7=K$5,K$6,IF(NORMSDIST(K$9*SQRT($C$11)*NORMSINV($B761)+SQRT(1-K$9^2*$C$11)*NORMSINV(J761))&lt;K$8,K$5+SQRT(NORMSDIST(K$9*SQRT($C$11)*NORMSINV($B761)+SQRT(1-K$9^2*$C$11)*NORMSINV(J761))*(K$7-K$5)*(K$6-K$5)),K$7-SQRT((1-NORMSDIST(K$9*SQRT($C$11)*NORMSINV($B761)+SQRT(1-K$9^2*$C$11)*NORMSINV(J761)))*(K$7-K$5)*(K$7-K$6))))</f>
        <v>0.265161219047384</v>
      </c>
      <c r="L761" s="2" t="n">
        <v>0.076185931</v>
      </c>
      <c r="M761" s="2" t="n">
        <f aca="false">IF(M$7=M$5,M$6,IF(NORMSDIST(M$9*SQRT($C$11)*NORMSINV($B761)+SQRT(1-M$9^2*$C$11)*NORMSINV(L761))&lt;M$8,M$5+SQRT(NORMSDIST(M$9*SQRT($C$11)*NORMSINV($B761)+SQRT(1-M$9^2*$C$11)*NORMSINV(L761))*(M$7-M$5)*(M$6-M$5)),M$7-SQRT((1-NORMSDIST(M$9*SQRT($C$11)*NORMSINV($B761)+SQRT(1-M$9^2*$C$11)*NORMSINV(L761)))*(M$7-M$5)*(M$7-M$6))))</f>
        <v>1442.52938809956</v>
      </c>
      <c r="N761" s="2" t="n">
        <v>0.408908102</v>
      </c>
      <c r="O761" s="2" t="n">
        <f aca="false">IF(O$7=O$5,O$6,IF(NORMSDIST(O$9*SQRT($C$11)*NORMSINV($B761)+SQRT(1-O$9^2*$C$11)*NORMSINV(N761))&lt;O$8,O$5+SQRT(NORMSDIST(O$9*SQRT($C$11)*NORMSINV($B761)+SQRT(1-O$9^2*$C$11)*NORMSINV(N761))*(O$7-O$5)*(O$6-O$5)),O$7-SQRT((1-NORMSDIST(O$9*SQRT($C$11)*NORMSINV($B761)+SQRT(1-O$9^2*$C$11)*NORMSINV(N761)))*(O$7-O$5)*(O$7-O$6))))</f>
        <v>0.164165768483181</v>
      </c>
      <c r="P761" s="2" t="n">
        <v>0.615987526</v>
      </c>
      <c r="Q761" s="2" t="n">
        <f aca="false">IF(Q$7=Q$5,Q$6,IF(NORMSDIST(Q$9*SQRT($C$11)*NORMSINV($B761)+SQRT(1-Q$9^2*$C$11)*NORMSINV(P761))&lt;Q$8,Q$5+SQRT(NORMSDIST(Q$9*SQRT($C$11)*NORMSINV($B761)+SQRT(1-Q$9^2*$C$11)*NORMSINV(P761))*(Q$7-Q$5)*(Q$6-Q$5)),Q$7-SQRT((1-NORMSDIST(Q$9*SQRT($C$11)*NORMSINV($B761)+SQRT(1-Q$9^2*$C$11)*NORMSINV(P761)))*(Q$7-Q$5)*(Q$7-Q$6))))</f>
        <v>0.0849451869666946</v>
      </c>
      <c r="R761" s="2" t="n">
        <v>0.457070392</v>
      </c>
      <c r="S761" s="2" t="n">
        <f aca="false">IF(S$7=S$5,S$6,IF(NORMSDIST(S$9*SQRT($C$11)*NORMSINV($B761)+SQRT(1-S$9^2*$C$11)*NORMSINV(R761))&lt;S$8,S$5+SQRT(NORMSDIST(S$9*SQRT($C$11)*NORMSINV($B761)+SQRT(1-S$9^2*$C$11)*NORMSINV(R761))*(S$7-S$5)*(S$6-S$5)),S$7-SQRT((1-NORMSDIST(S$9*SQRT($C$11)*NORMSINV($B761)+SQRT(1-S$9^2*$C$11)*NORMSINV(R761)))*(S$7-S$5)*(S$7-S$6))))</f>
        <v>0.471275134662069</v>
      </c>
      <c r="T761" s="2" t="n">
        <v>0.354210143</v>
      </c>
      <c r="U761" s="2" t="n">
        <f aca="false">IF(U$7=U$5,U$6,IF(NORMSDIST(U$9*SQRT($C$11)*NORMSINV($B761)+SQRT(1-U$9^2*$C$11)*NORMSINV(T761))&lt;U$8,U$5+SQRT(NORMSDIST(U$9*SQRT($C$11)*NORMSINV($B761)+SQRT(1-U$9^2*$C$11)*NORMSINV(T761))*(U$7-U$5)*(U$6-U$5)),U$7-SQRT((1-NORMSDIST(U$9*SQRT($C$11)*NORMSINV($B761)+SQRT(1-U$9^2*$C$11)*NORMSINV(T761)))*(U$7-U$5)*(U$7-U$6))))</f>
        <v>0.426898794991715</v>
      </c>
      <c r="V761" s="2" t="n">
        <v>0.367062677</v>
      </c>
      <c r="W761" s="2" t="n">
        <f aca="false">IF(W$7=W$5,W$6,IF(NORMSDIST(W$9*SQRT($C$11)*NORMSINV($B761)+SQRT(1-W$9^2*$C$11)*NORMSINV(V761))&lt;W$8,W$5+SQRT(NORMSDIST(W$9*SQRT($C$11)*NORMSINV($B761)+SQRT(1-W$9^2*$C$11)*NORMSINV(V761))*(W$7-W$5)*(W$6-W$5)),W$7-SQRT((1-NORMSDIST(W$9*SQRT($C$11)*NORMSINV($B761)+SQRT(1-W$9^2*$C$11)*NORMSINV(V761)))*(W$7-W$5)*(W$7-W$6))))</f>
        <v>9.73094724480014</v>
      </c>
      <c r="X761" s="2" t="n">
        <v>0.684616874</v>
      </c>
      <c r="Y761" s="2" t="n">
        <f aca="false">IF(Y$7=Y$5,Y$6,IF(NORMSDIST(Y$9*SQRT($C$11)*NORMSINV($B761)+SQRT(1-Y$9^2*$C$11)*NORMSINV(X761))&lt;Y$8,Y$5+SQRT(NORMSDIST(Y$9*SQRT($C$11)*NORMSINV($B761)+SQRT(1-Y$9^2*$C$11)*NORMSINV(X761))*(Y$7-Y$5)*(Y$6-Y$5)),Y$7-SQRT((1-NORMSDIST(Y$9*SQRT($C$11)*NORMSINV($B761)+SQRT(1-Y$9^2*$C$11)*NORMSINV(X761)))*(Y$7-Y$5)*(Y$7-Y$6))))</f>
        <v>0.602896029987108</v>
      </c>
      <c r="Z761" s="2" t="n">
        <v>0.79685561</v>
      </c>
      <c r="AA761" s="2" t="n">
        <f aca="false">IF(AA$7=AA$5,AA$6,IF(NORMSDIST(AA$9*SQRT($C$11)*NORMSINV($B761)+SQRT(1-AA$9^2*$C$11)*NORMSINV(Z761))&lt;AA$8,AA$5+SQRT(NORMSDIST(AA$9*SQRT($C$11)*NORMSINV($B761)+SQRT(1-AA$9^2*$C$11)*NORMSINV(Z761))*(AA$7-AA$5)*(AA$6-AA$5)),AA$7-SQRT((1-NORMSDIST(AA$9*SQRT($C$11)*NORMSINV($B761)+SQRT(1-AA$9^2*$C$11)*NORMSINV(Z761)))*(AA$7-AA$5)*(AA$7-AA$6))))</f>
        <v>0.73494003510358</v>
      </c>
      <c r="AB761" s="2" t="n">
        <v>0.272480147</v>
      </c>
      <c r="AC761" s="2" t="n">
        <f aca="false">IF(AC$7=AC$5,AC$6,IF(NORMSDIST(AC$9*SQRT($C$11)*NORMSINV($B761)+SQRT(1-AC$9^2*$C$11)*NORMSINV(AB761))&lt;AC$8,AC$5+SQRT(NORMSDIST(AC$9*SQRT($C$11)*NORMSINV($B761)+SQRT(1-AC$9^2*$C$11)*NORMSINV(AB761))*(AC$7-AC$5)*(AC$6-AC$5)),AC$7-SQRT((1-NORMSDIST(AC$9*SQRT($C$11)*NORMSINV($B761)+SQRT(1-AC$9^2*$C$11)*NORMSINV(AB761)))*(AC$7-AC$5)*(AC$7-AC$6))))</f>
        <v>9.00875747091974</v>
      </c>
      <c r="AD761" s="2" t="n">
        <f aca="false">Entrées!$C$8*(1+E761)</f>
        <v>7417.59992723576</v>
      </c>
      <c r="AE761" s="2" t="n">
        <f aca="false">I761*Hypothèses!$J$24/12/Hypothèses!$J$19</f>
        <v>98.5109394988528</v>
      </c>
      <c r="AF761" s="2" t="n">
        <f aca="false">Entrées!$C$36*S761*1000</f>
        <v>235.637567331035</v>
      </c>
      <c r="AG761" s="2" t="n">
        <f aca="false">-AF761/W761</f>
        <v>-24.2152753892434</v>
      </c>
      <c r="AH761" s="2" t="n">
        <f aca="false">AD761+AE761+AG761</f>
        <v>7491.89559134537</v>
      </c>
      <c r="AI761" s="2" t="n">
        <f aca="false">Entrées!$C$16-M761+Hypothèses!$J$22*1000-AF761+Hypothèses!$J$23</f>
        <v>22869.8330445694</v>
      </c>
      <c r="AJ761" s="2" t="n">
        <f aca="false">AI761/AH761</f>
        <v>3.05260968545646</v>
      </c>
      <c r="AK761" s="2" t="n">
        <f aca="false">AI761/(AH761+I761*(12-Hypothèses!$J$24)/12/Hypothèses!$J$19)</f>
        <v>3.02420591025839</v>
      </c>
      <c r="AL761" s="2" t="n">
        <f aca="false">(AD761+AG761+I761/Hypothèses!$J$19)*(1+G761)</f>
        <v>7947.23590415267</v>
      </c>
      <c r="AM761" s="2" t="n">
        <f aca="false">Entrées!$C$54*K761/Hypothèses!$J$19</f>
        <v>27.0608157437986</v>
      </c>
      <c r="AN761" s="2" t="n">
        <f aca="false">Y761*1000/AC761</f>
        <v>66.9233278765974</v>
      </c>
      <c r="AO761" s="2" t="n">
        <f aca="false">(Entrées!$C$36*(1-S761)+MAX(0,Entrées!$C$30-Entrées!$C$35-Entrées!$C$36)*U761)*1000</f>
        <v>862.020745657366</v>
      </c>
      <c r="AP761" s="2" t="n">
        <f aca="false">-AO761/W761</f>
        <v>-88.5854916249801</v>
      </c>
      <c r="AQ761" s="2" t="n">
        <f aca="false">AL761+AM761+AN761+AP761</f>
        <v>7952.63455614809</v>
      </c>
      <c r="AR761" s="2" t="n">
        <f aca="false">O761*AQ761-Hypothèses!$J$25/Hypothèses!$J$19</f>
        <v>1286.41520111433</v>
      </c>
      <c r="AS761" s="2" t="n">
        <f aca="false">Entrées!$C$79*(1+Q761)+Hypothèses!$J$20</f>
        <v>1487.3547604764</v>
      </c>
      <c r="AT761" s="2" t="n">
        <f aca="false">AI761-AR761+AS761+Y761*1000-AO761+Hypothèses!$J$23</f>
        <v>22811.6478882612</v>
      </c>
      <c r="AU761" s="2" t="n">
        <f aca="false">AT761/AQ761</f>
        <v>2.86843909740902</v>
      </c>
      <c r="AV761" s="2" t="n">
        <f aca="false">Hypothèses!$J$26*AQ761-AT761</f>
        <v>1046.25578018305</v>
      </c>
      <c r="AW761" s="2" t="n">
        <f aca="false">IF(AC761&gt;Hypothèses!$J$26,MAX(0,AV761)/(1-Hypothèses!$J$26/AC761),0)</f>
        <v>1568.62123689181</v>
      </c>
      <c r="AX761" s="2" t="n">
        <f aca="false">AQ761-Entrées!$C$17*1000</f>
        <v>-47.3654438519097</v>
      </c>
      <c r="AY761" s="2" t="n">
        <f aca="false">AI761+(Entrées!$C$244-Entrées!$C$13)</f>
        <v>28616.8330445694</v>
      </c>
      <c r="AZ761" s="2" t="n">
        <f aca="false">AA761*AH761</f>
        <v>5506.09400889572</v>
      </c>
      <c r="BA761" s="2" t="n">
        <f aca="false">AZ761/AY761</f>
        <v>0.192407524631403</v>
      </c>
      <c r="BB761" s="2" t="n">
        <f aca="false">AZ761/(Entrées!$C$151/100)-AY761</f>
        <v>1972.5781159624</v>
      </c>
      <c r="BC761" s="2" t="n">
        <f aca="false">AT761+(Entrées!$C$244-Entrées!$C$13)</f>
        <v>28558.6478882612</v>
      </c>
      <c r="BD761" s="2" t="n">
        <f aca="false">AA761*AQ761</f>
        <v>5844.70951986142</v>
      </c>
      <c r="BE761" s="2" t="n">
        <f aca="false">BD761/BC761</f>
        <v>0.20465638088783</v>
      </c>
      <c r="BF761" s="2" t="n">
        <f aca="false">BD761/(Entrées!$C$151/100)-BC761</f>
        <v>3911.96055541334</v>
      </c>
      <c r="BG761" s="2" t="n">
        <f aca="false">MIN(AV761,BF761)</f>
        <v>1046.25578018305</v>
      </c>
      <c r="BH761" s="2" t="n">
        <f aca="false">IF(AC761&gt;Hypothèses!$J$26,MAX(0,BG761)/(1-Hypothèses!$J$26/AC761),0)</f>
        <v>1568.62123689181</v>
      </c>
    </row>
    <row r="762" customFormat="false" ht="15" hidden="false" customHeight="false" outlineLevel="0" collapsed="false">
      <c r="A762" s="2" t="n">
        <v>747</v>
      </c>
      <c r="B762" s="2" t="n">
        <v>0.613584163</v>
      </c>
      <c r="C762" s="2"/>
      <c r="D762" s="2" t="n">
        <v>0.865439091</v>
      </c>
      <c r="E762" s="2" t="n">
        <f aca="false">IF(E$7=E$5,E$6,IF(NORMSDIST(E$9*SQRT($C$11)*NORMSINV($B762)+SQRT(1-E$9^2*$C$11)*NORMSINV(D762))&lt;E$8,E$5+SQRT(NORMSDIST(E$9*SQRT($C$11)*NORMSINV($B762)+SQRT(1-E$9^2*$C$11)*NORMSINV(D762))*(E$7-E$5)*(E$6-E$5)),E$7-SQRT((1-NORMSDIST(E$9*SQRT($C$11)*NORMSINV($B762)+SQRT(1-E$9^2*$C$11)*NORMSINV(D762)))*(E$7-E$5)*(E$7-E$6))))</f>
        <v>0.0572659328298234</v>
      </c>
      <c r="F762" s="2" t="n">
        <v>0.261229763</v>
      </c>
      <c r="G762" s="2" t="n">
        <f aca="false">IF(G$7=G$5,G$6,IF(NORMSDIST(G$9*SQRT($C$11)*NORMSINV($B762)+SQRT(1-G$9^2*$C$11)*NORMSINV(F762))&lt;G$8,G$5+SQRT(NORMSDIST(G$9*SQRT($C$11)*NORMSINV($B762)+SQRT(1-G$9^2*$C$11)*NORMSINV(F762))*(G$7-G$5)*(G$6-G$5)),G$7-SQRT((1-NORMSDIST(G$9*SQRT($C$11)*NORMSINV($B762)+SQRT(1-G$9^2*$C$11)*NORMSINV(F762)))*(G$7-G$5)*(G$7-G$6))))</f>
        <v>0.0530285332443712</v>
      </c>
      <c r="H762" s="2" t="n">
        <v>0.100701545</v>
      </c>
      <c r="I762" s="2" t="n">
        <f aca="false">IF(I$7=I$5,I$6,IF(NORMSDIST(I$9*SQRT($C$11)*NORMSINV($B762)+SQRT(1-I$9^2*$C$11)*NORMSINV(H762))&lt;I$8,I$5+SQRT(NORMSDIST(I$9*SQRT($C$11)*NORMSINV($B762)+SQRT(1-I$9^2*$C$11)*NORMSINV(H762))*(I$7-I$5)*(I$6-I$5)),I$7-SQRT((1-NORMSDIST(I$9*SQRT($C$11)*NORMSINV($B762)+SQRT(1-I$9^2*$C$11)*NORMSINV(H762)))*(I$7-I$5)*(I$7-I$6))))</f>
        <v>192.956118289434</v>
      </c>
      <c r="J762" s="2" t="n">
        <v>0.965985604</v>
      </c>
      <c r="K762" s="2" t="n">
        <f aca="false">IF(K$7=K$5,K$6,IF(NORMSDIST(K$9*SQRT($C$11)*NORMSINV($B762)+SQRT(1-K$9^2*$C$11)*NORMSINV(J762))&lt;K$8,K$5+SQRT(NORMSDIST(K$9*SQRT($C$11)*NORMSINV($B762)+SQRT(1-K$9^2*$C$11)*NORMSINV(J762))*(K$7-K$5)*(K$6-K$5)),K$7-SQRT((1-NORMSDIST(K$9*SQRT($C$11)*NORMSINV($B762)+SQRT(1-K$9^2*$C$11)*NORMSINV(J762)))*(K$7-K$5)*(K$7-K$6))))</f>
        <v>0.416906176408365</v>
      </c>
      <c r="L762" s="2" t="n">
        <v>0.168657926</v>
      </c>
      <c r="M762" s="2" t="n">
        <f aca="false">IF(M$7=M$5,M$6,IF(NORMSDIST(M$9*SQRT($C$11)*NORMSINV($B762)+SQRT(1-M$9^2*$C$11)*NORMSINV(L762))&lt;M$8,M$5+SQRT(NORMSDIST(M$9*SQRT($C$11)*NORMSINV($B762)+SQRT(1-M$9^2*$C$11)*NORMSINV(L762))*(M$7-M$5)*(M$6-M$5)),M$7-SQRT((1-NORMSDIST(M$9*SQRT($C$11)*NORMSINV($B762)+SQRT(1-M$9^2*$C$11)*NORMSINV(L762)))*(M$7-M$5)*(M$7-M$6))))</f>
        <v>1517.15977359754</v>
      </c>
      <c r="N762" s="2" t="n">
        <v>0.101603305</v>
      </c>
      <c r="O762" s="2" t="n">
        <f aca="false">IF(O$7=O$5,O$6,IF(NORMSDIST(O$9*SQRT($C$11)*NORMSINV($B762)+SQRT(1-O$9^2*$C$11)*NORMSINV(N762))&lt;O$8,O$5+SQRT(NORMSDIST(O$9*SQRT($C$11)*NORMSINV($B762)+SQRT(1-O$9^2*$C$11)*NORMSINV(N762))*(O$7-O$5)*(O$6-O$5)),O$7-SQRT((1-NORMSDIST(O$9*SQRT($C$11)*NORMSINV($B762)+SQRT(1-O$9^2*$C$11)*NORMSINV(N762)))*(O$7-O$5)*(O$7-O$6))))</f>
        <v>0.157398174473267</v>
      </c>
      <c r="P762" s="2" t="n">
        <v>0.502783799</v>
      </c>
      <c r="Q762" s="2" t="n">
        <f aca="false">IF(Q$7=Q$5,Q$6,IF(NORMSDIST(Q$9*SQRT($C$11)*NORMSINV($B762)+SQRT(1-Q$9^2*$C$11)*NORMSINV(P762))&lt;Q$8,Q$5+SQRT(NORMSDIST(Q$9*SQRT($C$11)*NORMSINV($B762)+SQRT(1-Q$9^2*$C$11)*NORMSINV(P762))*(Q$7-Q$5)*(Q$6-Q$5)),Q$7-SQRT((1-NORMSDIST(Q$9*SQRT($C$11)*NORMSINV($B762)+SQRT(1-Q$9^2*$C$11)*NORMSINV(P762)))*(Q$7-Q$5)*(Q$7-Q$6))))</f>
        <v>0.0801115073837078</v>
      </c>
      <c r="R762" s="2" t="n">
        <v>0.035090146</v>
      </c>
      <c r="S762" s="2" t="n">
        <f aca="false">IF(S$7=S$5,S$6,IF(NORMSDIST(S$9*SQRT($C$11)*NORMSINV($B762)+SQRT(1-S$9^2*$C$11)*NORMSINV(R762))&lt;S$8,S$5+SQRT(NORMSDIST(S$9*SQRT($C$11)*NORMSINV($B762)+SQRT(1-S$9^2*$C$11)*NORMSINV(R762))*(S$7-S$5)*(S$6-S$5)),S$7-SQRT((1-NORMSDIST(S$9*SQRT($C$11)*NORMSINV($B762)+SQRT(1-S$9^2*$C$11)*NORMSINV(R762)))*(S$7-S$5)*(S$7-S$6))))</f>
        <v>0.235825997065978</v>
      </c>
      <c r="T762" s="2" t="n">
        <v>0.653190672</v>
      </c>
      <c r="U762" s="2" t="n">
        <f aca="false">IF(U$7=U$5,U$6,IF(NORMSDIST(U$9*SQRT($C$11)*NORMSINV($B762)+SQRT(1-U$9^2*$C$11)*NORMSINV(T762))&lt;U$8,U$5+SQRT(NORMSDIST(U$9*SQRT($C$11)*NORMSINV($B762)+SQRT(1-U$9^2*$C$11)*NORMSINV(T762))*(U$7-U$5)*(U$6-U$5)),U$7-SQRT((1-NORMSDIST(U$9*SQRT($C$11)*NORMSINV($B762)+SQRT(1-U$9^2*$C$11)*NORMSINV(T762)))*(U$7-U$5)*(U$7-U$6))))</f>
        <v>0.604479756051325</v>
      </c>
      <c r="V762" s="2" t="n">
        <v>0.38687221</v>
      </c>
      <c r="W762" s="2" t="n">
        <f aca="false">IF(W$7=W$5,W$6,IF(NORMSDIST(W$9*SQRT($C$11)*NORMSINV($B762)+SQRT(1-W$9^2*$C$11)*NORMSINV(V762))&lt;W$8,W$5+SQRT(NORMSDIST(W$9*SQRT($C$11)*NORMSINV($B762)+SQRT(1-W$9^2*$C$11)*NORMSINV(V762))*(W$7-W$5)*(W$6-W$5)),W$7-SQRT((1-NORMSDIST(W$9*SQRT($C$11)*NORMSINV($B762)+SQRT(1-W$9^2*$C$11)*NORMSINV(V762)))*(W$7-W$5)*(W$7-W$6))))</f>
        <v>9.96774643062515</v>
      </c>
      <c r="X762" s="2" t="n">
        <v>0.658524181</v>
      </c>
      <c r="Y762" s="2" t="n">
        <f aca="false">IF(Y$7=Y$5,Y$6,IF(NORMSDIST(Y$9*SQRT($C$11)*NORMSINV($B762)+SQRT(1-Y$9^2*$C$11)*NORMSINV(X762))&lt;Y$8,Y$5+SQRT(NORMSDIST(Y$9*SQRT($C$11)*NORMSINV($B762)+SQRT(1-Y$9^2*$C$11)*NORMSINV(X762))*(Y$7-Y$5)*(Y$6-Y$5)),Y$7-SQRT((1-NORMSDIST(Y$9*SQRT($C$11)*NORMSINV($B762)+SQRT(1-Y$9^2*$C$11)*NORMSINV(X762)))*(Y$7-Y$5)*(Y$7-Y$6))))</f>
        <v>0.586795559680199</v>
      </c>
      <c r="Z762" s="2" t="n">
        <v>0.278845196</v>
      </c>
      <c r="AA762" s="2" t="n">
        <f aca="false">IF(AA$7=AA$5,AA$6,IF(NORMSDIST(AA$9*SQRT($C$11)*NORMSINV($B762)+SQRT(1-AA$9^2*$C$11)*NORMSINV(Z762))&lt;AA$8,AA$5+SQRT(NORMSDIST(AA$9*SQRT($C$11)*NORMSINV($B762)+SQRT(1-AA$9^2*$C$11)*NORMSINV(Z762))*(AA$7-AA$5)*(AA$6-AA$5)),AA$7-SQRT((1-NORMSDIST(AA$9*SQRT($C$11)*NORMSINV($B762)+SQRT(1-AA$9^2*$C$11)*NORMSINV(Z762)))*(AA$7-AA$5)*(AA$7-AA$6))))</f>
        <v>0.72433779360449</v>
      </c>
      <c r="AB762" s="2" t="n">
        <v>0.740004781</v>
      </c>
      <c r="AC762" s="2" t="n">
        <f aca="false">IF(AC$7=AC$5,AC$6,IF(NORMSDIST(AC$9*SQRT($C$11)*NORMSINV($B762)+SQRT(1-AC$9^2*$C$11)*NORMSINV(AB762))&lt;AC$8,AC$5+SQRT(NORMSDIST(AC$9*SQRT($C$11)*NORMSINV($B762)+SQRT(1-AC$9^2*$C$11)*NORMSINV(AB762))*(AC$7-AC$5)*(AC$6-AC$5)),AC$7-SQRT((1-NORMSDIST(AC$9*SQRT($C$11)*NORMSINV($B762)+SQRT(1-AC$9^2*$C$11)*NORMSINV(AB762)))*(AC$7-AC$5)*(AC$7-AC$6))))</f>
        <v>9.965014354569</v>
      </c>
      <c r="AD762" s="2" t="n">
        <f aca="false">Entrées!$C$8*(1+E762)</f>
        <v>7453.72482645026</v>
      </c>
      <c r="AE762" s="2" t="n">
        <f aca="false">I762*Hypothèses!$J$24/12/Hypothèses!$J$19</f>
        <v>95.7249127033063</v>
      </c>
      <c r="AF762" s="2" t="n">
        <f aca="false">Entrées!$C$36*S762*1000</f>
        <v>117.912998532989</v>
      </c>
      <c r="AG762" s="2" t="n">
        <f aca="false">-AF762/W762</f>
        <v>-11.8294540650342</v>
      </c>
      <c r="AH762" s="2" t="n">
        <f aca="false">AD762+AE762+AG762</f>
        <v>7537.62028508853</v>
      </c>
      <c r="AI762" s="2" t="n">
        <f aca="false">Entrées!$C$16-M762+Hypothèses!$J$22*1000-AF762+Hypothèses!$J$23</f>
        <v>22912.9272278695</v>
      </c>
      <c r="AJ762" s="2" t="n">
        <f aca="false">AI762/AH762</f>
        <v>3.03980916539368</v>
      </c>
      <c r="AK762" s="2" t="n">
        <f aca="false">AI762/(AH762+I762*(12-Hypothèses!$J$24)/12/Hypothèses!$J$19)</f>
        <v>3.01248246375234</v>
      </c>
      <c r="AL762" s="2" t="n">
        <f aca="false">(AD762+AG762+I762/Hypothèses!$J$19)*(1+G762)</f>
        <v>8009.32999325901</v>
      </c>
      <c r="AM762" s="2" t="n">
        <f aca="false">Entrées!$C$54*K762/Hypothèses!$J$19</f>
        <v>42.54702577839</v>
      </c>
      <c r="AN762" s="2" t="n">
        <f aca="false">Y762*1000/AC762</f>
        <v>58.8855709386059</v>
      </c>
      <c r="AO762" s="2" t="n">
        <f aca="false">(Entrées!$C$36*(1-S762)+MAX(0,Entrées!$C$30-Entrées!$C$35-Entrées!$C$36)*U762)*1000</f>
        <v>1228.35865993887</v>
      </c>
      <c r="AP762" s="2" t="n">
        <f aca="false">-AO762/W762</f>
        <v>-123.233337493902</v>
      </c>
      <c r="AQ762" s="2" t="n">
        <f aca="false">AL762+AM762+AN762+AP762</f>
        <v>7987.52925248211</v>
      </c>
      <c r="AR762" s="2" t="n">
        <f aca="false">O762*AQ762-Hypothèses!$J$25/Hypothèses!$J$19</f>
        <v>1238.08736063088</v>
      </c>
      <c r="AS762" s="2" t="n">
        <f aca="false">Entrées!$C$79*(1+Q762)+Hypothèses!$J$20</f>
        <v>1482.04254661469</v>
      </c>
      <c r="AT762" s="2" t="n">
        <f aca="false">AI762-AR762+AS762+Y762*1000-AO762+Hypothèses!$J$23</f>
        <v>22515.3193135946</v>
      </c>
      <c r="AU762" s="2" t="n">
        <f aca="false">AT762/AQ762</f>
        <v>2.81880899611079</v>
      </c>
      <c r="AV762" s="2" t="n">
        <f aca="false">Hypothèses!$J$26*AQ762-AT762</f>
        <v>1447.2684438517</v>
      </c>
      <c r="AW762" s="2" t="n">
        <f aca="false">IF(AC762&gt;Hypothèses!$J$26,MAX(0,AV762)/(1-Hypothèses!$J$26/AC762),0)</f>
        <v>2070.6419375053</v>
      </c>
      <c r="AX762" s="2" t="n">
        <f aca="false">AQ762-Entrées!$C$17*1000</f>
        <v>-12.4707475178939</v>
      </c>
      <c r="AY762" s="2" t="n">
        <f aca="false">AI762+(Entrées!$C$244-Entrées!$C$13)</f>
        <v>28659.9272278695</v>
      </c>
      <c r="AZ762" s="2" t="n">
        <f aca="false">AA762*AH762</f>
        <v>5459.78324632947</v>
      </c>
      <c r="BA762" s="2" t="n">
        <f aca="false">AZ762/AY762</f>
        <v>0.190502341576788</v>
      </c>
      <c r="BB762" s="2" t="n">
        <f aca="false">AZ762/(Entrées!$C$151/100)-AY762</f>
        <v>1672.20191840538</v>
      </c>
      <c r="BC762" s="2" t="n">
        <f aca="false">AT762+(Entrées!$C$244-Entrées!$C$13)</f>
        <v>28262.3193135946</v>
      </c>
      <c r="BD762" s="2" t="n">
        <f aca="false">AA762*AQ762</f>
        <v>5785.66931509421</v>
      </c>
      <c r="BE762" s="2" t="n">
        <f aca="false">BD762/BC762</f>
        <v>0.20471318191891</v>
      </c>
      <c r="BF762" s="2" t="n">
        <f aca="false">BD762/(Entrées!$C$151/100)-BC762</f>
        <v>3880.28799248433</v>
      </c>
      <c r="BG762" s="2" t="n">
        <f aca="false">MIN(AV762,BF762)</f>
        <v>1447.2684438517</v>
      </c>
      <c r="BH762" s="2" t="n">
        <f aca="false">IF(AC762&gt;Hypothèses!$J$26,MAX(0,BG762)/(1-Hypothèses!$J$26/AC762),0)</f>
        <v>2070.6419375053</v>
      </c>
    </row>
    <row r="763" customFormat="false" ht="15" hidden="false" customHeight="false" outlineLevel="0" collapsed="false">
      <c r="A763" s="2" t="n">
        <v>748</v>
      </c>
      <c r="B763" s="2" t="n">
        <v>0.963693365</v>
      </c>
      <c r="C763" s="2"/>
      <c r="D763" s="2" t="n">
        <v>0.859510501</v>
      </c>
      <c r="E763" s="2" t="n">
        <f aca="false">IF(E$7=E$5,E$6,IF(NORMSDIST(E$9*SQRT($C$11)*NORMSINV($B763)+SQRT(1-E$9^2*$C$11)*NORMSINV(D763))&lt;E$8,E$5+SQRT(NORMSDIST(E$9*SQRT($C$11)*NORMSINV($B763)+SQRT(1-E$9^2*$C$11)*NORMSINV(D763))*(E$7-E$5)*(E$6-E$5)),E$7-SQRT((1-NORMSDIST(E$9*SQRT($C$11)*NORMSINV($B763)+SQRT(1-E$9^2*$C$11)*NORMSINV(D763)))*(E$7-E$5)*(E$7-E$6))))</f>
        <v>0.0588957147581454</v>
      </c>
      <c r="F763" s="2" t="n">
        <v>0.450541227</v>
      </c>
      <c r="G763" s="2" t="n">
        <f aca="false">IF(G$7=G$5,G$6,IF(NORMSDIST(G$9*SQRT($C$11)*NORMSINV($B763)+SQRT(1-G$9^2*$C$11)*NORMSINV(F763))&lt;G$8,G$5+SQRT(NORMSDIST(G$9*SQRT($C$11)*NORMSINV($B763)+SQRT(1-G$9^2*$C$11)*NORMSINV(F763))*(G$7-G$5)*(G$6-G$5)),G$7-SQRT((1-NORMSDIST(G$9*SQRT($C$11)*NORMSINV($B763)+SQRT(1-G$9^2*$C$11)*NORMSINV(F763)))*(G$7-G$5)*(G$7-G$6))))</f>
        <v>0.0618014409654103</v>
      </c>
      <c r="H763" s="2" t="n">
        <v>0.209366982</v>
      </c>
      <c r="I763" s="2" t="n">
        <f aca="false">IF(I$7=I$5,I$6,IF(NORMSDIST(I$9*SQRT($C$11)*NORMSINV($B763)+SQRT(1-I$9^2*$C$11)*NORMSINV(H763))&lt;I$8,I$5+SQRT(NORMSDIST(I$9*SQRT($C$11)*NORMSINV($B763)+SQRT(1-I$9^2*$C$11)*NORMSINV(H763))*(I$7-I$5)*(I$6-I$5)),I$7-SQRT((1-NORMSDIST(I$9*SQRT($C$11)*NORMSINV($B763)+SQRT(1-I$9^2*$C$11)*NORMSINV(H763)))*(I$7-I$5)*(I$7-I$6))))</f>
        <v>204.370447526309</v>
      </c>
      <c r="J763" s="2" t="n">
        <v>0.887082217</v>
      </c>
      <c r="K763" s="2" t="n">
        <f aca="false">IF(K$7=K$5,K$6,IF(NORMSDIST(K$9*SQRT($C$11)*NORMSINV($B763)+SQRT(1-K$9^2*$C$11)*NORMSINV(J763))&lt;K$8,K$5+SQRT(NORMSDIST(K$9*SQRT($C$11)*NORMSINV($B763)+SQRT(1-K$9^2*$C$11)*NORMSINV(J763))*(K$7-K$5)*(K$6-K$5)),K$7-SQRT((1-NORMSDIST(K$9*SQRT($C$11)*NORMSINV($B763)+SQRT(1-K$9^2*$C$11)*NORMSINV(J763)))*(K$7-K$5)*(K$7-K$6))))</f>
        <v>0.451189952534097</v>
      </c>
      <c r="L763" s="2" t="n">
        <v>0.887803718</v>
      </c>
      <c r="M763" s="2" t="n">
        <f aca="false">IF(M$7=M$5,M$6,IF(NORMSDIST(M$9*SQRT($C$11)*NORMSINV($B763)+SQRT(1-M$9^2*$C$11)*NORMSINV(L763))&lt;M$8,M$5+SQRT(NORMSDIST(M$9*SQRT($C$11)*NORMSINV($B763)+SQRT(1-M$9^2*$C$11)*NORMSINV(L763))*(M$7-M$5)*(M$6-M$5)),M$7-SQRT((1-NORMSDIST(M$9*SQRT($C$11)*NORMSINV($B763)+SQRT(1-M$9^2*$C$11)*NORMSINV(L763)))*(M$7-M$5)*(M$7-M$6))))</f>
        <v>1753.08612900911</v>
      </c>
      <c r="N763" s="2" t="n">
        <v>0.356954251</v>
      </c>
      <c r="O763" s="2" t="n">
        <f aca="false">IF(O$7=O$5,O$6,IF(NORMSDIST(O$9*SQRT($C$11)*NORMSINV($B763)+SQRT(1-O$9^2*$C$11)*NORMSINV(N763))&lt;O$8,O$5+SQRT(NORMSDIST(O$9*SQRT($C$11)*NORMSINV($B763)+SQRT(1-O$9^2*$C$11)*NORMSINV(N763))*(O$7-O$5)*(O$6-O$5)),O$7-SQRT((1-NORMSDIST(O$9*SQRT($C$11)*NORMSINV($B763)+SQRT(1-O$9^2*$C$11)*NORMSINV(N763)))*(O$7-O$5)*(O$7-O$6))))</f>
        <v>0.175504487892437</v>
      </c>
      <c r="P763" s="2" t="n">
        <v>0.475870058</v>
      </c>
      <c r="Q763" s="2" t="n">
        <f aca="false">IF(Q$7=Q$5,Q$6,IF(NORMSDIST(Q$9*SQRT($C$11)*NORMSINV($B763)+SQRT(1-Q$9^2*$C$11)*NORMSINV(P763))&lt;Q$8,Q$5+SQRT(NORMSDIST(Q$9*SQRT($C$11)*NORMSINV($B763)+SQRT(1-Q$9^2*$C$11)*NORMSINV(P763))*(Q$7-Q$5)*(Q$6-Q$5)),Q$7-SQRT((1-NORMSDIST(Q$9*SQRT($C$11)*NORMSINV($B763)+SQRT(1-Q$9^2*$C$11)*NORMSINV(P763)))*(Q$7-Q$5)*(Q$7-Q$6))))</f>
        <v>0.0790228674702411</v>
      </c>
      <c r="R763" s="2" t="n">
        <v>0.124643493</v>
      </c>
      <c r="S763" s="2" t="n">
        <f aca="false">IF(S$7=S$5,S$6,IF(NORMSDIST(S$9*SQRT($C$11)*NORMSINV($B763)+SQRT(1-S$9^2*$C$11)*NORMSINV(R763))&lt;S$8,S$5+SQRT(NORMSDIST(S$9*SQRT($C$11)*NORMSINV($B763)+SQRT(1-S$9^2*$C$11)*NORMSINV(R763))*(S$7-S$5)*(S$6-S$5)),S$7-SQRT((1-NORMSDIST(S$9*SQRT($C$11)*NORMSINV($B763)+SQRT(1-S$9^2*$C$11)*NORMSINV(R763)))*(S$7-S$5)*(S$7-S$6))))</f>
        <v>0.55055840202403</v>
      </c>
      <c r="T763" s="2" t="n">
        <v>0.135841157</v>
      </c>
      <c r="U763" s="2" t="n">
        <f aca="false">IF(U$7=U$5,U$6,IF(NORMSDIST(U$9*SQRT($C$11)*NORMSINV($B763)+SQRT(1-U$9^2*$C$11)*NORMSINV(T763))&lt;U$8,U$5+SQRT(NORMSDIST(U$9*SQRT($C$11)*NORMSINV($B763)+SQRT(1-U$9^2*$C$11)*NORMSINV(T763))*(U$7-U$5)*(U$6-U$5)),U$7-SQRT((1-NORMSDIST(U$9*SQRT($C$11)*NORMSINV($B763)+SQRT(1-U$9^2*$C$11)*NORMSINV(T763)))*(U$7-U$5)*(U$7-U$6))))</f>
        <v>0.559425796909531</v>
      </c>
      <c r="V763" s="2" t="n">
        <v>0.836036696</v>
      </c>
      <c r="W763" s="2" t="n">
        <f aca="false">IF(W$7=W$5,W$6,IF(NORMSDIST(W$9*SQRT($C$11)*NORMSINV($B763)+SQRT(1-W$9^2*$C$11)*NORMSINV(V763))&lt;W$8,W$5+SQRT(NORMSDIST(W$9*SQRT($C$11)*NORMSINV($B763)+SQRT(1-W$9^2*$C$11)*NORMSINV(V763))*(W$7-W$5)*(W$6-W$5)),W$7-SQRT((1-NORMSDIST(W$9*SQRT($C$11)*NORMSINV($B763)+SQRT(1-W$9^2*$C$11)*NORMSINV(V763)))*(W$7-W$5)*(W$7-W$6))))</f>
        <v>11.5169654433643</v>
      </c>
      <c r="X763" s="2" t="n">
        <v>0.775770004</v>
      </c>
      <c r="Y763" s="2" t="n">
        <f aca="false">IF(Y$7=Y$5,Y$6,IF(NORMSDIST(Y$9*SQRT($C$11)*NORMSINV($B763)+SQRT(1-Y$9^2*$C$11)*NORMSINV(X763))&lt;Y$8,Y$5+SQRT(NORMSDIST(Y$9*SQRT($C$11)*NORMSINV($B763)+SQRT(1-Y$9^2*$C$11)*NORMSINV(X763))*(Y$7-Y$5)*(Y$6-Y$5)),Y$7-SQRT((1-NORMSDIST(Y$9*SQRT($C$11)*NORMSINV($B763)+SQRT(1-Y$9^2*$C$11)*NORMSINV(X763)))*(Y$7-Y$5)*(Y$7-Y$6))))</f>
        <v>0.665164222341758</v>
      </c>
      <c r="Z763" s="2" t="n">
        <v>0.171599456</v>
      </c>
      <c r="AA763" s="2" t="n">
        <f aca="false">IF(AA$7=AA$5,AA$6,IF(NORMSDIST(AA$9*SQRT($C$11)*NORMSINV($B763)+SQRT(1-AA$9^2*$C$11)*NORMSINV(Z763))&lt;AA$8,AA$5+SQRT(NORMSDIST(AA$9*SQRT($C$11)*NORMSINV($B763)+SQRT(1-AA$9^2*$C$11)*NORMSINV(Z763))*(AA$7-AA$5)*(AA$6-AA$5)),AA$7-SQRT((1-NORMSDIST(AA$9*SQRT($C$11)*NORMSINV($B763)+SQRT(1-AA$9^2*$C$11)*NORMSINV(Z763)))*(AA$7-AA$5)*(AA$7-AA$6))))</f>
        <v>0.7328379424238</v>
      </c>
      <c r="AB763" s="2" t="n">
        <v>0.332992017</v>
      </c>
      <c r="AC763" s="2" t="n">
        <f aca="false">IF(AC$7=AC$5,AC$6,IF(NORMSDIST(AC$9*SQRT($C$11)*NORMSINV($B763)+SQRT(1-AC$9^2*$C$11)*NORMSINV(AB763))&lt;AC$8,AC$5+SQRT(NORMSDIST(AC$9*SQRT($C$11)*NORMSINV($B763)+SQRT(1-AC$9^2*$C$11)*NORMSINV(AB763))*(AC$7-AC$5)*(AC$6-AC$5)),AC$7-SQRT((1-NORMSDIST(AC$9*SQRT($C$11)*NORMSINV($B763)+SQRT(1-AC$9^2*$C$11)*NORMSINV(AB763)))*(AC$7-AC$5)*(AC$7-AC$6))))</f>
        <v>10.0440185256331</v>
      </c>
      <c r="AD763" s="2" t="n">
        <f aca="false">Entrées!$C$8*(1+E763)</f>
        <v>7465.21478904492</v>
      </c>
      <c r="AE763" s="2" t="n">
        <f aca="false">I763*Hypothèses!$J$24/12/Hypothèses!$J$19</f>
        <v>101.387524904738</v>
      </c>
      <c r="AF763" s="2" t="n">
        <f aca="false">Entrées!$C$36*S763*1000</f>
        <v>275.279201012015</v>
      </c>
      <c r="AG763" s="2" t="n">
        <f aca="false">-AF763/W763</f>
        <v>-23.9020601707738</v>
      </c>
      <c r="AH763" s="2" t="n">
        <f aca="false">AD763+AE763+AG763</f>
        <v>7542.70025377889</v>
      </c>
      <c r="AI763" s="2" t="n">
        <f aca="false">Entrées!$C$16-M763+Hypothèses!$J$22*1000-AF763+Hypothèses!$J$23</f>
        <v>22519.6346699789</v>
      </c>
      <c r="AJ763" s="2" t="n">
        <f aca="false">AI763/AH763</f>
        <v>2.98561972666176</v>
      </c>
      <c r="AK763" s="2" t="n">
        <f aca="false">AI763/(AH763+I763*(12-Hypothèses!$J$24)/12/Hypothèses!$J$19)</f>
        <v>2.95722653392765</v>
      </c>
      <c r="AL763" s="2" t="n">
        <f aca="false">(AD763+AG763+I763/Hypothèses!$J$19)*(1+G763)</f>
        <v>8085.745298261</v>
      </c>
      <c r="AM763" s="2" t="n">
        <f aca="false">Entrées!$C$54*K763/Hypothèses!$J$19</f>
        <v>46.0458290802947</v>
      </c>
      <c r="AN763" s="2" t="n">
        <f aca="false">Y763*1000/AC763</f>
        <v>66.224909944581</v>
      </c>
      <c r="AO763" s="2" t="n">
        <f aca="false">(Entrées!$C$36*(1-S763)+MAX(0,Entrées!$C$30-Entrées!$C$35-Entrées!$C$36)*U763)*1000</f>
        <v>1007.91691466133</v>
      </c>
      <c r="AP763" s="2" t="n">
        <f aca="false">-AO763/W763</f>
        <v>-87.5158408365339</v>
      </c>
      <c r="AQ763" s="2" t="n">
        <f aca="false">AL763+AM763+AN763+AP763</f>
        <v>8110.50019644934</v>
      </c>
      <c r="AR763" s="2" t="n">
        <f aca="false">O763*AQ763-Hypothèses!$J$25/Hypothèses!$J$19</f>
        <v>1404.29402126772</v>
      </c>
      <c r="AS763" s="2" t="n">
        <f aca="false">Entrées!$C$79*(1+Q763)+Hypothèses!$J$20</f>
        <v>1480.8461313498</v>
      </c>
      <c r="AT763" s="2" t="n">
        <f aca="false">AI763-AR763+AS763+Y763*1000-AO763+Hypothèses!$J$23</f>
        <v>22253.4340877414</v>
      </c>
      <c r="AU763" s="2" t="n">
        <f aca="false">AT763/AQ763</f>
        <v>2.74378072236329</v>
      </c>
      <c r="AV763" s="2" t="n">
        <f aca="false">Hypothèses!$J$26*AQ763-AT763</f>
        <v>2078.06650160663</v>
      </c>
      <c r="AW763" s="2" t="n">
        <f aca="false">IF(AC763&gt;Hypothèses!$J$26,MAX(0,AV763)/(1-Hypothèses!$J$26/AC763),0)</f>
        <v>2963.10101452475</v>
      </c>
      <c r="AX763" s="2" t="n">
        <f aca="false">AQ763-Entrées!$C$17*1000</f>
        <v>110.500196449338</v>
      </c>
      <c r="AY763" s="2" t="n">
        <f aca="false">AI763+(Entrées!$C$244-Entrées!$C$13)</f>
        <v>28266.6346699789</v>
      </c>
      <c r="AZ763" s="2" t="n">
        <f aca="false">AA763*AH763</f>
        <v>5527.57693429879</v>
      </c>
      <c r="BA763" s="2" t="n">
        <f aca="false">AZ763/AY763</f>
        <v>0.195551292144779</v>
      </c>
      <c r="BB763" s="2" t="n">
        <f aca="false">AZ763/(Entrées!$C$151/100)-AY763</f>
        <v>2442.12607612553</v>
      </c>
      <c r="BC763" s="2" t="n">
        <f aca="false">AT763+(Entrées!$C$244-Entrées!$C$13)</f>
        <v>28000.4340877414</v>
      </c>
      <c r="BD763" s="2" t="n">
        <f aca="false">AA763*AQ763</f>
        <v>5943.68227599375</v>
      </c>
      <c r="BE763" s="2" t="n">
        <f aca="false">BD763/BC763</f>
        <v>0.21227107613292</v>
      </c>
      <c r="BF763" s="2" t="n">
        <f aca="false">BD763/(Entrées!$C$151/100)-BC763</f>
        <v>5020.02300111282</v>
      </c>
      <c r="BG763" s="2" t="n">
        <f aca="false">MIN(AV763,BF763)</f>
        <v>2078.06650160663</v>
      </c>
      <c r="BH763" s="2" t="n">
        <f aca="false">IF(AC763&gt;Hypothèses!$J$26,MAX(0,BG763)/(1-Hypothèses!$J$26/AC763),0)</f>
        <v>2963.10101452475</v>
      </c>
    </row>
    <row r="764" customFormat="false" ht="15" hidden="false" customHeight="false" outlineLevel="0" collapsed="false">
      <c r="A764" s="2" t="n">
        <v>749</v>
      </c>
      <c r="B764" s="2" t="n">
        <v>0.999262874</v>
      </c>
      <c r="C764" s="2"/>
      <c r="D764" s="2" t="n">
        <v>0.182530164</v>
      </c>
      <c r="E764" s="2" t="n">
        <f aca="false">IF(E$7=E$5,E$6,IF(NORMSDIST(E$9*SQRT($C$11)*NORMSINV($B764)+SQRT(1-E$9^2*$C$11)*NORMSINV(D764))&lt;E$8,E$5+SQRT(NORMSDIST(E$9*SQRT($C$11)*NORMSINV($B764)+SQRT(1-E$9^2*$C$11)*NORMSINV(D764))*(E$7-E$5)*(E$6-E$5)),E$7-SQRT((1-NORMSDIST(E$9*SQRT($C$11)*NORMSINV($B764)+SQRT(1-E$9^2*$C$11)*NORMSINV(D764)))*(E$7-E$5)*(E$7-E$6))))</f>
        <v>0.0578183015465606</v>
      </c>
      <c r="F764" s="2" t="n">
        <v>0.777116609</v>
      </c>
      <c r="G764" s="2" t="n">
        <f aca="false">IF(G$7=G$5,G$6,IF(NORMSDIST(G$9*SQRT($C$11)*NORMSINV($B764)+SQRT(1-G$9^2*$C$11)*NORMSINV(F764))&lt;G$8,G$5+SQRT(NORMSDIST(G$9*SQRT($C$11)*NORMSINV($B764)+SQRT(1-G$9^2*$C$11)*NORMSINV(F764))*(G$7-G$5)*(G$6-G$5)),G$7-SQRT((1-NORMSDIST(G$9*SQRT($C$11)*NORMSINV($B764)+SQRT(1-G$9^2*$C$11)*NORMSINV(F764)))*(G$7-G$5)*(G$7-G$6))))</f>
        <v>0.0685551814773321</v>
      </c>
      <c r="H764" s="2" t="n">
        <v>0.974896283</v>
      </c>
      <c r="I764" s="2" t="n">
        <f aca="false">IF(I$7=I$5,I$6,IF(NORMSDIST(I$9*SQRT($C$11)*NORMSINV($B764)+SQRT(1-I$9^2*$C$11)*NORMSINV(H764))&lt;I$8,I$5+SQRT(NORMSDIST(I$9*SQRT($C$11)*NORMSINV($B764)+SQRT(1-I$9^2*$C$11)*NORMSINV(H764))*(I$7-I$5)*(I$6-I$5)),I$7-SQRT((1-NORMSDIST(I$9*SQRT($C$11)*NORMSINV($B764)+SQRT(1-I$9^2*$C$11)*NORMSINV(H764)))*(I$7-I$5)*(I$7-I$6))))</f>
        <v>219.590620338285</v>
      </c>
      <c r="J764" s="2" t="n">
        <v>0.779715945</v>
      </c>
      <c r="K764" s="2" t="n">
        <f aca="false">IF(K$7=K$5,K$6,IF(NORMSDIST(K$9*SQRT($C$11)*NORMSINV($B764)+SQRT(1-K$9^2*$C$11)*NORMSINV(J764))&lt;K$8,K$5+SQRT(NORMSDIST(K$9*SQRT($C$11)*NORMSINV($B764)+SQRT(1-K$9^2*$C$11)*NORMSINV(J764))*(K$7-K$5)*(K$6-K$5)),K$7-SQRT((1-NORMSDIST(K$9*SQRT($C$11)*NORMSINV($B764)+SQRT(1-K$9^2*$C$11)*NORMSINV(J764)))*(K$7-K$5)*(K$7-K$6))))</f>
        <v>0.47615650118197</v>
      </c>
      <c r="L764" s="2" t="n">
        <v>0.449459577</v>
      </c>
      <c r="M764" s="2" t="n">
        <f aca="false">IF(M$7=M$5,M$6,IF(NORMSDIST(M$9*SQRT($C$11)*NORMSINV($B764)+SQRT(1-M$9^2*$C$11)*NORMSINV(L764))&lt;M$8,M$5+SQRT(NORMSDIST(M$9*SQRT($C$11)*NORMSINV($B764)+SQRT(1-M$9^2*$C$11)*NORMSINV(L764))*(M$7-M$5)*(M$6-M$5)),M$7-SQRT((1-NORMSDIST(M$9*SQRT($C$11)*NORMSINV($B764)+SQRT(1-M$9^2*$C$11)*NORMSINV(L764)))*(M$7-M$5)*(M$7-M$6))))</f>
        <v>1744.77325794832</v>
      </c>
      <c r="N764" s="2" t="n">
        <v>0.783993889</v>
      </c>
      <c r="O764" s="2" t="n">
        <f aca="false">IF(O$7=O$5,O$6,IF(NORMSDIST(O$9*SQRT($C$11)*NORMSINV($B764)+SQRT(1-O$9^2*$C$11)*NORMSINV(N764))&lt;O$8,O$5+SQRT(NORMSDIST(O$9*SQRT($C$11)*NORMSINV($B764)+SQRT(1-O$9^2*$C$11)*NORMSINV(N764))*(O$7-O$5)*(O$6-O$5)),O$7-SQRT((1-NORMSDIST(O$9*SQRT($C$11)*NORMSINV($B764)+SQRT(1-O$9^2*$C$11)*NORMSINV(N764)))*(O$7-O$5)*(O$7-O$6))))</f>
        <v>0.187834894292745</v>
      </c>
      <c r="P764" s="2" t="n">
        <v>0.566866327</v>
      </c>
      <c r="Q764" s="2" t="n">
        <f aca="false">IF(Q$7=Q$5,Q$6,IF(NORMSDIST(Q$9*SQRT($C$11)*NORMSINV($B764)+SQRT(1-Q$9^2*$C$11)*NORMSINV(P764))&lt;Q$8,Q$5+SQRT(NORMSDIST(Q$9*SQRT($C$11)*NORMSINV($B764)+SQRT(1-Q$9^2*$C$11)*NORMSINV(P764))*(Q$7-Q$5)*(Q$6-Q$5)),Q$7-SQRT((1-NORMSDIST(Q$9*SQRT($C$11)*NORMSINV($B764)+SQRT(1-Q$9^2*$C$11)*NORMSINV(P764)))*(Q$7-Q$5)*(Q$7-Q$6))))</f>
        <v>0.0827706063224231</v>
      </c>
      <c r="R764" s="2" t="n">
        <v>0.426999</v>
      </c>
      <c r="S764" s="2" t="n">
        <f aca="false">IF(S$7=S$5,S$6,IF(NORMSDIST(S$9*SQRT($C$11)*NORMSINV($B764)+SQRT(1-S$9^2*$C$11)*NORMSINV(R764))&lt;S$8,S$5+SQRT(NORMSDIST(S$9*SQRT($C$11)*NORMSINV($B764)+SQRT(1-S$9^2*$C$11)*NORMSINV(R764))*(S$7-S$5)*(S$6-S$5)),S$7-SQRT((1-NORMSDIST(S$9*SQRT($C$11)*NORMSINV($B764)+SQRT(1-S$9^2*$C$11)*NORMSINV(R764)))*(S$7-S$5)*(S$7-S$6))))</f>
        <v>0.875807522303863</v>
      </c>
      <c r="T764" s="2" t="n">
        <v>0.77047988</v>
      </c>
      <c r="U764" s="2" t="n">
        <f aca="false">IF(U$7=U$5,U$6,IF(NORMSDIST(U$9*SQRT($C$11)*NORMSINV($B764)+SQRT(1-U$9^2*$C$11)*NORMSINV(T764))&lt;U$8,U$5+SQRT(NORMSDIST(U$9*SQRT($C$11)*NORMSINV($B764)+SQRT(1-U$9^2*$C$11)*NORMSINV(T764))*(U$7-U$5)*(U$6-U$5)),U$7-SQRT((1-NORMSDIST(U$9*SQRT($C$11)*NORMSINV($B764)+SQRT(1-U$9^2*$C$11)*NORMSINV(T764)))*(U$7-U$5)*(U$7-U$6))))</f>
        <v>0.950627753829902</v>
      </c>
      <c r="V764" s="2" t="n">
        <v>0.037366798</v>
      </c>
      <c r="W764" s="2" t="n">
        <f aca="false">IF(W$7=W$5,W$6,IF(NORMSDIST(W$9*SQRT($C$11)*NORMSINV($B764)+SQRT(1-W$9^2*$C$11)*NORMSINV(V764))&lt;W$8,W$5+SQRT(NORMSDIST(W$9*SQRT($C$11)*NORMSINV($B764)+SQRT(1-W$9^2*$C$11)*NORMSINV(V764))*(W$7-W$5)*(W$6-W$5)),W$7-SQRT((1-NORMSDIST(W$9*SQRT($C$11)*NORMSINV($B764)+SQRT(1-W$9^2*$C$11)*NORMSINV(V764)))*(W$7-W$5)*(W$7-W$6))))</f>
        <v>10.5463267985743</v>
      </c>
      <c r="X764" s="2" t="n">
        <v>0.634628064</v>
      </c>
      <c r="Y764" s="2" t="n">
        <f aca="false">IF(Y$7=Y$5,Y$6,IF(NORMSDIST(Y$9*SQRT($C$11)*NORMSINV($B764)+SQRT(1-Y$9^2*$C$11)*NORMSINV(X764))&lt;Y$8,Y$5+SQRT(NORMSDIST(Y$9*SQRT($C$11)*NORMSINV($B764)+SQRT(1-Y$9^2*$C$11)*NORMSINV(X764))*(Y$7-Y$5)*(Y$6-Y$5)),Y$7-SQRT((1-NORMSDIST(Y$9*SQRT($C$11)*NORMSINV($B764)+SQRT(1-Y$9^2*$C$11)*NORMSINV(X764)))*(Y$7-Y$5)*(Y$7-Y$6))))</f>
        <v>0.572582209074072</v>
      </c>
      <c r="Z764" s="2" t="n">
        <v>0.666400387</v>
      </c>
      <c r="AA764" s="2" t="n">
        <f aca="false">IF(AA$7=AA$5,AA$6,IF(NORMSDIST(AA$9*SQRT($C$11)*NORMSINV($B764)+SQRT(1-AA$9^2*$C$11)*NORMSINV(Z764))&lt;AA$8,AA$5+SQRT(NORMSDIST(AA$9*SQRT($C$11)*NORMSINV($B764)+SQRT(1-AA$9^2*$C$11)*NORMSINV(Z764))*(AA$7-AA$5)*(AA$6-AA$5)),AA$7-SQRT((1-NORMSDIST(AA$9*SQRT($C$11)*NORMSINV($B764)+SQRT(1-AA$9^2*$C$11)*NORMSINV(Z764)))*(AA$7-AA$5)*(AA$7-AA$6))))</f>
        <v>0.750370756713556</v>
      </c>
      <c r="AB764" s="2" t="n">
        <v>0.157041283</v>
      </c>
      <c r="AC764" s="2" t="n">
        <f aca="false">IF(AC$7=AC$5,AC$6,IF(NORMSDIST(AC$9*SQRT($C$11)*NORMSINV($B764)+SQRT(1-AC$9^2*$C$11)*NORMSINV(AB764))&lt;AC$8,AC$5+SQRT(NORMSDIST(AC$9*SQRT($C$11)*NORMSINV($B764)+SQRT(1-AC$9^2*$C$11)*NORMSINV(AB764))*(AC$7-AC$5)*(AC$6-AC$5)),AC$7-SQRT((1-NORMSDIST(AC$9*SQRT($C$11)*NORMSINV($B764)+SQRT(1-AC$9^2*$C$11)*NORMSINV(AB764)))*(AC$7-AC$5)*(AC$7-AC$6))))</f>
        <v>10.3134269288274</v>
      </c>
      <c r="AD764" s="2" t="n">
        <f aca="false">Entrées!$C$8*(1+E764)</f>
        <v>7457.61902590325</v>
      </c>
      <c r="AE764" s="2" t="n">
        <f aca="false">I764*Hypothèses!$J$24/12/Hypothèses!$J$19</f>
        <v>108.938203922701</v>
      </c>
      <c r="AF764" s="2" t="n">
        <f aca="false">Entrées!$C$36*S764*1000</f>
        <v>437.903761151932</v>
      </c>
      <c r="AG764" s="2" t="n">
        <f aca="false">-AF764/W764</f>
        <v>-41.5219222308879</v>
      </c>
      <c r="AH764" s="2" t="n">
        <f aca="false">AD764+AE764+AG764</f>
        <v>7525.03530759507</v>
      </c>
      <c r="AI764" s="2" t="n">
        <f aca="false">Entrées!$C$16-M764+Hypothèses!$J$22*1000-AF764+Hypothèses!$J$23</f>
        <v>22365.3229808998</v>
      </c>
      <c r="AJ764" s="2" t="n">
        <f aca="false">AI764/AH764</f>
        <v>2.97212199899266</v>
      </c>
      <c r="AK764" s="2" t="n">
        <f aca="false">AI764/(AH764+I764*(12-Hypothèses!$J$24)/12/Hypothèses!$J$19)</f>
        <v>2.94170317068077</v>
      </c>
      <c r="AL764" s="2" t="n">
        <f aca="false">(AD764+AG764+I764/Hypothèses!$J$19)*(1+G764)</f>
        <v>8124.06295606089</v>
      </c>
      <c r="AM764" s="2" t="n">
        <f aca="false">Entrées!$C$54*K764/Hypothèses!$J$19</f>
        <v>48.5937701975738</v>
      </c>
      <c r="AN764" s="2" t="n">
        <f aca="false">Y764*1000/AC764</f>
        <v>55.5181331118594</v>
      </c>
      <c r="AO764" s="2" t="n">
        <f aca="false">(Entrées!$C$36*(1-S764)+MAX(0,Entrées!$C$30-Entrées!$C$35-Entrées!$C$36)*U764)*1000</f>
        <v>1392.97509420993</v>
      </c>
      <c r="AP764" s="2" t="n">
        <f aca="false">-AO764/W764</f>
        <v>-132.081540882864</v>
      </c>
      <c r="AQ764" s="2" t="n">
        <f aca="false">AL764+AM764+AN764+AP764</f>
        <v>8096.09331848746</v>
      </c>
      <c r="AR764" s="2" t="n">
        <f aca="false">O764*AQ764-Hypothèses!$J$25/Hypothèses!$J$19</f>
        <v>1501.59367040066</v>
      </c>
      <c r="AS764" s="2" t="n">
        <f aca="false">Entrées!$C$79*(1+Q764)+Hypothèses!$J$20</f>
        <v>1484.96489634834</v>
      </c>
      <c r="AT764" s="2" t="n">
        <f aca="false">AI764-AR764+AS764+Y764*1000-AO764+Hypothèses!$J$23</f>
        <v>21528.3013217116</v>
      </c>
      <c r="AU764" s="2" t="n">
        <f aca="false">AT764/AQ764</f>
        <v>2.65909747761326</v>
      </c>
      <c r="AV764" s="2" t="n">
        <f aca="false">Hypothèses!$J$26*AQ764-AT764</f>
        <v>2759.9786337508</v>
      </c>
      <c r="AW764" s="2" t="n">
        <f aca="false">IF(AC764&gt;Hypothèses!$J$26,MAX(0,AV764)/(1-Hypothèses!$J$26/AC764),0)</f>
        <v>3892.13404896597</v>
      </c>
      <c r="AX764" s="2" t="n">
        <f aca="false">AQ764-Entrées!$C$17*1000</f>
        <v>96.0933184874575</v>
      </c>
      <c r="AY764" s="2" t="n">
        <f aca="false">AI764+(Entrées!$C$244-Entrées!$C$13)</f>
        <v>28112.3229808998</v>
      </c>
      <c r="AZ764" s="2" t="n">
        <f aca="false">AA764*AH764</f>
        <v>5646.56643805634</v>
      </c>
      <c r="BA764" s="2" t="n">
        <f aca="false">AZ764/AY764</f>
        <v>0.200857340814303</v>
      </c>
      <c r="BB764" s="2" t="n">
        <f aca="false">AZ764/(Entrées!$C$151/100)-AY764</f>
        <v>3257.49056385767</v>
      </c>
      <c r="BC764" s="2" t="n">
        <f aca="false">AT764+(Entrées!$C$244-Entrées!$C$13)</f>
        <v>27275.3013217116</v>
      </c>
      <c r="BD764" s="2" t="n">
        <f aca="false">AA764*AQ764</f>
        <v>6075.071669817</v>
      </c>
      <c r="BE764" s="2" t="n">
        <f aca="false">BD764/BC764</f>
        <v>0.222731606084261</v>
      </c>
      <c r="BF764" s="2" t="n">
        <f aca="false">BD764/(Entrées!$C$151/100)-BC764</f>
        <v>6475.09684393842</v>
      </c>
      <c r="BG764" s="2" t="n">
        <f aca="false">MIN(AV764,BF764)</f>
        <v>2759.9786337508</v>
      </c>
      <c r="BH764" s="2" t="n">
        <f aca="false">IF(AC764&gt;Hypothèses!$J$26,MAX(0,BG764)/(1-Hypothèses!$J$26/AC764),0)</f>
        <v>3892.13404896597</v>
      </c>
    </row>
    <row r="765" customFormat="false" ht="15" hidden="false" customHeight="false" outlineLevel="0" collapsed="false">
      <c r="A765" s="2" t="n">
        <v>750</v>
      </c>
      <c r="B765" s="2" t="n">
        <v>0.019571251</v>
      </c>
      <c r="C765" s="2"/>
      <c r="D765" s="2" t="n">
        <v>0.949026523</v>
      </c>
      <c r="E765" s="2" t="n">
        <f aca="false">IF(E$7=E$5,E$6,IF(NORMSDIST(E$9*SQRT($C$11)*NORMSINV($B765)+SQRT(1-E$9^2*$C$11)*NORMSINV(D765))&lt;E$8,E$5+SQRT(NORMSDIST(E$9*SQRT($C$11)*NORMSINV($B765)+SQRT(1-E$9^2*$C$11)*NORMSINV(D765))*(E$7-E$5)*(E$6-E$5)),E$7-SQRT((1-NORMSDIST(E$9*SQRT($C$11)*NORMSINV($B765)+SQRT(1-E$9^2*$C$11)*NORMSINV(D765)))*(E$7-E$5)*(E$7-E$6))))</f>
        <v>0.0549242149053935</v>
      </c>
      <c r="F765" s="2" t="n">
        <v>0.679768156</v>
      </c>
      <c r="G765" s="2" t="n">
        <f aca="false">IF(G$7=G$5,G$6,IF(NORMSDIST(G$9*SQRT($C$11)*NORMSINV($B765)+SQRT(1-G$9^2*$C$11)*NORMSINV(F765))&lt;G$8,G$5+SQRT(NORMSDIST(G$9*SQRT($C$11)*NORMSINV($B765)+SQRT(1-G$9^2*$C$11)*NORMSINV(F765))*(G$7-G$5)*(G$6-G$5)),G$7-SQRT((1-NORMSDIST(G$9*SQRT($C$11)*NORMSINV($B765)+SQRT(1-G$9^2*$C$11)*NORMSINV(F765)))*(G$7-G$5)*(G$7-G$6))))</f>
        <v>0.0488206232107595</v>
      </c>
      <c r="H765" s="2" t="n">
        <v>0.936809872</v>
      </c>
      <c r="I765" s="2" t="n">
        <f aca="false">IF(I$7=I$5,I$6,IF(NORMSDIST(I$9*SQRT($C$11)*NORMSINV($B765)+SQRT(1-I$9^2*$C$11)*NORMSINV(H765))&lt;I$8,I$5+SQRT(NORMSDIST(I$9*SQRT($C$11)*NORMSINV($B765)+SQRT(1-I$9^2*$C$11)*NORMSINV(H765))*(I$7-I$5)*(I$6-I$5)),I$7-SQRT((1-NORMSDIST(I$9*SQRT($C$11)*NORMSINV($B765)+SQRT(1-I$9^2*$C$11)*NORMSINV(H765)))*(I$7-I$5)*(I$7-I$6))))</f>
        <v>199.016195650097</v>
      </c>
      <c r="J765" s="2" t="n">
        <v>0.83054271</v>
      </c>
      <c r="K765" s="2" t="n">
        <f aca="false">IF(K$7=K$5,K$6,IF(NORMSDIST(K$9*SQRT($C$11)*NORMSINV($B765)+SQRT(1-K$9^2*$C$11)*NORMSINV(J765))&lt;K$8,K$5+SQRT(NORMSDIST(K$9*SQRT($C$11)*NORMSINV($B765)+SQRT(1-K$9^2*$C$11)*NORMSINV(J765))*(K$7-K$5)*(K$6-K$5)),K$7-SQRT((1-NORMSDIST(K$9*SQRT($C$11)*NORMSINV($B765)+SQRT(1-K$9^2*$C$11)*NORMSINV(J765)))*(K$7-K$5)*(K$7-K$6))))</f>
        <v>0.189223694943071</v>
      </c>
      <c r="L765" s="2" t="n">
        <v>0.486704911</v>
      </c>
      <c r="M765" s="2" t="n">
        <f aca="false">IF(M$7=M$5,M$6,IF(NORMSDIST(M$9*SQRT($C$11)*NORMSINV($B765)+SQRT(1-M$9^2*$C$11)*NORMSINV(L765))&lt;M$8,M$5+SQRT(NORMSDIST(M$9*SQRT($C$11)*NORMSINV($B765)+SQRT(1-M$9^2*$C$11)*NORMSINV(L765))*(M$7-M$5)*(M$6-M$5)),M$7-SQRT((1-NORMSDIST(M$9*SQRT($C$11)*NORMSINV($B765)+SQRT(1-M$9^2*$C$11)*NORMSINV(L765)))*(M$7-M$5)*(M$7-M$6))))</f>
        <v>1424.03001594698</v>
      </c>
      <c r="N765" s="2" t="n">
        <v>0.602019566</v>
      </c>
      <c r="O765" s="2" t="n">
        <f aca="false">IF(O$7=O$5,O$6,IF(NORMSDIST(O$9*SQRT($C$11)*NORMSINV($B765)+SQRT(1-O$9^2*$C$11)*NORMSINV(N765))&lt;O$8,O$5+SQRT(NORMSDIST(O$9*SQRT($C$11)*NORMSINV($B765)+SQRT(1-O$9^2*$C$11)*NORMSINV(N765))*(O$7-O$5)*(O$6-O$5)),O$7-SQRT((1-NORMSDIST(O$9*SQRT($C$11)*NORMSINV($B765)+SQRT(1-O$9^2*$C$11)*NORMSINV(N765)))*(O$7-O$5)*(O$7-O$6))))</f>
        <v>0.153904195071246</v>
      </c>
      <c r="P765" s="2" t="n">
        <v>0.987145755</v>
      </c>
      <c r="Q765" s="2" t="n">
        <f aca="false">IF(Q$7=Q$5,Q$6,IF(NORMSDIST(Q$9*SQRT($C$11)*NORMSINV($B765)+SQRT(1-Q$9^2*$C$11)*NORMSINV(P765))&lt;Q$8,Q$5+SQRT(NORMSDIST(Q$9*SQRT($C$11)*NORMSINV($B765)+SQRT(1-Q$9^2*$C$11)*NORMSINV(P765))*(Q$7-Q$5)*(Q$6-Q$5)),Q$7-SQRT((1-NORMSDIST(Q$9*SQRT($C$11)*NORMSINV($B765)+SQRT(1-Q$9^2*$C$11)*NORMSINV(P765)))*(Q$7-Q$5)*(Q$7-Q$6))))</f>
        <v>0.113586453087409</v>
      </c>
      <c r="R765" s="2" t="n">
        <v>0.825144024</v>
      </c>
      <c r="S765" s="2" t="n">
        <f aca="false">IF(S$7=S$5,S$6,IF(NORMSDIST(S$9*SQRT($C$11)*NORMSINV($B765)+SQRT(1-S$9^2*$C$11)*NORMSINV(R765))&lt;S$8,S$5+SQRT(NORMSDIST(S$9*SQRT($C$11)*NORMSINV($B765)+SQRT(1-S$9^2*$C$11)*NORMSINV(R765))*(S$7-S$5)*(S$6-S$5)),S$7-SQRT((1-NORMSDIST(S$9*SQRT($C$11)*NORMSINV($B765)+SQRT(1-S$9^2*$C$11)*NORMSINV(R765)))*(S$7-S$5)*(S$7-S$6))))</f>
        <v>0.374761118978009</v>
      </c>
      <c r="T765" s="2" t="n">
        <v>0.420911985</v>
      </c>
      <c r="U765" s="2" t="n">
        <f aca="false">IF(U$7=U$5,U$6,IF(NORMSDIST(U$9*SQRT($C$11)*NORMSINV($B765)+SQRT(1-U$9^2*$C$11)*NORMSINV(T765))&lt;U$8,U$5+SQRT(NORMSDIST(U$9*SQRT($C$11)*NORMSINV($B765)+SQRT(1-U$9^2*$C$11)*NORMSINV(T765))*(U$7-U$5)*(U$6-U$5)),U$7-SQRT((1-NORMSDIST(U$9*SQRT($C$11)*NORMSINV($B765)+SQRT(1-U$9^2*$C$11)*NORMSINV(T765)))*(U$7-U$5)*(U$7-U$6))))</f>
        <v>0.190083942643854</v>
      </c>
      <c r="V765" s="2" t="n">
        <v>0.085126133</v>
      </c>
      <c r="W765" s="2" t="n">
        <f aca="false">IF(W$7=W$5,W$6,IF(NORMSDIST(W$9*SQRT($C$11)*NORMSINV($B765)+SQRT(1-W$9^2*$C$11)*NORMSINV(V765))&lt;W$8,W$5+SQRT(NORMSDIST(W$9*SQRT($C$11)*NORMSINV($B765)+SQRT(1-W$9^2*$C$11)*NORMSINV(V765))*(W$7-W$5)*(W$6-W$5)),W$7-SQRT((1-NORMSDIST(W$9*SQRT($C$11)*NORMSINV($B765)+SQRT(1-W$9^2*$C$11)*NORMSINV(V765)))*(W$7-W$5)*(W$7-W$6))))</f>
        <v>8.2678878912242</v>
      </c>
      <c r="X765" s="2" t="n">
        <v>0.947194314</v>
      </c>
      <c r="Y765" s="2" t="n">
        <f aca="false">IF(Y$7=Y$5,Y$6,IF(NORMSDIST(Y$9*SQRT($C$11)*NORMSINV($B765)+SQRT(1-Y$9^2*$C$11)*NORMSINV(X765))&lt;Y$8,Y$5+SQRT(NORMSDIST(Y$9*SQRT($C$11)*NORMSINV($B765)+SQRT(1-Y$9^2*$C$11)*NORMSINV(X765))*(Y$7-Y$5)*(Y$6-Y$5)),Y$7-SQRT((1-NORMSDIST(Y$9*SQRT($C$11)*NORMSINV($B765)+SQRT(1-Y$9^2*$C$11)*NORMSINV(X765)))*(Y$7-Y$5)*(Y$7-Y$6))))</f>
        <v>0.837510483415083</v>
      </c>
      <c r="Z765" s="2" t="n">
        <v>0.314563628</v>
      </c>
      <c r="AA765" s="2" t="n">
        <f aca="false">IF(AA$7=AA$5,AA$6,IF(NORMSDIST(AA$9*SQRT($C$11)*NORMSINV($B765)+SQRT(1-AA$9^2*$C$11)*NORMSINV(Z765))&lt;AA$8,AA$5+SQRT(NORMSDIST(AA$9*SQRT($C$11)*NORMSINV($B765)+SQRT(1-AA$9^2*$C$11)*NORMSINV(Z765))*(AA$7-AA$5)*(AA$6-AA$5)),AA$7-SQRT((1-NORMSDIST(AA$9*SQRT($C$11)*NORMSINV($B765)+SQRT(1-AA$9^2*$C$11)*NORMSINV(Z765)))*(AA$7-AA$5)*(AA$7-AA$6))))</f>
        <v>0.70531292274599</v>
      </c>
      <c r="AB765" s="2" t="n">
        <v>0.834769194</v>
      </c>
      <c r="AC765" s="2" t="n">
        <f aca="false">IF(AC$7=AC$5,AC$6,IF(NORMSDIST(AC$9*SQRT($C$11)*NORMSINV($B765)+SQRT(1-AC$9^2*$C$11)*NORMSINV(AB765))&lt;AC$8,AC$5+SQRT(NORMSDIST(AC$9*SQRT($C$11)*NORMSINV($B765)+SQRT(1-AC$9^2*$C$11)*NORMSINV(AB765))*(AC$7-AC$5)*(AC$6-AC$5)),AC$7-SQRT((1-NORMSDIST(AC$9*SQRT($C$11)*NORMSINV($B765)+SQRT(1-AC$9^2*$C$11)*NORMSINV(AB765)))*(AC$7-AC$5)*(AC$7-AC$6))))</f>
        <v>8.98538723878383</v>
      </c>
      <c r="AD765" s="2" t="n">
        <f aca="false">Entrées!$C$8*(1+E765)</f>
        <v>7437.21571508302</v>
      </c>
      <c r="AE765" s="2" t="n">
        <f aca="false">I765*Hypothèses!$J$24/12/Hypothèses!$J$19</f>
        <v>98.731297685899</v>
      </c>
      <c r="AF765" s="2" t="n">
        <f aca="false">Entrées!$C$36*S765*1000</f>
        <v>187.380559489005</v>
      </c>
      <c r="AG765" s="2" t="n">
        <f aca="false">-AF765/W765</f>
        <v>-22.663655089941</v>
      </c>
      <c r="AH765" s="2" t="n">
        <f aca="false">AD765+AE765+AG765</f>
        <v>7513.28335767898</v>
      </c>
      <c r="AI765" s="2" t="n">
        <f aca="false">Entrées!$C$16-M765+Hypothèses!$J$22*1000-AF765+Hypothèses!$J$23</f>
        <v>22936.589424564</v>
      </c>
      <c r="AJ765" s="2" t="n">
        <f aca="false">AI765/AH765</f>
        <v>3.05280505641007</v>
      </c>
      <c r="AK765" s="2" t="n">
        <f aca="false">AI765/(AH765+I765*(12-Hypothèses!$J$24)/12/Hypothèses!$J$19)</f>
        <v>3.02441680233656</v>
      </c>
      <c r="AL765" s="2" t="n">
        <f aca="false">(AD765+AG765+I765/Hypothèses!$J$19)*(1+G765)</f>
        <v>7954.05183439513</v>
      </c>
      <c r="AM765" s="2" t="n">
        <f aca="false">Entrées!$C$54*K765/Hypothèses!$J$19</f>
        <v>19.3110725678938</v>
      </c>
      <c r="AN765" s="2" t="n">
        <f aca="false">Y765*1000/AC765</f>
        <v>93.2080567212638</v>
      </c>
      <c r="AO765" s="2" t="n">
        <f aca="false">(Entrées!$C$36*(1-S765)+MAX(0,Entrées!$C$30-Entrées!$C$35-Entrées!$C$36)*U765)*1000</f>
        <v>578.736960212391</v>
      </c>
      <c r="AP765" s="2" t="n">
        <f aca="false">-AO765/W765</f>
        <v>-69.9981625085509</v>
      </c>
      <c r="AQ765" s="2" t="n">
        <f aca="false">AL765+AM765+AN765+AP765</f>
        <v>7996.57280117574</v>
      </c>
      <c r="AR765" s="2" t="n">
        <f aca="false">O765*AQ765-Hypothèses!$J$25/Hypothèses!$J$19</f>
        <v>1211.57093803194</v>
      </c>
      <c r="AS765" s="2" t="n">
        <f aca="false">Entrées!$C$79*(1+Q765)+Hypothèses!$J$20</f>
        <v>1518.83151194306</v>
      </c>
      <c r="AT765" s="2" t="n">
        <f aca="false">AI765-AR765+AS765+Y765*1000-AO765+Hypothèses!$J$23</f>
        <v>23502.6235216778</v>
      </c>
      <c r="AU765" s="2" t="n">
        <f aca="false">AT765/AQ765</f>
        <v>2.93908704466771</v>
      </c>
      <c r="AV765" s="2" t="n">
        <f aca="false">Hypothèses!$J$26*AQ765-AT765</f>
        <v>487.0948818494</v>
      </c>
      <c r="AW765" s="2" t="n">
        <f aca="false">IF(AC765&gt;Hypothèses!$J$26,MAX(0,AV765)/(1-Hypothèses!$J$26/AC765),0)</f>
        <v>731.236920994242</v>
      </c>
      <c r="AX765" s="2" t="n">
        <f aca="false">AQ765-Entrées!$C$17*1000</f>
        <v>-3.42719882425899</v>
      </c>
      <c r="AY765" s="2" t="n">
        <f aca="false">AI765+(Entrées!$C$244-Entrées!$C$13)</f>
        <v>28683.589424564</v>
      </c>
      <c r="AZ765" s="2" t="n">
        <f aca="false">AA765*AH765</f>
        <v>5299.21584442337</v>
      </c>
      <c r="BA765" s="2" t="n">
        <f aca="false">AZ765/AY765</f>
        <v>0.184747305017734</v>
      </c>
      <c r="BB765" s="2" t="n">
        <f aca="false">AZ765/(Entrées!$C$151/100)-AY765</f>
        <v>756.498600010244</v>
      </c>
      <c r="BC765" s="2" t="n">
        <f aca="false">AT765+(Entrées!$C$244-Entrées!$C$13)</f>
        <v>29249.6235216778</v>
      </c>
      <c r="BD765" s="2" t="n">
        <f aca="false">AA765*AQ765</f>
        <v>5640.08613434835</v>
      </c>
      <c r="BE765" s="2" t="n">
        <f aca="false">BD765/BC765</f>
        <v>0.19282593945759</v>
      </c>
      <c r="BF765" s="2" t="n">
        <f aca="false">BD765/(Entrées!$C$151/100)-BC765</f>
        <v>2084.188335813</v>
      </c>
      <c r="BG765" s="2" t="n">
        <f aca="false">MIN(AV765,BF765)</f>
        <v>487.0948818494</v>
      </c>
      <c r="BH765" s="2" t="n">
        <f aca="false">IF(AC765&gt;Hypothèses!$J$26,MAX(0,BG765)/(1-Hypothèses!$J$26/AC765),0)</f>
        <v>731.236920994242</v>
      </c>
    </row>
    <row r="766" customFormat="false" ht="15" hidden="false" customHeight="false" outlineLevel="0" collapsed="false">
      <c r="A766" s="2" t="n">
        <v>751</v>
      </c>
      <c r="B766" s="2" t="n">
        <v>0.606140676</v>
      </c>
      <c r="C766" s="2"/>
      <c r="D766" s="2" t="n">
        <v>0.564129779</v>
      </c>
      <c r="E766" s="2" t="n">
        <f aca="false">IF(E$7=E$5,E$6,IF(NORMSDIST(E$9*SQRT($C$11)*NORMSINV($B766)+SQRT(1-E$9^2*$C$11)*NORMSINV(D766))&lt;E$8,E$5+SQRT(NORMSDIST(E$9*SQRT($C$11)*NORMSINV($B766)+SQRT(1-E$9^2*$C$11)*NORMSINV(D766))*(E$7-E$5)*(E$6-E$5)),E$7-SQRT((1-NORMSDIST(E$9*SQRT($C$11)*NORMSINV($B766)+SQRT(1-E$9^2*$C$11)*NORMSINV(D766)))*(E$7-E$5)*(E$7-E$6))))</f>
        <v>0.0556190241470318</v>
      </c>
      <c r="F766" s="2" t="n">
        <v>0.261533944</v>
      </c>
      <c r="G766" s="2" t="n">
        <f aca="false">IF(G$7=G$5,G$6,IF(NORMSDIST(G$9*SQRT($C$11)*NORMSINV($B766)+SQRT(1-G$9^2*$C$11)*NORMSINV(F766))&lt;G$8,G$5+SQRT(NORMSDIST(G$9*SQRT($C$11)*NORMSINV($B766)+SQRT(1-G$9^2*$C$11)*NORMSINV(F766))*(G$7-G$5)*(G$6-G$5)),G$7-SQRT((1-NORMSDIST(G$9*SQRT($C$11)*NORMSINV($B766)+SQRT(1-G$9^2*$C$11)*NORMSINV(F766)))*(G$7-G$5)*(G$7-G$6))))</f>
        <v>0.0529527121863697</v>
      </c>
      <c r="H766" s="2" t="n">
        <v>0.344509553</v>
      </c>
      <c r="I766" s="2" t="n">
        <f aca="false">IF(I$7=I$5,I$6,IF(NORMSDIST(I$9*SQRT($C$11)*NORMSINV($B766)+SQRT(1-I$9^2*$C$11)*NORMSINV(H766))&lt;I$8,I$5+SQRT(NORMSDIST(I$9*SQRT($C$11)*NORMSINV($B766)+SQRT(1-I$9^2*$C$11)*NORMSINV(H766))*(I$7-I$5)*(I$6-I$5)),I$7-SQRT((1-NORMSDIST(I$9*SQRT($C$11)*NORMSINV($B766)+SQRT(1-I$9^2*$C$11)*NORMSINV(H766)))*(I$7-I$5)*(I$7-I$6))))</f>
        <v>198.856441490624</v>
      </c>
      <c r="J766" s="2" t="n">
        <v>0.6762284</v>
      </c>
      <c r="K766" s="2" t="n">
        <f aca="false">IF(K$7=K$5,K$6,IF(NORMSDIST(K$9*SQRT($C$11)*NORMSINV($B766)+SQRT(1-K$9^2*$C$11)*NORMSINV(J766))&lt;K$8,K$5+SQRT(NORMSDIST(K$9*SQRT($C$11)*NORMSINV($B766)+SQRT(1-K$9^2*$C$11)*NORMSINV(J766))*(K$7-K$5)*(K$6-K$5)),K$7-SQRT((1-NORMSDIST(K$9*SQRT($C$11)*NORMSINV($B766)+SQRT(1-K$9^2*$C$11)*NORMSINV(J766)))*(K$7-K$5)*(K$7-K$6))))</f>
        <v>0.306354416210706</v>
      </c>
      <c r="L766" s="2" t="n">
        <v>0.966506674</v>
      </c>
      <c r="M766" s="2" t="n">
        <f aca="false">IF(M$7=M$5,M$6,IF(NORMSDIST(M$9*SQRT($C$11)*NORMSINV($B766)+SQRT(1-M$9^2*$C$11)*NORMSINV(L766))&lt;M$8,M$5+SQRT(NORMSDIST(M$9*SQRT($C$11)*NORMSINV($B766)+SQRT(1-M$9^2*$C$11)*NORMSINV(L766))*(M$7-M$5)*(M$6-M$5)),M$7-SQRT((1-NORMSDIST(M$9*SQRT($C$11)*NORMSINV($B766)+SQRT(1-M$9^2*$C$11)*NORMSINV(L766)))*(M$7-M$5)*(M$7-M$6))))</f>
        <v>1725.12511030401</v>
      </c>
      <c r="N766" s="2" t="n">
        <v>0.416760282</v>
      </c>
      <c r="O766" s="2" t="n">
        <f aca="false">IF(O$7=O$5,O$6,IF(NORMSDIST(O$9*SQRT($C$11)*NORMSINV($B766)+SQRT(1-O$9^2*$C$11)*NORMSINV(N766))&lt;O$8,O$5+SQRT(NORMSDIST(O$9*SQRT($C$11)*NORMSINV($B766)+SQRT(1-O$9^2*$C$11)*NORMSINV(N766))*(O$7-O$5)*(O$6-O$5)),O$7-SQRT((1-NORMSDIST(O$9*SQRT($C$11)*NORMSINV($B766)+SQRT(1-O$9^2*$C$11)*NORMSINV(N766)))*(O$7-O$5)*(O$7-O$6))))</f>
        <v>0.1668644366499</v>
      </c>
      <c r="P766" s="2" t="n">
        <v>0.691257145</v>
      </c>
      <c r="Q766" s="2" t="n">
        <f aca="false">IF(Q$7=Q$5,Q$6,IF(NORMSDIST(Q$9*SQRT($C$11)*NORMSINV($B766)+SQRT(1-Q$9^2*$C$11)*NORMSINV(P766))&lt;Q$8,Q$5+SQRT(NORMSDIST(Q$9*SQRT($C$11)*NORMSINV($B766)+SQRT(1-Q$9^2*$C$11)*NORMSINV(P766))*(Q$7-Q$5)*(Q$6-Q$5)),Q$7-SQRT((1-NORMSDIST(Q$9*SQRT($C$11)*NORMSINV($B766)+SQRT(1-Q$9^2*$C$11)*NORMSINV(P766)))*(Q$7-Q$5)*(Q$7-Q$6))))</f>
        <v>0.0885678964114713</v>
      </c>
      <c r="R766" s="2" t="n">
        <v>0.636999235</v>
      </c>
      <c r="S766" s="2" t="n">
        <f aca="false">IF(S$7=S$5,S$6,IF(NORMSDIST(S$9*SQRT($C$11)*NORMSINV($B766)+SQRT(1-S$9^2*$C$11)*NORMSINV(R766))&lt;S$8,S$5+SQRT(NORMSDIST(S$9*SQRT($C$11)*NORMSINV($B766)+SQRT(1-S$9^2*$C$11)*NORMSINV(R766))*(S$7-S$5)*(S$6-S$5)),S$7-SQRT((1-NORMSDIST(S$9*SQRT($C$11)*NORMSINV($B766)+SQRT(1-S$9^2*$C$11)*NORMSINV(R766)))*(S$7-S$5)*(S$7-S$6))))</f>
        <v>0.594209946360126</v>
      </c>
      <c r="T766" s="2" t="n">
        <v>0.322237132</v>
      </c>
      <c r="U766" s="2" t="n">
        <f aca="false">IF(U$7=U$5,U$6,IF(NORMSDIST(U$9*SQRT($C$11)*NORMSINV($B766)+SQRT(1-U$9^2*$C$11)*NORMSINV(T766))&lt;U$8,U$5+SQRT(NORMSDIST(U$9*SQRT($C$11)*NORMSINV($B766)+SQRT(1-U$9^2*$C$11)*NORMSINV(T766))*(U$7-U$5)*(U$6-U$5)),U$7-SQRT((1-NORMSDIST(U$9*SQRT($C$11)*NORMSINV($B766)+SQRT(1-U$9^2*$C$11)*NORMSINV(T766)))*(U$7-U$5)*(U$7-U$6))))</f>
        <v>0.461398569603788</v>
      </c>
      <c r="V766" s="2" t="n">
        <v>0.863546332</v>
      </c>
      <c r="W766" s="2" t="n">
        <f aca="false">IF(W$7=W$5,W$6,IF(NORMSDIST(W$9*SQRT($C$11)*NORMSINV($B766)+SQRT(1-W$9^2*$C$11)*NORMSINV(V766))&lt;W$8,W$5+SQRT(NORMSDIST(W$9*SQRT($C$11)*NORMSINV($B766)+SQRT(1-W$9^2*$C$11)*NORMSINV(V766))*(W$7-W$5)*(W$6-W$5)),W$7-SQRT((1-NORMSDIST(W$9*SQRT($C$11)*NORMSINV($B766)+SQRT(1-W$9^2*$C$11)*NORMSINV(V766)))*(W$7-W$5)*(W$7-W$6))))</f>
        <v>10.8901628991246</v>
      </c>
      <c r="X766" s="2" t="n">
        <v>0.680040851</v>
      </c>
      <c r="Y766" s="2" t="n">
        <f aca="false">IF(Y$7=Y$5,Y$6,IF(NORMSDIST(Y$9*SQRT($C$11)*NORMSINV($B766)+SQRT(1-Y$9^2*$C$11)*NORMSINV(X766))&lt;Y$8,Y$5+SQRT(NORMSDIST(Y$9*SQRT($C$11)*NORMSINV($B766)+SQRT(1-Y$9^2*$C$11)*NORMSINV(X766))*(Y$7-Y$5)*(Y$6-Y$5)),Y$7-SQRT((1-NORMSDIST(Y$9*SQRT($C$11)*NORMSINV($B766)+SQRT(1-Y$9^2*$C$11)*NORMSINV(X766)))*(Y$7-Y$5)*(Y$7-Y$6))))</f>
        <v>0.600025532689898</v>
      </c>
      <c r="Z766" s="2" t="n">
        <v>0.025095824</v>
      </c>
      <c r="AA766" s="2" t="n">
        <f aca="false">IF(AA$7=AA$5,AA$6,IF(NORMSDIST(AA$9*SQRT($C$11)*NORMSINV($B766)+SQRT(1-AA$9^2*$C$11)*NORMSINV(Z766))&lt;AA$8,AA$5+SQRT(NORMSDIST(AA$9*SQRT($C$11)*NORMSINV($B766)+SQRT(1-AA$9^2*$C$11)*NORMSINV(Z766))*(AA$7-AA$5)*(AA$6-AA$5)),AA$7-SQRT((1-NORMSDIST(AA$9*SQRT($C$11)*NORMSINV($B766)+SQRT(1-AA$9^2*$C$11)*NORMSINV(Z766)))*(AA$7-AA$5)*(AA$7-AA$6))))</f>
        <v>0.709133002492375</v>
      </c>
      <c r="AB766" s="2" t="n">
        <v>0.941332203</v>
      </c>
      <c r="AC766" s="2" t="n">
        <f aca="false">IF(AC$7=AC$5,AC$6,IF(NORMSDIST(AC$9*SQRT($C$11)*NORMSINV($B766)+SQRT(1-AC$9^2*$C$11)*NORMSINV(AB766))&lt;AC$8,AC$5+SQRT(NORMSDIST(AC$9*SQRT($C$11)*NORMSINV($B766)+SQRT(1-AC$9^2*$C$11)*NORMSINV(AB766))*(AC$7-AC$5)*(AC$6-AC$5)),AC$7-SQRT((1-NORMSDIST(AC$9*SQRT($C$11)*NORMSINV($B766)+SQRT(1-AC$9^2*$C$11)*NORMSINV(AB766)))*(AC$7-AC$5)*(AC$7-AC$6))))</f>
        <v>10.4002049324556</v>
      </c>
      <c r="AD766" s="2" t="n">
        <f aca="false">Entrées!$C$8*(1+E766)</f>
        <v>7442.11412023657</v>
      </c>
      <c r="AE766" s="2" t="n">
        <f aca="false">I766*Hypothèses!$J$24/12/Hypothèses!$J$19</f>
        <v>98.6520441586973</v>
      </c>
      <c r="AF766" s="2" t="n">
        <f aca="false">Entrées!$C$36*S766*1000</f>
        <v>297.104973180063</v>
      </c>
      <c r="AG766" s="2" t="n">
        <f aca="false">-AF766/W766</f>
        <v>-27.2819585833693</v>
      </c>
      <c r="AH766" s="2" t="n">
        <f aca="false">AD766+AE766+AG766</f>
        <v>7513.4842058119</v>
      </c>
      <c r="AI766" s="2" t="n">
        <f aca="false">Entrées!$C$16-M766+Hypothèses!$J$22*1000-AF766+Hypothèses!$J$23</f>
        <v>22525.7699165159</v>
      </c>
      <c r="AJ766" s="2" t="n">
        <f aca="false">AI766/AH766</f>
        <v>2.99804581995282</v>
      </c>
      <c r="AK766" s="2" t="n">
        <f aca="false">AI766/(AH766+I766*(12-Hypothèses!$J$24)/12/Hypothèses!$J$19)</f>
        <v>2.97018968481539</v>
      </c>
      <c r="AL766" s="2" t="n">
        <f aca="false">(AD766+AG766+I766/Hypothèses!$J$19)*(1+G766)</f>
        <v>7985.54067066454</v>
      </c>
      <c r="AM766" s="2" t="n">
        <f aca="false">Entrées!$C$54*K766/Hypothèses!$J$19</f>
        <v>31.2647544733736</v>
      </c>
      <c r="AN766" s="2" t="n">
        <f aca="false">Y766*1000/AC766</f>
        <v>57.6936259032185</v>
      </c>
      <c r="AO766" s="2" t="n">
        <f aca="false">(Entrées!$C$36*(1-S766)+MAX(0,Entrées!$C$30-Entrées!$C$35-Entrées!$C$36)*U766)*1000</f>
        <v>848.85302426524</v>
      </c>
      <c r="AP766" s="2" t="n">
        <f aca="false">-AO766/W766</f>
        <v>-77.946770138165</v>
      </c>
      <c r="AQ766" s="2" t="n">
        <f aca="false">AL766+AM766+AN766+AP766</f>
        <v>7996.55228090297</v>
      </c>
      <c r="AR766" s="2" t="n">
        <f aca="false">O766*AQ766-Hypothèses!$J$25/Hypothèses!$J$19</f>
        <v>1315.20502923272</v>
      </c>
      <c r="AS766" s="2" t="n">
        <f aca="false">Entrées!$C$79*(1+Q766)+Hypothèses!$J$20</f>
        <v>1491.33611815621</v>
      </c>
      <c r="AT766" s="2" t="n">
        <f aca="false">AI766-AR766+AS766+Y766*1000-AO766+Hypothèses!$J$23</f>
        <v>22453.0735138641</v>
      </c>
      <c r="AU766" s="2" t="n">
        <f aca="false">AT766/AQ766</f>
        <v>2.80784427152256</v>
      </c>
      <c r="AV766" s="2" t="n">
        <f aca="false">Hypothèses!$J$26*AQ766-AT766</f>
        <v>1536.58332884484</v>
      </c>
      <c r="AW766" s="2" t="n">
        <f aca="false">IF(AC766&gt;Hypothèses!$J$26,MAX(0,AV766)/(1-Hypothèses!$J$26/AC766),0)</f>
        <v>2159.50526527896</v>
      </c>
      <c r="AX766" s="2" t="n">
        <f aca="false">AQ766-Entrées!$C$17*1000</f>
        <v>-3.44771909702831</v>
      </c>
      <c r="AY766" s="2" t="n">
        <f aca="false">AI766+(Entrées!$C$244-Entrées!$C$13)</f>
        <v>28272.7699165159</v>
      </c>
      <c r="AZ766" s="2" t="n">
        <f aca="false">AA766*AH766</f>
        <v>5328.05961404643</v>
      </c>
      <c r="BA766" s="2" t="n">
        <f aca="false">AZ766/AY766</f>
        <v>0.188451985064752</v>
      </c>
      <c r="BB766" s="2" t="n">
        <f aca="false">AZ766/(Entrées!$C$151/100)-AY766</f>
        <v>1327.56127263092</v>
      </c>
      <c r="BC766" s="2" t="n">
        <f aca="false">AT766+(Entrées!$C$244-Entrées!$C$13)</f>
        <v>28200.0735138641</v>
      </c>
      <c r="BD766" s="2" t="n">
        <f aca="false">AA766*AQ766</f>
        <v>5670.61912854397</v>
      </c>
      <c r="BE766" s="2" t="n">
        <f aca="false">BD766/BC766</f>
        <v>0.20108526049608</v>
      </c>
      <c r="BF766" s="2" t="n">
        <f aca="false">BD766/(Entrées!$C$151/100)-BC766</f>
        <v>3303.36608915801</v>
      </c>
      <c r="BG766" s="2" t="n">
        <f aca="false">MIN(AV766,BF766)</f>
        <v>1536.58332884484</v>
      </c>
      <c r="BH766" s="2" t="n">
        <f aca="false">IF(AC766&gt;Hypothèses!$J$26,MAX(0,BG766)/(1-Hypothèses!$J$26/AC766),0)</f>
        <v>2159.50526527896</v>
      </c>
    </row>
    <row r="767" customFormat="false" ht="15" hidden="false" customHeight="false" outlineLevel="0" collapsed="false">
      <c r="A767" s="2" t="n">
        <v>752</v>
      </c>
      <c r="B767" s="2" t="n">
        <v>0.104212494</v>
      </c>
      <c r="C767" s="2"/>
      <c r="D767" s="2" t="n">
        <v>0.259051266</v>
      </c>
      <c r="E767" s="2" t="n">
        <f aca="false">IF(E$7=E$5,E$6,IF(NORMSDIST(E$9*SQRT($C$11)*NORMSINV($B767)+SQRT(1-E$9^2*$C$11)*NORMSINV(D767))&lt;E$8,E$5+SQRT(NORMSDIST(E$9*SQRT($C$11)*NORMSINV($B767)+SQRT(1-E$9^2*$C$11)*NORMSINV(D767))*(E$7-E$5)*(E$6-E$5)),E$7-SQRT((1-NORMSDIST(E$9*SQRT($C$11)*NORMSINV($B767)+SQRT(1-E$9^2*$C$11)*NORMSINV(D767)))*(E$7-E$5)*(E$7-E$6))))</f>
        <v>0.0522074661159311</v>
      </c>
      <c r="F767" s="2" t="n">
        <v>0.223254736</v>
      </c>
      <c r="G767" s="2" t="n">
        <f aca="false">IF(G$7=G$5,G$6,IF(NORMSDIST(G$9*SQRT($C$11)*NORMSINV($B767)+SQRT(1-G$9^2*$C$11)*NORMSINV(F767))&lt;G$8,G$5+SQRT(NORMSDIST(G$9*SQRT($C$11)*NORMSINV($B767)+SQRT(1-G$9^2*$C$11)*NORMSINV(F767))*(G$7-G$5)*(G$6-G$5)),G$7-SQRT((1-NORMSDIST(G$9*SQRT($C$11)*NORMSINV($B767)+SQRT(1-G$9^2*$C$11)*NORMSINV(F767)))*(G$7-G$5)*(G$7-G$6))))</f>
        <v>0.0461111335747824</v>
      </c>
      <c r="H767" s="2" t="n">
        <v>0.860255644</v>
      </c>
      <c r="I767" s="2" t="n">
        <f aca="false">IF(I$7=I$5,I$6,IF(NORMSDIST(I$9*SQRT($C$11)*NORMSINV($B767)+SQRT(1-I$9^2*$C$11)*NORMSINV(H767))&lt;I$8,I$5+SQRT(NORMSDIST(I$9*SQRT($C$11)*NORMSINV($B767)+SQRT(1-I$9^2*$C$11)*NORMSINV(H767))*(I$7-I$5)*(I$6-I$5)),I$7-SQRT((1-NORMSDIST(I$9*SQRT($C$11)*NORMSINV($B767)+SQRT(1-I$9^2*$C$11)*NORMSINV(H767)))*(I$7-I$5)*(I$7-I$6))))</f>
        <v>200.338929503427</v>
      </c>
      <c r="J767" s="2" t="n">
        <v>0.794862047</v>
      </c>
      <c r="K767" s="2" t="n">
        <f aca="false">IF(K$7=K$5,K$6,IF(NORMSDIST(K$9*SQRT($C$11)*NORMSINV($B767)+SQRT(1-K$9^2*$C$11)*NORMSINV(J767))&lt;K$8,K$5+SQRT(NORMSDIST(K$9*SQRT($C$11)*NORMSINV($B767)+SQRT(1-K$9^2*$C$11)*NORMSINV(J767))*(K$7-K$5)*(K$6-K$5)),K$7-SQRT((1-NORMSDIST(K$9*SQRT($C$11)*NORMSINV($B767)+SQRT(1-K$9^2*$C$11)*NORMSINV(J767)))*(K$7-K$5)*(K$7-K$6))))</f>
        <v>0.23380608637863</v>
      </c>
      <c r="L767" s="2" t="n">
        <v>0.071346105</v>
      </c>
      <c r="M767" s="2" t="n">
        <f aca="false">IF(M$7=M$5,M$6,IF(NORMSDIST(M$9*SQRT($C$11)*NORMSINV($B767)+SQRT(1-M$9^2*$C$11)*NORMSINV(L767))&lt;M$8,M$5+SQRT(NORMSDIST(M$9*SQRT($C$11)*NORMSINV($B767)+SQRT(1-M$9^2*$C$11)*NORMSINV(L767))*(M$7-M$5)*(M$6-M$5)),M$7-SQRT((1-NORMSDIST(M$9*SQRT($C$11)*NORMSINV($B767)+SQRT(1-M$9^2*$C$11)*NORMSINV(L767)))*(M$7-M$5)*(M$7-M$6))))</f>
        <v>1368.45103394319</v>
      </c>
      <c r="N767" s="2" t="n">
        <v>0.682872884</v>
      </c>
      <c r="O767" s="2" t="n">
        <f aca="false">IF(O$7=O$5,O$6,IF(NORMSDIST(O$9*SQRT($C$11)*NORMSINV($B767)+SQRT(1-O$9^2*$C$11)*NORMSINV(N767))&lt;O$8,O$5+SQRT(NORMSDIST(O$9*SQRT($C$11)*NORMSINV($B767)+SQRT(1-O$9^2*$C$11)*NORMSINV(N767))*(O$7-O$5)*(O$6-O$5)),O$7-SQRT((1-NORMSDIST(O$9*SQRT($C$11)*NORMSINV($B767)+SQRT(1-O$9^2*$C$11)*NORMSINV(N767)))*(O$7-O$5)*(O$7-O$6))))</f>
        <v>0.161913198684523</v>
      </c>
      <c r="P767" s="2" t="n">
        <v>0.314005006</v>
      </c>
      <c r="Q767" s="2" t="n">
        <f aca="false">IF(Q$7=Q$5,Q$6,IF(NORMSDIST(Q$9*SQRT($C$11)*NORMSINV($B767)+SQRT(1-Q$9^2*$C$11)*NORMSINV(P767))&lt;Q$8,Q$5+SQRT(NORMSDIST(Q$9*SQRT($C$11)*NORMSINV($B767)+SQRT(1-Q$9^2*$C$11)*NORMSINV(P767))*(Q$7-Q$5)*(Q$6-Q$5)),Q$7-SQRT((1-NORMSDIST(Q$9*SQRT($C$11)*NORMSINV($B767)+SQRT(1-Q$9^2*$C$11)*NORMSINV(P767)))*(Q$7-Q$5)*(Q$7-Q$6))))</f>
        <v>0.0716988330889325</v>
      </c>
      <c r="R767" s="2" t="n">
        <v>0.451546214</v>
      </c>
      <c r="S767" s="2" t="n">
        <f aca="false">IF(S$7=S$5,S$6,IF(NORMSDIST(S$9*SQRT($C$11)*NORMSINV($B767)+SQRT(1-S$9^2*$C$11)*NORMSINV(R767))&lt;S$8,S$5+SQRT(NORMSDIST(S$9*SQRT($C$11)*NORMSINV($B767)+SQRT(1-S$9^2*$C$11)*NORMSINV(R767))*(S$7-S$5)*(S$6-S$5)),S$7-SQRT((1-NORMSDIST(S$9*SQRT($C$11)*NORMSINV($B767)+SQRT(1-S$9^2*$C$11)*NORMSINV(R767)))*(S$7-S$5)*(S$7-S$6))))</f>
        <v>0.305585070226673</v>
      </c>
      <c r="T767" s="2" t="n">
        <v>0.807858115</v>
      </c>
      <c r="U767" s="2" t="n">
        <f aca="false">IF(U$7=U$5,U$6,IF(NORMSDIST(U$9*SQRT($C$11)*NORMSINV($B767)+SQRT(1-U$9^2*$C$11)*NORMSINV(T767))&lt;U$8,U$5+SQRT(NORMSDIST(U$9*SQRT($C$11)*NORMSINV($B767)+SQRT(1-U$9^2*$C$11)*NORMSINV(T767))*(U$7-U$5)*(U$6-U$5)),U$7-SQRT((1-NORMSDIST(U$9*SQRT($C$11)*NORMSINV($B767)+SQRT(1-U$9^2*$C$11)*NORMSINV(T767)))*(U$7-U$5)*(U$7-U$6))))</f>
        <v>0.47517827857215</v>
      </c>
      <c r="V767" s="2" t="n">
        <v>0.683011994</v>
      </c>
      <c r="W767" s="2" t="n">
        <f aca="false">IF(W$7=W$5,W$6,IF(NORMSDIST(W$9*SQRT($C$11)*NORMSINV($B767)+SQRT(1-W$9^2*$C$11)*NORMSINV(V767))&lt;W$8,W$5+SQRT(NORMSDIST(W$9*SQRT($C$11)*NORMSINV($B767)+SQRT(1-W$9^2*$C$11)*NORMSINV(V767))*(W$7-W$5)*(W$6-W$5)),W$7-SQRT((1-NORMSDIST(W$9*SQRT($C$11)*NORMSINV($B767)+SQRT(1-W$9^2*$C$11)*NORMSINV(V767)))*(W$7-W$5)*(W$7-W$6))))</f>
        <v>9.63652934314459</v>
      </c>
      <c r="X767" s="2" t="n">
        <v>0.045823081</v>
      </c>
      <c r="Y767" s="2" t="n">
        <f aca="false">IF(Y$7=Y$5,Y$6,IF(NORMSDIST(Y$9*SQRT($C$11)*NORMSINV($B767)+SQRT(1-Y$9^2*$C$11)*NORMSINV(X767))&lt;Y$8,Y$5+SQRT(NORMSDIST(Y$9*SQRT($C$11)*NORMSINV($B767)+SQRT(1-Y$9^2*$C$11)*NORMSINV(X767))*(Y$7-Y$5)*(Y$6-Y$5)),Y$7-SQRT((1-NORMSDIST(Y$9*SQRT($C$11)*NORMSINV($B767)+SQRT(1-Y$9^2*$C$11)*NORMSINV(X767)))*(Y$7-Y$5)*(Y$7-Y$6))))</f>
        <v>0.151365585586685</v>
      </c>
      <c r="Z767" s="2" t="n">
        <v>0.761176777</v>
      </c>
      <c r="AA767" s="2" t="n">
        <f aca="false">IF(AA$7=AA$5,AA$6,IF(NORMSDIST(AA$9*SQRT($C$11)*NORMSINV($B767)+SQRT(1-AA$9^2*$C$11)*NORMSINV(Z767))&lt;AA$8,AA$5+SQRT(NORMSDIST(AA$9*SQRT($C$11)*NORMSINV($B767)+SQRT(1-AA$9^2*$C$11)*NORMSINV(Z767))*(AA$7-AA$5)*(AA$6-AA$5)),AA$7-SQRT((1-NORMSDIST(AA$9*SQRT($C$11)*NORMSINV($B767)+SQRT(1-AA$9^2*$C$11)*NORMSINV(Z767)))*(AA$7-AA$5)*(AA$7-AA$6))))</f>
        <v>0.724706092814367</v>
      </c>
      <c r="AB767" s="2" t="n">
        <v>0.544665009</v>
      </c>
      <c r="AC767" s="2" t="n">
        <f aca="false">IF(AC$7=AC$5,AC$6,IF(NORMSDIST(AC$9*SQRT($C$11)*NORMSINV($B767)+SQRT(1-AC$9^2*$C$11)*NORMSINV(AB767))&lt;AC$8,AC$5+SQRT(NORMSDIST(AC$9*SQRT($C$11)*NORMSINV($B767)+SQRT(1-AC$9^2*$C$11)*NORMSINV(AB767))*(AC$7-AC$5)*(AC$6-AC$5)),AC$7-SQRT((1-NORMSDIST(AC$9*SQRT($C$11)*NORMSINV($B767)+SQRT(1-AC$9^2*$C$11)*NORMSINV(AB767)))*(AC$7-AC$5)*(AC$7-AC$6))))</f>
        <v>8.83779574730322</v>
      </c>
      <c r="AD767" s="2" t="n">
        <f aca="false">Entrées!$C$8*(1+E767)</f>
        <v>7418.06263611731</v>
      </c>
      <c r="AE767" s="2" t="n">
        <f aca="false">I767*Hypothèses!$J$24/12/Hypothèses!$J$19</f>
        <v>99.3875017169614</v>
      </c>
      <c r="AF767" s="2" t="n">
        <f aca="false">Entrées!$C$36*S767*1000</f>
        <v>152.792535113336</v>
      </c>
      <c r="AG767" s="2" t="n">
        <f aca="false">-AF767/W767</f>
        <v>-15.8555564635968</v>
      </c>
      <c r="AH767" s="2" t="n">
        <f aca="false">AD767+AE767+AG767</f>
        <v>7501.59458137068</v>
      </c>
      <c r="AI767" s="2" t="n">
        <f aca="false">Entrées!$C$16-M767+Hypothèses!$J$22*1000-AF767+Hypothèses!$J$23</f>
        <v>23026.7564309435</v>
      </c>
      <c r="AJ767" s="2" t="n">
        <f aca="false">AI767/AH767</f>
        <v>3.06958156444867</v>
      </c>
      <c r="AK767" s="2" t="n">
        <f aca="false">AI767/(AH767+I767*(12-Hypothèses!$J$24)/12/Hypothèses!$J$19)</f>
        <v>3.04080501469168</v>
      </c>
      <c r="AL767" s="2" t="n">
        <f aca="false">(AD767+AG767+I767/Hypothèses!$J$19)*(1+G767)</f>
        <v>7921.76616262491</v>
      </c>
      <c r="AM767" s="2" t="n">
        <f aca="false">Entrées!$C$54*K767/Hypothèses!$J$19</f>
        <v>23.8608928032577</v>
      </c>
      <c r="AN767" s="2" t="n">
        <f aca="false">Y767*1000/AC767</f>
        <v>17.1270744328836</v>
      </c>
      <c r="AO767" s="2" t="n">
        <f aca="false">(Entrées!$C$36*(1-S767)+MAX(0,Entrées!$C$30-Entrées!$C$35-Entrées!$C$36)*U767)*1000</f>
        <v>1012.45705488767</v>
      </c>
      <c r="AP767" s="2" t="n">
        <f aca="false">-AO767/W767</f>
        <v>-105.064491461123</v>
      </c>
      <c r="AQ767" s="2" t="n">
        <f aca="false">AL767+AM767+AN767+AP767</f>
        <v>7857.68963839993</v>
      </c>
      <c r="AR767" s="2" t="n">
        <f aca="false">O767*AQ767-Hypothèses!$J$25/Hypothèses!$J$19</f>
        <v>1253.12850136194</v>
      </c>
      <c r="AS767" s="2" t="n">
        <f aca="false">Entrées!$C$79*(1+Q767)+Hypothèses!$J$20</f>
        <v>1472.79701756474</v>
      </c>
      <c r="AT767" s="2" t="n">
        <f aca="false">AI767-AR767+AS767+Y767*1000-AO767+Hypothèses!$J$23</f>
        <v>22385.3334778453</v>
      </c>
      <c r="AU767" s="2" t="n">
        <f aca="false">AT767/AQ767</f>
        <v>2.84884419059387</v>
      </c>
      <c r="AV767" s="2" t="n">
        <f aca="false">Hypothèses!$J$26*AQ767-AT767</f>
        <v>1187.7354373545</v>
      </c>
      <c r="AW767" s="2" t="n">
        <f aca="false">IF(AC767&gt;Hypothèses!$J$26,MAX(0,AV767)/(1-Hypothèses!$J$26/AC767),0)</f>
        <v>1798.10388227817</v>
      </c>
      <c r="AX767" s="2" t="n">
        <f aca="false">AQ767-Entrées!$C$17*1000</f>
        <v>-142.310361600074</v>
      </c>
      <c r="AY767" s="2" t="n">
        <f aca="false">AI767+(Entrées!$C$244-Entrées!$C$13)</f>
        <v>28773.7564309435</v>
      </c>
      <c r="AZ767" s="2" t="n">
        <f aca="false">AA767*AH767</f>
        <v>5436.45129894257</v>
      </c>
      <c r="BA767" s="2" t="n">
        <f aca="false">AZ767/AY767</f>
        <v>0.188937836878892</v>
      </c>
      <c r="BB767" s="2" t="n">
        <f aca="false">AZ767/(Entrées!$C$151/100)-AY767</f>
        <v>1428.75078540415</v>
      </c>
      <c r="BC767" s="2" t="n">
        <f aca="false">AT767+(Entrées!$C$244-Entrées!$C$13)</f>
        <v>28132.3334778453</v>
      </c>
      <c r="BD767" s="2" t="n">
        <f aca="false">AA767*AQ767</f>
        <v>5694.51555639275</v>
      </c>
      <c r="BE767" s="2" t="n">
        <f aca="false">BD767/BC767</f>
        <v>0.202418884337386</v>
      </c>
      <c r="BF767" s="2" t="n">
        <f aca="false">BD767/(Entrées!$C$151/100)-BC767</f>
        <v>3503.86405766998</v>
      </c>
      <c r="BG767" s="2" t="n">
        <f aca="false">MIN(AV767,BF767)</f>
        <v>1187.7354373545</v>
      </c>
      <c r="BH767" s="2" t="n">
        <f aca="false">IF(AC767&gt;Hypothèses!$J$26,MAX(0,BG767)/(1-Hypothèses!$J$26/AC767),0)</f>
        <v>1798.10388227817</v>
      </c>
    </row>
    <row r="768" customFormat="false" ht="15" hidden="false" customHeight="false" outlineLevel="0" collapsed="false">
      <c r="A768" s="2" t="n">
        <v>753</v>
      </c>
      <c r="B768" s="2" t="n">
        <v>0.171520144</v>
      </c>
      <c r="C768" s="2"/>
      <c r="D768" s="2" t="n">
        <v>0.0893898</v>
      </c>
      <c r="E768" s="2" t="n">
        <f aca="false">IF(E$7=E$5,E$6,IF(NORMSDIST(E$9*SQRT($C$11)*NORMSINV($B768)+SQRT(1-E$9^2*$C$11)*NORMSINV(D768))&lt;E$8,E$5+SQRT(NORMSDIST(E$9*SQRT($C$11)*NORMSINV($B768)+SQRT(1-E$9^2*$C$11)*NORMSINV(D768))*(E$7-E$5)*(E$6-E$5)),E$7-SQRT((1-NORMSDIST(E$9*SQRT($C$11)*NORMSINV($B768)+SQRT(1-E$9^2*$C$11)*NORMSINV(D768)))*(E$7-E$5)*(E$7-E$6))))</f>
        <v>0.0515871999612632</v>
      </c>
      <c r="F768" s="2" t="n">
        <v>0.791068143</v>
      </c>
      <c r="G768" s="2" t="n">
        <f aca="false">IF(G$7=G$5,G$6,IF(NORMSDIST(G$9*SQRT($C$11)*NORMSINV($B768)+SQRT(1-G$9^2*$C$11)*NORMSINV(F768))&lt;G$8,G$5+SQRT(NORMSDIST(G$9*SQRT($C$11)*NORMSINV($B768)+SQRT(1-G$9^2*$C$11)*NORMSINV(F768))*(G$7-G$5)*(G$6-G$5)),G$7-SQRT((1-NORMSDIST(G$9*SQRT($C$11)*NORMSINV($B768)+SQRT(1-G$9^2*$C$11)*NORMSINV(F768)))*(G$7-G$5)*(G$7-G$6))))</f>
        <v>0.0551675588815205</v>
      </c>
      <c r="H768" s="2" t="n">
        <v>0.744964971</v>
      </c>
      <c r="I768" s="2" t="n">
        <f aca="false">IF(I$7=I$5,I$6,IF(NORMSDIST(I$9*SQRT($C$11)*NORMSINV($B768)+SQRT(1-I$9^2*$C$11)*NORMSINV(H768))&lt;I$8,I$5+SQRT(NORMSDIST(I$9*SQRT($C$11)*NORMSINV($B768)+SQRT(1-I$9^2*$C$11)*NORMSINV(H768))*(I$7-I$5)*(I$6-I$5)),I$7-SQRT((1-NORMSDIST(I$9*SQRT($C$11)*NORMSINV($B768)+SQRT(1-I$9^2*$C$11)*NORMSINV(H768)))*(I$7-I$5)*(I$7-I$6))))</f>
        <v>199.274236349858</v>
      </c>
      <c r="J768" s="2" t="n">
        <v>0.786740372</v>
      </c>
      <c r="K768" s="2" t="n">
        <f aca="false">IF(K$7=K$5,K$6,IF(NORMSDIST(K$9*SQRT($C$11)*NORMSINV($B768)+SQRT(1-K$9^2*$C$11)*NORMSINV(J768))&lt;K$8,K$5+SQRT(NORMSDIST(K$9*SQRT($C$11)*NORMSINV($B768)+SQRT(1-K$9^2*$C$11)*NORMSINV(J768))*(K$7-K$5)*(K$6-K$5)),K$7-SQRT((1-NORMSDIST(K$9*SQRT($C$11)*NORMSINV($B768)+SQRT(1-K$9^2*$C$11)*NORMSINV(J768)))*(K$7-K$5)*(K$7-K$6))))</f>
        <v>0.25162604248485</v>
      </c>
      <c r="L768" s="2" t="n">
        <v>0.756804746</v>
      </c>
      <c r="M768" s="2" t="n">
        <f aca="false">IF(M$7=M$5,M$6,IF(NORMSDIST(M$9*SQRT($C$11)*NORMSINV($B768)+SQRT(1-M$9^2*$C$11)*NORMSINV(L768))&lt;M$8,M$5+SQRT(NORMSDIST(M$9*SQRT($C$11)*NORMSINV($B768)+SQRT(1-M$9^2*$C$11)*NORMSINV(L768))*(M$7-M$5)*(M$6-M$5)),M$7-SQRT((1-NORMSDIST(M$9*SQRT($C$11)*NORMSINV($B768)+SQRT(1-M$9^2*$C$11)*NORMSINV(L768)))*(M$7-M$5)*(M$7-M$6))))</f>
        <v>1578.45972749533</v>
      </c>
      <c r="N768" s="2" t="n">
        <v>0.110777896</v>
      </c>
      <c r="O768" s="2" t="n">
        <f aca="false">IF(O$7=O$5,O$6,IF(NORMSDIST(O$9*SQRT($C$11)*NORMSINV($B768)+SQRT(1-O$9^2*$C$11)*NORMSINV(N768))&lt;O$8,O$5+SQRT(NORMSDIST(O$9*SQRT($C$11)*NORMSINV($B768)+SQRT(1-O$9^2*$C$11)*NORMSINV(N768))*(O$7-O$5)*(O$6-O$5)),O$7-SQRT((1-NORMSDIST(O$9*SQRT($C$11)*NORMSINV($B768)+SQRT(1-O$9^2*$C$11)*NORMSINV(N768)))*(O$7-O$5)*(O$7-O$6))))</f>
        <v>0.149354369219125</v>
      </c>
      <c r="P768" s="2" t="n">
        <v>0.260933129</v>
      </c>
      <c r="Q768" s="2" t="n">
        <f aca="false">IF(Q$7=Q$5,Q$6,IF(NORMSDIST(Q$9*SQRT($C$11)*NORMSINV($B768)+SQRT(1-Q$9^2*$C$11)*NORMSINV(P768))&lt;Q$8,Q$5+SQRT(NORMSDIST(Q$9*SQRT($C$11)*NORMSINV($B768)+SQRT(1-Q$9^2*$C$11)*NORMSINV(P768))*(Q$7-Q$5)*(Q$6-Q$5)),Q$7-SQRT((1-NORMSDIST(Q$9*SQRT($C$11)*NORMSINV($B768)+SQRT(1-Q$9^2*$C$11)*NORMSINV(P768)))*(Q$7-Q$5)*(Q$7-Q$6))))</f>
        <v>0.0688961245290783</v>
      </c>
      <c r="R768" s="2" t="n">
        <v>0.714188841</v>
      </c>
      <c r="S768" s="2" t="n">
        <f aca="false">IF(S$7=S$5,S$6,IF(NORMSDIST(S$9*SQRT($C$11)*NORMSINV($B768)+SQRT(1-S$9^2*$C$11)*NORMSINV(R768))&lt;S$8,S$5+SQRT(NORMSDIST(S$9*SQRT($C$11)*NORMSINV($B768)+SQRT(1-S$9^2*$C$11)*NORMSINV(R768))*(S$7-S$5)*(S$6-S$5)),S$7-SQRT((1-NORMSDIST(S$9*SQRT($C$11)*NORMSINV($B768)+SQRT(1-S$9^2*$C$11)*NORMSINV(R768)))*(S$7-S$5)*(S$7-S$6))))</f>
        <v>0.466820626097778</v>
      </c>
      <c r="T768" s="2" t="n">
        <v>0.084419051</v>
      </c>
      <c r="U768" s="2" t="n">
        <f aca="false">IF(U$7=U$5,U$6,IF(NORMSDIST(U$9*SQRT($C$11)*NORMSINV($B768)+SQRT(1-U$9^2*$C$11)*NORMSINV(T768))&lt;U$8,U$5+SQRT(NORMSDIST(U$9*SQRT($C$11)*NORMSINV($B768)+SQRT(1-U$9^2*$C$11)*NORMSINV(T768))*(U$7-U$5)*(U$6-U$5)),U$7-SQRT((1-NORMSDIST(U$9*SQRT($C$11)*NORMSINV($B768)+SQRT(1-U$9^2*$C$11)*NORMSINV(T768)))*(U$7-U$5)*(U$7-U$6))))</f>
        <v>0.154771237240136</v>
      </c>
      <c r="V768" s="2" t="n">
        <v>0.592399179</v>
      </c>
      <c r="W768" s="2" t="n">
        <f aca="false">IF(W$7=W$5,W$6,IF(NORMSDIST(W$9*SQRT($C$11)*NORMSINV($B768)+SQRT(1-W$9^2*$C$11)*NORMSINV(V768))&lt;W$8,W$5+SQRT(NORMSDIST(W$9*SQRT($C$11)*NORMSINV($B768)+SQRT(1-W$9^2*$C$11)*NORMSINV(V768))*(W$7-W$5)*(W$6-W$5)),W$7-SQRT((1-NORMSDIST(W$9*SQRT($C$11)*NORMSINV($B768)+SQRT(1-W$9^2*$C$11)*NORMSINV(V768)))*(W$7-W$5)*(W$7-W$6))))</f>
        <v>9.64375162608135</v>
      </c>
      <c r="X768" s="2" t="n">
        <v>0.296464621</v>
      </c>
      <c r="Y768" s="2" t="n">
        <f aca="false">IF(Y$7=Y$5,Y$6,IF(NORMSDIST(Y$9*SQRT($C$11)*NORMSINV($B768)+SQRT(1-Y$9^2*$C$11)*NORMSINV(X768))&lt;Y$8,Y$5+SQRT(NORMSDIST(Y$9*SQRT($C$11)*NORMSINV($B768)+SQRT(1-Y$9^2*$C$11)*NORMSINV(X768))*(Y$7-Y$5)*(Y$6-Y$5)),Y$7-SQRT((1-NORMSDIST(Y$9*SQRT($C$11)*NORMSINV($B768)+SQRT(1-Y$9^2*$C$11)*NORMSINV(X768)))*(Y$7-Y$5)*(Y$7-Y$6))))</f>
        <v>0.385009494038783</v>
      </c>
      <c r="Z768" s="2" t="n">
        <v>0.391401957</v>
      </c>
      <c r="AA768" s="2" t="n">
        <f aca="false">IF(AA$7=AA$5,AA$6,IF(NORMSDIST(AA$9*SQRT($C$11)*NORMSINV($B768)+SQRT(1-AA$9^2*$C$11)*NORMSINV(Z768))&lt;AA$8,AA$5+SQRT(NORMSDIST(AA$9*SQRT($C$11)*NORMSINV($B768)+SQRT(1-AA$9^2*$C$11)*NORMSINV(Z768))*(AA$7-AA$5)*(AA$6-AA$5)),AA$7-SQRT((1-NORMSDIST(AA$9*SQRT($C$11)*NORMSINV($B768)+SQRT(1-AA$9^2*$C$11)*NORMSINV(Z768)))*(AA$7-AA$5)*(AA$7-AA$6))))</f>
        <v>0.716433290686751</v>
      </c>
      <c r="AB768" s="2" t="n">
        <v>0.576417324</v>
      </c>
      <c r="AC768" s="2" t="n">
        <f aca="false">IF(AC$7=AC$5,AC$6,IF(NORMSDIST(AC$9*SQRT($C$11)*NORMSINV($B768)+SQRT(1-AC$9^2*$C$11)*NORMSINV(AB768))&lt;AC$8,AC$5+SQRT(NORMSDIST(AC$9*SQRT($C$11)*NORMSINV($B768)+SQRT(1-AC$9^2*$C$11)*NORMSINV(AB768))*(AC$7-AC$5)*(AC$6-AC$5)),AC$7-SQRT((1-NORMSDIST(AC$9*SQRT($C$11)*NORMSINV($B768)+SQRT(1-AC$9^2*$C$11)*NORMSINV(AB768)))*(AC$7-AC$5)*(AC$7-AC$6))))</f>
        <v>9.07884129802345</v>
      </c>
      <c r="AD768" s="2" t="n">
        <f aca="false">Entrées!$C$8*(1+E768)</f>
        <v>7413.68975972691</v>
      </c>
      <c r="AE768" s="2" t="n">
        <f aca="false">I768*Hypothèses!$J$24/12/Hypothèses!$J$19</f>
        <v>98.859310851159</v>
      </c>
      <c r="AF768" s="2" t="n">
        <f aca="false">Entrées!$C$36*S768*1000</f>
        <v>233.410313048889</v>
      </c>
      <c r="AG768" s="2" t="n">
        <f aca="false">-AF768/W768</f>
        <v>-24.2032688209882</v>
      </c>
      <c r="AH768" s="2" t="n">
        <f aca="false">AD768+AE768+AG768</f>
        <v>7488.34580175708</v>
      </c>
      <c r="AI768" s="2" t="n">
        <f aca="false">Entrées!$C$16-M768+Hypothèses!$J$22*1000-AF768+Hypothèses!$J$23</f>
        <v>22736.1299594558</v>
      </c>
      <c r="AJ768" s="2" t="n">
        <f aca="false">AI768/AH768</f>
        <v>3.03620192781708</v>
      </c>
      <c r="AK768" s="2" t="n">
        <f aca="false">AI768/(AH768+I768*(12-Hypothèses!$J$24)/12/Hypothèses!$J$19)</f>
        <v>3.00783853558718</v>
      </c>
      <c r="AL768" s="2" t="n">
        <f aca="false">(AD768+AG768+I768/Hypothèses!$J$19)*(1+G768)</f>
        <v>7975.96894377464</v>
      </c>
      <c r="AM768" s="2" t="n">
        <f aca="false">Entrées!$C$54*K768/Hypothèses!$J$19</f>
        <v>25.6794941450581</v>
      </c>
      <c r="AN768" s="2" t="n">
        <f aca="false">Y768*1000/AC768</f>
        <v>42.4073382715263</v>
      </c>
      <c r="AO768" s="2" t="n">
        <f aca="false">(Entrées!$C$36*(1-S768)+MAX(0,Entrées!$C$30-Entrées!$C$35-Entrées!$C$36)*U768)*1000</f>
        <v>483.269419087302</v>
      </c>
      <c r="AP768" s="2" t="n">
        <f aca="false">-AO768/W768</f>
        <v>-50.1121801789574</v>
      </c>
      <c r="AQ768" s="2" t="n">
        <f aca="false">AL768+AM768+AN768+AP768</f>
        <v>7993.94359601227</v>
      </c>
      <c r="AR768" s="2" t="n">
        <f aca="false">O768*AQ768-Hypothèses!$J$25/Hypothèses!$J$19</f>
        <v>1174.79524109405</v>
      </c>
      <c r="AS768" s="2" t="n">
        <f aca="false">Entrées!$C$79*(1+Q768)+Hypothèses!$J$20</f>
        <v>1469.71684085746</v>
      </c>
      <c r="AT768" s="2" t="n">
        <f aca="false">AI768-AR768+AS768+Y768*1000-AO768+Hypothèses!$J$23</f>
        <v>22932.7916341707</v>
      </c>
      <c r="AU768" s="2" t="n">
        <f aca="false">AT768/AQ768</f>
        <v>2.86877075860412</v>
      </c>
      <c r="AV768" s="2" t="n">
        <f aca="false">Hypothèses!$J$26*AQ768-AT768</f>
        <v>1049.03915386614</v>
      </c>
      <c r="AW768" s="2" t="n">
        <f aca="false">IF(AC768&gt;Hypothèses!$J$26,MAX(0,AV768)/(1-Hypothèses!$J$26/AC768),0)</f>
        <v>1566.75582178141</v>
      </c>
      <c r="AX768" s="2" t="n">
        <f aca="false">AQ768-Entrées!$C$17*1000</f>
        <v>-6.05640398773085</v>
      </c>
      <c r="AY768" s="2" t="n">
        <f aca="false">AI768+(Entrées!$C$244-Entrées!$C$13)</f>
        <v>28483.1299594558</v>
      </c>
      <c r="AZ768" s="2" t="n">
        <f aca="false">AA768*AH768</f>
        <v>5364.90022455314</v>
      </c>
      <c r="BA768" s="2" t="n">
        <f aca="false">AZ768/AY768</f>
        <v>0.188353605526843</v>
      </c>
      <c r="BB768" s="2" t="n">
        <f aca="false">AZ768/(Entrées!$C$151/100)-AY768</f>
        <v>1321.87128806168</v>
      </c>
      <c r="BC768" s="2" t="n">
        <f aca="false">AT768+(Entrées!$C$244-Entrées!$C$13)</f>
        <v>28679.7916341707</v>
      </c>
      <c r="BD768" s="2" t="n">
        <f aca="false">AA768*AQ768</f>
        <v>5727.12731605535</v>
      </c>
      <c r="BE768" s="2" t="n">
        <f aca="false">BD768/BC768</f>
        <v>0.199692082463798</v>
      </c>
      <c r="BF768" s="2" t="n">
        <f aca="false">BD768/(Entrées!$C$151/100)-BC768</f>
        <v>3137.58234391463</v>
      </c>
      <c r="BG768" s="2" t="n">
        <f aca="false">MIN(AV768,BF768)</f>
        <v>1049.03915386614</v>
      </c>
      <c r="BH768" s="2" t="n">
        <f aca="false">IF(AC768&gt;Hypothèses!$J$26,MAX(0,BG768)/(1-Hypothèses!$J$26/AC768),0)</f>
        <v>1566.75582178141</v>
      </c>
    </row>
    <row r="769" customFormat="false" ht="15" hidden="false" customHeight="false" outlineLevel="0" collapsed="false">
      <c r="A769" s="2" t="n">
        <v>754</v>
      </c>
      <c r="B769" s="2" t="n">
        <v>0.046611374</v>
      </c>
      <c r="C769" s="2"/>
      <c r="D769" s="2" t="n">
        <v>0.397943836</v>
      </c>
      <c r="E769" s="2" t="n">
        <f aca="false">IF(E$7=E$5,E$6,IF(NORMSDIST(E$9*SQRT($C$11)*NORMSINV($B769)+SQRT(1-E$9^2*$C$11)*NORMSINV(D769))&lt;E$8,E$5+SQRT(NORMSDIST(E$9*SQRT($C$11)*NORMSINV($B769)+SQRT(1-E$9^2*$C$11)*NORMSINV(D769))*(E$7-E$5)*(E$6-E$5)),E$7-SQRT((1-NORMSDIST(E$9*SQRT($C$11)*NORMSINV($B769)+SQRT(1-E$9^2*$C$11)*NORMSINV(D769)))*(E$7-E$5)*(E$7-E$6))))</f>
        <v>0.0522745207217631</v>
      </c>
      <c r="F769" s="2" t="n">
        <v>0.522321096</v>
      </c>
      <c r="G769" s="2" t="n">
        <f aca="false">IF(G$7=G$5,G$6,IF(NORMSDIST(G$9*SQRT($C$11)*NORMSINV($B769)+SQRT(1-G$9^2*$C$11)*NORMSINV(F769))&lt;G$8,G$5+SQRT(NORMSDIST(G$9*SQRT($C$11)*NORMSINV($B769)+SQRT(1-G$9^2*$C$11)*NORMSINV(F769))*(G$7-G$5)*(G$6-G$5)),G$7-SQRT((1-NORMSDIST(G$9*SQRT($C$11)*NORMSINV($B769)+SQRT(1-G$9^2*$C$11)*NORMSINV(F769)))*(G$7-G$5)*(G$7-G$6))))</f>
        <v>0.0483318842549205</v>
      </c>
      <c r="H769" s="2" t="n">
        <v>0.173416816</v>
      </c>
      <c r="I769" s="2" t="n">
        <f aca="false">IF(I$7=I$5,I$6,IF(NORMSDIST(I$9*SQRT($C$11)*NORMSINV($B769)+SQRT(1-I$9^2*$C$11)*NORMSINV(H769))&lt;I$8,I$5+SQRT(NORMSDIST(I$9*SQRT($C$11)*NORMSINV($B769)+SQRT(1-I$9^2*$C$11)*NORMSINV(H769))*(I$7-I$5)*(I$6-I$5)),I$7-SQRT((1-NORMSDIST(I$9*SQRT($C$11)*NORMSINV($B769)+SQRT(1-I$9^2*$C$11)*NORMSINV(H769)))*(I$7-I$5)*(I$7-I$6))))</f>
        <v>185.418315771019</v>
      </c>
      <c r="J769" s="2" t="n">
        <v>0.949636295</v>
      </c>
      <c r="K769" s="2" t="n">
        <f aca="false">IF(K$7=K$5,K$6,IF(NORMSDIST(K$9*SQRT($C$11)*NORMSINV($B769)+SQRT(1-K$9^2*$C$11)*NORMSINV(J769))&lt;K$8,K$5+SQRT(NORMSDIST(K$9*SQRT($C$11)*NORMSINV($B769)+SQRT(1-K$9^2*$C$11)*NORMSINV(J769))*(K$7-K$5)*(K$6-K$5)),K$7-SQRT((1-NORMSDIST(K$9*SQRT($C$11)*NORMSINV($B769)+SQRT(1-K$9^2*$C$11)*NORMSINV(J769)))*(K$7-K$5)*(K$7-K$6))))</f>
        <v>0.271705609261769</v>
      </c>
      <c r="L769" s="2" t="n">
        <v>0.765438585</v>
      </c>
      <c r="M769" s="2" t="n">
        <f aca="false">IF(M$7=M$5,M$6,IF(NORMSDIST(M$9*SQRT($C$11)*NORMSINV($B769)+SQRT(1-M$9^2*$C$11)*NORMSINV(L769))&lt;M$8,M$5+SQRT(NORMSDIST(M$9*SQRT($C$11)*NORMSINV($B769)+SQRT(1-M$9^2*$C$11)*NORMSINV(L769))*(M$7-M$5)*(M$6-M$5)),M$7-SQRT((1-NORMSDIST(M$9*SQRT($C$11)*NORMSINV($B769)+SQRT(1-M$9^2*$C$11)*NORMSINV(L769)))*(M$7-M$5)*(M$7-M$6))))</f>
        <v>1524.72402156198</v>
      </c>
      <c r="N769" s="2" t="n">
        <v>0.598454651</v>
      </c>
      <c r="O769" s="2" t="n">
        <f aca="false">IF(O$7=O$5,O$6,IF(NORMSDIST(O$9*SQRT($C$11)*NORMSINV($B769)+SQRT(1-O$9^2*$C$11)*NORMSINV(N769))&lt;O$8,O$5+SQRT(NORMSDIST(O$9*SQRT($C$11)*NORMSINV($B769)+SQRT(1-O$9^2*$C$11)*NORMSINV(N769))*(O$7-O$5)*(O$6-O$5)),O$7-SQRT((1-NORMSDIST(O$9*SQRT($C$11)*NORMSINV($B769)+SQRT(1-O$9^2*$C$11)*NORMSINV(N769)))*(O$7-O$5)*(O$7-O$6))))</f>
        <v>0.156621728168851</v>
      </c>
      <c r="P769" s="2" t="n">
        <v>0.014983073</v>
      </c>
      <c r="Q769" s="2" t="n">
        <f aca="false">IF(Q$7=Q$5,Q$6,IF(NORMSDIST(Q$9*SQRT($C$11)*NORMSINV($B769)+SQRT(1-Q$9^2*$C$11)*NORMSINV(P769))&lt;Q$8,Q$5+SQRT(NORMSDIST(Q$9*SQRT($C$11)*NORMSINV($B769)+SQRT(1-Q$9^2*$C$11)*NORMSINV(P769))*(Q$7-Q$5)*(Q$6-Q$5)),Q$7-SQRT((1-NORMSDIST(Q$9*SQRT($C$11)*NORMSINV($B769)+SQRT(1-Q$9^2*$C$11)*NORMSINV(P769)))*(Q$7-Q$5)*(Q$7-Q$6))))</f>
        <v>0.0469242930036214</v>
      </c>
      <c r="R769" s="2" t="n">
        <v>0.184508438</v>
      </c>
      <c r="S769" s="2" t="n">
        <f aca="false">IF(S$7=S$5,S$6,IF(NORMSDIST(S$9*SQRT($C$11)*NORMSINV($B769)+SQRT(1-S$9^2*$C$11)*NORMSINV(R769))&lt;S$8,S$5+SQRT(NORMSDIST(S$9*SQRT($C$11)*NORMSINV($B769)+SQRT(1-S$9^2*$C$11)*NORMSINV(R769))*(S$7-S$5)*(S$6-S$5)),S$7-SQRT((1-NORMSDIST(S$9*SQRT($C$11)*NORMSINV($B769)+SQRT(1-S$9^2*$C$11)*NORMSINV(R769)))*(S$7-S$5)*(S$7-S$6))))</f>
        <v>0.140386287739175</v>
      </c>
      <c r="T769" s="2" t="n">
        <v>0.076166689</v>
      </c>
      <c r="U769" s="2" t="n">
        <f aca="false">IF(U$7=U$5,U$6,IF(NORMSDIST(U$9*SQRT($C$11)*NORMSINV($B769)+SQRT(1-U$9^2*$C$11)*NORMSINV(T769))&lt;U$8,U$5+SQRT(NORMSDIST(U$9*SQRT($C$11)*NORMSINV($B769)+SQRT(1-U$9^2*$C$11)*NORMSINV(T769))*(U$7-U$5)*(U$6-U$5)),U$7-SQRT((1-NORMSDIST(U$9*SQRT($C$11)*NORMSINV($B769)+SQRT(1-U$9^2*$C$11)*NORMSINV(T769)))*(U$7-U$5)*(U$7-U$6))))</f>
        <v>0.0865716383990447</v>
      </c>
      <c r="V769" s="2" t="n">
        <v>0.311340269</v>
      </c>
      <c r="W769" s="2" t="n">
        <f aca="false">IF(W$7=W$5,W$6,IF(NORMSDIST(W$9*SQRT($C$11)*NORMSINV($B769)+SQRT(1-W$9^2*$C$11)*NORMSINV(V769))&lt;W$8,W$5+SQRT(NORMSDIST(W$9*SQRT($C$11)*NORMSINV($B769)+SQRT(1-W$9^2*$C$11)*NORMSINV(V769))*(W$7-W$5)*(W$6-W$5)),W$7-SQRT((1-NORMSDIST(W$9*SQRT($C$11)*NORMSINV($B769)+SQRT(1-W$9^2*$C$11)*NORMSINV(V769)))*(W$7-W$5)*(W$7-W$6))))</f>
        <v>8.77220384287319</v>
      </c>
      <c r="X769" s="2" t="n">
        <v>0.291603094</v>
      </c>
      <c r="Y769" s="2" t="n">
        <f aca="false">IF(Y$7=Y$5,Y$6,IF(NORMSDIST(Y$9*SQRT($C$11)*NORMSINV($B769)+SQRT(1-Y$9^2*$C$11)*NORMSINV(X769))&lt;Y$8,Y$5+SQRT(NORMSDIST(Y$9*SQRT($C$11)*NORMSINV($B769)+SQRT(1-Y$9^2*$C$11)*NORMSINV(X769))*(Y$7-Y$5)*(Y$6-Y$5)),Y$7-SQRT((1-NORMSDIST(Y$9*SQRT($C$11)*NORMSINV($B769)+SQRT(1-Y$9^2*$C$11)*NORMSINV(X769)))*(Y$7-Y$5)*(Y$7-Y$6))))</f>
        <v>0.381839687565345</v>
      </c>
      <c r="Z769" s="2" t="n">
        <v>0.103402341</v>
      </c>
      <c r="AA769" s="2" t="n">
        <f aca="false">IF(AA$7=AA$5,AA$6,IF(NORMSDIST(AA$9*SQRT($C$11)*NORMSINV($B769)+SQRT(1-AA$9^2*$C$11)*NORMSINV(Z769))&lt;AA$8,AA$5+SQRT(NORMSDIST(AA$9*SQRT($C$11)*NORMSINV($B769)+SQRT(1-AA$9^2*$C$11)*NORMSINV(Z769))*(AA$7-AA$5)*(AA$6-AA$5)),AA$7-SQRT((1-NORMSDIST(AA$9*SQRT($C$11)*NORMSINV($B769)+SQRT(1-AA$9^2*$C$11)*NORMSINV(Z769)))*(AA$7-AA$5)*(AA$7-AA$6))))</f>
        <v>0.701979066240099</v>
      </c>
      <c r="AB769" s="2" t="n">
        <v>0.138481028</v>
      </c>
      <c r="AC769" s="2" t="n">
        <f aca="false">IF(AC$7=AC$5,AC$6,IF(NORMSDIST(AC$9*SQRT($C$11)*NORMSINV($B769)+SQRT(1-AC$9^2*$C$11)*NORMSINV(AB769))&lt;AC$8,AC$5+SQRT(NORMSDIST(AC$9*SQRT($C$11)*NORMSINV($B769)+SQRT(1-AC$9^2*$C$11)*NORMSINV(AB769))*(AC$7-AC$5)*(AC$6-AC$5)),AC$7-SQRT((1-NORMSDIST(AC$9*SQRT($C$11)*NORMSINV($B769)+SQRT(1-AC$9^2*$C$11)*NORMSINV(AB769)))*(AC$7-AC$5)*(AC$7-AC$6))))</f>
        <v>7.89595886345027</v>
      </c>
      <c r="AD769" s="2" t="n">
        <f aca="false">Entrées!$C$8*(1+E769)</f>
        <v>7418.53537108843</v>
      </c>
      <c r="AE769" s="2" t="n">
        <f aca="false">I769*Hypothèses!$J$24/12/Hypothèses!$J$19</f>
        <v>91.9854329995959</v>
      </c>
      <c r="AF769" s="2" t="n">
        <f aca="false">Entrées!$C$36*S769*1000</f>
        <v>70.1931438695874</v>
      </c>
      <c r="AG769" s="2" t="n">
        <f aca="false">-AF769/W769</f>
        <v>-8.00176844118989</v>
      </c>
      <c r="AH769" s="2" t="n">
        <f aca="false">AD769+AE769+AG769</f>
        <v>7502.51903564684</v>
      </c>
      <c r="AI769" s="2" t="n">
        <f aca="false">Entrées!$C$16-M769+Hypothèses!$J$22*1000-AF769+Hypothèses!$J$23</f>
        <v>22953.0828345684</v>
      </c>
      <c r="AJ769" s="2" t="n">
        <f aca="false">AI769/AH769</f>
        <v>3.05938348513494</v>
      </c>
      <c r="AK769" s="2" t="n">
        <f aca="false">AI769/(AH769+I769*(12-Hypothèses!$J$24)/12/Hypothèses!$J$19)</f>
        <v>3.03282330452356</v>
      </c>
      <c r="AL769" s="2" t="n">
        <f aca="false">(AD769+AG769+I769/Hypothèses!$J$19)*(1+G769)</f>
        <v>7934.00939036982</v>
      </c>
      <c r="AM769" s="2" t="n">
        <f aca="false">Entrées!$C$54*K769/Hypothèses!$J$19</f>
        <v>27.7286982432955</v>
      </c>
      <c r="AN769" s="2" t="n">
        <f aca="false">Y769*1000/AC769</f>
        <v>48.358874985133</v>
      </c>
      <c r="AO769" s="2" t="n">
        <f aca="false">(Entrées!$C$36*(1-S769)+MAX(0,Entrées!$C$30-Entrées!$C$35-Entrées!$C$36)*U769)*1000</f>
        <v>551.007149889075</v>
      </c>
      <c r="AP769" s="2" t="n">
        <f aca="false">-AO769/W769</f>
        <v>-62.8128529339557</v>
      </c>
      <c r="AQ769" s="2" t="n">
        <f aca="false">AL769+AM769+AN769+AP769</f>
        <v>7947.28411066429</v>
      </c>
      <c r="AR769" s="2" t="n">
        <f aca="false">O769*AQ769-Hypothèses!$J$25/Hypothèses!$J$19</f>
        <v>1225.58220939946</v>
      </c>
      <c r="AS769" s="2" t="n">
        <f aca="false">Entrées!$C$79*(1+Q769)+Hypothèses!$J$20</f>
        <v>1445.56979801098</v>
      </c>
      <c r="AT769" s="2" t="n">
        <f aca="false">AI769-AR769+AS769+Y769*1000-AO769+Hypothèses!$J$23</f>
        <v>23003.9029608562</v>
      </c>
      <c r="AU769" s="2" t="n">
        <f aca="false">AT769/AQ769</f>
        <v>2.8945615433564</v>
      </c>
      <c r="AV769" s="2" t="n">
        <f aca="false">Hypothèses!$J$26*AQ769-AT769</f>
        <v>837.94937113667</v>
      </c>
      <c r="AW769" s="2" t="n">
        <f aca="false">IF(AC769&gt;Hypothèses!$J$26,MAX(0,AV769)/(1-Hypothèses!$J$26/AC769),0)</f>
        <v>1351.40305478107</v>
      </c>
      <c r="AX769" s="2" t="n">
        <f aca="false">AQ769-Entrées!$C$17*1000</f>
        <v>-52.7158893357055</v>
      </c>
      <c r="AY769" s="2" t="n">
        <f aca="false">AI769+(Entrées!$C$244-Entrées!$C$13)</f>
        <v>28700.0828345684</v>
      </c>
      <c r="AZ769" s="2" t="n">
        <f aca="false">AA769*AH769</f>
        <v>5266.61130709193</v>
      </c>
      <c r="BA769" s="2" t="n">
        <f aca="false">AZ769/AY769</f>
        <v>0.183505090819754</v>
      </c>
      <c r="BB769" s="2" t="n">
        <f aca="false">AZ769/(Entrées!$C$151/100)-AY769</f>
        <v>558.868871497853</v>
      </c>
      <c r="BC769" s="2" t="n">
        <f aca="false">AT769+(Entrées!$C$244-Entrées!$C$13)</f>
        <v>28750.9029608562</v>
      </c>
      <c r="BD769" s="2" t="n">
        <f aca="false">AA769*AQ769</f>
        <v>5578.82707914889</v>
      </c>
      <c r="BE769" s="2" t="n">
        <f aca="false">BD769/BC769</f>
        <v>0.194040064993588</v>
      </c>
      <c r="BF769" s="2" t="n">
        <f aca="false">BD769/(Entrées!$C$151/100)-BC769</f>
        <v>2242.5808121932</v>
      </c>
      <c r="BG769" s="2" t="n">
        <f aca="false">MIN(AV769,BF769)</f>
        <v>837.94937113667</v>
      </c>
      <c r="BH769" s="2" t="n">
        <f aca="false">IF(AC769&gt;Hypothèses!$J$26,MAX(0,BG769)/(1-Hypothèses!$J$26/AC769),0)</f>
        <v>1351.40305478107</v>
      </c>
    </row>
    <row r="770" customFormat="false" ht="15" hidden="false" customHeight="false" outlineLevel="0" collapsed="false">
      <c r="A770" s="2" t="n">
        <v>755</v>
      </c>
      <c r="B770" s="2" t="n">
        <v>0.034491896</v>
      </c>
      <c r="C770" s="2"/>
      <c r="D770" s="2" t="n">
        <v>0.210529358</v>
      </c>
      <c r="E770" s="2" t="n">
        <f aca="false">IF(E$7=E$5,E$6,IF(NORMSDIST(E$9*SQRT($C$11)*NORMSINV($B770)+SQRT(1-E$9^2*$C$11)*NORMSINV(D770))&lt;E$8,E$5+SQRT(NORMSDIST(E$9*SQRT($C$11)*NORMSINV($B770)+SQRT(1-E$9^2*$C$11)*NORMSINV(D770))*(E$7-E$5)*(E$6-E$5)),E$7-SQRT((1-NORMSDIST(E$9*SQRT($C$11)*NORMSINV($B770)+SQRT(1-E$9^2*$C$11)*NORMSINV(D770)))*(E$7-E$5)*(E$7-E$6))))</f>
        <v>0.0513799278358933</v>
      </c>
      <c r="F770" s="2" t="n">
        <v>0.573371081</v>
      </c>
      <c r="G770" s="2" t="n">
        <f aca="false">IF(G$7=G$5,G$6,IF(NORMSDIST(G$9*SQRT($C$11)*NORMSINV($B770)+SQRT(1-G$9^2*$C$11)*NORMSINV(F770))&lt;G$8,G$5+SQRT(NORMSDIST(G$9*SQRT($C$11)*NORMSINV($B770)+SQRT(1-G$9^2*$C$11)*NORMSINV(F770))*(G$7-G$5)*(G$6-G$5)),G$7-SQRT((1-NORMSDIST(G$9*SQRT($C$11)*NORMSINV($B770)+SQRT(1-G$9^2*$C$11)*NORMSINV(F770)))*(G$7-G$5)*(G$7-G$6))))</f>
        <v>0.0484053519201827</v>
      </c>
      <c r="H770" s="2" t="n">
        <v>0.210618564</v>
      </c>
      <c r="I770" s="2" t="n">
        <f aca="false">IF(I$7=I$5,I$6,IF(NORMSDIST(I$9*SQRT($C$11)*NORMSINV($B770)+SQRT(1-I$9^2*$C$11)*NORMSINV(H770))&lt;I$8,I$5+SQRT(NORMSDIST(I$9*SQRT($C$11)*NORMSINV($B770)+SQRT(1-I$9^2*$C$11)*NORMSINV(H770))*(I$7-I$5)*(I$6-I$5)),I$7-SQRT((1-NORMSDIST(I$9*SQRT($C$11)*NORMSINV($B770)+SQRT(1-I$9^2*$C$11)*NORMSINV(H770)))*(I$7-I$5)*(I$7-I$6))))</f>
        <v>185.521147746808</v>
      </c>
      <c r="J770" s="2" t="n">
        <v>0.108367215</v>
      </c>
      <c r="K770" s="2" t="n">
        <f aca="false">IF(K$7=K$5,K$6,IF(NORMSDIST(K$9*SQRT($C$11)*NORMSINV($B770)+SQRT(1-K$9^2*$C$11)*NORMSINV(J770))&lt;K$8,K$5+SQRT(NORMSDIST(K$9*SQRT($C$11)*NORMSINV($B770)+SQRT(1-K$9^2*$C$11)*NORMSINV(J770))*(K$7-K$5)*(K$6-K$5)),K$7-SQRT((1-NORMSDIST(K$9*SQRT($C$11)*NORMSINV($B770)+SQRT(1-K$9^2*$C$11)*NORMSINV(J770)))*(K$7-K$5)*(K$7-K$6))))</f>
        <v>0.0468513148534504</v>
      </c>
      <c r="L770" s="2" t="n">
        <v>0.244509254</v>
      </c>
      <c r="M770" s="2" t="n">
        <f aca="false">IF(M$7=M$5,M$6,IF(NORMSDIST(M$9*SQRT($C$11)*NORMSINV($B770)+SQRT(1-M$9^2*$C$11)*NORMSINV(L770))&lt;M$8,M$5+SQRT(NORMSDIST(M$9*SQRT($C$11)*NORMSINV($B770)+SQRT(1-M$9^2*$C$11)*NORMSINV(L770))*(M$7-M$5)*(M$6-M$5)),M$7-SQRT((1-NORMSDIST(M$9*SQRT($C$11)*NORMSINV($B770)+SQRT(1-M$9^2*$C$11)*NORMSINV(L770)))*(M$7-M$5)*(M$7-M$6))))</f>
        <v>1388.68046992891</v>
      </c>
      <c r="N770" s="2" t="n">
        <v>0.912155655</v>
      </c>
      <c r="O770" s="2" t="n">
        <f aca="false">IF(O$7=O$5,O$6,IF(NORMSDIST(O$9*SQRT($C$11)*NORMSINV($B770)+SQRT(1-O$9^2*$C$11)*NORMSINV(N770))&lt;O$8,O$5+SQRT(NORMSDIST(O$9*SQRT($C$11)*NORMSINV($B770)+SQRT(1-O$9^2*$C$11)*NORMSINV(N770))*(O$7-O$5)*(O$6-O$5)),O$7-SQRT((1-NORMSDIST(O$9*SQRT($C$11)*NORMSINV($B770)+SQRT(1-O$9^2*$C$11)*NORMSINV(N770)))*(O$7-O$5)*(O$7-O$6))))</f>
        <v>0.165682099857715</v>
      </c>
      <c r="P770" s="2" t="n">
        <v>0.300759359</v>
      </c>
      <c r="Q770" s="2" t="n">
        <f aca="false">IF(Q$7=Q$5,Q$6,IF(NORMSDIST(Q$9*SQRT($C$11)*NORMSINV($B770)+SQRT(1-Q$9^2*$C$11)*NORMSINV(P770))&lt;Q$8,Q$5+SQRT(NORMSDIST(Q$9*SQRT($C$11)*NORMSINV($B770)+SQRT(1-Q$9^2*$C$11)*NORMSINV(P770))*(Q$7-Q$5)*(Q$6-Q$5)),Q$7-SQRT((1-NORMSDIST(Q$9*SQRT($C$11)*NORMSINV($B770)+SQRT(1-Q$9^2*$C$11)*NORMSINV(P770)))*(Q$7-Q$5)*(Q$7-Q$6))))</f>
        <v>0.0710230551171222</v>
      </c>
      <c r="R770" s="2" t="n">
        <v>0.779945125</v>
      </c>
      <c r="S770" s="2" t="n">
        <f aca="false">IF(S$7=S$5,S$6,IF(NORMSDIST(S$9*SQRT($C$11)*NORMSINV($B770)+SQRT(1-S$9^2*$C$11)*NORMSINV(R770))&lt;S$8,S$5+SQRT(NORMSDIST(S$9*SQRT($C$11)*NORMSINV($B770)+SQRT(1-S$9^2*$C$11)*NORMSINV(R770))*(S$7-S$5)*(S$6-S$5)),S$7-SQRT((1-NORMSDIST(S$9*SQRT($C$11)*NORMSINV($B770)+SQRT(1-S$9^2*$C$11)*NORMSINV(R770)))*(S$7-S$5)*(S$7-S$6))))</f>
        <v>0.381067925521056</v>
      </c>
      <c r="T770" s="2" t="n">
        <v>0.011538768</v>
      </c>
      <c r="U770" s="2" t="n">
        <f aca="false">IF(U$7=U$5,U$6,IF(NORMSDIST(U$9*SQRT($C$11)*NORMSINV($B770)+SQRT(1-U$9^2*$C$11)*NORMSINV(T770))&lt;U$8,U$5+SQRT(NORMSDIST(U$9*SQRT($C$11)*NORMSINV($B770)+SQRT(1-U$9^2*$C$11)*NORMSINV(T770))*(U$7-U$5)*(U$6-U$5)),U$7-SQRT((1-NORMSDIST(U$9*SQRT($C$11)*NORMSINV($B770)+SQRT(1-U$9^2*$C$11)*NORMSINV(T770)))*(U$7-U$5)*(U$7-U$6))))</f>
        <v>0.0300529566387377</v>
      </c>
      <c r="V770" s="2" t="n">
        <v>0.54041761</v>
      </c>
      <c r="W770" s="2" t="n">
        <f aca="false">IF(W$7=W$5,W$6,IF(NORMSDIST(W$9*SQRT($C$11)*NORMSINV($B770)+SQRT(1-W$9^2*$C$11)*NORMSINV(V770))&lt;W$8,W$5+SQRT(NORMSDIST(W$9*SQRT($C$11)*NORMSINV($B770)+SQRT(1-W$9^2*$C$11)*NORMSINV(V770))*(W$7-W$5)*(W$6-W$5)),W$7-SQRT((1-NORMSDIST(W$9*SQRT($C$11)*NORMSINV($B770)+SQRT(1-W$9^2*$C$11)*NORMSINV(V770)))*(W$7-W$5)*(W$7-W$6))))</f>
        <v>9.06570712169049</v>
      </c>
      <c r="X770" s="2" t="n">
        <v>0.404043971</v>
      </c>
      <c r="Y770" s="2" t="n">
        <f aca="false">IF(Y$7=Y$5,Y$6,IF(NORMSDIST(Y$9*SQRT($C$11)*NORMSINV($B770)+SQRT(1-Y$9^2*$C$11)*NORMSINV(X770))&lt;Y$8,Y$5+SQRT(NORMSDIST(Y$9*SQRT($C$11)*NORMSINV($B770)+SQRT(1-Y$9^2*$C$11)*NORMSINV(X770))*(Y$7-Y$5)*(Y$6-Y$5)),Y$7-SQRT((1-NORMSDIST(Y$9*SQRT($C$11)*NORMSINV($B770)+SQRT(1-Y$9^2*$C$11)*NORMSINV(X770)))*(Y$7-Y$5)*(Y$7-Y$6))))</f>
        <v>0.449468558967143</v>
      </c>
      <c r="Z770" s="2" t="n">
        <v>0.186242276</v>
      </c>
      <c r="AA770" s="2" t="n">
        <f aca="false">IF(AA$7=AA$5,AA$6,IF(NORMSDIST(AA$9*SQRT($C$11)*NORMSINV($B770)+SQRT(1-AA$9^2*$C$11)*NORMSINV(Z770))&lt;AA$8,AA$5+SQRT(NORMSDIST(AA$9*SQRT($C$11)*NORMSINV($B770)+SQRT(1-AA$9^2*$C$11)*NORMSINV(Z770))*(AA$7-AA$5)*(AA$6-AA$5)),AA$7-SQRT((1-NORMSDIST(AA$9*SQRT($C$11)*NORMSINV($B770)+SQRT(1-AA$9^2*$C$11)*NORMSINV(Z770)))*(AA$7-AA$5)*(AA$7-AA$6))))</f>
        <v>0.703704586274225</v>
      </c>
      <c r="AB770" s="2" t="n">
        <v>0.383295975</v>
      </c>
      <c r="AC770" s="2" t="n">
        <f aca="false">IF(AC$7=AC$5,AC$6,IF(NORMSDIST(AC$9*SQRT($C$11)*NORMSINV($B770)+SQRT(1-AC$9^2*$C$11)*NORMSINV(AB770))&lt;AC$8,AC$5+SQRT(NORMSDIST(AC$9*SQRT($C$11)*NORMSINV($B770)+SQRT(1-AC$9^2*$C$11)*NORMSINV(AB770))*(AC$7-AC$5)*(AC$6-AC$5)),AC$7-SQRT((1-NORMSDIST(AC$9*SQRT($C$11)*NORMSINV($B770)+SQRT(1-AC$9^2*$C$11)*NORMSINV(AB770)))*(AC$7-AC$5)*(AC$7-AC$6))))</f>
        <v>8.25081622031801</v>
      </c>
      <c r="AD770" s="2" t="n">
        <f aca="false">Entrées!$C$8*(1+E770)</f>
        <v>7412.22849124305</v>
      </c>
      <c r="AE770" s="2" t="n">
        <f aca="false">I770*Hypothèses!$J$24/12/Hypothèses!$J$19</f>
        <v>92.0364476136586</v>
      </c>
      <c r="AF770" s="2" t="n">
        <f aca="false">Entrées!$C$36*S770*1000</f>
        <v>190.533962760528</v>
      </c>
      <c r="AG770" s="2" t="n">
        <f aca="false">-AF770/W770</f>
        <v>-21.0169995790686</v>
      </c>
      <c r="AH770" s="2" t="n">
        <f aca="false">AD770+AE770+AG770</f>
        <v>7483.24793927764</v>
      </c>
      <c r="AI770" s="2" t="n">
        <f aca="false">Entrées!$C$16-M770+Hypothèses!$J$22*1000-AF770+Hypothèses!$J$23</f>
        <v>22968.7855673106</v>
      </c>
      <c r="AJ770" s="2" t="n">
        <f aca="false">AI770/AH770</f>
        <v>3.06936049075072</v>
      </c>
      <c r="AK770" s="2" t="n">
        <f aca="false">AI770/(AH770+I770*(12-Hypothèses!$J$24)/12/Hypothèses!$J$19)</f>
        <v>3.04263098302236</v>
      </c>
      <c r="AL770" s="2" t="n">
        <f aca="false">(AD770+AG770+I770/Hypothèses!$J$19)*(1+G770)</f>
        <v>7914.39969231998</v>
      </c>
      <c r="AM770" s="2" t="n">
        <f aca="false">Entrées!$C$54*K770/Hypothèses!$J$19</f>
        <v>4.7813733967536</v>
      </c>
      <c r="AN770" s="2" t="n">
        <f aca="false">Y770*1000/AC770</f>
        <v>54.4756478589726</v>
      </c>
      <c r="AO770" s="2" t="n">
        <f aca="false">(Entrées!$C$36*(1-S770)+MAX(0,Entrées!$C$30-Entrées!$C$35-Entrées!$C$36)*U770)*1000</f>
        <v>351.540176533705</v>
      </c>
      <c r="AP770" s="2" t="n">
        <f aca="false">-AO770/W770</f>
        <v>-38.776917433458</v>
      </c>
      <c r="AQ770" s="2" t="n">
        <f aca="false">AL770+AM770+AN770+AP770</f>
        <v>7934.87979614225</v>
      </c>
      <c r="AR770" s="2" t="n">
        <f aca="false">O770*AQ770-Hypothèses!$J$25/Hypothèses!$J$19</f>
        <v>1295.53238448178</v>
      </c>
      <c r="AS770" s="2" t="n">
        <f aca="false">Entrées!$C$79*(1+Q770)+Hypothèses!$J$20</f>
        <v>1472.05433757372</v>
      </c>
      <c r="AT770" s="2" t="n">
        <f aca="false">AI770-AR770+AS770+Y770*1000-AO770+Hypothèses!$J$23</f>
        <v>23243.2359028359</v>
      </c>
      <c r="AU770" s="2" t="n">
        <f aca="false">AT770/AQ770</f>
        <v>2.9292486464806</v>
      </c>
      <c r="AV770" s="2" t="n">
        <f aca="false">Hypothèses!$J$26*AQ770-AT770</f>
        <v>561.403485590814</v>
      </c>
      <c r="AW770" s="2" t="n">
        <f aca="false">IF(AC770&gt;Hypothèses!$J$26,MAX(0,AV770)/(1-Hypothèses!$J$26/AC770),0)</f>
        <v>882.155609852066</v>
      </c>
      <c r="AX770" s="2" t="n">
        <f aca="false">AQ770-Entrées!$C$17*1000</f>
        <v>-65.1202038577503</v>
      </c>
      <c r="AY770" s="2" t="n">
        <f aca="false">AI770+(Entrées!$C$244-Entrées!$C$13)</f>
        <v>28715.7855673106</v>
      </c>
      <c r="AZ770" s="2" t="n">
        <f aca="false">AA770*AH770</f>
        <v>5265.99589509682</v>
      </c>
      <c r="BA770" s="2" t="n">
        <f aca="false">AZ770/AY770</f>
        <v>0.183383313082388</v>
      </c>
      <c r="BB770" s="2" t="n">
        <f aca="false">AZ770/(Entrées!$C$151/100)-AY770</f>
        <v>539.747183227319</v>
      </c>
      <c r="BC770" s="2" t="n">
        <f aca="false">AT770+(Entrées!$C$244-Entrées!$C$13)</f>
        <v>28990.2359028359</v>
      </c>
      <c r="BD770" s="2" t="n">
        <f aca="false">AA770*AQ770</f>
        <v>5583.81130407999</v>
      </c>
      <c r="BE770" s="2" t="n">
        <f aca="false">BD770/BC770</f>
        <v>0.192610067844731</v>
      </c>
      <c r="BF770" s="2" t="n">
        <f aca="false">BD770/(Entrées!$C$151/100)-BC770</f>
        <v>2030.93800871956</v>
      </c>
      <c r="BG770" s="2" t="n">
        <f aca="false">MIN(AV770,BF770)</f>
        <v>561.403485590814</v>
      </c>
      <c r="BH770" s="2" t="n">
        <f aca="false">IF(AC770&gt;Hypothèses!$J$26,MAX(0,BG770)/(1-Hypothèses!$J$26/AC770),0)</f>
        <v>882.155609852066</v>
      </c>
    </row>
    <row r="771" customFormat="false" ht="15" hidden="false" customHeight="false" outlineLevel="0" collapsed="false">
      <c r="A771" s="2" t="n">
        <v>756</v>
      </c>
      <c r="B771" s="2" t="n">
        <v>0.804247381</v>
      </c>
      <c r="C771" s="2"/>
      <c r="D771" s="2" t="n">
        <v>0.400537029</v>
      </c>
      <c r="E771" s="2" t="n">
        <f aca="false">IF(E$7=E$5,E$6,IF(NORMSDIST(E$9*SQRT($C$11)*NORMSINV($B771)+SQRT(1-E$9^2*$C$11)*NORMSINV(D771))&lt;E$8,E$5+SQRT(NORMSDIST(E$9*SQRT($C$11)*NORMSINV($B771)+SQRT(1-E$9^2*$C$11)*NORMSINV(D771))*(E$7-E$5)*(E$6-E$5)),E$7-SQRT((1-NORMSDIST(E$9*SQRT($C$11)*NORMSINV($B771)+SQRT(1-E$9^2*$C$11)*NORMSINV(D771)))*(E$7-E$5)*(E$7-E$6))))</f>
        <v>0.0557316379580656</v>
      </c>
      <c r="F771" s="2" t="n">
        <v>0.357262172</v>
      </c>
      <c r="G771" s="2" t="n">
        <f aca="false">IF(G$7=G$5,G$6,IF(NORMSDIST(G$9*SQRT($C$11)*NORMSINV($B771)+SQRT(1-G$9^2*$C$11)*NORMSINV(F771))&lt;G$8,G$5+SQRT(NORMSDIST(G$9*SQRT($C$11)*NORMSINV($B771)+SQRT(1-G$9^2*$C$11)*NORMSINV(F771))*(G$7-G$5)*(G$6-G$5)),G$7-SQRT((1-NORMSDIST(G$9*SQRT($C$11)*NORMSINV($B771)+SQRT(1-G$9^2*$C$11)*NORMSINV(F771)))*(G$7-G$5)*(G$7-G$6))))</f>
        <v>0.0566177005737273</v>
      </c>
      <c r="H771" s="2" t="n">
        <v>0.730756802</v>
      </c>
      <c r="I771" s="2" t="n">
        <f aca="false">IF(I$7=I$5,I$6,IF(NORMSDIST(I$9*SQRT($C$11)*NORMSINV($B771)+SQRT(1-I$9^2*$C$11)*NORMSINV(H771))&lt;I$8,I$5+SQRT(NORMSDIST(I$9*SQRT($C$11)*NORMSINV($B771)+SQRT(1-I$9^2*$C$11)*NORMSINV(H771))*(I$7-I$5)*(I$6-I$5)),I$7-SQRT((1-NORMSDIST(I$9*SQRT($C$11)*NORMSINV($B771)+SQRT(1-I$9^2*$C$11)*NORMSINV(H771)))*(I$7-I$5)*(I$7-I$6))))</f>
        <v>208.891683242466</v>
      </c>
      <c r="J771" s="2" t="n">
        <v>0.231874517</v>
      </c>
      <c r="K771" s="2" t="n">
        <f aca="false">IF(K$7=K$5,K$6,IF(NORMSDIST(K$9*SQRT($C$11)*NORMSINV($B771)+SQRT(1-K$9^2*$C$11)*NORMSINV(J771))&lt;K$8,K$5+SQRT(NORMSDIST(K$9*SQRT($C$11)*NORMSINV($B771)+SQRT(1-K$9^2*$C$11)*NORMSINV(J771))*(K$7-K$5)*(K$6-K$5)),K$7-SQRT((1-NORMSDIST(K$9*SQRT($C$11)*NORMSINV($B771)+SQRT(1-K$9^2*$C$11)*NORMSINV(J771)))*(K$7-K$5)*(K$7-K$6))))</f>
        <v>0.247434685152056</v>
      </c>
      <c r="L771" s="2" t="n">
        <v>0.009113789</v>
      </c>
      <c r="M771" s="2" t="n">
        <f aca="false">IF(M$7=M$5,M$6,IF(NORMSDIST(M$9*SQRT($C$11)*NORMSINV($B771)+SQRT(1-M$9^2*$C$11)*NORMSINV(L771))&lt;M$8,M$5+SQRT(NORMSDIST(M$9*SQRT($C$11)*NORMSINV($B771)+SQRT(1-M$9^2*$C$11)*NORMSINV(L771))*(M$7-M$5)*(M$6-M$5)),M$7-SQRT((1-NORMSDIST(M$9*SQRT($C$11)*NORMSINV($B771)+SQRT(1-M$9^2*$C$11)*NORMSINV(L771)))*(M$7-M$5)*(M$7-M$6))))</f>
        <v>1428.79595394747</v>
      </c>
      <c r="N771" s="2" t="n">
        <v>0.994159062</v>
      </c>
      <c r="O771" s="2" t="n">
        <f aca="false">IF(O$7=O$5,O$6,IF(NORMSDIST(O$9*SQRT($C$11)*NORMSINV($B771)+SQRT(1-O$9^2*$C$11)*NORMSINV(N771))&lt;O$8,O$5+SQRT(NORMSDIST(O$9*SQRT($C$11)*NORMSINV($B771)+SQRT(1-O$9^2*$C$11)*NORMSINV(N771))*(O$7-O$5)*(O$6-O$5)),O$7-SQRT((1-NORMSDIST(O$9*SQRT($C$11)*NORMSINV($B771)+SQRT(1-O$9^2*$C$11)*NORMSINV(N771)))*(O$7-O$5)*(O$7-O$6))))</f>
        <v>0.187410595094613</v>
      </c>
      <c r="P771" s="2" t="n">
        <v>0.518448413</v>
      </c>
      <c r="Q771" s="2" t="n">
        <f aca="false">IF(Q$7=Q$5,Q$6,IF(NORMSDIST(Q$9*SQRT($C$11)*NORMSINV($B771)+SQRT(1-Q$9^2*$C$11)*NORMSINV(P771))&lt;Q$8,Q$5+SQRT(NORMSDIST(Q$9*SQRT($C$11)*NORMSINV($B771)+SQRT(1-Q$9^2*$C$11)*NORMSINV(P771))*(Q$7-Q$5)*(Q$6-Q$5)),Q$7-SQRT((1-NORMSDIST(Q$9*SQRT($C$11)*NORMSINV($B771)+SQRT(1-Q$9^2*$C$11)*NORMSINV(P771)))*(Q$7-Q$5)*(Q$7-Q$6))))</f>
        <v>0.0807448719477315</v>
      </c>
      <c r="R771" s="2" t="n">
        <v>0.958035572</v>
      </c>
      <c r="S771" s="2" t="n">
        <f aca="false">IF(S$7=S$5,S$6,IF(NORMSDIST(S$9*SQRT($C$11)*NORMSINV($B771)+SQRT(1-S$9^2*$C$11)*NORMSINV(R771))&lt;S$8,S$5+SQRT(NORMSDIST(S$9*SQRT($C$11)*NORMSINV($B771)+SQRT(1-S$9^2*$C$11)*NORMSINV(R771))*(S$7-S$5)*(S$6-S$5)),S$7-SQRT((1-NORMSDIST(S$9*SQRT($C$11)*NORMSINV($B771)+SQRT(1-S$9^2*$C$11)*NORMSINV(R771)))*(S$7-S$5)*(S$7-S$6))))</f>
        <v>0.877513198059711</v>
      </c>
      <c r="T771" s="2" t="n">
        <v>0.922314761</v>
      </c>
      <c r="U771" s="2" t="n">
        <f aca="false">IF(U$7=U$5,U$6,IF(NORMSDIST(U$9*SQRT($C$11)*NORMSINV($B771)+SQRT(1-U$9^2*$C$11)*NORMSINV(T771))&lt;U$8,U$5+SQRT(NORMSDIST(U$9*SQRT($C$11)*NORMSINV($B771)+SQRT(1-U$9^2*$C$11)*NORMSINV(T771))*(U$7-U$5)*(U$6-U$5)),U$7-SQRT((1-NORMSDIST(U$9*SQRT($C$11)*NORMSINV($B771)+SQRT(1-U$9^2*$C$11)*NORMSINV(T771)))*(U$7-U$5)*(U$7-U$6))))</f>
        <v>0.841502696418156</v>
      </c>
      <c r="V771" s="2" t="n">
        <v>0.848703011</v>
      </c>
      <c r="W771" s="2" t="n">
        <f aca="false">IF(W$7=W$5,W$6,IF(NORMSDIST(W$9*SQRT($C$11)*NORMSINV($B771)+SQRT(1-W$9^2*$C$11)*NORMSINV(V771))&lt;W$8,W$5+SQRT(NORMSDIST(W$9*SQRT($C$11)*NORMSINV($B771)+SQRT(1-W$9^2*$C$11)*NORMSINV(V771))*(W$7-W$5)*(W$6-W$5)),W$7-SQRT((1-NORMSDIST(W$9*SQRT($C$11)*NORMSINV($B771)+SQRT(1-W$9^2*$C$11)*NORMSINV(V771)))*(W$7-W$5)*(W$7-W$6))))</f>
        <v>11.1512511178009</v>
      </c>
      <c r="X771" s="2" t="n">
        <v>0.725245541</v>
      </c>
      <c r="Y771" s="2" t="n">
        <f aca="false">IF(Y$7=Y$5,Y$6,IF(NORMSDIST(Y$9*SQRT($C$11)*NORMSINV($B771)+SQRT(1-Y$9^2*$C$11)*NORMSINV(X771))&lt;Y$8,Y$5+SQRT(NORMSDIST(Y$9*SQRT($C$11)*NORMSINV($B771)+SQRT(1-Y$9^2*$C$11)*NORMSINV(X771))*(Y$7-Y$5)*(Y$6-Y$5)),Y$7-SQRT((1-NORMSDIST(Y$9*SQRT($C$11)*NORMSINV($B771)+SQRT(1-Y$9^2*$C$11)*NORMSINV(X771)))*(Y$7-Y$5)*(Y$7-Y$6))))</f>
        <v>0.629355656322668</v>
      </c>
      <c r="Z771" s="2" t="n">
        <v>0.905572783</v>
      </c>
      <c r="AA771" s="2" t="n">
        <f aca="false">IF(AA$7=AA$5,AA$6,IF(NORMSDIST(AA$9*SQRT($C$11)*NORMSINV($B771)+SQRT(1-AA$9^2*$C$11)*NORMSINV(Z771))&lt;AA$8,AA$5+SQRT(NORMSDIST(AA$9*SQRT($C$11)*NORMSINV($B771)+SQRT(1-AA$9^2*$C$11)*NORMSINV(Z771))*(AA$7-AA$5)*(AA$6-AA$5)),AA$7-SQRT((1-NORMSDIST(AA$9*SQRT($C$11)*NORMSINV($B771)+SQRT(1-AA$9^2*$C$11)*NORMSINV(Z771)))*(AA$7-AA$5)*(AA$7-AA$6))))</f>
        <v>0.745132657957048</v>
      </c>
      <c r="AB771" s="2" t="n">
        <v>0.264209441</v>
      </c>
      <c r="AC771" s="2" t="n">
        <f aca="false">IF(AC$7=AC$5,AC$6,IF(NORMSDIST(AC$9*SQRT($C$11)*NORMSINV($B771)+SQRT(1-AC$9^2*$C$11)*NORMSINV(AB771))&lt;AC$8,AC$5+SQRT(NORMSDIST(AC$9*SQRT($C$11)*NORMSINV($B771)+SQRT(1-AC$9^2*$C$11)*NORMSINV(AB771))*(AC$7-AC$5)*(AC$6-AC$5)),AC$7-SQRT((1-NORMSDIST(AC$9*SQRT($C$11)*NORMSINV($B771)+SQRT(1-AC$9^2*$C$11)*NORMSINV(AB771)))*(AC$7-AC$5)*(AC$7-AC$6))))</f>
        <v>9.52243784610482</v>
      </c>
      <c r="AD771" s="2" t="n">
        <f aca="false">Entrées!$C$8*(1+E771)</f>
        <v>7442.90804760436</v>
      </c>
      <c r="AE771" s="2" t="n">
        <f aca="false">I771*Hypothèses!$J$24/12/Hypothèses!$J$19</f>
        <v>103.630495472746</v>
      </c>
      <c r="AF771" s="2" t="n">
        <f aca="false">Entrées!$C$36*S771*1000</f>
        <v>438.756599029856</v>
      </c>
      <c r="AG771" s="2" t="n">
        <f aca="false">-AF771/W771</f>
        <v>-39.3459527002726</v>
      </c>
      <c r="AH771" s="2" t="n">
        <f aca="false">AD771+AE771+AG771</f>
        <v>7507.19259037684</v>
      </c>
      <c r="AI771" s="2" t="n">
        <f aca="false">Entrées!$C$16-M771+Hypothèses!$J$22*1000-AF771+Hypothèses!$J$23</f>
        <v>22680.4474470227</v>
      </c>
      <c r="AJ771" s="2" t="n">
        <f aca="false">AI771/AH771</f>
        <v>3.02116232852422</v>
      </c>
      <c r="AK771" s="2" t="n">
        <f aca="false">AI771/(AH771+I771*(12-Hypothèses!$J$24)/12/Hypothèses!$J$19)</f>
        <v>2.99166417562657</v>
      </c>
      <c r="AL771" s="2" t="n">
        <f aca="false">(AD771+AG771+I771/Hypothèses!$J$19)*(1+G771)</f>
        <v>8010.44529820505</v>
      </c>
      <c r="AM771" s="2" t="n">
        <f aca="false">Entrées!$C$54*K771/Hypothèses!$J$19</f>
        <v>25.2517485308743</v>
      </c>
      <c r="AN771" s="2" t="n">
        <f aca="false">Y771*1000/AC771</f>
        <v>66.0918628710303</v>
      </c>
      <c r="AO771" s="2" t="n">
        <f aca="false">(Entrées!$C$36*(1-S771)+MAX(0,Entrées!$C$30-Entrées!$C$35-Entrées!$C$36)*U771)*1000</f>
        <v>1239.34717595556</v>
      </c>
      <c r="AP771" s="2" t="n">
        <f aca="false">-AO771/W771</f>
        <v>-111.139742335923</v>
      </c>
      <c r="AQ771" s="2" t="n">
        <f aca="false">AL771+AM771+AN771+AP771</f>
        <v>7990.64916727103</v>
      </c>
      <c r="AR771" s="2" t="n">
        <f aca="false">O771*AQ771-Hypothèses!$J$25/Hypothèses!$J$19</f>
        <v>1478.39715336891</v>
      </c>
      <c r="AS771" s="2" t="n">
        <f aca="false">Entrées!$C$79*(1+Q771)+Hypothèses!$J$20</f>
        <v>1482.73861427056</v>
      </c>
      <c r="AT771" s="2" t="n">
        <f aca="false">AI771-AR771+AS771+Y771*1000-AO771+Hypothèses!$J$23</f>
        <v>22074.7973882914</v>
      </c>
      <c r="AU771" s="2" t="n">
        <f aca="false">AT771/AQ771</f>
        <v>2.76257872498117</v>
      </c>
      <c r="AV771" s="2" t="n">
        <f aca="false">Hypothèses!$J$26*AQ771-AT771</f>
        <v>1897.15011352165</v>
      </c>
      <c r="AW771" s="2" t="n">
        <f aca="false">IF(AC771&gt;Hypothèses!$J$26,MAX(0,AV771)/(1-Hypothèses!$J$26/AC771),0)</f>
        <v>2769.74567899168</v>
      </c>
      <c r="AX771" s="2" t="n">
        <f aca="false">AQ771-Entrées!$C$17*1000</f>
        <v>-9.35083272897282</v>
      </c>
      <c r="AY771" s="2" t="n">
        <f aca="false">AI771+(Entrées!$C$244-Entrées!$C$13)</f>
        <v>28427.4474470227</v>
      </c>
      <c r="AZ771" s="2" t="n">
        <f aca="false">AA771*AH771</f>
        <v>5593.85436866295</v>
      </c>
      <c r="BA771" s="2" t="n">
        <f aca="false">AZ771/AY771</f>
        <v>0.196776526597671</v>
      </c>
      <c r="BB771" s="2" t="n">
        <f aca="false">AZ771/(Entrées!$C$151/100)-AY771</f>
        <v>2649.52126777147</v>
      </c>
      <c r="BC771" s="2" t="n">
        <f aca="false">AT771+(Entrées!$C$244-Entrées!$C$13)</f>
        <v>27821.7973882914</v>
      </c>
      <c r="BD771" s="2" t="n">
        <f aca="false">AA771*AQ771</f>
        <v>5954.09365281093</v>
      </c>
      <c r="BE771" s="2" t="n">
        <f aca="false">BD771/BC771</f>
        <v>0.214008231377483</v>
      </c>
      <c r="BF771" s="2" t="n">
        <f aca="false">BD771/(Entrées!$C$151/100)-BC771</f>
        <v>5256.50068288041</v>
      </c>
      <c r="BG771" s="2" t="n">
        <f aca="false">MIN(AV771,BF771)</f>
        <v>1897.15011352165</v>
      </c>
      <c r="BH771" s="2" t="n">
        <f aca="false">IF(AC771&gt;Hypothèses!$J$26,MAX(0,BG771)/(1-Hypothèses!$J$26/AC771),0)</f>
        <v>2769.74567899168</v>
      </c>
    </row>
    <row r="772" customFormat="false" ht="15" hidden="false" customHeight="false" outlineLevel="0" collapsed="false">
      <c r="A772" s="2" t="n">
        <v>757</v>
      </c>
      <c r="B772" s="2" t="n">
        <v>0.029364691</v>
      </c>
      <c r="C772" s="2"/>
      <c r="D772" s="2" t="n">
        <v>0.898736023</v>
      </c>
      <c r="E772" s="2" t="n">
        <f aca="false">IF(E$7=E$5,E$6,IF(NORMSDIST(E$9*SQRT($C$11)*NORMSINV($B772)+SQRT(1-E$9^2*$C$11)*NORMSINV(D772))&lt;E$8,E$5+SQRT(NORMSDIST(E$9*SQRT($C$11)*NORMSINV($B772)+SQRT(1-E$9^2*$C$11)*NORMSINV(D772))*(E$7-E$5)*(E$6-E$5)),E$7-SQRT((1-NORMSDIST(E$9*SQRT($C$11)*NORMSINV($B772)+SQRT(1-E$9^2*$C$11)*NORMSINV(D772)))*(E$7-E$5)*(E$7-E$6))))</f>
        <v>0.0545688086960429</v>
      </c>
      <c r="F772" s="2" t="n">
        <v>0.665672489</v>
      </c>
      <c r="G772" s="2" t="n">
        <f aca="false">IF(G$7=G$5,G$6,IF(NORMSDIST(G$9*SQRT($C$11)*NORMSINV($B772)+SQRT(1-G$9^2*$C$11)*NORMSINV(F772))&lt;G$8,G$5+SQRT(NORMSDIST(G$9*SQRT($C$11)*NORMSINV($B772)+SQRT(1-G$9^2*$C$11)*NORMSINV(F772))*(G$7-G$5)*(G$6-G$5)),G$7-SQRT((1-NORMSDIST(G$9*SQRT($C$11)*NORMSINV($B772)+SQRT(1-G$9^2*$C$11)*NORMSINV(F772)))*(G$7-G$5)*(G$7-G$6))))</f>
        <v>0.0493387952525706</v>
      </c>
      <c r="H772" s="2" t="n">
        <v>0.570750017</v>
      </c>
      <c r="I772" s="2" t="n">
        <f aca="false">IF(I$7=I$5,I$6,IF(NORMSDIST(I$9*SQRT($C$11)*NORMSINV($B772)+SQRT(1-I$9^2*$C$11)*NORMSINV(H772))&lt;I$8,I$5+SQRT(NORMSDIST(I$9*SQRT($C$11)*NORMSINV($B772)+SQRT(1-I$9^2*$C$11)*NORMSINV(H772))*(I$7-I$5)*(I$6-I$5)),I$7-SQRT((1-NORMSDIST(I$9*SQRT($C$11)*NORMSINV($B772)+SQRT(1-I$9^2*$C$11)*NORMSINV(H772)))*(I$7-I$5)*(I$7-I$6))))</f>
        <v>190.776625225818</v>
      </c>
      <c r="J772" s="2" t="n">
        <v>0.991601661</v>
      </c>
      <c r="K772" s="2" t="n">
        <f aca="false">IF(K$7=K$5,K$6,IF(NORMSDIST(K$9*SQRT($C$11)*NORMSINV($B772)+SQRT(1-K$9^2*$C$11)*NORMSINV(J772))&lt;K$8,K$5+SQRT(NORMSDIST(K$9*SQRT($C$11)*NORMSINV($B772)+SQRT(1-K$9^2*$C$11)*NORMSINV(J772))*(K$7-K$5)*(K$6-K$5)),K$7-SQRT((1-NORMSDIST(K$9*SQRT($C$11)*NORMSINV($B772)+SQRT(1-K$9^2*$C$11)*NORMSINV(J772)))*(K$7-K$5)*(K$7-K$6))))</f>
        <v>0.321222178727299</v>
      </c>
      <c r="L772" s="2" t="n">
        <v>0.153504465</v>
      </c>
      <c r="M772" s="2" t="n">
        <f aca="false">IF(M$7=M$5,M$6,IF(NORMSDIST(M$9*SQRT($C$11)*NORMSINV($B772)+SQRT(1-M$9^2*$C$11)*NORMSINV(L772))&lt;M$8,M$5+SQRT(NORMSDIST(M$9*SQRT($C$11)*NORMSINV($B772)+SQRT(1-M$9^2*$C$11)*NORMSINV(L772))*(M$7-M$5)*(M$6-M$5)),M$7-SQRT((1-NORMSDIST(M$9*SQRT($C$11)*NORMSINV($B772)+SQRT(1-M$9^2*$C$11)*NORMSINV(L772)))*(M$7-M$5)*(M$7-M$6))))</f>
        <v>1364.33708336457</v>
      </c>
      <c r="N772" s="2" t="n">
        <v>0.133479828</v>
      </c>
      <c r="O772" s="2" t="n">
        <f aca="false">IF(O$7=O$5,O$6,IF(NORMSDIST(O$9*SQRT($C$11)*NORMSINV($B772)+SQRT(1-O$9^2*$C$11)*NORMSINV(N772))&lt;O$8,O$5+SQRT(NORMSDIST(O$9*SQRT($C$11)*NORMSINV($B772)+SQRT(1-O$9^2*$C$11)*NORMSINV(N772))*(O$7-O$5)*(O$6-O$5)),O$7-SQRT((1-NORMSDIST(O$9*SQRT($C$11)*NORMSINV($B772)+SQRT(1-O$9^2*$C$11)*NORMSINV(N772)))*(O$7-O$5)*(O$7-O$6))))</f>
        <v>0.145346529034159</v>
      </c>
      <c r="P772" s="2" t="n">
        <v>0.107853758</v>
      </c>
      <c r="Q772" s="2" t="n">
        <f aca="false">IF(Q$7=Q$5,Q$6,IF(NORMSDIST(Q$9*SQRT($C$11)*NORMSINV($B772)+SQRT(1-Q$9^2*$C$11)*NORMSINV(P772))&lt;Q$8,Q$5+SQRT(NORMSDIST(Q$9*SQRT($C$11)*NORMSINV($B772)+SQRT(1-Q$9^2*$C$11)*NORMSINV(P772))*(Q$7-Q$5)*(Q$6-Q$5)),Q$7-SQRT((1-NORMSDIST(Q$9*SQRT($C$11)*NORMSINV($B772)+SQRT(1-Q$9^2*$C$11)*NORMSINV(P772)))*(Q$7-Q$5)*(Q$7-Q$6))))</f>
        <v>0.0585777292907395</v>
      </c>
      <c r="R772" s="2" t="n">
        <v>0.5971957</v>
      </c>
      <c r="S772" s="2" t="n">
        <f aca="false">IF(S$7=S$5,S$6,IF(NORMSDIST(S$9*SQRT($C$11)*NORMSINV($B772)+SQRT(1-S$9^2*$C$11)*NORMSINV(R772))&lt;S$8,S$5+SQRT(NORMSDIST(S$9*SQRT($C$11)*NORMSINV($B772)+SQRT(1-S$9^2*$C$11)*NORMSINV(R772))*(S$7-S$5)*(S$6-S$5)),S$7-SQRT((1-NORMSDIST(S$9*SQRT($C$11)*NORMSINV($B772)+SQRT(1-S$9^2*$C$11)*NORMSINV(R772)))*(S$7-S$5)*(S$7-S$6))))</f>
        <v>0.280610175140879</v>
      </c>
      <c r="T772" s="2" t="n">
        <v>0.400046214</v>
      </c>
      <c r="U772" s="2" t="n">
        <f aca="false">IF(U$7=U$5,U$6,IF(NORMSDIST(U$9*SQRT($C$11)*NORMSINV($B772)+SQRT(1-U$9^2*$C$11)*NORMSINV(T772))&lt;U$8,U$5+SQRT(NORMSDIST(U$9*SQRT($C$11)*NORMSINV($B772)+SQRT(1-U$9^2*$C$11)*NORMSINV(T772))*(U$7-U$5)*(U$6-U$5)),U$7-SQRT((1-NORMSDIST(U$9*SQRT($C$11)*NORMSINV($B772)+SQRT(1-U$9^2*$C$11)*NORMSINV(T772)))*(U$7-U$5)*(U$7-U$6))))</f>
        <v>0.202506725516163</v>
      </c>
      <c r="V772" s="2" t="n">
        <v>0.716586866</v>
      </c>
      <c r="W772" s="2" t="n">
        <f aca="false">IF(W$7=W$5,W$6,IF(NORMSDIST(W$9*SQRT($C$11)*NORMSINV($B772)+SQRT(1-W$9^2*$C$11)*NORMSINV(V772))&lt;W$8,W$5+SQRT(NORMSDIST(W$9*SQRT($C$11)*NORMSINV($B772)+SQRT(1-W$9^2*$C$11)*NORMSINV(V772))*(W$7-W$5)*(W$6-W$5)),W$7-SQRT((1-NORMSDIST(W$9*SQRT($C$11)*NORMSINV($B772)+SQRT(1-W$9^2*$C$11)*NORMSINV(V772)))*(W$7-W$5)*(W$7-W$6))))</f>
        <v>9.34483801081681</v>
      </c>
      <c r="X772" s="2" t="n">
        <v>0.052860799</v>
      </c>
      <c r="Y772" s="2" t="n">
        <f aca="false">IF(Y$7=Y$5,Y$6,IF(NORMSDIST(Y$9*SQRT($C$11)*NORMSINV($B772)+SQRT(1-Y$9^2*$C$11)*NORMSINV(X772))&lt;Y$8,Y$5+SQRT(NORMSDIST(Y$9*SQRT($C$11)*NORMSINV($B772)+SQRT(1-Y$9^2*$C$11)*NORMSINV(X772))*(Y$7-Y$5)*(Y$6-Y$5)),Y$7-SQRT((1-NORMSDIST(Y$9*SQRT($C$11)*NORMSINV($B772)+SQRT(1-Y$9^2*$C$11)*NORMSINV(X772)))*(Y$7-Y$5)*(Y$7-Y$6))))</f>
        <v>0.162574289172673</v>
      </c>
      <c r="Z772" s="2" t="n">
        <v>0.112513615</v>
      </c>
      <c r="AA772" s="2" t="n">
        <f aca="false">IF(AA$7=AA$5,AA$6,IF(NORMSDIST(AA$9*SQRT($C$11)*NORMSINV($B772)+SQRT(1-AA$9^2*$C$11)*NORMSINV(Z772))&lt;AA$8,AA$5+SQRT(NORMSDIST(AA$9*SQRT($C$11)*NORMSINV($B772)+SQRT(1-AA$9^2*$C$11)*NORMSINV(Z772))*(AA$7-AA$5)*(AA$6-AA$5)),AA$7-SQRT((1-NORMSDIST(AA$9*SQRT($C$11)*NORMSINV($B772)+SQRT(1-AA$9^2*$C$11)*NORMSINV(Z772)))*(AA$7-AA$5)*(AA$7-AA$6))))</f>
        <v>0.701241691091075</v>
      </c>
      <c r="AB772" s="2" t="n">
        <v>0.662954695</v>
      </c>
      <c r="AC772" s="2" t="n">
        <f aca="false">IF(AC$7=AC$5,AC$6,IF(NORMSDIST(AC$9*SQRT($C$11)*NORMSINV($B772)+SQRT(1-AC$9^2*$C$11)*NORMSINV(AB772))&lt;AC$8,AC$5+SQRT(NORMSDIST(AC$9*SQRT($C$11)*NORMSINV($B772)+SQRT(1-AC$9^2*$C$11)*NORMSINV(AB772))*(AC$7-AC$5)*(AC$6-AC$5)),AC$7-SQRT((1-NORMSDIST(AC$9*SQRT($C$11)*NORMSINV($B772)+SQRT(1-AC$9^2*$C$11)*NORMSINV(AB772)))*(AC$7-AC$5)*(AC$7-AC$6))))</f>
        <v>8.68872912977226</v>
      </c>
      <c r="AD772" s="2" t="n">
        <f aca="false">Entrées!$C$8*(1+E772)</f>
        <v>7434.7101013071</v>
      </c>
      <c r="AE772" s="2" t="n">
        <f aca="false">I772*Hypothèses!$J$24/12/Hypothèses!$J$19</f>
        <v>94.6436731701851</v>
      </c>
      <c r="AF772" s="2" t="n">
        <f aca="false">Entrées!$C$36*S772*1000</f>
        <v>140.305087570439</v>
      </c>
      <c r="AG772" s="2" t="n">
        <f aca="false">-AF772/W772</f>
        <v>-15.014180813839</v>
      </c>
      <c r="AH772" s="2" t="n">
        <f aca="false">AD772+AE772+AG772</f>
        <v>7514.33959366345</v>
      </c>
      <c r="AI772" s="2" t="n">
        <f aca="false">Entrées!$C$16-M772+Hypothèses!$J$22*1000-AF772+Hypothèses!$J$23</f>
        <v>23043.357829065</v>
      </c>
      <c r="AJ772" s="2" t="n">
        <f aca="false">AI772/AH772</f>
        <v>3.06658456699196</v>
      </c>
      <c r="AK772" s="2" t="n">
        <f aca="false">AI772/(AH772+I772*(12-Hypothèses!$J$24)/12/Hypothèses!$J$19)</f>
        <v>3.03924207920163</v>
      </c>
      <c r="AL772" s="2" t="n">
        <f aca="false">(AD772+AG772+I772/Hypothèses!$J$19)*(1+G772)</f>
        <v>7956.02611203541</v>
      </c>
      <c r="AM772" s="2" t="n">
        <f aca="false">Entrées!$C$54*K772/Hypothèses!$J$19</f>
        <v>32.7820720638927</v>
      </c>
      <c r="AN772" s="2" t="n">
        <f aca="false">Y772*1000/AC772</f>
        <v>18.7109399711411</v>
      </c>
      <c r="AO772" s="2" t="n">
        <f aca="false">(Entrées!$C$36*(1-S772)+MAX(0,Entrées!$C$30-Entrées!$C$35-Entrées!$C$36)*U772)*1000</f>
        <v>643.204328152188</v>
      </c>
      <c r="AP772" s="2" t="n">
        <f aca="false">-AO772/W772</f>
        <v>-68.8299066722899</v>
      </c>
      <c r="AQ772" s="2" t="n">
        <f aca="false">AL772+AM772+AN772+AP772</f>
        <v>7938.68921739815</v>
      </c>
      <c r="AR772" s="2" t="n">
        <f aca="false">O772*AQ772-Hypothèses!$J$25/Hypothèses!$J$19</f>
        <v>1134.7257605681</v>
      </c>
      <c r="AS772" s="2" t="n">
        <f aca="false">Entrées!$C$79*(1+Q772)+Hypothèses!$J$20</f>
        <v>1458.37692449052</v>
      </c>
      <c r="AT772" s="2" t="n">
        <f aca="false">AI772-AR772+AS772+Y772*1000-AO772+Hypothèses!$J$23</f>
        <v>22886.3789540079</v>
      </c>
      <c r="AU772" s="2" t="n">
        <f aca="false">AT772/AQ772</f>
        <v>2.88289141031632</v>
      </c>
      <c r="AV772" s="2" t="n">
        <f aca="false">Hypothèses!$J$26*AQ772-AT772</f>
        <v>929.688698186554</v>
      </c>
      <c r="AW772" s="2" t="n">
        <f aca="false">IF(AC772&gt;Hypothèses!$J$26,MAX(0,AV772)/(1-Hypothèses!$J$26/AC772),0)</f>
        <v>1419.96799096619</v>
      </c>
      <c r="AX772" s="2" t="n">
        <f aca="false">AQ772-Entrées!$C$17*1000</f>
        <v>-61.3107826018477</v>
      </c>
      <c r="AY772" s="2" t="n">
        <f aca="false">AI772+(Entrées!$C$244-Entrées!$C$13)</f>
        <v>28790.357829065</v>
      </c>
      <c r="AZ772" s="2" t="n">
        <f aca="false">AA772*AH772</f>
        <v>5269.36820409318</v>
      </c>
      <c r="BA772" s="2" t="n">
        <f aca="false">AZ772/AY772</f>
        <v>0.183025450235063</v>
      </c>
      <c r="BB772" s="2" t="n">
        <f aca="false">AZ772/(Entrées!$C$151/100)-AY772</f>
        <v>483.909971452678</v>
      </c>
      <c r="BC772" s="2" t="n">
        <f aca="false">AT772+(Entrées!$C$244-Entrées!$C$13)</f>
        <v>28633.3789540079</v>
      </c>
      <c r="BD772" s="2" t="n">
        <f aca="false">AA772*AQ772</f>
        <v>5566.93985185477</v>
      </c>
      <c r="BE772" s="2" t="n">
        <f aca="false">BD772/BC772</f>
        <v>0.194421338145128</v>
      </c>
      <c r="BF772" s="2" t="n">
        <f aca="false">BD772/(Entrées!$C$151/100)-BC772</f>
        <v>2294.06466740746</v>
      </c>
      <c r="BG772" s="2" t="n">
        <f aca="false">MIN(AV772,BF772)</f>
        <v>929.688698186554</v>
      </c>
      <c r="BH772" s="2" t="n">
        <f aca="false">IF(AC772&gt;Hypothèses!$J$26,MAX(0,BG772)/(1-Hypothèses!$J$26/AC772),0)</f>
        <v>1419.96799096619</v>
      </c>
    </row>
    <row r="773" customFormat="false" ht="15" hidden="false" customHeight="false" outlineLevel="0" collapsed="false">
      <c r="A773" s="2" t="n">
        <v>758</v>
      </c>
      <c r="B773" s="2" t="n">
        <v>0.0729256</v>
      </c>
      <c r="C773" s="2"/>
      <c r="D773" s="2" t="n">
        <v>0.980759693</v>
      </c>
      <c r="E773" s="2" t="n">
        <f aca="false">IF(E$7=E$5,E$6,IF(NORMSDIST(E$9*SQRT($C$11)*NORMSINV($B773)+SQRT(1-E$9^2*$C$11)*NORMSINV(D773))&lt;E$8,E$5+SQRT(NORMSDIST(E$9*SQRT($C$11)*NORMSINV($B773)+SQRT(1-E$9^2*$C$11)*NORMSINV(D773))*(E$7-E$5)*(E$6-E$5)),E$7-SQRT((1-NORMSDIST(E$9*SQRT($C$11)*NORMSINV($B773)+SQRT(1-E$9^2*$C$11)*NORMSINV(D773)))*(E$7-E$5)*(E$7-E$6))))</f>
        <v>0.0564844255391105</v>
      </c>
      <c r="F773" s="2" t="n">
        <v>0.304531878</v>
      </c>
      <c r="G773" s="2" t="n">
        <f aca="false">IF(G$7=G$5,G$6,IF(NORMSDIST(G$9*SQRT($C$11)*NORMSINV($B773)+SQRT(1-G$9^2*$C$11)*NORMSINV(F773))&lt;G$8,G$5+SQRT(NORMSDIST(G$9*SQRT($C$11)*NORMSINV($B773)+SQRT(1-G$9^2*$C$11)*NORMSINV(F773))*(G$7-G$5)*(G$6-G$5)),G$7-SQRT((1-NORMSDIST(G$9*SQRT($C$11)*NORMSINV($B773)+SQRT(1-G$9^2*$C$11)*NORMSINV(F773)))*(G$7-G$5)*(G$7-G$6))))</f>
        <v>0.0465071792055736</v>
      </c>
      <c r="H773" s="2" t="n">
        <v>0.701294831</v>
      </c>
      <c r="I773" s="2" t="n">
        <f aca="false">IF(I$7=I$5,I$6,IF(NORMSDIST(I$9*SQRT($C$11)*NORMSINV($B773)+SQRT(1-I$9^2*$C$11)*NORMSINV(H773))&lt;I$8,I$5+SQRT(NORMSDIST(I$9*SQRT($C$11)*NORMSINV($B773)+SQRT(1-I$9^2*$C$11)*NORMSINV(H773))*(I$7-I$5)*(I$6-I$5)),I$7-SQRT((1-NORMSDIST(I$9*SQRT($C$11)*NORMSINV($B773)+SQRT(1-I$9^2*$C$11)*NORMSINV(H773)))*(I$7-I$5)*(I$7-I$6))))</f>
        <v>195.61469107671</v>
      </c>
      <c r="J773" s="2" t="n">
        <v>0.886755857</v>
      </c>
      <c r="K773" s="2" t="n">
        <f aca="false">IF(K$7=K$5,K$6,IF(NORMSDIST(K$9*SQRT($C$11)*NORMSINV($B773)+SQRT(1-K$9^2*$C$11)*NORMSINV(J773))&lt;K$8,K$5+SQRT(NORMSDIST(K$9*SQRT($C$11)*NORMSINV($B773)+SQRT(1-K$9^2*$C$11)*NORMSINV(J773))*(K$7-K$5)*(K$6-K$5)),K$7-SQRT((1-NORMSDIST(K$9*SQRT($C$11)*NORMSINV($B773)+SQRT(1-K$9^2*$C$11)*NORMSINV(J773)))*(K$7-K$5)*(K$7-K$6))))</f>
        <v>0.251704430610032</v>
      </c>
      <c r="L773" s="2" t="n">
        <v>0.855245995</v>
      </c>
      <c r="M773" s="2" t="n">
        <f aca="false">IF(M$7=M$5,M$6,IF(NORMSDIST(M$9*SQRT($C$11)*NORMSINV($B773)+SQRT(1-M$9^2*$C$11)*NORMSINV(L773))&lt;M$8,M$5+SQRT(NORMSDIST(M$9*SQRT($C$11)*NORMSINV($B773)+SQRT(1-M$9^2*$C$11)*NORMSINV(L773))*(M$7-M$5)*(M$6-M$5)),M$7-SQRT((1-NORMSDIST(M$9*SQRT($C$11)*NORMSINV($B773)+SQRT(1-M$9^2*$C$11)*NORMSINV(L773)))*(M$7-M$5)*(M$7-M$6))))</f>
        <v>1573.95592734606</v>
      </c>
      <c r="N773" s="2" t="n">
        <v>0.219927398</v>
      </c>
      <c r="O773" s="2" t="n">
        <f aca="false">IF(O$7=O$5,O$6,IF(NORMSDIST(O$9*SQRT($C$11)*NORMSINV($B773)+SQRT(1-O$9^2*$C$11)*NORMSINV(N773))&lt;O$8,O$5+SQRT(NORMSDIST(O$9*SQRT($C$11)*NORMSINV($B773)+SQRT(1-O$9^2*$C$11)*NORMSINV(N773))*(O$7-O$5)*(O$6-O$5)),O$7-SQRT((1-NORMSDIST(O$9*SQRT($C$11)*NORMSINV($B773)+SQRT(1-O$9^2*$C$11)*NORMSINV(N773)))*(O$7-O$5)*(O$7-O$6))))</f>
        <v>0.14961933390142</v>
      </c>
      <c r="P773" s="2" t="n">
        <v>0.870916527</v>
      </c>
      <c r="Q773" s="2" t="n">
        <f aca="false">IF(Q$7=Q$5,Q$6,IF(NORMSDIST(Q$9*SQRT($C$11)*NORMSINV($B773)+SQRT(1-Q$9^2*$C$11)*NORMSINV(P773))&lt;Q$8,Q$5+SQRT(NORMSDIST(Q$9*SQRT($C$11)*NORMSINV($B773)+SQRT(1-Q$9^2*$C$11)*NORMSINV(P773))*(Q$7-Q$5)*(Q$6-Q$5)),Q$7-SQRT((1-NORMSDIST(Q$9*SQRT($C$11)*NORMSINV($B773)+SQRT(1-Q$9^2*$C$11)*NORMSINV(P773)))*(Q$7-Q$5)*(Q$7-Q$6))))</f>
        <v>0.0996759474119948</v>
      </c>
      <c r="R773" s="2" t="n">
        <v>0.893774992</v>
      </c>
      <c r="S773" s="2" t="n">
        <f aca="false">IF(S$7=S$5,S$6,IF(NORMSDIST(S$9*SQRT($C$11)*NORMSINV($B773)+SQRT(1-S$9^2*$C$11)*NORMSINV(R773))&lt;S$8,S$5+SQRT(NORMSDIST(S$9*SQRT($C$11)*NORMSINV($B773)+SQRT(1-S$9^2*$C$11)*NORMSINV(R773))*(S$7-S$5)*(S$6-S$5)),S$7-SQRT((1-NORMSDIST(S$9*SQRT($C$11)*NORMSINV($B773)+SQRT(1-S$9^2*$C$11)*NORMSINV(R773)))*(S$7-S$5)*(S$7-S$6))))</f>
        <v>0.509258913336929</v>
      </c>
      <c r="T773" s="2" t="n">
        <v>0.144001965</v>
      </c>
      <c r="U773" s="2" t="n">
        <f aca="false">IF(U$7=U$5,U$6,IF(NORMSDIST(U$9*SQRT($C$11)*NORMSINV($B773)+SQRT(1-U$9^2*$C$11)*NORMSINV(T773))&lt;U$8,U$5+SQRT(NORMSDIST(U$9*SQRT($C$11)*NORMSINV($B773)+SQRT(1-U$9^2*$C$11)*NORMSINV(T773))*(U$7-U$5)*(U$6-U$5)),U$7-SQRT((1-NORMSDIST(U$9*SQRT($C$11)*NORMSINV($B773)+SQRT(1-U$9^2*$C$11)*NORMSINV(T773)))*(U$7-U$5)*(U$7-U$6))))</f>
        <v>0.142622110185131</v>
      </c>
      <c r="V773" s="2" t="n">
        <v>0.356219908</v>
      </c>
      <c r="W773" s="2" t="n">
        <f aca="false">IF(W$7=W$5,W$6,IF(NORMSDIST(W$9*SQRT($C$11)*NORMSINV($B773)+SQRT(1-W$9^2*$C$11)*NORMSINV(V773))&lt;W$8,W$5+SQRT(NORMSDIST(W$9*SQRT($C$11)*NORMSINV($B773)+SQRT(1-W$9^2*$C$11)*NORMSINV(V773))*(W$7-W$5)*(W$6-W$5)),W$7-SQRT((1-NORMSDIST(W$9*SQRT($C$11)*NORMSINV($B773)+SQRT(1-W$9^2*$C$11)*NORMSINV(V773)))*(W$7-W$5)*(W$7-W$6))))</f>
        <v>8.9551627098135</v>
      </c>
      <c r="X773" s="2" t="n">
        <v>0.879379328</v>
      </c>
      <c r="Y773" s="2" t="n">
        <f aca="false">IF(Y$7=Y$5,Y$6,IF(NORMSDIST(Y$9*SQRT($C$11)*NORMSINV($B773)+SQRT(1-Y$9^2*$C$11)*NORMSINV(X773))&lt;Y$8,Y$5+SQRT(NORMSDIST(Y$9*SQRT($C$11)*NORMSINV($B773)+SQRT(1-Y$9^2*$C$11)*NORMSINV(X773))*(Y$7-Y$5)*(Y$6-Y$5)),Y$7-SQRT((1-NORMSDIST(Y$9*SQRT($C$11)*NORMSINV($B773)+SQRT(1-Y$9^2*$C$11)*NORMSINV(X773)))*(Y$7-Y$5)*(Y$7-Y$6))))</f>
        <v>0.754418372022661</v>
      </c>
      <c r="Z773" s="2" t="n">
        <v>0.904158327</v>
      </c>
      <c r="AA773" s="2" t="n">
        <f aca="false">IF(AA$7=AA$5,AA$6,IF(NORMSDIST(AA$9*SQRT($C$11)*NORMSINV($B773)+SQRT(1-AA$9^2*$C$11)*NORMSINV(Z773))&lt;AA$8,AA$5+SQRT(NORMSDIST(AA$9*SQRT($C$11)*NORMSINV($B773)+SQRT(1-AA$9^2*$C$11)*NORMSINV(Z773))*(AA$7-AA$5)*(AA$6-AA$5)),AA$7-SQRT((1-NORMSDIST(AA$9*SQRT($C$11)*NORMSINV($B773)+SQRT(1-AA$9^2*$C$11)*NORMSINV(Z773)))*(AA$7-AA$5)*(AA$7-AA$6))))</f>
        <v>0.729223782897338</v>
      </c>
      <c r="AB773" s="2" t="n">
        <v>0.897072948</v>
      </c>
      <c r="AC773" s="2" t="n">
        <f aca="false">IF(AC$7=AC$5,AC$6,IF(NORMSDIST(AC$9*SQRT($C$11)*NORMSINV($B773)+SQRT(1-AC$9^2*$C$11)*NORMSINV(AB773))&lt;AC$8,AC$5+SQRT(NORMSDIST(AC$9*SQRT($C$11)*NORMSINV($B773)+SQRT(1-AC$9^2*$C$11)*NORMSINV(AB773))*(AC$7-AC$5)*(AC$6-AC$5)),AC$7-SQRT((1-NORMSDIST(AC$9*SQRT($C$11)*NORMSINV($B773)+SQRT(1-AC$9^2*$C$11)*NORMSINV(AB773)))*(AC$7-AC$5)*(AC$7-AC$6))))</f>
        <v>9.52767791724874</v>
      </c>
      <c r="AD773" s="2" t="n">
        <f aca="false">Entrées!$C$8*(1+E773)</f>
        <v>7448.21520005073</v>
      </c>
      <c r="AE773" s="2" t="n">
        <f aca="false">I773*Hypothèses!$J$24/12/Hypothèses!$J$19</f>
        <v>97.0438221539806</v>
      </c>
      <c r="AF773" s="2" t="n">
        <f aca="false">Entrées!$C$36*S773*1000</f>
        <v>254.629456668465</v>
      </c>
      <c r="AG773" s="2" t="n">
        <f aca="false">-AF773/W773</f>
        <v>-28.4338168852509</v>
      </c>
      <c r="AH773" s="2" t="n">
        <f aca="false">AD773+AE773+AG773</f>
        <v>7516.82520531946</v>
      </c>
      <c r="AI773" s="2" t="n">
        <f aca="false">Entrées!$C$16-M773+Hypothèses!$J$22*1000-AF773+Hypothèses!$J$23</f>
        <v>22719.4146159855</v>
      </c>
      <c r="AJ773" s="2" t="n">
        <f aca="false">AI773/AH773</f>
        <v>3.02247478096305</v>
      </c>
      <c r="AK773" s="2" t="n">
        <f aca="false">AI773/(AH773+I773*(12-Hypothèses!$J$24)/12/Hypothèses!$J$19)</f>
        <v>2.99485745899451</v>
      </c>
      <c r="AL773" s="2" t="n">
        <f aca="false">(AD773+AG773+I773/Hypothèses!$J$19)*(1+G773)</f>
        <v>7938.95229690143</v>
      </c>
      <c r="AM773" s="2" t="n">
        <f aca="false">Entrées!$C$54*K773/Hypothèses!$J$19</f>
        <v>25.6874939823634</v>
      </c>
      <c r="AN773" s="2" t="n">
        <f aca="false">Y773*1000/AC773</f>
        <v>79.18176690848</v>
      </c>
      <c r="AO773" s="2" t="n">
        <f aca="false">(Entrées!$C$36*(1-S773)+MAX(0,Entrées!$C$30-Entrées!$C$35-Entrées!$C$36)*U773)*1000</f>
        <v>445.041497590719</v>
      </c>
      <c r="AP773" s="2" t="n">
        <f aca="false">-AO773/W773</f>
        <v>-49.6966400289993</v>
      </c>
      <c r="AQ773" s="2" t="n">
        <f aca="false">AL773+AM773+AN773+AP773</f>
        <v>7994.12491776328</v>
      </c>
      <c r="AR773" s="2" t="n">
        <f aca="false">O773*AQ773-Hypothèses!$J$25/Hypothèses!$J$19</f>
        <v>1176.94048305886</v>
      </c>
      <c r="AS773" s="2" t="n">
        <f aca="false">Entrées!$C$79*(1+Q773)+Hypothèses!$J$20</f>
        <v>1503.54386620578</v>
      </c>
      <c r="AT773" s="2" t="n">
        <f aca="false">AI773-AR773+AS773+Y773*1000-AO773+Hypothèses!$J$23</f>
        <v>23355.3948735643</v>
      </c>
      <c r="AU773" s="2" t="n">
        <f aca="false">AT773/AQ773</f>
        <v>2.92156991713598</v>
      </c>
      <c r="AV773" s="2" t="n">
        <f aca="false">Hypothèses!$J$26*AQ773-AT773</f>
        <v>626.979879725488</v>
      </c>
      <c r="AW773" s="2" t="n">
        <f aca="false">IF(AC773&gt;Hypothèses!$J$26,MAX(0,AV773)/(1-Hypothèses!$J$26/AC773),0)</f>
        <v>915.128232481415</v>
      </c>
      <c r="AX773" s="2" t="n">
        <f aca="false">AQ773-Entrées!$C$17*1000</f>
        <v>-5.87508223672467</v>
      </c>
      <c r="AY773" s="2" t="n">
        <f aca="false">AI773+(Entrées!$C$244-Entrées!$C$13)</f>
        <v>28466.4146159855</v>
      </c>
      <c r="AZ773" s="2" t="n">
        <f aca="false">AA773*AH773</f>
        <v>5481.44771160112</v>
      </c>
      <c r="BA773" s="2" t="n">
        <f aca="false">AZ773/AY773</f>
        <v>0.192558416138679</v>
      </c>
      <c r="BB773" s="2" t="n">
        <f aca="false">AZ773/(Entrées!$C$151/100)-AY773</f>
        <v>1986.0726706874</v>
      </c>
      <c r="BC773" s="2" t="n">
        <f aca="false">AT773+(Entrées!$C$244-Entrées!$C$13)</f>
        <v>29102.3948735643</v>
      </c>
      <c r="BD773" s="2" t="n">
        <f aca="false">AA773*AQ773</f>
        <v>5829.50601348521</v>
      </c>
      <c r="BE773" s="2" t="n">
        <f aca="false">BD773/BC773</f>
        <v>0.200310181990574</v>
      </c>
      <c r="BF773" s="2" t="n">
        <f aca="false">BD773/(Entrées!$C$151/100)-BC773</f>
        <v>3283.74964579793</v>
      </c>
      <c r="BG773" s="2" t="n">
        <f aca="false">MIN(AV773,BF773)</f>
        <v>626.979879725488</v>
      </c>
      <c r="BH773" s="2" t="n">
        <f aca="false">IF(AC773&gt;Hypothèses!$J$26,MAX(0,BG773)/(1-Hypothèses!$J$26/AC773),0)</f>
        <v>915.128232481415</v>
      </c>
    </row>
    <row r="774" customFormat="false" ht="15" hidden="false" customHeight="false" outlineLevel="0" collapsed="false">
      <c r="A774" s="2" t="n">
        <v>759</v>
      </c>
      <c r="B774" s="2" t="n">
        <v>0.028552314</v>
      </c>
      <c r="C774" s="2"/>
      <c r="D774" s="2" t="n">
        <v>0.643021855</v>
      </c>
      <c r="E774" s="2" t="n">
        <f aca="false">IF(E$7=E$5,E$6,IF(NORMSDIST(E$9*SQRT($C$11)*NORMSINV($B774)+SQRT(1-E$9^2*$C$11)*NORMSINV(D774))&lt;E$8,E$5+SQRT(NORMSDIST(E$9*SQRT($C$11)*NORMSINV($B774)+SQRT(1-E$9^2*$C$11)*NORMSINV(D774))*(E$7-E$5)*(E$6-E$5)),E$7-SQRT((1-NORMSDIST(E$9*SQRT($C$11)*NORMSINV($B774)+SQRT(1-E$9^2*$C$11)*NORMSINV(D774)))*(E$7-E$5)*(E$7-E$6))))</f>
        <v>0.052991342786488</v>
      </c>
      <c r="F774" s="2" t="n">
        <v>0.992431586</v>
      </c>
      <c r="G774" s="2" t="n">
        <f aca="false">IF(G$7=G$5,G$6,IF(NORMSDIST(G$9*SQRT($C$11)*NORMSINV($B774)+SQRT(1-G$9^2*$C$11)*NORMSINV(F774))&lt;G$8,G$5+SQRT(NORMSDIST(G$9*SQRT($C$11)*NORMSINV($B774)+SQRT(1-G$9^2*$C$11)*NORMSINV(F774))*(G$7-G$5)*(G$6-G$5)),G$7-SQRT((1-NORMSDIST(G$9*SQRT($C$11)*NORMSINV($B774)+SQRT(1-G$9^2*$C$11)*NORMSINV(F774)))*(G$7-G$5)*(G$7-G$6))))</f>
        <v>0.0594191597179125</v>
      </c>
      <c r="H774" s="2" t="n">
        <v>0.352999406</v>
      </c>
      <c r="I774" s="2" t="n">
        <f aca="false">IF(I$7=I$5,I$6,IF(NORMSDIST(I$9*SQRT($C$11)*NORMSINV($B774)+SQRT(1-I$9^2*$C$11)*NORMSINV(H774))&lt;I$8,I$5+SQRT(NORMSDIST(I$9*SQRT($C$11)*NORMSINV($B774)+SQRT(1-I$9^2*$C$11)*NORMSINV(H774))*(I$7-I$5)*(I$6-I$5)),I$7-SQRT((1-NORMSDIST(I$9*SQRT($C$11)*NORMSINV($B774)+SQRT(1-I$9^2*$C$11)*NORMSINV(H774)))*(I$7-I$5)*(I$7-I$6))))</f>
        <v>187.342889585244</v>
      </c>
      <c r="J774" s="2" t="n">
        <v>0.911177345</v>
      </c>
      <c r="K774" s="2" t="n">
        <f aca="false">IF(K$7=K$5,K$6,IF(NORMSDIST(K$9*SQRT($C$11)*NORMSINV($B774)+SQRT(1-K$9^2*$C$11)*NORMSINV(J774))&lt;K$8,K$5+SQRT(NORMSDIST(K$9*SQRT($C$11)*NORMSINV($B774)+SQRT(1-K$9^2*$C$11)*NORMSINV(J774))*(K$7-K$5)*(K$6-K$5)),K$7-SQRT((1-NORMSDIST(K$9*SQRT($C$11)*NORMSINV($B774)+SQRT(1-K$9^2*$C$11)*NORMSINV(J774)))*(K$7-K$5)*(K$7-K$6))))</f>
        <v>0.233668830917633</v>
      </c>
      <c r="L774" s="2" t="n">
        <v>0.246754267</v>
      </c>
      <c r="M774" s="2" t="n">
        <f aca="false">IF(M$7=M$5,M$6,IF(NORMSDIST(M$9*SQRT($C$11)*NORMSINV($B774)+SQRT(1-M$9^2*$C$11)*NORMSINV(L774))&lt;M$8,M$5+SQRT(NORMSDIST(M$9*SQRT($C$11)*NORMSINV($B774)+SQRT(1-M$9^2*$C$11)*NORMSINV(L774))*(M$7-M$5)*(M$6-M$5)),M$7-SQRT((1-NORMSDIST(M$9*SQRT($C$11)*NORMSINV($B774)+SQRT(1-M$9^2*$C$11)*NORMSINV(L774)))*(M$7-M$5)*(M$7-M$6))))</f>
        <v>1384.4773213545</v>
      </c>
      <c r="N774" s="2" t="n">
        <v>0.334130517</v>
      </c>
      <c r="O774" s="2" t="n">
        <f aca="false">IF(O$7=O$5,O$6,IF(NORMSDIST(O$9*SQRT($C$11)*NORMSINV($B774)+SQRT(1-O$9^2*$C$11)*NORMSINV(N774))&lt;O$8,O$5+SQRT(NORMSDIST(O$9*SQRT($C$11)*NORMSINV($B774)+SQRT(1-O$9^2*$C$11)*NORMSINV(N774))*(O$7-O$5)*(O$6-O$5)),O$7-SQRT((1-NORMSDIST(O$9*SQRT($C$11)*NORMSINV($B774)+SQRT(1-O$9^2*$C$11)*NORMSINV(N774)))*(O$7-O$5)*(O$7-O$6))))</f>
        <v>0.149459742132938</v>
      </c>
      <c r="P774" s="2" t="n">
        <v>0.510850529</v>
      </c>
      <c r="Q774" s="2" t="n">
        <f aca="false">IF(Q$7=Q$5,Q$6,IF(NORMSDIST(Q$9*SQRT($C$11)*NORMSINV($B774)+SQRT(1-Q$9^2*$C$11)*NORMSINV(P774))&lt;Q$8,Q$5+SQRT(NORMSDIST(Q$9*SQRT($C$11)*NORMSINV($B774)+SQRT(1-Q$9^2*$C$11)*NORMSINV(P774))*(Q$7-Q$5)*(Q$6-Q$5)),Q$7-SQRT((1-NORMSDIST(Q$9*SQRT($C$11)*NORMSINV($B774)+SQRT(1-Q$9^2*$C$11)*NORMSINV(P774)))*(Q$7-Q$5)*(Q$7-Q$6))))</f>
        <v>0.0804364017409943</v>
      </c>
      <c r="R774" s="2" t="n">
        <v>0.510404377</v>
      </c>
      <c r="S774" s="2" t="n">
        <f aca="false">IF(S$7=S$5,S$6,IF(NORMSDIST(S$9*SQRT($C$11)*NORMSINV($B774)+SQRT(1-S$9^2*$C$11)*NORMSINV(R774))&lt;S$8,S$5+SQRT(NORMSDIST(S$9*SQRT($C$11)*NORMSINV($B774)+SQRT(1-S$9^2*$C$11)*NORMSINV(R774))*(S$7-S$5)*(S$6-S$5)),S$7-SQRT((1-NORMSDIST(S$9*SQRT($C$11)*NORMSINV($B774)+SQRT(1-S$9^2*$C$11)*NORMSINV(R774)))*(S$7-S$5)*(S$7-S$6))))</f>
        <v>0.243305281601799</v>
      </c>
      <c r="T774" s="2" t="n">
        <v>0.273599532</v>
      </c>
      <c r="U774" s="2" t="n">
        <f aca="false">IF(U$7=U$5,U$6,IF(NORMSDIST(U$9*SQRT($C$11)*NORMSINV($B774)+SQRT(1-U$9^2*$C$11)*NORMSINV(T774))&lt;U$8,U$5+SQRT(NORMSDIST(U$9*SQRT($C$11)*NORMSINV($B774)+SQRT(1-U$9^2*$C$11)*NORMSINV(T774))*(U$7-U$5)*(U$6-U$5)),U$7-SQRT((1-NORMSDIST(U$9*SQRT($C$11)*NORMSINV($B774)+SQRT(1-U$9^2*$C$11)*NORMSINV(T774)))*(U$7-U$5)*(U$7-U$6))))</f>
        <v>0.154120302229299</v>
      </c>
      <c r="V774" s="2" t="n">
        <v>0.958996761</v>
      </c>
      <c r="W774" s="2" t="n">
        <f aca="false">IF(W$7=W$5,W$6,IF(NORMSDIST(W$9*SQRT($C$11)*NORMSINV($B774)+SQRT(1-W$9^2*$C$11)*NORMSINV(V774))&lt;W$8,W$5+SQRT(NORMSDIST(W$9*SQRT($C$11)*NORMSINV($B774)+SQRT(1-W$9^2*$C$11)*NORMSINV(V774))*(W$7-W$5)*(W$6-W$5)),W$7-SQRT((1-NORMSDIST(W$9*SQRT($C$11)*NORMSINV($B774)+SQRT(1-W$9^2*$C$11)*NORMSINV(V774)))*(W$7-W$5)*(W$7-W$6))))</f>
        <v>10.1178918429339</v>
      </c>
      <c r="X774" s="2" t="n">
        <v>0.283303396</v>
      </c>
      <c r="Y774" s="2" t="n">
        <f aca="false">IF(Y$7=Y$5,Y$6,IF(NORMSDIST(Y$9*SQRT($C$11)*NORMSINV($B774)+SQRT(1-Y$9^2*$C$11)*NORMSINV(X774))&lt;Y$8,Y$5+SQRT(NORMSDIST(Y$9*SQRT($C$11)*NORMSINV($B774)+SQRT(1-Y$9^2*$C$11)*NORMSINV(X774))*(Y$7-Y$5)*(Y$6-Y$5)),Y$7-SQRT((1-NORMSDIST(Y$9*SQRT($C$11)*NORMSINV($B774)+SQRT(1-Y$9^2*$C$11)*NORMSINV(X774)))*(Y$7-Y$5)*(Y$7-Y$6))))</f>
        <v>0.376366441118227</v>
      </c>
      <c r="Z774" s="2" t="n">
        <v>0.864809126</v>
      </c>
      <c r="AA774" s="2" t="n">
        <f aca="false">IF(AA$7=AA$5,AA$6,IF(NORMSDIST(AA$9*SQRT($C$11)*NORMSINV($B774)+SQRT(1-AA$9^2*$C$11)*NORMSINV(Z774))&lt;AA$8,AA$5+SQRT(NORMSDIST(AA$9*SQRT($C$11)*NORMSINV($B774)+SQRT(1-AA$9^2*$C$11)*NORMSINV(Z774))*(AA$7-AA$5)*(AA$6-AA$5)),AA$7-SQRT((1-NORMSDIST(AA$9*SQRT($C$11)*NORMSINV($B774)+SQRT(1-AA$9^2*$C$11)*NORMSINV(Z774)))*(AA$7-AA$5)*(AA$7-AA$6))))</f>
        <v>0.72322249815579</v>
      </c>
      <c r="AB774" s="2" t="n">
        <v>0.185383296</v>
      </c>
      <c r="AC774" s="2" t="n">
        <f aca="false">IF(AC$7=AC$5,AC$6,IF(NORMSDIST(AC$9*SQRT($C$11)*NORMSINV($B774)+SQRT(1-AC$9^2*$C$11)*NORMSINV(AB774))&lt;AC$8,AC$5+SQRT(NORMSDIST(AC$9*SQRT($C$11)*NORMSINV($B774)+SQRT(1-AC$9^2*$C$11)*NORMSINV(AB774))*(AC$7-AC$5)*(AC$6-AC$5)),AC$7-SQRT((1-NORMSDIST(AC$9*SQRT($C$11)*NORMSINV($B774)+SQRT(1-AC$9^2*$C$11)*NORMSINV(AB774)))*(AC$7-AC$5)*(AC$7-AC$6))))</f>
        <v>7.90007557340921</v>
      </c>
      <c r="AD774" s="2" t="n">
        <f aca="false">Entrées!$C$8*(1+E774)</f>
        <v>7423.58896664474</v>
      </c>
      <c r="AE774" s="2" t="n">
        <f aca="false">I774*Hypothèses!$J$24/12/Hypothèses!$J$19</f>
        <v>92.9402079089951</v>
      </c>
      <c r="AF774" s="2" t="n">
        <f aca="false">Entrées!$C$36*S774*1000</f>
        <v>121.6526408009</v>
      </c>
      <c r="AG774" s="2" t="n">
        <f aca="false">-AF774/W774</f>
        <v>-12.0235166267229</v>
      </c>
      <c r="AH774" s="2" t="n">
        <f aca="false">AD774+AE774+AG774</f>
        <v>7504.50565792701</v>
      </c>
      <c r="AI774" s="2" t="n">
        <f aca="false">Entrées!$C$16-M774+Hypothèses!$J$22*1000-AF774+Hypothèses!$J$23</f>
        <v>23041.8700378446</v>
      </c>
      <c r="AJ774" s="2" t="n">
        <f aca="false">AI774/AH774</f>
        <v>3.07040477922826</v>
      </c>
      <c r="AK774" s="2" t="n">
        <f aca="false">AI774/(AH774+I774*(12-Hypothèses!$J$24)/12/Hypothèses!$J$19)</f>
        <v>3.04348173194481</v>
      </c>
      <c r="AL774" s="2" t="n">
        <f aca="false">(AD774+AG774+I774/Hypothèses!$J$19)*(1+G774)</f>
        <v>8020.74753319575</v>
      </c>
      <c r="AM774" s="2" t="n">
        <f aca="false">Entrées!$C$54*K774/Hypothèses!$J$19</f>
        <v>23.8468853071645</v>
      </c>
      <c r="AN774" s="2" t="n">
        <f aca="false">Y774*1000/AC774</f>
        <v>47.6408659158953</v>
      </c>
      <c r="AO774" s="2" t="n">
        <f aca="false">(Entrées!$C$36*(1-S774)+MAX(0,Entrées!$C$30-Entrées!$C$35-Entrées!$C$36)*U774)*1000</f>
        <v>594.115782320119</v>
      </c>
      <c r="AP774" s="2" t="n">
        <f aca="false">-AO774/W774</f>
        <v>-58.7193252846474</v>
      </c>
      <c r="AQ774" s="2" t="n">
        <f aca="false">AL774+AM774+AN774+AP774</f>
        <v>8033.51595913416</v>
      </c>
      <c r="AR774" s="2" t="n">
        <f aca="false">O774*AQ774-Hypothèses!$J$25/Hypothèses!$J$19</f>
        <v>1181.55206141141</v>
      </c>
      <c r="AS774" s="2" t="n">
        <f aca="false">Entrées!$C$79*(1+Q774)+Hypothèses!$J$20</f>
        <v>1482.39960551335</v>
      </c>
      <c r="AT774" s="2" t="n">
        <f aca="false">AI774-AR774+AS774+Y774*1000-AO774+Hypothèses!$J$23</f>
        <v>23124.9682407447</v>
      </c>
      <c r="AU774" s="2" t="n">
        <f aca="false">AT774/AQ774</f>
        <v>2.87856131218006</v>
      </c>
      <c r="AV774" s="2" t="n">
        <f aca="false">Hypothèses!$J$26*AQ774-AT774</f>
        <v>975.579636657829</v>
      </c>
      <c r="AW774" s="2" t="n">
        <f aca="false">IF(AC774&gt;Hypothèses!$J$26,MAX(0,AV774)/(1-Hypothèses!$J$26/AC774),0)</f>
        <v>1572.86407975004</v>
      </c>
      <c r="AX774" s="2" t="n">
        <f aca="false">AQ774-Entrées!$C$17*1000</f>
        <v>33.5159591341635</v>
      </c>
      <c r="AY774" s="2" t="n">
        <f aca="false">AI774+(Entrées!$C$244-Entrées!$C$13)</f>
        <v>28788.8700378446</v>
      </c>
      <c r="AZ774" s="2" t="n">
        <f aca="false">AA774*AH774</f>
        <v>5427.42732935023</v>
      </c>
      <c r="BA774" s="2" t="n">
        <f aca="false">AZ774/AY774</f>
        <v>0.188525194709468</v>
      </c>
      <c r="BB774" s="2" t="n">
        <f aca="false">AZ774/(Entrées!$C$151/100)-AY774</f>
        <v>1363.50401410113</v>
      </c>
      <c r="BC774" s="2" t="n">
        <f aca="false">AT774+(Entrées!$C$244-Entrées!$C$13)</f>
        <v>28871.9682407447</v>
      </c>
      <c r="BD774" s="2" t="n">
        <f aca="false">AA774*AQ774</f>
        <v>5810.01948093942</v>
      </c>
      <c r="BE774" s="2" t="n">
        <f aca="false">BD774/BC774</f>
        <v>0.201233924632135</v>
      </c>
      <c r="BF774" s="2" t="n">
        <f aca="false">BD774/(Entrées!$C$151/100)-BC774</f>
        <v>3405.91776447431</v>
      </c>
      <c r="BG774" s="2" t="n">
        <f aca="false">MIN(AV774,BF774)</f>
        <v>975.579636657829</v>
      </c>
      <c r="BH774" s="2" t="n">
        <f aca="false">IF(AC774&gt;Hypothèses!$J$26,MAX(0,BG774)/(1-Hypothèses!$J$26/AC774),0)</f>
        <v>1572.86407975004</v>
      </c>
    </row>
    <row r="775" customFormat="false" ht="15" hidden="false" customHeight="false" outlineLevel="0" collapsed="false">
      <c r="A775" s="2" t="n">
        <v>760</v>
      </c>
      <c r="B775" s="2" t="n">
        <v>0.816441902</v>
      </c>
      <c r="C775" s="2"/>
      <c r="D775" s="2" t="n">
        <v>0.494547093</v>
      </c>
      <c r="E775" s="2" t="n">
        <f aca="false">IF(E$7=E$5,E$6,IF(NORMSDIST(E$9*SQRT($C$11)*NORMSINV($B775)+SQRT(1-E$9^2*$C$11)*NORMSINV(D775))&lt;E$8,E$5+SQRT(NORMSDIST(E$9*SQRT($C$11)*NORMSINV($B775)+SQRT(1-E$9^2*$C$11)*NORMSINV(D775))*(E$7-E$5)*(E$6-E$5)),E$7-SQRT((1-NORMSDIST(E$9*SQRT($C$11)*NORMSINV($B775)+SQRT(1-E$9^2*$C$11)*NORMSINV(D775)))*(E$7-E$5)*(E$7-E$6))))</f>
        <v>0.0562065692945248</v>
      </c>
      <c r="F775" s="2" t="n">
        <v>0.160411522</v>
      </c>
      <c r="G775" s="2" t="n">
        <f aca="false">IF(G$7=G$5,G$6,IF(NORMSDIST(G$9*SQRT($C$11)*NORMSINV($B775)+SQRT(1-G$9^2*$C$11)*NORMSINV(F775))&lt;G$8,G$5+SQRT(NORMSDIST(G$9*SQRT($C$11)*NORMSINV($B775)+SQRT(1-G$9^2*$C$11)*NORMSINV(F775))*(G$7-G$5)*(G$6-G$5)),G$7-SQRT((1-NORMSDIST(G$9*SQRT($C$11)*NORMSINV($B775)+SQRT(1-G$9^2*$C$11)*NORMSINV(F775)))*(G$7-G$5)*(G$7-G$6))))</f>
        <v>0.0537688486734062</v>
      </c>
      <c r="H775" s="2" t="n">
        <v>0.679568659</v>
      </c>
      <c r="I775" s="2" t="n">
        <f aca="false">IF(I$7=I$5,I$6,IF(NORMSDIST(I$9*SQRT($C$11)*NORMSINV($B775)+SQRT(1-I$9^2*$C$11)*NORMSINV(H775))&lt;I$8,I$5+SQRT(NORMSDIST(I$9*SQRT($C$11)*NORMSINV($B775)+SQRT(1-I$9^2*$C$11)*NORMSINV(H775))*(I$7-I$5)*(I$6-I$5)),I$7-SQRT((1-NORMSDIST(I$9*SQRT($C$11)*NORMSINV($B775)+SQRT(1-I$9^2*$C$11)*NORMSINV(H775)))*(I$7-I$5)*(I$7-I$6))))</f>
        <v>208.143074702338</v>
      </c>
      <c r="J775" s="2" t="n">
        <v>0.126166177</v>
      </c>
      <c r="K775" s="2" t="n">
        <f aca="false">IF(K$7=K$5,K$6,IF(NORMSDIST(K$9*SQRT($C$11)*NORMSINV($B775)+SQRT(1-K$9^2*$C$11)*NORMSINV(J775))&lt;K$8,K$5+SQRT(NORMSDIST(K$9*SQRT($C$11)*NORMSINV($B775)+SQRT(1-K$9^2*$C$11)*NORMSINV(J775))*(K$7-K$5)*(K$6-K$5)),K$7-SQRT((1-NORMSDIST(K$9*SQRT($C$11)*NORMSINV($B775)+SQRT(1-K$9^2*$C$11)*NORMSINV(J775)))*(K$7-K$5)*(K$7-K$6))))</f>
        <v>0.216764712906984</v>
      </c>
      <c r="L775" s="2" t="n">
        <v>0.667953999</v>
      </c>
      <c r="M775" s="2" t="n">
        <f aca="false">IF(M$7=M$5,M$6,IF(NORMSDIST(M$9*SQRT($C$11)*NORMSINV($B775)+SQRT(1-M$9^2*$C$11)*NORMSINV(L775))&lt;M$8,M$5+SQRT(NORMSDIST(M$9*SQRT($C$11)*NORMSINV($B775)+SQRT(1-M$9^2*$C$11)*NORMSINV(L775))*(M$7-M$5)*(M$6-M$5)),M$7-SQRT((1-NORMSDIST(M$9*SQRT($C$11)*NORMSINV($B775)+SQRT(1-M$9^2*$C$11)*NORMSINV(L775)))*(M$7-M$5)*(M$7-M$6))))</f>
        <v>1671.44453489262</v>
      </c>
      <c r="N775" s="2" t="n">
        <v>0.027878906</v>
      </c>
      <c r="O775" s="2" t="n">
        <f aca="false">IF(O$7=O$5,O$6,IF(NORMSDIST(O$9*SQRT($C$11)*NORMSINV($B775)+SQRT(1-O$9^2*$C$11)*NORMSINV(N775))&lt;O$8,O$5+SQRT(NORMSDIST(O$9*SQRT($C$11)*NORMSINV($B775)+SQRT(1-O$9^2*$C$11)*NORMSINV(N775))*(O$7-O$5)*(O$6-O$5)),O$7-SQRT((1-NORMSDIST(O$9*SQRT($C$11)*NORMSINV($B775)+SQRT(1-O$9^2*$C$11)*NORMSINV(N775)))*(O$7-O$5)*(O$7-O$6))))</f>
        <v>0.156117861380398</v>
      </c>
      <c r="P775" s="2" t="n">
        <v>0.645115438</v>
      </c>
      <c r="Q775" s="2" t="n">
        <f aca="false">IF(Q$7=Q$5,Q$6,IF(NORMSDIST(Q$9*SQRT($C$11)*NORMSINV($B775)+SQRT(1-Q$9^2*$C$11)*NORMSINV(P775))&lt;Q$8,Q$5+SQRT(NORMSDIST(Q$9*SQRT($C$11)*NORMSINV($B775)+SQRT(1-Q$9^2*$C$11)*NORMSINV(P775))*(Q$7-Q$5)*(Q$6-Q$5)),Q$7-SQRT((1-NORMSDIST(Q$9*SQRT($C$11)*NORMSINV($B775)+SQRT(1-Q$9^2*$C$11)*NORMSINV(P775)))*(Q$7-Q$5)*(Q$7-Q$6))))</f>
        <v>0.0863008813409015</v>
      </c>
      <c r="R775" s="2" t="n">
        <v>0.36759049</v>
      </c>
      <c r="S775" s="2" t="n">
        <f aca="false">IF(S$7=S$5,S$6,IF(NORMSDIST(S$9*SQRT($C$11)*NORMSINV($B775)+SQRT(1-S$9^2*$C$11)*NORMSINV(R775))&lt;S$8,S$5+SQRT(NORMSDIST(S$9*SQRT($C$11)*NORMSINV($B775)+SQRT(1-S$9^2*$C$11)*NORMSINV(R775))*(S$7-S$5)*(S$6-S$5)),S$7-SQRT((1-NORMSDIST(S$9*SQRT($C$11)*NORMSINV($B775)+SQRT(1-S$9^2*$C$11)*NORMSINV(R775)))*(S$7-S$5)*(S$7-S$6))))</f>
        <v>0.564748497865314</v>
      </c>
      <c r="T775" s="2" t="n">
        <v>0.298515004</v>
      </c>
      <c r="U775" s="2" t="n">
        <f aca="false">IF(U$7=U$5,U$6,IF(NORMSDIST(U$9*SQRT($C$11)*NORMSINV($B775)+SQRT(1-U$9^2*$C$11)*NORMSINV(T775))&lt;U$8,U$5+SQRT(NORMSDIST(U$9*SQRT($C$11)*NORMSINV($B775)+SQRT(1-U$9^2*$C$11)*NORMSINV(T775))*(U$7-U$5)*(U$6-U$5)),U$7-SQRT((1-NORMSDIST(U$9*SQRT($C$11)*NORMSINV($B775)+SQRT(1-U$9^2*$C$11)*NORMSINV(T775)))*(U$7-U$5)*(U$7-U$6))))</f>
        <v>0.533047806039621</v>
      </c>
      <c r="V775" s="2" t="n">
        <v>0.23007185</v>
      </c>
      <c r="W775" s="2" t="n">
        <f aca="false">IF(W$7=W$5,W$6,IF(NORMSDIST(W$9*SQRT($C$11)*NORMSINV($B775)+SQRT(1-W$9^2*$C$11)*NORMSINV(V775))&lt;W$8,W$5+SQRT(NORMSDIST(W$9*SQRT($C$11)*NORMSINV($B775)+SQRT(1-W$9^2*$C$11)*NORMSINV(V775))*(W$7-W$5)*(W$6-W$5)),W$7-SQRT((1-NORMSDIST(W$9*SQRT($C$11)*NORMSINV($B775)+SQRT(1-W$9^2*$C$11)*NORMSINV(V775)))*(W$7-W$5)*(W$7-W$6))))</f>
        <v>9.99862654567702</v>
      </c>
      <c r="X775" s="2" t="n">
        <v>0.064574727</v>
      </c>
      <c r="Y775" s="2" t="n">
        <f aca="false">IF(Y$7=Y$5,Y$6,IF(NORMSDIST(Y$9*SQRT($C$11)*NORMSINV($B775)+SQRT(1-Y$9^2*$C$11)*NORMSINV(X775))&lt;Y$8,Y$5+SQRT(NORMSDIST(Y$9*SQRT($C$11)*NORMSINV($B775)+SQRT(1-Y$9^2*$C$11)*NORMSINV(X775))*(Y$7-Y$5)*(Y$6-Y$5)),Y$7-SQRT((1-NORMSDIST(Y$9*SQRT($C$11)*NORMSINV($B775)+SQRT(1-Y$9^2*$C$11)*NORMSINV(X775)))*(Y$7-Y$5)*(Y$7-Y$6))))</f>
        <v>0.179686848433601</v>
      </c>
      <c r="Z775" s="2" t="n">
        <v>0.831384601</v>
      </c>
      <c r="AA775" s="2" t="n">
        <f aca="false">IF(AA$7=AA$5,AA$6,IF(NORMSDIST(AA$9*SQRT($C$11)*NORMSINV($B775)+SQRT(1-AA$9^2*$C$11)*NORMSINV(Z775))&lt;AA$8,AA$5+SQRT(NORMSDIST(AA$9*SQRT($C$11)*NORMSINV($B775)+SQRT(1-AA$9^2*$C$11)*NORMSINV(Z775))*(AA$7-AA$5)*(AA$6-AA$5)),AA$7-SQRT((1-NORMSDIST(AA$9*SQRT($C$11)*NORMSINV($B775)+SQRT(1-AA$9^2*$C$11)*NORMSINV(Z775)))*(AA$7-AA$5)*(AA$7-AA$6))))</f>
        <v>0.742851790116755</v>
      </c>
      <c r="AB775" s="2" t="n">
        <v>0.591542917</v>
      </c>
      <c r="AC775" s="2" t="n">
        <f aca="false">IF(AC$7=AC$5,AC$6,IF(NORMSDIST(AC$9*SQRT($C$11)*NORMSINV($B775)+SQRT(1-AC$9^2*$C$11)*NORMSINV(AB775))&lt;AC$8,AC$5+SQRT(NORMSDIST(AC$9*SQRT($C$11)*NORMSINV($B775)+SQRT(1-AC$9^2*$C$11)*NORMSINV(AB775))*(AC$7-AC$5)*(AC$6-AC$5)),AC$7-SQRT((1-NORMSDIST(AC$9*SQRT($C$11)*NORMSINV($B775)+SQRT(1-AC$9^2*$C$11)*NORMSINV(AB775)))*(AC$7-AC$5)*(AC$7-AC$6))))</f>
        <v>10.0103666362479</v>
      </c>
      <c r="AD775" s="2" t="n">
        <f aca="false">Entrées!$C$8*(1+E775)</f>
        <v>7446.2563135264</v>
      </c>
      <c r="AE775" s="2" t="n">
        <f aca="false">I775*Hypothèses!$J$24/12/Hypothèses!$J$19</f>
        <v>103.259113172003</v>
      </c>
      <c r="AF775" s="2" t="n">
        <f aca="false">Entrées!$C$36*S775*1000</f>
        <v>282.374248932657</v>
      </c>
      <c r="AG775" s="2" t="n">
        <f aca="false">-AF775/W775</f>
        <v>-28.2413037073321</v>
      </c>
      <c r="AH775" s="2" t="n">
        <f aca="false">AD775+AE775+AG775</f>
        <v>7521.27412299107</v>
      </c>
      <c r="AI775" s="2" t="n">
        <f aca="false">Entrées!$C$16-M775+Hypothèses!$J$22*1000-AF775+Hypothèses!$J$23</f>
        <v>22594.1812161747</v>
      </c>
      <c r="AJ775" s="2" t="n">
        <f aca="false">AI775/AH775</f>
        <v>3.00403639685312</v>
      </c>
      <c r="AK775" s="2" t="n">
        <f aca="false">AI775/(AH775+I775*(12-Hypothèses!$J$24)/12/Hypothèses!$J$19)</f>
        <v>2.97486373784856</v>
      </c>
      <c r="AL775" s="2" t="n">
        <f aca="false">(AD775+AG775+I775/Hypothèses!$J$19)*(1+G775)</f>
        <v>8003.40668514303</v>
      </c>
      <c r="AM775" s="2" t="n">
        <f aca="false">Entrées!$C$54*K775/Hypothèses!$J$19</f>
        <v>22.1217490883728</v>
      </c>
      <c r="AN775" s="2" t="n">
        <f aca="false">Y775*1000/AC775</f>
        <v>17.950076651833</v>
      </c>
      <c r="AO775" s="2" t="n">
        <f aca="false">(Entrées!$C$36*(1-S775)+MAX(0,Entrées!$C$30-Entrées!$C$35-Entrées!$C$36)*U775)*1000</f>
        <v>963.892679522812</v>
      </c>
      <c r="AP775" s="2" t="n">
        <f aca="false">-AO775/W775</f>
        <v>-96.4025083964715</v>
      </c>
      <c r="AQ775" s="2" t="n">
        <f aca="false">AL775+AM775+AN775+AP775</f>
        <v>7947.07600248676</v>
      </c>
      <c r="AR775" s="2" t="n">
        <f aca="false">O775*AQ775-Hypothèses!$J$25/Hypothèses!$J$19</f>
        <v>1221.54534747409</v>
      </c>
      <c r="AS775" s="2" t="n">
        <f aca="false">Entrées!$C$79*(1+Q775)+Hypothèses!$J$20</f>
        <v>1488.84466859365</v>
      </c>
      <c r="AT775" s="2" t="n">
        <f aca="false">AI775-AR775+AS775+Y775*1000-AO775+Hypothèses!$J$23</f>
        <v>22077.2747062051</v>
      </c>
      <c r="AU775" s="2" t="n">
        <f aca="false">AT775/AQ775</f>
        <v>2.7780374441237</v>
      </c>
      <c r="AV775" s="2" t="n">
        <f aca="false">Hypothèses!$J$26*AQ775-AT775</f>
        <v>1763.95330125521</v>
      </c>
      <c r="AW775" s="2" t="n">
        <f aca="false">IF(AC775&gt;Hypothèses!$J$26,MAX(0,AV775)/(1-Hypothèses!$J$26/AC775),0)</f>
        <v>2518.81537600083</v>
      </c>
      <c r="AX775" s="2" t="n">
        <f aca="false">AQ775-Entrées!$C$17*1000</f>
        <v>-52.9239975132396</v>
      </c>
      <c r="AY775" s="2" t="n">
        <f aca="false">AI775+(Entrées!$C$244-Entrées!$C$13)</f>
        <v>28341.1812161747</v>
      </c>
      <c r="AZ775" s="2" t="n">
        <f aca="false">AA775*AH775</f>
        <v>5587.19194622274</v>
      </c>
      <c r="BA775" s="2" t="n">
        <f aca="false">AZ775/AY775</f>
        <v>0.197140405108946</v>
      </c>
      <c r="BB775" s="2" t="n">
        <f aca="false">AZ775/(Entrées!$C$151/100)-AY775</f>
        <v>2698.7740406183</v>
      </c>
      <c r="BC775" s="2" t="n">
        <f aca="false">AT775+(Entrées!$C$244-Entrées!$C$13)</f>
        <v>27824.2747062051</v>
      </c>
      <c r="BD775" s="2" t="n">
        <f aca="false">AA775*AQ775</f>
        <v>5903.4996346412</v>
      </c>
      <c r="BE775" s="2" t="n">
        <f aca="false">BD775/BC775</f>
        <v>0.212170836328203</v>
      </c>
      <c r="BF775" s="2" t="n">
        <f aca="false">BD775/(Entrées!$C$151/100)-BC775</f>
        <v>4972.94548624601</v>
      </c>
      <c r="BG775" s="2" t="n">
        <f aca="false">MIN(AV775,BF775)</f>
        <v>1763.95330125521</v>
      </c>
      <c r="BH775" s="2" t="n">
        <f aca="false">IF(AC775&gt;Hypothèses!$J$26,MAX(0,BG775)/(1-Hypothèses!$J$26/AC775),0)</f>
        <v>2518.81537600083</v>
      </c>
    </row>
    <row r="776" customFormat="false" ht="15" hidden="false" customHeight="false" outlineLevel="0" collapsed="false">
      <c r="A776" s="2" t="n">
        <v>761</v>
      </c>
      <c r="B776" s="2" t="n">
        <v>0.571148897</v>
      </c>
      <c r="C776" s="2"/>
      <c r="D776" s="2" t="n">
        <v>0.249722973</v>
      </c>
      <c r="E776" s="2" t="n">
        <f aca="false">IF(E$7=E$5,E$6,IF(NORMSDIST(E$9*SQRT($C$11)*NORMSINV($B776)+SQRT(1-E$9^2*$C$11)*NORMSINV(D776))&lt;E$8,E$5+SQRT(NORMSDIST(E$9*SQRT($C$11)*NORMSINV($B776)+SQRT(1-E$9^2*$C$11)*NORMSINV(D776))*(E$7-E$5)*(E$6-E$5)),E$7-SQRT((1-NORMSDIST(E$9*SQRT($C$11)*NORMSINV($B776)+SQRT(1-E$9^2*$C$11)*NORMSINV(D776)))*(E$7-E$5)*(E$7-E$6))))</f>
        <v>0.0541291684053591</v>
      </c>
      <c r="F776" s="2" t="n">
        <v>0.556332738</v>
      </c>
      <c r="G776" s="2" t="n">
        <f aca="false">IF(G$7=G$5,G$6,IF(NORMSDIST(G$9*SQRT($C$11)*NORMSINV($B776)+SQRT(1-G$9^2*$C$11)*NORMSINV(F776))&lt;G$8,G$5+SQRT(NORMSDIST(G$9*SQRT($C$11)*NORMSINV($B776)+SQRT(1-G$9^2*$C$11)*NORMSINV(F776))*(G$7-G$5)*(G$6-G$5)),G$7-SQRT((1-NORMSDIST(G$9*SQRT($C$11)*NORMSINV($B776)+SQRT(1-G$9^2*$C$11)*NORMSINV(F776)))*(G$7-G$5)*(G$7-G$6))))</f>
        <v>0.0563885871986467</v>
      </c>
      <c r="H776" s="2" t="n">
        <v>0.249345215</v>
      </c>
      <c r="I776" s="2" t="n">
        <f aca="false">IF(I$7=I$5,I$6,IF(NORMSDIST(I$9*SQRT($C$11)*NORMSINV($B776)+SQRT(1-I$9^2*$C$11)*NORMSINV(H776))&lt;I$8,I$5+SQRT(NORMSDIST(I$9*SQRT($C$11)*NORMSINV($B776)+SQRT(1-I$9^2*$C$11)*NORMSINV(H776))*(I$7-I$5)*(I$6-I$5)),I$7-SQRT((1-NORMSDIST(I$9*SQRT($C$11)*NORMSINV($B776)+SQRT(1-I$9^2*$C$11)*NORMSINV(H776)))*(I$7-I$5)*(I$7-I$6))))</f>
        <v>196.508484908659</v>
      </c>
      <c r="J776" s="2" t="n">
        <v>0.602664951</v>
      </c>
      <c r="K776" s="2" t="n">
        <f aca="false">IF(K$7=K$5,K$6,IF(NORMSDIST(K$9*SQRT($C$11)*NORMSINV($B776)+SQRT(1-K$9^2*$C$11)*NORMSINV(J776))&lt;K$8,K$5+SQRT(NORMSDIST(K$9*SQRT($C$11)*NORMSINV($B776)+SQRT(1-K$9^2*$C$11)*NORMSINV(J776))*(K$7-K$5)*(K$6-K$5)),K$7-SQRT((1-NORMSDIST(K$9*SQRT($C$11)*NORMSINV($B776)+SQRT(1-K$9^2*$C$11)*NORMSINV(J776)))*(K$7-K$5)*(K$7-K$6))))</f>
        <v>0.283094185906384</v>
      </c>
      <c r="L776" s="2" t="n">
        <v>0.27437429</v>
      </c>
      <c r="M776" s="2" t="n">
        <f aca="false">IF(M$7=M$5,M$6,IF(NORMSDIST(M$9*SQRT($C$11)*NORMSINV($B776)+SQRT(1-M$9^2*$C$11)*NORMSINV(L776))&lt;M$8,M$5+SQRT(NORMSDIST(M$9*SQRT($C$11)*NORMSINV($B776)+SQRT(1-M$9^2*$C$11)*NORMSINV(L776))*(M$7-M$5)*(M$6-M$5)),M$7-SQRT((1-NORMSDIST(M$9*SQRT($C$11)*NORMSINV($B776)+SQRT(1-M$9^2*$C$11)*NORMSINV(L776)))*(M$7-M$5)*(M$7-M$6))))</f>
        <v>1543.53086174718</v>
      </c>
      <c r="N776" s="2" t="n">
        <v>0.738392136</v>
      </c>
      <c r="O776" s="2" t="n">
        <f aca="false">IF(O$7=O$5,O$6,IF(NORMSDIST(O$9*SQRT($C$11)*NORMSINV($B776)+SQRT(1-O$9^2*$C$11)*NORMSINV(N776))&lt;O$8,O$5+SQRT(NORMSDIST(O$9*SQRT($C$11)*NORMSINV($B776)+SQRT(1-O$9^2*$C$11)*NORMSINV(N776))*(O$7-O$5)*(O$6-O$5)),O$7-SQRT((1-NORMSDIST(O$9*SQRT($C$11)*NORMSINV($B776)+SQRT(1-O$9^2*$C$11)*NORMSINV(N776)))*(O$7-O$5)*(O$7-O$6))))</f>
        <v>0.172990225871269</v>
      </c>
      <c r="P776" s="2" t="n">
        <v>0.880059502</v>
      </c>
      <c r="Q776" s="2" t="n">
        <f aca="false">IF(Q$7=Q$5,Q$6,IF(NORMSDIST(Q$9*SQRT($C$11)*NORMSINV($B776)+SQRT(1-Q$9^2*$C$11)*NORMSINV(P776))&lt;Q$8,Q$5+SQRT(NORMSDIST(Q$9*SQRT($C$11)*NORMSINV($B776)+SQRT(1-Q$9^2*$C$11)*NORMSINV(P776))*(Q$7-Q$5)*(Q$6-Q$5)),Q$7-SQRT((1-NORMSDIST(Q$9*SQRT($C$11)*NORMSINV($B776)+SQRT(1-Q$9^2*$C$11)*NORMSINV(P776)))*(Q$7-Q$5)*(Q$7-Q$6))))</f>
        <v>0.100408940978089</v>
      </c>
      <c r="R776" s="2" t="n">
        <v>0.198368541</v>
      </c>
      <c r="S776" s="2" t="n">
        <f aca="false">IF(S$7=S$5,S$6,IF(NORMSDIST(S$9*SQRT($C$11)*NORMSINV($B776)+SQRT(1-S$9^2*$C$11)*NORMSINV(R776))&lt;S$8,S$5+SQRT(NORMSDIST(S$9*SQRT($C$11)*NORMSINV($B776)+SQRT(1-S$9^2*$C$11)*NORMSINV(R776))*(S$7-S$5)*(S$6-S$5)),S$7-SQRT((1-NORMSDIST(S$9*SQRT($C$11)*NORMSINV($B776)+SQRT(1-S$9^2*$C$11)*NORMSINV(R776)))*(S$7-S$5)*(S$7-S$6))))</f>
        <v>0.383112360644507</v>
      </c>
      <c r="T776" s="2" t="n">
        <v>0.554513274</v>
      </c>
      <c r="U776" s="2" t="n">
        <f aca="false">IF(U$7=U$5,U$6,IF(NORMSDIST(U$9*SQRT($C$11)*NORMSINV($B776)+SQRT(1-U$9^2*$C$11)*NORMSINV(T776))&lt;U$8,U$5+SQRT(NORMSDIST(U$9*SQRT($C$11)*NORMSINV($B776)+SQRT(1-U$9^2*$C$11)*NORMSINV(T776))*(U$7-U$5)*(U$6-U$5)),U$7-SQRT((1-NORMSDIST(U$9*SQRT($C$11)*NORMSINV($B776)+SQRT(1-U$9^2*$C$11)*NORMSINV(T776)))*(U$7-U$5)*(U$7-U$6))))</f>
        <v>0.545521718651542</v>
      </c>
      <c r="V776" s="2" t="n">
        <v>0.955164546</v>
      </c>
      <c r="W776" s="2" t="n">
        <f aca="false">IF(W$7=W$5,W$6,IF(NORMSDIST(W$9*SQRT($C$11)*NORMSINV($B776)+SQRT(1-W$9^2*$C$11)*NORMSINV(V776))&lt;W$8,W$5+SQRT(NORMSDIST(W$9*SQRT($C$11)*NORMSINV($B776)+SQRT(1-W$9^2*$C$11)*NORMSINV(V776))*(W$7-W$5)*(W$6-W$5)),W$7-SQRT((1-NORMSDIST(W$9*SQRT($C$11)*NORMSINV($B776)+SQRT(1-W$9^2*$C$11)*NORMSINV(V776)))*(W$7-W$5)*(W$7-W$6))))</f>
        <v>11.2169464609292</v>
      </c>
      <c r="X776" s="2" t="n">
        <v>0.22859114</v>
      </c>
      <c r="Y776" s="2" t="n">
        <f aca="false">IF(Y$7=Y$5,Y$6,IF(NORMSDIST(Y$9*SQRT($C$11)*NORMSINV($B776)+SQRT(1-Y$9^2*$C$11)*NORMSINV(X776))&lt;Y$8,Y$5+SQRT(NORMSDIST(Y$9*SQRT($C$11)*NORMSINV($B776)+SQRT(1-Y$9^2*$C$11)*NORMSINV(X776))*(Y$7-Y$5)*(Y$6-Y$5)),Y$7-SQRT((1-NORMSDIST(Y$9*SQRT($C$11)*NORMSINV($B776)+SQRT(1-Y$9^2*$C$11)*NORMSINV(X776)))*(Y$7-Y$5)*(Y$7-Y$6))))</f>
        <v>0.338076278375162</v>
      </c>
      <c r="Z776" s="2" t="n">
        <v>0.0178326</v>
      </c>
      <c r="AA776" s="2" t="n">
        <f aca="false">IF(AA$7=AA$5,AA$6,IF(NORMSDIST(AA$9*SQRT($C$11)*NORMSINV($B776)+SQRT(1-AA$9^2*$C$11)*NORMSINV(Z776))&lt;AA$8,AA$5+SQRT(NORMSDIST(AA$9*SQRT($C$11)*NORMSINV($B776)+SQRT(1-AA$9^2*$C$11)*NORMSINV(Z776))*(AA$7-AA$5)*(AA$6-AA$5)),AA$7-SQRT((1-NORMSDIST(AA$9*SQRT($C$11)*NORMSINV($B776)+SQRT(1-AA$9^2*$C$11)*NORMSINV(Z776)))*(AA$7-AA$5)*(AA$7-AA$6))))</f>
        <v>0.707124229180186</v>
      </c>
      <c r="AB776" s="2" t="n">
        <v>0.244402654</v>
      </c>
      <c r="AC776" s="2" t="n">
        <f aca="false">IF(AC$7=AC$5,AC$6,IF(NORMSDIST(AC$9*SQRT($C$11)*NORMSINV($B776)+SQRT(1-AC$9^2*$C$11)*NORMSINV(AB776))&lt;AC$8,AC$5+SQRT(NORMSDIST(AC$9*SQRT($C$11)*NORMSINV($B776)+SQRT(1-AC$9^2*$C$11)*NORMSINV(AB776))*(AC$7-AC$5)*(AC$6-AC$5)),AC$7-SQRT((1-NORMSDIST(AC$9*SQRT($C$11)*NORMSINV($B776)+SQRT(1-AC$9^2*$C$11)*NORMSINV(AB776)))*(AC$7-AC$5)*(AC$7-AC$6))))</f>
        <v>9.1044045093875</v>
      </c>
      <c r="AD776" s="2" t="n">
        <f aca="false">Entrées!$C$8*(1+E776)</f>
        <v>7431.61063725778</v>
      </c>
      <c r="AE776" s="2" t="n">
        <f aca="false">I776*Hypothèses!$J$24/12/Hypothèses!$J$19</f>
        <v>97.4872304133123</v>
      </c>
      <c r="AF776" s="2" t="n">
        <f aca="false">Entrées!$C$36*S776*1000</f>
        <v>191.556180322254</v>
      </c>
      <c r="AG776" s="2" t="n">
        <f aca="false">-AF776/W776</f>
        <v>-17.0773909806452</v>
      </c>
      <c r="AH776" s="2" t="n">
        <f aca="false">AD776+AE776+AG776</f>
        <v>7512.02047669045</v>
      </c>
      <c r="AI776" s="2" t="n">
        <f aca="false">Entrées!$C$16-M776+Hypothèses!$J$22*1000-AF776+Hypothèses!$J$23</f>
        <v>22812.9129579306</v>
      </c>
      <c r="AJ776" s="2" t="n">
        <f aca="false">AI776/AH776</f>
        <v>3.03685446927605</v>
      </c>
      <c r="AK776" s="2" t="n">
        <f aca="false">AI776/(AH776+I776*(12-Hypothèses!$J$24)/12/Hypothèses!$J$19)</f>
        <v>3.00896246622761</v>
      </c>
      <c r="AL776" s="2" t="n">
        <f aca="false">(AD776+AG776+I776/Hypothèses!$J$19)*(1+G776)</f>
        <v>8009.17298238278</v>
      </c>
      <c r="AM776" s="2" t="n">
        <f aca="false">Entrées!$C$54*K776/Hypothèses!$J$19</f>
        <v>28.8909503074217</v>
      </c>
      <c r="AN776" s="2" t="n">
        <f aca="false">Y776*1000/AC776</f>
        <v>37.1332664345673</v>
      </c>
      <c r="AO776" s="2" t="n">
        <f aca="false">(Entrées!$C$36*(1-S776)+MAX(0,Entrées!$C$30-Entrées!$C$35-Entrées!$C$36)*U776)*1000</f>
        <v>1072.17422578991</v>
      </c>
      <c r="AP776" s="2" t="n">
        <f aca="false">-AO776/W776</f>
        <v>-95.5852138123768</v>
      </c>
      <c r="AQ776" s="2" t="n">
        <f aca="false">AL776+AM776+AN776+AP776</f>
        <v>7979.61198531239</v>
      </c>
      <c r="AR776" s="2" t="n">
        <f aca="false">O776*AQ776-Hypothèses!$J$25/Hypothèses!$J$19</f>
        <v>1361.25971744265</v>
      </c>
      <c r="AS776" s="2" t="n">
        <f aca="false">Entrées!$C$79*(1+Q776)+Hypothèses!$J$20</f>
        <v>1504.34942613492</v>
      </c>
      <c r="AT776" s="2" t="n">
        <f aca="false">AI776-AR776+AS776+Y776*1000-AO776+Hypothèses!$J$23</f>
        <v>22221.9047192081</v>
      </c>
      <c r="AU776" s="2" t="n">
        <f aca="false">AT776/AQ776</f>
        <v>2.78483524764245</v>
      </c>
      <c r="AV776" s="2" t="n">
        <f aca="false">Hypothèses!$J$26*AQ776-AT776</f>
        <v>1716.93123672907</v>
      </c>
      <c r="AW776" s="2" t="n">
        <f aca="false">IF(AC776&gt;Hypothèses!$J$26,MAX(0,AV776)/(1-Hypothèses!$J$26/AC776),0)</f>
        <v>2560.71439399956</v>
      </c>
      <c r="AX776" s="2" t="n">
        <f aca="false">AQ776-Entrées!$C$17*1000</f>
        <v>-20.3880146876109</v>
      </c>
      <c r="AY776" s="2" t="n">
        <f aca="false">AI776+(Entrées!$C$244-Entrées!$C$13)</f>
        <v>28559.9129579306</v>
      </c>
      <c r="AZ776" s="2" t="n">
        <f aca="false">AA776*AH776</f>
        <v>5311.93168916551</v>
      </c>
      <c r="BA776" s="2" t="n">
        <f aca="false">AZ776/AY776</f>
        <v>0.185992572771146</v>
      </c>
      <c r="BB776" s="2" t="n">
        <f aca="false">AZ776/(Entrées!$C$151/100)-AY776</f>
        <v>950.818648544468</v>
      </c>
      <c r="BC776" s="2" t="n">
        <f aca="false">AT776+(Entrées!$C$244-Entrées!$C$13)</f>
        <v>27968.9047192081</v>
      </c>
      <c r="BD776" s="2" t="n">
        <f aca="false">AA776*AQ776</f>
        <v>5642.576974271</v>
      </c>
      <c r="BE776" s="2" t="n">
        <f aca="false">BD776/BC776</f>
        <v>0.201744652889316</v>
      </c>
      <c r="BF776" s="2" t="n">
        <f aca="false">BD776/(Entrées!$C$151/100)-BC776</f>
        <v>3378.745137853</v>
      </c>
      <c r="BG776" s="2" t="n">
        <f aca="false">MIN(AV776,BF776)</f>
        <v>1716.93123672907</v>
      </c>
      <c r="BH776" s="2" t="n">
        <f aca="false">IF(AC776&gt;Hypothèses!$J$26,MAX(0,BG776)/(1-Hypothèses!$J$26/AC776),0)</f>
        <v>2560.71439399956</v>
      </c>
    </row>
    <row r="777" customFormat="false" ht="15" hidden="false" customHeight="false" outlineLevel="0" collapsed="false">
      <c r="A777" s="2" t="n">
        <v>762</v>
      </c>
      <c r="B777" s="2" t="n">
        <v>0.65796802</v>
      </c>
      <c r="C777" s="2"/>
      <c r="D777" s="2" t="n">
        <v>0.326480918</v>
      </c>
      <c r="E777" s="2" t="n">
        <f aca="false">IF(E$7=E$5,E$6,IF(NORMSDIST(E$9*SQRT($C$11)*NORMSINV($B777)+SQRT(1-E$9^2*$C$11)*NORMSINV(D777))&lt;E$8,E$5+SQRT(NORMSDIST(E$9*SQRT($C$11)*NORMSINV($B777)+SQRT(1-E$9^2*$C$11)*NORMSINV(D777))*(E$7-E$5)*(E$6-E$5)),E$7-SQRT((1-NORMSDIST(E$9*SQRT($C$11)*NORMSINV($B777)+SQRT(1-E$9^2*$C$11)*NORMSINV(D777)))*(E$7-E$5)*(E$7-E$6))))</f>
        <v>0.0548154502583006</v>
      </c>
      <c r="F777" s="2" t="n">
        <v>0.488847867</v>
      </c>
      <c r="G777" s="2" t="n">
        <f aca="false">IF(G$7=G$5,G$6,IF(NORMSDIST(G$9*SQRT($C$11)*NORMSINV($B777)+SQRT(1-G$9^2*$C$11)*NORMSINV(F777))&lt;G$8,G$5+SQRT(NORMSDIST(G$9*SQRT($C$11)*NORMSINV($B777)+SQRT(1-G$9^2*$C$11)*NORMSINV(F777))*(G$7-G$5)*(G$6-G$5)),G$7-SQRT((1-NORMSDIST(G$9*SQRT($C$11)*NORMSINV($B777)+SQRT(1-G$9^2*$C$11)*NORMSINV(F777)))*(G$7-G$5)*(G$7-G$6))))</f>
        <v>0.0564695218865368</v>
      </c>
      <c r="H777" s="2" t="n">
        <v>0.63596471</v>
      </c>
      <c r="I777" s="2" t="n">
        <f aca="false">IF(I$7=I$5,I$6,IF(NORMSDIST(I$9*SQRT($C$11)*NORMSINV($B777)+SQRT(1-I$9^2*$C$11)*NORMSINV(H777))&lt;I$8,I$5+SQRT(NORMSDIST(I$9*SQRT($C$11)*NORMSINV($B777)+SQRT(1-I$9^2*$C$11)*NORMSINV(H777))*(I$7-I$5)*(I$6-I$5)),I$7-SQRT((1-NORMSDIST(I$9*SQRT($C$11)*NORMSINV($B777)+SQRT(1-I$9^2*$C$11)*NORMSINV(H777)))*(I$7-I$5)*(I$7-I$6))))</f>
        <v>204.528560666816</v>
      </c>
      <c r="J777" s="2" t="n">
        <v>0.385510898</v>
      </c>
      <c r="K777" s="2" t="n">
        <f aca="false">IF(K$7=K$5,K$6,IF(NORMSDIST(K$9*SQRT($C$11)*NORMSINV($B777)+SQRT(1-K$9^2*$C$11)*NORMSINV(J777))&lt;K$8,K$5+SQRT(NORMSDIST(K$9*SQRT($C$11)*NORMSINV($B777)+SQRT(1-K$9^2*$C$11)*NORMSINV(J777))*(K$7-K$5)*(K$6-K$5)),K$7-SQRT((1-NORMSDIST(K$9*SQRT($C$11)*NORMSINV($B777)+SQRT(1-K$9^2*$C$11)*NORMSINV(J777)))*(K$7-K$5)*(K$7-K$6))))</f>
        <v>0.253203915041827</v>
      </c>
      <c r="L777" s="2" t="n">
        <v>0.536646259</v>
      </c>
      <c r="M777" s="2" t="n">
        <f aca="false">IF(M$7=M$5,M$6,IF(NORMSDIST(M$9*SQRT($C$11)*NORMSINV($B777)+SQRT(1-M$9^2*$C$11)*NORMSINV(L777))&lt;M$8,M$5+SQRT(NORMSDIST(M$9*SQRT($C$11)*NORMSINV($B777)+SQRT(1-M$9^2*$C$11)*NORMSINV(L777))*(M$7-M$5)*(M$6-M$5)),M$7-SQRT((1-NORMSDIST(M$9*SQRT($C$11)*NORMSINV($B777)+SQRT(1-M$9^2*$C$11)*NORMSINV(L777)))*(M$7-M$5)*(M$7-M$6))))</f>
        <v>1619.6061356872</v>
      </c>
      <c r="N777" s="2" t="n">
        <v>0.624664098</v>
      </c>
      <c r="O777" s="2" t="n">
        <f aca="false">IF(O$7=O$5,O$6,IF(NORMSDIST(O$9*SQRT($C$11)*NORMSINV($B777)+SQRT(1-O$9^2*$C$11)*NORMSINV(N777))&lt;O$8,O$5+SQRT(NORMSDIST(O$9*SQRT($C$11)*NORMSINV($B777)+SQRT(1-O$9^2*$C$11)*NORMSINV(N777))*(O$7-O$5)*(O$6-O$5)),O$7-SQRT((1-NORMSDIST(O$9*SQRT($C$11)*NORMSINV($B777)+SQRT(1-O$9^2*$C$11)*NORMSINV(N777)))*(O$7-O$5)*(O$7-O$6))))</f>
        <v>0.171907456992717</v>
      </c>
      <c r="P777" s="2" t="n">
        <v>0.534213915</v>
      </c>
      <c r="Q777" s="2" t="n">
        <f aca="false">IF(Q$7=Q$5,Q$6,IF(NORMSDIST(Q$9*SQRT($C$11)*NORMSINV($B777)+SQRT(1-Q$9^2*$C$11)*NORMSINV(P777))&lt;Q$8,Q$5+SQRT(NORMSDIST(Q$9*SQRT($C$11)*NORMSINV($B777)+SQRT(1-Q$9^2*$C$11)*NORMSINV(P777))*(Q$7-Q$5)*(Q$6-Q$5)),Q$7-SQRT((1-NORMSDIST(Q$9*SQRT($C$11)*NORMSINV($B777)+SQRT(1-Q$9^2*$C$11)*NORMSINV(P777)))*(Q$7-Q$5)*(Q$7-Q$6))))</f>
        <v>0.0813928054373281</v>
      </c>
      <c r="R777" s="2" t="n">
        <v>0.795650491</v>
      </c>
      <c r="S777" s="2" t="n">
        <f aca="false">IF(S$7=S$5,S$6,IF(NORMSDIST(S$9*SQRT($C$11)*NORMSINV($B777)+SQRT(1-S$9^2*$C$11)*NORMSINV(R777))&lt;S$8,S$5+SQRT(NORMSDIST(S$9*SQRT($C$11)*NORMSINV($B777)+SQRT(1-S$9^2*$C$11)*NORMSINV(R777))*(S$7-S$5)*(S$6-S$5)),S$7-SQRT((1-NORMSDIST(S$9*SQRT($C$11)*NORMSINV($B777)+SQRT(1-S$9^2*$C$11)*NORMSINV(R777)))*(S$7-S$5)*(S$7-S$6))))</f>
        <v>0.69604796229522</v>
      </c>
      <c r="T777" s="2" t="n">
        <v>0.578563588</v>
      </c>
      <c r="U777" s="2" t="n">
        <f aca="false">IF(U$7=U$5,U$6,IF(NORMSDIST(U$9*SQRT($C$11)*NORMSINV($B777)+SQRT(1-U$9^2*$C$11)*NORMSINV(T777))&lt;U$8,U$5+SQRT(NORMSDIST(U$9*SQRT($C$11)*NORMSINV($B777)+SQRT(1-U$9^2*$C$11)*NORMSINV(T777))*(U$7-U$5)*(U$6-U$5)),U$7-SQRT((1-NORMSDIST(U$9*SQRT($C$11)*NORMSINV($B777)+SQRT(1-U$9^2*$C$11)*NORMSINV(T777)))*(U$7-U$5)*(U$7-U$6))))</f>
        <v>0.58734260869316</v>
      </c>
      <c r="V777" s="2" t="n">
        <v>0.367208882</v>
      </c>
      <c r="W777" s="2" t="n">
        <f aca="false">IF(W$7=W$5,W$6,IF(NORMSDIST(W$9*SQRT($C$11)*NORMSINV($B777)+SQRT(1-W$9^2*$C$11)*NORMSINV(V777))&lt;W$8,W$5+SQRT(NORMSDIST(W$9*SQRT($C$11)*NORMSINV($B777)+SQRT(1-W$9^2*$C$11)*NORMSINV(V777))*(W$7-W$5)*(W$6-W$5)),W$7-SQRT((1-NORMSDIST(W$9*SQRT($C$11)*NORMSINV($B777)+SQRT(1-W$9^2*$C$11)*NORMSINV(V777)))*(W$7-W$5)*(W$7-W$6))))</f>
        <v>9.99566723467468</v>
      </c>
      <c r="X777" s="2" t="n">
        <v>0.231709775</v>
      </c>
      <c r="Y777" s="2" t="n">
        <f aca="false">IF(Y$7=Y$5,Y$6,IF(NORMSDIST(Y$9*SQRT($C$11)*NORMSINV($B777)+SQRT(1-Y$9^2*$C$11)*NORMSINV(X777))&lt;Y$8,Y$5+SQRT(NORMSDIST(Y$9*SQRT($C$11)*NORMSINV($B777)+SQRT(1-Y$9^2*$C$11)*NORMSINV(X777))*(Y$7-Y$5)*(Y$6-Y$5)),Y$7-SQRT((1-NORMSDIST(Y$9*SQRT($C$11)*NORMSINV($B777)+SQRT(1-Y$9^2*$C$11)*NORMSINV(X777)))*(Y$7-Y$5)*(Y$7-Y$6))))</f>
        <v>0.340374628167259</v>
      </c>
      <c r="Z777" s="2" t="n">
        <v>0.188368386</v>
      </c>
      <c r="AA777" s="2" t="n">
        <f aca="false">IF(AA$7=AA$5,AA$6,IF(NORMSDIST(AA$9*SQRT($C$11)*NORMSINV($B777)+SQRT(1-AA$9^2*$C$11)*NORMSINV(Z777))&lt;AA$8,AA$5+SQRT(NORMSDIST(AA$9*SQRT($C$11)*NORMSINV($B777)+SQRT(1-AA$9^2*$C$11)*NORMSINV(Z777))*(AA$7-AA$5)*(AA$6-AA$5)),AA$7-SQRT((1-NORMSDIST(AA$9*SQRT($C$11)*NORMSINV($B777)+SQRT(1-AA$9^2*$C$11)*NORMSINV(Z777)))*(AA$7-AA$5)*(AA$7-AA$6))))</f>
        <v>0.722094498793696</v>
      </c>
      <c r="AB777" s="2" t="n">
        <v>0.787453569</v>
      </c>
      <c r="AC777" s="2" t="n">
        <f aca="false">IF(AC$7=AC$5,AC$6,IF(NORMSDIST(AC$9*SQRT($C$11)*NORMSINV($B777)+SQRT(1-AC$9^2*$C$11)*NORMSINV(AB777))&lt;AC$8,AC$5+SQRT(NORMSDIST(AC$9*SQRT($C$11)*NORMSINV($B777)+SQRT(1-AC$9^2*$C$11)*NORMSINV(AB777))*(AC$7-AC$5)*(AC$6-AC$5)),AC$7-SQRT((1-NORMSDIST(AC$9*SQRT($C$11)*NORMSINV($B777)+SQRT(1-AC$9^2*$C$11)*NORMSINV(AB777)))*(AC$7-AC$5)*(AC$7-AC$6))))</f>
        <v>10.0922702316979</v>
      </c>
      <c r="AD777" s="2" t="n">
        <f aca="false">Entrées!$C$8*(1+E777)</f>
        <v>7436.44892432102</v>
      </c>
      <c r="AE777" s="2" t="n">
        <f aca="false">I777*Hypothèses!$J$24/12/Hypothèses!$J$19</f>
        <v>101.465964327683</v>
      </c>
      <c r="AF777" s="2" t="n">
        <f aca="false">Entrées!$C$36*S777*1000</f>
        <v>348.02398114761</v>
      </c>
      <c r="AG777" s="2" t="n">
        <f aca="false">-AF777/W777</f>
        <v>-34.8174837133758</v>
      </c>
      <c r="AH777" s="2" t="n">
        <f aca="false">AD777+AE777+AG777</f>
        <v>7503.09740493533</v>
      </c>
      <c r="AI777" s="2" t="n">
        <f aca="false">Entrées!$C$16-M777+Hypothèses!$J$22*1000-AF777+Hypothèses!$J$23</f>
        <v>22580.3698831652</v>
      </c>
      <c r="AJ777" s="2" t="n">
        <f aca="false">AI777/AH777</f>
        <v>3.00947311017347</v>
      </c>
      <c r="AK777" s="2" t="n">
        <f aca="false">AI777/(AH777+I777*(12-Hypothèses!$J$24)/12/Hypothèses!$J$19)</f>
        <v>2.98068140901734</v>
      </c>
      <c r="AL777" s="2" t="n">
        <f aca="false">(AD777+AG777+I777/Hypothèses!$J$19)*(1+G777)</f>
        <v>8003.36208436087</v>
      </c>
      <c r="AM777" s="2" t="n">
        <f aca="false">Entrées!$C$54*K777/Hypothèses!$J$19</f>
        <v>25.8405226645563</v>
      </c>
      <c r="AN777" s="2" t="n">
        <f aca="false">Y777*1000/AC777</f>
        <v>33.7262697443642</v>
      </c>
      <c r="AO777" s="2" t="n">
        <f aca="false">(Entrées!$C$36*(1-S777)+MAX(0,Entrées!$C$30-Entrées!$C$35-Entrées!$C$36)*U777)*1000</f>
        <v>974.255671022814</v>
      </c>
      <c r="AP777" s="2" t="n">
        <f aca="false">-AO777/W777</f>
        <v>-97.4677976116641</v>
      </c>
      <c r="AQ777" s="2" t="n">
        <f aca="false">AL777+AM777+AN777+AP777</f>
        <v>7965.46107915813</v>
      </c>
      <c r="AR777" s="2" t="n">
        <f aca="false">O777*AQ777-Hypothèses!$J$25/Hypothèses!$J$19</f>
        <v>1350.18699563091</v>
      </c>
      <c r="AS777" s="2" t="n">
        <f aca="false">Entrées!$C$79*(1+Q777)+Hypothèses!$J$20</f>
        <v>1483.45069317562</v>
      </c>
      <c r="AT777" s="2" t="n">
        <f aca="false">AI777-AR777+AS777+Y777*1000-AO777+Hypothèses!$J$23</f>
        <v>22079.7525378543</v>
      </c>
      <c r="AU777" s="2" t="n">
        <f aca="false">AT777/AQ777</f>
        <v>2.77193652927722</v>
      </c>
      <c r="AV777" s="2" t="n">
        <f aca="false">Hypothèses!$J$26*AQ777-AT777</f>
        <v>1816.63069962004</v>
      </c>
      <c r="AW777" s="2" t="n">
        <f aca="false">IF(AC777&gt;Hypothèses!$J$26,MAX(0,AV777)/(1-Hypothèses!$J$26/AC777),0)</f>
        <v>2585.05772239514</v>
      </c>
      <c r="AX777" s="2" t="n">
        <f aca="false">AQ777-Entrées!$C$17*1000</f>
        <v>-34.5389208418719</v>
      </c>
      <c r="AY777" s="2" t="n">
        <f aca="false">AI777+(Entrées!$C$244-Entrées!$C$13)</f>
        <v>28327.3698831652</v>
      </c>
      <c r="AZ777" s="2" t="n">
        <f aca="false">AA777*AH777</f>
        <v>5417.94536001706</v>
      </c>
      <c r="BA777" s="2" t="n">
        <f aca="false">AZ777/AY777</f>
        <v>0.191261856725954</v>
      </c>
      <c r="BB777" s="2" t="n">
        <f aca="false">AZ777/(Entrées!$C$151/100)-AY777</f>
        <v>1772.32656137403</v>
      </c>
      <c r="BC777" s="2" t="n">
        <f aca="false">AT777+(Entrées!$C$244-Entrées!$C$13)</f>
        <v>27826.7525378543</v>
      </c>
      <c r="BD777" s="2" t="n">
        <f aca="false">AA777*AQ777</f>
        <v>5751.81562561538</v>
      </c>
      <c r="BE777" s="2" t="n">
        <f aca="false">BD777/BC777</f>
        <v>0.206700929897977</v>
      </c>
      <c r="BF777" s="2" t="n">
        <f aca="false">BD777/(Entrées!$C$151/100)-BC777</f>
        <v>4127.77871556446</v>
      </c>
      <c r="BG777" s="2" t="n">
        <f aca="false">MIN(AV777,BF777)</f>
        <v>1816.63069962004</v>
      </c>
      <c r="BH777" s="2" t="n">
        <f aca="false">IF(AC777&gt;Hypothèses!$J$26,MAX(0,BG777)/(1-Hypothèses!$J$26/AC777),0)</f>
        <v>2585.05772239514</v>
      </c>
    </row>
    <row r="778" customFormat="false" ht="15" hidden="false" customHeight="false" outlineLevel="0" collapsed="false">
      <c r="A778" s="2" t="n">
        <v>763</v>
      </c>
      <c r="B778" s="2" t="n">
        <v>0.803608238</v>
      </c>
      <c r="C778" s="2"/>
      <c r="D778" s="2" t="n">
        <v>0.962055891</v>
      </c>
      <c r="E778" s="2" t="n">
        <f aca="false">IF(E$7=E$5,E$6,IF(NORMSDIST(E$9*SQRT($C$11)*NORMSINV($B778)+SQRT(1-E$9^2*$C$11)*NORMSINV(D778))&lt;E$8,E$5+SQRT(NORMSDIST(E$9*SQRT($C$11)*NORMSINV($B778)+SQRT(1-E$9^2*$C$11)*NORMSINV(D778))*(E$7-E$5)*(E$6-E$5)),E$7-SQRT((1-NORMSDIST(E$9*SQRT($C$11)*NORMSINV($B778)+SQRT(1-E$9^2*$C$11)*NORMSINV(D778)))*(E$7-E$5)*(E$7-E$6))))</f>
        <v>0.0588227510388115</v>
      </c>
      <c r="F778" s="2" t="n">
        <v>0.29859295</v>
      </c>
      <c r="G778" s="2" t="n">
        <f aca="false">IF(G$7=G$5,G$6,IF(NORMSDIST(G$9*SQRT($C$11)*NORMSINV($B778)+SQRT(1-G$9^2*$C$11)*NORMSINV(F778))&lt;G$8,G$5+SQRT(NORMSDIST(G$9*SQRT($C$11)*NORMSINV($B778)+SQRT(1-G$9^2*$C$11)*NORMSINV(F778))*(G$7-G$5)*(G$6-G$5)),G$7-SQRT((1-NORMSDIST(G$9*SQRT($C$11)*NORMSINV($B778)+SQRT(1-G$9^2*$C$11)*NORMSINV(F778)))*(G$7-G$5)*(G$7-G$6))))</f>
        <v>0.0558041115197202</v>
      </c>
      <c r="H778" s="2" t="n">
        <v>0.839625958</v>
      </c>
      <c r="I778" s="2" t="n">
        <f aca="false">IF(I$7=I$5,I$6,IF(NORMSDIST(I$9*SQRT($C$11)*NORMSINV($B778)+SQRT(1-I$9^2*$C$11)*NORMSINV(H778))&lt;I$8,I$5+SQRT(NORMSDIST(I$9*SQRT($C$11)*NORMSINV($B778)+SQRT(1-I$9^2*$C$11)*NORMSINV(H778))*(I$7-I$5)*(I$6-I$5)),I$7-SQRT((1-NORMSDIST(I$9*SQRT($C$11)*NORMSINV($B778)+SQRT(1-I$9^2*$C$11)*NORMSINV(H778)))*(I$7-I$5)*(I$7-I$6))))</f>
        <v>211.274591475594</v>
      </c>
      <c r="J778" s="2" t="n">
        <v>0.216185137</v>
      </c>
      <c r="K778" s="2" t="n">
        <f aca="false">IF(K$7=K$5,K$6,IF(NORMSDIST(K$9*SQRT($C$11)*NORMSINV($B778)+SQRT(1-K$9^2*$C$11)*NORMSINV(J778))&lt;K$8,K$5+SQRT(NORMSDIST(K$9*SQRT($C$11)*NORMSINV($B778)+SQRT(1-K$9^2*$C$11)*NORMSINV(J778))*(K$7-K$5)*(K$6-K$5)),K$7-SQRT((1-NORMSDIST(K$9*SQRT($C$11)*NORMSINV($B778)+SQRT(1-K$9^2*$C$11)*NORMSINV(J778)))*(K$7-K$5)*(K$7-K$6))))</f>
        <v>0.243161068376353</v>
      </c>
      <c r="L778" s="2" t="n">
        <v>0.36571819</v>
      </c>
      <c r="M778" s="2" t="n">
        <f aca="false">IF(M$7=M$5,M$6,IF(NORMSDIST(M$9*SQRT($C$11)*NORMSINV($B778)+SQRT(1-M$9^2*$C$11)*NORMSINV(L778))&lt;M$8,M$5+SQRT(NORMSDIST(M$9*SQRT($C$11)*NORMSINV($B778)+SQRT(1-M$9^2*$C$11)*NORMSINV(L778))*(M$7-M$5)*(M$6-M$5)),M$7-SQRT((1-NORMSDIST(M$9*SQRT($C$11)*NORMSINV($B778)+SQRT(1-M$9^2*$C$11)*NORMSINV(L778)))*(M$7-M$5)*(M$7-M$6))))</f>
        <v>1614.38588870115</v>
      </c>
      <c r="N778" s="2" t="n">
        <v>0.956858724</v>
      </c>
      <c r="O778" s="2" t="n">
        <f aca="false">IF(O$7=O$5,O$6,IF(NORMSDIST(O$9*SQRT($C$11)*NORMSINV($B778)+SQRT(1-O$9^2*$C$11)*NORMSINV(N778))&lt;O$8,O$5+SQRT(NORMSDIST(O$9*SQRT($C$11)*NORMSINV($B778)+SQRT(1-O$9^2*$C$11)*NORMSINV(N778))*(O$7-O$5)*(O$6-O$5)),O$7-SQRT((1-NORMSDIST(O$9*SQRT($C$11)*NORMSINV($B778)+SQRT(1-O$9^2*$C$11)*NORMSINV(N778)))*(O$7-O$5)*(O$7-O$6))))</f>
        <v>0.18427232593325</v>
      </c>
      <c r="P778" s="2" t="n">
        <v>0.647284588</v>
      </c>
      <c r="Q778" s="2" t="n">
        <f aca="false">IF(Q$7=Q$5,Q$6,IF(NORMSDIST(Q$9*SQRT($C$11)*NORMSINV($B778)+SQRT(1-Q$9^2*$C$11)*NORMSINV(P778))&lt;Q$8,Q$5+SQRT(NORMSDIST(Q$9*SQRT($C$11)*NORMSINV($B778)+SQRT(1-Q$9^2*$C$11)*NORMSINV(P778))*(Q$7-Q$5)*(Q$6-Q$5)),Q$7-SQRT((1-NORMSDIST(Q$9*SQRT($C$11)*NORMSINV($B778)+SQRT(1-Q$9^2*$C$11)*NORMSINV(P778)))*(Q$7-Q$5)*(Q$7-Q$6))))</f>
        <v>0.0864040282414692</v>
      </c>
      <c r="R778" s="2" t="n">
        <v>0.536003019</v>
      </c>
      <c r="S778" s="2" t="n">
        <f aca="false">IF(S$7=S$5,S$6,IF(NORMSDIST(S$9*SQRT($C$11)*NORMSINV($B778)+SQRT(1-S$9^2*$C$11)*NORMSINV(R778))&lt;S$8,S$5+SQRT(NORMSDIST(S$9*SQRT($C$11)*NORMSINV($B778)+SQRT(1-S$9^2*$C$11)*NORMSINV(R778))*(S$7-S$5)*(S$6-S$5)),S$7-SQRT((1-NORMSDIST(S$9*SQRT($C$11)*NORMSINV($B778)+SQRT(1-S$9^2*$C$11)*NORMSINV(R778)))*(S$7-S$5)*(S$7-S$6))))</f>
        <v>0.632052483727406</v>
      </c>
      <c r="T778" s="2" t="n">
        <v>0.100927268</v>
      </c>
      <c r="U778" s="2" t="n">
        <f aca="false">IF(U$7=U$5,U$6,IF(NORMSDIST(U$9*SQRT($C$11)*NORMSINV($B778)+SQRT(1-U$9^2*$C$11)*NORMSINV(T778))&lt;U$8,U$5+SQRT(NORMSDIST(U$9*SQRT($C$11)*NORMSINV($B778)+SQRT(1-U$9^2*$C$11)*NORMSINV(T778))*(U$7-U$5)*(U$6-U$5)),U$7-SQRT((1-NORMSDIST(U$9*SQRT($C$11)*NORMSINV($B778)+SQRT(1-U$9^2*$C$11)*NORMSINV(T778)))*(U$7-U$5)*(U$7-U$6))))</f>
        <v>0.404371335493059</v>
      </c>
      <c r="V778" s="2" t="n">
        <v>0.885596006</v>
      </c>
      <c r="W778" s="2" t="n">
        <f aca="false">IF(W$7=W$5,W$6,IF(NORMSDIST(W$9*SQRT($C$11)*NORMSINV($B778)+SQRT(1-W$9^2*$C$11)*NORMSINV(V778))&lt;W$8,W$5+SQRT(NORMSDIST(W$9*SQRT($C$11)*NORMSINV($B778)+SQRT(1-W$9^2*$C$11)*NORMSINV(V778))*(W$7-W$5)*(W$6-W$5)),W$7-SQRT((1-NORMSDIST(W$9*SQRT($C$11)*NORMSINV($B778)+SQRT(1-W$9^2*$C$11)*NORMSINV(V778)))*(W$7-W$5)*(W$7-W$6))))</f>
        <v>11.2494202252229</v>
      </c>
      <c r="X778" s="2" t="n">
        <v>0.711722728</v>
      </c>
      <c r="Y778" s="2" t="n">
        <f aca="false">IF(Y$7=Y$5,Y$6,IF(NORMSDIST(Y$9*SQRT($C$11)*NORMSINV($B778)+SQRT(1-Y$9^2*$C$11)*NORMSINV(X778))&lt;Y$8,Y$5+SQRT(NORMSDIST(Y$9*SQRT($C$11)*NORMSINV($B778)+SQRT(1-Y$9^2*$C$11)*NORMSINV(X778))*(Y$7-Y$5)*(Y$6-Y$5)),Y$7-SQRT((1-NORMSDIST(Y$9*SQRT($C$11)*NORMSINV($B778)+SQRT(1-Y$9^2*$C$11)*NORMSINV(X778)))*(Y$7-Y$5)*(Y$7-Y$6))))</f>
        <v>0.620344055755741</v>
      </c>
      <c r="Z778" s="2" t="n">
        <v>0.422705761</v>
      </c>
      <c r="AA778" s="2" t="n">
        <f aca="false">IF(AA$7=AA$5,AA$6,IF(NORMSDIST(AA$9*SQRT($C$11)*NORMSINV($B778)+SQRT(1-AA$9^2*$C$11)*NORMSINV(Z778))&lt;AA$8,AA$5+SQRT(NORMSDIST(AA$9*SQRT($C$11)*NORMSINV($B778)+SQRT(1-AA$9^2*$C$11)*NORMSINV(Z778))*(AA$7-AA$5)*(AA$6-AA$5)),AA$7-SQRT((1-NORMSDIST(AA$9*SQRT($C$11)*NORMSINV($B778)+SQRT(1-AA$9^2*$C$11)*NORMSINV(Z778)))*(AA$7-AA$5)*(AA$7-AA$6))))</f>
        <v>0.732705865954426</v>
      </c>
      <c r="AB778" s="2" t="n">
        <v>0.648518747</v>
      </c>
      <c r="AC778" s="2" t="n">
        <f aca="false">IF(AC$7=AC$5,AC$6,IF(NORMSDIST(AC$9*SQRT($C$11)*NORMSINV($B778)+SQRT(1-AC$9^2*$C$11)*NORMSINV(AB778))&lt;AC$8,AC$5+SQRT(NORMSDIST(AC$9*SQRT($C$11)*NORMSINV($B778)+SQRT(1-AC$9^2*$C$11)*NORMSINV(AB778))*(AC$7-AC$5)*(AC$6-AC$5)),AC$7-SQRT((1-NORMSDIST(AC$9*SQRT($C$11)*NORMSINV($B778)+SQRT(1-AC$9^2*$C$11)*NORMSINV(AB778)))*(AC$7-AC$5)*(AC$7-AC$6))))</f>
        <v>10.0667322356748</v>
      </c>
      <c r="AD778" s="2" t="n">
        <f aca="false">Entrées!$C$8*(1+E778)</f>
        <v>7464.70039482362</v>
      </c>
      <c r="AE778" s="2" t="n">
        <f aca="false">I778*Hypothèses!$J$24/12/Hypothèses!$J$19</f>
        <v>104.812648620406</v>
      </c>
      <c r="AF778" s="2" t="n">
        <f aca="false">Entrées!$C$36*S778*1000</f>
        <v>316.026241863703</v>
      </c>
      <c r="AG778" s="2" t="n">
        <f aca="false">-AF778/W778</f>
        <v>-28.0926692697571</v>
      </c>
      <c r="AH778" s="2" t="n">
        <f aca="false">AD778+AE778+AG778</f>
        <v>7541.42037417427</v>
      </c>
      <c r="AI778" s="2" t="n">
        <f aca="false">Entrées!$C$16-M778+Hypothèses!$J$22*1000-AF778+Hypothèses!$J$23</f>
        <v>22617.5878694351</v>
      </c>
      <c r="AJ778" s="2" t="n">
        <f aca="false">AI778/AH778</f>
        <v>2.99911511986382</v>
      </c>
      <c r="AK778" s="2" t="n">
        <f aca="false">AI778/(AH778+I778*(12-Hypothèses!$J$24)/12/Hypothèses!$J$19)</f>
        <v>2.96963457397855</v>
      </c>
      <c r="AL778" s="2" t="n">
        <f aca="false">(AD778+AG778+I778/Hypothèses!$J$19)*(1+G778)</f>
        <v>8041.30665586085</v>
      </c>
      <c r="AM778" s="2" t="n">
        <f aca="false">Entrées!$C$54*K778/Hypothèses!$J$19</f>
        <v>24.8156079951565</v>
      </c>
      <c r="AN778" s="2" t="n">
        <f aca="false">Y778*1000/AC778</f>
        <v>61.6231803163838</v>
      </c>
      <c r="AO778" s="2" t="n">
        <f aca="false">(Entrées!$C$36*(1-S778)+MAX(0,Entrées!$C$30-Entrées!$C$35-Entrées!$C$36)*U778)*1000</f>
        <v>750.093627826579</v>
      </c>
      <c r="AP778" s="2" t="n">
        <f aca="false">-AO778/W778</f>
        <v>-66.6784254485184</v>
      </c>
      <c r="AQ778" s="2" t="n">
        <f aca="false">AL778+AM778+AN778+AP778</f>
        <v>8061.06701872387</v>
      </c>
      <c r="AR778" s="2" t="n">
        <f aca="false">O778*AQ778-Hypothèses!$J$25/Hypothèses!$J$19</f>
        <v>1466.29640678243</v>
      </c>
      <c r="AS778" s="2" t="n">
        <f aca="false">Entrées!$C$79*(1+Q778)+Hypothèses!$J$20</f>
        <v>1488.95802703737</v>
      </c>
      <c r="AT778" s="2" t="n">
        <f aca="false">AI778-AR778+AS778+Y778*1000-AO778+Hypothèses!$J$23</f>
        <v>22510.4999176193</v>
      </c>
      <c r="AU778" s="2" t="n">
        <f aca="false">AT778/AQ778</f>
        <v>2.7924963116338</v>
      </c>
      <c r="AV778" s="2" t="n">
        <f aca="false">Hypothèses!$J$26*AQ778-AT778</f>
        <v>1672.70113855237</v>
      </c>
      <c r="AW778" s="2" t="n">
        <f aca="false">IF(AC778&gt;Hypothèses!$J$26,MAX(0,AV778)/(1-Hypothèses!$J$26/AC778),0)</f>
        <v>2382.80352368653</v>
      </c>
      <c r="AX778" s="2" t="n">
        <f aca="false">AQ778-Entrées!$C$17*1000</f>
        <v>61.0670187238738</v>
      </c>
      <c r="AY778" s="2" t="n">
        <f aca="false">AI778+(Entrées!$C$244-Entrées!$C$13)</f>
        <v>28364.5878694351</v>
      </c>
      <c r="AZ778" s="2" t="n">
        <f aca="false">AA778*AH778</f>
        <v>5525.64294578571</v>
      </c>
      <c r="BA778" s="2" t="n">
        <f aca="false">AZ778/AY778</f>
        <v>0.194807799472383</v>
      </c>
      <c r="BB778" s="2" t="n">
        <f aca="false">AZ778/(Entrées!$C$151/100)-AY778</f>
        <v>2333.42849604104</v>
      </c>
      <c r="BC778" s="2" t="n">
        <f aca="false">AT778+(Entrées!$C$244-Entrées!$C$13)</f>
        <v>28257.4999176193</v>
      </c>
      <c r="BD778" s="2" t="n">
        <f aca="false">AA778*AQ778</f>
        <v>5906.39109047074</v>
      </c>
      <c r="BE778" s="2" t="n">
        <f aca="false">BD778/BC778</f>
        <v>0.209020299307794</v>
      </c>
      <c r="BF778" s="2" t="n">
        <f aca="false">BD778/(Entrées!$C$151/100)-BC778</f>
        <v>4555.78391832932</v>
      </c>
      <c r="BG778" s="2" t="n">
        <f aca="false">MIN(AV778,BF778)</f>
        <v>1672.70113855237</v>
      </c>
      <c r="BH778" s="2" t="n">
        <f aca="false">IF(AC778&gt;Hypothèses!$J$26,MAX(0,BG778)/(1-Hypothèses!$J$26/AC778),0)</f>
        <v>2382.80352368653</v>
      </c>
    </row>
    <row r="779" customFormat="false" ht="15" hidden="false" customHeight="false" outlineLevel="0" collapsed="false">
      <c r="A779" s="2" t="n">
        <v>764</v>
      </c>
      <c r="B779" s="2" t="n">
        <v>0.063749448</v>
      </c>
      <c r="C779" s="2"/>
      <c r="D779" s="2" t="n">
        <v>0.9397342</v>
      </c>
      <c r="E779" s="2" t="n">
        <f aca="false">IF(E$7=E$5,E$6,IF(NORMSDIST(E$9*SQRT($C$11)*NORMSINV($B779)+SQRT(1-E$9^2*$C$11)*NORMSINV(D779))&lt;E$8,E$5+SQRT(NORMSDIST(E$9*SQRT($C$11)*NORMSINV($B779)+SQRT(1-E$9^2*$C$11)*NORMSINV(D779))*(E$7-E$5)*(E$6-E$5)),E$7-SQRT((1-NORMSDIST(E$9*SQRT($C$11)*NORMSINV($B779)+SQRT(1-E$9^2*$C$11)*NORMSINV(D779)))*(E$7-E$5)*(E$7-E$6))))</f>
        <v>0.0554963057715803</v>
      </c>
      <c r="F779" s="2" t="n">
        <v>0.486324218</v>
      </c>
      <c r="G779" s="2" t="n">
        <f aca="false">IF(G$7=G$5,G$6,IF(NORMSDIST(G$9*SQRT($C$11)*NORMSINV($B779)+SQRT(1-G$9^2*$C$11)*NORMSINV(F779))&lt;G$8,G$5+SQRT(NORMSDIST(G$9*SQRT($C$11)*NORMSINV($B779)+SQRT(1-G$9^2*$C$11)*NORMSINV(F779))*(G$7-G$5)*(G$6-G$5)),G$7-SQRT((1-NORMSDIST(G$9*SQRT($C$11)*NORMSINV($B779)+SQRT(1-G$9^2*$C$11)*NORMSINV(F779)))*(G$7-G$5)*(G$7-G$6))))</f>
        <v>0.0485111802555935</v>
      </c>
      <c r="H779" s="2" t="n">
        <v>0.048916327</v>
      </c>
      <c r="I779" s="2" t="n">
        <f aca="false">IF(I$7=I$5,I$6,IF(NORMSDIST(I$9*SQRT($C$11)*NORMSINV($B779)+SQRT(1-I$9^2*$C$11)*NORMSINV(H779))&lt;I$8,I$5+SQRT(NORMSDIST(I$9*SQRT($C$11)*NORMSINV($B779)+SQRT(1-I$9^2*$C$11)*NORMSINV(H779))*(I$7-I$5)*(I$6-I$5)),I$7-SQRT((1-NORMSDIST(I$9*SQRT($C$11)*NORMSINV($B779)+SQRT(1-I$9^2*$C$11)*NORMSINV(H779)))*(I$7-I$5)*(I$7-I$6))))</f>
        <v>183.142705431564</v>
      </c>
      <c r="J779" s="2" t="n">
        <v>0.153509266</v>
      </c>
      <c r="K779" s="2" t="n">
        <f aca="false">IF(K$7=K$5,K$6,IF(NORMSDIST(K$9*SQRT($C$11)*NORMSINV($B779)+SQRT(1-K$9^2*$C$11)*NORMSINV(J779))&lt;K$8,K$5+SQRT(NORMSDIST(K$9*SQRT($C$11)*NORMSINV($B779)+SQRT(1-K$9^2*$C$11)*NORMSINV(J779))*(K$7-K$5)*(K$6-K$5)),K$7-SQRT((1-NORMSDIST(K$9*SQRT($C$11)*NORMSINV($B779)+SQRT(1-K$9^2*$C$11)*NORMSINV(J779)))*(K$7-K$5)*(K$7-K$6))))</f>
        <v>0.0703722405825765</v>
      </c>
      <c r="L779" s="2" t="n">
        <v>0.170012263</v>
      </c>
      <c r="M779" s="2" t="n">
        <f aca="false">IF(M$7=M$5,M$6,IF(NORMSDIST(M$9*SQRT($C$11)*NORMSINV($B779)+SQRT(1-M$9^2*$C$11)*NORMSINV(L779))&lt;M$8,M$5+SQRT(NORMSDIST(M$9*SQRT($C$11)*NORMSINV($B779)+SQRT(1-M$9^2*$C$11)*NORMSINV(L779))*(M$7-M$5)*(M$6-M$5)),M$7-SQRT((1-NORMSDIST(M$9*SQRT($C$11)*NORMSINV($B779)+SQRT(1-M$9^2*$C$11)*NORMSINV(L779)))*(M$7-M$5)*(M$7-M$6))))</f>
        <v>1387.17433149487</v>
      </c>
      <c r="N779" s="2" t="n">
        <v>0.702180127</v>
      </c>
      <c r="O779" s="2" t="n">
        <f aca="false">IF(O$7=O$5,O$6,IF(NORMSDIST(O$9*SQRT($C$11)*NORMSINV($B779)+SQRT(1-O$9^2*$C$11)*NORMSINV(N779))&lt;O$8,O$5+SQRT(NORMSDIST(O$9*SQRT($C$11)*NORMSINV($B779)+SQRT(1-O$9^2*$C$11)*NORMSINV(N779))*(O$7-O$5)*(O$6-O$5)),O$7-SQRT((1-NORMSDIST(O$9*SQRT($C$11)*NORMSINV($B779)+SQRT(1-O$9^2*$C$11)*NORMSINV(N779)))*(O$7-O$5)*(O$7-O$6))))</f>
        <v>0.160405222423125</v>
      </c>
      <c r="P779" s="2" t="n">
        <v>0.659995904</v>
      </c>
      <c r="Q779" s="2" t="n">
        <f aca="false">IF(Q$7=Q$5,Q$6,IF(NORMSDIST(Q$9*SQRT($C$11)*NORMSINV($B779)+SQRT(1-Q$9^2*$C$11)*NORMSINV(P779))&lt;Q$8,Q$5+SQRT(NORMSDIST(Q$9*SQRT($C$11)*NORMSINV($B779)+SQRT(1-Q$9^2*$C$11)*NORMSINV(P779))*(Q$7-Q$5)*(Q$6-Q$5)),Q$7-SQRT((1-NORMSDIST(Q$9*SQRT($C$11)*NORMSINV($B779)+SQRT(1-Q$9^2*$C$11)*NORMSINV(P779)))*(Q$7-Q$5)*(Q$7-Q$6))))</f>
        <v>0.0870149563104731</v>
      </c>
      <c r="R779" s="2" t="n">
        <v>0.347235162</v>
      </c>
      <c r="S779" s="2" t="n">
        <f aca="false">IF(S$7=S$5,S$6,IF(NORMSDIST(S$9*SQRT($C$11)*NORMSINV($B779)+SQRT(1-S$9^2*$C$11)*NORMSINV(R779))&lt;S$8,S$5+SQRT(NORMSDIST(S$9*SQRT($C$11)*NORMSINV($B779)+SQRT(1-S$9^2*$C$11)*NORMSINV(R779))*(S$7-S$5)*(S$6-S$5)),S$7-SQRT((1-NORMSDIST(S$9*SQRT($C$11)*NORMSINV($B779)+SQRT(1-S$9^2*$C$11)*NORMSINV(R779)))*(S$7-S$5)*(S$7-S$6))))</f>
        <v>0.226244357645313</v>
      </c>
      <c r="T779" s="2" t="n">
        <v>0.554195178</v>
      </c>
      <c r="U779" s="2" t="n">
        <f aca="false">IF(U$7=U$5,U$6,IF(NORMSDIST(U$9*SQRT($C$11)*NORMSINV($B779)+SQRT(1-U$9^2*$C$11)*NORMSINV(T779))&lt;U$8,U$5+SQRT(NORMSDIST(U$9*SQRT($C$11)*NORMSINV($B779)+SQRT(1-U$9^2*$C$11)*NORMSINV(T779))*(U$7-U$5)*(U$6-U$5)),U$7-SQRT((1-NORMSDIST(U$9*SQRT($C$11)*NORMSINV($B779)+SQRT(1-U$9^2*$C$11)*NORMSINV(T779)))*(U$7-U$5)*(U$7-U$6))))</f>
        <v>0.312533098234739</v>
      </c>
      <c r="V779" s="2" t="n">
        <v>0.729214917</v>
      </c>
      <c r="W779" s="2" t="n">
        <f aca="false">IF(W$7=W$5,W$6,IF(NORMSDIST(W$9*SQRT($C$11)*NORMSINV($B779)+SQRT(1-W$9^2*$C$11)*NORMSINV(V779))&lt;W$8,W$5+SQRT(NORMSDIST(W$9*SQRT($C$11)*NORMSINV($B779)+SQRT(1-W$9^2*$C$11)*NORMSINV(V779))*(W$7-W$5)*(W$6-W$5)),W$7-SQRT((1-NORMSDIST(W$9*SQRT($C$11)*NORMSINV($B779)+SQRT(1-W$9^2*$C$11)*NORMSINV(V779)))*(W$7-W$5)*(W$7-W$6))))</f>
        <v>9.57910951054996</v>
      </c>
      <c r="X779" s="2" t="n">
        <v>0.908373895</v>
      </c>
      <c r="Y779" s="2" t="n">
        <f aca="false">IF(Y$7=Y$5,Y$6,IF(NORMSDIST(Y$9*SQRT($C$11)*NORMSINV($B779)+SQRT(1-Y$9^2*$C$11)*NORMSINV(X779))&lt;Y$8,Y$5+SQRT(NORMSDIST(Y$9*SQRT($C$11)*NORMSINV($B779)+SQRT(1-Y$9^2*$C$11)*NORMSINV(X779))*(Y$7-Y$5)*(Y$6-Y$5)),Y$7-SQRT((1-NORMSDIST(Y$9*SQRT($C$11)*NORMSINV($B779)+SQRT(1-Y$9^2*$C$11)*NORMSINV(X779)))*(Y$7-Y$5)*(Y$7-Y$6))))</f>
        <v>0.785960161418487</v>
      </c>
      <c r="Z779" s="2" t="n">
        <v>0.724090737</v>
      </c>
      <c r="AA779" s="2" t="n">
        <f aca="false">IF(AA$7=AA$5,AA$6,IF(NORMSDIST(AA$9*SQRT($C$11)*NORMSINV($B779)+SQRT(1-AA$9^2*$C$11)*NORMSINV(Z779))&lt;AA$8,AA$5+SQRT(NORMSDIST(AA$9*SQRT($C$11)*NORMSINV($B779)+SQRT(1-AA$9^2*$C$11)*NORMSINV(Z779))*(AA$7-AA$5)*(AA$6-AA$5)),AA$7-SQRT((1-NORMSDIST(AA$9*SQRT($C$11)*NORMSINV($B779)+SQRT(1-AA$9^2*$C$11)*NORMSINV(Z779)))*(AA$7-AA$5)*(AA$7-AA$6))))</f>
        <v>0.720988044855136</v>
      </c>
      <c r="AB779" s="2" t="n">
        <v>0.68208852</v>
      </c>
      <c r="AC779" s="2" t="n">
        <f aca="false">IF(AC$7=AC$5,AC$6,IF(NORMSDIST(AC$9*SQRT($C$11)*NORMSINV($B779)+SQRT(1-AC$9^2*$C$11)*NORMSINV(AB779))&lt;AC$8,AC$5+SQRT(NORMSDIST(AC$9*SQRT($C$11)*NORMSINV($B779)+SQRT(1-AC$9^2*$C$11)*NORMSINV(AB779))*(AC$7-AC$5)*(AC$6-AC$5)),AC$7-SQRT((1-NORMSDIST(AC$9*SQRT($C$11)*NORMSINV($B779)+SQRT(1-AC$9^2*$C$11)*NORMSINV(AB779)))*(AC$7-AC$5)*(AC$7-AC$6))))</f>
        <v>8.94206473578716</v>
      </c>
      <c r="AD779" s="2" t="n">
        <f aca="false">Entrées!$C$8*(1+E779)</f>
        <v>7441.24895568964</v>
      </c>
      <c r="AE779" s="2" t="n">
        <f aca="false">I779*Hypothèses!$J$24/12/Hypothèses!$J$19</f>
        <v>90.8565099935664</v>
      </c>
      <c r="AF779" s="2" t="n">
        <f aca="false">Entrées!$C$36*S779*1000</f>
        <v>113.122178822656</v>
      </c>
      <c r="AG779" s="2" t="n">
        <f aca="false">-AF779/W779</f>
        <v>-11.8092583343023</v>
      </c>
      <c r="AH779" s="2" t="n">
        <f aca="false">AD779+AE779+AG779</f>
        <v>7520.29620734891</v>
      </c>
      <c r="AI779" s="2" t="n">
        <f aca="false">Entrées!$C$16-M779+Hypothèses!$J$22*1000-AF779+Hypothèses!$J$23</f>
        <v>23047.7034896825</v>
      </c>
      <c r="AJ779" s="2" t="n">
        <f aca="false">AI779/AH779</f>
        <v>3.06473346982796</v>
      </c>
      <c r="AK779" s="2" t="n">
        <f aca="false">AI779/(AH779+I779*(12-Hypothèses!$J$24)/12/Hypothèses!$J$19)</f>
        <v>3.03851218007301</v>
      </c>
      <c r="AL779" s="2" t="n">
        <f aca="false">(AD779+AG779+I779/Hypothèses!$J$19)*(1+G779)</f>
        <v>7953.16041404425</v>
      </c>
      <c r="AM779" s="2" t="n">
        <f aca="false">Entrées!$C$54*K779/Hypothèses!$J$19</f>
        <v>7.18178262539617</v>
      </c>
      <c r="AN779" s="2" t="n">
        <f aca="false">Y779*1000/AC779</f>
        <v>87.8947071667895</v>
      </c>
      <c r="AO779" s="2" t="n">
        <f aca="false">(Entrées!$C$36*(1-S779)+MAX(0,Entrées!$C$30-Entrées!$C$35-Entrées!$C$36)*U779)*1000</f>
        <v>824.424158705978</v>
      </c>
      <c r="AP779" s="2" t="n">
        <f aca="false">-AO779/W779</f>
        <v>-86.064801513961</v>
      </c>
      <c r="AQ779" s="2" t="n">
        <f aca="false">AL779+AM779+AN779+AP779</f>
        <v>7962.17210232247</v>
      </c>
      <c r="AR779" s="2" t="n">
        <f aca="false">O779*AQ779-Hypothèses!$J$25/Hypothèses!$J$19</f>
        <v>1258.03882478261</v>
      </c>
      <c r="AS779" s="2" t="n">
        <f aca="false">Entrées!$C$79*(1+Q779)+Hypothèses!$J$20</f>
        <v>1489.62943698521</v>
      </c>
      <c r="AT779" s="2" t="n">
        <f aca="false">AI779-AR779+AS779+Y779*1000-AO779+Hypothèses!$J$23</f>
        <v>23240.8301045976</v>
      </c>
      <c r="AU779" s="2" t="n">
        <f aca="false">AT779/AQ779</f>
        <v>2.91890577168239</v>
      </c>
      <c r="AV779" s="2" t="n">
        <f aca="false">Hypothèses!$J$26*AQ779-AT779</f>
        <v>645.686202369838</v>
      </c>
      <c r="AW779" s="2" t="n">
        <f aca="false">IF(AC779&gt;Hypothèses!$J$26,MAX(0,AV779)/(1-Hypothèses!$J$26/AC779),0)</f>
        <v>971.677031019554</v>
      </c>
      <c r="AX779" s="2" t="n">
        <f aca="false">AQ779-Entrées!$C$17*1000</f>
        <v>-37.8278976775264</v>
      </c>
      <c r="AY779" s="2" t="n">
        <f aca="false">AI779+(Entrées!$C$244-Entrées!$C$13)</f>
        <v>28794.7034896825</v>
      </c>
      <c r="AZ779" s="2" t="n">
        <f aca="false">AA779*AH779</f>
        <v>5422.04365926798</v>
      </c>
      <c r="BA779" s="2" t="n">
        <f aca="false">AZ779/AY779</f>
        <v>0.188300034456364</v>
      </c>
      <c r="BB779" s="2" t="n">
        <f aca="false">AZ779/(Entrées!$C$151/100)-AY779</f>
        <v>1327.76128402854</v>
      </c>
      <c r="BC779" s="2" t="n">
        <f aca="false">AT779+(Entrées!$C$244-Entrées!$C$13)</f>
        <v>28987.8301045976</v>
      </c>
      <c r="BD779" s="2" t="n">
        <f aca="false">AA779*AQ779</f>
        <v>5740.63089685359</v>
      </c>
      <c r="BE779" s="2" t="n">
        <f aca="false">BD779/BC779</f>
        <v>0.198035895620318</v>
      </c>
      <c r="BF779" s="2" t="n">
        <f aca="false">BD779/(Entrées!$C$151/100)-BC779</f>
        <v>2904.56376681124</v>
      </c>
      <c r="BG779" s="2" t="n">
        <f aca="false">MIN(AV779,BF779)</f>
        <v>645.686202369838</v>
      </c>
      <c r="BH779" s="2" t="n">
        <f aca="false">IF(AC779&gt;Hypothèses!$J$26,MAX(0,BG779)/(1-Hypothèses!$J$26/AC779),0)</f>
        <v>971.677031019554</v>
      </c>
    </row>
    <row r="780" customFormat="false" ht="15" hidden="false" customHeight="false" outlineLevel="0" collapsed="false">
      <c r="A780" s="2" t="n">
        <v>765</v>
      </c>
      <c r="B780" s="2" t="n">
        <v>0.339954776</v>
      </c>
      <c r="C780" s="2"/>
      <c r="D780" s="2" t="n">
        <v>0.967743396</v>
      </c>
      <c r="E780" s="2" t="n">
        <f aca="false">IF(E$7=E$5,E$6,IF(NORMSDIST(E$9*SQRT($C$11)*NORMSINV($B780)+SQRT(1-E$9^2*$C$11)*NORMSINV(D780))&lt;E$8,E$5+SQRT(NORMSDIST(E$9*SQRT($C$11)*NORMSINV($B780)+SQRT(1-E$9^2*$C$11)*NORMSINV(D780))*(E$7-E$5)*(E$6-E$5)),E$7-SQRT((1-NORMSDIST(E$9*SQRT($C$11)*NORMSINV($B780)+SQRT(1-E$9^2*$C$11)*NORMSINV(D780)))*(E$7-E$5)*(E$7-E$6))))</f>
        <v>0.0575423436801972</v>
      </c>
      <c r="F780" s="2" t="n">
        <v>0.719227071</v>
      </c>
      <c r="G780" s="2" t="n">
        <f aca="false">IF(G$7=G$5,G$6,IF(NORMSDIST(G$9*SQRT($C$11)*NORMSINV($B780)+SQRT(1-G$9^2*$C$11)*NORMSINV(F780))&lt;G$8,G$5+SQRT(NORMSDIST(G$9*SQRT($C$11)*NORMSINV($B780)+SQRT(1-G$9^2*$C$11)*NORMSINV(F780))*(G$7-G$5)*(G$6-G$5)),G$7-SQRT((1-NORMSDIST(G$9*SQRT($C$11)*NORMSINV($B780)+SQRT(1-G$9^2*$C$11)*NORMSINV(F780)))*(G$7-G$5)*(G$7-G$6))))</f>
        <v>0.0561683157087611</v>
      </c>
      <c r="H780" s="2" t="n">
        <v>0.208401955</v>
      </c>
      <c r="I780" s="2" t="n">
        <f aca="false">IF(I$7=I$5,I$6,IF(NORMSDIST(I$9*SQRT($C$11)*NORMSINV($B780)+SQRT(1-I$9^2*$C$11)*NORMSINV(H780))&lt;I$8,I$5+SQRT(NORMSDIST(I$9*SQRT($C$11)*NORMSINV($B780)+SQRT(1-I$9^2*$C$11)*NORMSINV(H780))*(I$7-I$5)*(I$6-I$5)),I$7-SQRT((1-NORMSDIST(I$9*SQRT($C$11)*NORMSINV($B780)+SQRT(1-I$9^2*$C$11)*NORMSINV(H780)))*(I$7-I$5)*(I$7-I$6))))</f>
        <v>192.223262270919</v>
      </c>
      <c r="J780" s="2" t="n">
        <v>0.407895</v>
      </c>
      <c r="K780" s="2" t="n">
        <f aca="false">IF(K$7=K$5,K$6,IF(NORMSDIST(K$9*SQRT($C$11)*NORMSINV($B780)+SQRT(1-K$9^2*$C$11)*NORMSINV(J780))&lt;K$8,K$5+SQRT(NORMSDIST(K$9*SQRT($C$11)*NORMSINV($B780)+SQRT(1-K$9^2*$C$11)*NORMSINV(J780))*(K$7-K$5)*(K$6-K$5)),K$7-SQRT((1-NORMSDIST(K$9*SQRT($C$11)*NORMSINV($B780)+SQRT(1-K$9^2*$C$11)*NORMSINV(J780)))*(K$7-K$5)*(K$7-K$6))))</f>
        <v>0.202935789111223</v>
      </c>
      <c r="L780" s="2" t="n">
        <v>0.869520089</v>
      </c>
      <c r="M780" s="2" t="n">
        <f aca="false">IF(M$7=M$5,M$6,IF(NORMSDIST(M$9*SQRT($C$11)*NORMSINV($B780)+SQRT(1-M$9^2*$C$11)*NORMSINV(L780))&lt;M$8,M$5+SQRT(NORMSDIST(M$9*SQRT($C$11)*NORMSINV($B780)+SQRT(1-M$9^2*$C$11)*NORMSINV(L780))*(M$7-M$5)*(M$6-M$5)),M$7-SQRT((1-NORMSDIST(M$9*SQRT($C$11)*NORMSINV($B780)+SQRT(1-M$9^2*$C$11)*NORMSINV(L780)))*(M$7-M$5)*(M$7-M$6))))</f>
        <v>1645.0196269379</v>
      </c>
      <c r="N780" s="2" t="n">
        <v>0.778457602</v>
      </c>
      <c r="O780" s="2" t="n">
        <f aca="false">IF(O$7=O$5,O$6,IF(NORMSDIST(O$9*SQRT($C$11)*NORMSINV($B780)+SQRT(1-O$9^2*$C$11)*NORMSINV(N780))&lt;O$8,O$5+SQRT(NORMSDIST(O$9*SQRT($C$11)*NORMSINV($B780)+SQRT(1-O$9^2*$C$11)*NORMSINV(N780))*(O$7-O$5)*(O$6-O$5)),O$7-SQRT((1-NORMSDIST(O$9*SQRT($C$11)*NORMSINV($B780)+SQRT(1-O$9^2*$C$11)*NORMSINV(N780)))*(O$7-O$5)*(O$7-O$6))))</f>
        <v>0.170160938628573</v>
      </c>
      <c r="P780" s="2" t="n">
        <v>0.465152236</v>
      </c>
      <c r="Q780" s="2" t="n">
        <f aca="false">IF(Q$7=Q$5,Q$6,IF(NORMSDIST(Q$9*SQRT($C$11)*NORMSINV($B780)+SQRT(1-Q$9^2*$C$11)*NORMSINV(P780))&lt;Q$8,Q$5+SQRT(NORMSDIST(Q$9*SQRT($C$11)*NORMSINV($B780)+SQRT(1-Q$9^2*$C$11)*NORMSINV(P780))*(Q$7-Q$5)*(Q$6-Q$5)),Q$7-SQRT((1-NORMSDIST(Q$9*SQRT($C$11)*NORMSINV($B780)+SQRT(1-Q$9^2*$C$11)*NORMSINV(P780)))*(Q$7-Q$5)*(Q$7-Q$6))))</f>
        <v>0.0785809169823632</v>
      </c>
      <c r="R780" s="2" t="n">
        <v>0.163352318</v>
      </c>
      <c r="S780" s="2" t="n">
        <f aca="false">IF(S$7=S$5,S$6,IF(NORMSDIST(S$9*SQRT($C$11)*NORMSINV($B780)+SQRT(1-S$9^2*$C$11)*NORMSINV(R780))&lt;S$8,S$5+SQRT(NORMSDIST(S$9*SQRT($C$11)*NORMSINV($B780)+SQRT(1-S$9^2*$C$11)*NORMSINV(R780))*(S$7-S$5)*(S$6-S$5)),S$7-SQRT((1-NORMSDIST(S$9*SQRT($C$11)*NORMSINV($B780)+SQRT(1-S$9^2*$C$11)*NORMSINV(R780)))*(S$7-S$5)*(S$7-S$6))))</f>
        <v>0.277228277727698</v>
      </c>
      <c r="T780" s="2" t="n">
        <v>0.972509371</v>
      </c>
      <c r="U780" s="2" t="n">
        <f aca="false">IF(U$7=U$5,U$6,IF(NORMSDIST(U$9*SQRT($C$11)*NORMSINV($B780)+SQRT(1-U$9^2*$C$11)*NORMSINV(T780))&lt;U$8,U$5+SQRT(NORMSDIST(U$9*SQRT($C$11)*NORMSINV($B780)+SQRT(1-U$9^2*$C$11)*NORMSINV(T780))*(U$7-U$5)*(U$6-U$5)),U$7-SQRT((1-NORMSDIST(U$9*SQRT($C$11)*NORMSINV($B780)+SQRT(1-U$9^2*$C$11)*NORMSINV(T780)))*(U$7-U$5)*(U$7-U$6))))</f>
        <v>0.765278540531183</v>
      </c>
      <c r="V780" s="2" t="n">
        <v>0.04454094</v>
      </c>
      <c r="W780" s="2" t="n">
        <f aca="false">IF(W$7=W$5,W$6,IF(NORMSDIST(W$9*SQRT($C$11)*NORMSINV($B780)+SQRT(1-W$9^2*$C$11)*NORMSINV(V780))&lt;W$8,W$5+SQRT(NORMSDIST(W$9*SQRT($C$11)*NORMSINV($B780)+SQRT(1-W$9^2*$C$11)*NORMSINV(V780))*(W$7-W$5)*(W$6-W$5)),W$7-SQRT((1-NORMSDIST(W$9*SQRT($C$11)*NORMSINV($B780)+SQRT(1-W$9^2*$C$11)*NORMSINV(V780)))*(W$7-W$5)*(W$7-W$6))))</f>
        <v>8.67697866479483</v>
      </c>
      <c r="X780" s="2" t="n">
        <v>0.975495132</v>
      </c>
      <c r="Y780" s="2" t="n">
        <f aca="false">IF(Y$7=Y$5,Y$6,IF(NORMSDIST(Y$9*SQRT($C$11)*NORMSINV($B780)+SQRT(1-Y$9^2*$C$11)*NORMSINV(X780))&lt;Y$8,Y$5+SQRT(NORMSDIST(Y$9*SQRT($C$11)*NORMSINV($B780)+SQRT(1-Y$9^2*$C$11)*NORMSINV(X780))*(Y$7-Y$5)*(Y$6-Y$5)),Y$7-SQRT((1-NORMSDIST(Y$9*SQRT($C$11)*NORMSINV($B780)+SQRT(1-Y$9^2*$C$11)*NORMSINV(X780)))*(Y$7-Y$5)*(Y$7-Y$6))))</f>
        <v>0.889309286749068</v>
      </c>
      <c r="Z780" s="2" t="n">
        <v>0.337362367</v>
      </c>
      <c r="AA780" s="2" t="n">
        <f aca="false">IF(AA$7=AA$5,AA$6,IF(NORMSDIST(AA$9*SQRT($C$11)*NORMSINV($B780)+SQRT(1-AA$9^2*$C$11)*NORMSINV(Z780))&lt;AA$8,AA$5+SQRT(NORMSDIST(AA$9*SQRT($C$11)*NORMSINV($B780)+SQRT(1-AA$9^2*$C$11)*NORMSINV(Z780))*(AA$7-AA$5)*(AA$6-AA$5)),AA$7-SQRT((1-NORMSDIST(AA$9*SQRT($C$11)*NORMSINV($B780)+SQRT(1-AA$9^2*$C$11)*NORMSINV(Z780)))*(AA$7-AA$5)*(AA$7-AA$6))))</f>
        <v>0.719766911450633</v>
      </c>
      <c r="AB780" s="2" t="n">
        <v>0.064223518</v>
      </c>
      <c r="AC780" s="2" t="n">
        <f aca="false">IF(AC$7=AC$5,AC$6,IF(NORMSDIST(AC$9*SQRT($C$11)*NORMSINV($B780)+SQRT(1-AC$9^2*$C$11)*NORMSINV(AB780))&lt;AC$8,AC$5+SQRT(NORMSDIST(AC$9*SQRT($C$11)*NORMSINV($B780)+SQRT(1-AC$9^2*$C$11)*NORMSINV(AB780))*(AC$7-AC$5)*(AC$6-AC$5)),AC$7-SQRT((1-NORMSDIST(AC$9*SQRT($C$11)*NORMSINV($B780)+SQRT(1-AC$9^2*$C$11)*NORMSINV(AB780)))*(AC$7-AC$5)*(AC$7-AC$6))))</f>
        <v>8.2057479617454</v>
      </c>
      <c r="AD780" s="2" t="n">
        <f aca="false">Entrées!$C$8*(1+E780)</f>
        <v>7455.67352294539</v>
      </c>
      <c r="AE780" s="2" t="n">
        <f aca="false">I780*Hypothèses!$J$24/12/Hypothèses!$J$19</f>
        <v>95.361345178118</v>
      </c>
      <c r="AF780" s="2" t="n">
        <f aca="false">Entrées!$C$36*S780*1000</f>
        <v>138.614138863849</v>
      </c>
      <c r="AG780" s="2" t="n">
        <f aca="false">-AF780/W780</f>
        <v>-15.9749313924499</v>
      </c>
      <c r="AH780" s="2" t="n">
        <f aca="false">AD780+AE780+AG780</f>
        <v>7535.05993673106</v>
      </c>
      <c r="AI780" s="2" t="n">
        <f aca="false">Entrées!$C$16-M780+Hypothèses!$J$22*1000-AF780+Hypothèses!$J$23</f>
        <v>22764.3662341983</v>
      </c>
      <c r="AJ780" s="2" t="n">
        <f aca="false">AI780/AH780</f>
        <v>3.02112609924031</v>
      </c>
      <c r="AK780" s="2" t="n">
        <f aca="false">AI780/(AH780+I780*(12-Hypothèses!$J$24)/12/Hypothèses!$J$19)</f>
        <v>2.99406046624289</v>
      </c>
      <c r="AL780" s="2" t="n">
        <f aca="false">(AD780+AG780+I780/Hypothèses!$J$19)*(1+G780)</f>
        <v>8030.23272737073</v>
      </c>
      <c r="AM780" s="2" t="n">
        <f aca="false">Entrées!$C$54*K780/Hypothèses!$J$19</f>
        <v>20.7104493511166</v>
      </c>
      <c r="AN780" s="2" t="n">
        <f aca="false">Y780*1000/AC780</f>
        <v>108.376383346767</v>
      </c>
      <c r="AO780" s="2" t="n">
        <f aca="false">(Entrées!$C$36*(1-S780)+MAX(0,Entrées!$C$30-Entrées!$C$35-Entrées!$C$36)*U780)*1000</f>
        <v>1432.77581787981</v>
      </c>
      <c r="AP780" s="2" t="n">
        <f aca="false">-AO780/W780</f>
        <v>-165.123814778181</v>
      </c>
      <c r="AQ780" s="2" t="n">
        <f aca="false">AL780+AM780+AN780+AP780</f>
        <v>7994.19574529043</v>
      </c>
      <c r="AR780" s="2" t="n">
        <f aca="false">O780*AQ780-Hypothèses!$J$25/Hypothèses!$J$19</f>
        <v>1341.16468933754</v>
      </c>
      <c r="AS780" s="2" t="n">
        <f aca="false">Entrées!$C$79*(1+Q780)+Hypothèses!$J$20</f>
        <v>1480.36042776362</v>
      </c>
      <c r="AT780" s="2" t="n">
        <f aca="false">AI780-AR780+AS780+Y780*1000-AO780+Hypothèses!$J$23</f>
        <v>22360.0954414936</v>
      </c>
      <c r="AU780" s="2" t="n">
        <f aca="false">AT780/AQ780</f>
        <v>2.79704127268418</v>
      </c>
      <c r="AV780" s="2" t="n">
        <f aca="false">Hypothèses!$J$26*AQ780-AT780</f>
        <v>1622.49179437771</v>
      </c>
      <c r="AW780" s="2" t="n">
        <f aca="false">IF(AC780&gt;Hypothèses!$J$26,MAX(0,AV780)/(1-Hypothèses!$J$26/AC780),0)</f>
        <v>2557.51120348125</v>
      </c>
      <c r="AX780" s="2" t="n">
        <f aca="false">AQ780-Entrées!$C$17*1000</f>
        <v>-5.80425470956743</v>
      </c>
      <c r="AY780" s="2" t="n">
        <f aca="false">AI780+(Entrées!$C$244-Entrées!$C$13)</f>
        <v>28511.3662341983</v>
      </c>
      <c r="AZ780" s="2" t="n">
        <f aca="false">AA780*AH780</f>
        <v>5423.48681825632</v>
      </c>
      <c r="BA780" s="2" t="n">
        <f aca="false">AZ780/AY780</f>
        <v>0.190221919697102</v>
      </c>
      <c r="BB780" s="2" t="n">
        <f aca="false">AZ780/(Entrées!$C$151/100)-AY780</f>
        <v>1619.11608944796</v>
      </c>
      <c r="BC780" s="2" t="n">
        <f aca="false">AT780+(Entrées!$C$244-Entrées!$C$13)</f>
        <v>28107.0954414936</v>
      </c>
      <c r="BD780" s="2" t="n">
        <f aca="false">AA780*AQ780</f>
        <v>5753.95758111949</v>
      </c>
      <c r="BE780" s="2" t="n">
        <f aca="false">BD780/BC780</f>
        <v>0.204715481651125</v>
      </c>
      <c r="BF780" s="2" t="n">
        <f aca="false">BD780/(Entrées!$C$151/100)-BC780</f>
        <v>3859.33556472579</v>
      </c>
      <c r="BG780" s="2" t="n">
        <f aca="false">MIN(AV780,BF780)</f>
        <v>1622.49179437771</v>
      </c>
      <c r="BH780" s="2" t="n">
        <f aca="false">IF(AC780&gt;Hypothèses!$J$26,MAX(0,BG780)/(1-Hypothèses!$J$26/AC780),0)</f>
        <v>2557.51120348125</v>
      </c>
    </row>
    <row r="781" customFormat="false" ht="15" hidden="false" customHeight="false" outlineLevel="0" collapsed="false">
      <c r="A781" s="2" t="n">
        <v>766</v>
      </c>
      <c r="B781" s="2" t="n">
        <v>0.012936016</v>
      </c>
      <c r="C781" s="2"/>
      <c r="D781" s="2" t="n">
        <v>0.768549123</v>
      </c>
      <c r="E781" s="2" t="n">
        <f aca="false">IF(E$7=E$5,E$6,IF(NORMSDIST(E$9*SQRT($C$11)*NORMSINV($B781)+SQRT(1-E$9^2*$C$11)*NORMSINV(D781))&lt;E$8,E$5+SQRT(NORMSDIST(E$9*SQRT($C$11)*NORMSINV($B781)+SQRT(1-E$9^2*$C$11)*NORMSINV(D781))*(E$7-E$5)*(E$6-E$5)),E$7-SQRT((1-NORMSDIST(E$9*SQRT($C$11)*NORMSINV($B781)+SQRT(1-E$9^2*$C$11)*NORMSINV(D781)))*(E$7-E$5)*(E$7-E$6))))</f>
        <v>0.0531645874295005</v>
      </c>
      <c r="F781" s="2" t="n">
        <v>0.191247537</v>
      </c>
      <c r="G781" s="2" t="n">
        <f aca="false">IF(G$7=G$5,G$6,IF(NORMSDIST(G$9*SQRT($C$11)*NORMSINV($B781)+SQRT(1-G$9^2*$C$11)*NORMSINV(F781))&lt;G$8,G$5+SQRT(NORMSDIST(G$9*SQRT($C$11)*NORMSINV($B781)+SQRT(1-G$9^2*$C$11)*NORMSINV(F781))*(G$7-G$5)*(G$6-G$5)),G$7-SQRT((1-NORMSDIST(G$9*SQRT($C$11)*NORMSINV($B781)+SQRT(1-G$9^2*$C$11)*NORMSINV(F781)))*(G$7-G$5)*(G$7-G$6))))</f>
        <v>0.0428856998452051</v>
      </c>
      <c r="H781" s="2" t="n">
        <v>0.274006881</v>
      </c>
      <c r="I781" s="2" t="n">
        <f aca="false">IF(I$7=I$5,I$6,IF(NORMSDIST(I$9*SQRT($C$11)*NORMSINV($B781)+SQRT(1-I$9^2*$C$11)*NORMSINV(H781))&lt;I$8,I$5+SQRT(NORMSDIST(I$9*SQRT($C$11)*NORMSINV($B781)+SQRT(1-I$9^2*$C$11)*NORMSINV(H781))*(I$7-I$5)*(I$6-I$5)),I$7-SQRT((1-NORMSDIST(I$9*SQRT($C$11)*NORMSINV($B781)+SQRT(1-I$9^2*$C$11)*NORMSINV(H781)))*(I$7-I$5)*(I$7-I$6))))</f>
        <v>184.933904137617</v>
      </c>
      <c r="J781" s="2" t="n">
        <v>0.752131176</v>
      </c>
      <c r="K781" s="2" t="n">
        <f aca="false">IF(K$7=K$5,K$6,IF(NORMSDIST(K$9*SQRT($C$11)*NORMSINV($B781)+SQRT(1-K$9^2*$C$11)*NORMSINV(J781))&lt;K$8,K$5+SQRT(NORMSDIST(K$9*SQRT($C$11)*NORMSINV($B781)+SQRT(1-K$9^2*$C$11)*NORMSINV(J781))*(K$7-K$5)*(K$6-K$5)),K$7-SQRT((1-NORMSDIST(K$9*SQRT($C$11)*NORMSINV($B781)+SQRT(1-K$9^2*$C$11)*NORMSINV(J781)))*(K$7-K$5)*(K$7-K$6))))</f>
        <v>0.153710876494696</v>
      </c>
      <c r="L781" s="2" t="n">
        <v>0.547767126</v>
      </c>
      <c r="M781" s="2" t="n">
        <f aca="false">IF(M$7=M$5,M$6,IF(NORMSDIST(M$9*SQRT($C$11)*NORMSINV($B781)+SQRT(1-M$9^2*$C$11)*NORMSINV(L781))&lt;M$8,M$5+SQRT(NORMSDIST(M$9*SQRT($C$11)*NORMSINV($B781)+SQRT(1-M$9^2*$C$11)*NORMSINV(L781))*(M$7-M$5)*(M$6-M$5)),M$7-SQRT((1-NORMSDIST(M$9*SQRT($C$11)*NORMSINV($B781)+SQRT(1-M$9^2*$C$11)*NORMSINV(L781)))*(M$7-M$5)*(M$7-M$6))))</f>
        <v>1425.570089921</v>
      </c>
      <c r="N781" s="2" t="n">
        <v>0.129407299</v>
      </c>
      <c r="O781" s="2" t="n">
        <f aca="false">IF(O$7=O$5,O$6,IF(NORMSDIST(O$9*SQRT($C$11)*NORMSINV($B781)+SQRT(1-O$9^2*$C$11)*NORMSINV(N781))&lt;O$8,O$5+SQRT(NORMSDIST(O$9*SQRT($C$11)*NORMSINV($B781)+SQRT(1-O$9^2*$C$11)*NORMSINV(N781))*(O$7-O$5)*(O$6-O$5)),O$7-SQRT((1-NORMSDIST(O$9*SQRT($C$11)*NORMSINV($B781)+SQRT(1-O$9^2*$C$11)*NORMSINV(N781)))*(O$7-O$5)*(O$7-O$6))))</f>
        <v>0.144006904030078</v>
      </c>
      <c r="P781" s="2" t="n">
        <v>0.358015993</v>
      </c>
      <c r="Q781" s="2" t="n">
        <f aca="false">IF(Q$7=Q$5,Q$6,IF(NORMSDIST(Q$9*SQRT($C$11)*NORMSINV($B781)+SQRT(1-Q$9^2*$C$11)*NORMSINV(P781))&lt;Q$8,Q$5+SQRT(NORMSDIST(Q$9*SQRT($C$11)*NORMSINV($B781)+SQRT(1-Q$9^2*$C$11)*NORMSINV(P781))*(Q$7-Q$5)*(Q$6-Q$5)),Q$7-SQRT((1-NORMSDIST(Q$9*SQRT($C$11)*NORMSINV($B781)+SQRT(1-Q$9^2*$C$11)*NORMSINV(P781)))*(Q$7-Q$5)*(Q$7-Q$6))))</f>
        <v>0.0738474692938778</v>
      </c>
      <c r="R781" s="2" t="n">
        <v>0.21232139</v>
      </c>
      <c r="S781" s="2" t="n">
        <f aca="false">IF(S$7=S$5,S$6,IF(NORMSDIST(S$9*SQRT($C$11)*NORMSINV($B781)+SQRT(1-S$9^2*$C$11)*NORMSINV(R781))&lt;S$8,S$5+SQRT(NORMSDIST(S$9*SQRT($C$11)*NORMSINV($B781)+SQRT(1-S$9^2*$C$11)*NORMSINV(R781))*(S$7-S$5)*(S$6-S$5)),S$7-SQRT((1-NORMSDIST(S$9*SQRT($C$11)*NORMSINV($B781)+SQRT(1-S$9^2*$C$11)*NORMSINV(R781)))*(S$7-S$5)*(S$7-S$6))))</f>
        <v>0.103197245281084</v>
      </c>
      <c r="T781" s="2" t="n">
        <v>0.213041936</v>
      </c>
      <c r="U781" s="2" t="n">
        <f aca="false">IF(U$7=U$5,U$6,IF(NORMSDIST(U$9*SQRT($C$11)*NORMSINV($B781)+SQRT(1-U$9^2*$C$11)*NORMSINV(T781))&lt;U$8,U$5+SQRT(NORMSDIST(U$9*SQRT($C$11)*NORMSINV($B781)+SQRT(1-U$9^2*$C$11)*NORMSINV(T781))*(U$7-U$5)*(U$6-U$5)),U$7-SQRT((1-NORMSDIST(U$9*SQRT($C$11)*NORMSINV($B781)+SQRT(1-U$9^2*$C$11)*NORMSINV(T781)))*(U$7-U$5)*(U$7-U$6))))</f>
        <v>0.103435254260014</v>
      </c>
      <c r="V781" s="2" t="n">
        <v>0.039465106</v>
      </c>
      <c r="W781" s="2" t="n">
        <f aca="false">IF(W$7=W$5,W$6,IF(NORMSDIST(W$9*SQRT($C$11)*NORMSINV($B781)+SQRT(1-W$9^2*$C$11)*NORMSINV(V781))&lt;W$8,W$5+SQRT(NORMSDIST(W$9*SQRT($C$11)*NORMSINV($B781)+SQRT(1-W$9^2*$C$11)*NORMSINV(V781))*(W$7-W$5)*(W$6-W$5)),W$7-SQRT((1-NORMSDIST(W$9*SQRT($C$11)*NORMSINV($B781)+SQRT(1-W$9^2*$C$11)*NORMSINV(V781)))*(W$7-W$5)*(W$7-W$6))))</f>
        <v>8.14971819825221</v>
      </c>
      <c r="X781" s="2" t="n">
        <v>0.872450776</v>
      </c>
      <c r="Y781" s="2" t="n">
        <f aca="false">IF(Y$7=Y$5,Y$6,IF(NORMSDIST(Y$9*SQRT($C$11)*NORMSINV($B781)+SQRT(1-Y$9^2*$C$11)*NORMSINV(X781))&lt;Y$8,Y$5+SQRT(NORMSDIST(Y$9*SQRT($C$11)*NORMSINV($B781)+SQRT(1-Y$9^2*$C$11)*NORMSINV(X781))*(Y$7-Y$5)*(Y$6-Y$5)),Y$7-SQRT((1-NORMSDIST(Y$9*SQRT($C$11)*NORMSINV($B781)+SQRT(1-Y$9^2*$C$11)*NORMSINV(X781)))*(Y$7-Y$5)*(Y$7-Y$6))))</f>
        <v>0.747463642221561</v>
      </c>
      <c r="Z781" s="2" t="n">
        <v>0.744528742</v>
      </c>
      <c r="AA781" s="2" t="n">
        <f aca="false">IF(AA$7=AA$5,AA$6,IF(NORMSDIST(AA$9*SQRT($C$11)*NORMSINV($B781)+SQRT(1-AA$9^2*$C$11)*NORMSINV(Z781))&lt;AA$8,AA$5+SQRT(NORMSDIST(AA$9*SQRT($C$11)*NORMSINV($B781)+SQRT(1-AA$9^2*$C$11)*NORMSINV(Z781))*(AA$7-AA$5)*(AA$6-AA$5)),AA$7-SQRT((1-NORMSDIST(AA$9*SQRT($C$11)*NORMSINV($B781)+SQRT(1-AA$9^2*$C$11)*NORMSINV(Z781)))*(AA$7-AA$5)*(AA$7-AA$6))))</f>
        <v>0.715178830139147</v>
      </c>
      <c r="AB781" s="2" t="n">
        <v>0.910148389</v>
      </c>
      <c r="AC781" s="2" t="n">
        <f aca="false">IF(AC$7=AC$5,AC$6,IF(NORMSDIST(AC$9*SQRT($C$11)*NORMSINV($B781)+SQRT(1-AC$9^2*$C$11)*NORMSINV(AB781))&lt;AC$8,AC$5+SQRT(NORMSDIST(AC$9*SQRT($C$11)*NORMSINV($B781)+SQRT(1-AC$9^2*$C$11)*NORMSINV(AB781))*(AC$7-AC$5)*(AC$6-AC$5)),AC$7-SQRT((1-NORMSDIST(AC$9*SQRT($C$11)*NORMSINV($B781)+SQRT(1-AC$9^2*$C$11)*NORMSINV(AB781)))*(AC$7-AC$5)*(AC$7-AC$6))))</f>
        <v>9.15310281052667</v>
      </c>
      <c r="AD781" s="2" t="n">
        <f aca="false">Entrées!$C$8*(1+E781)</f>
        <v>7424.81034137798</v>
      </c>
      <c r="AE781" s="2" t="n">
        <f aca="false">I781*Hypothèses!$J$24/12/Hypothèses!$J$19</f>
        <v>91.7451179386852</v>
      </c>
      <c r="AF781" s="2" t="n">
        <f aca="false">Entrées!$C$36*S781*1000</f>
        <v>51.5986226405422</v>
      </c>
      <c r="AG781" s="2" t="n">
        <f aca="false">-AF781/W781</f>
        <v>-6.33133826045765</v>
      </c>
      <c r="AH781" s="2" t="n">
        <f aca="false">AD781+AE781+AG781</f>
        <v>7510.22412105621</v>
      </c>
      <c r="AI781" s="2" t="n">
        <f aca="false">Entrées!$C$16-M781+Hypothèses!$J$22*1000-AF781+Hypothèses!$J$23</f>
        <v>23070.8312874385</v>
      </c>
      <c r="AJ781" s="2" t="n">
        <f aca="false">AI781/AH781</f>
        <v>3.07192314311305</v>
      </c>
      <c r="AK781" s="2" t="n">
        <f aca="false">AI781/(AH781+I781*(12-Hypothèses!$J$24)/12/Hypothèses!$J$19)</f>
        <v>3.0453502234211</v>
      </c>
      <c r="AL781" s="2" t="n">
        <f aca="false">(AD781+AG781+I781/Hypothèses!$J$19)*(1+G781)</f>
        <v>7900.64796100266</v>
      </c>
      <c r="AM781" s="2" t="n">
        <f aca="false">Entrées!$C$54*K781/Hypothèses!$J$19</f>
        <v>15.686840336548</v>
      </c>
      <c r="AN781" s="2" t="n">
        <f aca="false">Y781*1000/AC781</f>
        <v>81.6623234431419</v>
      </c>
      <c r="AO781" s="2" t="n">
        <f aca="false">(Entrées!$C$36*(1-S781)+MAX(0,Entrées!$C$30-Entrées!$C$35-Entrées!$C$36)*U781)*1000</f>
        <v>593.210733323477</v>
      </c>
      <c r="AP781" s="2" t="n">
        <f aca="false">-AO781/W781</f>
        <v>-72.7891098677126</v>
      </c>
      <c r="AQ781" s="2" t="n">
        <f aca="false">AL781+AM781+AN781+AP781</f>
        <v>7925.20801491464</v>
      </c>
      <c r="AR781" s="2" t="n">
        <f aca="false">O781*AQ781-Hypothèses!$J$25/Hypothèses!$J$19</f>
        <v>1122.14950776059</v>
      </c>
      <c r="AS781" s="2" t="n">
        <f aca="false">Entrées!$C$79*(1+Q781)+Hypothèses!$J$20</f>
        <v>1475.15836875397</v>
      </c>
      <c r="AT781" s="2" t="n">
        <f aca="false">AI781-AR781+AS781+Y781*1000-AO781+Hypothèses!$J$23</f>
        <v>23578.0930573299</v>
      </c>
      <c r="AU781" s="2" t="n">
        <f aca="false">AT781/AQ781</f>
        <v>2.97507560848343</v>
      </c>
      <c r="AV781" s="2" t="n">
        <f aca="false">Hypothèses!$J$26*AQ781-AT781</f>
        <v>197.530987414004</v>
      </c>
      <c r="AW781" s="2" t="n">
        <f aca="false">IF(AC781&gt;Hypothèses!$J$26,MAX(0,AV781)/(1-Hypothèses!$J$26/AC781),0)</f>
        <v>293.838977137207</v>
      </c>
      <c r="AX781" s="2" t="n">
        <f aca="false">AQ781-Entrées!$C$17*1000</f>
        <v>-74.7919850853605</v>
      </c>
      <c r="AY781" s="2" t="n">
        <f aca="false">AI781+(Entrées!$C$244-Entrées!$C$13)</f>
        <v>28817.8312874385</v>
      </c>
      <c r="AZ781" s="2" t="n">
        <f aca="false">AA781*AH781</f>
        <v>5371.15330097978</v>
      </c>
      <c r="BA781" s="2" t="n">
        <f aca="false">AZ781/AY781</f>
        <v>0.186382980988616</v>
      </c>
      <c r="BB781" s="2" t="n">
        <f aca="false">AZ781/(Entrées!$C$151/100)-AY781</f>
        <v>1021.90927356034</v>
      </c>
      <c r="BC781" s="2" t="n">
        <f aca="false">AT781+(Entrées!$C$244-Entrées!$C$13)</f>
        <v>29325.0930573299</v>
      </c>
      <c r="BD781" s="2" t="n">
        <f aca="false">AA781*AQ781</f>
        <v>5667.94099671604</v>
      </c>
      <c r="BE781" s="2" t="n">
        <f aca="false">BD781/BC781</f>
        <v>0.193279557054954</v>
      </c>
      <c r="BF781" s="2" t="n">
        <f aca="false">BD781/(Entrées!$C$151/100)-BC781</f>
        <v>2163.468035537</v>
      </c>
      <c r="BG781" s="2" t="n">
        <f aca="false">MIN(AV781,BF781)</f>
        <v>197.530987414004</v>
      </c>
      <c r="BH781" s="2" t="n">
        <f aca="false">IF(AC781&gt;Hypothèses!$J$26,MAX(0,BG781)/(1-Hypothèses!$J$26/AC781),0)</f>
        <v>293.838977137207</v>
      </c>
    </row>
    <row r="782" customFormat="false" ht="15" hidden="false" customHeight="false" outlineLevel="0" collapsed="false">
      <c r="A782" s="2" t="n">
        <v>767</v>
      </c>
      <c r="B782" s="2" t="n">
        <v>0.645458563</v>
      </c>
      <c r="C782" s="2"/>
      <c r="D782" s="2" t="n">
        <v>0.219674442</v>
      </c>
      <c r="E782" s="2" t="n">
        <f aca="false">IF(E$7=E$5,E$6,IF(NORMSDIST(E$9*SQRT($C$11)*NORMSINV($B782)+SQRT(1-E$9^2*$C$11)*NORMSINV(D782))&lt;E$8,E$5+SQRT(NORMSDIST(E$9*SQRT($C$11)*NORMSINV($B782)+SQRT(1-E$9^2*$C$11)*NORMSINV(D782))*(E$7-E$5)*(E$6-E$5)),E$7-SQRT((1-NORMSDIST(E$9*SQRT($C$11)*NORMSINV($B782)+SQRT(1-E$9^2*$C$11)*NORMSINV(D782)))*(E$7-E$5)*(E$7-E$6))))</f>
        <v>0.0542325626027046</v>
      </c>
      <c r="F782" s="2" t="n">
        <v>0.451674426</v>
      </c>
      <c r="G782" s="2" t="n">
        <f aca="false">IF(G$7=G$5,G$6,IF(NORMSDIST(G$9*SQRT($C$11)*NORMSINV($B782)+SQRT(1-G$9^2*$C$11)*NORMSINV(F782))&lt;G$8,G$5+SQRT(NORMSDIST(G$9*SQRT($C$11)*NORMSINV($B782)+SQRT(1-G$9^2*$C$11)*NORMSINV(F782))*(G$7-G$5)*(G$6-G$5)),G$7-SQRT((1-NORMSDIST(G$9*SQRT($C$11)*NORMSINV($B782)+SQRT(1-G$9^2*$C$11)*NORMSINV(F782)))*(G$7-G$5)*(G$7-G$6))))</f>
        <v>0.0558716372826168</v>
      </c>
      <c r="H782" s="2" t="n">
        <v>0.192307991</v>
      </c>
      <c r="I782" s="2" t="n">
        <f aca="false">IF(I$7=I$5,I$6,IF(NORMSDIST(I$9*SQRT($C$11)*NORMSINV($B782)+SQRT(1-I$9^2*$C$11)*NORMSINV(H782))&lt;I$8,I$5+SQRT(NORMSDIST(I$9*SQRT($C$11)*NORMSINV($B782)+SQRT(1-I$9^2*$C$11)*NORMSINV(H782))*(I$7-I$5)*(I$6-I$5)),I$7-SQRT((1-NORMSDIST(I$9*SQRT($C$11)*NORMSINV($B782)+SQRT(1-I$9^2*$C$11)*NORMSINV(H782)))*(I$7-I$5)*(I$7-I$6))))</f>
        <v>196.269675160039</v>
      </c>
      <c r="J782" s="2" t="n">
        <v>0.413158631</v>
      </c>
      <c r="K782" s="2" t="n">
        <f aca="false">IF(K$7=K$5,K$6,IF(NORMSDIST(K$9*SQRT($C$11)*NORMSINV($B782)+SQRT(1-K$9^2*$C$11)*NORMSINV(J782))&lt;K$8,K$5+SQRT(NORMSDIST(K$9*SQRT($C$11)*NORMSINV($B782)+SQRT(1-K$9^2*$C$11)*NORMSINV(J782))*(K$7-K$5)*(K$6-K$5)),K$7-SQRT((1-NORMSDIST(K$9*SQRT($C$11)*NORMSINV($B782)+SQRT(1-K$9^2*$C$11)*NORMSINV(J782)))*(K$7-K$5)*(K$7-K$6))))</f>
        <v>0.256666050537208</v>
      </c>
      <c r="L782" s="2" t="n">
        <v>0.865086898</v>
      </c>
      <c r="M782" s="2" t="n">
        <f aca="false">IF(M$7=M$5,M$6,IF(NORMSDIST(M$9*SQRT($C$11)*NORMSINV($B782)+SQRT(1-M$9^2*$C$11)*NORMSINV(L782))&lt;M$8,M$5+SQRT(NORMSDIST(M$9*SQRT($C$11)*NORMSINV($B782)+SQRT(1-M$9^2*$C$11)*NORMSINV(L782))*(M$7-M$5)*(M$6-M$5)),M$7-SQRT((1-NORMSDIST(M$9*SQRT($C$11)*NORMSINV($B782)+SQRT(1-M$9^2*$C$11)*NORMSINV(L782)))*(M$7-M$5)*(M$7-M$6))))</f>
        <v>1687.19860974934</v>
      </c>
      <c r="N782" s="2" t="n">
        <v>0.061597549</v>
      </c>
      <c r="O782" s="2" t="n">
        <f aca="false">IF(O$7=O$5,O$6,IF(NORMSDIST(O$9*SQRT($C$11)*NORMSINV($B782)+SQRT(1-O$9^2*$C$11)*NORMSINV(N782))&lt;O$8,O$5+SQRT(NORMSDIST(O$9*SQRT($C$11)*NORMSINV($B782)+SQRT(1-O$9^2*$C$11)*NORMSINV(N782))*(O$7-O$5)*(O$6-O$5)),O$7-SQRT((1-NORMSDIST(O$9*SQRT($C$11)*NORMSINV($B782)+SQRT(1-O$9^2*$C$11)*NORMSINV(N782)))*(O$7-O$5)*(O$7-O$6))))</f>
        <v>0.155572431604863</v>
      </c>
      <c r="P782" s="2" t="n">
        <v>0.266003018</v>
      </c>
      <c r="Q782" s="2" t="n">
        <f aca="false">IF(Q$7=Q$5,Q$6,IF(NORMSDIST(Q$9*SQRT($C$11)*NORMSINV($B782)+SQRT(1-Q$9^2*$C$11)*NORMSINV(P782))&lt;Q$8,Q$5+SQRT(NORMSDIST(Q$9*SQRT($C$11)*NORMSINV($B782)+SQRT(1-Q$9^2*$C$11)*NORMSINV(P782))*(Q$7-Q$5)*(Q$6-Q$5)),Q$7-SQRT((1-NORMSDIST(Q$9*SQRT($C$11)*NORMSINV($B782)+SQRT(1-Q$9^2*$C$11)*NORMSINV(P782)))*(Q$7-Q$5)*(Q$7-Q$6))))</f>
        <v>0.0691754975553117</v>
      </c>
      <c r="R782" s="2" t="n">
        <v>0.696387753</v>
      </c>
      <c r="S782" s="2" t="n">
        <f aca="false">IF(S$7=S$5,S$6,IF(NORMSDIST(S$9*SQRT($C$11)*NORMSINV($B782)+SQRT(1-S$9^2*$C$11)*NORMSINV(R782))&lt;S$8,S$5+SQRT(NORMSDIST(S$9*SQRT($C$11)*NORMSINV($B782)+SQRT(1-S$9^2*$C$11)*NORMSINV(R782))*(S$7-S$5)*(S$6-S$5)),S$7-SQRT((1-NORMSDIST(S$9*SQRT($C$11)*NORMSINV($B782)+SQRT(1-S$9^2*$C$11)*NORMSINV(R782)))*(S$7-S$5)*(S$7-S$6))))</f>
        <v>0.637373172983916</v>
      </c>
      <c r="T782" s="2" t="n">
        <v>0.424396185</v>
      </c>
      <c r="U782" s="2" t="n">
        <f aca="false">IF(U$7=U$5,U$6,IF(NORMSDIST(U$9*SQRT($C$11)*NORMSINV($B782)+SQRT(1-U$9^2*$C$11)*NORMSINV(T782))&lt;U$8,U$5+SQRT(NORMSDIST(U$9*SQRT($C$11)*NORMSINV($B782)+SQRT(1-U$9^2*$C$11)*NORMSINV(T782))*(U$7-U$5)*(U$6-U$5)),U$7-SQRT((1-NORMSDIST(U$9*SQRT($C$11)*NORMSINV($B782)+SQRT(1-U$9^2*$C$11)*NORMSINV(T782)))*(U$7-U$5)*(U$7-U$6))))</f>
        <v>0.517906599889811</v>
      </c>
      <c r="V782" s="2" t="n">
        <v>0.019717078</v>
      </c>
      <c r="W782" s="2" t="n">
        <f aca="false">IF(W$7=W$5,W$6,IF(NORMSDIST(W$9*SQRT($C$11)*NORMSINV($B782)+SQRT(1-W$9^2*$C$11)*NORMSINV(V782))&lt;W$8,W$5+SQRT(NORMSDIST(W$9*SQRT($C$11)*NORMSINV($B782)+SQRT(1-W$9^2*$C$11)*NORMSINV(V782))*(W$7-W$5)*(W$6-W$5)),W$7-SQRT((1-NORMSDIST(W$9*SQRT($C$11)*NORMSINV($B782)+SQRT(1-W$9^2*$C$11)*NORMSINV(V782)))*(W$7-W$5)*(W$7-W$6))))</f>
        <v>8.83429932396817</v>
      </c>
      <c r="X782" s="2" t="n">
        <v>0.940218121</v>
      </c>
      <c r="Y782" s="2" t="n">
        <f aca="false">IF(Y$7=Y$5,Y$6,IF(NORMSDIST(Y$9*SQRT($C$11)*NORMSINV($B782)+SQRT(1-Y$9^2*$C$11)*NORMSINV(X782))&lt;Y$8,Y$5+SQRT(NORMSDIST(Y$9*SQRT($C$11)*NORMSINV($B782)+SQRT(1-Y$9^2*$C$11)*NORMSINV(X782))*(Y$7-Y$5)*(Y$6-Y$5)),Y$7-SQRT((1-NORMSDIST(Y$9*SQRT($C$11)*NORMSINV($B782)+SQRT(1-Y$9^2*$C$11)*NORMSINV(X782)))*(Y$7-Y$5)*(Y$7-Y$6))))</f>
        <v>0.827110036439358</v>
      </c>
      <c r="Z782" s="2" t="n">
        <v>0.96910894</v>
      </c>
      <c r="AA782" s="2" t="n">
        <f aca="false">IF(AA$7=AA$5,AA$6,IF(NORMSDIST(AA$9*SQRT($C$11)*NORMSINV($B782)+SQRT(1-AA$9^2*$C$11)*NORMSINV(Z782))&lt;AA$8,AA$5+SQRT(NORMSDIST(AA$9*SQRT($C$11)*NORMSINV($B782)+SQRT(1-AA$9^2*$C$11)*NORMSINV(Z782))*(AA$7-AA$5)*(AA$6-AA$5)),AA$7-SQRT((1-NORMSDIST(AA$9*SQRT($C$11)*NORMSINV($B782)+SQRT(1-AA$9^2*$C$11)*NORMSINV(Z782)))*(AA$7-AA$5)*(AA$7-AA$6))))</f>
        <v>0.746164705986849</v>
      </c>
      <c r="AB782" s="2" t="n">
        <v>0.159683775</v>
      </c>
      <c r="AC782" s="2" t="n">
        <f aca="false">IF(AC$7=AC$5,AC$6,IF(NORMSDIST(AC$9*SQRT($C$11)*NORMSINV($B782)+SQRT(1-AC$9^2*$C$11)*NORMSINV(AB782))&lt;AC$8,AC$5+SQRT(NORMSDIST(AC$9*SQRT($C$11)*NORMSINV($B782)+SQRT(1-AC$9^2*$C$11)*NORMSINV(AB782))*(AC$7-AC$5)*(AC$6-AC$5)),AC$7-SQRT((1-NORMSDIST(AC$9*SQRT($C$11)*NORMSINV($B782)+SQRT(1-AC$9^2*$C$11)*NORMSINV(AB782)))*(AC$7-AC$5)*(AC$7-AC$6))))</f>
        <v>8.99975105358271</v>
      </c>
      <c r="AD782" s="2" t="n">
        <f aca="false">Entrées!$C$8*(1+E782)</f>
        <v>7432.33956634907</v>
      </c>
      <c r="AE782" s="2" t="n">
        <f aca="false">I782*Hypothèses!$J$24/12/Hypothèses!$J$19</f>
        <v>97.3687576613621</v>
      </c>
      <c r="AF782" s="2" t="n">
        <f aca="false">Entrées!$C$36*S782*1000</f>
        <v>318.686586491958</v>
      </c>
      <c r="AG782" s="2" t="n">
        <f aca="false">-AF782/W782</f>
        <v>-36.0737818365895</v>
      </c>
      <c r="AH782" s="2" t="n">
        <f aca="false">AD782+AE782+AG782</f>
        <v>7493.63454217384</v>
      </c>
      <c r="AI782" s="2" t="n">
        <f aca="false">Entrées!$C$16-M782+Hypothèses!$J$22*1000-AF782+Hypothèses!$J$23</f>
        <v>22542.1148037587</v>
      </c>
      <c r="AJ782" s="2" t="n">
        <f aca="false">AI782/AH782</f>
        <v>3.00816842306529</v>
      </c>
      <c r="AK782" s="2" t="n">
        <f aca="false">AI782/(AH782+I782*(12-Hypothèses!$J$24)/12/Hypothèses!$J$19)</f>
        <v>2.98050607160448</v>
      </c>
      <c r="AL782" s="2" t="n">
        <f aca="false">(AD782+AG782+I782/Hypothèses!$J$19)*(1+G782)</f>
        <v>7985.75110865129</v>
      </c>
      <c r="AM782" s="2" t="n">
        <f aca="false">Entrées!$C$54*K782/Hypothèses!$J$19</f>
        <v>26.1938481284275</v>
      </c>
      <c r="AN782" s="2" t="n">
        <f aca="false">Y782*1000/AC782</f>
        <v>91.9036572806194</v>
      </c>
      <c r="AO782" s="2" t="n">
        <f aca="false">(Entrées!$C$36*(1-S782)+MAX(0,Entrées!$C$30-Entrées!$C$35-Entrées!$C$36)*U782)*1000</f>
        <v>906.382653353778</v>
      </c>
      <c r="AP782" s="2" t="n">
        <f aca="false">-AO782/W782</f>
        <v>-102.598137114812</v>
      </c>
      <c r="AQ782" s="2" t="n">
        <f aca="false">AL782+AM782+AN782+AP782</f>
        <v>8001.25047694553</v>
      </c>
      <c r="AR782" s="2" t="n">
        <f aca="false">O782*AQ782-Hypothèses!$J$25/Hypothèses!$J$19</f>
        <v>1225.63883031636</v>
      </c>
      <c r="AS782" s="2" t="n">
        <f aca="false">Entrées!$C$79*(1+Q782)+Hypothèses!$J$20</f>
        <v>1470.02387181329</v>
      </c>
      <c r="AT782" s="2" t="n">
        <f aca="false">AI782-AR782+AS782+Y782*1000-AO782+Hypothèses!$J$23</f>
        <v>22707.2272283412</v>
      </c>
      <c r="AU782" s="2" t="n">
        <f aca="false">AT782/AQ782</f>
        <v>2.83795980312938</v>
      </c>
      <c r="AV782" s="2" t="n">
        <f aca="false">Hypothèses!$J$26*AQ782-AT782</f>
        <v>1296.52420249537</v>
      </c>
      <c r="AW782" s="2" t="n">
        <f aca="false">IF(AC782&gt;Hypothèses!$J$26,MAX(0,AV782)/(1-Hypothèses!$J$26/AC782),0)</f>
        <v>1944.81320194701</v>
      </c>
      <c r="AX782" s="2" t="n">
        <f aca="false">AQ782-Entrées!$C$17*1000</f>
        <v>1.25047694552632</v>
      </c>
      <c r="AY782" s="2" t="n">
        <f aca="false">AI782+(Entrées!$C$244-Entrées!$C$13)</f>
        <v>28289.1148037587</v>
      </c>
      <c r="AZ782" s="2" t="n">
        <f aca="false">AA782*AH782</f>
        <v>5591.48561493404</v>
      </c>
      <c r="BA782" s="2" t="n">
        <f aca="false">AZ782/AY782</f>
        <v>0.197655022213389</v>
      </c>
      <c r="BB782" s="2" t="n">
        <f aca="false">AZ782/(Entrées!$C$151/100)-AY782</f>
        <v>2774.69416809707</v>
      </c>
      <c r="BC782" s="2" t="n">
        <f aca="false">AT782+(Entrées!$C$244-Entrées!$C$13)</f>
        <v>28454.2272283412</v>
      </c>
      <c r="BD782" s="2" t="n">
        <f aca="false">AA782*AQ782</f>
        <v>5970.25070965719</v>
      </c>
      <c r="BE782" s="2" t="n">
        <f aca="false">BD782/BC782</f>
        <v>0.209819464143122</v>
      </c>
      <c r="BF782" s="2" t="n">
        <f aca="false">BD782/(Entrées!$C$151/100)-BC782</f>
        <v>4713.83226975431</v>
      </c>
      <c r="BG782" s="2" t="n">
        <f aca="false">MIN(AV782,BF782)</f>
        <v>1296.52420249537</v>
      </c>
      <c r="BH782" s="2" t="n">
        <f aca="false">IF(AC782&gt;Hypothèses!$J$26,MAX(0,BG782)/(1-Hypothèses!$J$26/AC782),0)</f>
        <v>1944.81320194701</v>
      </c>
    </row>
    <row r="783" customFormat="false" ht="15" hidden="false" customHeight="false" outlineLevel="0" collapsed="false">
      <c r="A783" s="2" t="n">
        <v>768</v>
      </c>
      <c r="B783" s="2" t="n">
        <v>0.085787574</v>
      </c>
      <c r="C783" s="2"/>
      <c r="D783" s="2" t="n">
        <v>0.589115473</v>
      </c>
      <c r="E783" s="2" t="n">
        <f aca="false">IF(E$7=E$5,E$6,IF(NORMSDIST(E$9*SQRT($C$11)*NORMSINV($B783)+SQRT(1-E$9^2*$C$11)*NORMSINV(D783))&lt;E$8,E$5+SQRT(NORMSDIST(E$9*SQRT($C$11)*NORMSINV($B783)+SQRT(1-E$9^2*$C$11)*NORMSINV(D783))*(E$7-E$5)*(E$6-E$5)),E$7-SQRT((1-NORMSDIST(E$9*SQRT($C$11)*NORMSINV($B783)+SQRT(1-E$9^2*$C$11)*NORMSINV(D783)))*(E$7-E$5)*(E$7-E$6))))</f>
        <v>0.0535003019433537</v>
      </c>
      <c r="F783" s="2" t="n">
        <v>0.268672753</v>
      </c>
      <c r="G783" s="2" t="n">
        <f aca="false">IF(G$7=G$5,G$6,IF(NORMSDIST(G$9*SQRT($C$11)*NORMSINV($B783)+SQRT(1-G$9^2*$C$11)*NORMSINV(F783))&lt;G$8,G$5+SQRT(NORMSDIST(G$9*SQRT($C$11)*NORMSINV($B783)+SQRT(1-G$9^2*$C$11)*NORMSINV(F783))*(G$7-G$5)*(G$6-G$5)),G$7-SQRT((1-NORMSDIST(G$9*SQRT($C$11)*NORMSINV($B783)+SQRT(1-G$9^2*$C$11)*NORMSINV(F783)))*(G$7-G$5)*(G$7-G$6))))</f>
        <v>0.0463541529768883</v>
      </c>
      <c r="H783" s="2" t="n">
        <v>0.724141346</v>
      </c>
      <c r="I783" s="2" t="n">
        <f aca="false">IF(I$7=I$5,I$6,IF(NORMSDIST(I$9*SQRT($C$11)*NORMSINV($B783)+SQRT(1-I$9^2*$C$11)*NORMSINV(H783))&lt;I$8,I$5+SQRT(NORMSDIST(I$9*SQRT($C$11)*NORMSINV($B783)+SQRT(1-I$9^2*$C$11)*NORMSINV(H783))*(I$7-I$5)*(I$6-I$5)),I$7-SQRT((1-NORMSDIST(I$9*SQRT($C$11)*NORMSINV($B783)+SQRT(1-I$9^2*$C$11)*NORMSINV(H783)))*(I$7-I$5)*(I$7-I$6))))</f>
        <v>196.570816402838</v>
      </c>
      <c r="J783" s="2" t="n">
        <v>0.256712156</v>
      </c>
      <c r="K783" s="2" t="n">
        <f aca="false">IF(K$7=K$5,K$6,IF(NORMSDIST(K$9*SQRT($C$11)*NORMSINV($B783)+SQRT(1-K$9^2*$C$11)*NORMSINV(J783))&lt;K$8,K$5+SQRT(NORMSDIST(K$9*SQRT($C$11)*NORMSINV($B783)+SQRT(1-K$9^2*$C$11)*NORMSINV(J783))*(K$7-K$5)*(K$6-K$5)),K$7-SQRT((1-NORMSDIST(K$9*SQRT($C$11)*NORMSINV($B783)+SQRT(1-K$9^2*$C$11)*NORMSINV(J783)))*(K$7-K$5)*(K$7-K$6))))</f>
        <v>0.103202725115216</v>
      </c>
      <c r="L783" s="2" t="n">
        <v>0.359206019</v>
      </c>
      <c r="M783" s="2" t="n">
        <f aca="false">IF(M$7=M$5,M$6,IF(NORMSDIST(M$9*SQRT($C$11)*NORMSINV($B783)+SQRT(1-M$9^2*$C$11)*NORMSINV(L783))&lt;M$8,M$5+SQRT(NORMSDIST(M$9*SQRT($C$11)*NORMSINV($B783)+SQRT(1-M$9^2*$C$11)*NORMSINV(L783))*(M$7-M$5)*(M$6-M$5)),M$7-SQRT((1-NORMSDIST(M$9*SQRT($C$11)*NORMSINV($B783)+SQRT(1-M$9^2*$C$11)*NORMSINV(L783)))*(M$7-M$5)*(M$7-M$6))))</f>
        <v>1445.01695857019</v>
      </c>
      <c r="N783" s="2" t="n">
        <v>0.182352572</v>
      </c>
      <c r="O783" s="2" t="n">
        <f aca="false">IF(O$7=O$5,O$6,IF(NORMSDIST(O$9*SQRT($C$11)*NORMSINV($B783)+SQRT(1-O$9^2*$C$11)*NORMSINV(N783))&lt;O$8,O$5+SQRT(NORMSDIST(O$9*SQRT($C$11)*NORMSINV($B783)+SQRT(1-O$9^2*$C$11)*NORMSINV(N783))*(O$7-O$5)*(O$6-O$5)),O$7-SQRT((1-NORMSDIST(O$9*SQRT($C$11)*NORMSINV($B783)+SQRT(1-O$9^2*$C$11)*NORMSINV(N783)))*(O$7-O$5)*(O$7-O$6))))</f>
        <v>0.149168114982039</v>
      </c>
      <c r="P783" s="2" t="n">
        <v>0.004569178</v>
      </c>
      <c r="Q783" s="2" t="n">
        <f aca="false">IF(Q$7=Q$5,Q$6,IF(NORMSDIST(Q$9*SQRT($C$11)*NORMSINV($B783)+SQRT(1-Q$9^2*$C$11)*NORMSINV(P783))&lt;Q$8,Q$5+SQRT(NORMSDIST(Q$9*SQRT($C$11)*NORMSINV($B783)+SQRT(1-Q$9^2*$C$11)*NORMSINV(P783))*(Q$7-Q$5)*(Q$6-Q$5)),Q$7-SQRT((1-NORMSDIST(Q$9*SQRT($C$11)*NORMSINV($B783)+SQRT(1-Q$9^2*$C$11)*NORMSINV(P783)))*(Q$7-Q$5)*(Q$7-Q$6))))</f>
        <v>0.0438237899523902</v>
      </c>
      <c r="R783" s="2" t="n">
        <v>0.305013674</v>
      </c>
      <c r="S783" s="2" t="n">
        <f aca="false">IF(S$7=S$5,S$6,IF(NORMSDIST(S$9*SQRT($C$11)*NORMSINV($B783)+SQRT(1-S$9^2*$C$11)*NORMSINV(R783))&lt;S$8,S$5+SQRT(NORMSDIST(S$9*SQRT($C$11)*NORMSINV($B783)+SQRT(1-S$9^2*$C$11)*NORMSINV(R783))*(S$7-S$5)*(S$6-S$5)),S$7-SQRT((1-NORMSDIST(S$9*SQRT($C$11)*NORMSINV($B783)+SQRT(1-S$9^2*$C$11)*NORMSINV(R783)))*(S$7-S$5)*(S$7-S$6))))</f>
        <v>0.227905446593888</v>
      </c>
      <c r="T783" s="2" t="n">
        <v>0.271389881</v>
      </c>
      <c r="U783" s="2" t="n">
        <f aca="false">IF(U$7=U$5,U$6,IF(NORMSDIST(U$9*SQRT($C$11)*NORMSINV($B783)+SQRT(1-U$9^2*$C$11)*NORMSINV(T783))&lt;U$8,U$5+SQRT(NORMSDIST(U$9*SQRT($C$11)*NORMSINV($B783)+SQRT(1-U$9^2*$C$11)*NORMSINV(T783))*(U$7-U$5)*(U$6-U$5)),U$7-SQRT((1-NORMSDIST(U$9*SQRT($C$11)*NORMSINV($B783)+SQRT(1-U$9^2*$C$11)*NORMSINV(T783)))*(U$7-U$5)*(U$7-U$6))))</f>
        <v>0.213024018220675</v>
      </c>
      <c r="V783" s="2" t="n">
        <v>0.168558279</v>
      </c>
      <c r="W783" s="2" t="n">
        <f aca="false">IF(W$7=W$5,W$6,IF(NORMSDIST(W$9*SQRT($C$11)*NORMSINV($B783)+SQRT(1-W$9^2*$C$11)*NORMSINV(V783))&lt;W$8,W$5+SQRT(NORMSDIST(W$9*SQRT($C$11)*NORMSINV($B783)+SQRT(1-W$9^2*$C$11)*NORMSINV(V783))*(W$7-W$5)*(W$6-W$5)),W$7-SQRT((1-NORMSDIST(W$9*SQRT($C$11)*NORMSINV($B783)+SQRT(1-W$9^2*$C$11)*NORMSINV(V783)))*(W$7-W$5)*(W$7-W$6))))</f>
        <v>8.65664108008212</v>
      </c>
      <c r="X783" s="2" t="n">
        <v>0.295042528</v>
      </c>
      <c r="Y783" s="2" t="n">
        <f aca="false">IF(Y$7=Y$5,Y$6,IF(NORMSDIST(Y$9*SQRT($C$11)*NORMSINV($B783)+SQRT(1-Y$9^2*$C$11)*NORMSINV(X783))&lt;Y$8,Y$5+SQRT(NORMSDIST(Y$9*SQRT($C$11)*NORMSINV($B783)+SQRT(1-Y$9^2*$C$11)*NORMSINV(X783))*(Y$7-Y$5)*(Y$6-Y$5)),Y$7-SQRT((1-NORMSDIST(Y$9*SQRT($C$11)*NORMSINV($B783)+SQRT(1-Y$9^2*$C$11)*NORMSINV(X783)))*(Y$7-Y$5)*(Y$7-Y$6))))</f>
        <v>0.384084969765806</v>
      </c>
      <c r="Z783" s="2" t="n">
        <v>0.301478381</v>
      </c>
      <c r="AA783" s="2" t="n">
        <f aca="false">IF(AA$7=AA$5,AA$6,IF(NORMSDIST(AA$9*SQRT($C$11)*NORMSINV($B783)+SQRT(1-AA$9^2*$C$11)*NORMSINV(Z783))&lt;AA$8,AA$5+SQRT(NORMSDIST(AA$9*SQRT($C$11)*NORMSINV($B783)+SQRT(1-AA$9^2*$C$11)*NORMSINV(Z783))*(AA$7-AA$5)*(AA$6-AA$5)),AA$7-SQRT((1-NORMSDIST(AA$9*SQRT($C$11)*NORMSINV($B783)+SQRT(1-AA$9^2*$C$11)*NORMSINV(Z783)))*(AA$7-AA$5)*(AA$7-AA$6))))</f>
        <v>0.710137455367566</v>
      </c>
      <c r="AB783" s="2" t="n">
        <v>0.516706153</v>
      </c>
      <c r="AC783" s="2" t="n">
        <f aca="false">IF(AC$7=AC$5,AC$6,IF(NORMSDIST(AC$9*SQRT($C$11)*NORMSINV($B783)+SQRT(1-AC$9^2*$C$11)*NORMSINV(AB783))&lt;AC$8,AC$5+SQRT(NORMSDIST(AC$9*SQRT($C$11)*NORMSINV($B783)+SQRT(1-AC$9^2*$C$11)*NORMSINV(AB783))*(AC$7-AC$5)*(AC$6-AC$5)),AC$7-SQRT((1-NORMSDIST(AC$9*SQRT($C$11)*NORMSINV($B783)+SQRT(1-AC$9^2*$C$11)*NORMSINV(AB783)))*(AC$7-AC$5)*(AC$7-AC$6))))</f>
        <v>8.72318818014794</v>
      </c>
      <c r="AD783" s="2" t="n">
        <f aca="false">Entrées!$C$8*(1+E783)</f>
        <v>7427.17712870064</v>
      </c>
      <c r="AE783" s="2" t="n">
        <f aca="false">I783*Hypothèses!$J$24/12/Hypothèses!$J$19</f>
        <v>97.5181528680747</v>
      </c>
      <c r="AF783" s="2" t="n">
        <f aca="false">Entrées!$C$36*S783*1000</f>
        <v>113.952723296944</v>
      </c>
      <c r="AG783" s="2" t="n">
        <f aca="false">-AF783/W783</f>
        <v>-13.1636188035028</v>
      </c>
      <c r="AH783" s="2" t="n">
        <f aca="false">AD783+AE783+AG783</f>
        <v>7511.53166276522</v>
      </c>
      <c r="AI783" s="2" t="n">
        <f aca="false">Entrées!$C$16-M783+Hypothèses!$J$22*1000-AF783+Hypothèses!$J$23</f>
        <v>22989.0303181329</v>
      </c>
      <c r="AJ783" s="2" t="n">
        <f aca="false">AI783/AH783</f>
        <v>3.06049835775703</v>
      </c>
      <c r="AK783" s="2" t="n">
        <f aca="false">AI783/(AH783+I783*(12-Hypothèses!$J$24)/12/Hypothèses!$J$19)</f>
        <v>3.0323785501745</v>
      </c>
      <c r="AL783" s="2" t="n">
        <f aca="false">(AD783+AG783+I783/Hypothèses!$J$19)*(1+G783)</f>
        <v>7932.60701072616</v>
      </c>
      <c r="AM783" s="2" t="n">
        <f aca="false">Entrées!$C$54*K783/Hypothèses!$J$19</f>
        <v>10.5322714182487</v>
      </c>
      <c r="AN783" s="2" t="n">
        <f aca="false">Y783*1000/AC783</f>
        <v>44.0303432453629</v>
      </c>
      <c r="AO783" s="2" t="n">
        <f aca="false">(Entrées!$C$36*(1-S783)+MAX(0,Entrées!$C$30-Entrées!$C$35-Entrées!$C$36)*U783)*1000</f>
        <v>684.280902212002</v>
      </c>
      <c r="AP783" s="2" t="n">
        <f aca="false">-AO783/W783</f>
        <v>-79.0469300831299</v>
      </c>
      <c r="AQ783" s="2" t="n">
        <f aca="false">AL783+AM783+AN783+AP783</f>
        <v>7908.12269530665</v>
      </c>
      <c r="AR783" s="2" t="n">
        <f aca="false">O783*AQ783-Hypothèses!$J$25/Hypothèses!$J$19</f>
        <v>1160.50459324394</v>
      </c>
      <c r="AS783" s="2" t="n">
        <f aca="false">Entrées!$C$79*(1+Q783)+Hypothèses!$J$20</f>
        <v>1442.16234515768</v>
      </c>
      <c r="AT783" s="2" t="n">
        <f aca="false">AI783-AR783+AS783+Y783*1000-AO783+Hypothèses!$J$23</f>
        <v>22970.4921376004</v>
      </c>
      <c r="AU783" s="2" t="n">
        <f aca="false">AT783/AQ783</f>
        <v>2.90467068135312</v>
      </c>
      <c r="AV783" s="2" t="n">
        <f aca="false">Hypothèses!$J$26*AQ783-AT783</f>
        <v>753.875948319539</v>
      </c>
      <c r="AW783" s="2" t="n">
        <f aca="false">IF(AC783&gt;Hypothèses!$J$26,MAX(0,AV783)/(1-Hypothèses!$J$26/AC783),0)</f>
        <v>1149.04517459163</v>
      </c>
      <c r="AX783" s="2" t="n">
        <f aca="false">AQ783-Entrées!$C$17*1000</f>
        <v>-91.8773046933547</v>
      </c>
      <c r="AY783" s="2" t="n">
        <f aca="false">AI783+(Entrées!$C$244-Entrées!$C$13)</f>
        <v>28736.0303181329</v>
      </c>
      <c r="AZ783" s="2" t="n">
        <f aca="false">AA783*AH783</f>
        <v>5334.21998090899</v>
      </c>
      <c r="BA783" s="2" t="n">
        <f aca="false">AZ783/AY783</f>
        <v>0.185628283442582</v>
      </c>
      <c r="BB783" s="2" t="n">
        <f aca="false">AZ783/(Entrées!$C$151/100)-AY783</f>
        <v>898.525131361555</v>
      </c>
      <c r="BC783" s="2" t="n">
        <f aca="false">AT783+(Entrées!$C$244-Entrées!$C$13)</f>
        <v>28717.4921376004</v>
      </c>
      <c r="BD783" s="2" t="n">
        <f aca="false">AA783*AQ783</f>
        <v>5615.85412757956</v>
      </c>
      <c r="BE783" s="2" t="n">
        <f aca="false">BD783/BC783</f>
        <v>0.195555172459736</v>
      </c>
      <c r="BF783" s="2" t="n">
        <f aca="false">BD783/(Entrées!$C$151/100)-BC783</f>
        <v>2481.69746006383</v>
      </c>
      <c r="BG783" s="2" t="n">
        <f aca="false">MIN(AV783,BF783)</f>
        <v>753.875948319539</v>
      </c>
      <c r="BH783" s="2" t="n">
        <f aca="false">IF(AC783&gt;Hypothèses!$J$26,MAX(0,BG783)/(1-Hypothèses!$J$26/AC783),0)</f>
        <v>1149.04517459163</v>
      </c>
    </row>
    <row r="784" customFormat="false" ht="15" hidden="false" customHeight="false" outlineLevel="0" collapsed="false">
      <c r="A784" s="2" t="n">
        <v>769</v>
      </c>
      <c r="B784" s="2" t="n">
        <v>0.970262872</v>
      </c>
      <c r="C784" s="2"/>
      <c r="D784" s="2" t="n">
        <v>0.537340437</v>
      </c>
      <c r="E784" s="2" t="n">
        <f aca="false">IF(E$7=E$5,E$6,IF(NORMSDIST(E$9*SQRT($C$11)*NORMSINV($B784)+SQRT(1-E$9^2*$C$11)*NORMSINV(D784))&lt;E$8,E$5+SQRT(NORMSDIST(E$9*SQRT($C$11)*NORMSINV($B784)+SQRT(1-E$9^2*$C$11)*NORMSINV(D784))*(E$7-E$5)*(E$6-E$5)),E$7-SQRT((1-NORMSDIST(E$9*SQRT($C$11)*NORMSINV($B784)+SQRT(1-E$9^2*$C$11)*NORMSINV(D784)))*(E$7-E$5)*(E$7-E$6))))</f>
        <v>0.0577305141583171</v>
      </c>
      <c r="F784" s="2" t="n">
        <v>0.074998133</v>
      </c>
      <c r="G784" s="2" t="n">
        <f aca="false">IF(G$7=G$5,G$6,IF(NORMSDIST(G$9*SQRT($C$11)*NORMSINV($B784)+SQRT(1-G$9^2*$C$11)*NORMSINV(F784))&lt;G$8,G$5+SQRT(NORMSDIST(G$9*SQRT($C$11)*NORMSINV($B784)+SQRT(1-G$9^2*$C$11)*NORMSINV(F784))*(G$7-G$5)*(G$6-G$5)),G$7-SQRT((1-NORMSDIST(G$9*SQRT($C$11)*NORMSINV($B784)+SQRT(1-G$9^2*$C$11)*NORMSINV(F784)))*(G$7-G$5)*(G$7-G$6))))</f>
        <v>0.0554670219441465</v>
      </c>
      <c r="H784" s="2" t="n">
        <v>0.13345422</v>
      </c>
      <c r="I784" s="2" t="n">
        <f aca="false">IF(I$7=I$5,I$6,IF(NORMSDIST(I$9*SQRT($C$11)*NORMSINV($B784)+SQRT(1-I$9^2*$C$11)*NORMSINV(H784))&lt;I$8,I$5+SQRT(NORMSDIST(I$9*SQRT($C$11)*NORMSINV($B784)+SQRT(1-I$9^2*$C$11)*NORMSINV(H784))*(I$7-I$5)*(I$6-I$5)),I$7-SQRT((1-NORMSDIST(I$9*SQRT($C$11)*NORMSINV($B784)+SQRT(1-I$9^2*$C$11)*NORMSINV(H784)))*(I$7-I$5)*(I$7-I$6))))</f>
        <v>202.796685215606</v>
      </c>
      <c r="J784" s="2" t="n">
        <v>0.885344537</v>
      </c>
      <c r="K784" s="2" t="n">
        <f aca="false">IF(K$7=K$5,K$6,IF(NORMSDIST(K$9*SQRT($C$11)*NORMSINV($B784)+SQRT(1-K$9^2*$C$11)*NORMSINV(J784))&lt;K$8,K$5+SQRT(NORMSDIST(K$9*SQRT($C$11)*NORMSINV($B784)+SQRT(1-K$9^2*$C$11)*NORMSINV(J784))*(K$7-K$5)*(K$6-K$5)),K$7-SQRT((1-NORMSDIST(K$9*SQRT($C$11)*NORMSINV($B784)+SQRT(1-K$9^2*$C$11)*NORMSINV(J784)))*(K$7-K$5)*(K$7-K$6))))</f>
        <v>0.454077487007076</v>
      </c>
      <c r="L784" s="2" t="n">
        <v>0.204664515</v>
      </c>
      <c r="M784" s="2" t="n">
        <f aca="false">IF(M$7=M$5,M$6,IF(NORMSDIST(M$9*SQRT($C$11)*NORMSINV($B784)+SQRT(1-M$9^2*$C$11)*NORMSINV(L784))&lt;M$8,M$5+SQRT(NORMSDIST(M$9*SQRT($C$11)*NORMSINV($B784)+SQRT(1-M$9^2*$C$11)*NORMSINV(L784))*(M$7-M$5)*(M$6-M$5)),M$7-SQRT((1-NORMSDIST(M$9*SQRT($C$11)*NORMSINV($B784)+SQRT(1-M$9^2*$C$11)*NORMSINV(L784)))*(M$7-M$5)*(M$7-M$6))))</f>
        <v>1639.91086966417</v>
      </c>
      <c r="N784" s="2" t="n">
        <v>0.969437419</v>
      </c>
      <c r="O784" s="2" t="n">
        <f aca="false">IF(O$7=O$5,O$6,IF(NORMSDIST(O$9*SQRT($C$11)*NORMSINV($B784)+SQRT(1-O$9^2*$C$11)*NORMSINV(N784))&lt;O$8,O$5+SQRT(NORMSDIST(O$9*SQRT($C$11)*NORMSINV($B784)+SQRT(1-O$9^2*$C$11)*NORMSINV(N784))*(O$7-O$5)*(O$6-O$5)),O$7-SQRT((1-NORMSDIST(O$9*SQRT($C$11)*NORMSINV($B784)+SQRT(1-O$9^2*$C$11)*NORMSINV(N784)))*(O$7-O$5)*(O$7-O$6))))</f>
        <v>0.187906343169294</v>
      </c>
      <c r="P784" s="2" t="n">
        <v>0.972693156</v>
      </c>
      <c r="Q784" s="2" t="n">
        <f aca="false">IF(Q$7=Q$5,Q$6,IF(NORMSDIST(Q$9*SQRT($C$11)*NORMSINV($B784)+SQRT(1-Q$9^2*$C$11)*NORMSINV(P784))&lt;Q$8,Q$5+SQRT(NORMSDIST(Q$9*SQRT($C$11)*NORMSINV($B784)+SQRT(1-Q$9^2*$C$11)*NORMSINV(P784))*(Q$7-Q$5)*(Q$6-Q$5)),Q$7-SQRT((1-NORMSDIST(Q$9*SQRT($C$11)*NORMSINV($B784)+SQRT(1-Q$9^2*$C$11)*NORMSINV(P784)))*(Q$7-Q$5)*(Q$7-Q$6))))</f>
        <v>0.110652171332336</v>
      </c>
      <c r="R784" s="2" t="n">
        <v>0.589122441</v>
      </c>
      <c r="S784" s="2" t="n">
        <f aca="false">IF(S$7=S$5,S$6,IF(NORMSDIST(S$9*SQRT($C$11)*NORMSINV($B784)+SQRT(1-S$9^2*$C$11)*NORMSINV(R784))&lt;S$8,S$5+SQRT(NORMSDIST(S$9*SQRT($C$11)*NORMSINV($B784)+SQRT(1-S$9^2*$C$11)*NORMSINV(R784))*(S$7-S$5)*(S$6-S$5)),S$7-SQRT((1-NORMSDIST(S$9*SQRT($C$11)*NORMSINV($B784)+SQRT(1-S$9^2*$C$11)*NORMSINV(R784)))*(S$7-S$5)*(S$7-S$6))))</f>
        <v>0.792762850143778</v>
      </c>
      <c r="T784" s="2" t="n">
        <v>0.925385541</v>
      </c>
      <c r="U784" s="2" t="n">
        <f aca="false">IF(U$7=U$5,U$6,IF(NORMSDIST(U$9*SQRT($C$11)*NORMSINV($B784)+SQRT(1-U$9^2*$C$11)*NORMSINV(T784))&lt;U$8,U$5+SQRT(NORMSDIST(U$9*SQRT($C$11)*NORMSINV($B784)+SQRT(1-U$9^2*$C$11)*NORMSINV(T784))*(U$7-U$5)*(U$6-U$5)),U$7-SQRT((1-NORMSDIST(U$9*SQRT($C$11)*NORMSINV($B784)+SQRT(1-U$9^2*$C$11)*NORMSINV(T784)))*(U$7-U$5)*(U$7-U$6))))</f>
        <v>0.927654008789266</v>
      </c>
      <c r="V784" s="2" t="n">
        <v>0.368723943</v>
      </c>
      <c r="W784" s="2" t="n">
        <f aca="false">IF(W$7=W$5,W$6,IF(NORMSDIST(W$9*SQRT($C$11)*NORMSINV($B784)+SQRT(1-W$9^2*$C$11)*NORMSINV(V784))&lt;W$8,W$5+SQRT(NORMSDIST(W$9*SQRT($C$11)*NORMSINV($B784)+SQRT(1-W$9^2*$C$11)*NORMSINV(V784))*(W$7-W$5)*(W$6-W$5)),W$7-SQRT((1-NORMSDIST(W$9*SQRT($C$11)*NORMSINV($B784)+SQRT(1-W$9^2*$C$11)*NORMSINV(V784)))*(W$7-W$5)*(W$7-W$6))))</f>
        <v>10.8147875820363</v>
      </c>
      <c r="X784" s="2" t="n">
        <v>0.496801659</v>
      </c>
      <c r="Y784" s="2" t="n">
        <f aca="false">IF(Y$7=Y$5,Y$6,IF(NORMSDIST(Y$9*SQRT($C$11)*NORMSINV($B784)+SQRT(1-Y$9^2*$C$11)*NORMSINV(X784))&lt;Y$8,Y$5+SQRT(NORMSDIST(Y$9*SQRT($C$11)*NORMSINV($B784)+SQRT(1-Y$9^2*$C$11)*NORMSINV(X784))*(Y$7-Y$5)*(Y$6-Y$5)),Y$7-SQRT((1-NORMSDIST(Y$9*SQRT($C$11)*NORMSINV($B784)+SQRT(1-Y$9^2*$C$11)*NORMSINV(X784)))*(Y$7-Y$5)*(Y$7-Y$6))))</f>
        <v>0.498398263941599</v>
      </c>
      <c r="Z784" s="2" t="n">
        <v>0.336204812</v>
      </c>
      <c r="AA784" s="2" t="n">
        <f aca="false">IF(AA$7=AA$5,AA$6,IF(NORMSDIST(AA$9*SQRT($C$11)*NORMSINV($B784)+SQRT(1-AA$9^2*$C$11)*NORMSINV(Z784))&lt;AA$8,AA$5+SQRT(NORMSDIST(AA$9*SQRT($C$11)*NORMSINV($B784)+SQRT(1-AA$9^2*$C$11)*NORMSINV(Z784))*(AA$7-AA$5)*(AA$6-AA$5)),AA$7-SQRT((1-NORMSDIST(AA$9*SQRT($C$11)*NORMSINV($B784)+SQRT(1-AA$9^2*$C$11)*NORMSINV(Z784)))*(AA$7-AA$5)*(AA$7-AA$6))))</f>
        <v>0.73809253713095</v>
      </c>
      <c r="AB784" s="2" t="n">
        <v>0.242323509</v>
      </c>
      <c r="AC784" s="2" t="n">
        <f aca="false">IF(AC$7=AC$5,AC$6,IF(NORMSDIST(AC$9*SQRT($C$11)*NORMSINV($B784)+SQRT(1-AC$9^2*$C$11)*NORMSINV(AB784))&lt;AC$8,AC$5+SQRT(NORMSDIST(AC$9*SQRT($C$11)*NORMSINV($B784)+SQRT(1-AC$9^2*$C$11)*NORMSINV(AB784))*(AC$7-AC$5)*(AC$6-AC$5)),AC$7-SQRT((1-NORMSDIST(AC$9*SQRT($C$11)*NORMSINV($B784)+SQRT(1-AC$9^2*$C$11)*NORMSINV(AB784)))*(AC$7-AC$5)*(AC$7-AC$6))))</f>
        <v>9.94501421337654</v>
      </c>
      <c r="AD784" s="2" t="n">
        <f aca="false">Entrées!$C$8*(1+E784)</f>
        <v>7457.00012481614</v>
      </c>
      <c r="AE784" s="2" t="n">
        <f aca="false">I784*Hypothèses!$J$24/12/Hypothèses!$J$19</f>
        <v>100.60678645942</v>
      </c>
      <c r="AF784" s="2" t="n">
        <f aca="false">Entrées!$C$36*S784*1000</f>
        <v>396.381425071889</v>
      </c>
      <c r="AG784" s="2" t="n">
        <f aca="false">-AF784/W784</f>
        <v>-36.6517994056851</v>
      </c>
      <c r="AH784" s="2" t="n">
        <f aca="false">AD784+AE784+AG784</f>
        <v>7520.95511186987</v>
      </c>
      <c r="AI784" s="2" t="n">
        <f aca="false">Entrées!$C$16-M784+Hypothèses!$J$22*1000-AF784+Hypothèses!$J$23</f>
        <v>22511.7077052639</v>
      </c>
      <c r="AJ784" s="2" t="n">
        <f aca="false">AI784/AH784</f>
        <v>2.99319798754484</v>
      </c>
      <c r="AK784" s="2" t="n">
        <f aca="false">AI784/(AH784+I784*(12-Hypothèses!$J$24)/12/Hypothèses!$J$19)</f>
        <v>2.96486895473184</v>
      </c>
      <c r="AL784" s="2" t="n">
        <f aca="false">(AD784+AG784+I784/Hypothèses!$J$19)*(1+G784)</f>
        <v>8013.96805502354</v>
      </c>
      <c r="AM784" s="2" t="n">
        <f aca="false">Entrées!$C$54*K784/Hypothèses!$J$19</f>
        <v>46.340514097236</v>
      </c>
      <c r="AN784" s="2" t="n">
        <f aca="false">Y784*1000/AC784</f>
        <v>50.115389807209</v>
      </c>
      <c r="AO784" s="2" t="n">
        <f aca="false">(Entrées!$C$36*(1-S784)+MAX(0,Entrées!$C$30-Entrées!$C$35-Entrées!$C$36)*U784)*1000</f>
        <v>1402.33418723308</v>
      </c>
      <c r="AP784" s="2" t="n">
        <f aca="false">-AO784/W784</f>
        <v>-129.668213693111</v>
      </c>
      <c r="AQ784" s="2" t="n">
        <f aca="false">AL784+AM784+AN784+AP784</f>
        <v>7980.75574523487</v>
      </c>
      <c r="AR784" s="2" t="n">
        <f aca="false">O784*AQ784-Hypothèses!$J$25/Hypothèses!$J$19</f>
        <v>1480.49946555279</v>
      </c>
      <c r="AS784" s="2" t="n">
        <f aca="false">Entrées!$C$79*(1+Q784)+Hypothèses!$J$20</f>
        <v>1515.60673629424</v>
      </c>
      <c r="AT784" s="2" t="n">
        <f aca="false">AI784-AR784+AS784+Y784*1000-AO784+Hypothèses!$J$23</f>
        <v>21642.8790527139</v>
      </c>
      <c r="AU784" s="2" t="n">
        <f aca="false">AT784/AQ784</f>
        <v>2.71188340347797</v>
      </c>
      <c r="AV784" s="2" t="n">
        <f aca="false">Hypothèses!$J$26*AQ784-AT784</f>
        <v>2299.38818299072</v>
      </c>
      <c r="AW784" s="2" t="n">
        <f aca="false">IF(AC784&gt;Hypothèses!$J$26,MAX(0,AV784)/(1-Hypothèses!$J$26/AC784),0)</f>
        <v>3292.64238478714</v>
      </c>
      <c r="AX784" s="2" t="n">
        <f aca="false">AQ784-Entrées!$C$17*1000</f>
        <v>-19.244254765129</v>
      </c>
      <c r="AY784" s="2" t="n">
        <f aca="false">AI784+(Entrées!$C$244-Entrées!$C$13)</f>
        <v>28258.7077052639</v>
      </c>
      <c r="AZ784" s="2" t="n">
        <f aca="false">AA784*AH784</f>
        <v>5551.16084016802</v>
      </c>
      <c r="BA784" s="2" t="n">
        <f aca="false">AZ784/AY784</f>
        <v>0.196440718311191</v>
      </c>
      <c r="BB784" s="2" t="n">
        <f aca="false">AZ784/(Entrées!$C$151/100)-AY784</f>
        <v>2581.07474011396</v>
      </c>
      <c r="BC784" s="2" t="n">
        <f aca="false">AT784+(Entrées!$C$244-Entrées!$C$13)</f>
        <v>27389.8790527139</v>
      </c>
      <c r="BD784" s="2" t="n">
        <f aca="false">AA784*AQ784</f>
        <v>5890.53625622281</v>
      </c>
      <c r="BE784" s="2" t="n">
        <f aca="false">BD784/BC784</f>
        <v>0.215062514328232</v>
      </c>
      <c r="BF784" s="2" t="n">
        <f aca="false">BD784/(Entrées!$C$151/100)-BC784</f>
        <v>5335.32237074618</v>
      </c>
      <c r="BG784" s="2" t="n">
        <f aca="false">MIN(AV784,BF784)</f>
        <v>2299.38818299072</v>
      </c>
      <c r="BH784" s="2" t="n">
        <f aca="false">IF(AC784&gt;Hypothèses!$J$26,MAX(0,BG784)/(1-Hypothèses!$J$26/AC784),0)</f>
        <v>3292.64238478714</v>
      </c>
    </row>
    <row r="785" customFormat="false" ht="15" hidden="false" customHeight="false" outlineLevel="0" collapsed="false">
      <c r="A785" s="2" t="n">
        <v>770</v>
      </c>
      <c r="B785" s="2" t="n">
        <v>0.065785433</v>
      </c>
      <c r="C785" s="2"/>
      <c r="D785" s="2" t="n">
        <v>0.265073661</v>
      </c>
      <c r="E785" s="2" t="n">
        <f aca="false">IF(E$7=E$5,E$6,IF(NORMSDIST(E$9*SQRT($C$11)*NORMSINV($B785)+SQRT(1-E$9^2*$C$11)*NORMSINV(D785))&lt;E$8,E$5+SQRT(NORMSDIST(E$9*SQRT($C$11)*NORMSINV($B785)+SQRT(1-E$9^2*$C$11)*NORMSINV(D785))*(E$7-E$5)*(E$6-E$5)),E$7-SQRT((1-NORMSDIST(E$9*SQRT($C$11)*NORMSINV($B785)+SQRT(1-E$9^2*$C$11)*NORMSINV(D785)))*(E$7-E$5)*(E$7-E$6))))</f>
        <v>0.0519356725476659</v>
      </c>
      <c r="F785" s="2" t="n">
        <v>0.576258431</v>
      </c>
      <c r="G785" s="2" t="n">
        <f aca="false">IF(G$7=G$5,G$6,IF(NORMSDIST(G$9*SQRT($C$11)*NORMSINV($B785)+SQRT(1-G$9^2*$C$11)*NORMSINV(F785))&lt;G$8,G$5+SQRT(NORMSDIST(G$9*SQRT($C$11)*NORMSINV($B785)+SQRT(1-G$9^2*$C$11)*NORMSINV(F785))*(G$7-G$5)*(G$6-G$5)),G$7-SQRT((1-NORMSDIST(G$9*SQRT($C$11)*NORMSINV($B785)+SQRT(1-G$9^2*$C$11)*NORMSINV(F785)))*(G$7-G$5)*(G$7-G$6))))</f>
        <v>0.0497324350277405</v>
      </c>
      <c r="H785" s="2" t="n">
        <v>0.701219929</v>
      </c>
      <c r="I785" s="2" t="n">
        <f aca="false">IF(I$7=I$5,I$6,IF(NORMSDIST(I$9*SQRT($C$11)*NORMSINV($B785)+SQRT(1-I$9^2*$C$11)*NORMSINV(H785))&lt;I$8,I$5+SQRT(NORMSDIST(I$9*SQRT($C$11)*NORMSINV($B785)+SQRT(1-I$9^2*$C$11)*NORMSINV(H785))*(I$7-I$5)*(I$6-I$5)),I$7-SQRT((1-NORMSDIST(I$9*SQRT($C$11)*NORMSINV($B785)+SQRT(1-I$9^2*$C$11)*NORMSINV(H785)))*(I$7-I$5)*(I$7-I$6))))</f>
        <v>195.308853729935</v>
      </c>
      <c r="J785" s="2" t="n">
        <v>0.341645634</v>
      </c>
      <c r="K785" s="2" t="n">
        <f aca="false">IF(K$7=K$5,K$6,IF(NORMSDIST(K$9*SQRT($C$11)*NORMSINV($B785)+SQRT(1-K$9^2*$C$11)*NORMSINV(J785))&lt;K$8,K$5+SQRT(NORMSDIST(K$9*SQRT($C$11)*NORMSINV($B785)+SQRT(1-K$9^2*$C$11)*NORMSINV(J785))*(K$7-K$5)*(K$6-K$5)),K$7-SQRT((1-NORMSDIST(K$9*SQRT($C$11)*NORMSINV($B785)+SQRT(1-K$9^2*$C$11)*NORMSINV(J785)))*(K$7-K$5)*(K$7-K$6))))</f>
        <v>0.112966970532057</v>
      </c>
      <c r="L785" s="2" t="n">
        <v>0.031574197</v>
      </c>
      <c r="M785" s="2" t="n">
        <f aca="false">IF(M$7=M$5,M$6,IF(NORMSDIST(M$9*SQRT($C$11)*NORMSINV($B785)+SQRT(1-M$9^2*$C$11)*NORMSINV(L785))&lt;M$8,M$5+SQRT(NORMSDIST(M$9*SQRT($C$11)*NORMSINV($B785)+SQRT(1-M$9^2*$C$11)*NORMSINV(L785))*(M$7-M$5)*(M$6-M$5)),M$7-SQRT((1-NORMSDIST(M$9*SQRT($C$11)*NORMSINV($B785)+SQRT(1-M$9^2*$C$11)*NORMSINV(L785)))*(M$7-M$5)*(M$7-M$6))))</f>
        <v>1339.67344534506</v>
      </c>
      <c r="N785" s="2" t="n">
        <v>0.51885868</v>
      </c>
      <c r="O785" s="2" t="n">
        <f aca="false">IF(O$7=O$5,O$6,IF(NORMSDIST(O$9*SQRT($C$11)*NORMSINV($B785)+SQRT(1-O$9^2*$C$11)*NORMSINV(N785))&lt;O$8,O$5+SQRT(NORMSDIST(O$9*SQRT($C$11)*NORMSINV($B785)+SQRT(1-O$9^2*$C$11)*NORMSINV(N785))*(O$7-O$5)*(O$6-O$5)),O$7-SQRT((1-NORMSDIST(O$9*SQRT($C$11)*NORMSINV($B785)+SQRT(1-O$9^2*$C$11)*NORMSINV(N785)))*(O$7-O$5)*(O$7-O$6))))</f>
        <v>0.156050700257123</v>
      </c>
      <c r="P785" s="2" t="n">
        <v>0.509240373</v>
      </c>
      <c r="Q785" s="2" t="n">
        <f aca="false">IF(Q$7=Q$5,Q$6,IF(NORMSDIST(Q$9*SQRT($C$11)*NORMSINV($B785)+SQRT(1-Q$9^2*$C$11)*NORMSINV(P785))&lt;Q$8,Q$5+SQRT(NORMSDIST(Q$9*SQRT($C$11)*NORMSINV($B785)+SQRT(1-Q$9^2*$C$11)*NORMSINV(P785))*(Q$7-Q$5)*(Q$6-Q$5)),Q$7-SQRT((1-NORMSDIST(Q$9*SQRT($C$11)*NORMSINV($B785)+SQRT(1-Q$9^2*$C$11)*NORMSINV(P785)))*(Q$7-Q$5)*(Q$7-Q$6))))</f>
        <v>0.0803713385742087</v>
      </c>
      <c r="R785" s="2" t="n">
        <v>0.350167778</v>
      </c>
      <c r="S785" s="2" t="n">
        <f aca="false">IF(S$7=S$5,S$6,IF(NORMSDIST(S$9*SQRT($C$11)*NORMSINV($B785)+SQRT(1-S$9^2*$C$11)*NORMSINV(R785))&lt;S$8,S$5+SQRT(NORMSDIST(S$9*SQRT($C$11)*NORMSINV($B785)+SQRT(1-S$9^2*$C$11)*NORMSINV(R785))*(S$7-S$5)*(S$6-S$5)),S$7-SQRT((1-NORMSDIST(S$9*SQRT($C$11)*NORMSINV($B785)+SQRT(1-S$9^2*$C$11)*NORMSINV(R785)))*(S$7-S$5)*(S$7-S$6))))</f>
        <v>0.229475258014012</v>
      </c>
      <c r="T785" s="2" t="n">
        <v>0.837722006</v>
      </c>
      <c r="U785" s="2" t="n">
        <f aca="false">IF(U$7=U$5,U$6,IF(NORMSDIST(U$9*SQRT($C$11)*NORMSINV($B785)+SQRT(1-U$9^2*$C$11)*NORMSINV(T785))&lt;U$8,U$5+SQRT(NORMSDIST(U$9*SQRT($C$11)*NORMSINV($B785)+SQRT(1-U$9^2*$C$11)*NORMSINV(T785))*(U$7-U$5)*(U$6-U$5)),U$7-SQRT((1-NORMSDIST(U$9*SQRT($C$11)*NORMSINV($B785)+SQRT(1-U$9^2*$C$11)*NORMSINV(T785)))*(U$7-U$5)*(U$7-U$6))))</f>
        <v>0.460658576207912</v>
      </c>
      <c r="V785" s="2" t="n">
        <v>0.005999222</v>
      </c>
      <c r="W785" s="2" t="n">
        <f aca="false">IF(W$7=W$5,W$6,IF(NORMSDIST(W$9*SQRT($C$11)*NORMSINV($B785)+SQRT(1-W$9^2*$C$11)*NORMSINV(V785))&lt;W$8,W$5+SQRT(NORMSDIST(W$9*SQRT($C$11)*NORMSINV($B785)+SQRT(1-W$9^2*$C$11)*NORMSINV(V785))*(W$7-W$5)*(W$6-W$5)),W$7-SQRT((1-NORMSDIST(W$9*SQRT($C$11)*NORMSINV($B785)+SQRT(1-W$9^2*$C$11)*NORMSINV(V785)))*(W$7-W$5)*(W$7-W$6))))</f>
        <v>8.12224491274005</v>
      </c>
      <c r="X785" s="2" t="n">
        <v>0.834676268</v>
      </c>
      <c r="Y785" s="2" t="n">
        <f aca="false">IF(Y$7=Y$5,Y$6,IF(NORMSDIST(Y$9*SQRT($C$11)*NORMSINV($B785)+SQRT(1-Y$9^2*$C$11)*NORMSINV(X785))&lt;Y$8,Y$5+SQRT(NORMSDIST(Y$9*SQRT($C$11)*NORMSINV($B785)+SQRT(1-Y$9^2*$C$11)*NORMSINV(X785))*(Y$7-Y$5)*(Y$6-Y$5)),Y$7-SQRT((1-NORMSDIST(Y$9*SQRT($C$11)*NORMSINV($B785)+SQRT(1-Y$9^2*$C$11)*NORMSINV(X785)))*(Y$7-Y$5)*(Y$7-Y$6))))</f>
        <v>0.712490233209374</v>
      </c>
      <c r="Z785" s="2" t="n">
        <v>0.383104732</v>
      </c>
      <c r="AA785" s="2" t="n">
        <f aca="false">IF(AA$7=AA$5,AA$6,IF(NORMSDIST(AA$9*SQRT($C$11)*NORMSINV($B785)+SQRT(1-AA$9^2*$C$11)*NORMSINV(Z785))&lt;AA$8,AA$5+SQRT(NORMSDIST(AA$9*SQRT($C$11)*NORMSINV($B785)+SQRT(1-AA$9^2*$C$11)*NORMSINV(Z785))*(AA$7-AA$5)*(AA$6-AA$5)),AA$7-SQRT((1-NORMSDIST(AA$9*SQRT($C$11)*NORMSINV($B785)+SQRT(1-AA$9^2*$C$11)*NORMSINV(Z785)))*(AA$7-AA$5)*(AA$7-AA$6))))</f>
        <v>0.711234072568945</v>
      </c>
      <c r="AB785" s="2" t="n">
        <v>0.110984287</v>
      </c>
      <c r="AC785" s="2" t="n">
        <f aca="false">IF(AC$7=AC$5,AC$6,IF(NORMSDIST(AC$9*SQRT($C$11)*NORMSINV($B785)+SQRT(1-AC$9^2*$C$11)*NORMSINV(AB785))&lt;AC$8,AC$5+SQRT(NORMSDIST(AC$9*SQRT($C$11)*NORMSINV($B785)+SQRT(1-AC$9^2*$C$11)*NORMSINV(AB785))*(AC$7-AC$5)*(AC$6-AC$5)),AC$7-SQRT((1-NORMSDIST(AC$9*SQRT($C$11)*NORMSINV($B785)+SQRT(1-AC$9^2*$C$11)*NORMSINV(AB785)))*(AC$7-AC$5)*(AC$7-AC$6))))</f>
        <v>7.8982637679357</v>
      </c>
      <c r="AD785" s="2" t="n">
        <f aca="false">Entrées!$C$8*(1+E785)</f>
        <v>7416.14649146104</v>
      </c>
      <c r="AE785" s="2" t="n">
        <f aca="false">I785*Hypothèses!$J$24/12/Hypothèses!$J$19</f>
        <v>96.892097225116</v>
      </c>
      <c r="AF785" s="2" t="n">
        <f aca="false">Entrées!$C$36*S785*1000</f>
        <v>114.737629007006</v>
      </c>
      <c r="AG785" s="2" t="n">
        <f aca="false">-AF785/W785</f>
        <v>-14.1263444084327</v>
      </c>
      <c r="AH785" s="2" t="n">
        <f aca="false">AD785+AE785+AG785</f>
        <v>7498.91224427773</v>
      </c>
      <c r="AI785" s="2" t="n">
        <f aca="false">Entrées!$C$16-M785+Hypothèses!$J$22*1000-AF785+Hypothèses!$J$23</f>
        <v>23093.5889256479</v>
      </c>
      <c r="AJ785" s="2" t="n">
        <f aca="false">AI785/AH785</f>
        <v>3.07959183590529</v>
      </c>
      <c r="AK785" s="2" t="n">
        <f aca="false">AI785/(AH785+I785*(12-Hypothèses!$J$24)/12/Hypothèses!$J$19)</f>
        <v>3.05142971103343</v>
      </c>
      <c r="AL785" s="2" t="n">
        <f aca="false">(AD785+AG785+I785/Hypothèses!$J$19)*(1+G785)</f>
        <v>7944.50196535576</v>
      </c>
      <c r="AM785" s="2" t="n">
        <f aca="false">Entrées!$C$54*K785/Hypothèses!$J$19</f>
        <v>11.5287536604546</v>
      </c>
      <c r="AN785" s="2" t="n">
        <f aca="false">Y785*1000/AC785</f>
        <v>90.2084627892329</v>
      </c>
      <c r="AO785" s="2" t="n">
        <f aca="false">(Entrées!$C$36*(1-S785)+MAX(0,Entrées!$C$30-Entrées!$C$35-Entrées!$C$36)*U785)*1000</f>
        <v>1030.18437768407</v>
      </c>
      <c r="AP785" s="2" t="n">
        <f aca="false">-AO785/W785</f>
        <v>-126.834931567772</v>
      </c>
      <c r="AQ785" s="2" t="n">
        <f aca="false">AL785+AM785+AN785+AP785</f>
        <v>7919.40425023767</v>
      </c>
      <c r="AR785" s="2" t="n">
        <f aca="false">O785*AQ785-Hypothèses!$J$25/Hypothèses!$J$19</f>
        <v>1216.6934166072</v>
      </c>
      <c r="AS785" s="2" t="n">
        <f aca="false">Entrées!$C$79*(1+Q785)+Hypothèses!$J$20</f>
        <v>1482.32810109306</v>
      </c>
      <c r="AT785" s="2" t="n">
        <f aca="false">AI785-AR785+AS785+Y785*1000-AO785+Hypothèses!$J$23</f>
        <v>23041.5294656591</v>
      </c>
      <c r="AU785" s="2" t="n">
        <f aca="false">AT785/AQ785</f>
        <v>2.90950287895299</v>
      </c>
      <c r="AV785" s="2" t="n">
        <f aca="false">Hypothèses!$J$26*AQ785-AT785</f>
        <v>716.683285053929</v>
      </c>
      <c r="AW785" s="2" t="n">
        <f aca="false">IF(AC785&gt;Hypothèses!$J$26,MAX(0,AV785)/(1-Hypothèses!$J$26/AC785),0)</f>
        <v>1155.62450117139</v>
      </c>
      <c r="AX785" s="2" t="n">
        <f aca="false">AQ785-Entrées!$C$17*1000</f>
        <v>-80.5957497623267</v>
      </c>
      <c r="AY785" s="2" t="n">
        <f aca="false">AI785+(Entrées!$C$244-Entrées!$C$13)</f>
        <v>28840.5889256479</v>
      </c>
      <c r="AZ785" s="2" t="n">
        <f aca="false">AA785*AH785</f>
        <v>5333.48189533478</v>
      </c>
      <c r="BA785" s="2" t="n">
        <f aca="false">AZ785/AY785</f>
        <v>0.184929715169294</v>
      </c>
      <c r="BB785" s="2" t="n">
        <f aca="false">AZ785/(Entrées!$C$151/100)-AY785</f>
        <v>789.866048434178</v>
      </c>
      <c r="BC785" s="2" t="n">
        <f aca="false">AT785+(Entrées!$C$244-Entrées!$C$13)</f>
        <v>28788.5294656591</v>
      </c>
      <c r="BD785" s="2" t="n">
        <f aca="false">AA785*AQ785</f>
        <v>5632.55013721636</v>
      </c>
      <c r="BE785" s="2" t="n">
        <f aca="false">BD785/BC785</f>
        <v>0.195652582530665</v>
      </c>
      <c r="BF785" s="2" t="n">
        <f aca="false">BD785/(Entrées!$C$151/100)-BC785</f>
        <v>2503.41574109844</v>
      </c>
      <c r="BG785" s="2" t="n">
        <f aca="false">MIN(AV785,BF785)</f>
        <v>716.683285053929</v>
      </c>
      <c r="BH785" s="2" t="n">
        <f aca="false">IF(AC785&gt;Hypothèses!$J$26,MAX(0,BG785)/(1-Hypothèses!$J$26/AC785),0)</f>
        <v>1155.62450117139</v>
      </c>
    </row>
    <row r="786" customFormat="false" ht="15" hidden="false" customHeight="false" outlineLevel="0" collapsed="false">
      <c r="A786" s="2" t="n">
        <v>771</v>
      </c>
      <c r="B786" s="2" t="n">
        <v>0.796294597</v>
      </c>
      <c r="C786" s="2"/>
      <c r="D786" s="2" t="n">
        <v>0.224162184</v>
      </c>
      <c r="E786" s="2" t="n">
        <f aca="false">IF(E$7=E$5,E$6,IF(NORMSDIST(E$9*SQRT($C$11)*NORMSINV($B786)+SQRT(1-E$9^2*$C$11)*NORMSINV(D786))&lt;E$8,E$5+SQRT(NORMSDIST(E$9*SQRT($C$11)*NORMSINV($B786)+SQRT(1-E$9^2*$C$11)*NORMSINV(D786))*(E$7-E$5)*(E$6-E$5)),E$7-SQRT((1-NORMSDIST(E$9*SQRT($C$11)*NORMSINV($B786)+SQRT(1-E$9^2*$C$11)*NORMSINV(D786)))*(E$7-E$5)*(E$7-E$6))))</f>
        <v>0.0548720937306031</v>
      </c>
      <c r="F786" s="2" t="n">
        <v>0.546722569</v>
      </c>
      <c r="G786" s="2" t="n">
        <f aca="false">IF(G$7=G$5,G$6,IF(NORMSDIST(G$9*SQRT($C$11)*NORMSINV($B786)+SQRT(1-G$9^2*$C$11)*NORMSINV(F786))&lt;G$8,G$5+SQRT(NORMSDIST(G$9*SQRT($C$11)*NORMSINV($B786)+SQRT(1-G$9^2*$C$11)*NORMSINV(F786))*(G$7-G$5)*(G$6-G$5)),G$7-SQRT((1-NORMSDIST(G$9*SQRT($C$11)*NORMSINV($B786)+SQRT(1-G$9^2*$C$11)*NORMSINV(F786)))*(G$7-G$5)*(G$7-G$6))))</f>
        <v>0.0589913103211565</v>
      </c>
      <c r="H786" s="2" t="n">
        <v>0.100662628</v>
      </c>
      <c r="I786" s="2" t="n">
        <f aca="false">IF(I$7=I$5,I$6,IF(NORMSDIST(I$9*SQRT($C$11)*NORMSINV($B786)+SQRT(1-I$9^2*$C$11)*NORMSINV(H786))&lt;I$8,I$5+SQRT(NORMSDIST(I$9*SQRT($C$11)*NORMSINV($B786)+SQRT(1-I$9^2*$C$11)*NORMSINV(H786))*(I$7-I$5)*(I$6-I$5)),I$7-SQRT((1-NORMSDIST(I$9*SQRT($C$11)*NORMSINV($B786)+SQRT(1-I$9^2*$C$11)*NORMSINV(H786)))*(I$7-I$5)*(I$7-I$6))))</f>
        <v>196.016932055571</v>
      </c>
      <c r="J786" s="2" t="n">
        <v>0.748262876</v>
      </c>
      <c r="K786" s="2" t="n">
        <f aca="false">IF(K$7=K$5,K$6,IF(NORMSDIST(K$9*SQRT($C$11)*NORMSINV($B786)+SQRT(1-K$9^2*$C$11)*NORMSINV(J786))&lt;K$8,K$5+SQRT(NORMSDIST(K$9*SQRT($C$11)*NORMSINV($B786)+SQRT(1-K$9^2*$C$11)*NORMSINV(J786))*(K$7-K$5)*(K$6-K$5)),K$7-SQRT((1-NORMSDIST(K$9*SQRT($C$11)*NORMSINV($B786)+SQRT(1-K$9^2*$C$11)*NORMSINV(J786)))*(K$7-K$5)*(K$7-K$6))))</f>
        <v>0.363681978114603</v>
      </c>
      <c r="L786" s="2" t="n">
        <v>0.311021184</v>
      </c>
      <c r="M786" s="2" t="n">
        <f aca="false">IF(M$7=M$5,M$6,IF(NORMSDIST(M$9*SQRT($C$11)*NORMSINV($B786)+SQRT(1-M$9^2*$C$11)*NORMSINV(L786))&lt;M$8,M$5+SQRT(NORMSDIST(M$9*SQRT($C$11)*NORMSINV($B786)+SQRT(1-M$9^2*$C$11)*NORMSINV(L786))*(M$7-M$5)*(M$6-M$5)),M$7-SQRT((1-NORMSDIST(M$9*SQRT($C$11)*NORMSINV($B786)+SQRT(1-M$9^2*$C$11)*NORMSINV(L786)))*(M$7-M$5)*(M$7-M$6))))</f>
        <v>1600.867991798</v>
      </c>
      <c r="N786" s="2" t="n">
        <v>0.284980437</v>
      </c>
      <c r="O786" s="2" t="n">
        <f aca="false">IF(O$7=O$5,O$6,IF(NORMSDIST(O$9*SQRT($C$11)*NORMSINV($B786)+SQRT(1-O$9^2*$C$11)*NORMSINV(N786))&lt;O$8,O$5+SQRT(NORMSDIST(O$9*SQRT($C$11)*NORMSINV($B786)+SQRT(1-O$9^2*$C$11)*NORMSINV(N786))*(O$7-O$5)*(O$6-O$5)),O$7-SQRT((1-NORMSDIST(O$9*SQRT($C$11)*NORMSINV($B786)+SQRT(1-O$9^2*$C$11)*NORMSINV(N786)))*(O$7-O$5)*(O$7-O$6))))</f>
        <v>0.167665546406835</v>
      </c>
      <c r="P786" s="2" t="n">
        <v>0.473009681</v>
      </c>
      <c r="Q786" s="2" t="n">
        <f aca="false">IF(Q$7=Q$5,Q$6,IF(NORMSDIST(Q$9*SQRT($C$11)*NORMSINV($B786)+SQRT(1-Q$9^2*$C$11)*NORMSINV(P786))&lt;Q$8,Q$5+SQRT(NORMSDIST(Q$9*SQRT($C$11)*NORMSINV($B786)+SQRT(1-Q$9^2*$C$11)*NORMSINV(P786))*(Q$7-Q$5)*(Q$6-Q$5)),Q$7-SQRT((1-NORMSDIST(Q$9*SQRT($C$11)*NORMSINV($B786)+SQRT(1-Q$9^2*$C$11)*NORMSINV(P786)))*(Q$7-Q$5)*(Q$7-Q$6))))</f>
        <v>0.0789054106674123</v>
      </c>
      <c r="R786" s="2" t="n">
        <v>0.829569182</v>
      </c>
      <c r="S786" s="2" t="n">
        <f aca="false">IF(S$7=S$5,S$6,IF(NORMSDIST(S$9*SQRT($C$11)*NORMSINV($B786)+SQRT(1-S$9^2*$C$11)*NORMSINV(R786))&lt;S$8,S$5+SQRT(NORMSDIST(S$9*SQRT($C$11)*NORMSINV($B786)+SQRT(1-S$9^2*$C$11)*NORMSINV(R786))*(S$7-S$5)*(S$6-S$5)),S$7-SQRT((1-NORMSDIST(S$9*SQRT($C$11)*NORMSINV($B786)+SQRT(1-S$9^2*$C$11)*NORMSINV(R786)))*(S$7-S$5)*(S$7-S$6))))</f>
        <v>0.772490228408589</v>
      </c>
      <c r="T786" s="2" t="n">
        <v>0.210975936</v>
      </c>
      <c r="U786" s="2" t="n">
        <f aca="false">IF(U$7=U$5,U$6,IF(NORMSDIST(U$9*SQRT($C$11)*NORMSINV($B786)+SQRT(1-U$9^2*$C$11)*NORMSINV(T786))&lt;U$8,U$5+SQRT(NORMSDIST(U$9*SQRT($C$11)*NORMSINV($B786)+SQRT(1-U$9^2*$C$11)*NORMSINV(T786))*(U$7-U$5)*(U$6-U$5)),U$7-SQRT((1-NORMSDIST(U$9*SQRT($C$11)*NORMSINV($B786)+SQRT(1-U$9^2*$C$11)*NORMSINV(T786)))*(U$7-U$5)*(U$7-U$6))))</f>
        <v>0.48007236193024</v>
      </c>
      <c r="V786" s="2" t="n">
        <v>0.984564271</v>
      </c>
      <c r="W786" s="2" t="n">
        <f aca="false">IF(W$7=W$5,W$6,IF(NORMSDIST(W$9*SQRT($C$11)*NORMSINV($B786)+SQRT(1-W$9^2*$C$11)*NORMSINV(V786))&lt;W$8,W$5+SQRT(NORMSDIST(W$9*SQRT($C$11)*NORMSINV($B786)+SQRT(1-W$9^2*$C$11)*NORMSINV(V786))*(W$7-W$5)*(W$6-W$5)),W$7-SQRT((1-NORMSDIST(W$9*SQRT($C$11)*NORMSINV($B786)+SQRT(1-W$9^2*$C$11)*NORMSINV(V786)))*(W$7-W$5)*(W$7-W$6))))</f>
        <v>11.6648317881825</v>
      </c>
      <c r="X786" s="2" t="n">
        <v>0.511352105</v>
      </c>
      <c r="Y786" s="2" t="n">
        <f aca="false">IF(Y$7=Y$5,Y$6,IF(NORMSDIST(Y$9*SQRT($C$11)*NORMSINV($B786)+SQRT(1-Y$9^2*$C$11)*NORMSINV(X786))&lt;Y$8,Y$5+SQRT(NORMSDIST(Y$9*SQRT($C$11)*NORMSINV($B786)+SQRT(1-Y$9^2*$C$11)*NORMSINV(X786))*(Y$7-Y$5)*(Y$6-Y$5)),Y$7-SQRT((1-NORMSDIST(Y$9*SQRT($C$11)*NORMSINV($B786)+SQRT(1-Y$9^2*$C$11)*NORMSINV(X786)))*(Y$7-Y$5)*(Y$7-Y$6))))</f>
        <v>0.505708641083015</v>
      </c>
      <c r="Z786" s="2" t="n">
        <v>0.216433625</v>
      </c>
      <c r="AA786" s="2" t="n">
        <f aca="false">IF(AA$7=AA$5,AA$6,IF(NORMSDIST(AA$9*SQRT($C$11)*NORMSINV($B786)+SQRT(1-AA$9^2*$C$11)*NORMSINV(Z786))&lt;AA$8,AA$5+SQRT(NORMSDIST(AA$9*SQRT($C$11)*NORMSINV($B786)+SQRT(1-AA$9^2*$C$11)*NORMSINV(Z786))*(AA$7-AA$5)*(AA$6-AA$5)),AA$7-SQRT((1-NORMSDIST(AA$9*SQRT($C$11)*NORMSINV($B786)+SQRT(1-AA$9^2*$C$11)*NORMSINV(Z786)))*(AA$7-AA$5)*(AA$7-AA$6))))</f>
        <v>0.726942873572942</v>
      </c>
      <c r="AB786" s="2" t="n">
        <v>0.792127466</v>
      </c>
      <c r="AC786" s="2" t="n">
        <f aca="false">IF(AC$7=AC$5,AC$6,IF(NORMSDIST(AC$9*SQRT($C$11)*NORMSINV($B786)+SQRT(1-AC$9^2*$C$11)*NORMSINV(AB786))&lt;AC$8,AC$5+SQRT(NORMSDIST(AC$9*SQRT($C$11)*NORMSINV($B786)+SQRT(1-AC$9^2*$C$11)*NORMSINV(AB786))*(AC$7-AC$5)*(AC$6-AC$5)),AC$7-SQRT((1-NORMSDIST(AC$9*SQRT($C$11)*NORMSINV($B786)+SQRT(1-AC$9^2*$C$11)*NORMSINV(AB786)))*(AC$7-AC$5)*(AC$7-AC$6))))</f>
        <v>10.2675719460038</v>
      </c>
      <c r="AD786" s="2" t="n">
        <f aca="false">Entrées!$C$8*(1+E786)</f>
        <v>7436.84826080075</v>
      </c>
      <c r="AE786" s="2" t="n">
        <f aca="false">I786*Hypothèses!$J$24/12/Hypothèses!$J$19</f>
        <v>97.2433726161712</v>
      </c>
      <c r="AF786" s="2" t="n">
        <f aca="false">Entrées!$C$36*S786*1000</f>
        <v>386.245114204294</v>
      </c>
      <c r="AG786" s="2" t="n">
        <f aca="false">-AF786/W786</f>
        <v>-33.1119317636105</v>
      </c>
      <c r="AH786" s="2" t="n">
        <f aca="false">AD786+AE786+AG786</f>
        <v>7500.97970165331</v>
      </c>
      <c r="AI786" s="2" t="n">
        <f aca="false">Entrées!$C$16-M786+Hypothèses!$J$22*1000-AF786+Hypothèses!$J$23</f>
        <v>22560.8868939977</v>
      </c>
      <c r="AJ786" s="2" t="n">
        <f aca="false">AI786/AH786</f>
        <v>3.00772536273162</v>
      </c>
      <c r="AK786" s="2" t="n">
        <f aca="false">AI786/(AH786+I786*(12-Hypothèses!$J$24)/12/Hypothèses!$J$19)</f>
        <v>2.98012917592617</v>
      </c>
      <c r="AL786" s="2" t="n">
        <f aca="false">(AD786+AG786+I786/Hypothèses!$J$19)*(1+G786)</f>
        <v>8017.02938479399</v>
      </c>
      <c r="AM786" s="2" t="n">
        <f aca="false">Entrées!$C$54*K786/Hypothèses!$J$19</f>
        <v>37.1152728685442</v>
      </c>
      <c r="AN786" s="2" t="n">
        <f aca="false">Y786*1000/AC786</f>
        <v>49.2529922110593</v>
      </c>
      <c r="AO786" s="2" t="n">
        <f aca="false">(Entrées!$C$36*(1-S786)+MAX(0,Entrées!$C$30-Entrées!$C$35-Entrées!$C$36)*U786)*1000</f>
        <v>785.856192498041</v>
      </c>
      <c r="AP786" s="2" t="n">
        <f aca="false">-AO786/W786</f>
        <v>-67.3696978034593</v>
      </c>
      <c r="AQ786" s="2" t="n">
        <f aca="false">AL786+AM786+AN786+AP786</f>
        <v>8036.02795207013</v>
      </c>
      <c r="AR786" s="2" t="n">
        <f aca="false">O786*AQ786-Hypothèses!$J$25/Hypothèses!$J$19</f>
        <v>1328.22985526281</v>
      </c>
      <c r="AS786" s="2" t="n">
        <f aca="false">Entrées!$C$79*(1+Q786)+Hypothèses!$J$20</f>
        <v>1480.71704632349</v>
      </c>
      <c r="AT786" s="2" t="n">
        <f aca="false">AI786-AR786+AS786+Y786*1000-AO786+Hypothèses!$J$23</f>
        <v>22433.2265336434</v>
      </c>
      <c r="AU786" s="2" t="n">
        <f aca="false">AT786/AQ786</f>
        <v>2.79158144638663</v>
      </c>
      <c r="AV786" s="2" t="n">
        <f aca="false">Hypothèses!$J$26*AQ786-AT786</f>
        <v>1674.85732256704</v>
      </c>
      <c r="AW786" s="2" t="n">
        <f aca="false">IF(AC786&gt;Hypothèses!$J$26,MAX(0,AV786)/(1-Hypothèses!$J$26/AC786),0)</f>
        <v>2366.22604998143</v>
      </c>
      <c r="AX786" s="2" t="n">
        <f aca="false">AQ786-Entrées!$C$17*1000</f>
        <v>36.0279520701306</v>
      </c>
      <c r="AY786" s="2" t="n">
        <f aca="false">AI786+(Entrées!$C$244-Entrées!$C$13)</f>
        <v>28307.8868939977</v>
      </c>
      <c r="AZ786" s="2" t="n">
        <f aca="false">AA786*AH786</f>
        <v>5452.78373893217</v>
      </c>
      <c r="BA786" s="2" t="n">
        <f aca="false">AZ786/AY786</f>
        <v>0.192624188423204</v>
      </c>
      <c r="BB786" s="2" t="n">
        <f aca="false">AZ786/(Entrées!$C$151/100)-AY786</f>
        <v>1985.35610006991</v>
      </c>
      <c r="BC786" s="2" t="n">
        <f aca="false">AT786+(Entrées!$C$244-Entrées!$C$13)</f>
        <v>28180.2265336434</v>
      </c>
      <c r="BD786" s="2" t="n">
        <f aca="false">AA786*AQ786</f>
        <v>5841.73325159035</v>
      </c>
      <c r="BE786" s="2" t="n">
        <f aca="false">BD786/BC786</f>
        <v>0.207299016727779</v>
      </c>
      <c r="BF786" s="2" t="n">
        <f aca="false">BD786/(Entrées!$C$151/100)-BC786</f>
        <v>4273.84708630302</v>
      </c>
      <c r="BG786" s="2" t="n">
        <f aca="false">MIN(AV786,BF786)</f>
        <v>1674.85732256704</v>
      </c>
      <c r="BH786" s="2" t="n">
        <f aca="false">IF(AC786&gt;Hypothèses!$J$26,MAX(0,BG786)/(1-Hypothèses!$J$26/AC786),0)</f>
        <v>2366.22604998143</v>
      </c>
    </row>
    <row r="787" customFormat="false" ht="15" hidden="false" customHeight="false" outlineLevel="0" collapsed="false">
      <c r="A787" s="2" t="n">
        <v>772</v>
      </c>
      <c r="B787" s="2" t="n">
        <v>0.297483702</v>
      </c>
      <c r="C787" s="2"/>
      <c r="D787" s="2" t="n">
        <v>0.857883875</v>
      </c>
      <c r="E787" s="2" t="n">
        <f aca="false">IF(E$7=E$5,E$6,IF(NORMSDIST(E$9*SQRT($C$11)*NORMSINV($B787)+SQRT(1-E$9^2*$C$11)*NORMSINV(D787))&lt;E$8,E$5+SQRT(NORMSDIST(E$9*SQRT($C$11)*NORMSINV($B787)+SQRT(1-E$9^2*$C$11)*NORMSINV(D787))*(E$7-E$5)*(E$6-E$5)),E$7-SQRT((1-NORMSDIST(E$9*SQRT($C$11)*NORMSINV($B787)+SQRT(1-E$9^2*$C$11)*NORMSINV(D787)))*(E$7-E$5)*(E$7-E$6))))</f>
        <v>0.0560571463569801</v>
      </c>
      <c r="F787" s="2" t="n">
        <v>0.616847711</v>
      </c>
      <c r="G787" s="2" t="n">
        <f aca="false">IF(G$7=G$5,G$6,IF(NORMSDIST(G$9*SQRT($C$11)*NORMSINV($B787)+SQRT(1-G$9^2*$C$11)*NORMSINV(F787))&lt;G$8,G$5+SQRT(NORMSDIST(G$9*SQRT($C$11)*NORMSINV($B787)+SQRT(1-G$9^2*$C$11)*NORMSINV(F787))*(G$7-G$5)*(G$6-G$5)),G$7-SQRT((1-NORMSDIST(G$9*SQRT($C$11)*NORMSINV($B787)+SQRT(1-G$9^2*$C$11)*NORMSINV(F787)))*(G$7-G$5)*(G$7-G$6))))</f>
        <v>0.0543527458960263</v>
      </c>
      <c r="H787" s="2" t="n">
        <v>0.865307829</v>
      </c>
      <c r="I787" s="2" t="n">
        <f aca="false">IF(I$7=I$5,I$6,IF(NORMSDIST(I$9*SQRT($C$11)*NORMSINV($B787)+SQRT(1-I$9^2*$C$11)*NORMSINV(H787))&lt;I$8,I$5+SQRT(NORMSDIST(I$9*SQRT($C$11)*NORMSINV($B787)+SQRT(1-I$9^2*$C$11)*NORMSINV(H787))*(I$7-I$5)*(I$6-I$5)),I$7-SQRT((1-NORMSDIST(I$9*SQRT($C$11)*NORMSINV($B787)+SQRT(1-I$9^2*$C$11)*NORMSINV(H787)))*(I$7-I$5)*(I$7-I$6))))</f>
        <v>204.462120038165</v>
      </c>
      <c r="J787" s="2" t="n">
        <v>0.179374626</v>
      </c>
      <c r="K787" s="2" t="n">
        <f aca="false">IF(K$7=K$5,K$6,IF(NORMSDIST(K$9*SQRT($C$11)*NORMSINV($B787)+SQRT(1-K$9^2*$C$11)*NORMSINV(J787))&lt;K$8,K$5+SQRT(NORMSDIST(K$9*SQRT($C$11)*NORMSINV($B787)+SQRT(1-K$9^2*$C$11)*NORMSINV(J787))*(K$7-K$5)*(K$6-K$5)),K$7-SQRT((1-NORMSDIST(K$9*SQRT($C$11)*NORMSINV($B787)+SQRT(1-K$9^2*$C$11)*NORMSINV(J787)))*(K$7-K$5)*(K$7-K$6))))</f>
        <v>0.135793581275891</v>
      </c>
      <c r="L787" s="2" t="n">
        <v>0.04124671</v>
      </c>
      <c r="M787" s="2" t="n">
        <f aca="false">IF(M$7=M$5,M$6,IF(NORMSDIST(M$9*SQRT($C$11)*NORMSINV($B787)+SQRT(1-M$9^2*$C$11)*NORMSINV(L787))&lt;M$8,M$5+SQRT(NORMSDIST(M$9*SQRT($C$11)*NORMSINV($B787)+SQRT(1-M$9^2*$C$11)*NORMSINV(L787))*(M$7-M$5)*(M$6-M$5)),M$7-SQRT((1-NORMSDIST(M$9*SQRT($C$11)*NORMSINV($B787)+SQRT(1-M$9^2*$C$11)*NORMSINV(L787)))*(M$7-M$5)*(M$7-M$6))))</f>
        <v>1389.11188834701</v>
      </c>
      <c r="N787" s="2" t="n">
        <v>0.843597329</v>
      </c>
      <c r="O787" s="2" t="n">
        <f aca="false">IF(O$7=O$5,O$6,IF(NORMSDIST(O$9*SQRT($C$11)*NORMSINV($B787)+SQRT(1-O$9^2*$C$11)*NORMSINV(N787))&lt;O$8,O$5+SQRT(NORMSDIST(O$9*SQRT($C$11)*NORMSINV($B787)+SQRT(1-O$9^2*$C$11)*NORMSINV(N787))*(O$7-O$5)*(O$6-O$5)),O$7-SQRT((1-NORMSDIST(O$9*SQRT($C$11)*NORMSINV($B787)+SQRT(1-O$9^2*$C$11)*NORMSINV(N787)))*(O$7-O$5)*(O$7-O$6))))</f>
        <v>0.171309876596389</v>
      </c>
      <c r="P787" s="2" t="n">
        <v>0.735044447</v>
      </c>
      <c r="Q787" s="2" t="n">
        <f aca="false">IF(Q$7=Q$5,Q$6,IF(NORMSDIST(Q$9*SQRT($C$11)*NORMSINV($B787)+SQRT(1-Q$9^2*$C$11)*NORMSINV(P787))&lt;Q$8,Q$5+SQRT(NORMSDIST(Q$9*SQRT($C$11)*NORMSINV($B787)+SQRT(1-Q$9^2*$C$11)*NORMSINV(P787))*(Q$7-Q$5)*(Q$6-Q$5)),Q$7-SQRT((1-NORMSDIST(Q$9*SQRT($C$11)*NORMSINV($B787)+SQRT(1-Q$9^2*$C$11)*NORMSINV(P787)))*(Q$7-Q$5)*(Q$7-Q$6))))</f>
        <v>0.0908820026512811</v>
      </c>
      <c r="R787" s="2" t="n">
        <v>0.677066216</v>
      </c>
      <c r="S787" s="2" t="n">
        <f aca="false">IF(S$7=S$5,S$6,IF(NORMSDIST(S$9*SQRT($C$11)*NORMSINV($B787)+SQRT(1-S$9^2*$C$11)*NORMSINV(R787))&lt;S$8,S$5+SQRT(NORMSDIST(S$9*SQRT($C$11)*NORMSINV($B787)+SQRT(1-S$9^2*$C$11)*NORMSINV(R787))*(S$7-S$5)*(S$6-S$5)),S$7-SQRT((1-NORMSDIST(S$9*SQRT($C$11)*NORMSINV($B787)+SQRT(1-S$9^2*$C$11)*NORMSINV(R787)))*(S$7-S$5)*(S$7-S$6))))</f>
        <v>0.50394276542257</v>
      </c>
      <c r="T787" s="2" t="n">
        <v>0.149787211</v>
      </c>
      <c r="U787" s="2" t="n">
        <f aca="false">IF(U$7=U$5,U$6,IF(NORMSDIST(U$9*SQRT($C$11)*NORMSINV($B787)+SQRT(1-U$9^2*$C$11)*NORMSINV(T787))&lt;U$8,U$5+SQRT(NORMSDIST(U$9*SQRT($C$11)*NORMSINV($B787)+SQRT(1-U$9^2*$C$11)*NORMSINV(T787))*(U$7-U$5)*(U$6-U$5)),U$7-SQRT((1-NORMSDIST(U$9*SQRT($C$11)*NORMSINV($B787)+SQRT(1-U$9^2*$C$11)*NORMSINV(T787)))*(U$7-U$5)*(U$7-U$6))))</f>
        <v>0.252181336780319</v>
      </c>
      <c r="V787" s="2" t="n">
        <v>0.171563885</v>
      </c>
      <c r="W787" s="2" t="n">
        <f aca="false">IF(W$7=W$5,W$6,IF(NORMSDIST(W$9*SQRT($C$11)*NORMSINV($B787)+SQRT(1-W$9^2*$C$11)*NORMSINV(V787))&lt;W$8,W$5+SQRT(NORMSDIST(W$9*SQRT($C$11)*NORMSINV($B787)+SQRT(1-W$9^2*$C$11)*NORMSINV(V787))*(W$7-W$5)*(W$6-W$5)),W$7-SQRT((1-NORMSDIST(W$9*SQRT($C$11)*NORMSINV($B787)+SQRT(1-W$9^2*$C$11)*NORMSINV(V787)))*(W$7-W$5)*(W$7-W$6))))</f>
        <v>9.06651687745022</v>
      </c>
      <c r="X787" s="2" t="n">
        <v>0.53041124</v>
      </c>
      <c r="Y787" s="2" t="n">
        <f aca="false">IF(Y$7=Y$5,Y$6,IF(NORMSDIST(Y$9*SQRT($C$11)*NORMSINV($B787)+SQRT(1-Y$9^2*$C$11)*NORMSINV(X787))&lt;Y$8,Y$5+SQRT(NORMSDIST(Y$9*SQRT($C$11)*NORMSINV($B787)+SQRT(1-Y$9^2*$C$11)*NORMSINV(X787))*(Y$7-Y$5)*(Y$6-Y$5)),Y$7-SQRT((1-NORMSDIST(Y$9*SQRT($C$11)*NORMSINV($B787)+SQRT(1-Y$9^2*$C$11)*NORMSINV(X787)))*(Y$7-Y$5)*(Y$7-Y$6))))</f>
        <v>0.515444141506885</v>
      </c>
      <c r="Z787" s="2" t="n">
        <v>0.545809352</v>
      </c>
      <c r="AA787" s="2" t="n">
        <f aca="false">IF(AA$7=AA$5,AA$6,IF(NORMSDIST(AA$9*SQRT($C$11)*NORMSINV($B787)+SQRT(1-AA$9^2*$C$11)*NORMSINV(Z787))&lt;AA$8,AA$5+SQRT(NORMSDIST(AA$9*SQRT($C$11)*NORMSINV($B787)+SQRT(1-AA$9^2*$C$11)*NORMSINV(Z787))*(AA$7-AA$5)*(AA$6-AA$5)),AA$7-SQRT((1-NORMSDIST(AA$9*SQRT($C$11)*NORMSINV($B787)+SQRT(1-AA$9^2*$C$11)*NORMSINV(Z787)))*(AA$7-AA$5)*(AA$7-AA$6))))</f>
        <v>0.724683936059872</v>
      </c>
      <c r="AB787" s="2" t="n">
        <v>0.096367966</v>
      </c>
      <c r="AC787" s="2" t="n">
        <f aca="false">IF(AC$7=AC$5,AC$6,IF(NORMSDIST(AC$9*SQRT($C$11)*NORMSINV($B787)+SQRT(1-AC$9^2*$C$11)*NORMSINV(AB787))&lt;AC$8,AC$5+SQRT(NORMSDIST(AC$9*SQRT($C$11)*NORMSINV($B787)+SQRT(1-AC$9^2*$C$11)*NORMSINV(AB787))*(AC$7-AC$5)*(AC$6-AC$5)),AC$7-SQRT((1-NORMSDIST(AC$9*SQRT($C$11)*NORMSINV($B787)+SQRT(1-AC$9^2*$C$11)*NORMSINV(AB787)))*(AC$7-AC$5)*(AC$7-AC$6))))</f>
        <v>8.27829959949898</v>
      </c>
      <c r="AD787" s="2" t="n">
        <f aca="false">Entrées!$C$8*(1+E787)</f>
        <v>7445.20288181671</v>
      </c>
      <c r="AE787" s="2" t="n">
        <f aca="false">I787*Hypothèses!$J$24/12/Hypothèses!$J$19</f>
        <v>101.433003344461</v>
      </c>
      <c r="AF787" s="2" t="n">
        <f aca="false">Entrées!$C$36*S787*1000</f>
        <v>251.971382711285</v>
      </c>
      <c r="AG787" s="2" t="n">
        <f aca="false">-AF787/W787</f>
        <v>-27.7914204668802</v>
      </c>
      <c r="AH787" s="2" t="n">
        <f aca="false">AD787+AE787+AG787</f>
        <v>7518.84446469429</v>
      </c>
      <c r="AI787" s="2" t="n">
        <f aca="false">Entrées!$C$16-M787+Hypothèses!$J$22*1000-AF787+Hypothèses!$J$23</f>
        <v>22906.9167289417</v>
      </c>
      <c r="AJ787" s="2" t="n">
        <f aca="false">AI787/AH787</f>
        <v>3.04660068930859</v>
      </c>
      <c r="AK787" s="2" t="n">
        <f aca="false">AI787/(AH787+I787*(12-Hypothèses!$J$24)/12/Hypothèses!$J$19)</f>
        <v>3.01752360709322</v>
      </c>
      <c r="AL787" s="2" t="n">
        <f aca="false">(AD787+AG787+I787/Hypothèses!$J$19)*(1+G787)</f>
        <v>8003.90442560179</v>
      </c>
      <c r="AM787" s="2" t="n">
        <f aca="false">Entrées!$C$54*K787/Hypothèses!$J$19</f>
        <v>13.8583051296078</v>
      </c>
      <c r="AN787" s="2" t="n">
        <f aca="false">Y787*1000/AC787</f>
        <v>62.2644946962393</v>
      </c>
      <c r="AO787" s="2" t="n">
        <f aca="false">(Entrées!$C$36*(1-S787)+MAX(0,Entrées!$C$30-Entrées!$C$35-Entrées!$C$36)*U787)*1000</f>
        <v>601.082488781162</v>
      </c>
      <c r="AP787" s="2" t="n">
        <f aca="false">-AO787/W787</f>
        <v>-66.2969580166054</v>
      </c>
      <c r="AQ787" s="2" t="n">
        <f aca="false">AL787+AM787+AN787+AP787</f>
        <v>8013.73026741103</v>
      </c>
      <c r="AR787" s="2" t="n">
        <f aca="false">O787*AQ787-Hypothèses!$J$25/Hypothèses!$J$19</f>
        <v>1353.69598092531</v>
      </c>
      <c r="AS787" s="2" t="n">
        <f aca="false">Entrées!$C$79*(1+Q787)+Hypothèses!$J$20</f>
        <v>1493.87932091376</v>
      </c>
      <c r="AT787" s="2" t="n">
        <f aca="false">AI787-AR787+AS787+Y787*1000-AO787+Hypothèses!$J$23</f>
        <v>22961.4617216559</v>
      </c>
      <c r="AU787" s="2" t="n">
        <f aca="false">AT787/AQ787</f>
        <v>2.86526510818962</v>
      </c>
      <c r="AV787" s="2" t="n">
        <f aca="false">Hypothèses!$J$26*AQ787-AT787</f>
        <v>1079.72908057721</v>
      </c>
      <c r="AW787" s="2" t="n">
        <f aca="false">IF(AC787&gt;Hypothèses!$J$26,MAX(0,AV787)/(1-Hypothèses!$J$26/AC787),0)</f>
        <v>1693.40914565708</v>
      </c>
      <c r="AX787" s="2" t="n">
        <f aca="false">AQ787-Entrées!$C$17*1000</f>
        <v>13.7302674110279</v>
      </c>
      <c r="AY787" s="2" t="n">
        <f aca="false">AI787+(Entrées!$C$244-Entrées!$C$13)</f>
        <v>28653.9167289417</v>
      </c>
      <c r="AZ787" s="2" t="n">
        <f aca="false">AA787*AH787</f>
        <v>5448.78580129664</v>
      </c>
      <c r="BA787" s="2" t="n">
        <f aca="false">AZ787/AY787</f>
        <v>0.190158499197184</v>
      </c>
      <c r="BB787" s="2" t="n">
        <f aca="false">AZ787/(Entrées!$C$151/100)-AY787</f>
        <v>1617.11550048408</v>
      </c>
      <c r="BC787" s="2" t="n">
        <f aca="false">AT787+(Entrées!$C$244-Entrées!$C$13)</f>
        <v>28708.4617216559</v>
      </c>
      <c r="BD787" s="2" t="n">
        <f aca="false">AA787*AQ787</f>
        <v>5807.42159270956</v>
      </c>
      <c r="BE787" s="2" t="n">
        <f aca="false">BD787/BC787</f>
        <v>0.202289542679634</v>
      </c>
      <c r="BF787" s="2" t="n">
        <f aca="false">BD787/(Entrées!$C$151/100)-BC787</f>
        <v>3554.99157117499</v>
      </c>
      <c r="BG787" s="2" t="n">
        <f aca="false">MIN(AV787,BF787)</f>
        <v>1079.72908057721</v>
      </c>
      <c r="BH787" s="2" t="n">
        <f aca="false">IF(AC787&gt;Hypothèses!$J$26,MAX(0,BG787)/(1-Hypothèses!$J$26/AC787),0)</f>
        <v>1693.40914565708</v>
      </c>
    </row>
    <row r="788" customFormat="false" ht="15" hidden="false" customHeight="false" outlineLevel="0" collapsed="false">
      <c r="A788" s="2" t="n">
        <v>773</v>
      </c>
      <c r="B788" s="2" t="n">
        <v>0.675059089</v>
      </c>
      <c r="C788" s="2"/>
      <c r="D788" s="2" t="n">
        <v>0.11386241</v>
      </c>
      <c r="E788" s="2" t="n">
        <f aca="false">IF(E$7=E$5,E$6,IF(NORMSDIST(E$9*SQRT($C$11)*NORMSINV($B788)+SQRT(1-E$9^2*$C$11)*NORMSINV(D788))&lt;E$8,E$5+SQRT(NORMSDIST(E$9*SQRT($C$11)*NORMSINV($B788)+SQRT(1-E$9^2*$C$11)*NORMSINV(D788))*(E$7-E$5)*(E$6-E$5)),E$7-SQRT((1-NORMSDIST(E$9*SQRT($C$11)*NORMSINV($B788)+SQRT(1-E$9^2*$C$11)*NORMSINV(D788)))*(E$7-E$5)*(E$7-E$6))))</f>
        <v>0.0535967439897889</v>
      </c>
      <c r="F788" s="2" t="n">
        <v>0.501324481</v>
      </c>
      <c r="G788" s="2" t="n">
        <f aca="false">IF(G$7=G$5,G$6,IF(NORMSDIST(G$9*SQRT($C$11)*NORMSINV($B788)+SQRT(1-G$9^2*$C$11)*NORMSINV(F788))&lt;G$8,G$5+SQRT(NORMSDIST(G$9*SQRT($C$11)*NORMSINV($B788)+SQRT(1-G$9^2*$C$11)*NORMSINV(F788))*(G$7-G$5)*(G$6-G$5)),G$7-SQRT((1-NORMSDIST(G$9*SQRT($C$11)*NORMSINV($B788)+SQRT(1-G$9^2*$C$11)*NORMSINV(F788)))*(G$7-G$5)*(G$7-G$6))))</f>
        <v>0.0568198179463356</v>
      </c>
      <c r="H788" s="2" t="n">
        <v>0.811400935</v>
      </c>
      <c r="I788" s="2" t="n">
        <f aca="false">IF(I$7=I$5,I$6,IF(NORMSDIST(I$9*SQRT($C$11)*NORMSINV($B788)+SQRT(1-I$9^2*$C$11)*NORMSINV(H788))&lt;I$8,I$5+SQRT(NORMSDIST(I$9*SQRT($C$11)*NORMSINV($B788)+SQRT(1-I$9^2*$C$11)*NORMSINV(H788))*(I$7-I$5)*(I$6-I$5)),I$7-SQRT((1-NORMSDIST(I$9*SQRT($C$11)*NORMSINV($B788)+SQRT(1-I$9^2*$C$11)*NORMSINV(H788)))*(I$7-I$5)*(I$7-I$6))))</f>
        <v>208.484920931574</v>
      </c>
      <c r="J788" s="2" t="n">
        <v>0.708129098</v>
      </c>
      <c r="K788" s="2" t="n">
        <f aca="false">IF(K$7=K$5,K$6,IF(NORMSDIST(K$9*SQRT($C$11)*NORMSINV($B788)+SQRT(1-K$9^2*$C$11)*NORMSINV(J788))&lt;K$8,K$5+SQRT(NORMSDIST(K$9*SQRT($C$11)*NORMSINV($B788)+SQRT(1-K$9^2*$C$11)*NORMSINV(J788))*(K$7-K$5)*(K$6-K$5)),K$7-SQRT((1-NORMSDIST(K$9*SQRT($C$11)*NORMSINV($B788)+SQRT(1-K$9^2*$C$11)*NORMSINV(J788)))*(K$7-K$5)*(K$7-K$6))))</f>
        <v>0.32737908552605</v>
      </c>
      <c r="L788" s="2" t="n">
        <v>0.85856634</v>
      </c>
      <c r="M788" s="2" t="n">
        <f aca="false">IF(M$7=M$5,M$6,IF(NORMSDIST(M$9*SQRT($C$11)*NORMSINV($B788)+SQRT(1-M$9^2*$C$11)*NORMSINV(L788))&lt;M$8,M$5+SQRT(NORMSDIST(M$9*SQRT($C$11)*NORMSINV($B788)+SQRT(1-M$9^2*$C$11)*NORMSINV(L788))*(M$7-M$5)*(M$6-M$5)),M$7-SQRT((1-NORMSDIST(M$9*SQRT($C$11)*NORMSINV($B788)+SQRT(1-M$9^2*$C$11)*NORMSINV(L788)))*(M$7-M$5)*(M$7-M$6))))</f>
        <v>1689.55052073452</v>
      </c>
      <c r="N788" s="2" t="n">
        <v>0.025806408</v>
      </c>
      <c r="O788" s="2" t="n">
        <f aca="false">IF(O$7=O$5,O$6,IF(NORMSDIST(O$9*SQRT($C$11)*NORMSINV($B788)+SQRT(1-O$9^2*$C$11)*NORMSINV(N788))&lt;O$8,O$5+SQRT(NORMSDIST(O$9*SQRT($C$11)*NORMSINV($B788)+SQRT(1-O$9^2*$C$11)*NORMSINV(N788))*(O$7-O$5)*(O$6-O$5)),O$7-SQRT((1-NORMSDIST(O$9*SQRT($C$11)*NORMSINV($B788)+SQRT(1-O$9^2*$C$11)*NORMSINV(N788)))*(O$7-O$5)*(O$7-O$6))))</f>
        <v>0.152627332749814</v>
      </c>
      <c r="P788" s="2" t="n">
        <v>0.091626099</v>
      </c>
      <c r="Q788" s="2" t="n">
        <f aca="false">IF(Q$7=Q$5,Q$6,IF(NORMSDIST(Q$9*SQRT($C$11)*NORMSINV($B788)+SQRT(1-Q$9^2*$C$11)*NORMSINV(P788))&lt;Q$8,Q$5+SQRT(NORMSDIST(Q$9*SQRT($C$11)*NORMSINV($B788)+SQRT(1-Q$9^2*$C$11)*NORMSINV(P788))*(Q$7-Q$5)*(Q$6-Q$5)),Q$7-SQRT((1-NORMSDIST(Q$9*SQRT($C$11)*NORMSINV($B788)+SQRT(1-Q$9^2*$C$11)*NORMSINV(P788)))*(Q$7-Q$5)*(Q$7-Q$6))))</f>
        <v>0.0571231865258777</v>
      </c>
      <c r="R788" s="2" t="n">
        <v>0.396025345</v>
      </c>
      <c r="S788" s="2" t="n">
        <f aca="false">IF(S$7=S$5,S$6,IF(NORMSDIST(S$9*SQRT($C$11)*NORMSINV($B788)+SQRT(1-S$9^2*$C$11)*NORMSINV(R788))&lt;S$8,S$5+SQRT(NORMSDIST(S$9*SQRT($C$11)*NORMSINV($B788)+SQRT(1-S$9^2*$C$11)*NORMSINV(R788))*(S$7-S$5)*(S$6-S$5)),S$7-SQRT((1-NORMSDIST(S$9*SQRT($C$11)*NORMSINV($B788)+SQRT(1-S$9^2*$C$11)*NORMSINV(R788)))*(S$7-S$5)*(S$7-S$6))))</f>
        <v>0.516792650038416</v>
      </c>
      <c r="T788" s="2" t="n">
        <v>0.802909184</v>
      </c>
      <c r="U788" s="2" t="n">
        <f aca="false">IF(U$7=U$5,U$6,IF(NORMSDIST(U$9*SQRT($C$11)*NORMSINV($B788)+SQRT(1-U$9^2*$C$11)*NORMSINV(T788))&lt;U$8,U$5+SQRT(NORMSDIST(U$9*SQRT($C$11)*NORMSINV($B788)+SQRT(1-U$9^2*$C$11)*NORMSINV(T788))*(U$7-U$5)*(U$6-U$5)),U$7-SQRT((1-NORMSDIST(U$9*SQRT($C$11)*NORMSINV($B788)+SQRT(1-U$9^2*$C$11)*NORMSINV(T788)))*(U$7-U$5)*(U$7-U$6))))</f>
        <v>0.706915982169232</v>
      </c>
      <c r="V788" s="2" t="n">
        <v>0.519639643</v>
      </c>
      <c r="W788" s="2" t="n">
        <f aca="false">IF(W$7=W$5,W$6,IF(NORMSDIST(W$9*SQRT($C$11)*NORMSINV($B788)+SQRT(1-W$9^2*$C$11)*NORMSINV(V788))&lt;W$8,W$5+SQRT(NORMSDIST(W$9*SQRT($C$11)*NORMSINV($B788)+SQRT(1-W$9^2*$C$11)*NORMSINV(V788))*(W$7-W$5)*(W$6-W$5)),W$7-SQRT((1-NORMSDIST(W$9*SQRT($C$11)*NORMSINV($B788)+SQRT(1-W$9^2*$C$11)*NORMSINV(V788)))*(W$7-W$5)*(W$7-W$6))))</f>
        <v>10.2737299332251</v>
      </c>
      <c r="X788" s="2" t="n">
        <v>0.890498067</v>
      </c>
      <c r="Y788" s="2" t="n">
        <f aca="false">IF(Y$7=Y$5,Y$6,IF(NORMSDIST(Y$9*SQRT($C$11)*NORMSINV($B788)+SQRT(1-Y$9^2*$C$11)*NORMSINV(X788))&lt;Y$8,Y$5+SQRT(NORMSDIST(Y$9*SQRT($C$11)*NORMSINV($B788)+SQRT(1-Y$9^2*$C$11)*NORMSINV(X788))*(Y$7-Y$5)*(Y$6-Y$5)),Y$7-SQRT((1-NORMSDIST(Y$9*SQRT($C$11)*NORMSINV($B788)+SQRT(1-Y$9^2*$C$11)*NORMSINV(X788)))*(Y$7-Y$5)*(Y$7-Y$6))))</f>
        <v>0.766010755589066</v>
      </c>
      <c r="Z788" s="2" t="n">
        <v>0.748063655</v>
      </c>
      <c r="AA788" s="2" t="n">
        <f aca="false">IF(AA$7=AA$5,AA$6,IF(NORMSDIST(AA$9*SQRT($C$11)*NORMSINV($B788)+SQRT(1-AA$9^2*$C$11)*NORMSINV(Z788))&lt;AA$8,AA$5+SQRT(NORMSDIST(AA$9*SQRT($C$11)*NORMSINV($B788)+SQRT(1-AA$9^2*$C$11)*NORMSINV(Z788))*(AA$7-AA$5)*(AA$6-AA$5)),AA$7-SQRT((1-NORMSDIST(AA$9*SQRT($C$11)*NORMSINV($B788)+SQRT(1-AA$9^2*$C$11)*NORMSINV(Z788)))*(AA$7-AA$5)*(AA$7-AA$6))))</f>
        <v>0.737423010151111</v>
      </c>
      <c r="AB788" s="2" t="n">
        <v>0.887994298</v>
      </c>
      <c r="AC788" s="2" t="n">
        <f aca="false">IF(AC$7=AC$5,AC$6,IF(NORMSDIST(AC$9*SQRT($C$11)*NORMSINV($B788)+SQRT(1-AC$9^2*$C$11)*NORMSINV(AB788))&lt;AC$8,AC$5+SQRT(NORMSDIST(AC$9*SQRT($C$11)*NORMSINV($B788)+SQRT(1-AC$9^2*$C$11)*NORMSINV(AB788))*(AC$7-AC$5)*(AC$6-AC$5)),AC$7-SQRT((1-NORMSDIST(AC$9*SQRT($C$11)*NORMSINV($B788)+SQRT(1-AC$9^2*$C$11)*NORMSINV(AB788)))*(AC$7-AC$5)*(AC$7-AC$6))))</f>
        <v>10.312075225017</v>
      </c>
      <c r="AD788" s="2" t="n">
        <f aca="false">Entrées!$C$8*(1+E788)</f>
        <v>7427.85704512801</v>
      </c>
      <c r="AE788" s="2" t="n">
        <f aca="false">I788*Hypothèses!$J$24/12/Hypothèses!$J$19</f>
        <v>103.428701992205</v>
      </c>
      <c r="AF788" s="2" t="n">
        <f aca="false">Entrées!$C$36*S788*1000</f>
        <v>258.396325019208</v>
      </c>
      <c r="AG788" s="2" t="n">
        <f aca="false">-AF788/W788</f>
        <v>-25.1511697016248</v>
      </c>
      <c r="AH788" s="2" t="n">
        <f aca="false">AD788+AE788+AG788</f>
        <v>7506.13457741859</v>
      </c>
      <c r="AI788" s="2" t="n">
        <f aca="false">Entrées!$C$16-M788+Hypothèses!$J$22*1000-AF788+Hypothèses!$J$23</f>
        <v>22600.0531542463</v>
      </c>
      <c r="AJ788" s="2" t="n">
        <f aca="false">AI788/AH788</f>
        <v>3.01087769225936</v>
      </c>
      <c r="AK788" s="2" t="n">
        <f aca="false">AI788/(AH788+I788*(12-Hypothèses!$J$24)/12/Hypothèses!$J$19)</f>
        <v>2.98153254813373</v>
      </c>
      <c r="AL788" s="2" t="n">
        <f aca="false">(AD788+AG788+I788/Hypothèses!$J$19)*(1+G788)</f>
        <v>8010.70713616666</v>
      </c>
      <c r="AM788" s="2" t="n">
        <f aca="false">Entrées!$C$54*K788/Hypothèses!$J$19</f>
        <v>33.4104102538863</v>
      </c>
      <c r="AN788" s="2" t="n">
        <f aca="false">Y788*1000/AC788</f>
        <v>74.2828905796509</v>
      </c>
      <c r="AO788" s="2" t="n">
        <f aca="false">(Entrées!$C$36*(1-S788)+MAX(0,Entrées!$C$30-Entrées!$C$35-Entrées!$C$36)*U788)*1000</f>
        <v>1231.28605001772</v>
      </c>
      <c r="AP788" s="2" t="n">
        <f aca="false">-AO788/W788</f>
        <v>-119.848006324923</v>
      </c>
      <c r="AQ788" s="2" t="n">
        <f aca="false">AL788+AM788+AN788+AP788</f>
        <v>7998.55243067527</v>
      </c>
      <c r="AR788" s="2" t="n">
        <f aca="false">O788*AQ788-Hypothèses!$J$25/Hypothèses!$J$19</f>
        <v>1201.66256109188</v>
      </c>
      <c r="AS788" s="2" t="n">
        <f aca="false">Entrées!$C$79*(1+Q788)+Hypothèses!$J$20</f>
        <v>1456.77838199194</v>
      </c>
      <c r="AT788" s="2" t="n">
        <f aca="false">AI788-AR788+AS788+Y788*1000-AO788+Hypothèses!$J$23</f>
        <v>22389.8936807177</v>
      </c>
      <c r="AU788" s="2" t="n">
        <f aca="false">AT788/AQ788</f>
        <v>2.79924322241736</v>
      </c>
      <c r="AV788" s="2" t="n">
        <f aca="false">Hypothèses!$J$26*AQ788-AT788</f>
        <v>1605.76361130813</v>
      </c>
      <c r="AW788" s="2" t="n">
        <f aca="false">IF(AC788&gt;Hypothèses!$J$26,MAX(0,AV788)/(1-Hypothèses!$J$26/AC788),0)</f>
        <v>2264.57669592232</v>
      </c>
      <c r="AX788" s="2" t="n">
        <f aca="false">AQ788-Entrées!$C$17*1000</f>
        <v>-1.44756932472774</v>
      </c>
      <c r="AY788" s="2" t="n">
        <f aca="false">AI788+(Entrées!$C$244-Entrées!$C$13)</f>
        <v>28347.0531542463</v>
      </c>
      <c r="AZ788" s="2" t="n">
        <f aca="false">AA788*AH788</f>
        <v>5535.19635467936</v>
      </c>
      <c r="BA788" s="2" t="n">
        <f aca="false">AZ788/AY788</f>
        <v>0.195265318217044</v>
      </c>
      <c r="BB788" s="2" t="n">
        <f aca="false">AZ788/(Entrées!$C$151/100)-AY788</f>
        <v>2404.03770508347</v>
      </c>
      <c r="BC788" s="2" t="n">
        <f aca="false">AT788+(Entrées!$C$244-Entrées!$C$13)</f>
        <v>28136.8936807177</v>
      </c>
      <c r="BD788" s="2" t="n">
        <f aca="false">AA788*AQ788</f>
        <v>5898.31661028005</v>
      </c>
      <c r="BE788" s="2" t="n">
        <f aca="false">BD788/BC788</f>
        <v>0.209629274546471</v>
      </c>
      <c r="BF788" s="2" t="n">
        <f aca="false">BD788/(Entrées!$C$151/100)-BC788</f>
        <v>4631.53193194923</v>
      </c>
      <c r="BG788" s="2" t="n">
        <f aca="false">MIN(AV788,BF788)</f>
        <v>1605.76361130813</v>
      </c>
      <c r="BH788" s="2" t="n">
        <f aca="false">IF(AC788&gt;Hypothèses!$J$26,MAX(0,BG788)/(1-Hypothèses!$J$26/AC788),0)</f>
        <v>2264.57669592232</v>
      </c>
    </row>
    <row r="789" customFormat="false" ht="15" hidden="false" customHeight="false" outlineLevel="0" collapsed="false">
      <c r="A789" s="2" t="n">
        <v>774</v>
      </c>
      <c r="B789" s="2" t="n">
        <v>0.19032787</v>
      </c>
      <c r="C789" s="2"/>
      <c r="D789" s="2" t="n">
        <v>0.165530141</v>
      </c>
      <c r="E789" s="2" t="n">
        <f aca="false">IF(E$7=E$5,E$6,IF(NORMSDIST(E$9*SQRT($C$11)*NORMSINV($B789)+SQRT(1-E$9^2*$C$11)*NORMSINV(D789))&lt;E$8,E$5+SQRT(NORMSDIST(E$9*SQRT($C$11)*NORMSINV($B789)+SQRT(1-E$9^2*$C$11)*NORMSINV(D789))*(E$7-E$5)*(E$6-E$5)),E$7-SQRT((1-NORMSDIST(E$9*SQRT($C$11)*NORMSINV($B789)+SQRT(1-E$9^2*$C$11)*NORMSINV(D789)))*(E$7-E$5)*(E$7-E$6))))</f>
        <v>0.0521856959309745</v>
      </c>
      <c r="F789" s="2" t="n">
        <v>0.108036672</v>
      </c>
      <c r="G789" s="2" t="n">
        <f aca="false">IF(G$7=G$5,G$6,IF(NORMSDIST(G$9*SQRT($C$11)*NORMSINV($B789)+SQRT(1-G$9^2*$C$11)*NORMSINV(F789))&lt;G$8,G$5+SQRT(NORMSDIST(G$9*SQRT($C$11)*NORMSINV($B789)+SQRT(1-G$9^2*$C$11)*NORMSINV(F789))*(G$7-G$5)*(G$6-G$5)),G$7-SQRT((1-NORMSDIST(G$9*SQRT($C$11)*NORMSINV($B789)+SQRT(1-G$9^2*$C$11)*NORMSINV(F789)))*(G$7-G$5)*(G$7-G$6))))</f>
        <v>0.0454158757300763</v>
      </c>
      <c r="H789" s="2" t="n">
        <v>0.904287018</v>
      </c>
      <c r="I789" s="2" t="n">
        <f aca="false">IF(I$7=I$5,I$6,IF(NORMSDIST(I$9*SQRT($C$11)*NORMSINV($B789)+SQRT(1-I$9^2*$C$11)*NORMSINV(H789))&lt;I$8,I$5+SQRT(NORMSDIST(I$9*SQRT($C$11)*NORMSINV($B789)+SQRT(1-I$9^2*$C$11)*NORMSINV(H789))*(I$7-I$5)*(I$6-I$5)),I$7-SQRT((1-NORMSDIST(I$9*SQRT($C$11)*NORMSINV($B789)+SQRT(1-I$9^2*$C$11)*NORMSINV(H789)))*(I$7-I$5)*(I$7-I$6))))</f>
        <v>203.908372448932</v>
      </c>
      <c r="J789" s="2" t="n">
        <v>0.485295223</v>
      </c>
      <c r="K789" s="2" t="n">
        <f aca="false">IF(K$7=K$5,K$6,IF(NORMSDIST(K$9*SQRT($C$11)*NORMSINV($B789)+SQRT(1-K$9^2*$C$11)*NORMSINV(J789))&lt;K$8,K$5+SQRT(NORMSDIST(K$9*SQRT($C$11)*NORMSINV($B789)+SQRT(1-K$9^2*$C$11)*NORMSINV(J789))*(K$7-K$5)*(K$6-K$5)),K$7-SQRT((1-NORMSDIST(K$9*SQRT($C$11)*NORMSINV($B789)+SQRT(1-K$9^2*$C$11)*NORMSINV(J789)))*(K$7-K$5)*(K$7-K$6))))</f>
        <v>0.187062316242764</v>
      </c>
      <c r="L789" s="2" t="n">
        <v>0.467545479</v>
      </c>
      <c r="M789" s="2" t="n">
        <f aca="false">IF(M$7=M$5,M$6,IF(NORMSDIST(M$9*SQRT($C$11)*NORMSINV($B789)+SQRT(1-M$9^2*$C$11)*NORMSINV(L789))&lt;M$8,M$5+SQRT(NORMSDIST(M$9*SQRT($C$11)*NORMSINV($B789)+SQRT(1-M$9^2*$C$11)*NORMSINV(L789))*(M$7-M$5)*(M$6-M$5)),M$7-SQRT((1-NORMSDIST(M$9*SQRT($C$11)*NORMSINV($B789)+SQRT(1-M$9^2*$C$11)*NORMSINV(L789)))*(M$7-M$5)*(M$7-M$6))))</f>
        <v>1509.93636322999</v>
      </c>
      <c r="N789" s="2" t="n">
        <v>0.056115029</v>
      </c>
      <c r="O789" s="2" t="n">
        <f aca="false">IF(O$7=O$5,O$6,IF(NORMSDIST(O$9*SQRT($C$11)*NORMSINV($B789)+SQRT(1-O$9^2*$C$11)*NORMSINV(N789))&lt;O$8,O$5+SQRT(NORMSDIST(O$9*SQRT($C$11)*NORMSINV($B789)+SQRT(1-O$9^2*$C$11)*NORMSINV(N789))*(O$7-O$5)*(O$6-O$5)),O$7-SQRT((1-NORMSDIST(O$9*SQRT($C$11)*NORMSINV($B789)+SQRT(1-O$9^2*$C$11)*NORMSINV(N789)))*(O$7-O$5)*(O$7-O$6))))</f>
        <v>0.147301264032601</v>
      </c>
      <c r="P789" s="2" t="n">
        <v>0.96061996</v>
      </c>
      <c r="Q789" s="2" t="n">
        <f aca="false">IF(Q$7=Q$5,Q$6,IF(NORMSDIST(Q$9*SQRT($C$11)*NORMSINV($B789)+SQRT(1-Q$9^2*$C$11)*NORMSINV(P789))&lt;Q$8,Q$5+SQRT(NORMSDIST(Q$9*SQRT($C$11)*NORMSINV($B789)+SQRT(1-Q$9^2*$C$11)*NORMSINV(P789))*(Q$7-Q$5)*(Q$6-Q$5)),Q$7-SQRT((1-NORMSDIST(Q$9*SQRT($C$11)*NORMSINV($B789)+SQRT(1-Q$9^2*$C$11)*NORMSINV(P789)))*(Q$7-Q$5)*(Q$7-Q$6))))</f>
        <v>0.108774309464447</v>
      </c>
      <c r="R789" s="2" t="n">
        <v>0.856369155</v>
      </c>
      <c r="S789" s="2" t="n">
        <f aca="false">IF(S$7=S$5,S$6,IF(NORMSDIST(S$9*SQRT($C$11)*NORMSINV($B789)+SQRT(1-S$9^2*$C$11)*NORMSINV(R789))&lt;S$8,S$5+SQRT(NORMSDIST(S$9*SQRT($C$11)*NORMSINV($B789)+SQRT(1-S$9^2*$C$11)*NORMSINV(R789))*(S$7-S$5)*(S$6-S$5)),S$7-SQRT((1-NORMSDIST(S$9*SQRT($C$11)*NORMSINV($B789)+SQRT(1-S$9^2*$C$11)*NORMSINV(R789)))*(S$7-S$5)*(S$7-S$6))))</f>
        <v>0.55635046361061</v>
      </c>
      <c r="T789" s="2" t="n">
        <v>0.648710919</v>
      </c>
      <c r="U789" s="2" t="n">
        <f aca="false">IF(U$7=U$5,U$6,IF(NORMSDIST(U$9*SQRT($C$11)*NORMSINV($B789)+SQRT(1-U$9^2*$C$11)*NORMSINV(T789))&lt;U$8,U$5+SQRT(NORMSDIST(U$9*SQRT($C$11)*NORMSINV($B789)+SQRT(1-U$9^2*$C$11)*NORMSINV(T789))*(U$7-U$5)*(U$6-U$5)),U$7-SQRT((1-NORMSDIST(U$9*SQRT($C$11)*NORMSINV($B789)+SQRT(1-U$9^2*$C$11)*NORMSINV(T789)))*(U$7-U$5)*(U$7-U$6))))</f>
        <v>0.446058398555393</v>
      </c>
      <c r="V789" s="2" t="n">
        <v>0.713933945</v>
      </c>
      <c r="W789" s="2" t="n">
        <f aca="false">IF(W$7=W$5,W$6,IF(NORMSDIST(W$9*SQRT($C$11)*NORMSINV($B789)+SQRT(1-W$9^2*$C$11)*NORMSINV(V789))&lt;W$8,W$5+SQRT(NORMSDIST(W$9*SQRT($C$11)*NORMSINV($B789)+SQRT(1-W$9^2*$C$11)*NORMSINV(V789))*(W$7-W$5)*(W$6-W$5)),W$7-SQRT((1-NORMSDIST(W$9*SQRT($C$11)*NORMSINV($B789)+SQRT(1-W$9^2*$C$11)*NORMSINV(V789)))*(W$7-W$5)*(W$7-W$6))))</f>
        <v>9.90467890358724</v>
      </c>
      <c r="X789" s="2" t="n">
        <v>0.748700236</v>
      </c>
      <c r="Y789" s="2" t="n">
        <f aca="false">IF(Y$7=Y$5,Y$6,IF(NORMSDIST(Y$9*SQRT($C$11)*NORMSINV($B789)+SQRT(1-Y$9^2*$C$11)*NORMSINV(X789))&lt;Y$8,Y$5+SQRT(NORMSDIST(Y$9*SQRT($C$11)*NORMSINV($B789)+SQRT(1-Y$9^2*$C$11)*NORMSINV(X789))*(Y$7-Y$5)*(Y$6-Y$5)),Y$7-SQRT((1-NORMSDIST(Y$9*SQRT($C$11)*NORMSINV($B789)+SQRT(1-Y$9^2*$C$11)*NORMSINV(X789)))*(Y$7-Y$5)*(Y$7-Y$6))))</f>
        <v>0.645528728949722</v>
      </c>
      <c r="Z789" s="2" t="n">
        <v>0.391397768</v>
      </c>
      <c r="AA789" s="2" t="n">
        <f aca="false">IF(AA$7=AA$5,AA$6,IF(NORMSDIST(AA$9*SQRT($C$11)*NORMSINV($B789)+SQRT(1-AA$9^2*$C$11)*NORMSINV(Z789))&lt;AA$8,AA$5+SQRT(NORMSDIST(AA$9*SQRT($C$11)*NORMSINV($B789)+SQRT(1-AA$9^2*$C$11)*NORMSINV(Z789))*(AA$7-AA$5)*(AA$6-AA$5)),AA$7-SQRT((1-NORMSDIST(AA$9*SQRT($C$11)*NORMSINV($B789)+SQRT(1-AA$9^2*$C$11)*NORMSINV(Z789)))*(AA$7-AA$5)*(AA$7-AA$6))))</f>
        <v>0.717092448948337</v>
      </c>
      <c r="AB789" s="2" t="n">
        <v>0.665953665</v>
      </c>
      <c r="AC789" s="2" t="n">
        <f aca="false">IF(AC$7=AC$5,AC$6,IF(NORMSDIST(AC$9*SQRT($C$11)*NORMSINV($B789)+SQRT(1-AC$9^2*$C$11)*NORMSINV(AB789))&lt;AC$8,AC$5+SQRT(NORMSDIST(AC$9*SQRT($C$11)*NORMSINV($B789)+SQRT(1-AC$9^2*$C$11)*NORMSINV(AB789))*(AC$7-AC$5)*(AC$6-AC$5)),AC$7-SQRT((1-NORMSDIST(AC$9*SQRT($C$11)*NORMSINV($B789)+SQRT(1-AC$9^2*$C$11)*NORMSINV(AB789)))*(AC$7-AC$5)*(AC$7-AC$6))))</f>
        <v>9.2867633123328</v>
      </c>
      <c r="AD789" s="2" t="n">
        <f aca="false">Entrées!$C$8*(1+E789)</f>
        <v>7417.90915631337</v>
      </c>
      <c r="AE789" s="2" t="n">
        <f aca="false">I789*Hypothèses!$J$24/12/Hypothèses!$J$19</f>
        <v>101.15829093778</v>
      </c>
      <c r="AF789" s="2" t="n">
        <f aca="false">Entrées!$C$36*S789*1000</f>
        <v>278.175231805305</v>
      </c>
      <c r="AG789" s="2" t="n">
        <f aca="false">-AF789/W789</f>
        <v>-28.0852347171554</v>
      </c>
      <c r="AH789" s="2" t="n">
        <f aca="false">AD789+AE789+AG789</f>
        <v>7490.982212534</v>
      </c>
      <c r="AI789" s="2" t="n">
        <f aca="false">Entrées!$C$16-M789+Hypothèses!$J$22*1000-AF789+Hypothèses!$J$23</f>
        <v>22759.8884049647</v>
      </c>
      <c r="AJ789" s="2" t="n">
        <f aca="false">AI789/AH789</f>
        <v>3.03830495911239</v>
      </c>
      <c r="AK789" s="2" t="n">
        <f aca="false">AI789/(AH789+I789*(12-Hypothèses!$J$24)/12/Hypothèses!$J$19)</f>
        <v>3.00927830114804</v>
      </c>
      <c r="AL789" s="2" t="n">
        <f aca="false">(AD789+AG789+I789/Hypothèses!$J$19)*(1+G789)</f>
        <v>7906.72921787185</v>
      </c>
      <c r="AM789" s="2" t="n">
        <f aca="false">Entrées!$C$54*K789/Hypothèses!$J$19</f>
        <v>19.0904947964847</v>
      </c>
      <c r="AN789" s="2" t="n">
        <f aca="false">Y789*1000/AC789</f>
        <v>69.5106257410976</v>
      </c>
      <c r="AO789" s="2" t="n">
        <f aca="false">(Entrées!$C$36*(1-S789)+MAX(0,Entrées!$C$30-Entrées!$C$35-Entrées!$C$36)*U789)*1000</f>
        <v>846.306526172245</v>
      </c>
      <c r="AP789" s="2" t="n">
        <f aca="false">-AO789/W789</f>
        <v>-85.4451249162386</v>
      </c>
      <c r="AQ789" s="2" t="n">
        <f aca="false">AL789+AM789+AN789+AP789</f>
        <v>7909.88521349319</v>
      </c>
      <c r="AR789" s="2" t="n">
        <f aca="false">O789*AQ789-Hypothèses!$J$25/Hypothèses!$J$19</f>
        <v>1146.0009280387</v>
      </c>
      <c r="AS789" s="2" t="n">
        <f aca="false">Entrées!$C$79*(1+Q789)+Hypothèses!$J$20</f>
        <v>1513.54296610143</v>
      </c>
      <c r="AT789" s="2" t="n">
        <f aca="false">AI789-AR789+AS789+Y789*1000-AO789+Hypothèses!$J$23</f>
        <v>22926.6526458049</v>
      </c>
      <c r="AU789" s="2" t="n">
        <f aca="false">AT789/AQ789</f>
        <v>2.89848108120395</v>
      </c>
      <c r="AV789" s="2" t="n">
        <f aca="false">Hypothèses!$J$26*AQ789-AT789</f>
        <v>803.002994674665</v>
      </c>
      <c r="AW789" s="2" t="n">
        <f aca="false">IF(AC789&gt;Hypothèses!$J$26,MAX(0,AV789)/(1-Hypothèses!$J$26/AC789),0)</f>
        <v>1186.19047356356</v>
      </c>
      <c r="AX789" s="2" t="n">
        <f aca="false">AQ789-Entrées!$C$17*1000</f>
        <v>-90.1147865068078</v>
      </c>
      <c r="AY789" s="2" t="n">
        <f aca="false">AI789+(Entrées!$C$244-Entrées!$C$13)</f>
        <v>28506.8884049647</v>
      </c>
      <c r="AZ789" s="2" t="n">
        <f aca="false">AA789*AH789</f>
        <v>5371.72677981444</v>
      </c>
      <c r="BA789" s="2" t="n">
        <f aca="false">AZ789/AY789</f>
        <v>0.188436096690192</v>
      </c>
      <c r="BB789" s="2" t="n">
        <f aca="false">AZ789/(Entrées!$C$151/100)-AY789</f>
        <v>1336.03814955994</v>
      </c>
      <c r="BC789" s="2" t="n">
        <f aca="false">AT789+(Entrées!$C$244-Entrées!$C$13)</f>
        <v>28673.6526458049</v>
      </c>
      <c r="BD789" s="2" t="n">
        <f aca="false">AA789*AQ789</f>
        <v>5672.11895864408</v>
      </c>
      <c r="BE789" s="2" t="n">
        <f aca="false">BD789/BC789</f>
        <v>0.19781640758189</v>
      </c>
      <c r="BF789" s="2" t="n">
        <f aca="false">BD789/(Entrées!$C$151/100)-BC789</f>
        <v>2838.11934666217</v>
      </c>
      <c r="BG789" s="2" t="n">
        <f aca="false">MIN(AV789,BF789)</f>
        <v>803.002994674665</v>
      </c>
      <c r="BH789" s="2" t="n">
        <f aca="false">IF(AC789&gt;Hypothèses!$J$26,MAX(0,BG789)/(1-Hypothèses!$J$26/AC789),0)</f>
        <v>1186.19047356356</v>
      </c>
    </row>
    <row r="790" customFormat="false" ht="15" hidden="false" customHeight="false" outlineLevel="0" collapsed="false">
      <c r="A790" s="2" t="n">
        <v>775</v>
      </c>
      <c r="B790" s="2" t="n">
        <v>0.304575861</v>
      </c>
      <c r="C790" s="2"/>
      <c r="D790" s="2" t="n">
        <v>0.524862904</v>
      </c>
      <c r="E790" s="2" t="n">
        <f aca="false">IF(E$7=E$5,E$6,IF(NORMSDIST(E$9*SQRT($C$11)*NORMSINV($B790)+SQRT(1-E$9^2*$C$11)*NORMSINV(D790))&lt;E$8,E$5+SQRT(NORMSDIST(E$9*SQRT($C$11)*NORMSINV($B790)+SQRT(1-E$9^2*$C$11)*NORMSINV(D790))*(E$7-E$5)*(E$6-E$5)),E$7-SQRT((1-NORMSDIST(E$9*SQRT($C$11)*NORMSINV($B790)+SQRT(1-E$9^2*$C$11)*NORMSINV(D790)))*(E$7-E$5)*(E$7-E$6))))</f>
        <v>0.0544251295120957</v>
      </c>
      <c r="F790" s="2" t="n">
        <v>0.545522268</v>
      </c>
      <c r="G790" s="2" t="n">
        <f aca="false">IF(G$7=G$5,G$6,IF(NORMSDIST(G$9*SQRT($C$11)*NORMSINV($B790)+SQRT(1-G$9^2*$C$11)*NORMSINV(F790))&lt;G$8,G$5+SQRT(NORMSDIST(G$9*SQRT($C$11)*NORMSINV($B790)+SQRT(1-G$9^2*$C$11)*NORMSINV(F790))*(G$7-G$5)*(G$6-G$5)),G$7-SQRT((1-NORMSDIST(G$9*SQRT($C$11)*NORMSINV($B790)+SQRT(1-G$9^2*$C$11)*NORMSINV(F790)))*(G$7-G$5)*(G$7-G$6))))</f>
        <v>0.0535364147588964</v>
      </c>
      <c r="H790" s="2" t="n">
        <v>0.77200927</v>
      </c>
      <c r="I790" s="2" t="n">
        <f aca="false">IF(I$7=I$5,I$6,IF(NORMSDIST(I$9*SQRT($C$11)*NORMSINV($B790)+SQRT(1-I$9^2*$C$11)*NORMSINV(H790))&lt;I$8,I$5+SQRT(NORMSDIST(I$9*SQRT($C$11)*NORMSINV($B790)+SQRT(1-I$9^2*$C$11)*NORMSINV(H790))*(I$7-I$5)*(I$6-I$5)),I$7-SQRT((1-NORMSDIST(I$9*SQRT($C$11)*NORMSINV($B790)+SQRT(1-I$9^2*$C$11)*NORMSINV(H790)))*(I$7-I$5)*(I$7-I$6))))</f>
        <v>202.117802539626</v>
      </c>
      <c r="J790" s="2" t="n">
        <v>0.811433854</v>
      </c>
      <c r="K790" s="2" t="n">
        <f aca="false">IF(K$7=K$5,K$6,IF(NORMSDIST(K$9*SQRT($C$11)*NORMSINV($B790)+SQRT(1-K$9^2*$C$11)*NORMSINV(J790))&lt;K$8,K$5+SQRT(NORMSDIST(K$9*SQRT($C$11)*NORMSINV($B790)+SQRT(1-K$9^2*$C$11)*NORMSINV(J790))*(K$7-K$5)*(K$6-K$5)),K$7-SQRT((1-NORMSDIST(K$9*SQRT($C$11)*NORMSINV($B790)+SQRT(1-K$9^2*$C$11)*NORMSINV(J790)))*(K$7-K$5)*(K$7-K$6))))</f>
        <v>0.288120904351975</v>
      </c>
      <c r="L790" s="2" t="n">
        <v>0.049871617</v>
      </c>
      <c r="M790" s="2" t="n">
        <f aca="false">IF(M$7=M$5,M$6,IF(NORMSDIST(M$9*SQRT($C$11)*NORMSINV($B790)+SQRT(1-M$9^2*$C$11)*NORMSINV(L790))&lt;M$8,M$5+SQRT(NORMSDIST(M$9*SQRT($C$11)*NORMSINV($B790)+SQRT(1-M$9^2*$C$11)*NORMSINV(L790))*(M$7-M$5)*(M$6-M$5)),M$7-SQRT((1-NORMSDIST(M$9*SQRT($C$11)*NORMSINV($B790)+SQRT(1-M$9^2*$C$11)*NORMSINV(L790)))*(M$7-M$5)*(M$7-M$6))))</f>
        <v>1396.75668414187</v>
      </c>
      <c r="N790" s="2" t="n">
        <v>0.623248519</v>
      </c>
      <c r="O790" s="2" t="n">
        <f aca="false">IF(O$7=O$5,O$6,IF(NORMSDIST(O$9*SQRT($C$11)*NORMSINV($B790)+SQRT(1-O$9^2*$C$11)*NORMSINV(N790))&lt;O$8,O$5+SQRT(NORMSDIST(O$9*SQRT($C$11)*NORMSINV($B790)+SQRT(1-O$9^2*$C$11)*NORMSINV(N790))*(O$7-O$5)*(O$6-O$5)),O$7-SQRT((1-NORMSDIST(O$9*SQRT($C$11)*NORMSINV($B790)+SQRT(1-O$9^2*$C$11)*NORMSINV(N790)))*(O$7-O$5)*(O$7-O$6))))</f>
        <v>0.165915148714986</v>
      </c>
      <c r="P790" s="2" t="n">
        <v>0.484338946</v>
      </c>
      <c r="Q790" s="2" t="n">
        <f aca="false">IF(Q$7=Q$5,Q$6,IF(NORMSDIST(Q$9*SQRT($C$11)*NORMSINV($B790)+SQRT(1-Q$9^2*$C$11)*NORMSINV(P790))&lt;Q$8,Q$5+SQRT(NORMSDIST(Q$9*SQRT($C$11)*NORMSINV($B790)+SQRT(1-Q$9^2*$C$11)*NORMSINV(P790))*(Q$7-Q$5)*(Q$6-Q$5)),Q$7-SQRT((1-NORMSDIST(Q$9*SQRT($C$11)*NORMSINV($B790)+SQRT(1-Q$9^2*$C$11)*NORMSINV(P790)))*(Q$7-Q$5)*(Q$7-Q$6))))</f>
        <v>0.0793685741067669</v>
      </c>
      <c r="R790" s="2" t="n">
        <v>0.280722643</v>
      </c>
      <c r="S790" s="2" t="n">
        <f aca="false">IF(S$7=S$5,S$6,IF(NORMSDIST(S$9*SQRT($C$11)*NORMSINV($B790)+SQRT(1-S$9^2*$C$11)*NORMSINV(R790))&lt;S$8,S$5+SQRT(NORMSDIST(S$9*SQRT($C$11)*NORMSINV($B790)+SQRT(1-S$9^2*$C$11)*NORMSINV(R790))*(S$7-S$5)*(S$6-S$5)),S$7-SQRT((1-NORMSDIST(S$9*SQRT($C$11)*NORMSINV($B790)+SQRT(1-S$9^2*$C$11)*NORMSINV(R790)))*(S$7-S$5)*(S$7-S$6))))</f>
        <v>0.331444458942184</v>
      </c>
      <c r="T790" s="2" t="n">
        <v>0.328919558</v>
      </c>
      <c r="U790" s="2" t="n">
        <f aca="false">IF(U$7=U$5,U$6,IF(NORMSDIST(U$9*SQRT($C$11)*NORMSINV($B790)+SQRT(1-U$9^2*$C$11)*NORMSINV(T790))&lt;U$8,U$5+SQRT(NORMSDIST(U$9*SQRT($C$11)*NORMSINV($B790)+SQRT(1-U$9^2*$C$11)*NORMSINV(T790))*(U$7-U$5)*(U$6-U$5)),U$7-SQRT((1-NORMSDIST(U$9*SQRT($C$11)*NORMSINV($B790)+SQRT(1-U$9^2*$C$11)*NORMSINV(T790)))*(U$7-U$5)*(U$7-U$6))))</f>
        <v>0.355364125746115</v>
      </c>
      <c r="V790" s="2" t="n">
        <v>0.004505246</v>
      </c>
      <c r="W790" s="2" t="n">
        <f aca="false">IF(W$7=W$5,W$6,IF(NORMSDIST(W$9*SQRT($C$11)*NORMSINV($B790)+SQRT(1-W$9^2*$C$11)*NORMSINV(V790))&lt;W$8,W$5+SQRT(NORMSDIST(W$9*SQRT($C$11)*NORMSINV($B790)+SQRT(1-W$9^2*$C$11)*NORMSINV(V790))*(W$7-W$5)*(W$6-W$5)),W$7-SQRT((1-NORMSDIST(W$9*SQRT($C$11)*NORMSINV($B790)+SQRT(1-W$9^2*$C$11)*NORMSINV(V790)))*(W$7-W$5)*(W$7-W$6))))</f>
        <v>8.27538020311045</v>
      </c>
      <c r="X790" s="2" t="n">
        <v>0.24124858</v>
      </c>
      <c r="Y790" s="2" t="n">
        <f aca="false">IF(Y$7=Y$5,Y$6,IF(NORMSDIST(Y$9*SQRT($C$11)*NORMSINV($B790)+SQRT(1-Y$9^2*$C$11)*NORMSINV(X790))&lt;Y$8,Y$5+SQRT(NORMSDIST(Y$9*SQRT($C$11)*NORMSINV($B790)+SQRT(1-Y$9^2*$C$11)*NORMSINV(X790))*(Y$7-Y$5)*(Y$6-Y$5)),Y$7-SQRT((1-NORMSDIST(Y$9*SQRT($C$11)*NORMSINV($B790)+SQRT(1-Y$9^2*$C$11)*NORMSINV(X790)))*(Y$7-Y$5)*(Y$7-Y$6))))</f>
        <v>0.347310077596375</v>
      </c>
      <c r="Z790" s="2" t="n">
        <v>0.981024084</v>
      </c>
      <c r="AA790" s="2" t="n">
        <f aca="false">IF(AA$7=AA$5,AA$6,IF(NORMSDIST(AA$9*SQRT($C$11)*NORMSINV($B790)+SQRT(1-AA$9^2*$C$11)*NORMSINV(Z790))&lt;AA$8,AA$5+SQRT(NORMSDIST(AA$9*SQRT($C$11)*NORMSINV($B790)+SQRT(1-AA$9^2*$C$11)*NORMSINV(Z790))*(AA$7-AA$5)*(AA$6-AA$5)),AA$7-SQRT((1-NORMSDIST(AA$9*SQRT($C$11)*NORMSINV($B790)+SQRT(1-AA$9^2*$C$11)*NORMSINV(Z790)))*(AA$7-AA$5)*(AA$7-AA$6))))</f>
        <v>0.742560033867562</v>
      </c>
      <c r="AB790" s="2" t="n">
        <v>0.299285939</v>
      </c>
      <c r="AC790" s="2" t="n">
        <f aca="false">IF(AC$7=AC$5,AC$6,IF(NORMSDIST(AC$9*SQRT($C$11)*NORMSINV($B790)+SQRT(1-AC$9^2*$C$11)*NORMSINV(AB790))&lt;AC$8,AC$5+SQRT(NORMSDIST(AC$9*SQRT($C$11)*NORMSINV($B790)+SQRT(1-AC$9^2*$C$11)*NORMSINV(AB790))*(AC$7-AC$5)*(AC$6-AC$5)),AC$7-SQRT((1-NORMSDIST(AC$9*SQRT($C$11)*NORMSINV($B790)+SQRT(1-AC$9^2*$C$11)*NORMSINV(AB790)))*(AC$7-AC$5)*(AC$7-AC$6))))</f>
        <v>8.81684013278242</v>
      </c>
      <c r="AD790" s="2" t="n">
        <f aca="false">Entrées!$C$8*(1+E790)</f>
        <v>7433.69716306028</v>
      </c>
      <c r="AE790" s="2" t="n">
        <f aca="false">I790*Hypothèses!$J$24/12/Hypothèses!$J$19</f>
        <v>100.269994936715</v>
      </c>
      <c r="AF790" s="2" t="n">
        <f aca="false">Entrées!$C$36*S790*1000</f>
        <v>165.722229471092</v>
      </c>
      <c r="AG790" s="2" t="n">
        <f aca="false">-AF790/W790</f>
        <v>-20.0259354136747</v>
      </c>
      <c r="AH790" s="2" t="n">
        <f aca="false">AD790+AE790+AG790</f>
        <v>7513.94122258332</v>
      </c>
      <c r="AI790" s="2" t="n">
        <f aca="false">Entrées!$C$16-M790+Hypothèses!$J$22*1000-AF790+Hypothèses!$J$23</f>
        <v>22985.521086387</v>
      </c>
      <c r="AJ790" s="2" t="n">
        <f aca="false">AI790/AH790</f>
        <v>3.05904989212633</v>
      </c>
      <c r="AK790" s="2" t="n">
        <f aca="false">AI790/(AH790+I790*(12-Hypothèses!$J$24)/12/Hypothèses!$J$19)</f>
        <v>3.03016693084026</v>
      </c>
      <c r="AL790" s="2" t="n">
        <f aca="false">(AD790+AG790+I790/Hypothèses!$J$19)*(1+G790)</f>
        <v>7991.6664756163</v>
      </c>
      <c r="AM790" s="2" t="n">
        <f aca="false">Entrées!$C$54*K790/Hypothèses!$J$19</f>
        <v>29.4039480306211</v>
      </c>
      <c r="AN790" s="2" t="n">
        <f aca="false">Y790*1000/AC790</f>
        <v>39.3916723413211</v>
      </c>
      <c r="AO790" s="2" t="n">
        <f aca="false">(Entrées!$C$36*(1-S790)+MAX(0,Entrées!$C$30-Entrées!$C$35-Entrées!$C$36)*U790)*1000</f>
        <v>831.787546573469</v>
      </c>
      <c r="AP790" s="2" t="n">
        <f aca="false">-AO790/W790</f>
        <v>-100.513514322983</v>
      </c>
      <c r="AQ790" s="2" t="n">
        <f aca="false">AL790+AM790+AN790+AP790</f>
        <v>7959.94858166526</v>
      </c>
      <c r="AR790" s="2" t="n">
        <f aca="false">O790*AQ790-Hypothèses!$J$25/Hypothèses!$J$19</f>
        <v>1301.54089042901</v>
      </c>
      <c r="AS790" s="2" t="n">
        <f aca="false">Entrées!$C$79*(1+Q790)+Hypothèses!$J$20</f>
        <v>1481.22606294334</v>
      </c>
      <c r="AT790" s="2" t="n">
        <f aca="false">AI790-AR790+AS790+Y790*1000-AO790+Hypothèses!$J$23</f>
        <v>22680.7287899243</v>
      </c>
      <c r="AU790" s="2" t="n">
        <f aca="false">AT790/AQ790</f>
        <v>2.84935619335111</v>
      </c>
      <c r="AV790" s="2" t="n">
        <f aca="false">Hypothèses!$J$26*AQ790-AT790</f>
        <v>1199.11695507151</v>
      </c>
      <c r="AW790" s="2" t="n">
        <f aca="false">IF(AC790&gt;Hypothèses!$J$26,MAX(0,AV790)/(1-Hypothèses!$J$26/AC790),0)</f>
        <v>1817.55424801699</v>
      </c>
      <c r="AX790" s="2" t="n">
        <f aca="false">AQ790-Entrées!$C$17*1000</f>
        <v>-40.0514183347359</v>
      </c>
      <c r="AY790" s="2" t="n">
        <f aca="false">AI790+(Entrées!$C$244-Entrées!$C$13)</f>
        <v>28732.521086387</v>
      </c>
      <c r="AZ790" s="2" t="n">
        <f aca="false">AA790*AH790</f>
        <v>5579.55244872034</v>
      </c>
      <c r="BA790" s="2" t="n">
        <f aca="false">AZ790/AY790</f>
        <v>0.194189449368014</v>
      </c>
      <c r="BB790" s="2" t="n">
        <f aca="false">AZ790/(Entrées!$C$151/100)-AY790</f>
        <v>2264.99251761484</v>
      </c>
      <c r="BC790" s="2" t="n">
        <f aca="false">AT790+(Entrées!$C$244-Entrées!$C$13)</f>
        <v>28427.7287899243</v>
      </c>
      <c r="BD790" s="2" t="n">
        <f aca="false">AA790*AQ790</f>
        <v>5910.73968838541</v>
      </c>
      <c r="BE790" s="2" t="n">
        <f aca="false">BD790/BC790</f>
        <v>0.207921629338196</v>
      </c>
      <c r="BF790" s="2" t="n">
        <f aca="false">BD790/(Entrées!$C$151/100)-BC790</f>
        <v>4409.71392332801</v>
      </c>
      <c r="BG790" s="2" t="n">
        <f aca="false">MIN(AV790,BF790)</f>
        <v>1199.11695507151</v>
      </c>
      <c r="BH790" s="2" t="n">
        <f aca="false">IF(AC790&gt;Hypothèses!$J$26,MAX(0,BG790)/(1-Hypothèses!$J$26/AC790),0)</f>
        <v>1817.55424801699</v>
      </c>
    </row>
    <row r="791" customFormat="false" ht="15" hidden="false" customHeight="false" outlineLevel="0" collapsed="false">
      <c r="A791" s="2" t="n">
        <v>776</v>
      </c>
      <c r="B791" s="2" t="n">
        <v>0.946114144</v>
      </c>
      <c r="C791" s="2"/>
      <c r="D791" s="2" t="n">
        <v>0.697047608</v>
      </c>
      <c r="E791" s="2" t="n">
        <f aca="false">IF(E$7=E$5,E$6,IF(NORMSDIST(E$9*SQRT($C$11)*NORMSINV($B791)+SQRT(1-E$9^2*$C$11)*NORMSINV(D791))&lt;E$8,E$5+SQRT(NORMSDIST(E$9*SQRT($C$11)*NORMSINV($B791)+SQRT(1-E$9^2*$C$11)*NORMSINV(D791))*(E$7-E$5)*(E$6-E$5)),E$7-SQRT((1-NORMSDIST(E$9*SQRT($C$11)*NORMSINV($B791)+SQRT(1-E$9^2*$C$11)*NORMSINV(D791)))*(E$7-E$5)*(E$7-E$6))))</f>
        <v>0.0580217487504604</v>
      </c>
      <c r="F791" s="2" t="n">
        <v>0.41991525</v>
      </c>
      <c r="G791" s="2" t="n">
        <f aca="false">IF(G$7=G$5,G$6,IF(NORMSDIST(G$9*SQRT($C$11)*NORMSINV($B791)+SQRT(1-G$9^2*$C$11)*NORMSINV(F791))&lt;G$8,G$5+SQRT(NORMSDIST(G$9*SQRT($C$11)*NORMSINV($B791)+SQRT(1-G$9^2*$C$11)*NORMSINV(F791))*(G$7-G$5)*(G$6-G$5)),G$7-SQRT((1-NORMSDIST(G$9*SQRT($C$11)*NORMSINV($B791)+SQRT(1-G$9^2*$C$11)*NORMSINV(F791)))*(G$7-G$5)*(G$7-G$6))))</f>
        <v>0.0606391280499299</v>
      </c>
      <c r="H791" s="2" t="n">
        <v>0.529750944</v>
      </c>
      <c r="I791" s="2" t="n">
        <f aca="false">IF(I$7=I$5,I$6,IF(NORMSDIST(I$9*SQRT($C$11)*NORMSINV($B791)+SQRT(1-I$9^2*$C$11)*NORMSINV(H791))&lt;I$8,I$5+SQRT(NORMSDIST(I$9*SQRT($C$11)*NORMSINV($B791)+SQRT(1-I$9^2*$C$11)*NORMSINV(H791))*(I$7-I$5)*(I$6-I$5)),I$7-SQRT((1-NORMSDIST(I$9*SQRT($C$11)*NORMSINV($B791)+SQRT(1-I$9^2*$C$11)*NORMSINV(H791)))*(I$7-I$5)*(I$7-I$6))))</f>
        <v>209.372132711392</v>
      </c>
      <c r="J791" s="2" t="n">
        <v>0.518552826</v>
      </c>
      <c r="K791" s="2" t="n">
        <f aca="false">IF(K$7=K$5,K$6,IF(NORMSDIST(K$9*SQRT($C$11)*NORMSINV($B791)+SQRT(1-K$9^2*$C$11)*NORMSINV(J791))&lt;K$8,K$5+SQRT(NORMSDIST(K$9*SQRT($C$11)*NORMSINV($B791)+SQRT(1-K$9^2*$C$11)*NORMSINV(J791))*(K$7-K$5)*(K$6-K$5)),K$7-SQRT((1-NORMSDIST(K$9*SQRT($C$11)*NORMSINV($B791)+SQRT(1-K$9^2*$C$11)*NORMSINV(J791)))*(K$7-K$5)*(K$7-K$6))))</f>
        <v>0.364850563778103</v>
      </c>
      <c r="L791" s="2" t="n">
        <v>0.01158928</v>
      </c>
      <c r="M791" s="2" t="n">
        <f aca="false">IF(M$7=M$5,M$6,IF(NORMSDIST(M$9*SQRT($C$11)*NORMSINV($B791)+SQRT(1-M$9^2*$C$11)*NORMSINV(L791))&lt;M$8,M$5+SQRT(NORMSDIST(M$9*SQRT($C$11)*NORMSINV($B791)+SQRT(1-M$9^2*$C$11)*NORMSINV(L791))*(M$7-M$5)*(M$6-M$5)),M$7-SQRT((1-NORMSDIST(M$9*SQRT($C$11)*NORMSINV($B791)+SQRT(1-M$9^2*$C$11)*NORMSINV(L791)))*(M$7-M$5)*(M$7-M$6))))</f>
        <v>1494.22484700781</v>
      </c>
      <c r="N791" s="2" t="n">
        <v>0.573286803</v>
      </c>
      <c r="O791" s="2" t="n">
        <f aca="false">IF(O$7=O$5,O$6,IF(NORMSDIST(O$9*SQRT($C$11)*NORMSINV($B791)+SQRT(1-O$9^2*$C$11)*NORMSINV(N791))&lt;O$8,O$5+SQRT(NORMSDIST(O$9*SQRT($C$11)*NORMSINV($B791)+SQRT(1-O$9^2*$C$11)*NORMSINV(N791))*(O$7-O$5)*(O$6-O$5)),O$7-SQRT((1-NORMSDIST(O$9*SQRT($C$11)*NORMSINV($B791)+SQRT(1-O$9^2*$C$11)*NORMSINV(N791)))*(O$7-O$5)*(O$7-O$6))))</f>
        <v>0.178555209372722</v>
      </c>
      <c r="P791" s="2" t="n">
        <v>0.134020155</v>
      </c>
      <c r="Q791" s="2" t="n">
        <f aca="false">IF(Q$7=Q$5,Q$6,IF(NORMSDIST(Q$9*SQRT($C$11)*NORMSINV($B791)+SQRT(1-Q$9^2*$C$11)*NORMSINV(P791))&lt;Q$8,Q$5+SQRT(NORMSDIST(Q$9*SQRT($C$11)*NORMSINV($B791)+SQRT(1-Q$9^2*$C$11)*NORMSINV(P791))*(Q$7-Q$5)*(Q$6-Q$5)),Q$7-SQRT((1-NORMSDIST(Q$9*SQRT($C$11)*NORMSINV($B791)+SQRT(1-Q$9^2*$C$11)*NORMSINV(P791)))*(Q$7-Q$5)*(Q$7-Q$6))))</f>
        <v>0.0607090438214805</v>
      </c>
      <c r="R791" s="2" t="n">
        <v>0.724167863</v>
      </c>
      <c r="S791" s="2" t="n">
        <f aca="false">IF(S$7=S$5,S$6,IF(NORMSDIST(S$9*SQRT($C$11)*NORMSINV($B791)+SQRT(1-S$9^2*$C$11)*NORMSINV(R791))&lt;S$8,S$5+SQRT(NORMSDIST(S$9*SQRT($C$11)*NORMSINV($B791)+SQRT(1-S$9^2*$C$11)*NORMSINV(R791))*(S$7-S$5)*(S$6-S$5)),S$7-SQRT((1-NORMSDIST(S$9*SQRT($C$11)*NORMSINV($B791)+SQRT(1-S$9^2*$C$11)*NORMSINV(R791)))*(S$7-S$5)*(S$7-S$6))))</f>
        <v>0.813360645470938</v>
      </c>
      <c r="T791" s="2" t="n">
        <v>0.312485076</v>
      </c>
      <c r="U791" s="2" t="n">
        <f aca="false">IF(U$7=U$5,U$6,IF(NORMSDIST(U$9*SQRT($C$11)*NORMSINV($B791)+SQRT(1-U$9^2*$C$11)*NORMSINV(T791))&lt;U$8,U$5+SQRT(NORMSDIST(U$9*SQRT($C$11)*NORMSINV($B791)+SQRT(1-U$9^2*$C$11)*NORMSINV(T791))*(U$7-U$5)*(U$6-U$5)),U$7-SQRT((1-NORMSDIST(U$9*SQRT($C$11)*NORMSINV($B791)+SQRT(1-U$9^2*$C$11)*NORMSINV(T791)))*(U$7-U$5)*(U$7-U$6))))</f>
        <v>0.638362836897926</v>
      </c>
      <c r="V791" s="2" t="n">
        <v>0.815534205</v>
      </c>
      <c r="W791" s="2" t="n">
        <f aca="false">IF(W$7=W$5,W$6,IF(NORMSDIST(W$9*SQRT($C$11)*NORMSINV($B791)+SQRT(1-W$9^2*$C$11)*NORMSINV(V791))&lt;W$8,W$5+SQRT(NORMSDIST(W$9*SQRT($C$11)*NORMSINV($B791)+SQRT(1-W$9^2*$C$11)*NORMSINV(V791))*(W$7-W$5)*(W$6-W$5)),W$7-SQRT((1-NORMSDIST(W$9*SQRT($C$11)*NORMSINV($B791)+SQRT(1-W$9^2*$C$11)*NORMSINV(V791)))*(W$7-W$5)*(W$7-W$6))))</f>
        <v>11.411140534688</v>
      </c>
      <c r="X791" s="2" t="n">
        <v>0.838579646</v>
      </c>
      <c r="Y791" s="2" t="n">
        <f aca="false">IF(Y$7=Y$5,Y$6,IF(NORMSDIST(Y$9*SQRT($C$11)*NORMSINV($B791)+SQRT(1-Y$9^2*$C$11)*NORMSINV(X791))&lt;Y$8,Y$5+SQRT(NORMSDIST(Y$9*SQRT($C$11)*NORMSINV($B791)+SQRT(1-Y$9^2*$C$11)*NORMSINV(X791))*(Y$7-Y$5)*(Y$6-Y$5)),Y$7-SQRT((1-NORMSDIST(Y$9*SQRT($C$11)*NORMSINV($B791)+SQRT(1-Y$9^2*$C$11)*NORMSINV(X791)))*(Y$7-Y$5)*(Y$7-Y$6))))</f>
        <v>0.715904633969507</v>
      </c>
      <c r="Z791" s="2" t="n">
        <v>0.663451823</v>
      </c>
      <c r="AA791" s="2" t="n">
        <f aca="false">IF(AA$7=AA$5,AA$6,IF(NORMSDIST(AA$9*SQRT($C$11)*NORMSINV($B791)+SQRT(1-AA$9^2*$C$11)*NORMSINV(Z791))&lt;AA$8,AA$5+SQRT(NORMSDIST(AA$9*SQRT($C$11)*NORMSINV($B791)+SQRT(1-AA$9^2*$C$11)*NORMSINV(Z791))*(AA$7-AA$5)*(AA$6-AA$5)),AA$7-SQRT((1-NORMSDIST(AA$9*SQRT($C$11)*NORMSINV($B791)+SQRT(1-AA$9^2*$C$11)*NORMSINV(Z791)))*(AA$7-AA$5)*(AA$7-AA$6))))</f>
        <v>0.743146667339199</v>
      </c>
      <c r="AB791" s="2" t="n">
        <v>0.67001227</v>
      </c>
      <c r="AC791" s="2" t="n">
        <f aca="false">IF(AC$7=AC$5,AC$6,IF(NORMSDIST(AC$9*SQRT($C$11)*NORMSINV($B791)+SQRT(1-AC$9^2*$C$11)*NORMSINV(AB791))&lt;AC$8,AC$5+SQRT(NORMSDIST(AC$9*SQRT($C$11)*NORMSINV($B791)+SQRT(1-AC$9^2*$C$11)*NORMSINV(AB791))*(AC$7-AC$5)*(AC$6-AC$5)),AC$7-SQRT((1-NORMSDIST(AC$9*SQRT($C$11)*NORMSINV($B791)+SQRT(1-AC$9^2*$C$11)*NORMSINV(AB791)))*(AC$7-AC$5)*(AC$7-AC$6))))</f>
        <v>10.3860997273115</v>
      </c>
      <c r="AD791" s="2" t="n">
        <f aca="false">Entrées!$C$8*(1+E791)</f>
        <v>7459.05332869075</v>
      </c>
      <c r="AE791" s="2" t="n">
        <f aca="false">I791*Hypothèses!$J$24/12/Hypothèses!$J$19</f>
        <v>103.868844916542</v>
      </c>
      <c r="AF791" s="2" t="n">
        <f aca="false">Entrées!$C$36*S791*1000</f>
        <v>406.680322735469</v>
      </c>
      <c r="AG791" s="2" t="n">
        <f aca="false">-AF791/W791</f>
        <v>-35.6388847809934</v>
      </c>
      <c r="AH791" s="2" t="n">
        <f aca="false">AD791+AE791+AG791</f>
        <v>7527.2832888263</v>
      </c>
      <c r="AI791" s="2" t="n">
        <f aca="false">Entrées!$C$16-M791+Hypothèses!$J$22*1000-AF791+Hypothèses!$J$23</f>
        <v>22647.0948302567</v>
      </c>
      <c r="AJ791" s="2" t="n">
        <f aca="false">AI791/AH791</f>
        <v>3.00866779703571</v>
      </c>
      <c r="AK791" s="2" t="n">
        <f aca="false">AI791/(AH791+I791*(12-Hypothèses!$J$24)/12/Hypothèses!$J$19)</f>
        <v>2.97930255301374</v>
      </c>
      <c r="AL791" s="2" t="n">
        <f aca="false">(AD791+AG791+I791/Hypothèses!$J$19)*(1+G791)</f>
        <v>8062.42215626255</v>
      </c>
      <c r="AM791" s="2" t="n">
        <f aca="false">Entrées!$C$54*K791/Hypothèses!$J$19</f>
        <v>37.2345319420785</v>
      </c>
      <c r="AN791" s="2" t="n">
        <f aca="false">Y791*1000/AC791</f>
        <v>68.929112252499</v>
      </c>
      <c r="AO791" s="2" t="n">
        <f aca="false">(Entrées!$C$36*(1-S791)+MAX(0,Entrées!$C$30-Entrées!$C$35-Entrées!$C$36)*U791)*1000</f>
        <v>987.027648921626</v>
      </c>
      <c r="AP791" s="2" t="n">
        <f aca="false">-AO791/W791</f>
        <v>-86.4968445460139</v>
      </c>
      <c r="AQ791" s="2" t="n">
        <f aca="false">AL791+AM791+AN791+AP791</f>
        <v>8082.08895591112</v>
      </c>
      <c r="AR791" s="2" t="n">
        <f aca="false">O791*AQ791-Hypothèses!$J$25/Hypothèses!$J$19</f>
        <v>1423.96392343005</v>
      </c>
      <c r="AS791" s="2" t="n">
        <f aca="false">Entrées!$C$79*(1+Q791)+Hypothèses!$J$20</f>
        <v>1460.71923915981</v>
      </c>
      <c r="AT791" s="2" t="n">
        <f aca="false">AI791-AR791+AS791+Y791*1000-AO791+Hypothèses!$J$23</f>
        <v>22412.7271310344</v>
      </c>
      <c r="AU791" s="2" t="n">
        <f aca="false">AT791/AQ791</f>
        <v>2.77313541750144</v>
      </c>
      <c r="AV791" s="2" t="n">
        <f aca="false">Hypothèses!$J$26*AQ791-AT791</f>
        <v>1833.539736699</v>
      </c>
      <c r="AW791" s="2" t="n">
        <f aca="false">IF(AC791&gt;Hypothèses!$J$26,MAX(0,AV791)/(1-Hypothèses!$J$26/AC791),0)</f>
        <v>2578.26556131214</v>
      </c>
      <c r="AX791" s="2" t="n">
        <f aca="false">AQ791-Entrées!$C$17*1000</f>
        <v>82.0889559111174</v>
      </c>
      <c r="AY791" s="2" t="n">
        <f aca="false">AI791+(Entrées!$C$244-Entrées!$C$13)</f>
        <v>28394.0948302567</v>
      </c>
      <c r="AZ791" s="2" t="n">
        <f aca="false">AA791*AH791</f>
        <v>5593.87549020931</v>
      </c>
      <c r="BA791" s="2" t="n">
        <f aca="false">AZ791/AY791</f>
        <v>0.197008410504021</v>
      </c>
      <c r="BB791" s="2" t="n">
        <f aca="false">AZ791/(Entrées!$C$151/100)-AY791</f>
        <v>2682.99122646165</v>
      </c>
      <c r="BC791" s="2" t="n">
        <f aca="false">AT791+(Entrées!$C$244-Entrées!$C$13)</f>
        <v>28159.7271310344</v>
      </c>
      <c r="BD791" s="2" t="n">
        <f aca="false">AA791*AQ791</f>
        <v>6006.17747272429</v>
      </c>
      <c r="BE791" s="2" t="n">
        <f aca="false">BD791/BC791</f>
        <v>0.213289619063993</v>
      </c>
      <c r="BF791" s="2" t="n">
        <f aca="false">BD791/(Entrées!$C$151/100)-BC791</f>
        <v>5207.92549521172</v>
      </c>
      <c r="BG791" s="2" t="n">
        <f aca="false">MIN(AV791,BF791)</f>
        <v>1833.539736699</v>
      </c>
      <c r="BH791" s="2" t="n">
        <f aca="false">IF(AC791&gt;Hypothèses!$J$26,MAX(0,BG791)/(1-Hypothèses!$J$26/AC791),0)</f>
        <v>2578.26556131214</v>
      </c>
    </row>
    <row r="792" customFormat="false" ht="15" hidden="false" customHeight="false" outlineLevel="0" collapsed="false">
      <c r="A792" s="2" t="n">
        <v>777</v>
      </c>
      <c r="B792" s="2" t="n">
        <v>0.880623823</v>
      </c>
      <c r="C792" s="2"/>
      <c r="D792" s="2" t="n">
        <v>0.136584242</v>
      </c>
      <c r="E792" s="2" t="n">
        <f aca="false">IF(E$7=E$5,E$6,IF(NORMSDIST(E$9*SQRT($C$11)*NORMSINV($B792)+SQRT(1-E$9^2*$C$11)*NORMSINV(D792))&lt;E$8,E$5+SQRT(NORMSDIST(E$9*SQRT($C$11)*NORMSINV($B792)+SQRT(1-E$9^2*$C$11)*NORMSINV(D792))*(E$7-E$5)*(E$6-E$5)),E$7-SQRT((1-NORMSDIST(E$9*SQRT($C$11)*NORMSINV($B792)+SQRT(1-E$9^2*$C$11)*NORMSINV(D792)))*(E$7-E$5)*(E$7-E$6))))</f>
        <v>0.0547890769431255</v>
      </c>
      <c r="F792" s="2" t="n">
        <v>0.023803657</v>
      </c>
      <c r="G792" s="2" t="n">
        <f aca="false">IF(G$7=G$5,G$6,IF(NORMSDIST(G$9*SQRT($C$11)*NORMSINV($B792)+SQRT(1-G$9^2*$C$11)*NORMSINV(F792))&lt;G$8,G$5+SQRT(NORMSDIST(G$9*SQRT($C$11)*NORMSINV($B792)+SQRT(1-G$9^2*$C$11)*NORMSINV(F792))*(G$7-G$5)*(G$6-G$5)),G$7-SQRT((1-NORMSDIST(G$9*SQRT($C$11)*NORMSINV($B792)+SQRT(1-G$9^2*$C$11)*NORMSINV(F792)))*(G$7-G$5)*(G$7-G$6))))</f>
        <v>0.0498356849334066</v>
      </c>
      <c r="H792" s="2" t="n">
        <v>0.391427793</v>
      </c>
      <c r="I792" s="2" t="n">
        <f aca="false">IF(I$7=I$5,I$6,IF(NORMSDIST(I$9*SQRT($C$11)*NORMSINV($B792)+SQRT(1-I$9^2*$C$11)*NORMSINV(H792))&lt;I$8,I$5+SQRT(NORMSDIST(I$9*SQRT($C$11)*NORMSINV($B792)+SQRT(1-I$9^2*$C$11)*NORMSINV(H792))*(I$7-I$5)*(I$6-I$5)),I$7-SQRT((1-NORMSDIST(I$9*SQRT($C$11)*NORMSINV($B792)+SQRT(1-I$9^2*$C$11)*NORMSINV(H792)))*(I$7-I$5)*(I$7-I$6))))</f>
        <v>204.5729295319</v>
      </c>
      <c r="J792" s="2" t="n">
        <v>0.243137583</v>
      </c>
      <c r="K792" s="2" t="n">
        <f aca="false">IF(K$7=K$5,K$6,IF(NORMSDIST(K$9*SQRT($C$11)*NORMSINV($B792)+SQRT(1-K$9^2*$C$11)*NORMSINV(J792))&lt;K$8,K$5+SQRT(NORMSDIST(K$9*SQRT($C$11)*NORMSINV($B792)+SQRT(1-K$9^2*$C$11)*NORMSINV(J792))*(K$7-K$5)*(K$6-K$5)),K$7-SQRT((1-NORMSDIST(K$9*SQRT($C$11)*NORMSINV($B792)+SQRT(1-K$9^2*$C$11)*NORMSINV(J792)))*(K$7-K$5)*(K$7-K$6))))</f>
        <v>0.271287264379643</v>
      </c>
      <c r="L792" s="2" t="n">
        <v>0.378208758</v>
      </c>
      <c r="M792" s="2" t="n">
        <f aca="false">IF(M$7=M$5,M$6,IF(NORMSDIST(M$9*SQRT($C$11)*NORMSINV($B792)+SQRT(1-M$9^2*$C$11)*NORMSINV(L792))&lt;M$8,M$5+SQRT(NORMSDIST(M$9*SQRT($C$11)*NORMSINV($B792)+SQRT(1-M$9^2*$C$11)*NORMSINV(L792))*(M$7-M$5)*(M$6-M$5)),M$7-SQRT((1-NORMSDIST(M$9*SQRT($C$11)*NORMSINV($B792)+SQRT(1-M$9^2*$C$11)*NORMSINV(L792)))*(M$7-M$5)*(M$7-M$6))))</f>
        <v>1635.60803789743</v>
      </c>
      <c r="N792" s="2" t="n">
        <v>0.193899441</v>
      </c>
      <c r="O792" s="2" t="n">
        <f aca="false">IF(O$7=O$5,O$6,IF(NORMSDIST(O$9*SQRT($C$11)*NORMSINV($B792)+SQRT(1-O$9^2*$C$11)*NORMSINV(N792))&lt;O$8,O$5+SQRT(NORMSDIST(O$9*SQRT($C$11)*NORMSINV($B792)+SQRT(1-O$9^2*$C$11)*NORMSINV(N792))*(O$7-O$5)*(O$6-O$5)),O$7-SQRT((1-NORMSDIST(O$9*SQRT($C$11)*NORMSINV($B792)+SQRT(1-O$9^2*$C$11)*NORMSINV(N792)))*(O$7-O$5)*(O$7-O$6))))</f>
        <v>0.167585418416731</v>
      </c>
      <c r="P792" s="2" t="n">
        <v>0.206548294</v>
      </c>
      <c r="Q792" s="2" t="n">
        <f aca="false">IF(Q$7=Q$5,Q$6,IF(NORMSDIST(Q$9*SQRT($C$11)*NORMSINV($B792)+SQRT(1-Q$9^2*$C$11)*NORMSINV(P792))&lt;Q$8,Q$5+SQRT(NORMSDIST(Q$9*SQRT($C$11)*NORMSINV($B792)+SQRT(1-Q$9^2*$C$11)*NORMSINV(P792))*(Q$7-Q$5)*(Q$6-Q$5)),Q$7-SQRT((1-NORMSDIST(Q$9*SQRT($C$11)*NORMSINV($B792)+SQRT(1-Q$9^2*$C$11)*NORMSINV(P792)))*(Q$7-Q$5)*(Q$7-Q$6))))</f>
        <v>0.0657090361701873</v>
      </c>
      <c r="R792" s="2" t="n">
        <v>0.709031115</v>
      </c>
      <c r="S792" s="2" t="n">
        <f aca="false">IF(S$7=S$5,S$6,IF(NORMSDIST(S$9*SQRT($C$11)*NORMSINV($B792)+SQRT(1-S$9^2*$C$11)*NORMSINV(R792))&lt;S$8,S$5+SQRT(NORMSDIST(S$9*SQRT($C$11)*NORMSINV($B792)+SQRT(1-S$9^2*$C$11)*NORMSINV(R792))*(S$7-S$5)*(S$6-S$5)),S$7-SQRT((1-NORMSDIST(S$9*SQRT($C$11)*NORMSINV($B792)+SQRT(1-S$9^2*$C$11)*NORMSINV(R792)))*(S$7-S$5)*(S$7-S$6))))</f>
        <v>0.754351396638312</v>
      </c>
      <c r="T792" s="2" t="n">
        <v>0.217413585</v>
      </c>
      <c r="U792" s="2" t="n">
        <f aca="false">IF(U$7=U$5,U$6,IF(NORMSDIST(U$9*SQRT($C$11)*NORMSINV($B792)+SQRT(1-U$9^2*$C$11)*NORMSINV(T792))&lt;U$8,U$5+SQRT(NORMSDIST(U$9*SQRT($C$11)*NORMSINV($B792)+SQRT(1-U$9^2*$C$11)*NORMSINV(T792))*(U$7-U$5)*(U$6-U$5)),U$7-SQRT((1-NORMSDIST(U$9*SQRT($C$11)*NORMSINV($B792)+SQRT(1-U$9^2*$C$11)*NORMSINV(T792)))*(U$7-U$5)*(U$7-U$6))))</f>
        <v>0.528692916196357</v>
      </c>
      <c r="V792" s="2" t="n">
        <v>0.595263148</v>
      </c>
      <c r="W792" s="2" t="n">
        <f aca="false">IF(W$7=W$5,W$6,IF(NORMSDIST(W$9*SQRT($C$11)*NORMSINV($B792)+SQRT(1-W$9^2*$C$11)*NORMSINV(V792))&lt;W$8,W$5+SQRT(NORMSDIST(W$9*SQRT($C$11)*NORMSINV($B792)+SQRT(1-W$9^2*$C$11)*NORMSINV(V792))*(W$7-W$5)*(W$6-W$5)),W$7-SQRT((1-NORMSDIST(W$9*SQRT($C$11)*NORMSINV($B792)+SQRT(1-W$9^2*$C$11)*NORMSINV(V792)))*(W$7-W$5)*(W$7-W$6))))</f>
        <v>10.8144067235418</v>
      </c>
      <c r="X792" s="2" t="n">
        <v>0.318244467</v>
      </c>
      <c r="Y792" s="2" t="n">
        <f aca="false">IF(Y$7=Y$5,Y$6,IF(NORMSDIST(Y$9*SQRT($C$11)*NORMSINV($B792)+SQRT(1-Y$9^2*$C$11)*NORMSINV(X792))&lt;Y$8,Y$5+SQRT(NORMSDIST(Y$9*SQRT($C$11)*NORMSINV($B792)+SQRT(1-Y$9^2*$C$11)*NORMSINV(X792))*(Y$7-Y$5)*(Y$6-Y$5)),Y$7-SQRT((1-NORMSDIST(Y$9*SQRT($C$11)*NORMSINV($B792)+SQRT(1-Y$9^2*$C$11)*NORMSINV(X792)))*(Y$7-Y$5)*(Y$7-Y$6))))</f>
        <v>0.39890128290092</v>
      </c>
      <c r="Z792" s="2" t="n">
        <v>0.532017127</v>
      </c>
      <c r="AA792" s="2" t="n">
        <f aca="false">IF(AA$7=AA$5,AA$6,IF(NORMSDIST(AA$9*SQRT($C$11)*NORMSINV($B792)+SQRT(1-AA$9^2*$C$11)*NORMSINV(Z792))&lt;AA$8,AA$5+SQRT(NORMSDIST(AA$9*SQRT($C$11)*NORMSINV($B792)+SQRT(1-AA$9^2*$C$11)*NORMSINV(Z792))*(AA$7-AA$5)*(AA$6-AA$5)),AA$7-SQRT((1-NORMSDIST(AA$9*SQRT($C$11)*NORMSINV($B792)+SQRT(1-AA$9^2*$C$11)*NORMSINV(Z792)))*(AA$7-AA$5)*(AA$7-AA$6))))</f>
        <v>0.737451193863527</v>
      </c>
      <c r="AB792" s="2" t="n">
        <v>0.039827253</v>
      </c>
      <c r="AC792" s="2" t="n">
        <f aca="false">IF(AC$7=AC$5,AC$6,IF(NORMSDIST(AC$9*SQRT($C$11)*NORMSINV($B792)+SQRT(1-AC$9^2*$C$11)*NORMSINV(AB792))&lt;AC$8,AC$5+SQRT(NORMSDIST(AC$9*SQRT($C$11)*NORMSINV($B792)+SQRT(1-AC$9^2*$C$11)*NORMSINV(AB792))*(AC$7-AC$5)*(AC$6-AC$5)),AC$7-SQRT((1-NORMSDIST(AC$9*SQRT($C$11)*NORMSINV($B792)+SQRT(1-AC$9^2*$C$11)*NORMSINV(AB792)))*(AC$7-AC$5)*(AC$7-AC$6))))</f>
        <v>8.927616900514</v>
      </c>
      <c r="AD792" s="2" t="n">
        <f aca="false">Entrées!$C$8*(1+E792)</f>
        <v>7436.26299244903</v>
      </c>
      <c r="AE792" s="2" t="n">
        <f aca="false">I792*Hypothèses!$J$24/12/Hypothèses!$J$19</f>
        <v>101.487975579643</v>
      </c>
      <c r="AF792" s="2" t="n">
        <f aca="false">Entrées!$C$36*S792*1000</f>
        <v>377.175698319156</v>
      </c>
      <c r="AG792" s="2" t="n">
        <f aca="false">-AF792/W792</f>
        <v>-34.8771511892635</v>
      </c>
      <c r="AH792" s="2" t="n">
        <f aca="false">AD792+AE792+AG792</f>
        <v>7502.87381683941</v>
      </c>
      <c r="AI792" s="2" t="n">
        <f aca="false">Entrées!$C$16-M792+Hypothèses!$J$22*1000-AF792+Hypothèses!$J$23</f>
        <v>22535.2162637834</v>
      </c>
      <c r="AJ792" s="2" t="n">
        <f aca="false">AI792/AH792</f>
        <v>3.0035446168914</v>
      </c>
      <c r="AK792" s="2" t="n">
        <f aca="false">AI792/(AH792+I792*(12-Hypothèses!$J$24)/12/Hypothèses!$J$19)</f>
        <v>2.97480261157376</v>
      </c>
      <c r="AL792" s="2" t="n">
        <f aca="false">(AD792+AG792+I792/Hypothèses!$J$19)*(1+G792)</f>
        <v>7952.88874272421</v>
      </c>
      <c r="AM792" s="2" t="n">
        <f aca="false">Entrées!$C$54*K792/Hypothèses!$J$19</f>
        <v>27.6860043915578</v>
      </c>
      <c r="AN792" s="2" t="n">
        <f aca="false">Y792*1000/AC792</f>
        <v>44.6817204799585</v>
      </c>
      <c r="AO792" s="2" t="n">
        <f aca="false">(Entrées!$C$36*(1-S792)+MAX(0,Entrées!$C$30-Entrées!$C$35-Entrées!$C$36)*U792)*1000</f>
        <v>862.994384355743</v>
      </c>
      <c r="AP792" s="2" t="n">
        <f aca="false">-AO792/W792</f>
        <v>-79.8004371776675</v>
      </c>
      <c r="AQ792" s="2" t="n">
        <f aca="false">AL792+AM792+AN792+AP792</f>
        <v>7945.45603041806</v>
      </c>
      <c r="AR792" s="2" t="n">
        <f aca="false">O792*AQ792-Hypothèses!$J$25/Hypothèses!$J$19</f>
        <v>1312.40741110772</v>
      </c>
      <c r="AS792" s="2" t="n">
        <f aca="false">Entrées!$C$79*(1+Q792)+Hypothèses!$J$20</f>
        <v>1466.21423075104</v>
      </c>
      <c r="AT792" s="2" t="n">
        <f aca="false">AI792-AR792+AS792+Y792*1000-AO792+Hypothèses!$J$23</f>
        <v>22224.9299819719</v>
      </c>
      <c r="AU792" s="2" t="n">
        <f aca="false">AT792/AQ792</f>
        <v>2.79718746122147</v>
      </c>
      <c r="AV792" s="2" t="n">
        <f aca="false">Hypothèses!$J$26*AQ792-AT792</f>
        <v>1611.43810928228</v>
      </c>
      <c r="AW792" s="2" t="n">
        <f aca="false">IF(AC792&gt;Hypothèses!$J$26,MAX(0,AV792)/(1-Hypothèses!$J$26/AC792),0)</f>
        <v>2426.99593108207</v>
      </c>
      <c r="AX792" s="2" t="n">
        <f aca="false">AQ792-Entrées!$C$17*1000</f>
        <v>-54.5439695819396</v>
      </c>
      <c r="AY792" s="2" t="n">
        <f aca="false">AI792+(Entrées!$C$244-Entrées!$C$13)</f>
        <v>28282.2162637834</v>
      </c>
      <c r="AZ792" s="2" t="n">
        <f aca="false">AA792*AH792</f>
        <v>5533.00325363562</v>
      </c>
      <c r="BA792" s="2" t="n">
        <f aca="false">AZ792/AY792</f>
        <v>0.195635419870573</v>
      </c>
      <c r="BB792" s="2" t="n">
        <f aca="false">AZ792/(Entrées!$C$151/100)-AY792</f>
        <v>2456.69070085893</v>
      </c>
      <c r="BC792" s="2" t="n">
        <f aca="false">AT792+(Entrées!$C$244-Entrées!$C$13)</f>
        <v>27971.9299819719</v>
      </c>
      <c r="BD792" s="2" t="n">
        <f aca="false">AA792*AQ792</f>
        <v>5859.38603542196</v>
      </c>
      <c r="BE792" s="2" t="n">
        <f aca="false">BD792/BC792</f>
        <v>0.209473784583272</v>
      </c>
      <c r="BF792" s="2" t="n">
        <f aca="false">BD792/(Entrées!$C$151/100)-BC792</f>
        <v>4580.2146592612</v>
      </c>
      <c r="BG792" s="2" t="n">
        <f aca="false">MIN(AV792,BF792)</f>
        <v>1611.43810928228</v>
      </c>
      <c r="BH792" s="2" t="n">
        <f aca="false">IF(AC792&gt;Hypothèses!$J$26,MAX(0,BG792)/(1-Hypothèses!$J$26/AC792),0)</f>
        <v>2426.99593108207</v>
      </c>
    </row>
    <row r="793" customFormat="false" ht="15" hidden="false" customHeight="false" outlineLevel="0" collapsed="false">
      <c r="A793" s="2" t="n">
        <v>778</v>
      </c>
      <c r="B793" s="2" t="n">
        <v>0.868833932</v>
      </c>
      <c r="C793" s="2"/>
      <c r="D793" s="2" t="n">
        <v>0.066245959</v>
      </c>
      <c r="E793" s="2" t="n">
        <f aca="false">IF(E$7=E$5,E$6,IF(NORMSDIST(E$9*SQRT($C$11)*NORMSINV($B793)+SQRT(1-E$9^2*$C$11)*NORMSINV(D793))&lt;E$8,E$5+SQRT(NORMSDIST(E$9*SQRT($C$11)*NORMSINV($B793)+SQRT(1-E$9^2*$C$11)*NORMSINV(D793))*(E$7-E$5)*(E$6-E$5)),E$7-SQRT((1-NORMSDIST(E$9*SQRT($C$11)*NORMSINV($B793)+SQRT(1-E$9^2*$C$11)*NORMSINV(D793)))*(E$7-E$5)*(E$7-E$6))))</f>
        <v>0.0540253615381728</v>
      </c>
      <c r="F793" s="2" t="n">
        <v>0.053057155</v>
      </c>
      <c r="G793" s="2" t="n">
        <f aca="false">IF(G$7=G$5,G$6,IF(NORMSDIST(G$9*SQRT($C$11)*NORMSINV($B793)+SQRT(1-G$9^2*$C$11)*NORMSINV(F793))&lt;G$8,G$5+SQRT(NORMSDIST(G$9*SQRT($C$11)*NORMSINV($B793)+SQRT(1-G$9^2*$C$11)*NORMSINV(F793))*(G$7-G$5)*(G$6-G$5)),G$7-SQRT((1-NORMSDIST(G$9*SQRT($C$11)*NORMSINV($B793)+SQRT(1-G$9^2*$C$11)*NORMSINV(F793)))*(G$7-G$5)*(G$7-G$6))))</f>
        <v>0.0514952787288776</v>
      </c>
      <c r="H793" s="2" t="n">
        <v>0.439536224</v>
      </c>
      <c r="I793" s="2" t="n">
        <f aca="false">IF(I$7=I$5,I$6,IF(NORMSDIST(I$9*SQRT($C$11)*NORMSINV($B793)+SQRT(1-I$9^2*$C$11)*NORMSINV(H793))&lt;I$8,I$5+SQRT(NORMSDIST(I$9*SQRT($C$11)*NORMSINV($B793)+SQRT(1-I$9^2*$C$11)*NORMSINV(H793))*(I$7-I$5)*(I$6-I$5)),I$7-SQRT((1-NORMSDIST(I$9*SQRT($C$11)*NORMSINV($B793)+SQRT(1-I$9^2*$C$11)*NORMSINV(H793)))*(I$7-I$5)*(I$7-I$6))))</f>
        <v>205.107365930049</v>
      </c>
      <c r="J793" s="2" t="n">
        <v>0.217217732</v>
      </c>
      <c r="K793" s="2" t="n">
        <f aca="false">IF(K$7=K$5,K$6,IF(NORMSDIST(K$9*SQRT($C$11)*NORMSINV($B793)+SQRT(1-K$9^2*$C$11)*NORMSINV(J793))&lt;K$8,K$5+SQRT(NORMSDIST(K$9*SQRT($C$11)*NORMSINV($B793)+SQRT(1-K$9^2*$C$11)*NORMSINV(J793))*(K$7-K$5)*(K$6-K$5)),K$7-SQRT((1-NORMSDIST(K$9*SQRT($C$11)*NORMSINV($B793)+SQRT(1-K$9^2*$C$11)*NORMSINV(J793)))*(K$7-K$5)*(K$7-K$6))))</f>
        <v>0.260523059646354</v>
      </c>
      <c r="L793" s="2" t="n">
        <v>0.881664121</v>
      </c>
      <c r="M793" s="2" t="n">
        <f aca="false">IF(M$7=M$5,M$6,IF(NORMSDIST(M$9*SQRT($C$11)*NORMSINV($B793)+SQRT(1-M$9^2*$C$11)*NORMSINV(L793))&lt;M$8,M$5+SQRT(NORMSDIST(M$9*SQRT($C$11)*NORMSINV($B793)+SQRT(1-M$9^2*$C$11)*NORMSINV(L793))*(M$7-M$5)*(M$6-M$5)),M$7-SQRT((1-NORMSDIST(M$9*SQRT($C$11)*NORMSINV($B793)+SQRT(1-M$9^2*$C$11)*NORMSINV(L793)))*(M$7-M$5)*(M$7-M$6))))</f>
        <v>1727.54450868135</v>
      </c>
      <c r="N793" s="2" t="n">
        <v>0.060319374</v>
      </c>
      <c r="O793" s="2" t="n">
        <f aca="false">IF(O$7=O$5,O$6,IF(NORMSDIST(O$9*SQRT($C$11)*NORMSINV($B793)+SQRT(1-O$9^2*$C$11)*NORMSINV(N793))&lt;O$8,O$5+SQRT(NORMSDIST(O$9*SQRT($C$11)*NORMSINV($B793)+SQRT(1-O$9^2*$C$11)*NORMSINV(N793))*(O$7-O$5)*(O$6-O$5)),O$7-SQRT((1-NORMSDIST(O$9*SQRT($C$11)*NORMSINV($B793)+SQRT(1-O$9^2*$C$11)*NORMSINV(N793)))*(O$7-O$5)*(O$7-O$6))))</f>
        <v>0.161120336872673</v>
      </c>
      <c r="P793" s="2" t="n">
        <v>0.583917145</v>
      </c>
      <c r="Q793" s="2" t="n">
        <f aca="false">IF(Q$7=Q$5,Q$6,IF(NORMSDIST(Q$9*SQRT($C$11)*NORMSINV($B793)+SQRT(1-Q$9^2*$C$11)*NORMSINV(P793))&lt;Q$8,Q$5+SQRT(NORMSDIST(Q$9*SQRT($C$11)*NORMSINV($B793)+SQRT(1-Q$9^2*$C$11)*NORMSINV(P793))*(Q$7-Q$5)*(Q$6-Q$5)),Q$7-SQRT((1-NORMSDIST(Q$9*SQRT($C$11)*NORMSINV($B793)+SQRT(1-Q$9^2*$C$11)*NORMSINV(P793)))*(Q$7-Q$5)*(Q$7-Q$6))))</f>
        <v>0.0835107531456184</v>
      </c>
      <c r="R793" s="2" t="n">
        <v>0.471656576</v>
      </c>
      <c r="S793" s="2" t="n">
        <f aca="false">IF(S$7=S$5,S$6,IF(NORMSDIST(S$9*SQRT($C$11)*NORMSINV($B793)+SQRT(1-S$9^2*$C$11)*NORMSINV(R793))&lt;S$8,S$5+SQRT(NORMSDIST(S$9*SQRT($C$11)*NORMSINV($B793)+SQRT(1-S$9^2*$C$11)*NORMSINV(R793))*(S$7-S$5)*(S$6-S$5)),S$7-SQRT((1-NORMSDIST(S$9*SQRT($C$11)*NORMSINV($B793)+SQRT(1-S$9^2*$C$11)*NORMSINV(R793)))*(S$7-S$5)*(S$7-S$6))))</f>
        <v>0.641804496898715</v>
      </c>
      <c r="T793" s="2" t="n">
        <v>0.180106726</v>
      </c>
      <c r="U793" s="2" t="n">
        <f aca="false">IF(U$7=U$5,U$6,IF(NORMSDIST(U$9*SQRT($C$11)*NORMSINV($B793)+SQRT(1-U$9^2*$C$11)*NORMSINV(T793))&lt;U$8,U$5+SQRT(NORMSDIST(U$9*SQRT($C$11)*NORMSINV($B793)+SQRT(1-U$9^2*$C$11)*NORMSINV(T793))*(U$7-U$5)*(U$6-U$5)),U$7-SQRT((1-NORMSDIST(U$9*SQRT($C$11)*NORMSINV($B793)+SQRT(1-U$9^2*$C$11)*NORMSINV(T793)))*(U$7-U$5)*(U$7-U$6))))</f>
        <v>0.500038522891219</v>
      </c>
      <c r="V793" s="2" t="n">
        <v>0.350643861</v>
      </c>
      <c r="W793" s="2" t="n">
        <f aca="false">IF(W$7=W$5,W$6,IF(NORMSDIST(W$9*SQRT($C$11)*NORMSINV($B793)+SQRT(1-W$9^2*$C$11)*NORMSINV(V793))&lt;W$8,W$5+SQRT(NORMSDIST(W$9*SQRT($C$11)*NORMSINV($B793)+SQRT(1-W$9^2*$C$11)*NORMSINV(V793))*(W$7-W$5)*(W$6-W$5)),W$7-SQRT((1-NORMSDIST(W$9*SQRT($C$11)*NORMSINV($B793)+SQRT(1-W$9^2*$C$11)*NORMSINV(V793)))*(W$7-W$5)*(W$7-W$6))))</f>
        <v>10.3501639771089</v>
      </c>
      <c r="X793" s="2" t="n">
        <v>0.967162329</v>
      </c>
      <c r="Y793" s="2" t="n">
        <f aca="false">IF(Y$7=Y$5,Y$6,IF(NORMSDIST(Y$9*SQRT($C$11)*NORMSINV($B793)+SQRT(1-Y$9^2*$C$11)*NORMSINV(X793))&lt;Y$8,Y$5+SQRT(NORMSDIST(Y$9*SQRT($C$11)*NORMSINV($B793)+SQRT(1-Y$9^2*$C$11)*NORMSINV(X793))*(Y$7-Y$5)*(Y$6-Y$5)),Y$7-SQRT((1-NORMSDIST(Y$9*SQRT($C$11)*NORMSINV($B793)+SQRT(1-Y$9^2*$C$11)*NORMSINV(X793)))*(Y$7-Y$5)*(Y$7-Y$6))))</f>
        <v>0.871863996082288</v>
      </c>
      <c r="Z793" s="2" t="n">
        <v>0.574204161</v>
      </c>
      <c r="AA793" s="2" t="n">
        <f aca="false">IF(AA$7=AA$5,AA$6,IF(NORMSDIST(AA$9*SQRT($C$11)*NORMSINV($B793)+SQRT(1-AA$9^2*$C$11)*NORMSINV(Z793))&lt;AA$8,AA$5+SQRT(NORMSDIST(AA$9*SQRT($C$11)*NORMSINV($B793)+SQRT(1-AA$9^2*$C$11)*NORMSINV(Z793))*(AA$7-AA$5)*(AA$6-AA$5)),AA$7-SQRT((1-NORMSDIST(AA$9*SQRT($C$11)*NORMSINV($B793)+SQRT(1-AA$9^2*$C$11)*NORMSINV(Z793)))*(AA$7-AA$5)*(AA$7-AA$6))))</f>
        <v>0.737973841751686</v>
      </c>
      <c r="AB793" s="2" t="n">
        <v>0.733502172</v>
      </c>
      <c r="AC793" s="2" t="n">
        <f aca="false">IF(AC$7=AC$5,AC$6,IF(NORMSDIST(AC$9*SQRT($C$11)*NORMSINV($B793)+SQRT(1-AC$9^2*$C$11)*NORMSINV(AB793))&lt;AC$8,AC$5+SQRT(NORMSDIST(AC$9*SQRT($C$11)*NORMSINV($B793)+SQRT(1-AC$9^2*$C$11)*NORMSINV(AB793))*(AC$7-AC$5)*(AC$6-AC$5)),AC$7-SQRT((1-NORMSDIST(AC$9*SQRT($C$11)*NORMSINV($B793)+SQRT(1-AC$9^2*$C$11)*NORMSINV(AB793)))*(AC$7-AC$5)*(AC$7-AC$6))))</f>
        <v>10.2900793571594</v>
      </c>
      <c r="AD793" s="2" t="n">
        <f aca="false">Entrées!$C$8*(1+E793)</f>
        <v>7430.87879884412</v>
      </c>
      <c r="AE793" s="2" t="n">
        <f aca="false">I793*Hypothèses!$J$24/12/Hypothèses!$J$19</f>
        <v>101.753107766234</v>
      </c>
      <c r="AF793" s="2" t="n">
        <f aca="false">Entrées!$C$36*S793*1000</f>
        <v>320.902248449358</v>
      </c>
      <c r="AG793" s="2" t="n">
        <f aca="false">-AF793/W793</f>
        <v>-31.0045569479948</v>
      </c>
      <c r="AH793" s="2" t="n">
        <f aca="false">AD793+AE793+AG793</f>
        <v>7501.62734966236</v>
      </c>
      <c r="AI793" s="2" t="n">
        <f aca="false">Entrées!$C$16-M793+Hypothèses!$J$22*1000-AF793+Hypothèses!$J$23</f>
        <v>22499.5532428693</v>
      </c>
      <c r="AJ793" s="2" t="n">
        <f aca="false">AI793/AH793</f>
        <v>2.99928964665007</v>
      </c>
      <c r="AK793" s="2" t="n">
        <f aca="false">AI793/(AH793+I793*(12-Hypothèses!$J$24)/12/Hypothèses!$J$19)</f>
        <v>2.9705093619448</v>
      </c>
      <c r="AL793" s="2" t="n">
        <f aca="false">(AD793+AG793+I793/Hypothèses!$J$19)*(1+G793)</f>
        <v>7964.34924981924</v>
      </c>
      <c r="AM793" s="2" t="n">
        <f aca="false">Entrées!$C$54*K793/Hypothèses!$J$19</f>
        <v>26.5874721025506</v>
      </c>
      <c r="AN793" s="2" t="n">
        <f aca="false">Y793*1000/AC793</f>
        <v>84.7285978874089</v>
      </c>
      <c r="AO793" s="2" t="n">
        <f aca="false">(Entrées!$C$36*(1-S793)+MAX(0,Entrées!$C$30-Entrées!$C$35-Entrées!$C$36)*U793)*1000</f>
        <v>879.151683598349</v>
      </c>
      <c r="AP793" s="2" t="n">
        <f aca="false">-AO793/W793</f>
        <v>-84.9408459172952</v>
      </c>
      <c r="AQ793" s="2" t="n">
        <f aca="false">AL793+AM793+AN793+AP793</f>
        <v>7990.7244738919</v>
      </c>
      <c r="AR793" s="2" t="n">
        <f aca="false">O793*AQ793-Hypothèses!$J$25/Hypothèses!$J$19</f>
        <v>1268.33305682855</v>
      </c>
      <c r="AS793" s="2" t="n">
        <f aca="false">Entrées!$C$79*(1+Q793)+Hypothèses!$J$20</f>
        <v>1485.77831770703</v>
      </c>
      <c r="AT793" s="2" t="n">
        <f aca="false">AI793-AR793+AS793+Y793*1000-AO793+Hypothèses!$J$23</f>
        <v>22709.7108162317</v>
      </c>
      <c r="AU793" s="2" t="n">
        <f aca="false">AT793/AQ793</f>
        <v>2.84200899310584</v>
      </c>
      <c r="AV793" s="2" t="n">
        <f aca="false">Hypothèses!$J$26*AQ793-AT793</f>
        <v>1262.462605444</v>
      </c>
      <c r="AW793" s="2" t="n">
        <f aca="false">IF(AC793&gt;Hypothèses!$J$26,MAX(0,AV793)/(1-Hypothèses!$J$26/AC793),0)</f>
        <v>1781.98888640451</v>
      </c>
      <c r="AX793" s="2" t="n">
        <f aca="false">AQ793-Entrées!$C$17*1000</f>
        <v>-9.27552610809653</v>
      </c>
      <c r="AY793" s="2" t="n">
        <f aca="false">AI793+(Entrées!$C$244-Entrées!$C$13)</f>
        <v>28246.5532428693</v>
      </c>
      <c r="AZ793" s="2" t="n">
        <f aca="false">AA793*AH793</f>
        <v>5536.00475461985</v>
      </c>
      <c r="BA793" s="2" t="n">
        <f aca="false">AZ793/AY793</f>
        <v>0.195988682478185</v>
      </c>
      <c r="BB793" s="2" t="n">
        <f aca="false">AZ793/(Entrées!$C$151/100)-AY793</f>
        <v>2509.02872724098</v>
      </c>
      <c r="BC793" s="2" t="n">
        <f aca="false">AT793+(Entrées!$C$244-Entrées!$C$13)</f>
        <v>28456.7108162317</v>
      </c>
      <c r="BD793" s="2" t="n">
        <f aca="false">AA793*AQ793</f>
        <v>5896.94563837723</v>
      </c>
      <c r="BE793" s="2" t="n">
        <f aca="false">BD793/BC793</f>
        <v>0.207225131409552</v>
      </c>
      <c r="BF793" s="2" t="n">
        <f aca="false">BD793/(Entrées!$C$151/100)-BC793</f>
        <v>4304.098285864</v>
      </c>
      <c r="BG793" s="2" t="n">
        <f aca="false">MIN(AV793,BF793)</f>
        <v>1262.462605444</v>
      </c>
      <c r="BH793" s="2" t="n">
        <f aca="false">IF(AC793&gt;Hypothèses!$J$26,MAX(0,BG793)/(1-Hypothèses!$J$26/AC793),0)</f>
        <v>1781.98888640451</v>
      </c>
    </row>
    <row r="794" customFormat="false" ht="15" hidden="false" customHeight="false" outlineLevel="0" collapsed="false">
      <c r="A794" s="2" t="n">
        <v>779</v>
      </c>
      <c r="B794" s="2" t="n">
        <v>0.894308245</v>
      </c>
      <c r="C794" s="2"/>
      <c r="D794" s="2" t="n">
        <v>0.889879841</v>
      </c>
      <c r="E794" s="2" t="n">
        <f aca="false">IF(E$7=E$5,E$6,IF(NORMSDIST(E$9*SQRT($C$11)*NORMSINV($B794)+SQRT(1-E$9^2*$C$11)*NORMSINV(D794))&lt;E$8,E$5+SQRT(NORMSDIST(E$9*SQRT($C$11)*NORMSINV($B794)+SQRT(1-E$9^2*$C$11)*NORMSINV(D794))*(E$7-E$5)*(E$6-E$5)),E$7-SQRT((1-NORMSDIST(E$9*SQRT($C$11)*NORMSINV($B794)+SQRT(1-E$9^2*$C$11)*NORMSINV(D794)))*(E$7-E$5)*(E$7-E$6))))</f>
        <v>0.0585694398497439</v>
      </c>
      <c r="F794" s="2" t="n">
        <v>0.661733955</v>
      </c>
      <c r="G794" s="2" t="n">
        <f aca="false">IF(G$7=G$5,G$6,IF(NORMSDIST(G$9*SQRT($C$11)*NORMSINV($B794)+SQRT(1-G$9^2*$C$11)*NORMSINV(F794))&lt;G$8,G$5+SQRT(NORMSDIST(G$9*SQRT($C$11)*NORMSINV($B794)+SQRT(1-G$9^2*$C$11)*NORMSINV(F794))*(G$7-G$5)*(G$6-G$5)),G$7-SQRT((1-NORMSDIST(G$9*SQRT($C$11)*NORMSINV($B794)+SQRT(1-G$9^2*$C$11)*NORMSINV(F794)))*(G$7-G$5)*(G$7-G$6))))</f>
        <v>0.0622716234696498</v>
      </c>
      <c r="H794" s="2" t="n">
        <v>0.586201328</v>
      </c>
      <c r="I794" s="2" t="n">
        <f aca="false">IF(I$7=I$5,I$6,IF(NORMSDIST(I$9*SQRT($C$11)*NORMSINV($B794)+SQRT(1-I$9^2*$C$11)*NORMSINV(H794))&lt;I$8,I$5+SQRT(NORMSDIST(I$9*SQRT($C$11)*NORMSINV($B794)+SQRT(1-I$9^2*$C$11)*NORMSINV(H794))*(I$7-I$5)*(I$6-I$5)),I$7-SQRT((1-NORMSDIST(I$9*SQRT($C$11)*NORMSINV($B794)+SQRT(1-I$9^2*$C$11)*NORMSINV(H794)))*(I$7-I$5)*(I$7-I$6))))</f>
        <v>208.381069720325</v>
      </c>
      <c r="J794" s="2" t="n">
        <v>0.308266842</v>
      </c>
      <c r="K794" s="2" t="n">
        <f aca="false">IF(K$7=K$5,K$6,IF(NORMSDIST(K$9*SQRT($C$11)*NORMSINV($B794)+SQRT(1-K$9^2*$C$11)*NORMSINV(J794))&lt;K$8,K$5+SQRT(NORMSDIST(K$9*SQRT($C$11)*NORMSINV($B794)+SQRT(1-K$9^2*$C$11)*NORMSINV(J794))*(K$7-K$5)*(K$6-K$5)),K$7-SQRT((1-NORMSDIST(K$9*SQRT($C$11)*NORMSINV($B794)+SQRT(1-K$9^2*$C$11)*NORMSINV(J794)))*(K$7-K$5)*(K$7-K$6))))</f>
        <v>0.292742011440722</v>
      </c>
      <c r="L794" s="2" t="n">
        <v>0.74265298</v>
      </c>
      <c r="M794" s="2" t="n">
        <f aca="false">IF(M$7=M$5,M$6,IF(NORMSDIST(M$9*SQRT($C$11)*NORMSINV($B794)+SQRT(1-M$9^2*$C$11)*NORMSINV(L794))&lt;M$8,M$5+SQRT(NORMSDIST(M$9*SQRT($C$11)*NORMSINV($B794)+SQRT(1-M$9^2*$C$11)*NORMSINV(L794))*(M$7-M$5)*(M$6-M$5)),M$7-SQRT((1-NORMSDIST(M$9*SQRT($C$11)*NORMSINV($B794)+SQRT(1-M$9^2*$C$11)*NORMSINV(L794)))*(M$7-M$5)*(M$7-M$6))))</f>
        <v>1703.73456936842</v>
      </c>
      <c r="N794" s="2" t="n">
        <v>0.274786611</v>
      </c>
      <c r="O794" s="2" t="n">
        <f aca="false">IF(O$7=O$5,O$6,IF(NORMSDIST(O$9*SQRT($C$11)*NORMSINV($B794)+SQRT(1-O$9^2*$C$11)*NORMSINV(N794))&lt;O$8,O$5+SQRT(NORMSDIST(O$9*SQRT($C$11)*NORMSINV($B794)+SQRT(1-O$9^2*$C$11)*NORMSINV(N794))*(O$7-O$5)*(O$6-O$5)),O$7-SQRT((1-NORMSDIST(O$9*SQRT($C$11)*NORMSINV($B794)+SQRT(1-O$9^2*$C$11)*NORMSINV(N794)))*(O$7-O$5)*(O$7-O$6))))</f>
        <v>0.170097518603365</v>
      </c>
      <c r="P794" s="2" t="n">
        <v>0.043133502</v>
      </c>
      <c r="Q794" s="2" t="n">
        <f aca="false">IF(Q$7=Q$5,Q$6,IF(NORMSDIST(Q$9*SQRT($C$11)*NORMSINV($B794)+SQRT(1-Q$9^2*$C$11)*NORMSINV(P794))&lt;Q$8,Q$5+SQRT(NORMSDIST(Q$9*SQRT($C$11)*NORMSINV($B794)+SQRT(1-Q$9^2*$C$11)*NORMSINV(P794))*(Q$7-Q$5)*(Q$6-Q$5)),Q$7-SQRT((1-NORMSDIST(Q$9*SQRT($C$11)*NORMSINV($B794)+SQRT(1-Q$9^2*$C$11)*NORMSINV(P794)))*(Q$7-Q$5)*(Q$7-Q$6))))</f>
        <v>0.0517484980486869</v>
      </c>
      <c r="R794" s="2" t="n">
        <v>0.568452658</v>
      </c>
      <c r="S794" s="2" t="n">
        <f aca="false">IF(S$7=S$5,S$6,IF(NORMSDIST(S$9*SQRT($C$11)*NORMSINV($B794)+SQRT(1-S$9^2*$C$11)*NORMSINV(R794))&lt;S$8,S$5+SQRT(NORMSDIST(S$9*SQRT($C$11)*NORMSINV($B794)+SQRT(1-S$9^2*$C$11)*NORMSINV(R794))*(S$7-S$5)*(S$6-S$5)),S$7-SQRT((1-NORMSDIST(S$9*SQRT($C$11)*NORMSINV($B794)+SQRT(1-S$9^2*$C$11)*NORMSINV(R794)))*(S$7-S$5)*(S$7-S$6))))</f>
        <v>0.701884998058372</v>
      </c>
      <c r="T794" s="2" t="n">
        <v>0.209247346</v>
      </c>
      <c r="U794" s="2" t="n">
        <f aca="false">IF(U$7=U$5,U$6,IF(NORMSDIST(U$9*SQRT($C$11)*NORMSINV($B794)+SQRT(1-U$9^2*$C$11)*NORMSINV(T794))&lt;U$8,U$5+SQRT(NORMSDIST(U$9*SQRT($C$11)*NORMSINV($B794)+SQRT(1-U$9^2*$C$11)*NORMSINV(T794))*(U$7-U$5)*(U$6-U$5)),U$7-SQRT((1-NORMSDIST(U$9*SQRT($C$11)*NORMSINV($B794)+SQRT(1-U$9^2*$C$11)*NORMSINV(T794)))*(U$7-U$5)*(U$7-U$6))))</f>
        <v>0.533649897419301</v>
      </c>
      <c r="V794" s="2" t="n">
        <v>0.953143609</v>
      </c>
      <c r="W794" s="2" t="n">
        <f aca="false">IF(W$7=W$5,W$6,IF(NORMSDIST(W$9*SQRT($C$11)*NORMSINV($B794)+SQRT(1-W$9^2*$C$11)*NORMSINV(V794))&lt;W$8,W$5+SQRT(NORMSDIST(W$9*SQRT($C$11)*NORMSINV($B794)+SQRT(1-W$9^2*$C$11)*NORMSINV(V794))*(W$7-W$5)*(W$6-W$5)),W$7-SQRT((1-NORMSDIST(W$9*SQRT($C$11)*NORMSINV($B794)+SQRT(1-W$9^2*$C$11)*NORMSINV(V794)))*(W$7-W$5)*(W$7-W$6))))</f>
        <v>11.6166966687535</v>
      </c>
      <c r="X794" s="2" t="n">
        <v>0.028795237</v>
      </c>
      <c r="Y794" s="2" t="n">
        <f aca="false">IF(Y$7=Y$5,Y$6,IF(NORMSDIST(Y$9*SQRT($C$11)*NORMSINV($B794)+SQRT(1-Y$9^2*$C$11)*NORMSINV(X794))&lt;Y$8,Y$5+SQRT(NORMSDIST(Y$9*SQRT($C$11)*NORMSINV($B794)+SQRT(1-Y$9^2*$C$11)*NORMSINV(X794))*(Y$7-Y$5)*(Y$6-Y$5)),Y$7-SQRT((1-NORMSDIST(Y$9*SQRT($C$11)*NORMSINV($B794)+SQRT(1-Y$9^2*$C$11)*NORMSINV(X794)))*(Y$7-Y$5)*(Y$7-Y$6))))</f>
        <v>0.119990076673032</v>
      </c>
      <c r="Z794" s="2" t="n">
        <v>0.407338485</v>
      </c>
      <c r="AA794" s="2" t="n">
        <f aca="false">IF(AA$7=AA$5,AA$6,IF(NORMSDIST(AA$9*SQRT($C$11)*NORMSINV($B794)+SQRT(1-AA$9^2*$C$11)*NORMSINV(Z794))&lt;AA$8,AA$5+SQRT(NORMSDIST(AA$9*SQRT($C$11)*NORMSINV($B794)+SQRT(1-AA$9^2*$C$11)*NORMSINV(Z794))*(AA$7-AA$5)*(AA$6-AA$5)),AA$7-SQRT((1-NORMSDIST(AA$9*SQRT($C$11)*NORMSINV($B794)+SQRT(1-AA$9^2*$C$11)*NORMSINV(Z794)))*(AA$7-AA$5)*(AA$7-AA$6))))</f>
        <v>0.735195745230928</v>
      </c>
      <c r="AB794" s="2" t="n">
        <v>0.597051552</v>
      </c>
      <c r="AC794" s="2" t="n">
        <f aca="false">IF(AC$7=AC$5,AC$6,IF(NORMSDIST(AC$9*SQRT($C$11)*NORMSINV($B794)+SQRT(1-AC$9^2*$C$11)*NORMSINV(AB794))&lt;AC$8,AC$5+SQRT(NORMSDIST(AC$9*SQRT($C$11)*NORMSINV($B794)+SQRT(1-AC$9^2*$C$11)*NORMSINV(AB794))*(AC$7-AC$5)*(AC$6-AC$5)),AC$7-SQRT((1-NORMSDIST(AC$9*SQRT($C$11)*NORMSINV($B794)+SQRT(1-AC$9^2*$C$11)*NORMSINV(AB794)))*(AC$7-AC$5)*(AC$7-AC$6))))</f>
        <v>10.1599428985039</v>
      </c>
      <c r="AD794" s="2" t="n">
        <f aca="false">Entrées!$C$8*(1+E794)</f>
        <v>7462.91455094069</v>
      </c>
      <c r="AE794" s="2" t="n">
        <f aca="false">I794*Hypothèses!$J$24/12/Hypothèses!$J$19</f>
        <v>103.377181738694</v>
      </c>
      <c r="AF794" s="2" t="n">
        <f aca="false">Entrées!$C$36*S794*1000</f>
        <v>350.942499029186</v>
      </c>
      <c r="AG794" s="2" t="n">
        <f aca="false">-AF794/W794</f>
        <v>-30.2101801429617</v>
      </c>
      <c r="AH794" s="2" t="n">
        <f aca="false">AD794+AE794+AG794</f>
        <v>7536.08155253643</v>
      </c>
      <c r="AI794" s="2" t="n">
        <f aca="false">Entrées!$C$16-M794+Hypothèses!$J$22*1000-AF794+Hypothèses!$J$23</f>
        <v>22493.3229316024</v>
      </c>
      <c r="AJ794" s="2" t="n">
        <f aca="false">AI794/AH794</f>
        <v>2.98475046677697</v>
      </c>
      <c r="AK794" s="2" t="n">
        <f aca="false">AI794/(AH794+I794*(12-Hypothèses!$J$24)/12/Hypothèses!$J$19)</f>
        <v>2.95578873991503</v>
      </c>
      <c r="AL794" s="2" t="n">
        <f aca="false">(AD794+AG794+I794/Hypothèses!$J$19)*(1+G794)</f>
        <v>8083.80461875203</v>
      </c>
      <c r="AM794" s="2" t="n">
        <f aca="false">Entrées!$C$54*K794/Hypothèses!$J$19</f>
        <v>29.8755514118026</v>
      </c>
      <c r="AN794" s="2" t="n">
        <f aca="false">Y794*1000/AC794</f>
        <v>11.8101132921427</v>
      </c>
      <c r="AO794" s="2" t="n">
        <f aca="false">(Entrées!$C$36*(1-S794)+MAX(0,Entrées!$C$30-Entrées!$C$35-Entrées!$C$36)*U794)*1000</f>
        <v>896.167357357836</v>
      </c>
      <c r="AP794" s="2" t="n">
        <f aca="false">-AO794/W794</f>
        <v>-77.1447669601583</v>
      </c>
      <c r="AQ794" s="2" t="n">
        <f aca="false">AL794+AM794+AN794+AP794</f>
        <v>8048.34551649582</v>
      </c>
      <c r="AR794" s="2" t="n">
        <f aca="false">O794*AQ794-Hypothèses!$J$25/Hypothèses!$J$19</f>
        <v>1349.86843895683</v>
      </c>
      <c r="AS794" s="2" t="n">
        <f aca="false">Entrées!$C$79*(1+Q794)+Hypothèses!$J$20</f>
        <v>1450.87159935551</v>
      </c>
      <c r="AT794" s="2" t="n">
        <f aca="false">AI794-AR794+AS794+Y794*1000-AO794+Hypothèses!$J$23</f>
        <v>21818.1488113163</v>
      </c>
      <c r="AU794" s="2" t="n">
        <f aca="false">AT794/AQ794</f>
        <v>2.71088620221361</v>
      </c>
      <c r="AV794" s="2" t="n">
        <f aca="false">Hypothèses!$J$26*AQ794-AT794</f>
        <v>2326.8877381712</v>
      </c>
      <c r="AW794" s="2" t="n">
        <f aca="false">IF(AC794&gt;Hypothèses!$J$26,MAX(0,AV794)/(1-Hypothèses!$J$26/AC794),0)</f>
        <v>3301.84847647154</v>
      </c>
      <c r="AX794" s="2" t="n">
        <f aca="false">AQ794-Entrées!$C$17*1000</f>
        <v>48.3455164958214</v>
      </c>
      <c r="AY794" s="2" t="n">
        <f aca="false">AI794+(Entrées!$C$244-Entrées!$C$13)</f>
        <v>28240.3229316024</v>
      </c>
      <c r="AZ794" s="2" t="n">
        <f aca="false">AA794*AH794</f>
        <v>5540.49509313806</v>
      </c>
      <c r="BA794" s="2" t="n">
        <f aca="false">AZ794/AY794</f>
        <v>0.196190925527199</v>
      </c>
      <c r="BB794" s="2" t="n">
        <f aca="false">AZ794/(Entrées!$C$151/100)-AY794</f>
        <v>2540.20536360908</v>
      </c>
      <c r="BC794" s="2" t="n">
        <f aca="false">AT794+(Entrées!$C$244-Entrées!$C$13)</f>
        <v>27565.1488113163</v>
      </c>
      <c r="BD794" s="2" t="n">
        <f aca="false">AA794*AQ794</f>
        <v>5917.10937987614</v>
      </c>
      <c r="BE794" s="2" t="n">
        <f aca="false">BD794/BC794</f>
        <v>0.214659076226246</v>
      </c>
      <c r="BF794" s="2" t="n">
        <f aca="false">BD794/(Entrées!$C$151/100)-BC794</f>
        <v>5307.68107688452</v>
      </c>
      <c r="BG794" s="2" t="n">
        <f aca="false">MIN(AV794,BF794)</f>
        <v>2326.8877381712</v>
      </c>
      <c r="BH794" s="2" t="n">
        <f aca="false">IF(AC794&gt;Hypothèses!$J$26,MAX(0,BG794)/(1-Hypothèses!$J$26/AC794),0)</f>
        <v>3301.84847647154</v>
      </c>
    </row>
    <row r="795" customFormat="false" ht="15" hidden="false" customHeight="false" outlineLevel="0" collapsed="false">
      <c r="A795" s="2" t="n">
        <v>780</v>
      </c>
      <c r="B795" s="2" t="n">
        <v>0.69237174</v>
      </c>
      <c r="C795" s="2"/>
      <c r="D795" s="2" t="n">
        <v>0.182604239</v>
      </c>
      <c r="E795" s="2" t="n">
        <f aca="false">IF(E$7=E$5,E$6,IF(NORMSDIST(E$9*SQRT($C$11)*NORMSINV($B795)+SQRT(1-E$9^2*$C$11)*NORMSINV(D795))&lt;E$8,E$5+SQRT(NORMSDIST(E$9*SQRT($C$11)*NORMSINV($B795)+SQRT(1-E$9^2*$C$11)*NORMSINV(D795))*(E$7-E$5)*(E$6-E$5)),E$7-SQRT((1-NORMSDIST(E$9*SQRT($C$11)*NORMSINV($B795)+SQRT(1-E$9^2*$C$11)*NORMSINV(D795)))*(E$7-E$5)*(E$7-E$6))))</f>
        <v>0.054187277447458</v>
      </c>
      <c r="F795" s="2" t="n">
        <v>0.552579304</v>
      </c>
      <c r="G795" s="2" t="n">
        <f aca="false">IF(G$7=G$5,G$6,IF(NORMSDIST(G$9*SQRT($C$11)*NORMSINV($B795)+SQRT(1-G$9^2*$C$11)*NORMSINV(F795))&lt;G$8,G$5+SQRT(NORMSDIST(G$9*SQRT($C$11)*NORMSINV($B795)+SQRT(1-G$9^2*$C$11)*NORMSINV(F795))*(G$7-G$5)*(G$6-G$5)),G$7-SQRT((1-NORMSDIST(G$9*SQRT($C$11)*NORMSINV($B795)+SQRT(1-G$9^2*$C$11)*NORMSINV(F795)))*(G$7-G$5)*(G$7-G$6))))</f>
        <v>0.0576826014760268</v>
      </c>
      <c r="H795" s="2" t="n">
        <v>0.27108423</v>
      </c>
      <c r="I795" s="2" t="n">
        <f aca="false">IF(I$7=I$5,I$6,IF(NORMSDIST(I$9*SQRT($C$11)*NORMSINV($B795)+SQRT(1-I$9^2*$C$11)*NORMSINV(H795))&lt;I$8,I$5+SQRT(NORMSDIST(I$9*SQRT($C$11)*NORMSINV($B795)+SQRT(1-I$9^2*$C$11)*NORMSINV(H795))*(I$7-I$5)*(I$6-I$5)),I$7-SQRT((1-NORMSDIST(I$9*SQRT($C$11)*NORMSINV($B795)+SQRT(1-I$9^2*$C$11)*NORMSINV(H795)))*(I$7-I$5)*(I$7-I$6))))</f>
        <v>198.7337819133</v>
      </c>
      <c r="J795" s="2" t="n">
        <v>0.897157389</v>
      </c>
      <c r="K795" s="2" t="n">
        <f aca="false">IF(K$7=K$5,K$6,IF(NORMSDIST(K$9*SQRT($C$11)*NORMSINV($B795)+SQRT(1-K$9^2*$C$11)*NORMSINV(J795))&lt;K$8,K$5+SQRT(NORMSDIST(K$9*SQRT($C$11)*NORMSINV($B795)+SQRT(1-K$9^2*$C$11)*NORMSINV(J795))*(K$7-K$5)*(K$6-K$5)),K$7-SQRT((1-NORMSDIST(K$9*SQRT($C$11)*NORMSINV($B795)+SQRT(1-K$9^2*$C$11)*NORMSINV(J795)))*(K$7-K$5)*(K$7-K$6))))</f>
        <v>0.389817509828204</v>
      </c>
      <c r="L795" s="2" t="n">
        <v>0.224589785</v>
      </c>
      <c r="M795" s="2" t="n">
        <f aca="false">IF(M$7=M$5,M$6,IF(NORMSDIST(M$9*SQRT($C$11)*NORMSINV($B795)+SQRT(1-M$9^2*$C$11)*NORMSINV(L795))&lt;M$8,M$5+SQRT(NORMSDIST(M$9*SQRT($C$11)*NORMSINV($B795)+SQRT(1-M$9^2*$C$11)*NORMSINV(L795))*(M$7-M$5)*(M$6-M$5)),M$7-SQRT((1-NORMSDIST(M$9*SQRT($C$11)*NORMSINV($B795)+SQRT(1-M$9^2*$C$11)*NORMSINV(L795)))*(M$7-M$5)*(M$7-M$6))))</f>
        <v>1553.7332884199</v>
      </c>
      <c r="N795" s="2" t="n">
        <v>0.288827407</v>
      </c>
      <c r="O795" s="2" t="n">
        <f aca="false">IF(O$7=O$5,O$6,IF(NORMSDIST(O$9*SQRT($C$11)*NORMSINV($B795)+SQRT(1-O$9^2*$C$11)*NORMSINV(N795))&lt;O$8,O$5+SQRT(NORMSDIST(O$9*SQRT($C$11)*NORMSINV($B795)+SQRT(1-O$9^2*$C$11)*NORMSINV(N795))*(O$7-O$5)*(O$6-O$5)),O$7-SQRT((1-NORMSDIST(O$9*SQRT($C$11)*NORMSINV($B795)+SQRT(1-O$9^2*$C$11)*NORMSINV(N795)))*(O$7-O$5)*(O$7-O$6))))</f>
        <v>0.165546269293569</v>
      </c>
      <c r="P795" s="2" t="n">
        <v>0.952740144</v>
      </c>
      <c r="Q795" s="2" t="n">
        <f aca="false">IF(Q$7=Q$5,Q$6,IF(NORMSDIST(Q$9*SQRT($C$11)*NORMSINV($B795)+SQRT(1-Q$9^2*$C$11)*NORMSINV(P795))&lt;Q$8,Q$5+SQRT(NORMSDIST(Q$9*SQRT($C$11)*NORMSINV($B795)+SQRT(1-Q$9^2*$C$11)*NORMSINV(P795))*(Q$7-Q$5)*(Q$6-Q$5)),Q$7-SQRT((1-NORMSDIST(Q$9*SQRT($C$11)*NORMSINV($B795)+SQRT(1-Q$9^2*$C$11)*NORMSINV(P795)))*(Q$7-Q$5)*(Q$7-Q$6))))</f>
        <v>0.107702376684904</v>
      </c>
      <c r="R795" s="2" t="n">
        <v>0.711051167</v>
      </c>
      <c r="S795" s="2" t="n">
        <f aca="false">IF(S$7=S$5,S$6,IF(NORMSDIST(S$9*SQRT($C$11)*NORMSINV($B795)+SQRT(1-S$9^2*$C$11)*NORMSINV(R795))&lt;S$8,S$5+SQRT(NORMSDIST(S$9*SQRT($C$11)*NORMSINV($B795)+SQRT(1-S$9^2*$C$11)*NORMSINV(R795))*(S$7-S$5)*(S$6-S$5)),S$7-SQRT((1-NORMSDIST(S$9*SQRT($C$11)*NORMSINV($B795)+SQRT(1-S$9^2*$C$11)*NORMSINV(R795)))*(S$7-S$5)*(S$7-S$6))))</f>
        <v>0.663131426837523</v>
      </c>
      <c r="T795" s="2" t="n">
        <v>0.218997858</v>
      </c>
      <c r="U795" s="2" t="n">
        <f aca="false">IF(U$7=U$5,U$6,IF(NORMSDIST(U$9*SQRT($C$11)*NORMSINV($B795)+SQRT(1-U$9^2*$C$11)*NORMSINV(T795))&lt;U$8,U$5+SQRT(NORMSDIST(U$9*SQRT($C$11)*NORMSINV($B795)+SQRT(1-U$9^2*$C$11)*NORMSINV(T795))*(U$7-U$5)*(U$6-U$5)),U$7-SQRT((1-NORMSDIST(U$9*SQRT($C$11)*NORMSINV($B795)+SQRT(1-U$9^2*$C$11)*NORMSINV(T795)))*(U$7-U$5)*(U$7-U$6))))</f>
        <v>0.44080966298042</v>
      </c>
      <c r="V795" s="2" t="n">
        <v>0.191857068</v>
      </c>
      <c r="W795" s="2" t="n">
        <f aca="false">IF(W$7=W$5,W$6,IF(NORMSDIST(W$9*SQRT($C$11)*NORMSINV($B795)+SQRT(1-W$9^2*$C$11)*NORMSINV(V795))&lt;W$8,W$5+SQRT(NORMSDIST(W$9*SQRT($C$11)*NORMSINV($B795)+SQRT(1-W$9^2*$C$11)*NORMSINV(V795))*(W$7-W$5)*(W$6-W$5)),W$7-SQRT((1-NORMSDIST(W$9*SQRT($C$11)*NORMSINV($B795)+SQRT(1-W$9^2*$C$11)*NORMSINV(V795)))*(W$7-W$5)*(W$7-W$6))))</f>
        <v>9.69845868154529</v>
      </c>
      <c r="X795" s="2" t="n">
        <v>0.912482245</v>
      </c>
      <c r="Y795" s="2" t="n">
        <f aca="false">IF(Y$7=Y$5,Y$6,IF(NORMSDIST(Y$9*SQRT($C$11)*NORMSINV($B795)+SQRT(1-Y$9^2*$C$11)*NORMSINV(X795))&lt;Y$8,Y$5+SQRT(NORMSDIST(Y$9*SQRT($C$11)*NORMSINV($B795)+SQRT(1-Y$9^2*$C$11)*NORMSINV(X795))*(Y$7-Y$5)*(Y$6-Y$5)),Y$7-SQRT((1-NORMSDIST(Y$9*SQRT($C$11)*NORMSINV($B795)+SQRT(1-Y$9^2*$C$11)*NORMSINV(X795)))*(Y$7-Y$5)*(Y$7-Y$6))))</f>
        <v>0.790813773158939</v>
      </c>
      <c r="Z795" s="2" t="n">
        <v>0.422362554</v>
      </c>
      <c r="AA795" s="2" t="n">
        <f aca="false">IF(AA$7=AA$5,AA$6,IF(NORMSDIST(AA$9*SQRT($C$11)*NORMSINV($B795)+SQRT(1-AA$9^2*$C$11)*NORMSINV(Z795))&lt;AA$8,AA$5+SQRT(NORMSDIST(AA$9*SQRT($C$11)*NORMSINV($B795)+SQRT(1-AA$9^2*$C$11)*NORMSINV(Z795))*(AA$7-AA$5)*(AA$6-AA$5)),AA$7-SQRT((1-NORMSDIST(AA$9*SQRT($C$11)*NORMSINV($B795)+SQRT(1-AA$9^2*$C$11)*NORMSINV(Z795)))*(AA$7-AA$5)*(AA$7-AA$6))))</f>
        <v>0.730144226914146</v>
      </c>
      <c r="AB795" s="2" t="n">
        <v>0.271787505</v>
      </c>
      <c r="AC795" s="2" t="n">
        <f aca="false">IF(AC$7=AC$5,AC$6,IF(NORMSDIST(AC$9*SQRT($C$11)*NORMSINV($B795)+SQRT(1-AC$9^2*$C$11)*NORMSINV(AB795))&lt;AC$8,AC$5+SQRT(NORMSDIST(AC$9*SQRT($C$11)*NORMSINV($B795)+SQRT(1-AC$9^2*$C$11)*NORMSINV(AB795))*(AC$7-AC$5)*(AC$6-AC$5)),AC$7-SQRT((1-NORMSDIST(AC$9*SQRT($C$11)*NORMSINV($B795)+SQRT(1-AC$9^2*$C$11)*NORMSINV(AB795)))*(AC$7-AC$5)*(AC$7-AC$6))))</f>
        <v>9.34830877069734</v>
      </c>
      <c r="AD795" s="2" t="n">
        <f aca="false">Entrées!$C$8*(1+E795)</f>
        <v>7432.02030600458</v>
      </c>
      <c r="AE795" s="2" t="n">
        <f aca="false">I795*Hypothèses!$J$24/12/Hypothèses!$J$19</f>
        <v>98.5911931349745</v>
      </c>
      <c r="AF795" s="2" t="n">
        <f aca="false">Entrées!$C$36*S795*1000</f>
        <v>331.565713418761</v>
      </c>
      <c r="AG795" s="2" t="n">
        <f aca="false">-AF795/W795</f>
        <v>-34.1874646586556</v>
      </c>
      <c r="AH795" s="2" t="n">
        <f aca="false">AD795+AE795+AG795</f>
        <v>7496.4240344809</v>
      </c>
      <c r="AI795" s="2" t="n">
        <f aca="false">Entrées!$C$16-M795+Hypothèses!$J$22*1000-AF795+Hypothèses!$J$23</f>
        <v>22662.7009981613</v>
      </c>
      <c r="AJ795" s="2" t="n">
        <f aca="false">AI795/AH795</f>
        <v>3.02313488323512</v>
      </c>
      <c r="AK795" s="2" t="n">
        <f aca="false">AI795/(AH795+I795*(12-Hypothèses!$J$24)/12/Hypothèses!$J$19)</f>
        <v>2.99499950889224</v>
      </c>
      <c r="AL795" s="2" t="n">
        <f aca="false">(AD795+AG795+I795/Hypothèses!$J$19)*(1+G795)</f>
        <v>8003.3216957269</v>
      </c>
      <c r="AM795" s="2" t="n">
        <f aca="false">Entrées!$C$54*K795/Hypothèses!$J$19</f>
        <v>39.7825136159235</v>
      </c>
      <c r="AN795" s="2" t="n">
        <f aca="false">Y795*1000/AC795</f>
        <v>84.5943146034904</v>
      </c>
      <c r="AO795" s="2" t="n">
        <f aca="false">(Entrées!$C$36*(1-S795)+MAX(0,Entrées!$C$30-Entrées!$C$35-Entrées!$C$36)*U795)*1000</f>
        <v>785.567814753827</v>
      </c>
      <c r="AP795" s="2" t="n">
        <f aca="false">-AO795/W795</f>
        <v>-80.9992433383919</v>
      </c>
      <c r="AQ795" s="2" t="n">
        <f aca="false">AL795+AM795+AN795+AP795</f>
        <v>8046.69928060792</v>
      </c>
      <c r="AR795" s="2" t="n">
        <f aca="false">O795*AQ795-Hypothèses!$J$25/Hypothèses!$J$19</f>
        <v>1312.96588377026</v>
      </c>
      <c r="AS795" s="2" t="n">
        <f aca="false">Entrées!$C$79*(1+Q795)+Hypothèses!$J$20</f>
        <v>1512.36491197671</v>
      </c>
      <c r="AT795" s="2" t="n">
        <f aca="false">AI795-AR795+AS795+Y795*1000-AO795+Hypothèses!$J$23</f>
        <v>22867.3459847729</v>
      </c>
      <c r="AU795" s="2" t="n">
        <f aca="false">AT795/AQ795</f>
        <v>2.84182932496084</v>
      </c>
      <c r="AV795" s="2" t="n">
        <f aca="false">Hypothèses!$J$26*AQ795-AT795</f>
        <v>1272.75185705087</v>
      </c>
      <c r="AW795" s="2" t="n">
        <f aca="false">IF(AC795&gt;Hypothèses!$J$26,MAX(0,AV795)/(1-Hypothèses!$J$26/AC795),0)</f>
        <v>1874.21213711428</v>
      </c>
      <c r="AX795" s="2" t="n">
        <f aca="false">AQ795-Entrées!$C$17*1000</f>
        <v>46.6992806079234</v>
      </c>
      <c r="AY795" s="2" t="n">
        <f aca="false">AI795+(Entrées!$C$244-Entrées!$C$13)</f>
        <v>28409.7009981613</v>
      </c>
      <c r="AZ795" s="2" t="n">
        <f aca="false">AA795*AH795</f>
        <v>5473.47073127668</v>
      </c>
      <c r="BA795" s="2" t="n">
        <f aca="false">AZ795/AY795</f>
        <v>0.192662032297732</v>
      </c>
      <c r="BB795" s="2" t="n">
        <f aca="false">AZ795/(Entrées!$C$151/100)-AY795</f>
        <v>1998.46973115356</v>
      </c>
      <c r="BC795" s="2" t="n">
        <f aca="false">AT795+(Entrées!$C$244-Entrées!$C$13)</f>
        <v>28614.3459847729</v>
      </c>
      <c r="BD795" s="2" t="n">
        <f aca="false">AA795*AQ795</f>
        <v>5875.25102545009</v>
      </c>
      <c r="BE795" s="2" t="n">
        <f aca="false">BD795/BC795</f>
        <v>0.205325364716587</v>
      </c>
      <c r="BF795" s="2" t="n">
        <f aca="false">BD795/(Entrées!$C$151/100)-BC795</f>
        <v>4025.93748994983</v>
      </c>
      <c r="BG795" s="2" t="n">
        <f aca="false">MIN(AV795,BF795)</f>
        <v>1272.75185705087</v>
      </c>
      <c r="BH795" s="2" t="n">
        <f aca="false">IF(AC795&gt;Hypothèses!$J$26,MAX(0,BG795)/(1-Hypothèses!$J$26/AC795),0)</f>
        <v>1874.21213711428</v>
      </c>
    </row>
    <row r="796" customFormat="false" ht="15" hidden="false" customHeight="false" outlineLevel="0" collapsed="false">
      <c r="A796" s="2" t="n">
        <v>781</v>
      </c>
      <c r="B796" s="2" t="n">
        <v>0.115012605</v>
      </c>
      <c r="C796" s="2"/>
      <c r="D796" s="2" t="n">
        <v>0.471998754</v>
      </c>
      <c r="E796" s="2" t="n">
        <f aca="false">IF(E$7=E$5,E$6,IF(NORMSDIST(E$9*SQRT($C$11)*NORMSINV($B796)+SQRT(1-E$9^2*$C$11)*NORMSINV(D796))&lt;E$8,E$5+SQRT(NORMSDIST(E$9*SQRT($C$11)*NORMSINV($B796)+SQRT(1-E$9^2*$C$11)*NORMSINV(D796))*(E$7-E$5)*(E$6-E$5)),E$7-SQRT((1-NORMSDIST(E$9*SQRT($C$11)*NORMSINV($B796)+SQRT(1-E$9^2*$C$11)*NORMSINV(D796)))*(E$7-E$5)*(E$7-E$6))))</f>
        <v>0.0532245369695244</v>
      </c>
      <c r="F796" s="2" t="n">
        <v>0.926815915</v>
      </c>
      <c r="G796" s="2" t="n">
        <f aca="false">IF(G$7=G$5,G$6,IF(NORMSDIST(G$9*SQRT($C$11)*NORMSINV($B796)+SQRT(1-G$9^2*$C$11)*NORMSINV(F796))&lt;G$8,G$5+SQRT(NORMSDIST(G$9*SQRT($C$11)*NORMSINV($B796)+SQRT(1-G$9^2*$C$11)*NORMSINV(F796))*(G$7-G$5)*(G$6-G$5)),G$7-SQRT((1-NORMSDIST(G$9*SQRT($C$11)*NORMSINV($B796)+SQRT(1-G$9^2*$C$11)*NORMSINV(F796)))*(G$7-G$5)*(G$7-G$6))))</f>
        <v>0.0573216752681627</v>
      </c>
      <c r="H796" s="2" t="n">
        <v>0.090929508</v>
      </c>
      <c r="I796" s="2" t="n">
        <f aca="false">IF(I$7=I$5,I$6,IF(NORMSDIST(I$9*SQRT($C$11)*NORMSINV($B796)+SQRT(1-I$9^2*$C$11)*NORMSINV(H796))&lt;I$8,I$5+SQRT(NORMSDIST(I$9*SQRT($C$11)*NORMSINV($B796)+SQRT(1-I$9^2*$C$11)*NORMSINV(H796))*(I$7-I$5)*(I$6-I$5)),I$7-SQRT((1-NORMSDIST(I$9*SQRT($C$11)*NORMSINV($B796)+SQRT(1-I$9^2*$C$11)*NORMSINV(H796)))*(I$7-I$5)*(I$7-I$6))))</f>
        <v>185.401160765361</v>
      </c>
      <c r="J796" s="2" t="n">
        <v>0.202425073</v>
      </c>
      <c r="K796" s="2" t="n">
        <f aca="false">IF(K$7=K$5,K$6,IF(NORMSDIST(K$9*SQRT($C$11)*NORMSINV($B796)+SQRT(1-K$9^2*$C$11)*NORMSINV(J796))&lt;K$8,K$5+SQRT(NORMSDIST(K$9*SQRT($C$11)*NORMSINV($B796)+SQRT(1-K$9^2*$C$11)*NORMSINV(J796))*(K$7-K$5)*(K$6-K$5)),K$7-SQRT((1-NORMSDIST(K$9*SQRT($C$11)*NORMSINV($B796)+SQRT(1-K$9^2*$C$11)*NORMSINV(J796)))*(K$7-K$5)*(K$7-K$6))))</f>
        <v>0.100065744226645</v>
      </c>
      <c r="L796" s="2" t="n">
        <v>0.173270468</v>
      </c>
      <c r="M796" s="2" t="n">
        <f aca="false">IF(M$7=M$5,M$6,IF(NORMSDIST(M$9*SQRT($C$11)*NORMSINV($B796)+SQRT(1-M$9^2*$C$11)*NORMSINV(L796))&lt;M$8,M$5+SQRT(NORMSDIST(M$9*SQRT($C$11)*NORMSINV($B796)+SQRT(1-M$9^2*$C$11)*NORMSINV(L796))*(M$7-M$5)*(M$6-M$5)),M$7-SQRT((1-NORMSDIST(M$9*SQRT($C$11)*NORMSINV($B796)+SQRT(1-M$9^2*$C$11)*NORMSINV(L796)))*(M$7-M$5)*(M$7-M$6))))</f>
        <v>1407.51128444158</v>
      </c>
      <c r="N796" s="2" t="n">
        <v>0.77641385</v>
      </c>
      <c r="O796" s="2" t="n">
        <f aca="false">IF(O$7=O$5,O$6,IF(NORMSDIST(O$9*SQRT($C$11)*NORMSINV($B796)+SQRT(1-O$9^2*$C$11)*NORMSINV(N796))&lt;O$8,O$5+SQRT(NORMSDIST(O$9*SQRT($C$11)*NORMSINV($B796)+SQRT(1-O$9^2*$C$11)*NORMSINV(N796))*(O$7-O$5)*(O$6-O$5)),O$7-SQRT((1-NORMSDIST(O$9*SQRT($C$11)*NORMSINV($B796)+SQRT(1-O$9^2*$C$11)*NORMSINV(N796)))*(O$7-O$5)*(O$7-O$6))))</f>
        <v>0.164907400607707</v>
      </c>
      <c r="P796" s="2" t="n">
        <v>0.384441648</v>
      </c>
      <c r="Q796" s="2" t="n">
        <f aca="false">IF(Q$7=Q$5,Q$6,IF(NORMSDIST(Q$9*SQRT($C$11)*NORMSINV($B796)+SQRT(1-Q$9^2*$C$11)*NORMSINV(P796))&lt;Q$8,Q$5+SQRT(NORMSDIST(Q$9*SQRT($C$11)*NORMSINV($B796)+SQRT(1-Q$9^2*$C$11)*NORMSINV(P796))*(Q$7-Q$5)*(Q$6-Q$5)),Q$7-SQRT((1-NORMSDIST(Q$9*SQRT($C$11)*NORMSINV($B796)+SQRT(1-Q$9^2*$C$11)*NORMSINV(P796)))*(Q$7-Q$5)*(Q$7-Q$6))))</f>
        <v>0.0750743962685033</v>
      </c>
      <c r="R796" s="2" t="n">
        <v>0.460163323</v>
      </c>
      <c r="S796" s="2" t="n">
        <f aca="false">IF(S$7=S$5,S$6,IF(NORMSDIST(S$9*SQRT($C$11)*NORMSINV($B796)+SQRT(1-S$9^2*$C$11)*NORMSINV(R796))&lt;S$8,S$5+SQRT(NORMSDIST(S$9*SQRT($C$11)*NORMSINV($B796)+SQRT(1-S$9^2*$C$11)*NORMSINV(R796))*(S$7-S$5)*(S$6-S$5)),S$7-SQRT((1-NORMSDIST(S$9*SQRT($C$11)*NORMSINV($B796)+SQRT(1-S$9^2*$C$11)*NORMSINV(R796)))*(S$7-S$5)*(S$7-S$6))))</f>
        <v>0.317337412670793</v>
      </c>
      <c r="T796" s="2" t="n">
        <v>0.338978152</v>
      </c>
      <c r="U796" s="2" t="n">
        <f aca="false">IF(U$7=U$5,U$6,IF(NORMSDIST(U$9*SQRT($C$11)*NORMSINV($B796)+SQRT(1-U$9^2*$C$11)*NORMSINV(T796))&lt;U$8,U$5+SQRT(NORMSDIST(U$9*SQRT($C$11)*NORMSINV($B796)+SQRT(1-U$9^2*$C$11)*NORMSINV(T796))*(U$7-U$5)*(U$6-U$5)),U$7-SQRT((1-NORMSDIST(U$9*SQRT($C$11)*NORMSINV($B796)+SQRT(1-U$9^2*$C$11)*NORMSINV(T796)))*(U$7-U$5)*(U$7-U$6))))</f>
        <v>0.264476877749481</v>
      </c>
      <c r="V796" s="2" t="n">
        <v>0.696722811</v>
      </c>
      <c r="W796" s="2" t="n">
        <f aca="false">IF(W$7=W$5,W$6,IF(NORMSDIST(W$9*SQRT($C$11)*NORMSINV($B796)+SQRT(1-W$9^2*$C$11)*NORMSINV(V796))&lt;W$8,W$5+SQRT(NORMSDIST(W$9*SQRT($C$11)*NORMSINV($B796)+SQRT(1-W$9^2*$C$11)*NORMSINV(V796))*(W$7-W$5)*(W$6-W$5)),W$7-SQRT((1-NORMSDIST(W$9*SQRT($C$11)*NORMSINV($B796)+SQRT(1-W$9^2*$C$11)*NORMSINV(V796)))*(W$7-W$5)*(W$7-W$6))))</f>
        <v>9.69550588206509</v>
      </c>
      <c r="X796" s="2" t="n">
        <v>0.758874534</v>
      </c>
      <c r="Y796" s="2" t="n">
        <f aca="false">IF(Y$7=Y$5,Y$6,IF(NORMSDIST(Y$9*SQRT($C$11)*NORMSINV($B796)+SQRT(1-Y$9^2*$C$11)*NORMSINV(X796))&lt;Y$8,Y$5+SQRT(NORMSDIST(Y$9*SQRT($C$11)*NORMSINV($B796)+SQRT(1-Y$9^2*$C$11)*NORMSINV(X796))*(Y$7-Y$5)*(Y$6-Y$5)),Y$7-SQRT((1-NORMSDIST(Y$9*SQRT($C$11)*NORMSINV($B796)+SQRT(1-Y$9^2*$C$11)*NORMSINV(X796)))*(Y$7-Y$5)*(Y$7-Y$6))))</f>
        <v>0.652778553369755</v>
      </c>
      <c r="Z796" s="2" t="n">
        <v>0.502414992</v>
      </c>
      <c r="AA796" s="2" t="n">
        <f aca="false">IF(AA$7=AA$5,AA$6,IF(NORMSDIST(AA$9*SQRT($C$11)*NORMSINV($B796)+SQRT(1-AA$9^2*$C$11)*NORMSINV(Z796))&lt;AA$8,AA$5+SQRT(NORMSDIST(AA$9*SQRT($C$11)*NORMSINV($B796)+SQRT(1-AA$9^2*$C$11)*NORMSINV(Z796))*(AA$7-AA$5)*(AA$6-AA$5)),AA$7-SQRT((1-NORMSDIST(AA$9*SQRT($C$11)*NORMSINV($B796)+SQRT(1-AA$9^2*$C$11)*NORMSINV(Z796)))*(AA$7-AA$5)*(AA$7-AA$6))))</f>
        <v>0.717290813841908</v>
      </c>
      <c r="AB796" s="2" t="n">
        <v>0.331167298</v>
      </c>
      <c r="AC796" s="2" t="n">
        <f aca="false">IF(AC$7=AC$5,AC$6,IF(NORMSDIST(AC$9*SQRT($C$11)*NORMSINV($B796)+SQRT(1-AC$9^2*$C$11)*NORMSINV(AB796))&lt;AC$8,AC$5+SQRT(NORMSDIST(AC$9*SQRT($C$11)*NORMSINV($B796)+SQRT(1-AC$9^2*$C$11)*NORMSINV(AB796))*(AC$7-AC$5)*(AC$6-AC$5)),AC$7-SQRT((1-NORMSDIST(AC$9*SQRT($C$11)*NORMSINV($B796)+SQRT(1-AC$9^2*$C$11)*NORMSINV(AB796)))*(AC$7-AC$5)*(AC$7-AC$6))))</f>
        <v>8.48492815676963</v>
      </c>
      <c r="AD796" s="2" t="n">
        <f aca="false">Entrées!$C$8*(1+E796)</f>
        <v>7425.23298563515</v>
      </c>
      <c r="AE796" s="2" t="n">
        <f aca="false">I796*Hypothèses!$J$24/12/Hypothèses!$J$19</f>
        <v>91.9769224561961</v>
      </c>
      <c r="AF796" s="2" t="n">
        <f aca="false">Entrées!$C$36*S796*1000</f>
        <v>158.668706335397</v>
      </c>
      <c r="AG796" s="2" t="n">
        <f aca="false">-AF796/W796</f>
        <v>-16.3651807616253</v>
      </c>
      <c r="AH796" s="2" t="n">
        <f aca="false">AD796+AE796+AG796</f>
        <v>7500.84472732972</v>
      </c>
      <c r="AI796" s="2" t="n">
        <f aca="false">Entrées!$C$16-M796+Hypothèses!$J$22*1000-AF796+Hypothèses!$J$23</f>
        <v>22981.820009223</v>
      </c>
      <c r="AJ796" s="2" t="n">
        <f aca="false">AI796/AH796</f>
        <v>3.06389758016022</v>
      </c>
      <c r="AK796" s="2" t="n">
        <f aca="false">AI796/(AH796+I796*(12-Hypothèses!$J$24)/12/Hypothèses!$J$19)</f>
        <v>3.03729476453557</v>
      </c>
      <c r="AL796" s="2" t="n">
        <f aca="false">(AD796+AG796+I796/Hypothèses!$J$19)*(1+G796)</f>
        <v>8000.26942283905</v>
      </c>
      <c r="AM796" s="2" t="n">
        <f aca="false">Entrées!$C$54*K796/Hypothèses!$J$19</f>
        <v>10.2121293472384</v>
      </c>
      <c r="AN796" s="2" t="n">
        <f aca="false">Y796*1000/AC796</f>
        <v>76.9338928166341</v>
      </c>
      <c r="AO796" s="2" t="n">
        <f aca="false">(Entrées!$C$36*(1-S796)+MAX(0,Entrées!$C$30-Entrées!$C$35-Entrées!$C$36)*U796)*1000</f>
        <v>711.598922513876</v>
      </c>
      <c r="AP796" s="2" t="n">
        <f aca="false">-AO796/W796</f>
        <v>-73.3947182508758</v>
      </c>
      <c r="AQ796" s="2" t="n">
        <f aca="false">AL796+AM796+AN796+AP796</f>
        <v>8014.02072675204</v>
      </c>
      <c r="AR796" s="2" t="n">
        <f aca="false">O796*AQ796-Hypothèses!$J$25/Hypothèses!$J$19</f>
        <v>1302.43616420334</v>
      </c>
      <c r="AS796" s="2" t="n">
        <f aca="false">Entrées!$C$79*(1+Q796)+Hypothèses!$J$20</f>
        <v>1476.50676149909</v>
      </c>
      <c r="AT796" s="2" t="n">
        <f aca="false">AI796-AR796+AS796+Y796*1000-AO796+Hypothèses!$J$23</f>
        <v>23097.0702373746</v>
      </c>
      <c r="AU796" s="2" t="n">
        <f aca="false">AT796/AQ796</f>
        <v>2.88208266797627</v>
      </c>
      <c r="AV796" s="2" t="n">
        <f aca="false">Hypothèses!$J$26*AQ796-AT796</f>
        <v>944.991942881483</v>
      </c>
      <c r="AW796" s="2" t="n">
        <f aca="false">IF(AC796&gt;Hypothèses!$J$26,MAX(0,AV796)/(1-Hypothèses!$J$26/AC796),0)</f>
        <v>1461.85848107769</v>
      </c>
      <c r="AX796" s="2" t="n">
        <f aca="false">AQ796-Entrées!$C$17*1000</f>
        <v>14.0207267520436</v>
      </c>
      <c r="AY796" s="2" t="n">
        <f aca="false">AI796+(Entrées!$C$244-Entrées!$C$13)</f>
        <v>28728.820009223</v>
      </c>
      <c r="AZ796" s="2" t="n">
        <f aca="false">AA796*AH796</f>
        <v>5380.28701896812</v>
      </c>
      <c r="BA796" s="2" t="n">
        <f aca="false">AZ796/AY796</f>
        <v>0.187278385163082</v>
      </c>
      <c r="BB796" s="2" t="n">
        <f aca="false">AZ796/(Entrées!$C$151/100)-AY796</f>
        <v>1161.66342948873</v>
      </c>
      <c r="BC796" s="2" t="n">
        <f aca="false">AT796+(Entrées!$C$244-Entrées!$C$13)</f>
        <v>28844.0702373746</v>
      </c>
      <c r="BD796" s="2" t="n">
        <f aca="false">AA796*AQ796</f>
        <v>5748.38344923789</v>
      </c>
      <c r="BE796" s="2" t="n">
        <f aca="false">BD796/BC796</f>
        <v>0.199291688098493</v>
      </c>
      <c r="BF796" s="2" t="n">
        <f aca="false">BD796/(Entrées!$C$151/100)-BC796</f>
        <v>3091.39336950252</v>
      </c>
      <c r="BG796" s="2" t="n">
        <f aca="false">MIN(AV796,BF796)</f>
        <v>944.991942881483</v>
      </c>
      <c r="BH796" s="2" t="n">
        <f aca="false">IF(AC796&gt;Hypothèses!$J$26,MAX(0,BG796)/(1-Hypothèses!$J$26/AC796),0)</f>
        <v>1461.85848107769</v>
      </c>
    </row>
    <row r="797" customFormat="false" ht="15" hidden="false" customHeight="false" outlineLevel="0" collapsed="false">
      <c r="A797" s="2" t="n">
        <v>782</v>
      </c>
      <c r="B797" s="2" t="n">
        <v>0.352337472</v>
      </c>
      <c r="C797" s="2"/>
      <c r="D797" s="2" t="n">
        <v>0.850974806</v>
      </c>
      <c r="E797" s="2" t="n">
        <f aca="false">IF(E$7=E$5,E$6,IF(NORMSDIST(E$9*SQRT($C$11)*NORMSINV($B797)+SQRT(1-E$9^2*$C$11)*NORMSINV(D797))&lt;E$8,E$5+SQRT(NORMSDIST(E$9*SQRT($C$11)*NORMSINV($B797)+SQRT(1-E$9^2*$C$11)*NORMSINV(D797))*(E$7-E$5)*(E$6-E$5)),E$7-SQRT((1-NORMSDIST(E$9*SQRT($C$11)*NORMSINV($B797)+SQRT(1-E$9^2*$C$11)*NORMSINV(D797)))*(E$7-E$5)*(E$7-E$6))))</f>
        <v>0.056221261126792</v>
      </c>
      <c r="F797" s="2" t="n">
        <v>0.817943534</v>
      </c>
      <c r="G797" s="2" t="n">
        <f aca="false">IF(G$7=G$5,G$6,IF(NORMSDIST(G$9*SQRT($C$11)*NORMSINV($B797)+SQRT(1-G$9^2*$C$11)*NORMSINV(F797))&lt;G$8,G$5+SQRT(NORMSDIST(G$9*SQRT($C$11)*NORMSINV($B797)+SQRT(1-G$9^2*$C$11)*NORMSINV(F797))*(G$7-G$5)*(G$6-G$5)),G$7-SQRT((1-NORMSDIST(G$9*SQRT($C$11)*NORMSINV($B797)+SQRT(1-G$9^2*$C$11)*NORMSINV(F797)))*(G$7-G$5)*(G$7-G$6))))</f>
        <v>0.0579703642263665</v>
      </c>
      <c r="H797" s="2" t="n">
        <v>0.446491744</v>
      </c>
      <c r="I797" s="2" t="n">
        <f aca="false">IF(I$7=I$5,I$6,IF(NORMSDIST(I$9*SQRT($C$11)*NORMSINV($B797)+SQRT(1-I$9^2*$C$11)*NORMSINV(H797))&lt;I$8,I$5+SQRT(NORMSDIST(I$9*SQRT($C$11)*NORMSINV($B797)+SQRT(1-I$9^2*$C$11)*NORMSINV(H797))*(I$7-I$5)*(I$6-I$5)),I$7-SQRT((1-NORMSDIST(I$9*SQRT($C$11)*NORMSINV($B797)+SQRT(1-I$9^2*$C$11)*NORMSINV(H797)))*(I$7-I$5)*(I$7-I$6))))</f>
        <v>197.098629741169</v>
      </c>
      <c r="J797" s="2" t="n">
        <v>0.357287359</v>
      </c>
      <c r="K797" s="2" t="n">
        <f aca="false">IF(K$7=K$5,K$6,IF(NORMSDIST(K$9*SQRT($C$11)*NORMSINV($B797)+SQRT(1-K$9^2*$C$11)*NORMSINV(J797))&lt;K$8,K$5+SQRT(NORMSDIST(K$9*SQRT($C$11)*NORMSINV($B797)+SQRT(1-K$9^2*$C$11)*NORMSINV(J797))*(K$7-K$5)*(K$6-K$5)),K$7-SQRT((1-NORMSDIST(K$9*SQRT($C$11)*NORMSINV($B797)+SQRT(1-K$9^2*$C$11)*NORMSINV(J797)))*(K$7-K$5)*(K$7-K$6))))</f>
        <v>0.193806724640356</v>
      </c>
      <c r="L797" s="2" t="n">
        <v>0.341898434</v>
      </c>
      <c r="M797" s="2" t="n">
        <f aca="false">IF(M$7=M$5,M$6,IF(NORMSDIST(M$9*SQRT($C$11)*NORMSINV($B797)+SQRT(1-M$9^2*$C$11)*NORMSINV(L797))&lt;M$8,M$5+SQRT(NORMSDIST(M$9*SQRT($C$11)*NORMSINV($B797)+SQRT(1-M$9^2*$C$11)*NORMSINV(L797))*(M$7-M$5)*(M$6-M$5)),M$7-SQRT((1-NORMSDIST(M$9*SQRT($C$11)*NORMSINV($B797)+SQRT(1-M$9^2*$C$11)*NORMSINV(L797)))*(M$7-M$5)*(M$7-M$6))))</f>
        <v>1517.85025409716</v>
      </c>
      <c r="N797" s="2" t="n">
        <v>0.853496459</v>
      </c>
      <c r="O797" s="2" t="n">
        <f aca="false">IF(O$7=O$5,O$6,IF(NORMSDIST(O$9*SQRT($C$11)*NORMSINV($B797)+SQRT(1-O$9^2*$C$11)*NORMSINV(N797))&lt;O$8,O$5+SQRT(NORMSDIST(O$9*SQRT($C$11)*NORMSINV($B797)+SQRT(1-O$9^2*$C$11)*NORMSINV(N797))*(O$7-O$5)*(O$6-O$5)),O$7-SQRT((1-NORMSDIST(O$9*SQRT($C$11)*NORMSINV($B797)+SQRT(1-O$9^2*$C$11)*NORMSINV(N797)))*(O$7-O$5)*(O$7-O$6))))</f>
        <v>0.172646726978465</v>
      </c>
      <c r="P797" s="2" t="n">
        <v>0.852030931</v>
      </c>
      <c r="Q797" s="2" t="n">
        <f aca="false">IF(Q$7=Q$5,Q$6,IF(NORMSDIST(Q$9*SQRT($C$11)*NORMSINV($B797)+SQRT(1-Q$9^2*$C$11)*NORMSINV(P797))&lt;Q$8,Q$5+SQRT(NORMSDIST(Q$9*SQRT($C$11)*NORMSINV($B797)+SQRT(1-Q$9^2*$C$11)*NORMSINV(P797))*(Q$7-Q$5)*(Q$6-Q$5)),Q$7-SQRT((1-NORMSDIST(Q$9*SQRT($C$11)*NORMSINV($B797)+SQRT(1-Q$9^2*$C$11)*NORMSINV(P797)))*(Q$7-Q$5)*(Q$7-Q$6))))</f>
        <v>0.0982399213972008</v>
      </c>
      <c r="R797" s="2" t="n">
        <v>0.959770543</v>
      </c>
      <c r="S797" s="2" t="n">
        <f aca="false">IF(S$7=S$5,S$6,IF(NORMSDIST(S$9*SQRT($C$11)*NORMSINV($B797)+SQRT(1-S$9^2*$C$11)*NORMSINV(R797))&lt;S$8,S$5+SQRT(NORMSDIST(S$9*SQRT($C$11)*NORMSINV($B797)+SQRT(1-S$9^2*$C$11)*NORMSINV(R797))*(S$7-S$5)*(S$6-S$5)),S$7-SQRT((1-NORMSDIST(S$9*SQRT($C$11)*NORMSINV($B797)+SQRT(1-S$9^2*$C$11)*NORMSINV(R797)))*(S$7-S$5)*(S$7-S$6))))</f>
        <v>0.742537455533681</v>
      </c>
      <c r="T797" s="2" t="n">
        <v>0.306523149</v>
      </c>
      <c r="U797" s="2" t="n">
        <f aca="false">IF(U$7=U$5,U$6,IF(NORMSDIST(U$9*SQRT($C$11)*NORMSINV($B797)+SQRT(1-U$9^2*$C$11)*NORMSINV(T797))&lt;U$8,U$5+SQRT(NORMSDIST(U$9*SQRT($C$11)*NORMSINV($B797)+SQRT(1-U$9^2*$C$11)*NORMSINV(T797))*(U$7-U$5)*(U$6-U$5)),U$7-SQRT((1-NORMSDIST(U$9*SQRT($C$11)*NORMSINV($B797)+SQRT(1-U$9^2*$C$11)*NORMSINV(T797)))*(U$7-U$5)*(U$7-U$6))))</f>
        <v>0.363231134896411</v>
      </c>
      <c r="V797" s="2" t="n">
        <v>0.593655447</v>
      </c>
      <c r="W797" s="2" t="n">
        <f aca="false">IF(W$7=W$5,W$6,IF(NORMSDIST(W$9*SQRT($C$11)*NORMSINV($B797)+SQRT(1-W$9^2*$C$11)*NORMSINV(V797))&lt;W$8,W$5+SQRT(NORMSDIST(W$9*SQRT($C$11)*NORMSINV($B797)+SQRT(1-W$9^2*$C$11)*NORMSINV(V797))*(W$7-W$5)*(W$6-W$5)),W$7-SQRT((1-NORMSDIST(W$9*SQRT($C$11)*NORMSINV($B797)+SQRT(1-W$9^2*$C$11)*NORMSINV(V797)))*(W$7-W$5)*(W$7-W$6))))</f>
        <v>9.95469768184072</v>
      </c>
      <c r="X797" s="2" t="n">
        <v>0.049649235</v>
      </c>
      <c r="Y797" s="2" t="n">
        <f aca="false">IF(Y$7=Y$5,Y$6,IF(NORMSDIST(Y$9*SQRT($C$11)*NORMSINV($B797)+SQRT(1-Y$9^2*$C$11)*NORMSINV(X797))&lt;Y$8,Y$5+SQRT(NORMSDIST(Y$9*SQRT($C$11)*NORMSINV($B797)+SQRT(1-Y$9^2*$C$11)*NORMSINV(X797))*(Y$7-Y$5)*(Y$6-Y$5)),Y$7-SQRT((1-NORMSDIST(Y$9*SQRT($C$11)*NORMSINV($B797)+SQRT(1-Y$9^2*$C$11)*NORMSINV(X797)))*(Y$7-Y$5)*(Y$7-Y$6))))</f>
        <v>0.157558298734151</v>
      </c>
      <c r="Z797" s="2" t="n">
        <v>0.275623274</v>
      </c>
      <c r="AA797" s="2" t="n">
        <f aca="false">IF(AA$7=AA$5,AA$6,IF(NORMSDIST(AA$9*SQRT($C$11)*NORMSINV($B797)+SQRT(1-AA$9^2*$C$11)*NORMSINV(Z797))&lt;AA$8,AA$5+SQRT(NORMSDIST(AA$9*SQRT($C$11)*NORMSINV($B797)+SQRT(1-AA$9^2*$C$11)*NORMSINV(Z797))*(AA$7-AA$5)*(AA$6-AA$5)),AA$7-SQRT((1-NORMSDIST(AA$9*SQRT($C$11)*NORMSINV($B797)+SQRT(1-AA$9^2*$C$11)*NORMSINV(Z797)))*(AA$7-AA$5)*(AA$7-AA$6))))</f>
        <v>0.718070354494527</v>
      </c>
      <c r="AB797" s="2" t="n">
        <v>0.422554456</v>
      </c>
      <c r="AC797" s="2" t="n">
        <f aca="false">IF(AC$7=AC$5,AC$6,IF(NORMSDIST(AC$9*SQRT($C$11)*NORMSINV($B797)+SQRT(1-AC$9^2*$C$11)*NORMSINV(AB797))&lt;AC$8,AC$5+SQRT(NORMSDIST(AC$9*SQRT($C$11)*NORMSINV($B797)+SQRT(1-AC$9^2*$C$11)*NORMSINV(AB797))*(AC$7-AC$5)*(AC$6-AC$5)),AC$7-SQRT((1-NORMSDIST(AC$9*SQRT($C$11)*NORMSINV($B797)+SQRT(1-AC$9^2*$C$11)*NORMSINV(AB797)))*(AC$7-AC$5)*(AC$7-AC$6))))</f>
        <v>9.13370106086524</v>
      </c>
      <c r="AD797" s="2" t="n">
        <f aca="false">Entrées!$C$8*(1+E797)</f>
        <v>7446.35989094388</v>
      </c>
      <c r="AE797" s="2" t="n">
        <f aca="false">I797*Hypothèses!$J$24/12/Hypothèses!$J$19</f>
        <v>97.7799993758881</v>
      </c>
      <c r="AF797" s="2" t="n">
        <f aca="false">Entrées!$C$36*S797*1000</f>
        <v>371.268727766841</v>
      </c>
      <c r="AG797" s="2" t="n">
        <f aca="false">-AF797/W797</f>
        <v>-37.295831539325</v>
      </c>
      <c r="AH797" s="2" t="n">
        <f aca="false">AD797+AE797+AG797</f>
        <v>7506.84405878045</v>
      </c>
      <c r="AI797" s="2" t="n">
        <f aca="false">Entrées!$C$16-M797+Hypothèses!$J$22*1000-AF797+Hypothèses!$J$23</f>
        <v>22658.881018136</v>
      </c>
      <c r="AJ797" s="2" t="n">
        <f aca="false">AI797/AH797</f>
        <v>3.0184296943844</v>
      </c>
      <c r="AK797" s="2" t="n">
        <f aca="false">AI797/(AH797+I797*(12-Hypothèses!$J$24)/12/Hypothèses!$J$19)</f>
        <v>2.99060542832367</v>
      </c>
      <c r="AL797" s="2" t="n">
        <f aca="false">(AD797+AG797+I797/Hypothèses!$J$19)*(1+G797)</f>
        <v>8015.91021559689</v>
      </c>
      <c r="AM797" s="2" t="n">
        <f aca="false">Entrées!$C$54*K797/Hypothèses!$J$19</f>
        <v>19.7787899913998</v>
      </c>
      <c r="AN797" s="2" t="n">
        <f aca="false">Y797*1000/AC797</f>
        <v>17.2502140900181</v>
      </c>
      <c r="AO797" s="2" t="n">
        <f aca="false">(Entrées!$C$36*(1-S797)+MAX(0,Entrées!$C$30-Entrées!$C$35-Entrées!$C$36)*U797)*1000</f>
        <v>637.254861088134</v>
      </c>
      <c r="AP797" s="2" t="n">
        <f aca="false">-AO797/W797</f>
        <v>-64.0154911234129</v>
      </c>
      <c r="AQ797" s="2" t="n">
        <f aca="false">AL797+AM797+AN797+AP797</f>
        <v>7988.92372855489</v>
      </c>
      <c r="AR797" s="2" t="n">
        <f aca="false">O797*AQ797-Hypothèses!$J$25/Hypothèses!$J$19</f>
        <v>1360.12637155397</v>
      </c>
      <c r="AS797" s="2" t="n">
        <f aca="false">Entrées!$C$79*(1+Q797)+Hypothèses!$J$20</f>
        <v>1501.96567361552</v>
      </c>
      <c r="AT797" s="2" t="n">
        <f aca="false">AI797-AR797+AS797+Y797*1000-AO797+Hypothèses!$J$23</f>
        <v>22321.0237578436</v>
      </c>
      <c r="AU797" s="2" t="n">
        <f aca="false">AT797/AQ797</f>
        <v>2.79399635248254</v>
      </c>
      <c r="AV797" s="2" t="n">
        <f aca="false">Hypothèses!$J$26*AQ797-AT797</f>
        <v>1645.74742782111</v>
      </c>
      <c r="AW797" s="2" t="n">
        <f aca="false">IF(AC797&gt;Hypothèses!$J$26,MAX(0,AV797)/(1-Hypothèses!$J$26/AC797),0)</f>
        <v>2450.68432227858</v>
      </c>
      <c r="AX797" s="2" t="n">
        <f aca="false">AQ797-Entrées!$C$17*1000</f>
        <v>-11.0762714451084</v>
      </c>
      <c r="AY797" s="2" t="n">
        <f aca="false">AI797+(Entrées!$C$244-Entrées!$C$13)</f>
        <v>28405.881018136</v>
      </c>
      <c r="AZ797" s="2" t="n">
        <f aca="false">AA797*AH797</f>
        <v>5390.44217442361</v>
      </c>
      <c r="BA797" s="2" t="n">
        <f aca="false">AZ797/AY797</f>
        <v>0.189765005738848</v>
      </c>
      <c r="BB797" s="2" t="n">
        <f aca="false">AZ797/(Entrées!$C$151/100)-AY797</f>
        <v>1541.01995088404</v>
      </c>
      <c r="BC797" s="2" t="n">
        <f aca="false">AT797+(Entrées!$C$244-Entrées!$C$13)</f>
        <v>28068.0237578436</v>
      </c>
      <c r="BD797" s="2" t="n">
        <f aca="false">AA797*AQ797</f>
        <v>5736.60929379315</v>
      </c>
      <c r="BE797" s="2" t="n">
        <f aca="false">BD797/BC797</f>
        <v>0.20438237274151</v>
      </c>
      <c r="BF797" s="2" t="n">
        <f aca="false">BD797/(Entrées!$C$151/100)-BC797</f>
        <v>3802.02787434058</v>
      </c>
      <c r="BG797" s="2" t="n">
        <f aca="false">MIN(AV797,BF797)</f>
        <v>1645.74742782111</v>
      </c>
      <c r="BH797" s="2" t="n">
        <f aca="false">IF(AC797&gt;Hypothèses!$J$26,MAX(0,BG797)/(1-Hypothèses!$J$26/AC797),0)</f>
        <v>2450.68432227858</v>
      </c>
    </row>
    <row r="798" customFormat="false" ht="15" hidden="false" customHeight="false" outlineLevel="0" collapsed="false">
      <c r="A798" s="2" t="n">
        <v>783</v>
      </c>
      <c r="B798" s="2" t="n">
        <v>0.729249213</v>
      </c>
      <c r="C798" s="2"/>
      <c r="D798" s="2" t="n">
        <v>0.388084352</v>
      </c>
      <c r="E798" s="2" t="n">
        <f aca="false">IF(E$7=E$5,E$6,IF(NORMSDIST(E$9*SQRT($C$11)*NORMSINV($B798)+SQRT(1-E$9^2*$C$11)*NORMSINV(D798))&lt;E$8,E$5+SQRT(NORMSDIST(E$9*SQRT($C$11)*NORMSINV($B798)+SQRT(1-E$9^2*$C$11)*NORMSINV(D798))*(E$7-E$5)*(E$6-E$5)),E$7-SQRT((1-NORMSDIST(E$9*SQRT($C$11)*NORMSINV($B798)+SQRT(1-E$9^2*$C$11)*NORMSINV(D798)))*(E$7-E$5)*(E$7-E$6))))</f>
        <v>0.0553410674301206</v>
      </c>
      <c r="F798" s="2" t="n">
        <v>0.929462214</v>
      </c>
      <c r="G798" s="2" t="n">
        <f aca="false">IF(G$7=G$5,G$6,IF(NORMSDIST(G$9*SQRT($C$11)*NORMSINV($B798)+SQRT(1-G$9^2*$C$11)*NORMSINV(F798))&lt;G$8,G$5+SQRT(NORMSDIST(G$9*SQRT($C$11)*NORMSINV($B798)+SQRT(1-G$9^2*$C$11)*NORMSINV(F798))*(G$7-G$5)*(G$6-G$5)),G$7-SQRT((1-NORMSDIST(G$9*SQRT($C$11)*NORMSINV($B798)+SQRT(1-G$9^2*$C$11)*NORMSINV(F798)))*(G$7-G$5)*(G$7-G$6))))</f>
        <v>0.0646552360418903</v>
      </c>
      <c r="H798" s="2" t="n">
        <v>0.161113432</v>
      </c>
      <c r="I798" s="2" t="n">
        <f aca="false">IF(I$7=I$5,I$6,IF(NORMSDIST(I$9*SQRT($C$11)*NORMSINV($B798)+SQRT(1-I$9^2*$C$11)*NORMSINV(H798))&lt;I$8,I$5+SQRT(NORMSDIST(I$9*SQRT($C$11)*NORMSINV($B798)+SQRT(1-I$9^2*$C$11)*NORMSINV(H798))*(I$7-I$5)*(I$6-I$5)),I$7-SQRT((1-NORMSDIST(I$9*SQRT($C$11)*NORMSINV($B798)+SQRT(1-I$9^2*$C$11)*NORMSINV(H798)))*(I$7-I$5)*(I$7-I$6))))</f>
        <v>196.774758888153</v>
      </c>
      <c r="J798" s="2" t="n">
        <v>0.009027456</v>
      </c>
      <c r="K798" s="2" t="n">
        <f aca="false">IF(K$7=K$5,K$6,IF(NORMSDIST(K$9*SQRT($C$11)*NORMSINV($B798)+SQRT(1-K$9^2*$C$11)*NORMSINV(J798))&lt;K$8,K$5+SQRT(NORMSDIST(K$9*SQRT($C$11)*NORMSINV($B798)+SQRT(1-K$9^2*$C$11)*NORMSINV(J798))*(K$7-K$5)*(K$6-K$5)),K$7-SQRT((1-NORMSDIST(K$9*SQRT($C$11)*NORMSINV($B798)+SQRT(1-K$9^2*$C$11)*NORMSINV(J798)))*(K$7-K$5)*(K$7-K$6))))</f>
        <v>0.0962905702877739</v>
      </c>
      <c r="L798" s="2" t="n">
        <v>0.057629281</v>
      </c>
      <c r="M798" s="2" t="n">
        <f aca="false">IF(M$7=M$5,M$6,IF(NORMSDIST(M$9*SQRT($C$11)*NORMSINV($B798)+SQRT(1-M$9^2*$C$11)*NORMSINV(L798))&lt;M$8,M$5+SQRT(NORMSDIST(M$9*SQRT($C$11)*NORMSINV($B798)+SQRT(1-M$9^2*$C$11)*NORMSINV(L798))*(M$7-M$5)*(M$6-M$5)),M$7-SQRT((1-NORMSDIST(M$9*SQRT($C$11)*NORMSINV($B798)+SQRT(1-M$9^2*$C$11)*NORMSINV(L798)))*(M$7-M$5)*(M$7-M$6))))</f>
        <v>1482.62029113381</v>
      </c>
      <c r="N798" s="2" t="n">
        <v>0.040254801</v>
      </c>
      <c r="O798" s="2" t="n">
        <f aca="false">IF(O$7=O$5,O$6,IF(NORMSDIST(O$9*SQRT($C$11)*NORMSINV($B798)+SQRT(1-O$9^2*$C$11)*NORMSINV(N798))&lt;O$8,O$5+SQRT(NORMSDIST(O$9*SQRT($C$11)*NORMSINV($B798)+SQRT(1-O$9^2*$C$11)*NORMSINV(N798))*(O$7-O$5)*(O$6-O$5)),O$7-SQRT((1-NORMSDIST(O$9*SQRT($C$11)*NORMSINV($B798)+SQRT(1-O$9^2*$C$11)*NORMSINV(N798)))*(O$7-O$5)*(O$7-O$6))))</f>
        <v>0.155461395237083</v>
      </c>
      <c r="P798" s="2" t="n">
        <v>0.428784376</v>
      </c>
      <c r="Q798" s="2" t="n">
        <f aca="false">IF(Q$7=Q$5,Q$6,IF(NORMSDIST(Q$9*SQRT($C$11)*NORMSINV($B798)+SQRT(1-Q$9^2*$C$11)*NORMSINV(P798))&lt;Q$8,Q$5+SQRT(NORMSDIST(Q$9*SQRT($C$11)*NORMSINV($B798)+SQRT(1-Q$9^2*$C$11)*NORMSINV(P798))*(Q$7-Q$5)*(Q$6-Q$5)),Q$7-SQRT((1-NORMSDIST(Q$9*SQRT($C$11)*NORMSINV($B798)+SQRT(1-Q$9^2*$C$11)*NORMSINV(P798)))*(Q$7-Q$5)*(Q$7-Q$6))))</f>
        <v>0.0770420032287672</v>
      </c>
      <c r="R798" s="2" t="n">
        <v>0.585160916</v>
      </c>
      <c r="S798" s="2" t="n">
        <f aca="false">IF(S$7=S$5,S$6,IF(NORMSDIST(S$9*SQRT($C$11)*NORMSINV($B798)+SQRT(1-S$9^2*$C$11)*NORMSINV(R798))&lt;S$8,S$5+SQRT(NORMSDIST(S$9*SQRT($C$11)*NORMSINV($B798)+SQRT(1-S$9^2*$C$11)*NORMSINV(R798))*(S$7-S$5)*(S$6-S$5)),S$7-SQRT((1-NORMSDIST(S$9*SQRT($C$11)*NORMSINV($B798)+SQRT(1-S$9^2*$C$11)*NORMSINV(R798)))*(S$7-S$5)*(S$7-S$6))))</f>
        <v>0.619072910994517</v>
      </c>
      <c r="T798" s="2" t="n">
        <v>0.340401155</v>
      </c>
      <c r="U798" s="2" t="n">
        <f aca="false">IF(U$7=U$5,U$6,IF(NORMSDIST(U$9*SQRT($C$11)*NORMSINV($B798)+SQRT(1-U$9^2*$C$11)*NORMSINV(T798))&lt;U$8,U$5+SQRT(NORMSDIST(U$9*SQRT($C$11)*NORMSINV($B798)+SQRT(1-U$9^2*$C$11)*NORMSINV(T798))*(U$7-U$5)*(U$6-U$5)),U$7-SQRT((1-NORMSDIST(U$9*SQRT($C$11)*NORMSINV($B798)+SQRT(1-U$9^2*$C$11)*NORMSINV(T798)))*(U$7-U$5)*(U$7-U$6))))</f>
        <v>0.513639555791985</v>
      </c>
      <c r="V798" s="2" t="n">
        <v>0.439643984</v>
      </c>
      <c r="W798" s="2" t="n">
        <f aca="false">IF(W$7=W$5,W$6,IF(NORMSDIST(W$9*SQRT($C$11)*NORMSINV($B798)+SQRT(1-W$9^2*$C$11)*NORMSINV(V798))&lt;W$8,W$5+SQRT(NORMSDIST(W$9*SQRT($C$11)*NORMSINV($B798)+SQRT(1-W$9^2*$C$11)*NORMSINV(V798))*(W$7-W$5)*(W$6-W$5)),W$7-SQRT((1-NORMSDIST(W$9*SQRT($C$11)*NORMSINV($B798)+SQRT(1-W$9^2*$C$11)*NORMSINV(V798)))*(W$7-W$5)*(W$7-W$6))))</f>
        <v>10.2242605679666</v>
      </c>
      <c r="X798" s="2" t="n">
        <v>0.842867886</v>
      </c>
      <c r="Y798" s="2" t="n">
        <f aca="false">IF(Y$7=Y$5,Y$6,IF(NORMSDIST(Y$9*SQRT($C$11)*NORMSINV($B798)+SQRT(1-Y$9^2*$C$11)*NORMSINV(X798))&lt;Y$8,Y$5+SQRT(NORMSDIST(Y$9*SQRT($C$11)*NORMSINV($B798)+SQRT(1-Y$9^2*$C$11)*NORMSINV(X798))*(Y$7-Y$5)*(Y$6-Y$5)),Y$7-SQRT((1-NORMSDIST(Y$9*SQRT($C$11)*NORMSINV($B798)+SQRT(1-Y$9^2*$C$11)*NORMSINV(X798)))*(Y$7-Y$5)*(Y$7-Y$6))))</f>
        <v>0.719703626495097</v>
      </c>
      <c r="Z798" s="2" t="n">
        <v>0.229372646</v>
      </c>
      <c r="AA798" s="2" t="n">
        <f aca="false">IF(AA$7=AA$5,AA$6,IF(NORMSDIST(AA$9*SQRT($C$11)*NORMSINV($B798)+SQRT(1-AA$9^2*$C$11)*NORMSINV(Z798))&lt;AA$8,AA$5+SQRT(NORMSDIST(AA$9*SQRT($C$11)*NORMSINV($B798)+SQRT(1-AA$9^2*$C$11)*NORMSINV(Z798))*(AA$7-AA$5)*(AA$6-AA$5)),AA$7-SQRT((1-NORMSDIST(AA$9*SQRT($C$11)*NORMSINV($B798)+SQRT(1-AA$9^2*$C$11)*NORMSINV(Z798)))*(AA$7-AA$5)*(AA$7-AA$6))))</f>
        <v>0.725515557259752</v>
      </c>
      <c r="AB798" s="2" t="n">
        <v>0.804168167</v>
      </c>
      <c r="AC798" s="2" t="n">
        <f aca="false">IF(AC$7=AC$5,AC$6,IF(NORMSDIST(AC$9*SQRT($C$11)*NORMSINV($B798)+SQRT(1-AC$9^2*$C$11)*NORMSINV(AB798))&lt;AC$8,AC$5+SQRT(NORMSDIST(AC$9*SQRT($C$11)*NORMSINV($B798)+SQRT(1-AC$9^2*$C$11)*NORMSINV(AB798))*(AC$7-AC$5)*(AC$6-AC$5)),AC$7-SQRT((1-NORMSDIST(AC$9*SQRT($C$11)*NORMSINV($B798)+SQRT(1-AC$9^2*$C$11)*NORMSINV(AB798)))*(AC$7-AC$5)*(AC$7-AC$6))))</f>
        <v>10.2032790684635</v>
      </c>
      <c r="AD798" s="2" t="n">
        <f aca="false">Entrées!$C$8*(1+E798)</f>
        <v>7440.15452538235</v>
      </c>
      <c r="AE798" s="2" t="n">
        <f aca="false">I798*Hypothèses!$J$24/12/Hypothèses!$J$19</f>
        <v>97.6193280822963</v>
      </c>
      <c r="AF798" s="2" t="n">
        <f aca="false">Entrées!$C$36*S798*1000</f>
        <v>309.536455497258</v>
      </c>
      <c r="AG798" s="2" t="n">
        <f aca="false">-AF798/W798</f>
        <v>-30.2747033332717</v>
      </c>
      <c r="AH798" s="2" t="n">
        <f aca="false">AD798+AE798+AG798</f>
        <v>7507.49915013138</v>
      </c>
      <c r="AI798" s="2" t="n">
        <f aca="false">Entrées!$C$16-M798+Hypothèses!$J$22*1000-AF798+Hypothèses!$J$23</f>
        <v>22755.8432533689</v>
      </c>
      <c r="AJ798" s="2" t="n">
        <f aca="false">AI798/AH798</f>
        <v>3.03108169555647</v>
      </c>
      <c r="AK798" s="2" t="n">
        <f aca="false">AI798/(AH798+I798*(12-Hypothèses!$J$24)/12/Hypothèses!$J$19)</f>
        <v>3.00318870316836</v>
      </c>
      <c r="AL798" s="2" t="n">
        <f aca="false">(AD798+AG798+I798/Hypothèses!$J$19)*(1+G798)</f>
        <v>8067.13465746863</v>
      </c>
      <c r="AM798" s="2" t="n">
        <f aca="false">Entrées!$C$54*K798/Hypothèses!$J$19</f>
        <v>9.82685699584561</v>
      </c>
      <c r="AN798" s="2" t="n">
        <f aca="false">Y798*1000/AC798</f>
        <v>70.5365031835276</v>
      </c>
      <c r="AO798" s="2" t="n">
        <f aca="false">(Entrées!$C$36*(1-S798)+MAX(0,Entrées!$C$30-Entrées!$C$35-Entrées!$C$36)*U798)*1000</f>
        <v>909.558922611521</v>
      </c>
      <c r="AP798" s="2" t="n">
        <f aca="false">-AO798/W798</f>
        <v>-88.9608511603506</v>
      </c>
      <c r="AQ798" s="2" t="n">
        <f aca="false">AL798+AM798+AN798+AP798</f>
        <v>8058.53716648765</v>
      </c>
      <c r="AR798" s="2" t="n">
        <f aca="false">O798*AQ798-Hypothèses!$J$25/Hypothèses!$J$19</f>
        <v>1233.65626921043</v>
      </c>
      <c r="AS798" s="2" t="n">
        <f aca="false">Entrées!$C$79*(1+Q798)+Hypothèses!$J$20</f>
        <v>1478.66916154842</v>
      </c>
      <c r="AT798" s="2" t="n">
        <f aca="false">AI798-AR798+AS798+Y798*1000-AO798+Hypothèses!$J$23</f>
        <v>22811.0008495905</v>
      </c>
      <c r="AU798" s="2" t="n">
        <f aca="false">AT798/AQ798</f>
        <v>2.8306627342308</v>
      </c>
      <c r="AV798" s="2" t="n">
        <f aca="false">Hypothèses!$J$26*AQ798-AT798</f>
        <v>1364.61064987246</v>
      </c>
      <c r="AW798" s="2" t="n">
        <f aca="false">IF(AC798&gt;Hypothèses!$J$26,MAX(0,AV798)/(1-Hypothèses!$J$26/AC798),0)</f>
        <v>1932.93958877759</v>
      </c>
      <c r="AX798" s="2" t="n">
        <f aca="false">AQ798-Entrées!$C$17*1000</f>
        <v>58.537166487652</v>
      </c>
      <c r="AY798" s="2" t="n">
        <f aca="false">AI798+(Entrées!$C$244-Entrées!$C$13)</f>
        <v>28502.8432533689</v>
      </c>
      <c r="AZ798" s="2" t="n">
        <f aca="false">AA798*AH798</f>
        <v>5446.80742953468</v>
      </c>
      <c r="BA798" s="2" t="n">
        <f aca="false">AZ798/AY798</f>
        <v>0.191096985697765</v>
      </c>
      <c r="BB798" s="2" t="n">
        <f aca="false">AZ798/(Entrées!$C$151/100)-AY798</f>
        <v>1757.19802182371</v>
      </c>
      <c r="BC798" s="2" t="n">
        <f aca="false">AT798+(Entrées!$C$244-Entrées!$C$13)</f>
        <v>28558.0008495905</v>
      </c>
      <c r="BD798" s="2" t="n">
        <f aca="false">AA798*AQ798</f>
        <v>5846.59408304271</v>
      </c>
      <c r="BE798" s="2" t="n">
        <f aca="false">BD798/BC798</f>
        <v>0.204727008512802</v>
      </c>
      <c r="BF798" s="2" t="n">
        <f aca="false">BD798/(Entrées!$C$151/100)-BC798</f>
        <v>3923.07738953567</v>
      </c>
      <c r="BG798" s="2" t="n">
        <f aca="false">MIN(AV798,BF798)</f>
        <v>1364.61064987246</v>
      </c>
      <c r="BH798" s="2" t="n">
        <f aca="false">IF(AC798&gt;Hypothèses!$J$26,MAX(0,BG798)/(1-Hypothèses!$J$26/AC798),0)</f>
        <v>1932.93958877759</v>
      </c>
    </row>
    <row r="799" customFormat="false" ht="15" hidden="false" customHeight="false" outlineLevel="0" collapsed="false">
      <c r="A799" s="2" t="n">
        <v>784</v>
      </c>
      <c r="B799" s="2" t="n">
        <v>0.269050719</v>
      </c>
      <c r="C799" s="2"/>
      <c r="D799" s="2" t="n">
        <v>0.975301645</v>
      </c>
      <c r="E799" s="2" t="n">
        <f aca="false">IF(E$7=E$5,E$6,IF(NORMSDIST(E$9*SQRT($C$11)*NORMSINV($B799)+SQRT(1-E$9^2*$C$11)*NORMSINV(D799))&lt;E$8,E$5+SQRT(NORMSDIST(E$9*SQRT($C$11)*NORMSINV($B799)+SQRT(1-E$9^2*$C$11)*NORMSINV(D799))*(E$7-E$5)*(E$6-E$5)),E$7-SQRT((1-NORMSDIST(E$9*SQRT($C$11)*NORMSINV($B799)+SQRT(1-E$9^2*$C$11)*NORMSINV(D799)))*(E$7-E$5)*(E$7-E$6))))</f>
        <v>0.0574637824936877</v>
      </c>
      <c r="F799" s="2" t="n">
        <v>0.550006794</v>
      </c>
      <c r="G799" s="2" t="n">
        <f aca="false">IF(G$7=G$5,G$6,IF(NORMSDIST(G$9*SQRT($C$11)*NORMSINV($B799)+SQRT(1-G$9^2*$C$11)*NORMSINV(F799))&lt;G$8,G$5+SQRT(NORMSDIST(G$9*SQRT($C$11)*NORMSINV($B799)+SQRT(1-G$9^2*$C$11)*NORMSINV(F799))*(G$7-G$5)*(G$6-G$5)),G$7-SQRT((1-NORMSDIST(G$9*SQRT($C$11)*NORMSINV($B799)+SQRT(1-G$9^2*$C$11)*NORMSINV(F799)))*(G$7-G$5)*(G$7-G$6))))</f>
        <v>0.0531646074358316</v>
      </c>
      <c r="H799" s="2" t="n">
        <v>0.614167904</v>
      </c>
      <c r="I799" s="2" t="n">
        <f aca="false">IF(I$7=I$5,I$6,IF(NORMSDIST(I$9*SQRT($C$11)*NORMSINV($B799)+SQRT(1-I$9^2*$C$11)*NORMSINV(H799))&lt;I$8,I$5+SQRT(NORMSDIST(I$9*SQRT($C$11)*NORMSINV($B799)+SQRT(1-I$9^2*$C$11)*NORMSINV(H799))*(I$7-I$5)*(I$6-I$5)),I$7-SQRT((1-NORMSDIST(I$9*SQRT($C$11)*NORMSINV($B799)+SQRT(1-I$9^2*$C$11)*NORMSINV(H799)))*(I$7-I$5)*(I$7-I$6))))</f>
        <v>198.646748129674</v>
      </c>
      <c r="J799" s="2" t="n">
        <v>0.101095665</v>
      </c>
      <c r="K799" s="2" t="n">
        <f aca="false">IF(K$7=K$5,K$6,IF(NORMSDIST(K$9*SQRT($C$11)*NORMSINV($B799)+SQRT(1-K$9^2*$C$11)*NORMSINV(J799))&lt;K$8,K$5+SQRT(NORMSDIST(K$9*SQRT($C$11)*NORMSINV($B799)+SQRT(1-K$9^2*$C$11)*NORMSINV(J799))*(K$7-K$5)*(K$6-K$5)),K$7-SQRT((1-NORMSDIST(K$9*SQRT($C$11)*NORMSINV($B799)+SQRT(1-K$9^2*$C$11)*NORMSINV(J799)))*(K$7-K$5)*(K$7-K$6))))</f>
        <v>0.102600831443062</v>
      </c>
      <c r="L799" s="2" t="n">
        <v>0.314679063</v>
      </c>
      <c r="M799" s="2" t="n">
        <f aca="false">IF(M$7=M$5,M$6,IF(NORMSDIST(M$9*SQRT($C$11)*NORMSINV($B799)+SQRT(1-M$9^2*$C$11)*NORMSINV(L799))&lt;M$8,M$5+SQRT(NORMSDIST(M$9*SQRT($C$11)*NORMSINV($B799)+SQRT(1-M$9^2*$C$11)*NORMSINV(L799))*(M$7-M$5)*(M$6-M$5)),M$7-SQRT((1-NORMSDIST(M$9*SQRT($C$11)*NORMSINV($B799)+SQRT(1-M$9^2*$C$11)*NORMSINV(L799)))*(M$7-M$5)*(M$7-M$6))))</f>
        <v>1491.48617702309</v>
      </c>
      <c r="N799" s="2" t="n">
        <v>0.410373094</v>
      </c>
      <c r="O799" s="2" t="n">
        <f aca="false">IF(O$7=O$5,O$6,IF(NORMSDIST(O$9*SQRT($C$11)*NORMSINV($B799)+SQRT(1-O$9^2*$C$11)*NORMSINV(N799))&lt;O$8,O$5+SQRT(NORMSDIST(O$9*SQRT($C$11)*NORMSINV($B799)+SQRT(1-O$9^2*$C$11)*NORMSINV(N799))*(O$7-O$5)*(O$6-O$5)),O$7-SQRT((1-NORMSDIST(O$9*SQRT($C$11)*NORMSINV($B799)+SQRT(1-O$9^2*$C$11)*NORMSINV(N799)))*(O$7-O$5)*(O$7-O$6))))</f>
        <v>0.160259726282614</v>
      </c>
      <c r="P799" s="2" t="n">
        <v>0.28668057</v>
      </c>
      <c r="Q799" s="2" t="n">
        <f aca="false">IF(Q$7=Q$5,Q$6,IF(NORMSDIST(Q$9*SQRT($C$11)*NORMSINV($B799)+SQRT(1-Q$9^2*$C$11)*NORMSINV(P799))&lt;Q$8,Q$5+SQRT(NORMSDIST(Q$9*SQRT($C$11)*NORMSINV($B799)+SQRT(1-Q$9^2*$C$11)*NORMSINV(P799))*(Q$7-Q$5)*(Q$6-Q$5)),Q$7-SQRT((1-NORMSDIST(Q$9*SQRT($C$11)*NORMSINV($B799)+SQRT(1-Q$9^2*$C$11)*NORMSINV(P799)))*(Q$7-Q$5)*(Q$7-Q$6))))</f>
        <v>0.0702882456408423</v>
      </c>
      <c r="R799" s="2" t="n">
        <v>0.414362937</v>
      </c>
      <c r="S799" s="2" t="n">
        <f aca="false">IF(S$7=S$5,S$6,IF(NORMSDIST(S$9*SQRT($C$11)*NORMSINV($B799)+SQRT(1-S$9^2*$C$11)*NORMSINV(R799))&lt;S$8,S$5+SQRT(NORMSDIST(S$9*SQRT($C$11)*NORMSINV($B799)+SQRT(1-S$9^2*$C$11)*NORMSINV(R799))*(S$7-S$5)*(S$6-S$5)),S$7-SQRT((1-NORMSDIST(S$9*SQRT($C$11)*NORMSINV($B799)+SQRT(1-S$9^2*$C$11)*NORMSINV(R799)))*(S$7-S$5)*(S$7-S$6))))</f>
        <v>0.379983440127255</v>
      </c>
      <c r="T799" s="2" t="n">
        <v>0.768805629</v>
      </c>
      <c r="U799" s="2" t="n">
        <f aca="false">IF(U$7=U$5,U$6,IF(NORMSDIST(U$9*SQRT($C$11)*NORMSINV($B799)+SQRT(1-U$9^2*$C$11)*NORMSINV(T799))&lt;U$8,U$5+SQRT(NORMSDIST(U$9*SQRT($C$11)*NORMSINV($B799)+SQRT(1-U$9^2*$C$11)*NORMSINV(T799))*(U$7-U$5)*(U$6-U$5)),U$7-SQRT((1-NORMSDIST(U$9*SQRT($C$11)*NORMSINV($B799)+SQRT(1-U$9^2*$C$11)*NORMSINV(T799)))*(U$7-U$5)*(U$7-U$6))))</f>
        <v>0.537060103132787</v>
      </c>
      <c r="V799" s="2" t="n">
        <v>0.926417506</v>
      </c>
      <c r="W799" s="2" t="n">
        <f aca="false">IF(W$7=W$5,W$6,IF(NORMSDIST(W$9*SQRT($C$11)*NORMSINV($B799)+SQRT(1-W$9^2*$C$11)*NORMSINV(V799))&lt;W$8,W$5+SQRT(NORMSDIST(W$9*SQRT($C$11)*NORMSINV($B799)+SQRT(1-W$9^2*$C$11)*NORMSINV(V799))*(W$7-W$5)*(W$6-W$5)),W$7-SQRT((1-NORMSDIST(W$9*SQRT($C$11)*NORMSINV($B799)+SQRT(1-W$9^2*$C$11)*NORMSINV(V799)))*(W$7-W$5)*(W$7-W$6))))</f>
        <v>10.6387231475093</v>
      </c>
      <c r="X799" s="2" t="n">
        <v>0.332203819</v>
      </c>
      <c r="Y799" s="2" t="n">
        <f aca="false">IF(Y$7=Y$5,Y$6,IF(NORMSDIST(Y$9*SQRT($C$11)*NORMSINV($B799)+SQRT(1-Y$9^2*$C$11)*NORMSINV(X799))&lt;Y$8,Y$5+SQRT(NORMSDIST(Y$9*SQRT($C$11)*NORMSINV($B799)+SQRT(1-Y$9^2*$C$11)*NORMSINV(X799))*(Y$7-Y$5)*(Y$6-Y$5)),Y$7-SQRT((1-NORMSDIST(Y$9*SQRT($C$11)*NORMSINV($B799)+SQRT(1-Y$9^2*$C$11)*NORMSINV(X799)))*(Y$7-Y$5)*(Y$7-Y$6))))</f>
        <v>0.407556020075768</v>
      </c>
      <c r="Z799" s="2" t="n">
        <v>0.729824932</v>
      </c>
      <c r="AA799" s="2" t="n">
        <f aca="false">IF(AA$7=AA$5,AA$6,IF(NORMSDIST(AA$9*SQRT($C$11)*NORMSINV($B799)+SQRT(1-AA$9^2*$C$11)*NORMSINV(Z799))&lt;AA$8,AA$5+SQRT(NORMSDIST(AA$9*SQRT($C$11)*NORMSINV($B799)+SQRT(1-AA$9^2*$C$11)*NORMSINV(Z799))*(AA$7-AA$5)*(AA$6-AA$5)),AA$7-SQRT((1-NORMSDIST(AA$9*SQRT($C$11)*NORMSINV($B799)+SQRT(1-AA$9^2*$C$11)*NORMSINV(Z799)))*(AA$7-AA$5)*(AA$7-AA$6))))</f>
        <v>0.729140302016264</v>
      </c>
      <c r="AB799" s="2" t="n">
        <v>0.87418619</v>
      </c>
      <c r="AC799" s="2" t="n">
        <f aca="false">IF(AC$7=AC$5,AC$6,IF(NORMSDIST(AC$9*SQRT($C$11)*NORMSINV($B799)+SQRT(1-AC$9^2*$C$11)*NORMSINV(AB799))&lt;AC$8,AC$5+SQRT(NORMSDIST(AC$9*SQRT($C$11)*NORMSINV($B799)+SQRT(1-AC$9^2*$C$11)*NORMSINV(AB799))*(AC$7-AC$5)*(AC$6-AC$5)),AC$7-SQRT((1-NORMSDIST(AC$9*SQRT($C$11)*NORMSINV($B799)+SQRT(1-AC$9^2*$C$11)*NORMSINV(AB799)))*(AC$7-AC$5)*(AC$7-AC$6))))</f>
        <v>9.84457742193169</v>
      </c>
      <c r="AD799" s="2" t="n">
        <f aca="false">Entrées!$C$8*(1+E799)</f>
        <v>7455.1196665805</v>
      </c>
      <c r="AE799" s="2" t="n">
        <f aca="false">I799*Hypothèses!$J$24/12/Hypothèses!$J$19</f>
        <v>98.5480159534798</v>
      </c>
      <c r="AF799" s="2" t="n">
        <f aca="false">Entrées!$C$36*S799*1000</f>
        <v>189.991720063628</v>
      </c>
      <c r="AG799" s="2" t="n">
        <f aca="false">-AF799/W799</f>
        <v>-17.8585077766694</v>
      </c>
      <c r="AH799" s="2" t="n">
        <f aca="false">AD799+AE799+AG799</f>
        <v>7535.80917475731</v>
      </c>
      <c r="AI799" s="2" t="n">
        <f aca="false">Entrées!$C$16-M799+Hypothèses!$J$22*1000-AF799+Hypothèses!$J$23</f>
        <v>22866.5221029133</v>
      </c>
      <c r="AJ799" s="2" t="n">
        <f aca="false">AI799/AH799</f>
        <v>3.03438178603424</v>
      </c>
      <c r="AK799" s="2" t="n">
        <f aca="false">AI799/(AH799+I799*(12-Hypothèses!$J$24)/12/Hypothèses!$J$19)</f>
        <v>3.00630015709134</v>
      </c>
      <c r="AL799" s="2" t="n">
        <f aca="false">(AD799+AG799+I799/Hypothèses!$J$19)*(1+G799)</f>
        <v>8010.58128448407</v>
      </c>
      <c r="AM799" s="2" t="n">
        <f aca="false">Entrées!$C$54*K799/Hypothèses!$J$19</f>
        <v>10.4708456418172</v>
      </c>
      <c r="AN799" s="2" t="n">
        <f aca="false">Y799*1000/AC799</f>
        <v>41.399036505906</v>
      </c>
      <c r="AO799" s="2" t="n">
        <f aca="false">(Entrées!$C$36*(1-S799)+MAX(0,Entrées!$C$30-Entrées!$C$35-Entrées!$C$36)*U799)*1000</f>
        <v>1061.89242432227</v>
      </c>
      <c r="AP799" s="2" t="n">
        <f aca="false">-AO799/W799</f>
        <v>-99.8138977393053</v>
      </c>
      <c r="AQ799" s="2" t="n">
        <f aca="false">AL799+AM799+AN799+AP799</f>
        <v>7962.63726889249</v>
      </c>
      <c r="AR799" s="2" t="n">
        <f aca="false">O799*AQ799-Hypothèses!$J$25/Hypothèses!$J$19</f>
        <v>1256.95490693883</v>
      </c>
      <c r="AS799" s="2" t="n">
        <f aca="false">Entrées!$C$79*(1+Q799)+Hypothèses!$J$20</f>
        <v>1471.24678195929</v>
      </c>
      <c r="AT799" s="2" t="n">
        <f aca="false">AI799-AR799+AS799+Y799*1000-AO799+Hypothèses!$J$23</f>
        <v>22426.4775736872</v>
      </c>
      <c r="AU799" s="2" t="n">
        <f aca="false">AT799/AQ799</f>
        <v>2.81646354296464</v>
      </c>
      <c r="AV799" s="2" t="n">
        <f aca="false">Hypothèses!$J$26*AQ799-AT799</f>
        <v>1461.43423299022</v>
      </c>
      <c r="AW799" s="2" t="n">
        <f aca="false">IF(AC799&gt;Hypothèses!$J$26,MAX(0,AV799)/(1-Hypothèses!$J$26/AC799),0)</f>
        <v>2101.98549403992</v>
      </c>
      <c r="AX799" s="2" t="n">
        <f aca="false">AQ799-Entrées!$C$17*1000</f>
        <v>-37.3627311075152</v>
      </c>
      <c r="AY799" s="2" t="n">
        <f aca="false">AI799+(Entrées!$C$244-Entrées!$C$13)</f>
        <v>28613.5221029133</v>
      </c>
      <c r="AZ799" s="2" t="n">
        <f aca="false">AA799*AH799</f>
        <v>5494.66217761948</v>
      </c>
      <c r="BA799" s="2" t="n">
        <f aca="false">AZ799/AY799</f>
        <v>0.192030263099279</v>
      </c>
      <c r="BB799" s="2" t="n">
        <f aca="false">AZ799/(Entrées!$C$151/100)-AY799</f>
        <v>1912.3788838616</v>
      </c>
      <c r="BC799" s="2" t="n">
        <f aca="false">AT799+(Entrées!$C$244-Entrées!$C$13)</f>
        <v>28173.4775736872</v>
      </c>
      <c r="BD799" s="2" t="n">
        <f aca="false">AA799*AQ799</f>
        <v>5805.87974308623</v>
      </c>
      <c r="BE799" s="2" t="n">
        <f aca="false">BD799/BC799</f>
        <v>0.20607607732844</v>
      </c>
      <c r="BF799" s="2" t="n">
        <f aca="false">BD799/(Entrées!$C$151/100)-BC799</f>
        <v>4081.40988790292</v>
      </c>
      <c r="BG799" s="2" t="n">
        <f aca="false">MIN(AV799,BF799)</f>
        <v>1461.43423299022</v>
      </c>
      <c r="BH799" s="2" t="n">
        <f aca="false">IF(AC799&gt;Hypothèses!$J$26,MAX(0,BG799)/(1-Hypothèses!$J$26/AC799),0)</f>
        <v>2101.98549403992</v>
      </c>
    </row>
    <row r="800" customFormat="false" ht="15" hidden="false" customHeight="false" outlineLevel="0" collapsed="false">
      <c r="A800" s="2" t="n">
        <v>785</v>
      </c>
      <c r="B800" s="2" t="n">
        <v>0.476175753</v>
      </c>
      <c r="C800" s="2"/>
      <c r="D800" s="2" t="n">
        <v>0.495164409</v>
      </c>
      <c r="E800" s="2" t="n">
        <f aca="false">IF(E$7=E$5,E$6,IF(NORMSDIST(E$9*SQRT($C$11)*NORMSINV($B800)+SQRT(1-E$9^2*$C$11)*NORMSINV(D800))&lt;E$8,E$5+SQRT(NORMSDIST(E$9*SQRT($C$11)*NORMSINV($B800)+SQRT(1-E$9^2*$C$11)*NORMSINV(D800))*(E$7-E$5)*(E$6-E$5)),E$7-SQRT((1-NORMSDIST(E$9*SQRT($C$11)*NORMSINV($B800)+SQRT(1-E$9^2*$C$11)*NORMSINV(D800)))*(E$7-E$5)*(E$7-E$6))))</f>
        <v>0.0549050204509031</v>
      </c>
      <c r="F800" s="2" t="n">
        <v>0.726085552</v>
      </c>
      <c r="G800" s="2" t="n">
        <f aca="false">IF(G$7=G$5,G$6,IF(NORMSDIST(G$9*SQRT($C$11)*NORMSINV($B800)+SQRT(1-G$9^2*$C$11)*NORMSINV(F800))&lt;G$8,G$5+SQRT(NORMSDIST(G$9*SQRT($C$11)*NORMSINV($B800)+SQRT(1-G$9^2*$C$11)*NORMSINV(F800))*(G$7-G$5)*(G$6-G$5)),G$7-SQRT((1-NORMSDIST(G$9*SQRT($C$11)*NORMSINV($B800)+SQRT(1-G$9^2*$C$11)*NORMSINV(F800)))*(G$7-G$5)*(G$7-G$6))))</f>
        <v>0.0577326917984644</v>
      </c>
      <c r="H800" s="2" t="n">
        <v>0.888926428</v>
      </c>
      <c r="I800" s="2" t="n">
        <f aca="false">IF(I$7=I$5,I$6,IF(NORMSDIST(I$9*SQRT($C$11)*NORMSINV($B800)+SQRT(1-I$9^2*$C$11)*NORMSINV(H800))&lt;I$8,I$5+SQRT(NORMSDIST(I$9*SQRT($C$11)*NORMSINV($B800)+SQRT(1-I$9^2*$C$11)*NORMSINV(H800))*(I$7-I$5)*(I$6-I$5)),I$7-SQRT((1-NORMSDIST(I$9*SQRT($C$11)*NORMSINV($B800)+SQRT(1-I$9^2*$C$11)*NORMSINV(H800)))*(I$7-I$5)*(I$7-I$6))))</f>
        <v>207.934359864632</v>
      </c>
      <c r="J800" s="2" t="n">
        <v>0.721716481</v>
      </c>
      <c r="K800" s="2" t="n">
        <f aca="false">IF(K$7=K$5,K$6,IF(NORMSDIST(K$9*SQRT($C$11)*NORMSINV($B800)+SQRT(1-K$9^2*$C$11)*NORMSINV(J800))&lt;K$8,K$5+SQRT(NORMSDIST(K$9*SQRT($C$11)*NORMSINV($B800)+SQRT(1-K$9^2*$C$11)*NORMSINV(J800))*(K$7-K$5)*(K$6-K$5)),K$7-SQRT((1-NORMSDIST(K$9*SQRT($C$11)*NORMSINV($B800)+SQRT(1-K$9^2*$C$11)*NORMSINV(J800)))*(K$7-K$5)*(K$7-K$6))))</f>
        <v>0.294418969363093</v>
      </c>
      <c r="L800" s="2" t="n">
        <v>0.360118442</v>
      </c>
      <c r="M800" s="2" t="n">
        <f aca="false">IF(M$7=M$5,M$6,IF(NORMSDIST(M$9*SQRT($C$11)*NORMSINV($B800)+SQRT(1-M$9^2*$C$11)*NORMSINV(L800))&lt;M$8,M$5+SQRT(NORMSDIST(M$9*SQRT($C$11)*NORMSINV($B800)+SQRT(1-M$9^2*$C$11)*NORMSINV(L800))*(M$7-M$5)*(M$6-M$5)),M$7-SQRT((1-NORMSDIST(M$9*SQRT($C$11)*NORMSINV($B800)+SQRT(1-M$9^2*$C$11)*NORMSINV(L800)))*(M$7-M$5)*(M$7-M$6))))</f>
        <v>1547.97383420857</v>
      </c>
      <c r="N800" s="2" t="n">
        <v>0.801851725</v>
      </c>
      <c r="O800" s="2" t="n">
        <f aca="false">IF(O$7=O$5,O$6,IF(NORMSDIST(O$9*SQRT($C$11)*NORMSINV($B800)+SQRT(1-O$9^2*$C$11)*NORMSINV(N800))&lt;O$8,O$5+SQRT(NORMSDIST(O$9*SQRT($C$11)*NORMSINV($B800)+SQRT(1-O$9^2*$C$11)*NORMSINV(N800))*(O$7-O$5)*(O$6-O$5)),O$7-SQRT((1-NORMSDIST(O$9*SQRT($C$11)*NORMSINV($B800)+SQRT(1-O$9^2*$C$11)*NORMSINV(N800)))*(O$7-O$5)*(O$7-O$6))))</f>
        <v>0.173108228750101</v>
      </c>
      <c r="P800" s="2" t="n">
        <v>0.575756384</v>
      </c>
      <c r="Q800" s="2" t="n">
        <f aca="false">IF(Q$7=Q$5,Q$6,IF(NORMSDIST(Q$9*SQRT($C$11)*NORMSINV($B800)+SQRT(1-Q$9^2*$C$11)*NORMSINV(P800))&lt;Q$8,Q$5+SQRT(NORMSDIST(Q$9*SQRT($C$11)*NORMSINV($B800)+SQRT(1-Q$9^2*$C$11)*NORMSINV(P800))*(Q$7-Q$5)*(Q$6-Q$5)),Q$7-SQRT((1-NORMSDIST(Q$9*SQRT($C$11)*NORMSINV($B800)+SQRT(1-Q$9^2*$C$11)*NORMSINV(P800)))*(Q$7-Q$5)*(Q$7-Q$6))))</f>
        <v>0.0831546533304408</v>
      </c>
      <c r="R800" s="2" t="n">
        <v>0.181098879</v>
      </c>
      <c r="S800" s="2" t="n">
        <f aca="false">IF(S$7=S$5,S$6,IF(NORMSDIST(S$9*SQRT($C$11)*NORMSINV($B800)+SQRT(1-S$9^2*$C$11)*NORMSINV(R800))&lt;S$8,S$5+SQRT(NORMSDIST(S$9*SQRT($C$11)*NORMSINV($B800)+SQRT(1-S$9^2*$C$11)*NORMSINV(R800))*(S$7-S$5)*(S$6-S$5)),S$7-SQRT((1-NORMSDIST(S$9*SQRT($C$11)*NORMSINV($B800)+SQRT(1-S$9^2*$C$11)*NORMSINV(R800)))*(S$7-S$5)*(S$7-S$6))))</f>
        <v>0.338054290742086</v>
      </c>
      <c r="T800" s="2" t="n">
        <v>0.85658122</v>
      </c>
      <c r="U800" s="2" t="n">
        <f aca="false">IF(U$7=U$5,U$6,IF(NORMSDIST(U$9*SQRT($C$11)*NORMSINV($B800)+SQRT(1-U$9^2*$C$11)*NORMSINV(T800))&lt;U$8,U$5+SQRT(NORMSDIST(U$9*SQRT($C$11)*NORMSINV($B800)+SQRT(1-U$9^2*$C$11)*NORMSINV(T800))*(U$7-U$5)*(U$6-U$5)),U$7-SQRT((1-NORMSDIST(U$9*SQRT($C$11)*NORMSINV($B800)+SQRT(1-U$9^2*$C$11)*NORMSINV(T800)))*(U$7-U$5)*(U$7-U$6))))</f>
        <v>0.671688609194196</v>
      </c>
      <c r="V800" s="2" t="n">
        <v>0.571038906</v>
      </c>
      <c r="W800" s="2" t="n">
        <f aca="false">IF(W$7=W$5,W$6,IF(NORMSDIST(W$9*SQRT($C$11)*NORMSINV($B800)+SQRT(1-W$9^2*$C$11)*NORMSINV(V800))&lt;W$8,W$5+SQRT(NORMSDIST(W$9*SQRT($C$11)*NORMSINV($B800)+SQRT(1-W$9^2*$C$11)*NORMSINV(V800))*(W$7-W$5)*(W$6-W$5)),W$7-SQRT((1-NORMSDIST(W$9*SQRT($C$11)*NORMSINV($B800)+SQRT(1-W$9^2*$C$11)*NORMSINV(V800)))*(W$7-W$5)*(W$7-W$6))))</f>
        <v>10.0820337385012</v>
      </c>
      <c r="X800" s="2" t="n">
        <v>0.508110059</v>
      </c>
      <c r="Y800" s="2" t="n">
        <f aca="false">IF(Y$7=Y$5,Y$6,IF(NORMSDIST(Y$9*SQRT($C$11)*NORMSINV($B800)+SQRT(1-Y$9^2*$C$11)*NORMSINV(X800))&lt;Y$8,Y$5+SQRT(NORMSDIST(Y$9*SQRT($C$11)*NORMSINV($B800)+SQRT(1-Y$9^2*$C$11)*NORMSINV(X800))*(Y$7-Y$5)*(Y$6-Y$5)),Y$7-SQRT((1-NORMSDIST(Y$9*SQRT($C$11)*NORMSINV($B800)+SQRT(1-Y$9^2*$C$11)*NORMSINV(X800)))*(Y$7-Y$5)*(Y$7-Y$6))))</f>
        <v>0.504071607487532</v>
      </c>
      <c r="Z800" s="2" t="n">
        <v>0.086699352</v>
      </c>
      <c r="AA800" s="2" t="n">
        <f aca="false">IF(AA$7=AA$5,AA$6,IF(NORMSDIST(AA$9*SQRT($C$11)*NORMSINV($B800)+SQRT(1-AA$9^2*$C$11)*NORMSINV(Z800))&lt;AA$8,AA$5+SQRT(NORMSDIST(AA$9*SQRT($C$11)*NORMSINV($B800)+SQRT(1-AA$9^2*$C$11)*NORMSINV(Z800))*(AA$7-AA$5)*(AA$6-AA$5)),AA$7-SQRT((1-NORMSDIST(AA$9*SQRT($C$11)*NORMSINV($B800)+SQRT(1-AA$9^2*$C$11)*NORMSINV(Z800)))*(AA$7-AA$5)*(AA$7-AA$6))))</f>
        <v>0.712474751951347</v>
      </c>
      <c r="AB800" s="2" t="n">
        <v>0.308604519</v>
      </c>
      <c r="AC800" s="2" t="n">
        <f aca="false">IF(AC$7=AC$5,AC$6,IF(NORMSDIST(AC$9*SQRT($C$11)*NORMSINV($B800)+SQRT(1-AC$9^2*$C$11)*NORMSINV(AB800))&lt;AC$8,AC$5+SQRT(NORMSDIST(AC$9*SQRT($C$11)*NORMSINV($B800)+SQRT(1-AC$9^2*$C$11)*NORMSINV(AB800))*(AC$7-AC$5)*(AC$6-AC$5)),AC$7-SQRT((1-NORMSDIST(AC$9*SQRT($C$11)*NORMSINV($B800)+SQRT(1-AC$9^2*$C$11)*NORMSINV(AB800)))*(AC$7-AC$5)*(AC$7-AC$6))))</f>
        <v>9.10240849182094</v>
      </c>
      <c r="AD800" s="2" t="n">
        <f aca="false">Entrées!$C$8*(1+E800)</f>
        <v>7437.08039417887</v>
      </c>
      <c r="AE800" s="2" t="n">
        <f aca="false">I800*Hypothèses!$J$24/12/Hypothèses!$J$19</f>
        <v>103.155570409035</v>
      </c>
      <c r="AF800" s="2" t="n">
        <f aca="false">Entrées!$C$36*S800*1000</f>
        <v>169.027145371043</v>
      </c>
      <c r="AG800" s="2" t="n">
        <f aca="false">-AF800/W800</f>
        <v>-16.7651834694387</v>
      </c>
      <c r="AH800" s="2" t="n">
        <f aca="false">AD800+AE800+AG800</f>
        <v>7523.47078111846</v>
      </c>
      <c r="AI800" s="2" t="n">
        <f aca="false">Entrées!$C$16-M800+Hypothèses!$J$22*1000-AF800+Hypothèses!$J$23</f>
        <v>22830.9990204204</v>
      </c>
      <c r="AJ800" s="2" t="n">
        <f aca="false">AI800/AH800</f>
        <v>3.03463649752173</v>
      </c>
      <c r="AK800" s="2" t="n">
        <f aca="false">AI800/(AH800+I800*(12-Hypothèses!$J$24)/12/Hypothèses!$J$19)</f>
        <v>3.00520445283433</v>
      </c>
      <c r="AL800" s="2" t="n">
        <f aca="false">(AD800+AG800+I800/Hypothèses!$J$19)*(1+G800)</f>
        <v>8035.75744323864</v>
      </c>
      <c r="AM800" s="2" t="n">
        <f aca="false">Entrées!$C$54*K800/Hypothèses!$J$19</f>
        <v>30.0466920088719</v>
      </c>
      <c r="AN800" s="2" t="n">
        <f aca="false">Y800*1000/AC800</f>
        <v>55.3778275211963</v>
      </c>
      <c r="AO800" s="2" t="n">
        <f aca="false">(Entrées!$C$36*(1-S800)+MAX(0,Entrées!$C$30-Entrées!$C$35-Entrées!$C$36)*U800)*1000</f>
        <v>1271.33690750083</v>
      </c>
      <c r="AP800" s="2" t="n">
        <f aca="false">-AO800/W800</f>
        <v>-126.099251448233</v>
      </c>
      <c r="AQ800" s="2" t="n">
        <f aca="false">AL800+AM800+AN800+AP800</f>
        <v>7995.08271132047</v>
      </c>
      <c r="AR800" s="2" t="n">
        <f aca="false">O800*AQ800-Hypothèses!$J$25/Hypothèses!$J$19</f>
        <v>1364.87944460562</v>
      </c>
      <c r="AS800" s="2" t="n">
        <f aca="false">Entrées!$C$79*(1+Q800)+Hypothèses!$J$20</f>
        <v>1485.38696401015</v>
      </c>
      <c r="AT800" s="2" t="n">
        <f aca="false">AI800-AR800+AS800+Y800*1000-AO800+Hypothèses!$J$23</f>
        <v>22184.2412398116</v>
      </c>
      <c r="AU800" s="2" t="n">
        <f aca="false">AT800/AQ800</f>
        <v>2.77473567701811</v>
      </c>
      <c r="AV800" s="2" t="n">
        <f aca="false">Hypothèses!$J$26*AQ800-AT800</f>
        <v>1801.0068941498</v>
      </c>
      <c r="AW800" s="2" t="n">
        <f aca="false">IF(AC800&gt;Hypothèses!$J$26,MAX(0,AV800)/(1-Hypothèses!$J$26/AC800),0)</f>
        <v>2686.39840631931</v>
      </c>
      <c r="AX800" s="2" t="n">
        <f aca="false">AQ800-Entrées!$C$17*1000</f>
        <v>-4.91728867952679</v>
      </c>
      <c r="AY800" s="2" t="n">
        <f aca="false">AI800+(Entrées!$C$244-Entrées!$C$13)</f>
        <v>28577.9990204204</v>
      </c>
      <c r="AZ800" s="2" t="n">
        <f aca="false">AA800*AH800</f>
        <v>5360.28297859058</v>
      </c>
      <c r="BA800" s="2" t="n">
        <f aca="false">AZ800/AY800</f>
        <v>0.187566770324276</v>
      </c>
      <c r="BB800" s="2" t="n">
        <f aca="false">AZ800/(Entrées!$C$151/100)-AY800</f>
        <v>1201.3508606384</v>
      </c>
      <c r="BC800" s="2" t="n">
        <f aca="false">AT800+(Entrées!$C$244-Entrées!$C$13)</f>
        <v>27931.2412398116</v>
      </c>
      <c r="BD800" s="2" t="n">
        <f aca="false">AA800*AQ800</f>
        <v>5696.29457157855</v>
      </c>
      <c r="BE800" s="2" t="n">
        <f aca="false">BD800/BC800</f>
        <v>0.203939900940005</v>
      </c>
      <c r="BF800" s="2" t="n">
        <f aca="false">BD800/(Entrées!$C$151/100)-BC800</f>
        <v>3714.83971340257</v>
      </c>
      <c r="BG800" s="2" t="n">
        <f aca="false">MIN(AV800,BF800)</f>
        <v>1801.0068941498</v>
      </c>
      <c r="BH800" s="2" t="n">
        <f aca="false">IF(AC800&gt;Hypothèses!$J$26,MAX(0,BG800)/(1-Hypothèses!$J$26/AC800),0)</f>
        <v>2686.39840631931</v>
      </c>
    </row>
    <row r="801" customFormat="false" ht="15" hidden="false" customHeight="false" outlineLevel="0" collapsed="false">
      <c r="A801" s="2" t="n">
        <v>786</v>
      </c>
      <c r="B801" s="2" t="n">
        <v>0.352149388</v>
      </c>
      <c r="C801" s="2"/>
      <c r="D801" s="2" t="n">
        <v>0.878028741</v>
      </c>
      <c r="E801" s="2" t="n">
        <f aca="false">IF(E$7=E$5,E$6,IF(NORMSDIST(E$9*SQRT($C$11)*NORMSINV($B801)+SQRT(1-E$9^2*$C$11)*NORMSINV(D801))&lt;E$8,E$5+SQRT(NORMSDIST(E$9*SQRT($C$11)*NORMSINV($B801)+SQRT(1-E$9^2*$C$11)*NORMSINV(D801))*(E$7-E$5)*(E$6-E$5)),E$7-SQRT((1-NORMSDIST(E$9*SQRT($C$11)*NORMSINV($B801)+SQRT(1-E$9^2*$C$11)*NORMSINV(D801)))*(E$7-E$5)*(E$7-E$6))))</f>
        <v>0.0564375626499239</v>
      </c>
      <c r="F801" s="2" t="n">
        <v>0.973862689</v>
      </c>
      <c r="G801" s="2" t="n">
        <f aca="false">IF(G$7=G$5,G$6,IF(NORMSDIST(G$9*SQRT($C$11)*NORMSINV($B801)+SQRT(1-G$9^2*$C$11)*NORMSINV(F801))&lt;G$8,G$5+SQRT(NORMSDIST(G$9*SQRT($C$11)*NORMSINV($B801)+SQRT(1-G$9^2*$C$11)*NORMSINV(F801))*(G$7-G$5)*(G$6-G$5)),G$7-SQRT((1-NORMSDIST(G$9*SQRT($C$11)*NORMSINV($B801)+SQRT(1-G$9^2*$C$11)*NORMSINV(F801)))*(G$7-G$5)*(G$7-G$6))))</f>
        <v>0.0631842968741929</v>
      </c>
      <c r="H801" s="2" t="n">
        <v>0.492606606</v>
      </c>
      <c r="I801" s="2" t="n">
        <f aca="false">IF(I$7=I$5,I$6,IF(NORMSDIST(I$9*SQRT($C$11)*NORMSINV($B801)+SQRT(1-I$9^2*$C$11)*NORMSINV(H801))&lt;I$8,I$5+SQRT(NORMSDIST(I$9*SQRT($C$11)*NORMSINV($B801)+SQRT(1-I$9^2*$C$11)*NORMSINV(H801))*(I$7-I$5)*(I$6-I$5)),I$7-SQRT((1-NORMSDIST(I$9*SQRT($C$11)*NORMSINV($B801)+SQRT(1-I$9^2*$C$11)*NORMSINV(H801)))*(I$7-I$5)*(I$7-I$6))))</f>
        <v>197.879549795224</v>
      </c>
      <c r="J801" s="2" t="n">
        <v>0.274430766</v>
      </c>
      <c r="K801" s="2" t="n">
        <f aca="false">IF(K$7=K$5,K$6,IF(NORMSDIST(K$9*SQRT($C$11)*NORMSINV($B801)+SQRT(1-K$9^2*$C$11)*NORMSINV(J801))&lt;K$8,K$5+SQRT(NORMSDIST(K$9*SQRT($C$11)*NORMSINV($B801)+SQRT(1-K$9^2*$C$11)*NORMSINV(J801))*(K$7-K$5)*(K$6-K$5)),K$7-SQRT((1-NORMSDIST(K$9*SQRT($C$11)*NORMSINV($B801)+SQRT(1-K$9^2*$C$11)*NORMSINV(J801)))*(K$7-K$5)*(K$7-K$6))))</f>
        <v>0.173421076286429</v>
      </c>
      <c r="L801" s="2" t="n">
        <v>0.234522034</v>
      </c>
      <c r="M801" s="2" t="n">
        <f aca="false">IF(M$7=M$5,M$6,IF(NORMSDIST(M$9*SQRT($C$11)*NORMSINV($B801)+SQRT(1-M$9^2*$C$11)*NORMSINV(L801))&lt;M$8,M$5+SQRT(NORMSDIST(M$9*SQRT($C$11)*NORMSINV($B801)+SQRT(1-M$9^2*$C$11)*NORMSINV(L801))*(M$7-M$5)*(M$6-M$5)),M$7-SQRT((1-NORMSDIST(M$9*SQRT($C$11)*NORMSINV($B801)+SQRT(1-M$9^2*$C$11)*NORMSINV(L801)))*(M$7-M$5)*(M$7-M$6))))</f>
        <v>1486.75189069317</v>
      </c>
      <c r="N801" s="2" t="n">
        <v>0.124018784</v>
      </c>
      <c r="O801" s="2" t="n">
        <f aca="false">IF(O$7=O$5,O$6,IF(NORMSDIST(O$9*SQRT($C$11)*NORMSINV($B801)+SQRT(1-O$9^2*$C$11)*NORMSINV(N801))&lt;O$8,O$5+SQRT(NORMSDIST(O$9*SQRT($C$11)*NORMSINV($B801)+SQRT(1-O$9^2*$C$11)*NORMSINV(N801))*(O$7-O$5)*(O$6-O$5)),O$7-SQRT((1-NORMSDIST(O$9*SQRT($C$11)*NORMSINV($B801)+SQRT(1-O$9^2*$C$11)*NORMSINV(N801)))*(O$7-O$5)*(O$7-O$6))))</f>
        <v>0.15356424557347</v>
      </c>
      <c r="P801" s="2" t="n">
        <v>0.472556235</v>
      </c>
      <c r="Q801" s="2" t="n">
        <f aca="false">IF(Q$7=Q$5,Q$6,IF(NORMSDIST(Q$9*SQRT($C$11)*NORMSINV($B801)+SQRT(1-Q$9^2*$C$11)*NORMSINV(P801))&lt;Q$8,Q$5+SQRT(NORMSDIST(Q$9*SQRT($C$11)*NORMSINV($B801)+SQRT(1-Q$9^2*$C$11)*NORMSINV(P801))*(Q$7-Q$5)*(Q$6-Q$5)),Q$7-SQRT((1-NORMSDIST(Q$9*SQRT($C$11)*NORMSINV($B801)+SQRT(1-Q$9^2*$C$11)*NORMSINV(P801)))*(Q$7-Q$5)*(Q$7-Q$6))))</f>
        <v>0.0788867580546386</v>
      </c>
      <c r="R801" s="2" t="n">
        <v>0.430984076</v>
      </c>
      <c r="S801" s="2" t="n">
        <f aca="false">IF(S$7=S$5,S$6,IF(NORMSDIST(S$9*SQRT($C$11)*NORMSINV($B801)+SQRT(1-S$9^2*$C$11)*NORMSINV(R801))&lt;S$8,S$5+SQRT(NORMSDIST(S$9*SQRT($C$11)*NORMSINV($B801)+SQRT(1-S$9^2*$C$11)*NORMSINV(R801))*(S$7-S$5)*(S$6-S$5)),S$7-SQRT((1-NORMSDIST(S$9*SQRT($C$11)*NORMSINV($B801)+SQRT(1-S$9^2*$C$11)*NORMSINV(R801)))*(S$7-S$5)*(S$7-S$6))))</f>
        <v>0.420676733386895</v>
      </c>
      <c r="T801" s="2" t="n">
        <v>0.503936815</v>
      </c>
      <c r="U801" s="2" t="n">
        <f aca="false">IF(U$7=U$5,U$6,IF(NORMSDIST(U$9*SQRT($C$11)*NORMSINV($B801)+SQRT(1-U$9^2*$C$11)*NORMSINV(T801))&lt;U$8,U$5+SQRT(NORMSDIST(U$9*SQRT($C$11)*NORMSINV($B801)+SQRT(1-U$9^2*$C$11)*NORMSINV(T801))*(U$7-U$5)*(U$6-U$5)),U$7-SQRT((1-NORMSDIST(U$9*SQRT($C$11)*NORMSINV($B801)+SQRT(1-U$9^2*$C$11)*NORMSINV(T801)))*(U$7-U$5)*(U$7-U$6))))</f>
        <v>0.451729061165508</v>
      </c>
      <c r="V801" s="2" t="n">
        <v>0.133940156</v>
      </c>
      <c r="W801" s="2" t="n">
        <f aca="false">IF(W$7=W$5,W$6,IF(NORMSDIST(W$9*SQRT($C$11)*NORMSINV($B801)+SQRT(1-W$9^2*$C$11)*NORMSINV(V801))&lt;W$8,W$5+SQRT(NORMSDIST(W$9*SQRT($C$11)*NORMSINV($B801)+SQRT(1-W$9^2*$C$11)*NORMSINV(V801))*(W$7-W$5)*(W$6-W$5)),W$7-SQRT((1-NORMSDIST(W$9*SQRT($C$11)*NORMSINV($B801)+SQRT(1-W$9^2*$C$11)*NORMSINV(V801)))*(W$7-W$5)*(W$7-W$6))))</f>
        <v>9.04325350018096</v>
      </c>
      <c r="X801" s="2" t="n">
        <v>0.389476649</v>
      </c>
      <c r="Y801" s="2" t="n">
        <f aca="false">IF(Y$7=Y$5,Y$6,IF(NORMSDIST(Y$9*SQRT($C$11)*NORMSINV($B801)+SQRT(1-Y$9^2*$C$11)*NORMSINV(X801))&lt;Y$8,Y$5+SQRT(NORMSDIST(Y$9*SQRT($C$11)*NORMSINV($B801)+SQRT(1-Y$9^2*$C$11)*NORMSINV(X801))*(Y$7-Y$5)*(Y$6-Y$5)),Y$7-SQRT((1-NORMSDIST(Y$9*SQRT($C$11)*NORMSINV($B801)+SQRT(1-Y$9^2*$C$11)*NORMSINV(X801)))*(Y$7-Y$5)*(Y$7-Y$6))))</f>
        <v>0.44129165469109</v>
      </c>
      <c r="Z801" s="2" t="n">
        <v>0.263807546</v>
      </c>
      <c r="AA801" s="2" t="n">
        <f aca="false">IF(AA$7=AA$5,AA$6,IF(NORMSDIST(AA$9*SQRT($C$11)*NORMSINV($B801)+SQRT(1-AA$9^2*$C$11)*NORMSINV(Z801))&lt;AA$8,AA$5+SQRT(NORMSDIST(AA$9*SQRT($C$11)*NORMSINV($B801)+SQRT(1-AA$9^2*$C$11)*NORMSINV(Z801))*(AA$7-AA$5)*(AA$6-AA$5)),AA$7-SQRT((1-NORMSDIST(AA$9*SQRT($C$11)*NORMSINV($B801)+SQRT(1-AA$9^2*$C$11)*NORMSINV(Z801)))*(AA$7-AA$5)*(AA$7-AA$6))))</f>
        <v>0.717659083563593</v>
      </c>
      <c r="AB801" s="2" t="n">
        <v>0.642924398</v>
      </c>
      <c r="AC801" s="2" t="n">
        <f aca="false">IF(AC$7=AC$5,AC$6,IF(NORMSDIST(AC$9*SQRT($C$11)*NORMSINV($B801)+SQRT(1-AC$9^2*$C$11)*NORMSINV(AB801))&lt;AC$8,AC$5+SQRT(NORMSDIST(AC$9*SQRT($C$11)*NORMSINV($B801)+SQRT(1-AC$9^2*$C$11)*NORMSINV(AB801))*(AC$7-AC$5)*(AC$6-AC$5)),AC$7-SQRT((1-NORMSDIST(AC$9*SQRT($C$11)*NORMSINV($B801)+SQRT(1-AC$9^2*$C$11)*NORMSINV(AB801)))*(AC$7-AC$5)*(AC$7-AC$6))))</f>
        <v>9.51436835580923</v>
      </c>
      <c r="AD801" s="2" t="n">
        <f aca="false">Entrées!$C$8*(1+E801)</f>
        <v>7447.88481668196</v>
      </c>
      <c r="AE801" s="2" t="n">
        <f aca="false">I801*Hypothèses!$J$24/12/Hypothèses!$J$19</f>
        <v>98.1674113152733</v>
      </c>
      <c r="AF801" s="2" t="n">
        <f aca="false">Entrées!$C$36*S801*1000</f>
        <v>210.338366693448</v>
      </c>
      <c r="AG801" s="2" t="n">
        <f aca="false">-AF801/W801</f>
        <v>-23.259147461612</v>
      </c>
      <c r="AH801" s="2" t="n">
        <f aca="false">AD801+AE801+AG801</f>
        <v>7522.79308053562</v>
      </c>
      <c r="AI801" s="2" t="n">
        <f aca="false">Entrées!$C$16-M801+Hypothèses!$J$22*1000-AF801+Hypothèses!$J$23</f>
        <v>22850.9097426134</v>
      </c>
      <c r="AJ801" s="2" t="n">
        <f aca="false">AI801/AH801</f>
        <v>3.03755659606503</v>
      </c>
      <c r="AK801" s="2" t="n">
        <f aca="false">AI801/(AH801+I801*(12-Hypothèses!$J$24)/12/Hypothèses!$J$19)</f>
        <v>3.00950514851218</v>
      </c>
      <c r="AL801" s="2" t="n">
        <f aca="false">(AD801+AG801+I801/Hypothèses!$J$19)*(1+G801)</f>
        <v>8072.66550769873</v>
      </c>
      <c r="AM801" s="2" t="n">
        <f aca="false">Entrées!$C$54*K801/Hypothèses!$J$19</f>
        <v>17.6983489830754</v>
      </c>
      <c r="AN801" s="2" t="n">
        <f aca="false">Y801*1000/AC801</f>
        <v>46.3816028755759</v>
      </c>
      <c r="AO801" s="2" t="n">
        <f aca="false">(Entrées!$C$36*(1-S801)+MAX(0,Entrées!$C$30-Entrées!$C$35-Entrées!$C$36)*U801)*1000</f>
        <v>922.082318938263</v>
      </c>
      <c r="AP801" s="2" t="n">
        <f aca="false">-AO801/W801</f>
        <v>-101.963559787394</v>
      </c>
      <c r="AQ801" s="2" t="n">
        <f aca="false">AL801+AM801+AN801+AP801</f>
        <v>8034.78189976999</v>
      </c>
      <c r="AR801" s="2" t="n">
        <f aca="false">O801*AQ801-Hypothèses!$J$25/Hypothèses!$J$19</f>
        <v>1214.72005852393</v>
      </c>
      <c r="AS801" s="2" t="n">
        <f aca="false">Entrées!$C$79*(1+Q801)+Hypothèses!$J$20</f>
        <v>1480.69654710205</v>
      </c>
      <c r="AT801" s="2" t="n">
        <f aca="false">AI801-AR801+AS801+Y801*1000-AO801+Hypothèses!$J$23</f>
        <v>22636.0955669443</v>
      </c>
      <c r="AU801" s="2" t="n">
        <f aca="false">AT801/AQ801</f>
        <v>2.81726322497843</v>
      </c>
      <c r="AV801" s="2" t="n">
        <f aca="false">Hypothèses!$J$26*AQ801-AT801</f>
        <v>1468.25013236564</v>
      </c>
      <c r="AW801" s="2" t="n">
        <f aca="false">IF(AC801&gt;Hypothèses!$J$26,MAX(0,AV801)/(1-Hypothèses!$J$26/AC801),0)</f>
        <v>2144.40937859079</v>
      </c>
      <c r="AX801" s="2" t="n">
        <f aca="false">AQ801-Entrées!$C$17*1000</f>
        <v>34.7818997699897</v>
      </c>
      <c r="AY801" s="2" t="n">
        <f aca="false">AI801+(Entrées!$C$244-Entrées!$C$13)</f>
        <v>28597.9097426134</v>
      </c>
      <c r="AZ801" s="2" t="n">
        <f aca="false">AA801*AH801</f>
        <v>5398.80078801574</v>
      </c>
      <c r="BA801" s="2" t="n">
        <f aca="false">AZ801/AY801</f>
        <v>0.188783055706028</v>
      </c>
      <c r="BB801" s="2" t="n">
        <f aca="false">AZ801/(Entrées!$C$151/100)-AY801</f>
        <v>1395.42796858516</v>
      </c>
      <c r="BC801" s="2" t="n">
        <f aca="false">AT801+(Entrées!$C$244-Entrées!$C$13)</f>
        <v>28383.0955669443</v>
      </c>
      <c r="BD801" s="2" t="n">
        <f aca="false">AA801*AQ801</f>
        <v>5766.23421482228</v>
      </c>
      <c r="BE801" s="2" t="n">
        <f aca="false">BD801/BC801</f>
        <v>0.203157340650954</v>
      </c>
      <c r="BF801" s="2" t="n">
        <f aca="false">BD801/(Entrées!$C$151/100)-BC801</f>
        <v>3651.5389598461</v>
      </c>
      <c r="BG801" s="2" t="n">
        <f aca="false">MIN(AV801,BF801)</f>
        <v>1468.25013236564</v>
      </c>
      <c r="BH801" s="2" t="n">
        <f aca="false">IF(AC801&gt;Hypothèses!$J$26,MAX(0,BG801)/(1-Hypothèses!$J$26/AC801),0)</f>
        <v>2144.40937859079</v>
      </c>
    </row>
    <row r="802" customFormat="false" ht="15" hidden="false" customHeight="false" outlineLevel="0" collapsed="false">
      <c r="A802" s="2" t="n">
        <v>787</v>
      </c>
      <c r="B802" s="2" t="n">
        <v>0.758366715</v>
      </c>
      <c r="C802" s="2"/>
      <c r="D802" s="2" t="n">
        <v>0.40990144</v>
      </c>
      <c r="E802" s="2" t="n">
        <f aca="false">IF(E$7=E$5,E$6,IF(NORMSDIST(E$9*SQRT($C$11)*NORMSINV($B802)+SQRT(1-E$9^2*$C$11)*NORMSINV(D802))&lt;E$8,E$5+SQRT(NORMSDIST(E$9*SQRT($C$11)*NORMSINV($B802)+SQRT(1-E$9^2*$C$11)*NORMSINV(D802))*(E$7-E$5)*(E$6-E$5)),E$7-SQRT((1-NORMSDIST(E$9*SQRT($C$11)*NORMSINV($B802)+SQRT(1-E$9^2*$C$11)*NORMSINV(D802)))*(E$7-E$5)*(E$7-E$6))))</f>
        <v>0.0555572581280595</v>
      </c>
      <c r="F802" s="2" t="n">
        <v>0.542105234</v>
      </c>
      <c r="G802" s="2" t="n">
        <f aca="false">IF(G$7=G$5,G$6,IF(NORMSDIST(G$9*SQRT($C$11)*NORMSINV($B802)+SQRT(1-G$9^2*$C$11)*NORMSINV(F802))&lt;G$8,G$5+SQRT(NORMSDIST(G$9*SQRT($C$11)*NORMSINV($B802)+SQRT(1-G$9^2*$C$11)*NORMSINV(F802))*(G$7-G$5)*(G$6-G$5)),G$7-SQRT((1-NORMSDIST(G$9*SQRT($C$11)*NORMSINV($B802)+SQRT(1-G$9^2*$C$11)*NORMSINV(F802)))*(G$7-G$5)*(G$7-G$6))))</f>
        <v>0.0583870609253662</v>
      </c>
      <c r="H802" s="2" t="n">
        <v>0.596569883</v>
      </c>
      <c r="I802" s="2" t="n">
        <f aca="false">IF(I$7=I$5,I$6,IF(NORMSDIST(I$9*SQRT($C$11)*NORMSINV($B802)+SQRT(1-I$9^2*$C$11)*NORMSINV(H802))&lt;I$8,I$5+SQRT(NORMSDIST(I$9*SQRT($C$11)*NORMSINV($B802)+SQRT(1-I$9^2*$C$11)*NORMSINV(H802))*(I$7-I$5)*(I$6-I$5)),I$7-SQRT((1-NORMSDIST(I$9*SQRT($C$11)*NORMSINV($B802)+SQRT(1-I$9^2*$C$11)*NORMSINV(H802)))*(I$7-I$5)*(I$7-I$6))))</f>
        <v>205.48256156738</v>
      </c>
      <c r="J802" s="2" t="n">
        <v>0.998165696</v>
      </c>
      <c r="K802" s="2" t="n">
        <f aca="false">IF(K$7=K$5,K$6,IF(NORMSDIST(K$9*SQRT($C$11)*NORMSINV($B802)+SQRT(1-K$9^2*$C$11)*NORMSINV(J802))&lt;K$8,K$5+SQRT(NORMSDIST(K$9*SQRT($C$11)*NORMSINV($B802)+SQRT(1-K$9^2*$C$11)*NORMSINV(J802))*(K$7-K$5)*(K$6-K$5)),K$7-SQRT((1-NORMSDIST(K$9*SQRT($C$11)*NORMSINV($B802)+SQRT(1-K$9^2*$C$11)*NORMSINV(J802)))*(K$7-K$5)*(K$7-K$6))))</f>
        <v>0.478989318622459</v>
      </c>
      <c r="L802" s="2" t="n">
        <v>0.802211711</v>
      </c>
      <c r="M802" s="2" t="n">
        <f aca="false">IF(M$7=M$5,M$6,IF(NORMSDIST(M$9*SQRT($C$11)*NORMSINV($B802)+SQRT(1-M$9^2*$C$11)*NORMSINV(L802))&lt;M$8,M$5+SQRT(NORMSDIST(M$9*SQRT($C$11)*NORMSINV($B802)+SQRT(1-M$9^2*$C$11)*NORMSINV(L802))*(M$7-M$5)*(M$6-M$5)),M$7-SQRT((1-NORMSDIST(M$9*SQRT($C$11)*NORMSINV($B802)+SQRT(1-M$9^2*$C$11)*NORMSINV(L802)))*(M$7-M$5)*(M$7-M$6))))</f>
        <v>1688.09620471497</v>
      </c>
      <c r="N802" s="2" t="n">
        <v>0.950547383</v>
      </c>
      <c r="O802" s="2" t="n">
        <f aca="false">IF(O$7=O$5,O$6,IF(NORMSDIST(O$9*SQRT($C$11)*NORMSINV($B802)+SQRT(1-O$9^2*$C$11)*NORMSINV(N802))&lt;O$8,O$5+SQRT(NORMSDIST(O$9*SQRT($C$11)*NORMSINV($B802)+SQRT(1-O$9^2*$C$11)*NORMSINV(N802))*(O$7-O$5)*(O$6-O$5)),O$7-SQRT((1-NORMSDIST(O$9*SQRT($C$11)*NORMSINV($B802)+SQRT(1-O$9^2*$C$11)*NORMSINV(N802)))*(O$7-O$5)*(O$7-O$6))))</f>
        <v>0.183266178540409</v>
      </c>
      <c r="P802" s="2" t="n">
        <v>0.230347938</v>
      </c>
      <c r="Q802" s="2" t="n">
        <f aca="false">IF(Q$7=Q$5,Q$6,IF(NORMSDIST(Q$9*SQRT($C$11)*NORMSINV($B802)+SQRT(1-Q$9^2*$C$11)*NORMSINV(P802))&lt;Q$8,Q$5+SQRT(NORMSDIST(Q$9*SQRT($C$11)*NORMSINV($B802)+SQRT(1-Q$9^2*$C$11)*NORMSINV(P802))*(Q$7-Q$5)*(Q$6-Q$5)),Q$7-SQRT((1-NORMSDIST(Q$9*SQRT($C$11)*NORMSINV($B802)+SQRT(1-Q$9^2*$C$11)*NORMSINV(P802)))*(Q$7-Q$5)*(Q$7-Q$6))))</f>
        <v>0.0671498324414719</v>
      </c>
      <c r="R802" s="2" t="n">
        <v>0.997206666</v>
      </c>
      <c r="S802" s="2" t="n">
        <f aca="false">IF(S$7=S$5,S$6,IF(NORMSDIST(S$9*SQRT($C$11)*NORMSINV($B802)+SQRT(1-S$9^2*$C$11)*NORMSINV(R802))&lt;S$8,S$5+SQRT(NORMSDIST(S$9*SQRT($C$11)*NORMSINV($B802)+SQRT(1-S$9^2*$C$11)*NORMSINV(R802))*(S$7-S$5)*(S$6-S$5)),S$7-SQRT((1-NORMSDIST(S$9*SQRT($C$11)*NORMSINV($B802)+SQRT(1-S$9^2*$C$11)*NORMSINV(R802)))*(S$7-S$5)*(S$7-S$6))))</f>
        <v>0.951007505407126</v>
      </c>
      <c r="T802" s="2" t="n">
        <v>0.84686257</v>
      </c>
      <c r="U802" s="2" t="n">
        <f aca="false">IF(U$7=U$5,U$6,IF(NORMSDIST(U$9*SQRT($C$11)*NORMSINV($B802)+SQRT(1-U$9^2*$C$11)*NORMSINV(T802))&lt;U$8,U$5+SQRT(NORMSDIST(U$9*SQRT($C$11)*NORMSINV($B802)+SQRT(1-U$9^2*$C$11)*NORMSINV(T802))*(U$7-U$5)*(U$6-U$5)),U$7-SQRT((1-NORMSDIST(U$9*SQRT($C$11)*NORMSINV($B802)+SQRT(1-U$9^2*$C$11)*NORMSINV(T802)))*(U$7-U$5)*(U$7-U$6))))</f>
        <v>0.767345439091808</v>
      </c>
      <c r="V802" s="2" t="n">
        <v>0.971626443</v>
      </c>
      <c r="W802" s="2" t="n">
        <f aca="false">IF(W$7=W$5,W$6,IF(NORMSDIST(W$9*SQRT($C$11)*NORMSINV($B802)+SQRT(1-W$9^2*$C$11)*NORMSINV(V802))&lt;W$8,W$5+SQRT(NORMSDIST(W$9*SQRT($C$11)*NORMSINV($B802)+SQRT(1-W$9^2*$C$11)*NORMSINV(V802))*(W$7-W$5)*(W$6-W$5)),W$7-SQRT((1-NORMSDIST(W$9*SQRT($C$11)*NORMSINV($B802)+SQRT(1-W$9^2*$C$11)*NORMSINV(V802)))*(W$7-W$5)*(W$7-W$6))))</f>
        <v>11.531128498624</v>
      </c>
      <c r="X802" s="2" t="n">
        <v>0.172249554</v>
      </c>
      <c r="Y802" s="2" t="n">
        <f aca="false">IF(Y$7=Y$5,Y$6,IF(NORMSDIST(Y$9*SQRT($C$11)*NORMSINV($B802)+SQRT(1-Y$9^2*$C$11)*NORMSINV(X802))&lt;Y$8,Y$5+SQRT(NORMSDIST(Y$9*SQRT($C$11)*NORMSINV($B802)+SQRT(1-Y$9^2*$C$11)*NORMSINV(X802))*(Y$7-Y$5)*(Y$6-Y$5)),Y$7-SQRT((1-NORMSDIST(Y$9*SQRT($C$11)*NORMSINV($B802)+SQRT(1-Y$9^2*$C$11)*NORMSINV(X802)))*(Y$7-Y$5)*(Y$7-Y$6))))</f>
        <v>0.293470231880509</v>
      </c>
      <c r="Z802" s="2" t="n">
        <v>0.651478865</v>
      </c>
      <c r="AA802" s="2" t="n">
        <f aca="false">IF(AA$7=AA$5,AA$6,IF(NORMSDIST(AA$9*SQRT($C$11)*NORMSINV($B802)+SQRT(1-AA$9^2*$C$11)*NORMSINV(Z802))&lt;AA$8,AA$5+SQRT(NORMSDIST(AA$9*SQRT($C$11)*NORMSINV($B802)+SQRT(1-AA$9^2*$C$11)*NORMSINV(Z802))*(AA$7-AA$5)*(AA$6-AA$5)),AA$7-SQRT((1-NORMSDIST(AA$9*SQRT($C$11)*NORMSINV($B802)+SQRT(1-AA$9^2*$C$11)*NORMSINV(Z802)))*(AA$7-AA$5)*(AA$7-AA$6))))</f>
        <v>0.736745509882233</v>
      </c>
      <c r="AB802" s="2" t="n">
        <v>0.933687953</v>
      </c>
      <c r="AC802" s="2" t="n">
        <f aca="false">IF(AC$7=AC$5,AC$6,IF(NORMSDIST(AC$9*SQRT($C$11)*NORMSINV($B802)+SQRT(1-AC$9^2*$C$11)*NORMSINV(AB802))&lt;AC$8,AC$5+SQRT(NORMSDIST(AC$9*SQRT($C$11)*NORMSINV($B802)+SQRT(1-AC$9^2*$C$11)*NORMSINV(AB802))*(AC$7-AC$5)*(AC$6-AC$5)),AC$7-SQRT((1-NORMSDIST(AC$9*SQRT($C$11)*NORMSINV($B802)+SQRT(1-AC$9^2*$C$11)*NORMSINV(AB802)))*(AC$7-AC$5)*(AC$7-AC$6))))</f>
        <v>10.5175020604922</v>
      </c>
      <c r="AD802" s="2" t="n">
        <f aca="false">Entrées!$C$8*(1+E802)</f>
        <v>7441.67866980282</v>
      </c>
      <c r="AE802" s="2" t="n">
        <f aca="false">I802*Hypothèses!$J$24/12/Hypothèses!$J$19</f>
        <v>101.939241121054</v>
      </c>
      <c r="AF802" s="2" t="n">
        <f aca="false">Entrées!$C$36*S802*1000</f>
        <v>475.503752703563</v>
      </c>
      <c r="AG802" s="2" t="n">
        <f aca="false">-AF802/W802</f>
        <v>-41.2365322925942</v>
      </c>
      <c r="AH802" s="2" t="n">
        <f aca="false">AD802+AE802+AG802</f>
        <v>7502.38137863128</v>
      </c>
      <c r="AI802" s="2" t="n">
        <f aca="false">Entrées!$C$16-M802+Hypothèses!$J$22*1000-AF802+Hypothèses!$J$23</f>
        <v>22384.4000425815</v>
      </c>
      <c r="AJ802" s="2" t="n">
        <f aca="false">AI802/AH802</f>
        <v>2.98363931568955</v>
      </c>
      <c r="AK802" s="2" t="n">
        <f aca="false">AI802/(AH802+I802*(12-Hypothèses!$J$24)/12/Hypothèses!$J$19)</f>
        <v>2.95496019326523</v>
      </c>
      <c r="AL802" s="2" t="n">
        <f aca="false">(AD802+AG802+I802/Hypothèses!$J$19)*(1+G802)</f>
        <v>8017.48850141581</v>
      </c>
      <c r="AM802" s="2" t="n">
        <f aca="false">Entrées!$C$54*K802/Hypothèses!$J$19</f>
        <v>48.8828711116075</v>
      </c>
      <c r="AN802" s="2" t="n">
        <f aca="false">Y802*1000/AC802</f>
        <v>27.9030353588327</v>
      </c>
      <c r="AO802" s="2" t="n">
        <f aca="false">(Entrées!$C$36*(1-S802)+MAX(0,Entrées!$C$30-Entrées!$C$35-Entrées!$C$36)*U802)*1000</f>
        <v>1098.77986202497</v>
      </c>
      <c r="AP802" s="2" t="n">
        <f aca="false">-AO802/W802</f>
        <v>-95.2881465292908</v>
      </c>
      <c r="AQ802" s="2" t="n">
        <f aca="false">AL802+AM802+AN802+AP802</f>
        <v>7998.98626135696</v>
      </c>
      <c r="AR802" s="2" t="n">
        <f aca="false">O802*AQ802-Hypothèses!$J$25/Hypothèses!$J$19</f>
        <v>1446.8084820545</v>
      </c>
      <c r="AS802" s="2" t="n">
        <f aca="false">Entrées!$C$79*(1+Q802)+Hypothèses!$J$20</f>
        <v>1467.79766585318</v>
      </c>
      <c r="AT802" s="2" t="n">
        <f aca="false">AI802-AR802+AS802+Y802*1000-AO802+Hypothèses!$J$23</f>
        <v>21600.0795962357</v>
      </c>
      <c r="AU802" s="2" t="n">
        <f aca="false">AT802/AQ802</f>
        <v>2.70035213094258</v>
      </c>
      <c r="AV802" s="2" t="n">
        <f aca="false">Hypothèses!$J$26*AQ802-AT802</f>
        <v>2396.87918783519</v>
      </c>
      <c r="AW802" s="2" t="n">
        <f aca="false">IF(AC802&gt;Hypothèses!$J$26,MAX(0,AV802)/(1-Hypothèses!$J$26/AC802),0)</f>
        <v>3353.39872127111</v>
      </c>
      <c r="AX802" s="2" t="n">
        <f aca="false">AQ802-Entrées!$C$17*1000</f>
        <v>-1.01373864304151</v>
      </c>
      <c r="AY802" s="2" t="n">
        <f aca="false">AI802+(Entrées!$C$244-Entrées!$C$13)</f>
        <v>28131.4000425815</v>
      </c>
      <c r="AZ802" s="2" t="n">
        <f aca="false">AA802*AH802</f>
        <v>5527.34579413067</v>
      </c>
      <c r="BA802" s="2" t="n">
        <f aca="false">AZ802/AY802</f>
        <v>0.196483139330575</v>
      </c>
      <c r="BB802" s="2" t="n">
        <f aca="false">AZ802/(Entrées!$C$151/100)-AY802</f>
        <v>2576.07659147782</v>
      </c>
      <c r="BC802" s="2" t="n">
        <f aca="false">AT802+(Entrées!$C$244-Entrées!$C$13)</f>
        <v>27347.0795962357</v>
      </c>
      <c r="BD802" s="2" t="n">
        <f aca="false">AA802*AQ802</f>
        <v>5893.21721166441</v>
      </c>
      <c r="BE802" s="2" t="n">
        <f aca="false">BD802/BC802</f>
        <v>0.215497131637983</v>
      </c>
      <c r="BF802" s="2" t="n">
        <f aca="false">BD802/(Entrées!$C$151/100)-BC802</f>
        <v>5393.01602412213</v>
      </c>
      <c r="BG802" s="2" t="n">
        <f aca="false">MIN(AV802,BF802)</f>
        <v>2396.87918783519</v>
      </c>
      <c r="BH802" s="2" t="n">
        <f aca="false">IF(AC802&gt;Hypothèses!$J$26,MAX(0,BG802)/(1-Hypothèses!$J$26/AC802),0)</f>
        <v>3353.39872127111</v>
      </c>
    </row>
    <row r="803" customFormat="false" ht="15" hidden="false" customHeight="false" outlineLevel="0" collapsed="false">
      <c r="A803" s="2" t="n">
        <v>788</v>
      </c>
      <c r="B803" s="2" t="n">
        <v>0.11450913</v>
      </c>
      <c r="C803" s="2"/>
      <c r="D803" s="2" t="n">
        <v>0.91990415</v>
      </c>
      <c r="E803" s="2" t="n">
        <f aca="false">IF(E$7=E$5,E$6,IF(NORMSDIST(E$9*SQRT($C$11)*NORMSINV($B803)+SQRT(1-E$9^2*$C$11)*NORMSINV(D803))&lt;E$8,E$5+SQRT(NORMSDIST(E$9*SQRT($C$11)*NORMSINV($B803)+SQRT(1-E$9^2*$C$11)*NORMSINV(D803))*(E$7-E$5)*(E$6-E$5)),E$7-SQRT((1-NORMSDIST(E$9*SQRT($C$11)*NORMSINV($B803)+SQRT(1-E$9^2*$C$11)*NORMSINV(D803)))*(E$7-E$5)*(E$7-E$6))))</f>
        <v>0.0556883863427313</v>
      </c>
      <c r="F803" s="2" t="n">
        <v>0.228257298</v>
      </c>
      <c r="G803" s="2" t="n">
        <f aca="false">IF(G$7=G$5,G$6,IF(NORMSDIST(G$9*SQRT($C$11)*NORMSINV($B803)+SQRT(1-G$9^2*$C$11)*NORMSINV(F803))&lt;G$8,G$5+SQRT(NORMSDIST(G$9*SQRT($C$11)*NORMSINV($B803)+SQRT(1-G$9^2*$C$11)*NORMSINV(F803))*(G$7-G$5)*(G$6-G$5)),G$7-SQRT((1-NORMSDIST(G$9*SQRT($C$11)*NORMSINV($B803)+SQRT(1-G$9^2*$C$11)*NORMSINV(F803)))*(G$7-G$5)*(G$7-G$6))))</f>
        <v>0.0463824394844274</v>
      </c>
      <c r="H803" s="2" t="n">
        <v>0.234087984</v>
      </c>
      <c r="I803" s="2" t="n">
        <f aca="false">IF(I$7=I$5,I$6,IF(NORMSDIST(I$9*SQRT($C$11)*NORMSINV($B803)+SQRT(1-I$9^2*$C$11)*NORMSINV(H803))&lt;I$8,I$5+SQRT(NORMSDIST(I$9*SQRT($C$11)*NORMSINV($B803)+SQRT(1-I$9^2*$C$11)*NORMSINV(H803))*(I$7-I$5)*(I$6-I$5)),I$7-SQRT((1-NORMSDIST(I$9*SQRT($C$11)*NORMSINV($B803)+SQRT(1-I$9^2*$C$11)*NORMSINV(H803)))*(I$7-I$5)*(I$7-I$6))))</f>
        <v>188.623988508707</v>
      </c>
      <c r="J803" s="2" t="n">
        <v>0.323266137</v>
      </c>
      <c r="K803" s="2" t="n">
        <f aca="false">IF(K$7=K$5,K$6,IF(NORMSDIST(K$9*SQRT($C$11)*NORMSINV($B803)+SQRT(1-K$9^2*$C$11)*NORMSINV(J803))&lt;K$8,K$5+SQRT(NORMSDIST(K$9*SQRT($C$11)*NORMSINV($B803)+SQRT(1-K$9^2*$C$11)*NORMSINV(J803))*(K$7-K$5)*(K$6-K$5)),K$7-SQRT((1-NORMSDIST(K$9*SQRT($C$11)*NORMSINV($B803)+SQRT(1-K$9^2*$C$11)*NORMSINV(J803)))*(K$7-K$5)*(K$7-K$6))))</f>
        <v>0.128555626120909</v>
      </c>
      <c r="L803" s="2" t="n">
        <v>0.646714818</v>
      </c>
      <c r="M803" s="2" t="n">
        <f aca="false">IF(M$7=M$5,M$6,IF(NORMSDIST(M$9*SQRT($C$11)*NORMSINV($B803)+SQRT(1-M$9^2*$C$11)*NORMSINV(L803))&lt;M$8,M$5+SQRT(NORMSDIST(M$9*SQRT($C$11)*NORMSINV($B803)+SQRT(1-M$9^2*$C$11)*NORMSINV(L803))*(M$7-M$5)*(M$6-M$5)),M$7-SQRT((1-NORMSDIST(M$9*SQRT($C$11)*NORMSINV($B803)+SQRT(1-M$9^2*$C$11)*NORMSINV(L803)))*(M$7-M$5)*(M$7-M$6))))</f>
        <v>1528.73579423056</v>
      </c>
      <c r="N803" s="2" t="n">
        <v>0.408413402</v>
      </c>
      <c r="O803" s="2" t="n">
        <f aca="false">IF(O$7=O$5,O$6,IF(NORMSDIST(O$9*SQRT($C$11)*NORMSINV($B803)+SQRT(1-O$9^2*$C$11)*NORMSINV(N803))&lt;O$8,O$5+SQRT(NORMSDIST(O$9*SQRT($C$11)*NORMSINV($B803)+SQRT(1-O$9^2*$C$11)*NORMSINV(N803))*(O$7-O$5)*(O$6-O$5)),O$7-SQRT((1-NORMSDIST(O$9*SQRT($C$11)*NORMSINV($B803)+SQRT(1-O$9^2*$C$11)*NORMSINV(N803)))*(O$7-O$5)*(O$7-O$6))))</f>
        <v>0.155780548038975</v>
      </c>
      <c r="P803" s="2" t="n">
        <v>0.359888109</v>
      </c>
      <c r="Q803" s="2" t="n">
        <f aca="false">IF(Q$7=Q$5,Q$6,IF(NORMSDIST(Q$9*SQRT($C$11)*NORMSINV($B803)+SQRT(1-Q$9^2*$C$11)*NORMSINV(P803))&lt;Q$8,Q$5+SQRT(NORMSDIST(Q$9*SQRT($C$11)*NORMSINV($B803)+SQRT(1-Q$9^2*$C$11)*NORMSINV(P803))*(Q$7-Q$5)*(Q$6-Q$5)),Q$7-SQRT((1-NORMSDIST(Q$9*SQRT($C$11)*NORMSINV($B803)+SQRT(1-Q$9^2*$C$11)*NORMSINV(P803)))*(Q$7-Q$5)*(Q$7-Q$6))))</f>
        <v>0.0739358504947202</v>
      </c>
      <c r="R803" s="2" t="n">
        <v>0.967853821</v>
      </c>
      <c r="S803" s="2" t="n">
        <f aca="false">IF(S$7=S$5,S$6,IF(NORMSDIST(S$9*SQRT($C$11)*NORMSINV($B803)+SQRT(1-S$9^2*$C$11)*NORMSINV(R803))&lt;S$8,S$5+SQRT(NORMSDIST(S$9*SQRT($C$11)*NORMSINV($B803)+SQRT(1-S$9^2*$C$11)*NORMSINV(R803))*(S$7-S$5)*(S$6-S$5)),S$7-SQRT((1-NORMSDIST(S$9*SQRT($C$11)*NORMSINV($B803)+SQRT(1-S$9^2*$C$11)*NORMSINV(R803)))*(S$7-S$5)*(S$7-S$6))))</f>
        <v>0.645964048271084</v>
      </c>
      <c r="T803" s="2" t="n">
        <v>0.591538187</v>
      </c>
      <c r="U803" s="2" t="n">
        <f aca="false">IF(U$7=U$5,U$6,IF(NORMSDIST(U$9*SQRT($C$11)*NORMSINV($B803)+SQRT(1-U$9^2*$C$11)*NORMSINV(T803))&lt;U$8,U$5+SQRT(NORMSDIST(U$9*SQRT($C$11)*NORMSINV($B803)+SQRT(1-U$9^2*$C$11)*NORMSINV(T803))*(U$7-U$5)*(U$6-U$5)),U$7-SQRT((1-NORMSDIST(U$9*SQRT($C$11)*NORMSINV($B803)+SQRT(1-U$9^2*$C$11)*NORMSINV(T803)))*(U$7-U$5)*(U$7-U$6))))</f>
        <v>0.374477900529523</v>
      </c>
      <c r="V803" s="2" t="n">
        <v>0.775681243</v>
      </c>
      <c r="W803" s="2" t="n">
        <f aca="false">IF(W$7=W$5,W$6,IF(NORMSDIST(W$9*SQRT($C$11)*NORMSINV($B803)+SQRT(1-W$9^2*$C$11)*NORMSINV(V803))&lt;W$8,W$5+SQRT(NORMSDIST(W$9*SQRT($C$11)*NORMSINV($B803)+SQRT(1-W$9^2*$C$11)*NORMSINV(V803))*(W$7-W$5)*(W$6-W$5)),W$7-SQRT((1-NORMSDIST(W$9*SQRT($C$11)*NORMSINV($B803)+SQRT(1-W$9^2*$C$11)*NORMSINV(V803)))*(W$7-W$5)*(W$7-W$6))))</f>
        <v>9.85684210848145</v>
      </c>
      <c r="X803" s="2" t="n">
        <v>0.572853077</v>
      </c>
      <c r="Y803" s="2" t="n">
        <f aca="false">IF(Y$7=Y$5,Y$6,IF(NORMSDIST(Y$9*SQRT($C$11)*NORMSINV($B803)+SQRT(1-Y$9^2*$C$11)*NORMSINV(X803))&lt;Y$8,Y$5+SQRT(NORMSDIST(Y$9*SQRT($C$11)*NORMSINV($B803)+SQRT(1-Y$9^2*$C$11)*NORMSINV(X803))*(Y$7-Y$5)*(Y$6-Y$5)),Y$7-SQRT((1-NORMSDIST(Y$9*SQRT($C$11)*NORMSINV($B803)+SQRT(1-Y$9^2*$C$11)*NORMSINV(X803)))*(Y$7-Y$5)*(Y$7-Y$6))))</f>
        <v>0.537859911390496</v>
      </c>
      <c r="Z803" s="2" t="n">
        <v>0.586095465</v>
      </c>
      <c r="AA803" s="2" t="n">
        <f aca="false">IF(AA$7=AA$5,AA$6,IF(NORMSDIST(AA$9*SQRT($C$11)*NORMSINV($B803)+SQRT(1-AA$9^2*$C$11)*NORMSINV(Z803))&lt;AA$8,AA$5+SQRT(NORMSDIST(AA$9*SQRT($C$11)*NORMSINV($B803)+SQRT(1-AA$9^2*$C$11)*NORMSINV(Z803))*(AA$7-AA$5)*(AA$6-AA$5)),AA$7-SQRT((1-NORMSDIST(AA$9*SQRT($C$11)*NORMSINV($B803)+SQRT(1-AA$9^2*$C$11)*NORMSINV(Z803)))*(AA$7-AA$5)*(AA$7-AA$6))))</f>
        <v>0.719674559645573</v>
      </c>
      <c r="AB803" s="2" t="n">
        <v>0.840130856</v>
      </c>
      <c r="AC803" s="2" t="n">
        <f aca="false">IF(AC$7=AC$5,AC$6,IF(NORMSDIST(AC$9*SQRT($C$11)*NORMSINV($B803)+SQRT(1-AC$9^2*$C$11)*NORMSINV(AB803))&lt;AC$8,AC$5+SQRT(NORMSDIST(AC$9*SQRT($C$11)*NORMSINV($B803)+SQRT(1-AC$9^2*$C$11)*NORMSINV(AB803))*(AC$7-AC$5)*(AC$6-AC$5)),AC$7-SQRT((1-NORMSDIST(AC$9*SQRT($C$11)*NORMSINV($B803)+SQRT(1-AC$9^2*$C$11)*NORMSINV(AB803)))*(AC$7-AC$5)*(AC$7-AC$6))))</f>
        <v>9.48669079218964</v>
      </c>
      <c r="AD803" s="2" t="n">
        <f aca="false">Entrées!$C$8*(1+E803)</f>
        <v>7442.60312371626</v>
      </c>
      <c r="AE803" s="2" t="n">
        <f aca="false">I803*Hypothèses!$J$24/12/Hypothèses!$J$19</f>
        <v>93.5757569846082</v>
      </c>
      <c r="AF803" s="2" t="n">
        <f aca="false">Entrées!$C$36*S803*1000</f>
        <v>322.982024135542</v>
      </c>
      <c r="AG803" s="2" t="n">
        <f aca="false">-AF803/W803</f>
        <v>-32.76729205773</v>
      </c>
      <c r="AH803" s="2" t="n">
        <f aca="false">AD803+AE803+AG803</f>
        <v>7503.41158864314</v>
      </c>
      <c r="AI803" s="2" t="n">
        <f aca="false">Entrées!$C$16-M803+Hypothèses!$J$22*1000-AF803+Hypothèses!$J$23</f>
        <v>22696.2821816339</v>
      </c>
      <c r="AJ803" s="2" t="n">
        <f aca="false">AI803/AH803</f>
        <v>3.02479504336215</v>
      </c>
      <c r="AK803" s="2" t="n">
        <f aca="false">AI803/(AH803+I803*(12-Hypothèses!$J$24)/12/Hypothèses!$J$19)</f>
        <v>2.99808829816148</v>
      </c>
      <c r="AL803" s="2" t="n">
        <f aca="false">(AD803+AG803+I803/Hypothèses!$J$19)*(1+G803)</f>
        <v>7921.37814320167</v>
      </c>
      <c r="AM803" s="2" t="n">
        <f aca="false">Entrées!$C$54*K803/Hypothèses!$J$19</f>
        <v>13.1196414158321</v>
      </c>
      <c r="AN803" s="2" t="n">
        <f aca="false">Y803*1000/AC803</f>
        <v>56.6962624979107</v>
      </c>
      <c r="AO803" s="2" t="n">
        <f aca="false">(Entrées!$C$36*(1-S803)+MAX(0,Entrées!$C$30-Entrées!$C$35-Entrées!$C$36)*U803)*1000</f>
        <v>701.28703660579</v>
      </c>
      <c r="AP803" s="2" t="n">
        <f aca="false">-AO803/W803</f>
        <v>-71.1472324389125</v>
      </c>
      <c r="AQ803" s="2" t="n">
        <f aca="false">AL803+AM803+AN803+AP803</f>
        <v>7920.0468146765</v>
      </c>
      <c r="AR803" s="2" t="n">
        <f aca="false">O803*AQ803-Hypothèses!$J$25/Hypothèses!$J$19</f>
        <v>1214.65407102302</v>
      </c>
      <c r="AS803" s="2" t="n">
        <f aca="false">Entrées!$C$79*(1+Q803)+Hypothèses!$J$20</f>
        <v>1475.2554996937</v>
      </c>
      <c r="AT803" s="2" t="n">
        <f aca="false">AI803-AR803+AS803+Y803*1000-AO803+Hypothèses!$J$23</f>
        <v>22793.4564850893</v>
      </c>
      <c r="AU803" s="2" t="n">
        <f aca="false">AT803/AQ803</f>
        <v>2.8779446660405</v>
      </c>
      <c r="AV803" s="2" t="n">
        <f aca="false">Hypothèses!$J$26*AQ803-AT803</f>
        <v>966.683958940201</v>
      </c>
      <c r="AW803" s="2" t="n">
        <f aca="false">IF(AC803&gt;Hypothèses!$J$26,MAX(0,AV803)/(1-Hypothèses!$J$26/AC803),0)</f>
        <v>1413.76120830014</v>
      </c>
      <c r="AX803" s="2" t="n">
        <f aca="false">AQ803-Entrées!$C$17*1000</f>
        <v>-79.953185323503</v>
      </c>
      <c r="AY803" s="2" t="n">
        <f aca="false">AI803+(Entrées!$C$244-Entrées!$C$13)</f>
        <v>28443.2821816339</v>
      </c>
      <c r="AZ803" s="2" t="n">
        <f aca="false">AA803*AH803</f>
        <v>5400.01443089624</v>
      </c>
      <c r="BA803" s="2" t="n">
        <f aca="false">AZ803/AY803</f>
        <v>0.189852014841771</v>
      </c>
      <c r="BB803" s="2" t="n">
        <f aca="false">AZ803/(Entrées!$C$151/100)-AY803</f>
        <v>1556.79799001186</v>
      </c>
      <c r="BC803" s="2" t="n">
        <f aca="false">AT803+(Entrées!$C$244-Entrées!$C$13)</f>
        <v>28540.4564850893</v>
      </c>
      <c r="BD803" s="2" t="n">
        <f aca="false">AA803*AQ803</f>
        <v>5699.85620372463</v>
      </c>
      <c r="BE803" s="2" t="n">
        <f aca="false">BD803/BC803</f>
        <v>0.199711458949596</v>
      </c>
      <c r="BF803" s="2" t="n">
        <f aca="false">BD803/(Entrées!$C$151/100)-BC803</f>
        <v>3125.41131338088</v>
      </c>
      <c r="BG803" s="2" t="n">
        <f aca="false">MIN(AV803,BF803)</f>
        <v>966.683958940201</v>
      </c>
      <c r="BH803" s="2" t="n">
        <f aca="false">IF(AC803&gt;Hypothèses!$J$26,MAX(0,BG803)/(1-Hypothèses!$J$26/AC803),0)</f>
        <v>1413.76120830014</v>
      </c>
    </row>
    <row r="804" customFormat="false" ht="15" hidden="false" customHeight="false" outlineLevel="0" collapsed="false">
      <c r="A804" s="2" t="n">
        <v>789</v>
      </c>
      <c r="B804" s="2" t="n">
        <v>0.795892747</v>
      </c>
      <c r="C804" s="2"/>
      <c r="D804" s="2" t="n">
        <v>0.661028353</v>
      </c>
      <c r="E804" s="2" t="n">
        <f aca="false">IF(E$7=E$5,E$6,IF(NORMSDIST(E$9*SQRT($C$11)*NORMSINV($B804)+SQRT(1-E$9^2*$C$11)*NORMSINV(D804))&lt;E$8,E$5+SQRT(NORMSDIST(E$9*SQRT($C$11)*NORMSINV($B804)+SQRT(1-E$9^2*$C$11)*NORMSINV(D804))*(E$7-E$5)*(E$6-E$5)),E$7-SQRT((1-NORMSDIST(E$9*SQRT($C$11)*NORMSINV($B804)+SQRT(1-E$9^2*$C$11)*NORMSINV(D804)))*(E$7-E$5)*(E$7-E$6))))</f>
        <v>0.0568446095599989</v>
      </c>
      <c r="F804" s="2" t="n">
        <v>0.888072962</v>
      </c>
      <c r="G804" s="2" t="n">
        <f aca="false">IF(G$7=G$5,G$6,IF(NORMSDIST(G$9*SQRT($C$11)*NORMSINV($B804)+SQRT(1-G$9^2*$C$11)*NORMSINV(F804))&lt;G$8,G$5+SQRT(NORMSDIST(G$9*SQRT($C$11)*NORMSINV($B804)+SQRT(1-G$9^2*$C$11)*NORMSINV(F804))*(G$7-G$5)*(G$6-G$5)),G$7-SQRT((1-NORMSDIST(G$9*SQRT($C$11)*NORMSINV($B804)+SQRT(1-G$9^2*$C$11)*NORMSINV(F804)))*(G$7-G$5)*(G$7-G$6))))</f>
        <v>0.0643305749451037</v>
      </c>
      <c r="H804" s="2" t="n">
        <v>0.825394219</v>
      </c>
      <c r="I804" s="2" t="n">
        <f aca="false">IF(I$7=I$5,I$6,IF(NORMSDIST(I$9*SQRT($C$11)*NORMSINV($B804)+SQRT(1-I$9^2*$C$11)*NORMSINV(H804))&lt;I$8,I$5+SQRT(NORMSDIST(I$9*SQRT($C$11)*NORMSINV($B804)+SQRT(1-I$9^2*$C$11)*NORMSINV(H804))*(I$7-I$5)*(I$6-I$5)),I$7-SQRT((1-NORMSDIST(I$9*SQRT($C$11)*NORMSINV($B804)+SQRT(1-I$9^2*$C$11)*NORMSINV(H804)))*(I$7-I$5)*(I$7-I$6))))</f>
        <v>210.792074155817</v>
      </c>
      <c r="J804" s="2" t="n">
        <v>0.174817929</v>
      </c>
      <c r="K804" s="2" t="n">
        <f aca="false">IF(K$7=K$5,K$6,IF(NORMSDIST(K$9*SQRT($C$11)*NORMSINV($B804)+SQRT(1-K$9^2*$C$11)*NORMSINV(J804))&lt;K$8,K$5+SQRT(NORMSDIST(K$9*SQRT($C$11)*NORMSINV($B804)+SQRT(1-K$9^2*$C$11)*NORMSINV(J804))*(K$7-K$5)*(K$6-K$5)),K$7-SQRT((1-NORMSDIST(K$9*SQRT($C$11)*NORMSINV($B804)+SQRT(1-K$9^2*$C$11)*NORMSINV(J804)))*(K$7-K$5)*(K$7-K$6))))</f>
        <v>0.229180209906193</v>
      </c>
      <c r="L804" s="2" t="n">
        <v>0.745321718</v>
      </c>
      <c r="M804" s="2" t="n">
        <f aca="false">IF(M$7=M$5,M$6,IF(NORMSDIST(M$9*SQRT($C$11)*NORMSINV($B804)+SQRT(1-M$9^2*$C$11)*NORMSINV(L804))&lt;M$8,M$5+SQRT(NORMSDIST(M$9*SQRT($C$11)*NORMSINV($B804)+SQRT(1-M$9^2*$C$11)*NORMSINV(L804))*(M$7-M$5)*(M$6-M$5)),M$7-SQRT((1-NORMSDIST(M$9*SQRT($C$11)*NORMSINV($B804)+SQRT(1-M$9^2*$C$11)*NORMSINV(L804)))*(M$7-M$5)*(M$7-M$6))))</f>
        <v>1682.43155747355</v>
      </c>
      <c r="N804" s="2" t="n">
        <v>0.150017726</v>
      </c>
      <c r="O804" s="2" t="n">
        <f aca="false">IF(O$7=O$5,O$6,IF(NORMSDIST(O$9*SQRT($C$11)*NORMSINV($B804)+SQRT(1-O$9^2*$C$11)*NORMSINV(N804))&lt;O$8,O$5+SQRT(NORMSDIST(O$9*SQRT($C$11)*NORMSINV($B804)+SQRT(1-O$9^2*$C$11)*NORMSINV(N804))*(O$7-O$5)*(O$6-O$5)),O$7-SQRT((1-NORMSDIST(O$9*SQRT($C$11)*NORMSINV($B804)+SQRT(1-O$9^2*$C$11)*NORMSINV(N804)))*(O$7-O$5)*(O$7-O$6))))</f>
        <v>0.163651072004984</v>
      </c>
      <c r="P804" s="2" t="n">
        <v>0.076224128</v>
      </c>
      <c r="Q804" s="2" t="n">
        <f aca="false">IF(Q$7=Q$5,Q$6,IF(NORMSDIST(Q$9*SQRT($C$11)*NORMSINV($B804)+SQRT(1-Q$9^2*$C$11)*NORMSINV(P804))&lt;Q$8,Q$5+SQRT(NORMSDIST(Q$9*SQRT($C$11)*NORMSINV($B804)+SQRT(1-Q$9^2*$C$11)*NORMSINV(P804))*(Q$7-Q$5)*(Q$6-Q$5)),Q$7-SQRT((1-NORMSDIST(Q$9*SQRT($C$11)*NORMSINV($B804)+SQRT(1-Q$9^2*$C$11)*NORMSINV(P804)))*(Q$7-Q$5)*(Q$7-Q$6))))</f>
        <v>0.0556178490708548</v>
      </c>
      <c r="R804" s="2" t="n">
        <v>0.972725609</v>
      </c>
      <c r="S804" s="2" t="n">
        <f aca="false">IF(S$7=S$5,S$6,IF(NORMSDIST(S$9*SQRT($C$11)*NORMSINV($B804)+SQRT(1-S$9^2*$C$11)*NORMSINV(R804))&lt;S$8,S$5+SQRT(NORMSDIST(S$9*SQRT($C$11)*NORMSINV($B804)+SQRT(1-S$9^2*$C$11)*NORMSINV(R804))*(S$7-S$5)*(S$6-S$5)),S$7-SQRT((1-NORMSDIST(S$9*SQRT($C$11)*NORMSINV($B804)+SQRT(1-S$9^2*$C$11)*NORMSINV(R804)))*(S$7-S$5)*(S$7-S$6))))</f>
        <v>0.894881322791203</v>
      </c>
      <c r="T804" s="2" t="n">
        <v>0.324461128</v>
      </c>
      <c r="U804" s="2" t="n">
        <f aca="false">IF(U$7=U$5,U$6,IF(NORMSDIST(U$9*SQRT($C$11)*NORMSINV($B804)+SQRT(1-U$9^2*$C$11)*NORMSINV(T804))&lt;U$8,U$5+SQRT(NORMSDIST(U$9*SQRT($C$11)*NORMSINV($B804)+SQRT(1-U$9^2*$C$11)*NORMSINV(T804))*(U$7-U$5)*(U$6-U$5)),U$7-SQRT((1-NORMSDIST(U$9*SQRT($C$11)*NORMSINV($B804)+SQRT(1-U$9^2*$C$11)*NORMSINV(T804)))*(U$7-U$5)*(U$7-U$6))))</f>
        <v>0.535059835458677</v>
      </c>
      <c r="V804" s="2" t="n">
        <v>0.380794769</v>
      </c>
      <c r="W804" s="2" t="n">
        <f aca="false">IF(W$7=W$5,W$6,IF(NORMSDIST(W$9*SQRT($C$11)*NORMSINV($B804)+SQRT(1-W$9^2*$C$11)*NORMSINV(V804))&lt;W$8,W$5+SQRT(NORMSDIST(W$9*SQRT($C$11)*NORMSINV($B804)+SQRT(1-W$9^2*$C$11)*NORMSINV(V804))*(W$7-W$5)*(W$6-W$5)),W$7-SQRT((1-NORMSDIST(W$9*SQRT($C$11)*NORMSINV($B804)+SQRT(1-W$9^2*$C$11)*NORMSINV(V804)))*(W$7-W$5)*(W$7-W$6))))</f>
        <v>10.2412476341654</v>
      </c>
      <c r="X804" s="2" t="n">
        <v>0.800164182</v>
      </c>
      <c r="Y804" s="2" t="n">
        <f aca="false">IF(Y$7=Y$5,Y$6,IF(NORMSDIST(Y$9*SQRT($C$11)*NORMSINV($B804)+SQRT(1-Y$9^2*$C$11)*NORMSINV(X804))&lt;Y$8,Y$5+SQRT(NORMSDIST(Y$9*SQRT($C$11)*NORMSINV($B804)+SQRT(1-Y$9^2*$C$11)*NORMSINV(X804))*(Y$7-Y$5)*(Y$6-Y$5)),Y$7-SQRT((1-NORMSDIST(Y$9*SQRT($C$11)*NORMSINV($B804)+SQRT(1-Y$9^2*$C$11)*NORMSINV(X804)))*(Y$7-Y$5)*(Y$7-Y$6))))</f>
        <v>0.683902057899771</v>
      </c>
      <c r="Z804" s="2" t="n">
        <v>0.357100905</v>
      </c>
      <c r="AA804" s="2" t="n">
        <f aca="false">IF(AA$7=AA$5,AA$6,IF(NORMSDIST(AA$9*SQRT($C$11)*NORMSINV($B804)+SQRT(1-AA$9^2*$C$11)*NORMSINV(Z804))&lt;AA$8,AA$5+SQRT(NORMSDIST(AA$9*SQRT($C$11)*NORMSINV($B804)+SQRT(1-AA$9^2*$C$11)*NORMSINV(Z804))*(AA$7-AA$5)*(AA$6-AA$5)),AA$7-SQRT((1-NORMSDIST(AA$9*SQRT($C$11)*NORMSINV($B804)+SQRT(1-AA$9^2*$C$11)*NORMSINV(Z804)))*(AA$7-AA$5)*(AA$7-AA$6))))</f>
        <v>0.73101379018735</v>
      </c>
      <c r="AB804" s="2" t="n">
        <v>0.373482042</v>
      </c>
      <c r="AC804" s="2" t="n">
        <f aca="false">IF(AC$7=AC$5,AC$6,IF(NORMSDIST(AC$9*SQRT($C$11)*NORMSINV($B804)+SQRT(1-AC$9^2*$C$11)*NORMSINV(AB804))&lt;AC$8,AC$5+SQRT(NORMSDIST(AC$9*SQRT($C$11)*NORMSINV($B804)+SQRT(1-AC$9^2*$C$11)*NORMSINV(AB804))*(AC$7-AC$5)*(AC$6-AC$5)),AC$7-SQRT((1-NORMSDIST(AC$9*SQRT($C$11)*NORMSINV($B804)+SQRT(1-AC$9^2*$C$11)*NORMSINV(AB804)))*(AC$7-AC$5)*(AC$7-AC$6))))</f>
        <v>9.691270247795</v>
      </c>
      <c r="AD804" s="2" t="n">
        <f aca="false">Entrées!$C$8*(1+E804)</f>
        <v>7450.75449739799</v>
      </c>
      <c r="AE804" s="2" t="n">
        <f aca="false">I804*Hypothèses!$J$24/12/Hypothèses!$J$19</f>
        <v>104.573273322421</v>
      </c>
      <c r="AF804" s="2" t="n">
        <f aca="false">Entrées!$C$36*S804*1000</f>
        <v>447.440661395602</v>
      </c>
      <c r="AG804" s="2" t="n">
        <f aca="false">-AF804/W804</f>
        <v>-43.6900539249646</v>
      </c>
      <c r="AH804" s="2" t="n">
        <f aca="false">AD804+AE804+AG804</f>
        <v>7511.63771679545</v>
      </c>
      <c r="AI804" s="2" t="n">
        <f aca="false">Entrées!$C$16-M804+Hypothèses!$J$22*1000-AF804+Hypothèses!$J$23</f>
        <v>22418.1277811308</v>
      </c>
      <c r="AJ804" s="2" t="n">
        <f aca="false">AI804/AH804</f>
        <v>2.98445274204394</v>
      </c>
      <c r="AK804" s="2" t="n">
        <f aca="false">AI804/(AH804+I804*(12-Hypothèses!$J$24)/12/Hypothèses!$J$19)</f>
        <v>2.9550677568597</v>
      </c>
      <c r="AL804" s="2" t="n">
        <f aca="false">(AD804+AG804+I804/Hypothèses!$J$19)*(1+G804)</f>
        <v>8074.36606998133</v>
      </c>
      <c r="AM804" s="2" t="n">
        <f aca="false">Entrées!$C$54*K804/Hypothèses!$J$19</f>
        <v>23.3888026864453</v>
      </c>
      <c r="AN804" s="2" t="n">
        <f aca="false">Y804*1000/AC804</f>
        <v>70.5688769803293</v>
      </c>
      <c r="AO804" s="2" t="n">
        <f aca="false">(Entrées!$C$36*(1-S804)+MAX(0,Entrées!$C$30-Entrées!$C$35-Entrées!$C$36)*U804)*1000</f>
        <v>801.643108246546</v>
      </c>
      <c r="AP804" s="2" t="n">
        <f aca="false">-AO804/W804</f>
        <v>-78.2759227081101</v>
      </c>
      <c r="AQ804" s="2" t="n">
        <f aca="false">AL804+AM804+AN804+AP804</f>
        <v>8090.04782693999</v>
      </c>
      <c r="AR804" s="2" t="n">
        <f aca="false">O804*AQ804-Hypothèses!$J$25/Hypothèses!$J$19</f>
        <v>1304.8098371887</v>
      </c>
      <c r="AS804" s="2" t="n">
        <f aca="false">Entrées!$C$79*(1+Q804)+Hypothèses!$J$20</f>
        <v>1455.12401612887</v>
      </c>
      <c r="AT804" s="2" t="n">
        <f aca="false">AI804-AR804+AS804+Y804*1000-AO804+Hypothèses!$J$23</f>
        <v>22450.7009097242</v>
      </c>
      <c r="AU804" s="2" t="n">
        <f aca="false">AT804/AQ804</f>
        <v>2.7751011353682</v>
      </c>
      <c r="AV804" s="2" t="n">
        <f aca="false">Hypothèses!$J$26*AQ804-AT804</f>
        <v>1819.44257109574</v>
      </c>
      <c r="AW804" s="2" t="n">
        <f aca="false">IF(AC804&gt;Hypothèses!$J$26,MAX(0,AV804)/(1-Hypothèses!$J$26/AC804),0)</f>
        <v>2635.18121430566</v>
      </c>
      <c r="AX804" s="2" t="n">
        <f aca="false">AQ804-Entrées!$C$17*1000</f>
        <v>90.0478269399928</v>
      </c>
      <c r="AY804" s="2" t="n">
        <f aca="false">AI804+(Entrées!$C$244-Entrées!$C$13)</f>
        <v>28165.1277811308</v>
      </c>
      <c r="AZ804" s="2" t="n">
        <f aca="false">AA804*AH804</f>
        <v>5491.1107578689</v>
      </c>
      <c r="BA804" s="2" t="n">
        <f aca="false">AZ804/AY804</f>
        <v>0.19496132950434</v>
      </c>
      <c r="BB804" s="2" t="n">
        <f aca="false">AZ804/(Entrées!$C$151/100)-AY804</f>
        <v>2341.04309591858</v>
      </c>
      <c r="BC804" s="2" t="n">
        <f aca="false">AT804+(Entrées!$C$244-Entrées!$C$13)</f>
        <v>28197.7009097242</v>
      </c>
      <c r="BD804" s="2" t="n">
        <f aca="false">AA804*AQ804</f>
        <v>5913.93652476834</v>
      </c>
      <c r="BE804" s="2" t="n">
        <f aca="false">BD804/BC804</f>
        <v>0.209731160129047</v>
      </c>
      <c r="BF804" s="2" t="n">
        <f aca="false">BD804/(Entrées!$C$151/100)-BC804</f>
        <v>4657.50200565544</v>
      </c>
      <c r="BG804" s="2" t="n">
        <f aca="false">MIN(AV804,BF804)</f>
        <v>1819.44257109574</v>
      </c>
      <c r="BH804" s="2" t="n">
        <f aca="false">IF(AC804&gt;Hypothèses!$J$26,MAX(0,BG804)/(1-Hypothèses!$J$26/AC804),0)</f>
        <v>2635.18121430566</v>
      </c>
    </row>
    <row r="805" customFormat="false" ht="15" hidden="false" customHeight="false" outlineLevel="0" collapsed="false">
      <c r="A805" s="2" t="n">
        <v>790</v>
      </c>
      <c r="B805" s="2" t="n">
        <v>0.364711824</v>
      </c>
      <c r="C805" s="2"/>
      <c r="D805" s="2" t="n">
        <v>0.741321026</v>
      </c>
      <c r="E805" s="2" t="n">
        <f aca="false">IF(E$7=E$5,E$6,IF(NORMSDIST(E$9*SQRT($C$11)*NORMSINV($B805)+SQRT(1-E$9^2*$C$11)*NORMSINV(D805))&lt;E$8,E$5+SQRT(NORMSDIST(E$9*SQRT($C$11)*NORMSINV($B805)+SQRT(1-E$9^2*$C$11)*NORMSINV(D805))*(E$7-E$5)*(E$6-E$5)),E$7-SQRT((1-NORMSDIST(E$9*SQRT($C$11)*NORMSINV($B805)+SQRT(1-E$9^2*$C$11)*NORMSINV(D805)))*(E$7-E$5)*(E$7-E$6))))</f>
        <v>0.0555915325109039</v>
      </c>
      <c r="F805" s="2" t="n">
        <v>0.785021724</v>
      </c>
      <c r="G805" s="2" t="n">
        <f aca="false">IF(G$7=G$5,G$6,IF(NORMSDIST(G$9*SQRT($C$11)*NORMSINV($B805)+SQRT(1-G$9^2*$C$11)*NORMSINV(F805))&lt;G$8,G$5+SQRT(NORMSDIST(G$9*SQRT($C$11)*NORMSINV($B805)+SQRT(1-G$9^2*$C$11)*NORMSINV(F805))*(G$7-G$5)*(G$6-G$5)),G$7-SQRT((1-NORMSDIST(G$9*SQRT($C$11)*NORMSINV($B805)+SQRT(1-G$9^2*$C$11)*NORMSINV(F805)))*(G$7-G$5)*(G$7-G$6))))</f>
        <v>0.0574984743634531</v>
      </c>
      <c r="H805" s="2" t="n">
        <v>0.439570867</v>
      </c>
      <c r="I805" s="2" t="n">
        <f aca="false">IF(I$7=I$5,I$6,IF(NORMSDIST(I$9*SQRT($C$11)*NORMSINV($B805)+SQRT(1-I$9^2*$C$11)*NORMSINV(H805))&lt;I$8,I$5+SQRT(NORMSDIST(I$9*SQRT($C$11)*NORMSINV($B805)+SQRT(1-I$9^2*$C$11)*NORMSINV(H805))*(I$7-I$5)*(I$6-I$5)),I$7-SQRT((1-NORMSDIST(I$9*SQRT($C$11)*NORMSINV($B805)+SQRT(1-I$9^2*$C$11)*NORMSINV(H805)))*(I$7-I$5)*(I$7-I$6))))</f>
        <v>197.163452235392</v>
      </c>
      <c r="J805" s="2" t="n">
        <v>0.194841215</v>
      </c>
      <c r="K805" s="2" t="n">
        <f aca="false">IF(K$7=K$5,K$6,IF(NORMSDIST(K$9*SQRT($C$11)*NORMSINV($B805)+SQRT(1-K$9^2*$C$11)*NORMSINV(J805))&lt;K$8,K$5+SQRT(NORMSDIST(K$9*SQRT($C$11)*NORMSINV($B805)+SQRT(1-K$9^2*$C$11)*NORMSINV(J805))*(K$7-K$5)*(K$6-K$5)),K$7-SQRT((1-NORMSDIST(K$9*SQRT($C$11)*NORMSINV($B805)+SQRT(1-K$9^2*$C$11)*NORMSINV(J805)))*(K$7-K$5)*(K$7-K$6))))</f>
        <v>0.153321937387522</v>
      </c>
      <c r="L805" s="2" t="n">
        <v>0.915179872</v>
      </c>
      <c r="M805" s="2" t="n">
        <f aca="false">IF(M$7=M$5,M$6,IF(NORMSDIST(M$9*SQRT($C$11)*NORMSINV($B805)+SQRT(1-M$9^2*$C$11)*NORMSINV(L805))&lt;M$8,M$5+SQRT(NORMSDIST(M$9*SQRT($C$11)*NORMSINV($B805)+SQRT(1-M$9^2*$C$11)*NORMSINV(L805))*(M$7-M$5)*(M$6-M$5)),M$7-SQRT((1-NORMSDIST(M$9*SQRT($C$11)*NORMSINV($B805)+SQRT(1-M$9^2*$C$11)*NORMSINV(L805)))*(M$7-M$5)*(M$7-M$6))))</f>
        <v>1666.01997718645</v>
      </c>
      <c r="N805" s="2" t="n">
        <v>0.553097909</v>
      </c>
      <c r="O805" s="2" t="n">
        <f aca="false">IF(O$7=O$5,O$6,IF(NORMSDIST(O$9*SQRT($C$11)*NORMSINV($B805)+SQRT(1-O$9^2*$C$11)*NORMSINV(N805))&lt;O$8,O$5+SQRT(NORMSDIST(O$9*SQRT($C$11)*NORMSINV($B805)+SQRT(1-O$9^2*$C$11)*NORMSINV(N805))*(O$7-O$5)*(O$6-O$5)),O$7-SQRT((1-NORMSDIST(O$9*SQRT($C$11)*NORMSINV($B805)+SQRT(1-O$9^2*$C$11)*NORMSINV(N805)))*(O$7-O$5)*(O$7-O$6))))</f>
        <v>0.165524942812937</v>
      </c>
      <c r="P805" s="2" t="n">
        <v>0.567722585</v>
      </c>
      <c r="Q805" s="2" t="n">
        <f aca="false">IF(Q$7=Q$5,Q$6,IF(NORMSDIST(Q$9*SQRT($C$11)*NORMSINV($B805)+SQRT(1-Q$9^2*$C$11)*NORMSINV(P805))&lt;Q$8,Q$5+SQRT(NORMSDIST(Q$9*SQRT($C$11)*NORMSINV($B805)+SQRT(1-Q$9^2*$C$11)*NORMSINV(P805))*(Q$7-Q$5)*(Q$6-Q$5)),Q$7-SQRT((1-NORMSDIST(Q$9*SQRT($C$11)*NORMSINV($B805)+SQRT(1-Q$9^2*$C$11)*NORMSINV(P805)))*(Q$7-Q$5)*(Q$7-Q$6))))</f>
        <v>0.0828074237515065</v>
      </c>
      <c r="R805" s="2" t="n">
        <v>0.073998984</v>
      </c>
      <c r="S805" s="2" t="n">
        <f aca="false">IF(S$7=S$5,S$6,IF(NORMSDIST(S$9*SQRT($C$11)*NORMSINV($B805)+SQRT(1-S$9^2*$C$11)*NORMSINV(R805))&lt;S$8,S$5+SQRT(NORMSDIST(S$9*SQRT($C$11)*NORMSINV($B805)+SQRT(1-S$9^2*$C$11)*NORMSINV(R805))*(S$7-S$5)*(S$6-S$5)),S$7-SQRT((1-NORMSDIST(S$9*SQRT($C$11)*NORMSINV($B805)+SQRT(1-S$9^2*$C$11)*NORMSINV(R805)))*(S$7-S$5)*(S$7-S$6))))</f>
        <v>0.212406085557192</v>
      </c>
      <c r="T805" s="2" t="n">
        <v>0.029779635</v>
      </c>
      <c r="U805" s="2" t="n">
        <f aca="false">IF(U$7=U$5,U$6,IF(NORMSDIST(U$9*SQRT($C$11)*NORMSINV($B805)+SQRT(1-U$9^2*$C$11)*NORMSINV(T805))&lt;U$8,U$5+SQRT(NORMSDIST(U$9*SQRT($C$11)*NORMSINV($B805)+SQRT(1-U$9^2*$C$11)*NORMSINV(T805))*(U$7-U$5)*(U$6-U$5)),U$7-SQRT((1-NORMSDIST(U$9*SQRT($C$11)*NORMSINV($B805)+SQRT(1-U$9^2*$C$11)*NORMSINV(T805)))*(U$7-U$5)*(U$7-U$6))))</f>
        <v>0.15274233479512</v>
      </c>
      <c r="V805" s="2" t="n">
        <v>0.735540855</v>
      </c>
      <c r="W805" s="2" t="n">
        <f aca="false">IF(W$7=W$5,W$6,IF(NORMSDIST(W$9*SQRT($C$11)*NORMSINV($B805)+SQRT(1-W$9^2*$C$11)*NORMSINV(V805))&lt;W$8,W$5+SQRT(NORMSDIST(W$9*SQRT($C$11)*NORMSINV($B805)+SQRT(1-W$9^2*$C$11)*NORMSINV(V805))*(W$7-W$5)*(W$6-W$5)),W$7-SQRT((1-NORMSDIST(W$9*SQRT($C$11)*NORMSINV($B805)+SQRT(1-W$9^2*$C$11)*NORMSINV(V805)))*(W$7-W$5)*(W$7-W$6))))</f>
        <v>10.2246655582611</v>
      </c>
      <c r="X805" s="2" t="n">
        <v>0.22114842</v>
      </c>
      <c r="Y805" s="2" t="n">
        <f aca="false">IF(Y$7=Y$5,Y$6,IF(NORMSDIST(Y$9*SQRT($C$11)*NORMSINV($B805)+SQRT(1-Y$9^2*$C$11)*NORMSINV(X805))&lt;Y$8,Y$5+SQRT(NORMSDIST(Y$9*SQRT($C$11)*NORMSINV($B805)+SQRT(1-Y$9^2*$C$11)*NORMSINV(X805))*(Y$7-Y$5)*(Y$6-Y$5)),Y$7-SQRT((1-NORMSDIST(Y$9*SQRT($C$11)*NORMSINV($B805)+SQRT(1-Y$9^2*$C$11)*NORMSINV(X805)))*(Y$7-Y$5)*(Y$7-Y$6))))</f>
        <v>0.332527006422035</v>
      </c>
      <c r="Z805" s="2" t="n">
        <v>0.574605857</v>
      </c>
      <c r="AA805" s="2" t="n">
        <f aca="false">IF(AA$7=AA$5,AA$6,IF(NORMSDIST(AA$9*SQRT($C$11)*NORMSINV($B805)+SQRT(1-AA$9^2*$C$11)*NORMSINV(Z805))&lt;AA$8,AA$5+SQRT(NORMSDIST(AA$9*SQRT($C$11)*NORMSINV($B805)+SQRT(1-AA$9^2*$C$11)*NORMSINV(Z805))*(AA$7-AA$5)*(AA$6-AA$5)),AA$7-SQRT((1-NORMSDIST(AA$9*SQRT($C$11)*NORMSINV($B805)+SQRT(1-AA$9^2*$C$11)*NORMSINV(Z805)))*(AA$7-AA$5)*(AA$7-AA$6))))</f>
        <v>0.727084024576072</v>
      </c>
      <c r="AB805" s="2" t="n">
        <v>0.626853413</v>
      </c>
      <c r="AC805" s="2" t="n">
        <f aca="false">IF(AC$7=AC$5,AC$6,IF(NORMSDIST(AC$9*SQRT($C$11)*NORMSINV($B805)+SQRT(1-AC$9^2*$C$11)*NORMSINV(AB805))&lt;AC$8,AC$5+SQRT(NORMSDIST(AC$9*SQRT($C$11)*NORMSINV($B805)+SQRT(1-AC$9^2*$C$11)*NORMSINV(AB805))*(AC$7-AC$5)*(AC$6-AC$5)),AC$7-SQRT((1-NORMSDIST(AC$9*SQRT($C$11)*NORMSINV($B805)+SQRT(1-AC$9^2*$C$11)*NORMSINV(AB805)))*(AC$7-AC$5)*(AC$7-AC$6))))</f>
        <v>9.50469593747225</v>
      </c>
      <c r="AD805" s="2" t="n">
        <f aca="false">Entrées!$C$8*(1+E805)</f>
        <v>7441.92030420187</v>
      </c>
      <c r="AE805" s="2" t="n">
        <f aca="false">I805*Hypothèses!$J$24/12/Hypothèses!$J$19</f>
        <v>97.8121576078001</v>
      </c>
      <c r="AF805" s="2" t="n">
        <f aca="false">Entrées!$C$36*S805*1000</f>
        <v>106.203042778596</v>
      </c>
      <c r="AG805" s="2" t="n">
        <f aca="false">-AF805/W805</f>
        <v>-10.3869453894058</v>
      </c>
      <c r="AH805" s="2" t="n">
        <f aca="false">AD805+AE805+AG805</f>
        <v>7529.34551642027</v>
      </c>
      <c r="AI805" s="2" t="n">
        <f aca="false">Entrées!$C$16-M805+Hypothèses!$J$22*1000-AF805+Hypothèses!$J$23</f>
        <v>22775.776980035</v>
      </c>
      <c r="AJ805" s="2" t="n">
        <f aca="false">AI805/AH805</f>
        <v>3.02493449535085</v>
      </c>
      <c r="AK805" s="2" t="n">
        <f aca="false">AI805/(AH805+I805*(12-Hypothèses!$J$24)/12/Hypothèses!$J$19)</f>
        <v>2.99712377392513</v>
      </c>
      <c r="AL805" s="2" t="n">
        <f aca="false">(AD805+AG805+I805/Hypothèses!$J$19)*(1+G805)</f>
        <v>8036.1544018872</v>
      </c>
      <c r="AM805" s="2" t="n">
        <f aca="false">Entrées!$C$54*K805/Hypothèses!$J$19</f>
        <v>15.6471474676112</v>
      </c>
      <c r="AN805" s="2" t="n">
        <f aca="false">Y805*1000/AC805</f>
        <v>34.9855491022125</v>
      </c>
      <c r="AO805" s="2" t="n">
        <f aca="false">(Entrées!$C$36*(1-S805)+MAX(0,Entrées!$C$30-Entrées!$C$35-Entrées!$C$36)*U805)*1000</f>
        <v>607.636225934572</v>
      </c>
      <c r="AP805" s="2" t="n">
        <f aca="false">-AO805/W805</f>
        <v>-59.42846956433</v>
      </c>
      <c r="AQ805" s="2" t="n">
        <f aca="false">AL805+AM805+AN805+AP805</f>
        <v>8027.35862889269</v>
      </c>
      <c r="AR805" s="2" t="n">
        <f aca="false">O805*AQ805-Hypothèses!$J$25/Hypothèses!$J$19</f>
        <v>1309.59291572477</v>
      </c>
      <c r="AS805" s="2" t="n">
        <f aca="false">Entrées!$C$79*(1+Q805)+Hypothèses!$J$20</f>
        <v>1485.00535870291</v>
      </c>
      <c r="AT805" s="2" t="n">
        <f aca="false">AI805-AR805+AS805+Y805*1000-AO805+Hypothèses!$J$23</f>
        <v>22676.0802035006</v>
      </c>
      <c r="AU805" s="2" t="n">
        <f aca="false">AT805/AQ805</f>
        <v>2.82484952421124</v>
      </c>
      <c r="AV805" s="2" t="n">
        <f aca="false">Hypothèses!$J$26*AQ805-AT805</f>
        <v>1405.99568317753</v>
      </c>
      <c r="AW805" s="2" t="n">
        <f aca="false">IF(AC805&gt;Hypothèses!$J$26,MAX(0,AV805)/(1-Hypothèses!$J$26/AC805),0)</f>
        <v>2054.44829188958</v>
      </c>
      <c r="AX805" s="2" t="n">
        <f aca="false">AQ805-Entrées!$C$17*1000</f>
        <v>27.3586288926927</v>
      </c>
      <c r="AY805" s="2" t="n">
        <f aca="false">AI805+(Entrées!$C$244-Entrées!$C$13)</f>
        <v>28522.776980035</v>
      </c>
      <c r="AZ805" s="2" t="n">
        <f aca="false">AA805*AH805</f>
        <v>5474.46684050265</v>
      </c>
      <c r="BA805" s="2" t="n">
        <f aca="false">AZ805/AY805</f>
        <v>0.191933164303553</v>
      </c>
      <c r="BB805" s="2" t="n">
        <f aca="false">AZ805/(Entrées!$C$151/100)-AY805</f>
        <v>1890.92768942419</v>
      </c>
      <c r="BC805" s="2" t="n">
        <f aca="false">AT805+(Entrées!$C$244-Entrées!$C$13)</f>
        <v>28423.0802035006</v>
      </c>
      <c r="BD805" s="2" t="n">
        <f aca="false">AA805*AQ805</f>
        <v>5836.56421861075</v>
      </c>
      <c r="BE805" s="2" t="n">
        <f aca="false">BD805/BC805</f>
        <v>0.205345943396097</v>
      </c>
      <c r="BF805" s="2" t="n">
        <f aca="false">BD805/(Entrées!$C$151/100)-BC805</f>
        <v>4002.2765665592</v>
      </c>
      <c r="BG805" s="2" t="n">
        <f aca="false">MIN(AV805,BF805)</f>
        <v>1405.99568317753</v>
      </c>
      <c r="BH805" s="2" t="n">
        <f aca="false">IF(AC805&gt;Hypothèses!$J$26,MAX(0,BG805)/(1-Hypothèses!$J$26/AC805),0)</f>
        <v>2054.44829188958</v>
      </c>
    </row>
    <row r="806" customFormat="false" ht="15" hidden="false" customHeight="false" outlineLevel="0" collapsed="false">
      <c r="A806" s="2" t="n">
        <v>791</v>
      </c>
      <c r="B806" s="2" t="n">
        <v>0.490961577</v>
      </c>
      <c r="C806" s="2"/>
      <c r="D806" s="2" t="n">
        <v>0.204826853</v>
      </c>
      <c r="E806" s="2" t="n">
        <f aca="false">IF(E$7=E$5,E$6,IF(NORMSDIST(E$9*SQRT($C$11)*NORMSINV($B806)+SQRT(1-E$9^2*$C$11)*NORMSINV(D806))&lt;E$8,E$5+SQRT(NORMSDIST(E$9*SQRT($C$11)*NORMSINV($B806)+SQRT(1-E$9^2*$C$11)*NORMSINV(D806))*(E$7-E$5)*(E$6-E$5)),E$7-SQRT((1-NORMSDIST(E$9*SQRT($C$11)*NORMSINV($B806)+SQRT(1-E$9^2*$C$11)*NORMSINV(D806)))*(E$7-E$5)*(E$7-E$6))))</f>
        <v>0.0535838677139461</v>
      </c>
      <c r="F806" s="2" t="n">
        <v>0.932106516</v>
      </c>
      <c r="G806" s="2" t="n">
        <f aca="false">IF(G$7=G$5,G$6,IF(NORMSDIST(G$9*SQRT($C$11)*NORMSINV($B806)+SQRT(1-G$9^2*$C$11)*NORMSINV(F806))&lt;G$8,G$5+SQRT(NORMSDIST(G$9*SQRT($C$11)*NORMSINV($B806)+SQRT(1-G$9^2*$C$11)*NORMSINV(F806))*(G$7-G$5)*(G$6-G$5)),G$7-SQRT((1-NORMSDIST(G$9*SQRT($C$11)*NORMSINV($B806)+SQRT(1-G$9^2*$C$11)*NORMSINV(F806)))*(G$7-G$5)*(G$7-G$6))))</f>
        <v>0.0624428472973163</v>
      </c>
      <c r="H806" s="2" t="n">
        <v>0.274914326</v>
      </c>
      <c r="I806" s="2" t="n">
        <f aca="false">IF(I$7=I$5,I$6,IF(NORMSDIST(I$9*SQRT($C$11)*NORMSINV($B806)+SQRT(1-I$9^2*$C$11)*NORMSINV(H806))&lt;I$8,I$5+SQRT(NORMSDIST(I$9*SQRT($C$11)*NORMSINV($B806)+SQRT(1-I$9^2*$C$11)*NORMSINV(H806))*(I$7-I$5)*(I$6-I$5)),I$7-SQRT((1-NORMSDIST(I$9*SQRT($C$11)*NORMSINV($B806)+SQRT(1-I$9^2*$C$11)*NORMSINV(H806)))*(I$7-I$5)*(I$7-I$6))))</f>
        <v>195.911870866083</v>
      </c>
      <c r="J806" s="2" t="n">
        <v>0.090946864</v>
      </c>
      <c r="K806" s="2" t="n">
        <f aca="false">IF(K$7=K$5,K$6,IF(NORMSDIST(K$9*SQRT($C$11)*NORMSINV($B806)+SQRT(1-K$9^2*$C$11)*NORMSINV(J806))&lt;K$8,K$5+SQRT(NORMSDIST(K$9*SQRT($C$11)*NORMSINV($B806)+SQRT(1-K$9^2*$C$11)*NORMSINV(J806))*(K$7-K$5)*(K$6-K$5)),K$7-SQRT((1-NORMSDIST(K$9*SQRT($C$11)*NORMSINV($B806)+SQRT(1-K$9^2*$C$11)*NORMSINV(J806)))*(K$7-K$5)*(K$7-K$6))))</f>
        <v>0.135661716323794</v>
      </c>
      <c r="L806" s="2" t="n">
        <v>0.326611393</v>
      </c>
      <c r="M806" s="2" t="n">
        <f aca="false">IF(M$7=M$5,M$6,IF(NORMSDIST(M$9*SQRT($C$11)*NORMSINV($B806)+SQRT(1-M$9^2*$C$11)*NORMSINV(L806))&lt;M$8,M$5+SQRT(NORMSDIST(M$9*SQRT($C$11)*NORMSINV($B806)+SQRT(1-M$9^2*$C$11)*NORMSINV(L806))*(M$7-M$5)*(M$6-M$5)),M$7-SQRT((1-NORMSDIST(M$9*SQRT($C$11)*NORMSINV($B806)+SQRT(1-M$9^2*$C$11)*NORMSINV(L806)))*(M$7-M$5)*(M$7-M$6))))</f>
        <v>1542.12911621834</v>
      </c>
      <c r="N806" s="2" t="n">
        <v>0.280927518</v>
      </c>
      <c r="O806" s="2" t="n">
        <f aca="false">IF(O$7=O$5,O$6,IF(NORMSDIST(O$9*SQRT($C$11)*NORMSINV($B806)+SQRT(1-O$9^2*$C$11)*NORMSINV(N806))&lt;O$8,O$5+SQRT(NORMSDIST(O$9*SQRT($C$11)*NORMSINV($B806)+SQRT(1-O$9^2*$C$11)*NORMSINV(N806))*(O$7-O$5)*(O$6-O$5)),O$7-SQRT((1-NORMSDIST(O$9*SQRT($C$11)*NORMSINV($B806)+SQRT(1-O$9^2*$C$11)*NORMSINV(N806)))*(O$7-O$5)*(O$7-O$6))))</f>
        <v>0.161475887441457</v>
      </c>
      <c r="P806" s="2" t="n">
        <v>0.068069375</v>
      </c>
      <c r="Q806" s="2" t="n">
        <f aca="false">IF(Q$7=Q$5,Q$6,IF(NORMSDIST(Q$9*SQRT($C$11)*NORMSINV($B806)+SQRT(1-Q$9^2*$C$11)*NORMSINV(P806))&lt;Q$8,Q$5+SQRT(NORMSDIST(Q$9*SQRT($C$11)*NORMSINV($B806)+SQRT(1-Q$9^2*$C$11)*NORMSINV(P806))*(Q$7-Q$5)*(Q$6-Q$5)),Q$7-SQRT((1-NORMSDIST(Q$9*SQRT($C$11)*NORMSINV($B806)+SQRT(1-Q$9^2*$C$11)*NORMSINV(P806)))*(Q$7-Q$5)*(Q$7-Q$6))))</f>
        <v>0.0547587939886699</v>
      </c>
      <c r="R806" s="2" t="n">
        <v>0.949047571</v>
      </c>
      <c r="S806" s="2" t="n">
        <f aca="false">IF(S$7=S$5,S$6,IF(NORMSDIST(S$9*SQRT($C$11)*NORMSINV($B806)+SQRT(1-S$9^2*$C$11)*NORMSINV(R806))&lt;S$8,S$5+SQRT(NORMSDIST(S$9*SQRT($C$11)*NORMSINV($B806)+SQRT(1-S$9^2*$C$11)*NORMSINV(R806))*(S$7-S$5)*(S$6-S$5)),S$7-SQRT((1-NORMSDIST(S$9*SQRT($C$11)*NORMSINV($B806)+SQRT(1-S$9^2*$C$11)*NORMSINV(R806)))*(S$7-S$5)*(S$7-S$6))))</f>
        <v>0.770693237133844</v>
      </c>
      <c r="T806" s="2" t="n">
        <v>0.452470806</v>
      </c>
      <c r="U806" s="2" t="n">
        <f aca="false">IF(U$7=U$5,U$6,IF(NORMSDIST(U$9*SQRT($C$11)*NORMSINV($B806)+SQRT(1-U$9^2*$C$11)*NORMSINV(T806))&lt;U$8,U$5+SQRT(NORMSDIST(U$9*SQRT($C$11)*NORMSINV($B806)+SQRT(1-U$9^2*$C$11)*NORMSINV(T806))*(U$7-U$5)*(U$6-U$5)),U$7-SQRT((1-NORMSDIST(U$9*SQRT($C$11)*NORMSINV($B806)+SQRT(1-U$9^2*$C$11)*NORMSINV(T806)))*(U$7-U$5)*(U$7-U$6))))</f>
        <v>0.478257546330367</v>
      </c>
      <c r="V806" s="2" t="n">
        <v>0.701330199</v>
      </c>
      <c r="W806" s="2" t="n">
        <f aca="false">IF(W$7=W$5,W$6,IF(NORMSDIST(W$9*SQRT($C$11)*NORMSINV($B806)+SQRT(1-W$9^2*$C$11)*NORMSINV(V806))&lt;W$8,W$5+SQRT(NORMSDIST(W$9*SQRT($C$11)*NORMSINV($B806)+SQRT(1-W$9^2*$C$11)*NORMSINV(V806))*(W$7-W$5)*(W$6-W$5)),W$7-SQRT((1-NORMSDIST(W$9*SQRT($C$11)*NORMSINV($B806)+SQRT(1-W$9^2*$C$11)*NORMSINV(V806)))*(W$7-W$5)*(W$7-W$6))))</f>
        <v>10.3351101966869</v>
      </c>
      <c r="X806" s="2" t="n">
        <v>0.539800695</v>
      </c>
      <c r="Y806" s="2" t="n">
        <f aca="false">IF(Y$7=Y$5,Y$6,IF(NORMSDIST(Y$9*SQRT($C$11)*NORMSINV($B806)+SQRT(1-Y$9^2*$C$11)*NORMSINV(X806))&lt;Y$8,Y$5+SQRT(NORMSDIST(Y$9*SQRT($C$11)*NORMSINV($B806)+SQRT(1-Y$9^2*$C$11)*NORMSINV(X806))*(Y$7-Y$5)*(Y$6-Y$5)),Y$7-SQRT((1-NORMSDIST(Y$9*SQRT($C$11)*NORMSINV($B806)+SQRT(1-Y$9^2*$C$11)*NORMSINV(X806)))*(Y$7-Y$5)*(Y$7-Y$6))))</f>
        <v>0.520312964006739</v>
      </c>
      <c r="Z806" s="2" t="n">
        <v>0.576842326</v>
      </c>
      <c r="AA806" s="2" t="n">
        <f aca="false">IF(AA$7=AA$5,AA$6,IF(NORMSDIST(AA$9*SQRT($C$11)*NORMSINV($B806)+SQRT(1-AA$9^2*$C$11)*NORMSINV(Z806))&lt;AA$8,AA$5+SQRT(NORMSDIST(AA$9*SQRT($C$11)*NORMSINV($B806)+SQRT(1-AA$9^2*$C$11)*NORMSINV(Z806))*(AA$7-AA$5)*(AA$6-AA$5)),AA$7-SQRT((1-NORMSDIST(AA$9*SQRT($C$11)*NORMSINV($B806)+SQRT(1-AA$9^2*$C$11)*NORMSINV(Z806)))*(AA$7-AA$5)*(AA$7-AA$6))))</f>
        <v>0.729773975678433</v>
      </c>
      <c r="AB806" s="2" t="n">
        <v>0.531734887</v>
      </c>
      <c r="AC806" s="2" t="n">
        <f aca="false">IF(AC$7=AC$5,AC$6,IF(NORMSDIST(AC$9*SQRT($C$11)*NORMSINV($B806)+SQRT(1-AC$9^2*$C$11)*NORMSINV(AB806))&lt;AC$8,AC$5+SQRT(NORMSDIST(AC$9*SQRT($C$11)*NORMSINV($B806)+SQRT(1-AC$9^2*$C$11)*NORMSINV(AB806))*(AC$7-AC$5)*(AC$6-AC$5)),AC$7-SQRT((1-NORMSDIST(AC$9*SQRT($C$11)*NORMSINV($B806)+SQRT(1-AC$9^2*$C$11)*NORMSINV(AB806)))*(AC$7-AC$5)*(AC$7-AC$6))))</f>
        <v>9.51734640524438</v>
      </c>
      <c r="AD806" s="2" t="n">
        <f aca="false">Entrées!$C$8*(1+E806)</f>
        <v>7427.76626738332</v>
      </c>
      <c r="AE806" s="2" t="n">
        <f aca="false">I806*Hypothèses!$J$24/12/Hypothèses!$J$19</f>
        <v>97.1912520963275</v>
      </c>
      <c r="AF806" s="2" t="n">
        <f aca="false">Entrées!$C$36*S806*1000</f>
        <v>385.346618566922</v>
      </c>
      <c r="AG806" s="2" t="n">
        <f aca="false">-AF806/W806</f>
        <v>-37.2851968903488</v>
      </c>
      <c r="AH806" s="2" t="n">
        <f aca="false">AD806+AE806+AG806</f>
        <v>7487.6723225893</v>
      </c>
      <c r="AI806" s="2" t="n">
        <f aca="false">Entrées!$C$16-M806+Hypothèses!$J$22*1000-AF806+Hypothèses!$J$23</f>
        <v>22620.5242652147</v>
      </c>
      <c r="AJ806" s="2" t="n">
        <f aca="false">AI806/AH806</f>
        <v>3.02103554892108</v>
      </c>
      <c r="AK806" s="2" t="n">
        <f aca="false">AI806/(AH806+I806*(12-Hypothèses!$J$24)/12/Hypothèses!$J$19)</f>
        <v>2.99328317644386</v>
      </c>
      <c r="AL806" s="2" t="n">
        <f aca="false">(AD806+AG806+I806/Hypothèses!$J$19)*(1+G806)</f>
        <v>8028.98115247652</v>
      </c>
      <c r="AM806" s="2" t="n">
        <f aca="false">Entrées!$C$54*K806/Hypothèses!$J$19</f>
        <v>13.8448477575811</v>
      </c>
      <c r="AN806" s="2" t="n">
        <f aca="false">Y806*1000/AC806</f>
        <v>54.6699617574106</v>
      </c>
      <c r="AO806" s="2" t="n">
        <f aca="false">(Entrées!$C$36*(1-S806)+MAX(0,Entrées!$C$30-Entrées!$C$35-Entrées!$C$36)*U806)*1000</f>
        <v>784.213946295592</v>
      </c>
      <c r="AP806" s="2" t="n">
        <f aca="false">-AO806/W806</f>
        <v>-75.8786245498366</v>
      </c>
      <c r="AQ806" s="2" t="n">
        <f aca="false">AL806+AM806+AN806+AP806</f>
        <v>8021.61733744168</v>
      </c>
      <c r="AR806" s="2" t="n">
        <f aca="false">O806*AQ806-Hypothèses!$J$25/Hypothèses!$J$19</f>
        <v>1276.16261601755</v>
      </c>
      <c r="AS806" s="2" t="n">
        <f aca="false">Entrées!$C$79*(1+Q806)+Hypothèses!$J$20</f>
        <v>1454.17991459355</v>
      </c>
      <c r="AT806" s="2" t="n">
        <f aca="false">AI806-AR806+AS806+Y806*1000-AO806+Hypothèses!$J$23</f>
        <v>22534.6405815019</v>
      </c>
      <c r="AU806" s="2" t="n">
        <f aca="false">AT806/AQ806</f>
        <v>2.80923903915477</v>
      </c>
      <c r="AV806" s="2" t="n">
        <f aca="false">Hypothèses!$J$26*AQ806-AT806</f>
        <v>1530.21143082315</v>
      </c>
      <c r="AW806" s="2" t="n">
        <f aca="false">IF(AC806&gt;Hypothèses!$J$26,MAX(0,AV806)/(1-Hypothèses!$J$26/AC806),0)</f>
        <v>2234.58311939497</v>
      </c>
      <c r="AX806" s="2" t="n">
        <f aca="false">AQ806-Entrées!$C$17*1000</f>
        <v>21.6173374416776</v>
      </c>
      <c r="AY806" s="2" t="n">
        <f aca="false">AI806+(Entrées!$C$244-Entrées!$C$13)</f>
        <v>28367.5242652147</v>
      </c>
      <c r="AZ806" s="2" t="n">
        <f aca="false">AA806*AH806</f>
        <v>5464.30839943336</v>
      </c>
      <c r="BA806" s="2" t="n">
        <f aca="false">AZ806/AY806</f>
        <v>0.192625494856239</v>
      </c>
      <c r="BB806" s="2" t="n">
        <f aca="false">AZ806/(Entrées!$C$151/100)-AY806</f>
        <v>1989.74462052614</v>
      </c>
      <c r="BC806" s="2" t="n">
        <f aca="false">AT806+(Entrées!$C$244-Entrées!$C$13)</f>
        <v>28281.6405815019</v>
      </c>
      <c r="BD806" s="2" t="n">
        <f aca="false">AA806*AQ806</f>
        <v>5853.96757571586</v>
      </c>
      <c r="BE806" s="2" t="n">
        <f aca="false">BD806/BC806</f>
        <v>0.206988260063836</v>
      </c>
      <c r="BF806" s="2" t="n">
        <f aca="false">BD806/(Entrées!$C$151/100)-BC806</f>
        <v>4240.40150580844</v>
      </c>
      <c r="BG806" s="2" t="n">
        <f aca="false">MIN(AV806,BF806)</f>
        <v>1530.21143082315</v>
      </c>
      <c r="BH806" s="2" t="n">
        <f aca="false">IF(AC806&gt;Hypothèses!$J$26,MAX(0,BG806)/(1-Hypothèses!$J$26/AC806),0)</f>
        <v>2234.58311939497</v>
      </c>
    </row>
    <row r="807" customFormat="false" ht="15" hidden="false" customHeight="false" outlineLevel="0" collapsed="false">
      <c r="A807" s="2" t="n">
        <v>792</v>
      </c>
      <c r="B807" s="2" t="n">
        <v>0.684759138</v>
      </c>
      <c r="C807" s="2"/>
      <c r="D807" s="2" t="n">
        <v>0.129786261</v>
      </c>
      <c r="E807" s="2" t="n">
        <f aca="false">IF(E$7=E$5,E$6,IF(NORMSDIST(E$9*SQRT($C$11)*NORMSINV($B807)+SQRT(1-E$9^2*$C$11)*NORMSINV(D807))&lt;E$8,E$5+SQRT(NORMSDIST(E$9*SQRT($C$11)*NORMSINV($B807)+SQRT(1-E$9^2*$C$11)*NORMSINV(D807))*(E$7-E$5)*(E$6-E$5)),E$7-SQRT((1-NORMSDIST(E$9*SQRT($C$11)*NORMSINV($B807)+SQRT(1-E$9^2*$C$11)*NORMSINV(D807)))*(E$7-E$5)*(E$7-E$6))))</f>
        <v>0.0537726950119366</v>
      </c>
      <c r="F807" s="2" t="n">
        <v>0.763493569</v>
      </c>
      <c r="G807" s="2" t="n">
        <f aca="false">IF(G$7=G$5,G$6,IF(NORMSDIST(G$9*SQRT($C$11)*NORMSINV($B807)+SQRT(1-G$9^2*$C$11)*NORMSINV(F807))&lt;G$8,G$5+SQRT(NORMSDIST(G$9*SQRT($C$11)*NORMSINV($B807)+SQRT(1-G$9^2*$C$11)*NORMSINV(F807))*(G$7-G$5)*(G$6-G$5)),G$7-SQRT((1-NORMSDIST(G$9*SQRT($C$11)*NORMSINV($B807)+SQRT(1-G$9^2*$C$11)*NORMSINV(F807)))*(G$7-G$5)*(G$7-G$6))))</f>
        <v>0.0606355761713837</v>
      </c>
      <c r="H807" s="2" t="n">
        <v>0.166292379</v>
      </c>
      <c r="I807" s="2" t="n">
        <f aca="false">IF(I$7=I$5,I$6,IF(NORMSDIST(I$9*SQRT($C$11)*NORMSINV($B807)+SQRT(1-I$9^2*$C$11)*NORMSINV(H807))&lt;I$8,I$5+SQRT(NORMSDIST(I$9*SQRT($C$11)*NORMSINV($B807)+SQRT(1-I$9^2*$C$11)*NORMSINV(H807))*(I$7-I$5)*(I$6-I$5)),I$7-SQRT((1-NORMSDIST(I$9*SQRT($C$11)*NORMSINV($B807)+SQRT(1-I$9^2*$C$11)*NORMSINV(H807)))*(I$7-I$5)*(I$7-I$6))))</f>
        <v>196.191287833055</v>
      </c>
      <c r="J807" s="2" t="n">
        <v>0.792875379</v>
      </c>
      <c r="K807" s="2" t="n">
        <f aca="false">IF(K$7=K$5,K$6,IF(NORMSDIST(K$9*SQRT($C$11)*NORMSINV($B807)+SQRT(1-K$9^2*$C$11)*NORMSINV(J807))&lt;K$8,K$5+SQRT(NORMSDIST(K$9*SQRT($C$11)*NORMSINV($B807)+SQRT(1-K$9^2*$C$11)*NORMSINV(J807))*(K$7-K$5)*(K$6-K$5)),K$7-SQRT((1-NORMSDIST(K$9*SQRT($C$11)*NORMSINV($B807)+SQRT(1-K$9^2*$C$11)*NORMSINV(J807)))*(K$7-K$5)*(K$7-K$6))))</f>
        <v>0.352322736432397</v>
      </c>
      <c r="L807" s="2" t="n">
        <v>0.421315139</v>
      </c>
      <c r="M807" s="2" t="n">
        <f aca="false">IF(M$7=M$5,M$6,IF(NORMSDIST(M$9*SQRT($C$11)*NORMSINV($B807)+SQRT(1-M$9^2*$C$11)*NORMSINV(L807))&lt;M$8,M$5+SQRT(NORMSDIST(M$9*SQRT($C$11)*NORMSINV($B807)+SQRT(1-M$9^2*$C$11)*NORMSINV(L807))*(M$7-M$5)*(M$6-M$5)),M$7-SQRT((1-NORMSDIST(M$9*SQRT($C$11)*NORMSINV($B807)+SQRT(1-M$9^2*$C$11)*NORMSINV(L807)))*(M$7-M$5)*(M$7-M$6))))</f>
        <v>1601.74720924332</v>
      </c>
      <c r="N807" s="2" t="n">
        <v>0.905471268</v>
      </c>
      <c r="O807" s="2" t="n">
        <f aca="false">IF(O$7=O$5,O$6,IF(NORMSDIST(O$9*SQRT($C$11)*NORMSINV($B807)+SQRT(1-O$9^2*$C$11)*NORMSINV(N807))&lt;O$8,O$5+SQRT(NORMSDIST(O$9*SQRT($C$11)*NORMSINV($B807)+SQRT(1-O$9^2*$C$11)*NORMSINV(N807))*(O$7-O$5)*(O$6-O$5)),O$7-SQRT((1-NORMSDIST(O$9*SQRT($C$11)*NORMSINV($B807)+SQRT(1-O$9^2*$C$11)*NORMSINV(N807)))*(O$7-O$5)*(O$7-O$6))))</f>
        <v>0.180038741231247</v>
      </c>
      <c r="P807" s="2" t="n">
        <v>0.728456329</v>
      </c>
      <c r="Q807" s="2" t="n">
        <f aca="false">IF(Q$7=Q$5,Q$6,IF(NORMSDIST(Q$9*SQRT($C$11)*NORMSINV($B807)+SQRT(1-Q$9^2*$C$11)*NORMSINV(P807))&lt;Q$8,Q$5+SQRT(NORMSDIST(Q$9*SQRT($C$11)*NORMSINV($B807)+SQRT(1-Q$9^2*$C$11)*NORMSINV(P807))*(Q$7-Q$5)*(Q$6-Q$5)),Q$7-SQRT((1-NORMSDIST(Q$9*SQRT($C$11)*NORMSINV($B807)+SQRT(1-Q$9^2*$C$11)*NORMSINV(P807)))*(Q$7-Q$5)*(Q$7-Q$6))))</f>
        <v>0.0905222160398717</v>
      </c>
      <c r="R807" s="2" t="n">
        <v>0.371718674</v>
      </c>
      <c r="S807" s="2" t="n">
        <f aca="false">IF(S$7=S$5,S$6,IF(NORMSDIST(S$9*SQRT($C$11)*NORMSINV($B807)+SQRT(1-S$9^2*$C$11)*NORMSINV(R807))&lt;S$8,S$5+SQRT(NORMSDIST(S$9*SQRT($C$11)*NORMSINV($B807)+SQRT(1-S$9^2*$C$11)*NORMSINV(R807))*(S$7-S$5)*(S$6-S$5)),S$7-SQRT((1-NORMSDIST(S$9*SQRT($C$11)*NORMSINV($B807)+SQRT(1-S$9^2*$C$11)*NORMSINV(R807)))*(S$7-S$5)*(S$7-S$6))))</f>
        <v>0.510215774584321</v>
      </c>
      <c r="T807" s="2" t="n">
        <v>0.173510478</v>
      </c>
      <c r="U807" s="2" t="n">
        <f aca="false">IF(U$7=U$5,U$6,IF(NORMSDIST(U$9*SQRT($C$11)*NORMSINV($B807)+SQRT(1-U$9^2*$C$11)*NORMSINV(T807))&lt;U$8,U$5+SQRT(NORMSDIST(U$9*SQRT($C$11)*NORMSINV($B807)+SQRT(1-U$9^2*$C$11)*NORMSINV(T807))*(U$7-U$5)*(U$6-U$5)),U$7-SQRT((1-NORMSDIST(U$9*SQRT($C$11)*NORMSINV($B807)+SQRT(1-U$9^2*$C$11)*NORMSINV(T807)))*(U$7-U$5)*(U$7-U$6))))</f>
        <v>0.409706491813017</v>
      </c>
      <c r="V807" s="2" t="n">
        <v>0.889581582</v>
      </c>
      <c r="W807" s="2" t="n">
        <f aca="false">IF(W$7=W$5,W$6,IF(NORMSDIST(W$9*SQRT($C$11)*NORMSINV($B807)+SQRT(1-W$9^2*$C$11)*NORMSINV(V807))&lt;W$8,W$5+SQRT(NORMSDIST(W$9*SQRT($C$11)*NORMSINV($B807)+SQRT(1-W$9^2*$C$11)*NORMSINV(V807))*(W$7-W$5)*(W$6-W$5)),W$7-SQRT((1-NORMSDIST(W$9*SQRT($C$11)*NORMSINV($B807)+SQRT(1-W$9^2*$C$11)*NORMSINV(V807)))*(W$7-W$5)*(W$7-W$6))))</f>
        <v>11.0827069282234</v>
      </c>
      <c r="X807" s="2" t="n">
        <v>0.49014369</v>
      </c>
      <c r="Y807" s="2" t="n">
        <f aca="false">IF(Y$7=Y$5,Y$6,IF(NORMSDIST(Y$9*SQRT($C$11)*NORMSINV($B807)+SQRT(1-Y$9^2*$C$11)*NORMSINV(X807))&lt;Y$8,Y$5+SQRT(NORMSDIST(Y$9*SQRT($C$11)*NORMSINV($B807)+SQRT(1-Y$9^2*$C$11)*NORMSINV(X807))*(Y$7-Y$5)*(Y$6-Y$5)),Y$7-SQRT((1-NORMSDIST(Y$9*SQRT($C$11)*NORMSINV($B807)+SQRT(1-Y$9^2*$C$11)*NORMSINV(X807)))*(Y$7-Y$5)*(Y$7-Y$6))))</f>
        <v>0.495047315920408</v>
      </c>
      <c r="Z807" s="2" t="n">
        <v>0.503680255</v>
      </c>
      <c r="AA807" s="2" t="n">
        <f aca="false">IF(AA$7=AA$5,AA$6,IF(NORMSDIST(AA$9*SQRT($C$11)*NORMSINV($B807)+SQRT(1-AA$9^2*$C$11)*NORMSINV(Z807))&lt;AA$8,AA$5+SQRT(NORMSDIST(AA$9*SQRT($C$11)*NORMSINV($B807)+SQRT(1-AA$9^2*$C$11)*NORMSINV(Z807))*(AA$7-AA$5)*(AA$6-AA$5)),AA$7-SQRT((1-NORMSDIST(AA$9*SQRT($C$11)*NORMSINV($B807)+SQRT(1-AA$9^2*$C$11)*NORMSINV(Z807)))*(AA$7-AA$5)*(AA$7-AA$6))))</f>
        <v>0.731834209134481</v>
      </c>
      <c r="AB807" s="2" t="n">
        <v>0.18695352</v>
      </c>
      <c r="AC807" s="2" t="n">
        <f aca="false">IF(AC$7=AC$5,AC$6,IF(NORMSDIST(AC$9*SQRT($C$11)*NORMSINV($B807)+SQRT(1-AC$9^2*$C$11)*NORMSINV(AB807))&lt;AC$8,AC$5+SQRT(NORMSDIST(AC$9*SQRT($C$11)*NORMSINV($B807)+SQRT(1-AC$9^2*$C$11)*NORMSINV(AB807))*(AC$7-AC$5)*(AC$6-AC$5)),AC$7-SQRT((1-NORMSDIST(AC$9*SQRT($C$11)*NORMSINV($B807)+SQRT(1-AC$9^2*$C$11)*NORMSINV(AB807)))*(AC$7-AC$5)*(AC$7-AC$6))))</f>
        <v>9.13970833387882</v>
      </c>
      <c r="AD807" s="2" t="n">
        <f aca="false">Entrées!$C$8*(1+E807)</f>
        <v>7429.09749983415</v>
      </c>
      <c r="AE807" s="2" t="n">
        <f aca="false">I807*Hypothèses!$J$24/12/Hypothèses!$J$19</f>
        <v>97.3298699593337</v>
      </c>
      <c r="AF807" s="2" t="n">
        <f aca="false">Entrées!$C$36*S807*1000</f>
        <v>255.107887292161</v>
      </c>
      <c r="AG807" s="2" t="n">
        <f aca="false">-AF807/W807</f>
        <v>-23.0185539457422</v>
      </c>
      <c r="AH807" s="2" t="n">
        <f aca="false">AD807+AE807+AG807</f>
        <v>7503.40881584774</v>
      </c>
      <c r="AI807" s="2" t="n">
        <f aca="false">Entrées!$C$16-M807+Hypothèses!$J$22*1000-AF807+Hypothèses!$J$23</f>
        <v>22691.1449034645</v>
      </c>
      <c r="AJ807" s="2" t="n">
        <f aca="false">AI807/AH807</f>
        <v>3.0241115019002</v>
      </c>
      <c r="AK807" s="2" t="n">
        <f aca="false">AI807/(AH807+I807*(12-Hypothèses!$J$24)/12/Hypothèses!$J$19)</f>
        <v>2.99634942478258</v>
      </c>
      <c r="AL807" s="2" t="n">
        <f aca="false">(AD807+AG807+I807/Hypothèses!$J$19)*(1+G807)</f>
        <v>8032.11913457683</v>
      </c>
      <c r="AM807" s="2" t="n">
        <f aca="false">Entrées!$C$54*K807/Hypothèses!$J$19</f>
        <v>35.9560145605013</v>
      </c>
      <c r="AN807" s="2" t="n">
        <f aca="false">Y807*1000/AC807</f>
        <v>54.1644544701039</v>
      </c>
      <c r="AO807" s="2" t="n">
        <f aca="false">(Entrées!$C$36*(1-S807)+MAX(0,Entrées!$C$30-Entrées!$C$35-Entrées!$C$36)*U807)*1000</f>
        <v>818.481201246063</v>
      </c>
      <c r="AP807" s="2" t="n">
        <f aca="false">-AO807/W807</f>
        <v>-73.8521018869232</v>
      </c>
      <c r="AQ807" s="2" t="n">
        <f aca="false">AL807+AM807+AN807+AP807</f>
        <v>8048.38750172051</v>
      </c>
      <c r="AR807" s="2" t="n">
        <f aca="false">O807*AQ807-Hypothèses!$J$25/Hypothèses!$J$19</f>
        <v>1429.88639248943</v>
      </c>
      <c r="AS807" s="2" t="n">
        <f aca="false">Entrées!$C$79*(1+Q807)+Hypothèses!$J$20</f>
        <v>1493.48391542782</v>
      </c>
      <c r="AT807" s="2" t="n">
        <f aca="false">AI807-AR807+AS807+Y807*1000-AO807+Hypothèses!$J$23</f>
        <v>22431.3085410772</v>
      </c>
      <c r="AU807" s="2" t="n">
        <f aca="false">AT807/AQ807</f>
        <v>2.78705623160939</v>
      </c>
      <c r="AV807" s="2" t="n">
        <f aca="false">Hypothèses!$J$26*AQ807-AT807</f>
        <v>1713.85396408429</v>
      </c>
      <c r="AW807" s="2" t="n">
        <f aca="false">IF(AC807&gt;Hypothèses!$J$26,MAX(0,AV807)/(1-Hypothèses!$J$26/AC807),0)</f>
        <v>2551.28167443363</v>
      </c>
      <c r="AX807" s="2" t="n">
        <f aca="false">AQ807-Entrées!$C$17*1000</f>
        <v>48.387501720511</v>
      </c>
      <c r="AY807" s="2" t="n">
        <f aca="false">AI807+(Entrées!$C$244-Entrées!$C$13)</f>
        <v>28438.1449034645</v>
      </c>
      <c r="AZ807" s="2" t="n">
        <f aca="false">AA807*AH807</f>
        <v>5491.25125655862</v>
      </c>
      <c r="BA807" s="2" t="n">
        <f aca="false">AZ807/AY807</f>
        <v>0.193094566301673</v>
      </c>
      <c r="BB807" s="2" t="n">
        <f aca="false">AZ807/(Entrées!$C$151/100)-AY807</f>
        <v>2068.80652186117</v>
      </c>
      <c r="BC807" s="2" t="n">
        <f aca="false">AT807+(Entrées!$C$244-Entrées!$C$13)</f>
        <v>28178.3085410772</v>
      </c>
      <c r="BD807" s="2" t="n">
        <f aca="false">AA807*AQ807</f>
        <v>5890.08530212947</v>
      </c>
      <c r="BE807" s="2" t="n">
        <f aca="false">BD807/BC807</f>
        <v>0.209029058417156</v>
      </c>
      <c r="BF807" s="2" t="n">
        <f aca="false">BD807/(Entrées!$C$151/100)-BC807</f>
        <v>4544.38758186425</v>
      </c>
      <c r="BG807" s="2" t="n">
        <f aca="false">MIN(AV807,BF807)</f>
        <v>1713.85396408429</v>
      </c>
      <c r="BH807" s="2" t="n">
        <f aca="false">IF(AC807&gt;Hypothèses!$J$26,MAX(0,BG807)/(1-Hypothèses!$J$26/AC807),0)</f>
        <v>2551.28167443363</v>
      </c>
    </row>
    <row r="808" customFormat="false" ht="15" hidden="false" customHeight="false" outlineLevel="0" collapsed="false">
      <c r="A808" s="2" t="n">
        <v>793</v>
      </c>
      <c r="B808" s="2" t="n">
        <v>0.061606629</v>
      </c>
      <c r="C808" s="2"/>
      <c r="D808" s="2" t="n">
        <v>0.032065752</v>
      </c>
      <c r="E808" s="2" t="n">
        <f aca="false">IF(E$7=E$5,E$6,IF(NORMSDIST(E$9*SQRT($C$11)*NORMSINV($B808)+SQRT(1-E$9^2*$C$11)*NORMSINV(D808))&lt;E$8,E$5+SQRT(NORMSDIST(E$9*SQRT($C$11)*NORMSINV($B808)+SQRT(1-E$9^2*$C$11)*NORMSINV(D808))*(E$7-E$5)*(E$6-E$5)),E$7-SQRT((1-NORMSDIST(E$9*SQRT($C$11)*NORMSINV($B808)+SQRT(1-E$9^2*$C$11)*NORMSINV(D808)))*(E$7-E$5)*(E$7-E$6))))</f>
        <v>0.0506324980758419</v>
      </c>
      <c r="F808" s="2" t="n">
        <v>0.536875566</v>
      </c>
      <c r="G808" s="2" t="n">
        <f aca="false">IF(G$7=G$5,G$6,IF(NORMSDIST(G$9*SQRT($C$11)*NORMSINV($B808)+SQRT(1-G$9^2*$C$11)*NORMSINV(F808))&lt;G$8,G$5+SQRT(NORMSDIST(G$9*SQRT($C$11)*NORMSINV($B808)+SQRT(1-G$9^2*$C$11)*NORMSINV(F808))*(G$7-G$5)*(G$6-G$5)),G$7-SQRT((1-NORMSDIST(G$9*SQRT($C$11)*NORMSINV($B808)+SQRT(1-G$9^2*$C$11)*NORMSINV(F808)))*(G$7-G$5)*(G$7-G$6))))</f>
        <v>0.0490800088849171</v>
      </c>
      <c r="H808" s="2" t="n">
        <v>0.13322215</v>
      </c>
      <c r="I808" s="2" t="n">
        <f aca="false">IF(I$7=I$5,I$6,IF(NORMSDIST(I$9*SQRT($C$11)*NORMSINV($B808)+SQRT(1-I$9^2*$C$11)*NORMSINV(H808))&lt;I$8,I$5+SQRT(NORMSDIST(I$9*SQRT($C$11)*NORMSINV($B808)+SQRT(1-I$9^2*$C$11)*NORMSINV(H808))*(I$7-I$5)*(I$6-I$5)),I$7-SQRT((1-NORMSDIST(I$9*SQRT($C$11)*NORMSINV($B808)+SQRT(1-I$9^2*$C$11)*NORMSINV(H808)))*(I$7-I$5)*(I$7-I$6))))</f>
        <v>185.153814690989</v>
      </c>
      <c r="J808" s="2" t="n">
        <v>0.4814844</v>
      </c>
      <c r="K808" s="2" t="n">
        <f aca="false">IF(K$7=K$5,K$6,IF(NORMSDIST(K$9*SQRT($C$11)*NORMSINV($B808)+SQRT(1-K$9^2*$C$11)*NORMSINV(J808))&lt;K$8,K$5+SQRT(NORMSDIST(K$9*SQRT($C$11)*NORMSINV($B808)+SQRT(1-K$9^2*$C$11)*NORMSINV(J808))*(K$7-K$5)*(K$6-K$5)),K$7-SQRT((1-NORMSDIST(K$9*SQRT($C$11)*NORMSINV($B808)+SQRT(1-K$9^2*$C$11)*NORMSINV(J808)))*(K$7-K$5)*(K$7-K$6))))</f>
        <v>0.139662531004844</v>
      </c>
      <c r="L808" s="2" t="n">
        <v>0.403478086</v>
      </c>
      <c r="M808" s="2" t="n">
        <f aca="false">IF(M$7=M$5,M$6,IF(NORMSDIST(M$9*SQRT($C$11)*NORMSINV($B808)+SQRT(1-M$9^2*$C$11)*NORMSINV(L808))&lt;M$8,M$5+SQRT(NORMSDIST(M$9*SQRT($C$11)*NORMSINV($B808)+SQRT(1-M$9^2*$C$11)*NORMSINV(L808))*(M$7-M$5)*(M$6-M$5)),M$7-SQRT((1-NORMSDIST(M$9*SQRT($C$11)*NORMSINV($B808)+SQRT(1-M$9^2*$C$11)*NORMSINV(L808)))*(M$7-M$5)*(M$7-M$6))))</f>
        <v>1442.67496500985</v>
      </c>
      <c r="N808" s="2" t="n">
        <v>0.744781976</v>
      </c>
      <c r="O808" s="2" t="n">
        <f aca="false">IF(O$7=O$5,O$6,IF(NORMSDIST(O$9*SQRT($C$11)*NORMSINV($B808)+SQRT(1-O$9^2*$C$11)*NORMSINV(N808))&lt;O$8,O$5+SQRT(NORMSDIST(O$9*SQRT($C$11)*NORMSINV($B808)+SQRT(1-O$9^2*$C$11)*NORMSINV(N808))*(O$7-O$5)*(O$6-O$5)),O$7-SQRT((1-NORMSDIST(O$9*SQRT($C$11)*NORMSINV($B808)+SQRT(1-O$9^2*$C$11)*NORMSINV(N808)))*(O$7-O$5)*(O$7-O$6))))</f>
        <v>0.161459001095931</v>
      </c>
      <c r="P808" s="2" t="n">
        <v>0.630361519</v>
      </c>
      <c r="Q808" s="2" t="n">
        <f aca="false">IF(Q$7=Q$5,Q$6,IF(NORMSDIST(Q$9*SQRT($C$11)*NORMSINV($B808)+SQRT(1-Q$9^2*$C$11)*NORMSINV(P808))&lt;Q$8,Q$5+SQRT(NORMSDIST(Q$9*SQRT($C$11)*NORMSINV($B808)+SQRT(1-Q$9^2*$C$11)*NORMSINV(P808))*(Q$7-Q$5)*(Q$6-Q$5)),Q$7-SQRT((1-NORMSDIST(Q$9*SQRT($C$11)*NORMSINV($B808)+SQRT(1-Q$9^2*$C$11)*NORMSINV(P808)))*(Q$7-Q$5)*(Q$7-Q$6))))</f>
        <v>0.0856075133321244</v>
      </c>
      <c r="R808" s="2" t="n">
        <v>0.527068425</v>
      </c>
      <c r="S808" s="2" t="n">
        <f aca="false">IF(S$7=S$5,S$6,IF(NORMSDIST(S$9*SQRT($C$11)*NORMSINV($B808)+SQRT(1-S$9^2*$C$11)*NORMSINV(R808))&lt;S$8,S$5+SQRT(NORMSDIST(S$9*SQRT($C$11)*NORMSINV($B808)+SQRT(1-S$9^2*$C$11)*NORMSINV(R808))*(S$7-S$5)*(S$6-S$5)),S$7-SQRT((1-NORMSDIST(S$9*SQRT($C$11)*NORMSINV($B808)+SQRT(1-S$9^2*$C$11)*NORMSINV(R808)))*(S$7-S$5)*(S$7-S$6))))</f>
        <v>0.298487621849348</v>
      </c>
      <c r="T808" s="2" t="n">
        <v>0.164050972</v>
      </c>
      <c r="U808" s="2" t="n">
        <f aca="false">IF(U$7=U$5,U$6,IF(NORMSDIST(U$9*SQRT($C$11)*NORMSINV($B808)+SQRT(1-U$9^2*$C$11)*NORMSINV(T808))&lt;U$8,U$5+SQRT(NORMSDIST(U$9*SQRT($C$11)*NORMSINV($B808)+SQRT(1-U$9^2*$C$11)*NORMSINV(T808))*(U$7-U$5)*(U$6-U$5)),U$7-SQRT((1-NORMSDIST(U$9*SQRT($C$11)*NORMSINV($B808)+SQRT(1-U$9^2*$C$11)*NORMSINV(T808)))*(U$7-U$5)*(U$7-U$6))))</f>
        <v>0.144224815627697</v>
      </c>
      <c r="V808" s="2" t="n">
        <v>0.833856522</v>
      </c>
      <c r="W808" s="2" t="n">
        <f aca="false">IF(W$7=W$5,W$6,IF(NORMSDIST(W$9*SQRT($C$11)*NORMSINV($B808)+SQRT(1-W$9^2*$C$11)*NORMSINV(V808))&lt;W$8,W$5+SQRT(NORMSDIST(W$9*SQRT($C$11)*NORMSINV($B808)+SQRT(1-W$9^2*$C$11)*NORMSINV(V808))*(W$7-W$5)*(W$6-W$5)),W$7-SQRT((1-NORMSDIST(W$9*SQRT($C$11)*NORMSINV($B808)+SQRT(1-W$9^2*$C$11)*NORMSINV(V808)))*(W$7-W$5)*(W$7-W$6))))</f>
        <v>9.81420697407351</v>
      </c>
      <c r="X808" s="2" t="n">
        <v>0.259452586</v>
      </c>
      <c r="Y808" s="2" t="n">
        <f aca="false">IF(Y$7=Y$5,Y$6,IF(NORMSDIST(Y$9*SQRT($C$11)*NORMSINV($B808)+SQRT(1-Y$9^2*$C$11)*NORMSINV(X808))&lt;Y$8,Y$5+SQRT(NORMSDIST(Y$9*SQRT($C$11)*NORMSINV($B808)+SQRT(1-Y$9^2*$C$11)*NORMSINV(X808))*(Y$7-Y$5)*(Y$6-Y$5)),Y$7-SQRT((1-NORMSDIST(Y$9*SQRT($C$11)*NORMSINV($B808)+SQRT(1-Y$9^2*$C$11)*NORMSINV(X808)))*(Y$7-Y$5)*(Y$7-Y$6))))</f>
        <v>0.360175364232481</v>
      </c>
      <c r="Z808" s="2" t="n">
        <v>0.196737097</v>
      </c>
      <c r="AA808" s="2" t="n">
        <f aca="false">IF(AA$7=AA$5,AA$6,IF(NORMSDIST(AA$9*SQRT($C$11)*NORMSINV($B808)+SQRT(1-AA$9^2*$C$11)*NORMSINV(Z808))&lt;AA$8,AA$5+SQRT(NORMSDIST(AA$9*SQRT($C$11)*NORMSINV($B808)+SQRT(1-AA$9^2*$C$11)*NORMSINV(Z808))*(AA$7-AA$5)*(AA$6-AA$5)),AA$7-SQRT((1-NORMSDIST(AA$9*SQRT($C$11)*NORMSINV($B808)+SQRT(1-AA$9^2*$C$11)*NORMSINV(Z808)))*(AA$7-AA$5)*(AA$7-AA$6))))</f>
        <v>0.705766128047007</v>
      </c>
      <c r="AB808" s="2" t="n">
        <v>0.979652779</v>
      </c>
      <c r="AC808" s="2" t="n">
        <f aca="false">IF(AC$7=AC$5,AC$6,IF(NORMSDIST(AC$9*SQRT($C$11)*NORMSINV($B808)+SQRT(1-AC$9^2*$C$11)*NORMSINV(AB808))&lt;AC$8,AC$5+SQRT(NORMSDIST(AC$9*SQRT($C$11)*NORMSINV($B808)+SQRT(1-AC$9^2*$C$11)*NORMSINV(AB808))*(AC$7-AC$5)*(AC$6-AC$5)),AC$7-SQRT((1-NORMSDIST(AC$9*SQRT($C$11)*NORMSINV($B808)+SQRT(1-AC$9^2*$C$11)*NORMSINV(AB808)))*(AC$7-AC$5)*(AC$7-AC$6))))</f>
        <v>9.91842386376588</v>
      </c>
      <c r="AD808" s="2" t="n">
        <f aca="false">Entrées!$C$8*(1+E808)</f>
        <v>7406.95911143469</v>
      </c>
      <c r="AE808" s="2" t="n">
        <f aca="false">I808*Hypothèses!$J$24/12/Hypothèses!$J$19</f>
        <v>91.8542148603617</v>
      </c>
      <c r="AF808" s="2" t="n">
        <f aca="false">Entrées!$C$36*S808*1000</f>
        <v>149.243810924674</v>
      </c>
      <c r="AG808" s="2" t="n">
        <f aca="false">-AF808/W808</f>
        <v>-15.2069149671426</v>
      </c>
      <c r="AH808" s="2" t="n">
        <f aca="false">AD808+AE808+AG808</f>
        <v>7483.60641132791</v>
      </c>
      <c r="AI808" s="2" t="n">
        <f aca="false">Entrées!$C$16-M808+Hypothèses!$J$22*1000-AF808+Hypothèses!$J$23</f>
        <v>22956.0812240655</v>
      </c>
      <c r="AJ808" s="2" t="n">
        <f aca="false">AI808/AH808</f>
        <v>3.06751584227051</v>
      </c>
      <c r="AK808" s="2" t="n">
        <f aca="false">AI808/(AH808+I808*(12-Hypothèses!$J$24)/12/Hypothèses!$J$19)</f>
        <v>3.04085609771812</v>
      </c>
      <c r="AL808" s="2" t="n">
        <f aca="false">(AD808+AG808+I808/Hypothèses!$J$19)*(1+G808)</f>
        <v>7919.73218087412</v>
      </c>
      <c r="AM808" s="2" t="n">
        <f aca="false">Entrées!$C$54*K808/Hypothèses!$J$19</f>
        <v>14.2531476941176</v>
      </c>
      <c r="AN808" s="2" t="n">
        <f aca="false">Y808*1000/AC808</f>
        <v>36.3137701291712</v>
      </c>
      <c r="AO808" s="2" t="n">
        <f aca="false">(Entrées!$C$36*(1-S808)+MAX(0,Entrées!$C$30-Entrées!$C$35-Entrées!$C$36)*U808)*1000</f>
        <v>552.670930954102</v>
      </c>
      <c r="AP808" s="2" t="n">
        <f aca="false">-AO808/W808</f>
        <v>-56.3133559760976</v>
      </c>
      <c r="AQ808" s="2" t="n">
        <f aca="false">AL808+AM808+AN808+AP808</f>
        <v>7913.98574272131</v>
      </c>
      <c r="AR808" s="2" t="n">
        <f aca="false">O808*AQ808-Hypothèses!$J$25/Hypothèses!$J$19</f>
        <v>1258.6490704456</v>
      </c>
      <c r="AS808" s="2" t="n">
        <f aca="false">Entrées!$C$79*(1+Q808)+Hypothèses!$J$20</f>
        <v>1488.082657152</v>
      </c>
      <c r="AT808" s="2" t="n">
        <f aca="false">AI808-AR808+AS808+Y808*1000-AO808+Hypothèses!$J$23</f>
        <v>22993.0192440503</v>
      </c>
      <c r="AU808" s="2" t="n">
        <f aca="false">AT808/AQ808</f>
        <v>2.90536525987522</v>
      </c>
      <c r="AV808" s="2" t="n">
        <f aca="false">Hypothèses!$J$26*AQ808-AT808</f>
        <v>748.937984113662</v>
      </c>
      <c r="AW808" s="2" t="n">
        <f aca="false">IF(AC808&gt;Hypothèses!$J$26,MAX(0,AV808)/(1-Hypothèses!$J$26/AC808),0)</f>
        <v>1073.69604990785</v>
      </c>
      <c r="AX808" s="2" t="n">
        <f aca="false">AQ808-Entrées!$C$17*1000</f>
        <v>-86.0142572786899</v>
      </c>
      <c r="AY808" s="2" t="n">
        <f aca="false">AI808+(Entrées!$C$244-Entrées!$C$13)</f>
        <v>28703.0812240655</v>
      </c>
      <c r="AZ808" s="2" t="n">
        <f aca="false">AA808*AH808</f>
        <v>5281.67592075065</v>
      </c>
      <c r="BA808" s="2" t="n">
        <f aca="false">AZ808/AY808</f>
        <v>0.184010764541973</v>
      </c>
      <c r="BB808" s="2" t="n">
        <f aca="false">AZ808/(Entrées!$C$151/100)-AY808</f>
        <v>639.562780104803</v>
      </c>
      <c r="BC808" s="2" t="n">
        <f aca="false">AT808+(Entrées!$C$244-Entrées!$C$13)</f>
        <v>28740.0192440503</v>
      </c>
      <c r="BD808" s="2" t="n">
        <f aca="false">AA808*AQ808</f>
        <v>5585.42307505963</v>
      </c>
      <c r="BE808" s="2" t="n">
        <f aca="false">BD808/BC808</f>
        <v>0.19434305271789</v>
      </c>
      <c r="BF808" s="2" t="n">
        <f aca="false">BD808/(Entrées!$C$151/100)-BC808</f>
        <v>2290.10895072547</v>
      </c>
      <c r="BG808" s="2" t="n">
        <f aca="false">MIN(AV808,BF808)</f>
        <v>748.937984113662</v>
      </c>
      <c r="BH808" s="2" t="n">
        <f aca="false">IF(AC808&gt;Hypothèses!$J$26,MAX(0,BG808)/(1-Hypothèses!$J$26/AC808),0)</f>
        <v>1073.69604990785</v>
      </c>
    </row>
    <row r="809" customFormat="false" ht="15" hidden="false" customHeight="false" outlineLevel="0" collapsed="false">
      <c r="A809" s="2" t="n">
        <v>794</v>
      </c>
      <c r="B809" s="2" t="n">
        <v>0.502361436</v>
      </c>
      <c r="C809" s="2"/>
      <c r="D809" s="2" t="n">
        <v>0.246728832</v>
      </c>
      <c r="E809" s="2" t="n">
        <f aca="false">IF(E$7=E$5,E$6,IF(NORMSDIST(E$9*SQRT($C$11)*NORMSINV($B809)+SQRT(1-E$9^2*$C$11)*NORMSINV(D809))&lt;E$8,E$5+SQRT(NORMSDIST(E$9*SQRT($C$11)*NORMSINV($B809)+SQRT(1-E$9^2*$C$11)*NORMSINV(D809))*(E$7-E$5)*(E$6-E$5)),E$7-SQRT((1-NORMSDIST(E$9*SQRT($C$11)*NORMSINV($B809)+SQRT(1-E$9^2*$C$11)*NORMSINV(D809)))*(E$7-E$5)*(E$7-E$6))))</f>
        <v>0.0538677875499093</v>
      </c>
      <c r="F809" s="2" t="n">
        <v>0.884878901</v>
      </c>
      <c r="G809" s="2" t="n">
        <f aca="false">IF(G$7=G$5,G$6,IF(NORMSDIST(G$9*SQRT($C$11)*NORMSINV($B809)+SQRT(1-G$9^2*$C$11)*NORMSINV(F809))&lt;G$8,G$5+SQRT(NORMSDIST(G$9*SQRT($C$11)*NORMSINV($B809)+SQRT(1-G$9^2*$C$11)*NORMSINV(F809))*(G$7-G$5)*(G$6-G$5)),G$7-SQRT((1-NORMSDIST(G$9*SQRT($C$11)*NORMSINV($B809)+SQRT(1-G$9^2*$C$11)*NORMSINV(F809)))*(G$7-G$5)*(G$7-G$6))))</f>
        <v>0.0611158481703483</v>
      </c>
      <c r="H809" s="2" t="n">
        <v>0.073115961</v>
      </c>
      <c r="I809" s="2" t="n">
        <f aca="false">IF(I$7=I$5,I$6,IF(NORMSDIST(I$9*SQRT($C$11)*NORMSINV($B809)+SQRT(1-I$9^2*$C$11)*NORMSINV(H809))&lt;I$8,I$5+SQRT(NORMSDIST(I$9*SQRT($C$11)*NORMSINV($B809)+SQRT(1-I$9^2*$C$11)*NORMSINV(H809))*(I$7-I$5)*(I$6-I$5)),I$7-SQRT((1-NORMSDIST(I$9*SQRT($C$11)*NORMSINV($B809)+SQRT(1-I$9^2*$C$11)*NORMSINV(H809)))*(I$7-I$5)*(I$7-I$6))))</f>
        <v>190.236805152119</v>
      </c>
      <c r="J809" s="2" t="n">
        <v>0.435365082</v>
      </c>
      <c r="K809" s="2" t="n">
        <f aca="false">IF(K$7=K$5,K$6,IF(NORMSDIST(K$9*SQRT($C$11)*NORMSINV($B809)+SQRT(1-K$9^2*$C$11)*NORMSINV(J809))&lt;K$8,K$5+SQRT(NORMSDIST(K$9*SQRT($C$11)*NORMSINV($B809)+SQRT(1-K$9^2*$C$11)*NORMSINV(J809))*(K$7-K$5)*(K$6-K$5)),K$7-SQRT((1-NORMSDIST(K$9*SQRT($C$11)*NORMSINV($B809)+SQRT(1-K$9^2*$C$11)*NORMSINV(J809)))*(K$7-K$5)*(K$7-K$6))))</f>
        <v>0.237520481172031</v>
      </c>
      <c r="L809" s="2" t="n">
        <v>0.07159664</v>
      </c>
      <c r="M809" s="2" t="n">
        <f aca="false">IF(M$7=M$5,M$6,IF(NORMSDIST(M$9*SQRT($C$11)*NORMSINV($B809)+SQRT(1-M$9^2*$C$11)*NORMSINV(L809))&lt;M$8,M$5+SQRT(NORMSDIST(M$9*SQRT($C$11)*NORMSINV($B809)+SQRT(1-M$9^2*$C$11)*NORMSINV(L809))*(M$7-M$5)*(M$6-M$5)),M$7-SQRT((1-NORMSDIST(M$9*SQRT($C$11)*NORMSINV($B809)+SQRT(1-M$9^2*$C$11)*NORMSINV(L809)))*(M$7-M$5)*(M$7-M$6))))</f>
        <v>1446.61587515152</v>
      </c>
      <c r="N809" s="2" t="n">
        <v>0.309728554</v>
      </c>
      <c r="O809" s="2" t="n">
        <f aca="false">IF(O$7=O$5,O$6,IF(NORMSDIST(O$9*SQRT($C$11)*NORMSINV($B809)+SQRT(1-O$9^2*$C$11)*NORMSINV(N809))&lt;O$8,O$5+SQRT(NORMSDIST(O$9*SQRT($C$11)*NORMSINV($B809)+SQRT(1-O$9^2*$C$11)*NORMSINV(N809))*(O$7-O$5)*(O$6-O$5)),O$7-SQRT((1-NORMSDIST(O$9*SQRT($C$11)*NORMSINV($B809)+SQRT(1-O$9^2*$C$11)*NORMSINV(N809)))*(O$7-O$5)*(O$7-O$6))))</f>
        <v>0.162461483644593</v>
      </c>
      <c r="P809" s="2" t="n">
        <v>0.654232834</v>
      </c>
      <c r="Q809" s="2" t="n">
        <f aca="false">IF(Q$7=Q$5,Q$6,IF(NORMSDIST(Q$9*SQRT($C$11)*NORMSINV($B809)+SQRT(1-Q$9^2*$C$11)*NORMSINV(P809))&lt;Q$8,Q$5+SQRT(NORMSDIST(Q$9*SQRT($C$11)*NORMSINV($B809)+SQRT(1-Q$9^2*$C$11)*NORMSINV(P809))*(Q$7-Q$5)*(Q$6-Q$5)),Q$7-SQRT((1-NORMSDIST(Q$9*SQRT($C$11)*NORMSINV($B809)+SQRT(1-Q$9^2*$C$11)*NORMSINV(P809)))*(Q$7-Q$5)*(Q$7-Q$6))))</f>
        <v>0.0867365826890862</v>
      </c>
      <c r="R809" s="2" t="n">
        <v>0.779521624</v>
      </c>
      <c r="S809" s="2" t="n">
        <f aca="false">IF(S$7=S$5,S$6,IF(NORMSDIST(S$9*SQRT($C$11)*NORMSINV($B809)+SQRT(1-S$9^2*$C$11)*NORMSINV(R809))&lt;S$8,S$5+SQRT(NORMSDIST(S$9*SQRT($C$11)*NORMSINV($B809)+SQRT(1-S$9^2*$C$11)*NORMSINV(R809))*(S$7-S$5)*(S$6-S$5)),S$7-SQRT((1-NORMSDIST(S$9*SQRT($C$11)*NORMSINV($B809)+SQRT(1-S$9^2*$C$11)*NORMSINV(R809)))*(S$7-S$5)*(S$7-S$6))))</f>
        <v>0.629835985583883</v>
      </c>
      <c r="T809" s="2" t="n">
        <v>0.341183598</v>
      </c>
      <c r="U809" s="2" t="n">
        <f aca="false">IF(U$7=U$5,U$6,IF(NORMSDIST(U$9*SQRT($C$11)*NORMSINV($B809)+SQRT(1-U$9^2*$C$11)*NORMSINV(T809))&lt;U$8,U$5+SQRT(NORMSDIST(U$9*SQRT($C$11)*NORMSINV($B809)+SQRT(1-U$9^2*$C$11)*NORMSINV(T809))*(U$7-U$5)*(U$6-U$5)),U$7-SQRT((1-NORMSDIST(U$9*SQRT($C$11)*NORMSINV($B809)+SQRT(1-U$9^2*$C$11)*NORMSINV(T809)))*(U$7-U$5)*(U$7-U$6))))</f>
        <v>0.434192338074231</v>
      </c>
      <c r="V809" s="2" t="n">
        <v>0.249490466</v>
      </c>
      <c r="W809" s="2" t="n">
        <f aca="false">IF(W$7=W$5,W$6,IF(NORMSDIST(W$9*SQRT($C$11)*NORMSINV($B809)+SQRT(1-W$9^2*$C$11)*NORMSINV(V809))&lt;W$8,W$5+SQRT(NORMSDIST(W$9*SQRT($C$11)*NORMSINV($B809)+SQRT(1-W$9^2*$C$11)*NORMSINV(V809))*(W$7-W$5)*(W$6-W$5)),W$7-SQRT((1-NORMSDIST(W$9*SQRT($C$11)*NORMSINV($B809)+SQRT(1-W$9^2*$C$11)*NORMSINV(V809)))*(W$7-W$5)*(W$7-W$6))))</f>
        <v>9.55318238291835</v>
      </c>
      <c r="X809" s="2" t="n">
        <v>0.442537516</v>
      </c>
      <c r="Y809" s="2" t="n">
        <f aca="false">IF(Y$7=Y$5,Y$6,IF(NORMSDIST(Y$9*SQRT($C$11)*NORMSINV($B809)+SQRT(1-Y$9^2*$C$11)*NORMSINV(X809))&lt;Y$8,Y$5+SQRT(NORMSDIST(Y$9*SQRT($C$11)*NORMSINV($B809)+SQRT(1-Y$9^2*$C$11)*NORMSINV(X809))*(Y$7-Y$5)*(Y$6-Y$5)),Y$7-SQRT((1-NORMSDIST(Y$9*SQRT($C$11)*NORMSINV($B809)+SQRT(1-Y$9^2*$C$11)*NORMSINV(X809)))*(Y$7-Y$5)*(Y$7-Y$6))))</f>
        <v>0.470392132162093</v>
      </c>
      <c r="Z809" s="2" t="n">
        <v>0.912287695</v>
      </c>
      <c r="AA809" s="2" t="n">
        <f aca="false">IF(AA$7=AA$5,AA$6,IF(NORMSDIST(AA$9*SQRT($C$11)*NORMSINV($B809)+SQRT(1-AA$9^2*$C$11)*NORMSINV(Z809))&lt;AA$8,AA$5+SQRT(NORMSDIST(AA$9*SQRT($C$11)*NORMSINV($B809)+SQRT(1-AA$9^2*$C$11)*NORMSINV(Z809))*(AA$7-AA$5)*(AA$6-AA$5)),AA$7-SQRT((1-NORMSDIST(AA$9*SQRT($C$11)*NORMSINV($B809)+SQRT(1-AA$9^2*$C$11)*NORMSINV(Z809)))*(AA$7-AA$5)*(AA$7-AA$6))))</f>
        <v>0.740166924508509</v>
      </c>
      <c r="AB809" s="2" t="n">
        <v>0.381338687</v>
      </c>
      <c r="AC809" s="2" t="n">
        <f aca="false">IF(AC$7=AC$5,AC$6,IF(NORMSDIST(AC$9*SQRT($C$11)*NORMSINV($B809)+SQRT(1-AC$9^2*$C$11)*NORMSINV(AB809))&lt;AC$8,AC$5+SQRT(NORMSDIST(AC$9*SQRT($C$11)*NORMSINV($B809)+SQRT(1-AC$9^2*$C$11)*NORMSINV(AB809))*(AC$7-AC$5)*(AC$6-AC$5)),AC$7-SQRT((1-NORMSDIST(AC$9*SQRT($C$11)*NORMSINV($B809)+SQRT(1-AC$9^2*$C$11)*NORMSINV(AB809)))*(AC$7-AC$5)*(AC$7-AC$6))))</f>
        <v>9.27979344460469</v>
      </c>
      <c r="AD809" s="2" t="n">
        <f aca="false">Entrées!$C$8*(1+E809)</f>
        <v>7429.76790222686</v>
      </c>
      <c r="AE809" s="2" t="n">
        <f aca="false">I809*Hypothèses!$J$24/12/Hypothèses!$J$19</f>
        <v>94.3758701593848</v>
      </c>
      <c r="AF809" s="2" t="n">
        <f aca="false">Entrées!$C$36*S809*1000</f>
        <v>314.917992791941</v>
      </c>
      <c r="AG809" s="2" t="n">
        <f aca="false">-AF809/W809</f>
        <v>-32.9647210917938</v>
      </c>
      <c r="AH809" s="2" t="n">
        <f aca="false">AD809+AE809+AG809</f>
        <v>7491.17905129445</v>
      </c>
      <c r="AI809" s="2" t="n">
        <f aca="false">Entrées!$C$16-M809+Hypothèses!$J$22*1000-AF809+Hypothèses!$J$23</f>
        <v>22786.4661320565</v>
      </c>
      <c r="AJ809" s="2" t="n">
        <f aca="false">AI809/AH809</f>
        <v>3.0417729940815</v>
      </c>
      <c r="AK809" s="2" t="n">
        <f aca="false">AI809/(AH809+I809*(12-Hypothèses!$J$24)/12/Hypothèses!$J$19)</f>
        <v>3.01464492253441</v>
      </c>
      <c r="AL809" s="2" t="n">
        <f aca="false">(AD809+AG809+I809/Hypothèses!$J$19)*(1+G809)</f>
        <v>8020.54004960382</v>
      </c>
      <c r="AM809" s="2" t="n">
        <f aca="false">Entrées!$C$54*K809/Hypothèses!$J$19</f>
        <v>24.2399623876602</v>
      </c>
      <c r="AN809" s="2" t="n">
        <f aca="false">Y809*1000/AC809</f>
        <v>50.6899356079505</v>
      </c>
      <c r="AO809" s="2" t="n">
        <f aca="false">(Entrées!$C$36*(1-S809)+MAX(0,Entrées!$C$30-Entrées!$C$35-Entrées!$C$36)*U809)*1000</f>
        <v>792.951280511982</v>
      </c>
      <c r="AP809" s="2" t="n">
        <f aca="false">-AO809/W809</f>
        <v>-83.0038879954627</v>
      </c>
      <c r="AQ809" s="2" t="n">
        <f aca="false">AL809+AM809+AN809+AP809</f>
        <v>8012.46605960397</v>
      </c>
      <c r="AR809" s="2" t="n">
        <f aca="false">O809*AQ809-Hypothèses!$J$25/Hypothèses!$J$19</f>
        <v>1282.58196143358</v>
      </c>
      <c r="AS809" s="2" t="n">
        <f aca="false">Entrées!$C$79*(1+Q809)+Hypothèses!$J$20</f>
        <v>1489.32350437531</v>
      </c>
      <c r="AT809" s="2" t="n">
        <f aca="false">AI809-AR809+AS809+Y809*1000-AO809+Hypothèses!$J$23</f>
        <v>22670.6485266484</v>
      </c>
      <c r="AU809" s="2" t="n">
        <f aca="false">AT809/AQ809</f>
        <v>2.8294220977666</v>
      </c>
      <c r="AV809" s="2" t="n">
        <f aca="false">Hypothèses!$J$26*AQ809-AT809</f>
        <v>1366.74965216354</v>
      </c>
      <c r="AW809" s="2" t="n">
        <f aca="false">IF(AC809&gt;Hypothèses!$J$26,MAX(0,AV809)/(1-Hypothèses!$J$26/AC809),0)</f>
        <v>2019.67701238004</v>
      </c>
      <c r="AX809" s="2" t="n">
        <f aca="false">AQ809-Entrées!$C$17*1000</f>
        <v>12.4660596039694</v>
      </c>
      <c r="AY809" s="2" t="n">
        <f aca="false">AI809+(Entrées!$C$244-Entrées!$C$13)</f>
        <v>28533.4661320565</v>
      </c>
      <c r="AZ809" s="2" t="n">
        <f aca="false">AA809*AH809</f>
        <v>5544.72295933918</v>
      </c>
      <c r="BA809" s="2" t="n">
        <f aca="false">AZ809/AY809</f>
        <v>0.194323498367759</v>
      </c>
      <c r="BB809" s="2" t="n">
        <f aca="false">AZ809/(Entrées!$C$151/100)-AY809</f>
        <v>2270.55030871671</v>
      </c>
      <c r="BC809" s="2" t="n">
        <f aca="false">AT809+(Entrées!$C$244-Entrées!$C$13)</f>
        <v>28417.6485266484</v>
      </c>
      <c r="BD809" s="2" t="n">
        <f aca="false">AA809*AQ809</f>
        <v>5930.56236106588</v>
      </c>
      <c r="BE809" s="2" t="n">
        <f aca="false">BD809/BC809</f>
        <v>0.208692930926518</v>
      </c>
      <c r="BF809" s="2" t="n">
        <f aca="false">BD809/(Entrées!$C$151/100)-BC809</f>
        <v>4529.92014593986</v>
      </c>
      <c r="BG809" s="2" t="n">
        <f aca="false">MIN(AV809,BF809)</f>
        <v>1366.74965216354</v>
      </c>
      <c r="BH809" s="2" t="n">
        <f aca="false">IF(AC809&gt;Hypothèses!$J$26,MAX(0,BG809)/(1-Hypothèses!$J$26/AC809),0)</f>
        <v>2019.67701238004</v>
      </c>
    </row>
    <row r="810" customFormat="false" ht="15" hidden="false" customHeight="false" outlineLevel="0" collapsed="false">
      <c r="A810" s="2" t="n">
        <v>795</v>
      </c>
      <c r="B810" s="2" t="n">
        <v>0.89863375</v>
      </c>
      <c r="C810" s="2"/>
      <c r="D810" s="2" t="n">
        <v>0.857970365</v>
      </c>
      <c r="E810" s="2" t="n">
        <f aca="false">IF(E$7=E$5,E$6,IF(NORMSDIST(E$9*SQRT($C$11)*NORMSINV($B810)+SQRT(1-E$9^2*$C$11)*NORMSINV(D810))&lt;E$8,E$5+SQRT(NORMSDIST(E$9*SQRT($C$11)*NORMSINV($B810)+SQRT(1-E$9^2*$C$11)*NORMSINV(D810))*(E$7-E$5)*(E$6-E$5)),E$7-SQRT((1-NORMSDIST(E$9*SQRT($C$11)*NORMSINV($B810)+SQRT(1-E$9^2*$C$11)*NORMSINV(D810)))*(E$7-E$5)*(E$7-E$6))))</f>
        <v>0.0584034132837642</v>
      </c>
      <c r="F810" s="2" t="n">
        <v>0.420658748</v>
      </c>
      <c r="G810" s="2" t="n">
        <f aca="false">IF(G$7=G$5,G$6,IF(NORMSDIST(G$9*SQRT($C$11)*NORMSINV($B810)+SQRT(1-G$9^2*$C$11)*NORMSINV(F810))&lt;G$8,G$5+SQRT(NORMSDIST(G$9*SQRT($C$11)*NORMSINV($B810)+SQRT(1-G$9^2*$C$11)*NORMSINV(F810))*(G$7-G$5)*(G$6-G$5)),G$7-SQRT((1-NORMSDIST(G$9*SQRT($C$11)*NORMSINV($B810)+SQRT(1-G$9^2*$C$11)*NORMSINV(F810)))*(G$7-G$5)*(G$7-G$6))))</f>
        <v>0.0592319143421484</v>
      </c>
      <c r="H810" s="2" t="n">
        <v>0.756154922</v>
      </c>
      <c r="I810" s="2" t="n">
        <f aca="false">IF(I$7=I$5,I$6,IF(NORMSDIST(I$9*SQRT($C$11)*NORMSINV($B810)+SQRT(1-I$9^2*$C$11)*NORMSINV(H810))&lt;I$8,I$5+SQRT(NORMSDIST(I$9*SQRT($C$11)*NORMSINV($B810)+SQRT(1-I$9^2*$C$11)*NORMSINV(H810))*(I$7-I$5)*(I$6-I$5)),I$7-SQRT((1-NORMSDIST(I$9*SQRT($C$11)*NORMSINV($B810)+SQRT(1-I$9^2*$C$11)*NORMSINV(H810)))*(I$7-I$5)*(I$7-I$6))))</f>
        <v>211.533313182141</v>
      </c>
      <c r="J810" s="2" t="n">
        <v>0.266030937</v>
      </c>
      <c r="K810" s="2" t="n">
        <f aca="false">IF(K$7=K$5,K$6,IF(NORMSDIST(K$9*SQRT($C$11)*NORMSINV($B810)+SQRT(1-K$9^2*$C$11)*NORMSINV(J810))&lt;K$8,K$5+SQRT(NORMSDIST(K$9*SQRT($C$11)*NORMSINV($B810)+SQRT(1-K$9^2*$C$11)*NORMSINV(J810))*(K$7-K$5)*(K$6-K$5)),K$7-SQRT((1-NORMSDIST(K$9*SQRT($C$11)*NORMSINV($B810)+SQRT(1-K$9^2*$C$11)*NORMSINV(J810)))*(K$7-K$5)*(K$7-K$6))))</f>
        <v>0.283818844760406</v>
      </c>
      <c r="L810" s="2" t="n">
        <v>0.80765734</v>
      </c>
      <c r="M810" s="2" t="n">
        <f aca="false">IF(M$7=M$5,M$6,IF(NORMSDIST(M$9*SQRT($C$11)*NORMSINV($B810)+SQRT(1-M$9^2*$C$11)*NORMSINV(L810))&lt;M$8,M$5+SQRT(NORMSDIST(M$9*SQRT($C$11)*NORMSINV($B810)+SQRT(1-M$9^2*$C$11)*NORMSINV(L810))*(M$7-M$5)*(M$6-M$5)),M$7-SQRT((1-NORMSDIST(M$9*SQRT($C$11)*NORMSINV($B810)+SQRT(1-M$9^2*$C$11)*NORMSINV(L810)))*(M$7-M$5)*(M$7-M$6))))</f>
        <v>1717.47787576407</v>
      </c>
      <c r="N810" s="2" t="n">
        <v>0.565904515</v>
      </c>
      <c r="O810" s="2" t="n">
        <f aca="false">IF(O$7=O$5,O$6,IF(NORMSDIST(O$9*SQRT($C$11)*NORMSINV($B810)+SQRT(1-O$9^2*$C$11)*NORMSINV(N810))&lt;O$8,O$5+SQRT(NORMSDIST(O$9*SQRT($C$11)*NORMSINV($B810)+SQRT(1-O$9^2*$C$11)*NORMSINV(N810))*(O$7-O$5)*(O$6-O$5)),O$7-SQRT((1-NORMSDIST(O$9*SQRT($C$11)*NORMSINV($B810)+SQRT(1-O$9^2*$C$11)*NORMSINV(N810)))*(O$7-O$5)*(O$7-O$6))))</f>
        <v>0.176342742332647</v>
      </c>
      <c r="P810" s="2" t="n">
        <v>0.834833414</v>
      </c>
      <c r="Q810" s="2" t="n">
        <f aca="false">IF(Q$7=Q$5,Q$6,IF(NORMSDIST(Q$9*SQRT($C$11)*NORMSINV($B810)+SQRT(1-Q$9^2*$C$11)*NORMSINV(P810))&lt;Q$8,Q$5+SQRT(NORMSDIST(Q$9*SQRT($C$11)*NORMSINV($B810)+SQRT(1-Q$9^2*$C$11)*NORMSINV(P810))*(Q$7-Q$5)*(Q$6-Q$5)),Q$7-SQRT((1-NORMSDIST(Q$9*SQRT($C$11)*NORMSINV($B810)+SQRT(1-Q$9^2*$C$11)*NORMSINV(P810)))*(Q$7-Q$5)*(Q$7-Q$6))))</f>
        <v>0.097010152779977</v>
      </c>
      <c r="R810" s="2" t="n">
        <v>0.429180254</v>
      </c>
      <c r="S810" s="2" t="n">
        <f aca="false">IF(S$7=S$5,S$6,IF(NORMSDIST(S$9*SQRT($C$11)*NORMSINV($B810)+SQRT(1-S$9^2*$C$11)*NORMSINV(R810))&lt;S$8,S$5+SQRT(NORMSDIST(S$9*SQRT($C$11)*NORMSINV($B810)+SQRT(1-S$9^2*$C$11)*NORMSINV(R810))*(S$7-S$5)*(S$6-S$5)),S$7-SQRT((1-NORMSDIST(S$9*SQRT($C$11)*NORMSINV($B810)+SQRT(1-S$9^2*$C$11)*NORMSINV(R810)))*(S$7-S$5)*(S$7-S$6))))</f>
        <v>0.644850922848671</v>
      </c>
      <c r="T810" s="2" t="n">
        <v>0.854686499</v>
      </c>
      <c r="U810" s="2" t="n">
        <f aca="false">IF(U$7=U$5,U$6,IF(NORMSDIST(U$9*SQRT($C$11)*NORMSINV($B810)+SQRT(1-U$9^2*$C$11)*NORMSINV(T810))&lt;U$8,U$5+SQRT(NORMSDIST(U$9*SQRT($C$11)*NORMSINV($B810)+SQRT(1-U$9^2*$C$11)*NORMSINV(T810))*(U$7-U$5)*(U$6-U$5)),U$7-SQRT((1-NORMSDIST(U$9*SQRT($C$11)*NORMSINV($B810)+SQRT(1-U$9^2*$C$11)*NORMSINV(T810)))*(U$7-U$5)*(U$7-U$6))))</f>
        <v>0.838493152798418</v>
      </c>
      <c r="V810" s="2" t="n">
        <v>0.752248641</v>
      </c>
      <c r="W810" s="2" t="n">
        <f aca="false">IF(W$7=W$5,W$6,IF(NORMSDIST(W$9*SQRT($C$11)*NORMSINV($B810)+SQRT(1-W$9^2*$C$11)*NORMSINV(V810))&lt;W$8,W$5+SQRT(NORMSDIST(W$9*SQRT($C$11)*NORMSINV($B810)+SQRT(1-W$9^2*$C$11)*NORMSINV(V810))*(W$7-W$5)*(W$6-W$5)),W$7-SQRT((1-NORMSDIST(W$9*SQRT($C$11)*NORMSINV($B810)+SQRT(1-W$9^2*$C$11)*NORMSINV(V810)))*(W$7-W$5)*(W$7-W$6))))</f>
        <v>11.1459682781494</v>
      </c>
      <c r="X810" s="2" t="n">
        <v>0.834252254</v>
      </c>
      <c r="Y810" s="2" t="n">
        <f aca="false">IF(Y$7=Y$5,Y$6,IF(NORMSDIST(Y$9*SQRT($C$11)*NORMSINV($B810)+SQRT(1-Y$9^2*$C$11)*NORMSINV(X810))&lt;Y$8,Y$5+SQRT(NORMSDIST(Y$9*SQRT($C$11)*NORMSINV($B810)+SQRT(1-Y$9^2*$C$11)*NORMSINV(X810))*(Y$7-Y$5)*(Y$6-Y$5)),Y$7-SQRT((1-NORMSDIST(Y$9*SQRT($C$11)*NORMSINV($B810)+SQRT(1-Y$9^2*$C$11)*NORMSINV(X810)))*(Y$7-Y$5)*(Y$7-Y$6))))</f>
        <v>0.712121774008523</v>
      </c>
      <c r="Z810" s="2" t="n">
        <v>0.780420394</v>
      </c>
      <c r="AA810" s="2" t="n">
        <f aca="false">IF(AA$7=AA$5,AA$6,IF(NORMSDIST(AA$9*SQRT($C$11)*NORMSINV($B810)+SQRT(1-AA$9^2*$C$11)*NORMSINV(Z810))&lt;AA$8,AA$5+SQRT(NORMSDIST(AA$9*SQRT($C$11)*NORMSINV($B810)+SQRT(1-AA$9^2*$C$11)*NORMSINV(Z810))*(AA$7-AA$5)*(AA$6-AA$5)),AA$7-SQRT((1-NORMSDIST(AA$9*SQRT($C$11)*NORMSINV($B810)+SQRT(1-AA$9^2*$C$11)*NORMSINV(Z810)))*(AA$7-AA$5)*(AA$7-AA$6))))</f>
        <v>0.743728671769374</v>
      </c>
      <c r="AB810" s="2" t="n">
        <v>0.457434575</v>
      </c>
      <c r="AC810" s="2" t="n">
        <f aca="false">IF(AC$7=AC$5,AC$6,IF(NORMSDIST(AC$9*SQRT($C$11)*NORMSINV($B810)+SQRT(1-AC$9^2*$C$11)*NORMSINV(AB810))&lt;AC$8,AC$5+SQRT(NORMSDIST(AC$9*SQRT($C$11)*NORMSINV($B810)+SQRT(1-AC$9^2*$C$11)*NORMSINV(AB810))*(AC$7-AC$5)*(AC$6-AC$5)),AC$7-SQRT((1-NORMSDIST(AC$9*SQRT($C$11)*NORMSINV($B810)+SQRT(1-AC$9^2*$C$11)*NORMSINV(AB810)))*(AC$7-AC$5)*(AC$7-AC$6))))</f>
        <v>9.99265426578821</v>
      </c>
      <c r="AD810" s="2" t="n">
        <f aca="false">Entrées!$C$8*(1+E810)</f>
        <v>7461.74406365054</v>
      </c>
      <c r="AE810" s="2" t="n">
        <f aca="false">I810*Hypothèses!$J$24/12/Hypothèses!$J$19</f>
        <v>104.940999630953</v>
      </c>
      <c r="AF810" s="2" t="n">
        <f aca="false">Entrées!$C$36*S810*1000</f>
        <v>322.425461424335</v>
      </c>
      <c r="AG810" s="2" t="n">
        <f aca="false">-AF810/W810</f>
        <v>-28.9275416346214</v>
      </c>
      <c r="AH810" s="2" t="n">
        <f aca="false">AD810+AE810+AG810</f>
        <v>7537.75752164687</v>
      </c>
      <c r="AI810" s="2" t="n">
        <f aca="false">Entrées!$C$16-M810+Hypothèses!$J$22*1000-AF810+Hypothèses!$J$23</f>
        <v>22508.0966628116</v>
      </c>
      <c r="AJ810" s="2" t="n">
        <f aca="false">AI810/AH810</f>
        <v>2.9860467915256</v>
      </c>
      <c r="AK810" s="2" t="n">
        <f aca="false">AI810/(AH810+I810*(12-Hypothèses!$J$24)/12/Hypothèses!$J$19)</f>
        <v>2.95664497405252</v>
      </c>
      <c r="AL810" s="2" t="n">
        <f aca="false">(AD810+AG810+I810/Hypothèses!$J$19)*(1+G810)</f>
        <v>8063.63108373813</v>
      </c>
      <c r="AM810" s="2" t="n">
        <f aca="false">Entrées!$C$54*K810/Hypothèses!$J$19</f>
        <v>28.9649047861205</v>
      </c>
      <c r="AN810" s="2" t="n">
        <f aca="false">Y810*1000/AC810</f>
        <v>71.2645264278391</v>
      </c>
      <c r="AO810" s="2" t="n">
        <f aca="false">(Entrées!$C$36*(1-S810)+MAX(0,Entrées!$C$30-Entrées!$C$35-Entrées!$C$36)*U810)*1000</f>
        <v>1351.46495249345</v>
      </c>
      <c r="AP810" s="2" t="n">
        <f aca="false">-AO810/W810</f>
        <v>-121.251462301653</v>
      </c>
      <c r="AQ810" s="2" t="n">
        <f aca="false">AL810+AM810+AN810+AP810</f>
        <v>8042.60905265044</v>
      </c>
      <c r="AR810" s="2" t="n">
        <f aca="false">O810*AQ810-Hypothèses!$J$25/Hypothèses!$J$19</f>
        <v>1399.12057359213</v>
      </c>
      <c r="AS810" s="2" t="n">
        <f aca="false">Entrées!$C$79*(1+Q810)+Hypothèses!$J$20</f>
        <v>1500.61415790519</v>
      </c>
      <c r="AT810" s="2" t="n">
        <f aca="false">AI810-AR810+AS810+Y810*1000-AO810+Hypothèses!$J$23</f>
        <v>21970.2470686397</v>
      </c>
      <c r="AU810" s="2" t="n">
        <f aca="false">AT810/AQ810</f>
        <v>2.73173132310832</v>
      </c>
      <c r="AV810" s="2" t="n">
        <f aca="false">Hypothèses!$J$26*AQ810-AT810</f>
        <v>2157.58008931158</v>
      </c>
      <c r="AW810" s="2" t="n">
        <f aca="false">IF(AC810&gt;Hypothèses!$J$26,MAX(0,AV810)/(1-Hypothèses!$J$26/AC810),0)</f>
        <v>3083.22863733188</v>
      </c>
      <c r="AX810" s="2" t="n">
        <f aca="false">AQ810-Entrées!$C$17*1000</f>
        <v>42.6090526504404</v>
      </c>
      <c r="AY810" s="2" t="n">
        <f aca="false">AI810+(Entrées!$C$244-Entrées!$C$13)</f>
        <v>28255.0966628116</v>
      </c>
      <c r="AZ810" s="2" t="n">
        <f aca="false">AA810*AH810</f>
        <v>5606.04638969404</v>
      </c>
      <c r="BA810" s="2" t="n">
        <f aca="false">AZ810/AY810</f>
        <v>0.198408324579279</v>
      </c>
      <c r="BB810" s="2" t="n">
        <f aca="false">AZ810/(Entrées!$C$151/100)-AY810</f>
        <v>2889.60550215527</v>
      </c>
      <c r="BC810" s="2" t="n">
        <f aca="false">AT810+(Entrées!$C$244-Entrées!$C$13)</f>
        <v>27717.2470686397</v>
      </c>
      <c r="BD810" s="2" t="n">
        <f aca="false">AA810*AQ810</f>
        <v>5981.51894828806</v>
      </c>
      <c r="BE810" s="2" t="n">
        <f aca="false">BD810/BC810</f>
        <v>0.215804943884768</v>
      </c>
      <c r="BF810" s="2" t="n">
        <f aca="false">BD810/(Entrées!$C$151/100)-BC810</f>
        <v>5513.4137551828</v>
      </c>
      <c r="BG810" s="2" t="n">
        <f aca="false">MIN(AV810,BF810)</f>
        <v>2157.58008931158</v>
      </c>
      <c r="BH810" s="2" t="n">
        <f aca="false">IF(AC810&gt;Hypothèses!$J$26,MAX(0,BG810)/(1-Hypothèses!$J$26/AC810),0)</f>
        <v>3083.22863733188</v>
      </c>
    </row>
    <row r="811" customFormat="false" ht="15" hidden="false" customHeight="false" outlineLevel="0" collapsed="false">
      <c r="A811" s="2" t="n">
        <v>796</v>
      </c>
      <c r="B811" s="2" t="n">
        <v>0.454803736</v>
      </c>
      <c r="C811" s="2"/>
      <c r="D811" s="2" t="n">
        <v>0.427506547</v>
      </c>
      <c r="E811" s="2" t="n">
        <f aca="false">IF(E$7=E$5,E$6,IF(NORMSDIST(E$9*SQRT($C$11)*NORMSINV($B811)+SQRT(1-E$9^2*$C$11)*NORMSINV(D811))&lt;E$8,E$5+SQRT(NORMSDIST(E$9*SQRT($C$11)*NORMSINV($B811)+SQRT(1-E$9^2*$C$11)*NORMSINV(D811))*(E$7-E$5)*(E$6-E$5)),E$7-SQRT((1-NORMSDIST(E$9*SQRT($C$11)*NORMSINV($B811)+SQRT(1-E$9^2*$C$11)*NORMSINV(D811)))*(E$7-E$5)*(E$7-E$6))))</f>
        <v>0.0545581212101173</v>
      </c>
      <c r="F811" s="2" t="n">
        <v>0.217483248</v>
      </c>
      <c r="G811" s="2" t="n">
        <f aca="false">IF(G$7=G$5,G$6,IF(NORMSDIST(G$9*SQRT($C$11)*NORMSINV($B811)+SQRT(1-G$9^2*$C$11)*NORMSINV(F811))&lt;G$8,G$5+SQRT(NORMSDIST(G$9*SQRT($C$11)*NORMSINV($B811)+SQRT(1-G$9^2*$C$11)*NORMSINV(F811))*(G$7-G$5)*(G$6-G$5)),G$7-SQRT((1-NORMSDIST(G$9*SQRT($C$11)*NORMSINV($B811)+SQRT(1-G$9^2*$C$11)*NORMSINV(F811)))*(G$7-G$5)*(G$7-G$6))))</f>
        <v>0.0505927205625784</v>
      </c>
      <c r="H811" s="2" t="n">
        <v>0.507710155</v>
      </c>
      <c r="I811" s="2" t="n">
        <f aca="false">IF(I$7=I$5,I$6,IF(NORMSDIST(I$9*SQRT($C$11)*NORMSINV($B811)+SQRT(1-I$9^2*$C$11)*NORMSINV(H811))&lt;I$8,I$5+SQRT(NORMSDIST(I$9*SQRT($C$11)*NORMSINV($B811)+SQRT(1-I$9^2*$C$11)*NORMSINV(H811))*(I$7-I$5)*(I$6-I$5)),I$7-SQRT((1-NORMSDIST(I$9*SQRT($C$11)*NORMSINV($B811)+SQRT(1-I$9^2*$C$11)*NORMSINV(H811)))*(I$7-I$5)*(I$7-I$6))))</f>
        <v>199.541520582292</v>
      </c>
      <c r="J811" s="2" t="n">
        <v>0.993389726</v>
      </c>
      <c r="K811" s="2" t="n">
        <f aca="false">IF(K$7=K$5,K$6,IF(NORMSDIST(K$9*SQRT($C$11)*NORMSINV($B811)+SQRT(1-K$9^2*$C$11)*NORMSINV(J811))&lt;K$8,K$5+SQRT(NORMSDIST(K$9*SQRT($C$11)*NORMSINV($B811)+SQRT(1-K$9^2*$C$11)*NORMSINV(J811))*(K$7-K$5)*(K$6-K$5)),K$7-SQRT((1-NORMSDIST(K$9*SQRT($C$11)*NORMSINV($B811)+SQRT(1-K$9^2*$C$11)*NORMSINV(J811)))*(K$7-K$5)*(K$7-K$6))))</f>
        <v>0.436419750503041</v>
      </c>
      <c r="L811" s="2" t="n">
        <v>0.303978903</v>
      </c>
      <c r="M811" s="2" t="n">
        <f aca="false">IF(M$7=M$5,M$6,IF(NORMSDIST(M$9*SQRT($C$11)*NORMSINV($B811)+SQRT(1-M$9^2*$C$11)*NORMSINV(L811))&lt;M$8,M$5+SQRT(NORMSDIST(M$9*SQRT($C$11)*NORMSINV($B811)+SQRT(1-M$9^2*$C$11)*NORMSINV(L811))*(M$7-M$5)*(M$6-M$5)),M$7-SQRT((1-NORMSDIST(M$9*SQRT($C$11)*NORMSINV($B811)+SQRT(1-M$9^2*$C$11)*NORMSINV(L811)))*(M$7-M$5)*(M$7-M$6))))</f>
        <v>1528.73580941186</v>
      </c>
      <c r="N811" s="2" t="n">
        <v>0.118207228</v>
      </c>
      <c r="O811" s="2" t="n">
        <f aca="false">IF(O$7=O$5,O$6,IF(NORMSDIST(O$9*SQRT($C$11)*NORMSINV($B811)+SQRT(1-O$9^2*$C$11)*NORMSINV(N811))&lt;O$8,O$5+SQRT(NORMSDIST(O$9*SQRT($C$11)*NORMSINV($B811)+SQRT(1-O$9^2*$C$11)*NORMSINV(N811))*(O$7-O$5)*(O$6-O$5)),O$7-SQRT((1-NORMSDIST(O$9*SQRT($C$11)*NORMSINV($B811)+SQRT(1-O$9^2*$C$11)*NORMSINV(N811)))*(O$7-O$5)*(O$7-O$6))))</f>
        <v>0.155215383657725</v>
      </c>
      <c r="P811" s="2" t="n">
        <v>0.035440404</v>
      </c>
      <c r="Q811" s="2" t="n">
        <f aca="false">IF(Q$7=Q$5,Q$6,IF(NORMSDIST(Q$9*SQRT($C$11)*NORMSINV($B811)+SQRT(1-Q$9^2*$C$11)*NORMSINV(P811))&lt;Q$8,Q$5+SQRT(NORMSDIST(Q$9*SQRT($C$11)*NORMSINV($B811)+SQRT(1-Q$9^2*$C$11)*NORMSINV(P811))*(Q$7-Q$5)*(Q$6-Q$5)),Q$7-SQRT((1-NORMSDIST(Q$9*SQRT($C$11)*NORMSINV($B811)+SQRT(1-Q$9^2*$C$11)*NORMSINV(P811)))*(Q$7-Q$5)*(Q$7-Q$6))))</f>
        <v>0.0506493799256107</v>
      </c>
      <c r="R811" s="2" t="n">
        <v>0.481764841</v>
      </c>
      <c r="S811" s="2" t="n">
        <f aca="false">IF(S$7=S$5,S$6,IF(NORMSDIST(S$9*SQRT($C$11)*NORMSINV($B811)+SQRT(1-S$9^2*$C$11)*NORMSINV(R811))&lt;S$8,S$5+SQRT(NORMSDIST(S$9*SQRT($C$11)*NORMSINV($B811)+SQRT(1-S$9^2*$C$11)*NORMSINV(R811))*(S$7-S$5)*(S$6-S$5)),S$7-SQRT((1-NORMSDIST(S$9*SQRT($C$11)*NORMSINV($B811)+SQRT(1-S$9^2*$C$11)*NORMSINV(R811)))*(S$7-S$5)*(S$7-S$6))))</f>
        <v>0.478176723881892</v>
      </c>
      <c r="T811" s="2" t="n">
        <v>0.431248271</v>
      </c>
      <c r="U811" s="2" t="n">
        <f aca="false">IF(U$7=U$5,U$6,IF(NORMSDIST(U$9*SQRT($C$11)*NORMSINV($B811)+SQRT(1-U$9^2*$C$11)*NORMSINV(T811))&lt;U$8,U$5+SQRT(NORMSDIST(U$9*SQRT($C$11)*NORMSINV($B811)+SQRT(1-U$9^2*$C$11)*NORMSINV(T811))*(U$7-U$5)*(U$6-U$5)),U$7-SQRT((1-NORMSDIST(U$9*SQRT($C$11)*NORMSINV($B811)+SQRT(1-U$9^2*$C$11)*NORMSINV(T811)))*(U$7-U$5)*(U$7-U$6))))</f>
        <v>0.457389310790076</v>
      </c>
      <c r="V811" s="2" t="n">
        <v>0.834962934</v>
      </c>
      <c r="W811" s="2" t="n">
        <f aca="false">IF(W$7=W$5,W$6,IF(NORMSDIST(W$9*SQRT($C$11)*NORMSINV($B811)+SQRT(1-W$9^2*$C$11)*NORMSINV(V811))&lt;W$8,W$5+SQRT(NORMSDIST(W$9*SQRT($C$11)*NORMSINV($B811)+SQRT(1-W$9^2*$C$11)*NORMSINV(V811))*(W$7-W$5)*(W$6-W$5)),W$7-SQRT((1-NORMSDIST(W$9*SQRT($C$11)*NORMSINV($B811)+SQRT(1-W$9^2*$C$11)*NORMSINV(V811)))*(W$7-W$5)*(W$7-W$6))))</f>
        <v>10.5930969992658</v>
      </c>
      <c r="X811" s="2" t="n">
        <v>0.613756606</v>
      </c>
      <c r="Y811" s="2" t="n">
        <f aca="false">IF(Y$7=Y$5,Y$6,IF(NORMSDIST(Y$9*SQRT($C$11)*NORMSINV($B811)+SQRT(1-Y$9^2*$C$11)*NORMSINV(X811))&lt;Y$8,Y$5+SQRT(NORMSDIST(Y$9*SQRT($C$11)*NORMSINV($B811)+SQRT(1-Y$9^2*$C$11)*NORMSINV(X811))*(Y$7-Y$5)*(Y$6-Y$5)),Y$7-SQRT((1-NORMSDIST(Y$9*SQRT($C$11)*NORMSINV($B811)+SQRT(1-Y$9^2*$C$11)*NORMSINV(X811)))*(Y$7-Y$5)*(Y$7-Y$6))))</f>
        <v>0.560543862256994</v>
      </c>
      <c r="Z811" s="2" t="n">
        <v>0.76537141</v>
      </c>
      <c r="AA811" s="2" t="n">
        <f aca="false">IF(AA$7=AA$5,AA$6,IF(NORMSDIST(AA$9*SQRT($C$11)*NORMSINV($B811)+SQRT(1-AA$9^2*$C$11)*NORMSINV(Z811))&lt;AA$8,AA$5+SQRT(NORMSDIST(AA$9*SQRT($C$11)*NORMSINV($B811)+SQRT(1-AA$9^2*$C$11)*NORMSINV(Z811))*(AA$7-AA$5)*(AA$6-AA$5)),AA$7-SQRT((1-NORMSDIST(AA$9*SQRT($C$11)*NORMSINV($B811)+SQRT(1-AA$9^2*$C$11)*NORMSINV(Z811)))*(AA$7-AA$5)*(AA$7-AA$6))))</f>
        <v>0.733827855931607</v>
      </c>
      <c r="AB811" s="2" t="n">
        <v>0.686279302</v>
      </c>
      <c r="AC811" s="2" t="n">
        <f aca="false">IF(AC$7=AC$5,AC$6,IF(NORMSDIST(AC$9*SQRT($C$11)*NORMSINV($B811)+SQRT(1-AC$9^2*$C$11)*NORMSINV(AB811))&lt;AC$8,AC$5+SQRT(NORMSDIST(AC$9*SQRT($C$11)*NORMSINV($B811)+SQRT(1-AC$9^2*$C$11)*NORMSINV(AB811))*(AC$7-AC$5)*(AC$6-AC$5)),AC$7-SQRT((1-NORMSDIST(AC$9*SQRT($C$11)*NORMSINV($B811)+SQRT(1-AC$9^2*$C$11)*NORMSINV(AB811)))*(AC$7-AC$5)*(AC$7-AC$6))))</f>
        <v>9.71351648922533</v>
      </c>
      <c r="AD811" s="2" t="n">
        <f aca="false">Entrées!$C$8*(1+E811)</f>
        <v>7434.63475453133</v>
      </c>
      <c r="AE811" s="2" t="n">
        <f aca="false">I811*Hypothèses!$J$24/12/Hypothèses!$J$19</f>
        <v>98.9919097033932</v>
      </c>
      <c r="AF811" s="2" t="n">
        <f aca="false">Entrées!$C$36*S811*1000</f>
        <v>239.088361940946</v>
      </c>
      <c r="AG811" s="2" t="n">
        <f aca="false">-AF811/W811</f>
        <v>-22.5702041581907</v>
      </c>
      <c r="AH811" s="2" t="n">
        <f aca="false">AD811+AE811+AG811</f>
        <v>7511.05646007653</v>
      </c>
      <c r="AI811" s="2" t="n">
        <f aca="false">Entrées!$C$16-M811+Hypothèses!$J$22*1000-AF811+Hypothèses!$J$23</f>
        <v>22780.1758286472</v>
      </c>
      <c r="AJ811" s="2" t="n">
        <f aca="false">AI811/AH811</f>
        <v>3.03288571317903</v>
      </c>
      <c r="AK811" s="2" t="n">
        <f aca="false">AI811/(AH811+I811*(12-Hypothèses!$J$24)/12/Hypothèses!$J$19)</f>
        <v>3.00460063425553</v>
      </c>
      <c r="AL811" s="2" t="n">
        <f aca="false">(AD811+AG811+I811/Hypothèses!$J$19)*(1+G811)</f>
        <v>7965.34708335448</v>
      </c>
      <c r="AM811" s="2" t="n">
        <f aca="false">Entrées!$C$54*K811/Hypothèses!$J$19</f>
        <v>44.5384679469547</v>
      </c>
      <c r="AN811" s="2" t="n">
        <f aca="false">Y811*1000/AC811</f>
        <v>57.7076142176496</v>
      </c>
      <c r="AO811" s="2" t="n">
        <f aca="false">(Entrées!$C$36*(1-S811)+MAX(0,Entrées!$C$30-Entrées!$C$35-Entrées!$C$36)*U811)*1000</f>
        <v>901.256673165161</v>
      </c>
      <c r="AP811" s="2" t="n">
        <f aca="false">-AO811/W811</f>
        <v>-85.0796205517261</v>
      </c>
      <c r="AQ811" s="2" t="n">
        <f aca="false">AL811+AM811+AN811+AP811</f>
        <v>7982.51354496736</v>
      </c>
      <c r="AR811" s="2" t="n">
        <f aca="false">O811*AQ811-Hypothèses!$J$25/Hypothèses!$J$19</f>
        <v>1219.87374017347</v>
      </c>
      <c r="AS811" s="2" t="n">
        <f aca="false">Entrées!$C$79*(1+Q811)+Hypothèses!$J$20</f>
        <v>1449.66366853825</v>
      </c>
      <c r="AT811" s="2" t="n">
        <f aca="false">AI811-AR811+AS811+Y811*1000-AO811+Hypothèses!$J$23</f>
        <v>22669.2529461038</v>
      </c>
      <c r="AU811" s="2" t="n">
        <f aca="false">AT811/AQ811</f>
        <v>2.83986401255727</v>
      </c>
      <c r="AV811" s="2" t="n">
        <f aca="false">Hypothèses!$J$26*AQ811-AT811</f>
        <v>1278.28768879828</v>
      </c>
      <c r="AW811" s="2" t="n">
        <f aca="false">IF(AC811&gt;Hypothèses!$J$26,MAX(0,AV811)/(1-Hypothèses!$J$26/AC811),0)</f>
        <v>1849.50294872198</v>
      </c>
      <c r="AX811" s="2" t="n">
        <f aca="false">AQ811-Entrées!$C$17*1000</f>
        <v>-17.4864550326383</v>
      </c>
      <c r="AY811" s="2" t="n">
        <f aca="false">AI811+(Entrées!$C$244-Entrées!$C$13)</f>
        <v>28527.1758286472</v>
      </c>
      <c r="AZ811" s="2" t="n">
        <f aca="false">AA811*AH811</f>
        <v>5511.82245787921</v>
      </c>
      <c r="BA811" s="2" t="n">
        <f aca="false">AZ811/AY811</f>
        <v>0.193213043274483</v>
      </c>
      <c r="BB811" s="2" t="n">
        <f aca="false">AZ811/(Entrées!$C$151/100)-AY811</f>
        <v>2094.06004845951</v>
      </c>
      <c r="BC811" s="2" t="n">
        <f aca="false">AT811+(Entrées!$C$244-Entrées!$C$13)</f>
        <v>28416.2529461038</v>
      </c>
      <c r="BD811" s="2" t="n">
        <f aca="false">AA811*AQ811</f>
        <v>5857.79079964841</v>
      </c>
      <c r="BE811" s="2" t="n">
        <f aca="false">BD811/BC811</f>
        <v>0.206142266918819</v>
      </c>
      <c r="BF811" s="2" t="n">
        <f aca="false">BD811/(Entrées!$C$151/100)-BC811</f>
        <v>4127.02927416515</v>
      </c>
      <c r="BG811" s="2" t="n">
        <f aca="false">MIN(AV811,BF811)</f>
        <v>1278.28768879828</v>
      </c>
      <c r="BH811" s="2" t="n">
        <f aca="false">IF(AC811&gt;Hypothèses!$J$26,MAX(0,BG811)/(1-Hypothèses!$J$26/AC811),0)</f>
        <v>1849.50294872198</v>
      </c>
    </row>
    <row r="812" customFormat="false" ht="15" hidden="false" customHeight="false" outlineLevel="0" collapsed="false">
      <c r="A812" s="2" t="n">
        <v>797</v>
      </c>
      <c r="B812" s="2" t="n">
        <v>0.221934159</v>
      </c>
      <c r="C812" s="2"/>
      <c r="D812" s="2" t="n">
        <v>0.367738446</v>
      </c>
      <c r="E812" s="2" t="n">
        <f aca="false">IF(E$7=E$5,E$6,IF(NORMSDIST(E$9*SQRT($C$11)*NORMSINV($B812)+SQRT(1-E$9^2*$C$11)*NORMSINV(D812))&lt;E$8,E$5+SQRT(NORMSDIST(E$9*SQRT($C$11)*NORMSINV($B812)+SQRT(1-E$9^2*$C$11)*NORMSINV(D812))*(E$7-E$5)*(E$6-E$5)),E$7-SQRT((1-NORMSDIST(E$9*SQRT($C$11)*NORMSINV($B812)+SQRT(1-E$9^2*$C$11)*NORMSINV(D812)))*(E$7-E$5)*(E$7-E$6))))</f>
        <v>0.053375260746521</v>
      </c>
      <c r="F812" s="2" t="n">
        <v>0.240302292</v>
      </c>
      <c r="G812" s="2" t="n">
        <f aca="false">IF(G$7=G$5,G$6,IF(NORMSDIST(G$9*SQRT($C$11)*NORMSINV($B812)+SQRT(1-G$9^2*$C$11)*NORMSINV(F812))&lt;G$8,G$5+SQRT(NORMSDIST(G$9*SQRT($C$11)*NORMSINV($B812)+SQRT(1-G$9^2*$C$11)*NORMSINV(F812))*(G$7-G$5)*(G$6-G$5)),G$7-SQRT((1-NORMSDIST(G$9*SQRT($C$11)*NORMSINV($B812)+SQRT(1-G$9^2*$C$11)*NORMSINV(F812)))*(G$7-G$5)*(G$7-G$6))))</f>
        <v>0.0482530919367433</v>
      </c>
      <c r="H812" s="2" t="n">
        <v>0.279125913</v>
      </c>
      <c r="I812" s="2" t="n">
        <f aca="false">IF(I$7=I$5,I$6,IF(NORMSDIST(I$9*SQRT($C$11)*NORMSINV($B812)+SQRT(1-I$9^2*$C$11)*NORMSINV(H812))&lt;I$8,I$5+SQRT(NORMSDIST(I$9*SQRT($C$11)*NORMSINV($B812)+SQRT(1-I$9^2*$C$11)*NORMSINV(H812))*(I$7-I$5)*(I$6-I$5)),I$7-SQRT((1-NORMSDIST(I$9*SQRT($C$11)*NORMSINV($B812)+SQRT(1-I$9^2*$C$11)*NORMSINV(H812)))*(I$7-I$5)*(I$7-I$6))))</f>
        <v>191.804739305749</v>
      </c>
      <c r="J812" s="2" t="n">
        <v>0.595688957</v>
      </c>
      <c r="K812" s="2" t="n">
        <f aca="false">IF(K$7=K$5,K$6,IF(NORMSDIST(K$9*SQRT($C$11)*NORMSINV($B812)+SQRT(1-K$9^2*$C$11)*NORMSINV(J812))&lt;K$8,K$5+SQRT(NORMSDIST(K$9*SQRT($C$11)*NORMSINV($B812)+SQRT(1-K$9^2*$C$11)*NORMSINV(J812))*(K$7-K$5)*(K$6-K$5)),K$7-SQRT((1-NORMSDIST(K$9*SQRT($C$11)*NORMSINV($B812)+SQRT(1-K$9^2*$C$11)*NORMSINV(J812)))*(K$7-K$5)*(K$7-K$6))))</f>
        <v>0.218908720926112</v>
      </c>
      <c r="L812" s="2" t="n">
        <v>0.995172202</v>
      </c>
      <c r="M812" s="2" t="n">
        <f aca="false">IF(M$7=M$5,M$6,IF(NORMSDIST(M$9*SQRT($C$11)*NORMSINV($B812)+SQRT(1-M$9^2*$C$11)*NORMSINV(L812))&lt;M$8,M$5+SQRT(NORMSDIST(M$9*SQRT($C$11)*NORMSINV($B812)+SQRT(1-M$9^2*$C$11)*NORMSINV(L812))*(M$7-M$5)*(M$6-M$5)),M$7-SQRT((1-NORMSDIST(M$9*SQRT($C$11)*NORMSINV($B812)+SQRT(1-M$9^2*$C$11)*NORMSINV(L812)))*(M$7-M$5)*(M$7-M$6))))</f>
        <v>1720.40233531142</v>
      </c>
      <c r="N812" s="2" t="n">
        <v>0.509400844</v>
      </c>
      <c r="O812" s="2" t="n">
        <f aca="false">IF(O$7=O$5,O$6,IF(NORMSDIST(O$9*SQRT($C$11)*NORMSINV($B812)+SQRT(1-O$9^2*$C$11)*NORMSINV(N812))&lt;O$8,O$5+SQRT(NORMSDIST(O$9*SQRT($C$11)*NORMSINV($B812)+SQRT(1-O$9^2*$C$11)*NORMSINV(N812))*(O$7-O$5)*(O$6-O$5)),O$7-SQRT((1-NORMSDIST(O$9*SQRT($C$11)*NORMSINV($B812)+SQRT(1-O$9^2*$C$11)*NORMSINV(N812)))*(O$7-O$5)*(O$7-O$6))))</f>
        <v>0.161447906328652</v>
      </c>
      <c r="P812" s="2" t="n">
        <v>0.914992106</v>
      </c>
      <c r="Q812" s="2" t="n">
        <f aca="false">IF(Q$7=Q$5,Q$6,IF(NORMSDIST(Q$9*SQRT($C$11)*NORMSINV($B812)+SQRT(1-Q$9^2*$C$11)*NORMSINV(P812))&lt;Q$8,Q$5+SQRT(NORMSDIST(Q$9*SQRT($C$11)*NORMSINV($B812)+SQRT(1-Q$9^2*$C$11)*NORMSINV(P812))*(Q$7-Q$5)*(Q$6-Q$5)),Q$7-SQRT((1-NORMSDIST(Q$9*SQRT($C$11)*NORMSINV($B812)+SQRT(1-Q$9^2*$C$11)*NORMSINV(P812)))*(Q$7-Q$5)*(Q$7-Q$6))))</f>
        <v>0.10350681168482</v>
      </c>
      <c r="R812" s="2" t="n">
        <v>0.45512339</v>
      </c>
      <c r="S812" s="2" t="n">
        <f aca="false">IF(S$7=S$5,S$6,IF(NORMSDIST(S$9*SQRT($C$11)*NORMSINV($B812)+SQRT(1-S$9^2*$C$11)*NORMSINV(R812))&lt;S$8,S$5+SQRT(NORMSDIST(S$9*SQRT($C$11)*NORMSINV($B812)+SQRT(1-S$9^2*$C$11)*NORMSINV(R812))*(S$7-S$5)*(S$6-S$5)),S$7-SQRT((1-NORMSDIST(S$9*SQRT($C$11)*NORMSINV($B812)+SQRT(1-S$9^2*$C$11)*NORMSINV(R812)))*(S$7-S$5)*(S$7-S$6))))</f>
        <v>0.376699453785093</v>
      </c>
      <c r="T812" s="2" t="n">
        <v>0.889163972</v>
      </c>
      <c r="U812" s="2" t="n">
        <f aca="false">IF(U$7=U$5,U$6,IF(NORMSDIST(U$9*SQRT($C$11)*NORMSINV($B812)+SQRT(1-U$9^2*$C$11)*NORMSINV(T812))&lt;U$8,U$5+SQRT(NORMSDIST(U$9*SQRT($C$11)*NORMSINV($B812)+SQRT(1-U$9^2*$C$11)*NORMSINV(T812))*(U$7-U$5)*(U$6-U$5)),U$7-SQRT((1-NORMSDIST(U$9*SQRT($C$11)*NORMSINV($B812)+SQRT(1-U$9^2*$C$11)*NORMSINV(T812)))*(U$7-U$5)*(U$7-U$6))))</f>
        <v>0.598809968774217</v>
      </c>
      <c r="V812" s="2" t="n">
        <v>0.650295075</v>
      </c>
      <c r="W812" s="2" t="n">
        <f aca="false">IF(W$7=W$5,W$6,IF(NORMSDIST(W$9*SQRT($C$11)*NORMSINV($B812)+SQRT(1-W$9^2*$C$11)*NORMSINV(V812))&lt;W$8,W$5+SQRT(NORMSDIST(W$9*SQRT($C$11)*NORMSINV($B812)+SQRT(1-W$9^2*$C$11)*NORMSINV(V812))*(W$7-W$5)*(W$6-W$5)),W$7-SQRT((1-NORMSDIST(W$9*SQRT($C$11)*NORMSINV($B812)+SQRT(1-W$9^2*$C$11)*NORMSINV(V812)))*(W$7-W$5)*(W$7-W$6))))</f>
        <v>9.84726211515579</v>
      </c>
      <c r="X812" s="2" t="n">
        <v>0.331641929</v>
      </c>
      <c r="Y812" s="2" t="n">
        <f aca="false">IF(Y$7=Y$5,Y$6,IF(NORMSDIST(Y$9*SQRT($C$11)*NORMSINV($B812)+SQRT(1-Y$9^2*$C$11)*NORMSINV(X812))&lt;Y$8,Y$5+SQRT(NORMSDIST(Y$9*SQRT($C$11)*NORMSINV($B812)+SQRT(1-Y$9^2*$C$11)*NORMSINV(X812))*(Y$7-Y$5)*(Y$6-Y$5)),Y$7-SQRT((1-NORMSDIST(Y$9*SQRT($C$11)*NORMSINV($B812)+SQRT(1-Y$9^2*$C$11)*NORMSINV(X812)))*(Y$7-Y$5)*(Y$7-Y$6))))</f>
        <v>0.407211203799699</v>
      </c>
      <c r="Z812" s="2" t="n">
        <v>0.413919488</v>
      </c>
      <c r="AA812" s="2" t="n">
        <f aca="false">IF(AA$7=AA$5,AA$6,IF(NORMSDIST(AA$9*SQRT($C$11)*NORMSINV($B812)+SQRT(1-AA$9^2*$C$11)*NORMSINV(Z812))&lt;AA$8,AA$5+SQRT(NORMSDIST(AA$9*SQRT($C$11)*NORMSINV($B812)+SQRT(1-AA$9^2*$C$11)*NORMSINV(Z812))*(AA$7-AA$5)*(AA$6-AA$5)),AA$7-SQRT((1-NORMSDIST(AA$9*SQRT($C$11)*NORMSINV($B812)+SQRT(1-AA$9^2*$C$11)*NORMSINV(Z812)))*(AA$7-AA$5)*(AA$7-AA$6))))</f>
        <v>0.718784808256775</v>
      </c>
      <c r="AB812" s="2" t="n">
        <v>0.910710076</v>
      </c>
      <c r="AC812" s="2" t="n">
        <f aca="false">IF(AC$7=AC$5,AC$6,IF(NORMSDIST(AC$9*SQRT($C$11)*NORMSINV($B812)+SQRT(1-AC$9^2*$C$11)*NORMSINV(AB812))&lt;AC$8,AC$5+SQRT(NORMSDIST(AC$9*SQRT($C$11)*NORMSINV($B812)+SQRT(1-AC$9^2*$C$11)*NORMSINV(AB812))*(AC$7-AC$5)*(AC$6-AC$5)),AC$7-SQRT((1-NORMSDIST(AC$9*SQRT($C$11)*NORMSINV($B812)+SQRT(1-AC$9^2*$C$11)*NORMSINV(AB812)))*(AC$7-AC$5)*(AC$7-AC$6))))</f>
        <v>9.883555098967</v>
      </c>
      <c r="AD812" s="2" t="n">
        <f aca="false">Entrées!$C$8*(1+E812)</f>
        <v>7426.29558826297</v>
      </c>
      <c r="AE812" s="2" t="n">
        <f aca="false">I812*Hypothèses!$J$24/12/Hypothèses!$J$19</f>
        <v>95.1537172746317</v>
      </c>
      <c r="AF812" s="2" t="n">
        <f aca="false">Entrées!$C$36*S812*1000</f>
        <v>188.349726892547</v>
      </c>
      <c r="AG812" s="2" t="n">
        <f aca="false">-AF812/W812</f>
        <v>-19.1271162166649</v>
      </c>
      <c r="AH812" s="2" t="n">
        <f aca="false">AD812+AE812+AG812</f>
        <v>7502.32218932094</v>
      </c>
      <c r="AI812" s="2" t="n">
        <f aca="false">Entrées!$C$16-M812+Hypothèses!$J$22*1000-AF812+Hypothèses!$J$23</f>
        <v>22639.247937796</v>
      </c>
      <c r="AJ812" s="2" t="n">
        <f aca="false">AI812/AH812</f>
        <v>3.01763205664794</v>
      </c>
      <c r="AK812" s="2" t="n">
        <f aca="false">AI812/(AH812+I812*(12-Hypothèses!$J$24)/12/Hypothèses!$J$19)</f>
        <v>2.99053940322938</v>
      </c>
      <c r="AL812" s="2" t="n">
        <f aca="false">(AD812+AG812+I812/Hypothèses!$J$19)*(1+G812)</f>
        <v>7935.57898762017</v>
      </c>
      <c r="AM812" s="2" t="n">
        <f aca="false">Entrées!$C$54*K812/Hypothèses!$J$19</f>
        <v>22.3405541088328</v>
      </c>
      <c r="AN812" s="2" t="n">
        <f aca="false">Y812*1000/AC812</f>
        <v>41.2008836620195</v>
      </c>
      <c r="AO812" s="2" t="n">
        <f aca="false">(Entrées!$C$36*(1-S812)+MAX(0,Entrées!$C$30-Entrées!$C$35-Entrées!$C$36)*U812)*1000</f>
        <v>1149.98422939136</v>
      </c>
      <c r="AP812" s="2" t="n">
        <f aca="false">-AO812/W812</f>
        <v>-116.782128468118</v>
      </c>
      <c r="AQ812" s="2" t="n">
        <f aca="false">AL812+AM812+AN812+AP812</f>
        <v>7882.33829692291</v>
      </c>
      <c r="AR812" s="2" t="n">
        <f aca="false">O812*AQ812-Hypothèses!$J$25/Hypothèses!$J$19</f>
        <v>1253.45185275073</v>
      </c>
      <c r="AS812" s="2" t="n">
        <f aca="false">Entrées!$C$79*(1+Q812)+Hypothèses!$J$20</f>
        <v>1507.75398604162</v>
      </c>
      <c r="AT812" s="2" t="n">
        <f aca="false">AI812-AR812+AS812+Y812*1000-AO812+Hypothèses!$J$23</f>
        <v>22150.7770454953</v>
      </c>
      <c r="AU812" s="2" t="n">
        <f aca="false">AT812/AQ812</f>
        <v>2.81017842816293</v>
      </c>
      <c r="AV812" s="2" t="n">
        <f aca="false">Hypothèses!$J$26*AQ812-AT812</f>
        <v>1496.23784527346</v>
      </c>
      <c r="AW812" s="2" t="n">
        <f aca="false">IF(AC812&gt;Hypothèses!$J$26,MAX(0,AV812)/(1-Hypothèses!$J$26/AC812),0)</f>
        <v>2148.33018292236</v>
      </c>
      <c r="AX812" s="2" t="n">
        <f aca="false">AQ812-Entrées!$C$17*1000</f>
        <v>-117.661703077091</v>
      </c>
      <c r="AY812" s="2" t="n">
        <f aca="false">AI812+(Entrées!$C$244-Entrées!$C$13)</f>
        <v>28386.247937796</v>
      </c>
      <c r="AZ812" s="2" t="n">
        <f aca="false">AA812*AH812</f>
        <v>5392.5552163316</v>
      </c>
      <c r="BA812" s="2" t="n">
        <f aca="false">AZ812/AY812</f>
        <v>0.189970693842615</v>
      </c>
      <c r="BB812" s="2" t="n">
        <f aca="false">AZ812/(Entrées!$C$151/100)-AY812</f>
        <v>1572.39215293509</v>
      </c>
      <c r="BC812" s="2" t="n">
        <f aca="false">AT812+(Entrées!$C$244-Entrées!$C$13)</f>
        <v>27897.7770454953</v>
      </c>
      <c r="BD812" s="2" t="n">
        <f aca="false">AA812*AQ812</f>
        <v>5665.70502136877</v>
      </c>
      <c r="BE812" s="2" t="n">
        <f aca="false">BD812/BC812</f>
        <v>0.203088045765411</v>
      </c>
      <c r="BF812" s="2" t="n">
        <f aca="false">BD812/(Entrées!$C$151/100)-BC812</f>
        <v>3578.36196210901</v>
      </c>
      <c r="BG812" s="2" t="n">
        <f aca="false">MIN(AV812,BF812)</f>
        <v>1496.23784527346</v>
      </c>
      <c r="BH812" s="2" t="n">
        <f aca="false">IF(AC812&gt;Hypothèses!$J$26,MAX(0,BG812)/(1-Hypothèses!$J$26/AC812),0)</f>
        <v>2148.33018292236</v>
      </c>
    </row>
    <row r="813" customFormat="false" ht="15" hidden="false" customHeight="false" outlineLevel="0" collapsed="false">
      <c r="A813" s="2" t="n">
        <v>798</v>
      </c>
      <c r="B813" s="2" t="n">
        <v>0.653501944</v>
      </c>
      <c r="C813" s="2"/>
      <c r="D813" s="2" t="n">
        <v>0.921841698</v>
      </c>
      <c r="E813" s="2" t="n">
        <f aca="false">IF(E$7=E$5,E$6,IF(NORMSDIST(E$9*SQRT($C$11)*NORMSINV($B813)+SQRT(1-E$9^2*$C$11)*NORMSINV(D813))&lt;E$8,E$5+SQRT(NORMSDIST(E$9*SQRT($C$11)*NORMSINV($B813)+SQRT(1-E$9^2*$C$11)*NORMSINV(D813))*(E$7-E$5)*(E$6-E$5)),E$7-SQRT((1-NORMSDIST(E$9*SQRT($C$11)*NORMSINV($B813)+SQRT(1-E$9^2*$C$11)*NORMSINV(D813)))*(E$7-E$5)*(E$7-E$6))))</f>
        <v>0.0578920134434736</v>
      </c>
      <c r="F813" s="2" t="n">
        <v>0.730930672</v>
      </c>
      <c r="G813" s="2" t="n">
        <f aca="false">IF(G$7=G$5,G$6,IF(NORMSDIST(G$9*SQRT($C$11)*NORMSINV($B813)+SQRT(1-G$9^2*$C$11)*NORMSINV(F813))&lt;G$8,G$5+SQRT(NORMSDIST(G$9*SQRT($C$11)*NORMSINV($B813)+SQRT(1-G$9^2*$C$11)*NORMSINV(F813))*(G$7-G$5)*(G$6-G$5)),G$7-SQRT((1-NORMSDIST(G$9*SQRT($C$11)*NORMSINV($B813)+SQRT(1-G$9^2*$C$11)*NORMSINV(F813)))*(G$7-G$5)*(G$7-G$6))))</f>
        <v>0.0597439107296336</v>
      </c>
      <c r="H813" s="2" t="n">
        <v>0.270615348</v>
      </c>
      <c r="I813" s="2" t="n">
        <f aca="false">IF(I$7=I$5,I$6,IF(NORMSDIST(I$9*SQRT($C$11)*NORMSINV($B813)+SQRT(1-I$9^2*$C$11)*NORMSINV(H813))&lt;I$8,I$5+SQRT(NORMSDIST(I$9*SQRT($C$11)*NORMSINV($B813)+SQRT(1-I$9^2*$C$11)*NORMSINV(H813))*(I$7-I$5)*(I$6-I$5)),I$7-SQRT((1-NORMSDIST(I$9*SQRT($C$11)*NORMSINV($B813)+SQRT(1-I$9^2*$C$11)*NORMSINV(H813)))*(I$7-I$5)*(I$7-I$6))))</f>
        <v>198.145023864963</v>
      </c>
      <c r="J813" s="2" t="n">
        <v>0.713539078</v>
      </c>
      <c r="K813" s="2" t="n">
        <f aca="false">IF(K$7=K$5,K$6,IF(NORMSDIST(K$9*SQRT($C$11)*NORMSINV($B813)+SQRT(1-K$9^2*$C$11)*NORMSINV(J813))&lt;K$8,K$5+SQRT(NORMSDIST(K$9*SQRT($C$11)*NORMSINV($B813)+SQRT(1-K$9^2*$C$11)*NORMSINV(J813))*(K$7-K$5)*(K$6-K$5)),K$7-SQRT((1-NORMSDIST(K$9*SQRT($C$11)*NORMSINV($B813)+SQRT(1-K$9^2*$C$11)*NORMSINV(J813)))*(K$7-K$5)*(K$7-K$6))))</f>
        <v>0.32455776575417</v>
      </c>
      <c r="L813" s="2" t="n">
        <v>0.73345588</v>
      </c>
      <c r="M813" s="2" t="n">
        <f aca="false">IF(M$7=M$5,M$6,IF(NORMSDIST(M$9*SQRT($C$11)*NORMSINV($B813)+SQRT(1-M$9^2*$C$11)*NORMSINV(L813))&lt;M$8,M$5+SQRT(NORMSDIST(M$9*SQRT($C$11)*NORMSINV($B813)+SQRT(1-M$9^2*$C$11)*NORMSINV(L813))*(M$7-M$5)*(M$6-M$5)),M$7-SQRT((1-NORMSDIST(M$9*SQRT($C$11)*NORMSINV($B813)+SQRT(1-M$9^2*$C$11)*NORMSINV(L813)))*(M$7-M$5)*(M$7-M$6))))</f>
        <v>1656.01748552363</v>
      </c>
      <c r="N813" s="2" t="n">
        <v>0.193066491</v>
      </c>
      <c r="O813" s="2" t="n">
        <f aca="false">IF(O$7=O$5,O$6,IF(NORMSDIST(O$9*SQRT($C$11)*NORMSINV($B813)+SQRT(1-O$9^2*$C$11)*NORMSINV(N813))&lt;O$8,O$5+SQRT(NORMSDIST(O$9*SQRT($C$11)*NORMSINV($B813)+SQRT(1-O$9^2*$C$11)*NORMSINV(N813))*(O$7-O$5)*(O$6-O$5)),O$7-SQRT((1-NORMSDIST(O$9*SQRT($C$11)*NORMSINV($B813)+SQRT(1-O$9^2*$C$11)*NORMSINV(N813)))*(O$7-O$5)*(O$7-O$6))))</f>
        <v>0.161978056951472</v>
      </c>
      <c r="P813" s="2" t="n">
        <v>0.448383571</v>
      </c>
      <c r="Q813" s="2" t="n">
        <f aca="false">IF(Q$7=Q$5,Q$6,IF(NORMSDIST(Q$9*SQRT($C$11)*NORMSINV($B813)+SQRT(1-Q$9^2*$C$11)*NORMSINV(P813))&lt;Q$8,Q$5+SQRT(NORMSDIST(Q$9*SQRT($C$11)*NORMSINV($B813)+SQRT(1-Q$9^2*$C$11)*NORMSINV(P813))*(Q$7-Q$5)*(Q$6-Q$5)),Q$7-SQRT((1-NORMSDIST(Q$9*SQRT($C$11)*NORMSINV($B813)+SQRT(1-Q$9^2*$C$11)*NORMSINV(P813)))*(Q$7-Q$5)*(Q$7-Q$6))))</f>
        <v>0.077879115977013</v>
      </c>
      <c r="R813" s="2" t="n">
        <v>0.907775871</v>
      </c>
      <c r="S813" s="2" t="n">
        <f aca="false">IF(S$7=S$5,S$6,IF(NORMSDIST(S$9*SQRT($C$11)*NORMSINV($B813)+SQRT(1-S$9^2*$C$11)*NORMSINV(R813))&lt;S$8,S$5+SQRT(NORMSDIST(S$9*SQRT($C$11)*NORMSINV($B813)+SQRT(1-S$9^2*$C$11)*NORMSINV(R813))*(S$7-S$5)*(S$6-S$5)),S$7-SQRT((1-NORMSDIST(S$9*SQRT($C$11)*NORMSINV($B813)+SQRT(1-S$9^2*$C$11)*NORMSINV(R813)))*(S$7-S$5)*(S$7-S$6))))</f>
        <v>0.775640801901227</v>
      </c>
      <c r="T813" s="2" t="n">
        <v>0.310977178</v>
      </c>
      <c r="U813" s="2" t="n">
        <f aca="false">IF(U$7=U$5,U$6,IF(NORMSDIST(U$9*SQRT($C$11)*NORMSINV($B813)+SQRT(1-U$9^2*$C$11)*NORMSINV(T813))&lt;U$8,U$5+SQRT(NORMSDIST(U$9*SQRT($C$11)*NORMSINV($B813)+SQRT(1-U$9^2*$C$11)*NORMSINV(T813))*(U$7-U$5)*(U$6-U$5)),U$7-SQRT((1-NORMSDIST(U$9*SQRT($C$11)*NORMSINV($B813)+SQRT(1-U$9^2*$C$11)*NORMSINV(T813)))*(U$7-U$5)*(U$7-U$6))))</f>
        <v>0.472965504660041</v>
      </c>
      <c r="V813" s="2" t="n">
        <v>0.523794787</v>
      </c>
      <c r="W813" s="2" t="n">
        <f aca="false">IF(W$7=W$5,W$6,IF(NORMSDIST(W$9*SQRT($C$11)*NORMSINV($B813)+SQRT(1-W$9^2*$C$11)*NORMSINV(V813))&lt;W$8,W$5+SQRT(NORMSDIST(W$9*SQRT($C$11)*NORMSINV($B813)+SQRT(1-W$9^2*$C$11)*NORMSINV(V813))*(W$7-W$5)*(W$6-W$5)),W$7-SQRT((1-NORMSDIST(W$9*SQRT($C$11)*NORMSINV($B813)+SQRT(1-W$9^2*$C$11)*NORMSINV(V813)))*(W$7-W$5)*(W$7-W$6))))</f>
        <v>10.2480938970171</v>
      </c>
      <c r="X813" s="2" t="n">
        <v>0.163825969</v>
      </c>
      <c r="Y813" s="2" t="n">
        <f aca="false">IF(Y$7=Y$5,Y$6,IF(NORMSDIST(Y$9*SQRT($C$11)*NORMSINV($B813)+SQRT(1-Y$9^2*$C$11)*NORMSINV(X813))&lt;Y$8,Y$5+SQRT(NORMSDIST(Y$9*SQRT($C$11)*NORMSINV($B813)+SQRT(1-Y$9^2*$C$11)*NORMSINV(X813))*(Y$7-Y$5)*(Y$6-Y$5)),Y$7-SQRT((1-NORMSDIST(Y$9*SQRT($C$11)*NORMSINV($B813)+SQRT(1-Y$9^2*$C$11)*NORMSINV(X813)))*(Y$7-Y$5)*(Y$7-Y$6))))</f>
        <v>0.286204445283437</v>
      </c>
      <c r="Z813" s="2" t="n">
        <v>0.640310177</v>
      </c>
      <c r="AA813" s="2" t="n">
        <f aca="false">IF(AA$7=AA$5,AA$6,IF(NORMSDIST(AA$9*SQRT($C$11)*NORMSINV($B813)+SQRT(1-AA$9^2*$C$11)*NORMSINV(Z813))&lt;AA$8,AA$5+SQRT(NORMSDIST(AA$9*SQRT($C$11)*NORMSINV($B813)+SQRT(1-AA$9^2*$C$11)*NORMSINV(Z813))*(AA$7-AA$5)*(AA$6-AA$5)),AA$7-SQRT((1-NORMSDIST(AA$9*SQRT($C$11)*NORMSINV($B813)+SQRT(1-AA$9^2*$C$11)*NORMSINV(Z813)))*(AA$7-AA$5)*(AA$7-AA$6))))</f>
        <v>0.734273879906102</v>
      </c>
      <c r="AB813" s="2" t="n">
        <v>0.641011406</v>
      </c>
      <c r="AC813" s="2" t="n">
        <f aca="false">IF(AC$7=AC$5,AC$6,IF(NORMSDIST(AC$9*SQRT($C$11)*NORMSINV($B813)+SQRT(1-AC$9^2*$C$11)*NORMSINV(AB813))&lt;AC$8,AC$5+SQRT(NORMSDIST(AC$9*SQRT($C$11)*NORMSINV($B813)+SQRT(1-AC$9^2*$C$11)*NORMSINV(AB813))*(AC$7-AC$5)*(AC$6-AC$5)),AC$7-SQRT((1-NORMSDIST(AC$9*SQRT($C$11)*NORMSINV($B813)+SQRT(1-AC$9^2*$C$11)*NORMSINV(AB813)))*(AC$7-AC$5)*(AC$7-AC$6))))</f>
        <v>9.86490815730427</v>
      </c>
      <c r="AD813" s="2" t="n">
        <f aca="false">Entrées!$C$8*(1+E813)</f>
        <v>7458.13869477649</v>
      </c>
      <c r="AE813" s="2" t="n">
        <f aca="false">I813*Hypothèses!$J$24/12/Hypothèses!$J$19</f>
        <v>98.2991121515876</v>
      </c>
      <c r="AF813" s="2" t="n">
        <f aca="false">Entrées!$C$36*S813*1000</f>
        <v>387.820400950613</v>
      </c>
      <c r="AG813" s="2" t="n">
        <f aca="false">-AF813/W813</f>
        <v>-37.8431740426865</v>
      </c>
      <c r="AH813" s="2" t="n">
        <f aca="false">AD813+AE813+AG813</f>
        <v>7518.59463288539</v>
      </c>
      <c r="AI813" s="2" t="n">
        <f aca="false">Entrées!$C$16-M813+Hypothèses!$J$22*1000-AF813+Hypothèses!$J$23</f>
        <v>22504.1621135258</v>
      </c>
      <c r="AJ813" s="2" t="n">
        <f aca="false">AI813/AH813</f>
        <v>2.99313411779049</v>
      </c>
      <c r="AK813" s="2" t="n">
        <f aca="false">AI813/(AH813+I813*(12-Hypothèses!$J$24)/12/Hypothèses!$J$19)</f>
        <v>2.96544085317331</v>
      </c>
      <c r="AL813" s="2" t="n">
        <f aca="false">(AD813+AG813+I813/Hypothèses!$J$19)*(1+G813)</f>
        <v>8042.19336911107</v>
      </c>
      <c r="AM813" s="2" t="n">
        <f aca="false">Entrées!$C$54*K813/Hypothèses!$J$19</f>
        <v>33.1224827252097</v>
      </c>
      <c r="AN813" s="2" t="n">
        <f aca="false">Y813*1000/AC813</f>
        <v>29.0123780900609</v>
      </c>
      <c r="AO813" s="2" t="n">
        <f aca="false">(Entrées!$C$36*(1-S813)+MAX(0,Entrées!$C$30-Entrées!$C$35-Entrées!$C$36)*U813)*1000</f>
        <v>774.331305573445</v>
      </c>
      <c r="AP813" s="2" t="n">
        <f aca="false">-AO813/W813</f>
        <v>-75.5585685840393</v>
      </c>
      <c r="AQ813" s="2" t="n">
        <f aca="false">AL813+AM813+AN813+AP813</f>
        <v>8028.7696613423</v>
      </c>
      <c r="AR813" s="2" t="n">
        <f aca="false">O813*AQ813-Hypothèses!$J$25/Hypothèses!$J$19</f>
        <v>1281.34934719352</v>
      </c>
      <c r="AS813" s="2" t="n">
        <f aca="false">Entrées!$C$79*(1+Q813)+Hypothèses!$J$20</f>
        <v>1479.58914845874</v>
      </c>
      <c r="AT813" s="2" t="n">
        <f aca="false">AI813-AR813+AS813+Y813*1000-AO813+Hypothèses!$J$23</f>
        <v>22214.275054501</v>
      </c>
      <c r="AU813" s="2" t="n">
        <f aca="false">AT813/AQ813</f>
        <v>2.76683427119107</v>
      </c>
      <c r="AV813" s="2" t="n">
        <f aca="false">Hypothèses!$J$26*AQ813-AT813</f>
        <v>1872.03392952593</v>
      </c>
      <c r="AW813" s="2" t="n">
        <f aca="false">IF(AC813&gt;Hypothèses!$J$26,MAX(0,AV813)/(1-Hypothèses!$J$26/AC813),0)</f>
        <v>2690.12233797786</v>
      </c>
      <c r="AX813" s="2" t="n">
        <f aca="false">AQ813-Entrées!$C$17*1000</f>
        <v>28.7696613422968</v>
      </c>
      <c r="AY813" s="2" t="n">
        <f aca="false">AI813+(Entrées!$C$244-Entrées!$C$13)</f>
        <v>28251.1621135258</v>
      </c>
      <c r="AZ813" s="2" t="n">
        <f aca="false">AA813*AH813</f>
        <v>5520.70765252995</v>
      </c>
      <c r="BA813" s="2" t="n">
        <f aca="false">AZ813/AY813</f>
        <v>0.195415240985319</v>
      </c>
      <c r="BB813" s="2" t="n">
        <f aca="false">AZ813/(Entrées!$C$151/100)-AY813</f>
        <v>2419.43595608506</v>
      </c>
      <c r="BC813" s="2" t="n">
        <f aca="false">AT813+(Entrées!$C$244-Entrées!$C$13)</f>
        <v>27961.275054501</v>
      </c>
      <c r="BD813" s="2" t="n">
        <f aca="false">AA813*AQ813</f>
        <v>5895.31585010621</v>
      </c>
      <c r="BE813" s="2" t="n">
        <f aca="false">BD813/BC813</f>
        <v>0.210838591538308</v>
      </c>
      <c r="BF813" s="2" t="n">
        <f aca="false">BD813/(Entrées!$C$151/100)-BC813</f>
        <v>4790.47966831129</v>
      </c>
      <c r="BG813" s="2" t="n">
        <f aca="false">MIN(AV813,BF813)</f>
        <v>1872.03392952593</v>
      </c>
      <c r="BH813" s="2" t="n">
        <f aca="false">IF(AC813&gt;Hypothèses!$J$26,MAX(0,BG813)/(1-Hypothèses!$J$26/AC813),0)</f>
        <v>2690.12233797786</v>
      </c>
    </row>
    <row r="814" customFormat="false" ht="15" hidden="false" customHeight="false" outlineLevel="0" collapsed="false">
      <c r="A814" s="2" t="n">
        <v>799</v>
      </c>
      <c r="B814" s="2" t="n">
        <v>0.040400267</v>
      </c>
      <c r="C814" s="2"/>
      <c r="D814" s="2" t="n">
        <v>0.243871551</v>
      </c>
      <c r="E814" s="2" t="n">
        <f aca="false">IF(E$7=E$5,E$6,IF(NORMSDIST(E$9*SQRT($C$11)*NORMSINV($B814)+SQRT(1-E$9^2*$C$11)*NORMSINV(D814))&lt;E$8,E$5+SQRT(NORMSDIST(E$9*SQRT($C$11)*NORMSINV($B814)+SQRT(1-E$9^2*$C$11)*NORMSINV(D814))*(E$7-E$5)*(E$6-E$5)),E$7-SQRT((1-NORMSDIST(E$9*SQRT($C$11)*NORMSINV($B814)+SQRT(1-E$9^2*$C$11)*NORMSINV(D814)))*(E$7-E$5)*(E$7-E$6))))</f>
        <v>0.0515861228391632</v>
      </c>
      <c r="F814" s="2" t="n">
        <v>0.577614879</v>
      </c>
      <c r="G814" s="2" t="n">
        <f aca="false">IF(G$7=G$5,G$6,IF(NORMSDIST(G$9*SQRT($C$11)*NORMSINV($B814)+SQRT(1-G$9^2*$C$11)*NORMSINV(F814))&lt;G$8,G$5+SQRT(NORMSDIST(G$9*SQRT($C$11)*NORMSINV($B814)+SQRT(1-G$9^2*$C$11)*NORMSINV(F814))*(G$7-G$5)*(G$6-G$5)),G$7-SQRT((1-NORMSDIST(G$9*SQRT($C$11)*NORMSINV($B814)+SQRT(1-G$9^2*$C$11)*NORMSINV(F814)))*(G$7-G$5)*(G$7-G$6))))</f>
        <v>0.0487563405611963</v>
      </c>
      <c r="H814" s="2" t="n">
        <v>0.129566406</v>
      </c>
      <c r="I814" s="2" t="n">
        <f aca="false">IF(I$7=I$5,I$6,IF(NORMSDIST(I$9*SQRT($C$11)*NORMSINV($B814)+SQRT(1-I$9^2*$C$11)*NORMSINV(H814))&lt;I$8,I$5+SQRT(NORMSDIST(I$9*SQRT($C$11)*NORMSINV($B814)+SQRT(1-I$9^2*$C$11)*NORMSINV(H814))*(I$7-I$5)*(I$6-I$5)),I$7-SQRT((1-NORMSDIST(I$9*SQRT($C$11)*NORMSINV($B814)+SQRT(1-I$9^2*$C$11)*NORMSINV(H814)))*(I$7-I$5)*(I$7-I$6))))</f>
        <v>184.376497352911</v>
      </c>
      <c r="J814" s="2" t="n">
        <v>0.990370152</v>
      </c>
      <c r="K814" s="2" t="n">
        <f aca="false">IF(K$7=K$5,K$6,IF(NORMSDIST(K$9*SQRT($C$11)*NORMSINV($B814)+SQRT(1-K$9^2*$C$11)*NORMSINV(J814))&lt;K$8,K$5+SQRT(NORMSDIST(K$9*SQRT($C$11)*NORMSINV($B814)+SQRT(1-K$9^2*$C$11)*NORMSINV(J814))*(K$7-K$5)*(K$6-K$5)),K$7-SQRT((1-NORMSDIST(K$9*SQRT($C$11)*NORMSINV($B814)+SQRT(1-K$9^2*$C$11)*NORMSINV(J814)))*(K$7-K$5)*(K$7-K$6))))</f>
        <v>0.327053947365781</v>
      </c>
      <c r="L814" s="2" t="n">
        <v>0.450709525</v>
      </c>
      <c r="M814" s="2" t="n">
        <f aca="false">IF(M$7=M$5,M$6,IF(NORMSDIST(M$9*SQRT($C$11)*NORMSINV($B814)+SQRT(1-M$9^2*$C$11)*NORMSINV(L814))&lt;M$8,M$5+SQRT(NORMSDIST(M$9*SQRT($C$11)*NORMSINV($B814)+SQRT(1-M$9^2*$C$11)*NORMSINV(L814))*(M$7-M$5)*(M$6-M$5)),M$7-SQRT((1-NORMSDIST(M$9*SQRT($C$11)*NORMSINV($B814)+SQRT(1-M$9^2*$C$11)*NORMSINV(L814)))*(M$7-M$5)*(M$7-M$6))))</f>
        <v>1438.52690660199</v>
      </c>
      <c r="N814" s="2" t="n">
        <v>0.737489001</v>
      </c>
      <c r="O814" s="2" t="n">
        <f aca="false">IF(O$7=O$5,O$6,IF(NORMSDIST(O$9*SQRT($C$11)*NORMSINV($B814)+SQRT(1-O$9^2*$C$11)*NORMSINV(N814))&lt;O$8,O$5+SQRT(NORMSDIST(O$9*SQRT($C$11)*NORMSINV($B814)+SQRT(1-O$9^2*$C$11)*NORMSINV(N814))*(O$7-O$5)*(O$6-O$5)),O$7-SQRT((1-NORMSDIST(O$9*SQRT($C$11)*NORMSINV($B814)+SQRT(1-O$9^2*$C$11)*NORMSINV(N814)))*(O$7-O$5)*(O$7-O$6))))</f>
        <v>0.159692859919479</v>
      </c>
      <c r="P814" s="2" t="n">
        <v>0.510337505</v>
      </c>
      <c r="Q814" s="2" t="n">
        <f aca="false">IF(Q$7=Q$5,Q$6,IF(NORMSDIST(Q$9*SQRT($C$11)*NORMSINV($B814)+SQRT(1-Q$9^2*$C$11)*NORMSINV(P814))&lt;Q$8,Q$5+SQRT(NORMSDIST(Q$9*SQRT($C$11)*NORMSINV($B814)+SQRT(1-Q$9^2*$C$11)*NORMSINV(P814))*(Q$7-Q$5)*(Q$6-Q$5)),Q$7-SQRT((1-NORMSDIST(Q$9*SQRT($C$11)*NORMSINV($B814)+SQRT(1-Q$9^2*$C$11)*NORMSINV(P814)))*(Q$7-Q$5)*(Q$7-Q$6))))</f>
        <v>0.0804156598640321</v>
      </c>
      <c r="R814" s="2" t="n">
        <v>0.890356238</v>
      </c>
      <c r="S814" s="2" t="n">
        <f aca="false">IF(S$7=S$5,S$6,IF(NORMSDIST(S$9*SQRT($C$11)*NORMSINV($B814)+SQRT(1-S$9^2*$C$11)*NORMSINV(R814))&lt;S$8,S$5+SQRT(NORMSDIST(S$9*SQRT($C$11)*NORMSINV($B814)+SQRT(1-S$9^2*$C$11)*NORMSINV(R814))*(S$7-S$5)*(S$6-S$5)),S$7-SQRT((1-NORMSDIST(S$9*SQRT($C$11)*NORMSINV($B814)+SQRT(1-S$9^2*$C$11)*NORMSINV(R814)))*(S$7-S$5)*(S$7-S$6))))</f>
        <v>0.46866258871933</v>
      </c>
      <c r="T814" s="2" t="n">
        <v>0.996788538</v>
      </c>
      <c r="U814" s="2" t="n">
        <f aca="false">IF(U$7=U$5,U$6,IF(NORMSDIST(U$9*SQRT($C$11)*NORMSINV($B814)+SQRT(1-U$9^2*$C$11)*NORMSINV(T814))&lt;U$8,U$5+SQRT(NORMSDIST(U$9*SQRT($C$11)*NORMSINV($B814)+SQRT(1-U$9^2*$C$11)*NORMSINV(T814))*(U$7-U$5)*(U$6-U$5)),U$7-SQRT((1-NORMSDIST(U$9*SQRT($C$11)*NORMSINV($B814)+SQRT(1-U$9^2*$C$11)*NORMSINV(T814)))*(U$7-U$5)*(U$7-U$6))))</f>
        <v>0.71979872614825</v>
      </c>
      <c r="V814" s="2" t="n">
        <v>0.862552251</v>
      </c>
      <c r="W814" s="2" t="n">
        <f aca="false">IF(W$7=W$5,W$6,IF(NORMSDIST(W$9*SQRT($C$11)*NORMSINV($B814)+SQRT(1-W$9^2*$C$11)*NORMSINV(V814))&lt;W$8,W$5+SQRT(NORMSDIST(W$9*SQRT($C$11)*NORMSINV($B814)+SQRT(1-W$9^2*$C$11)*NORMSINV(V814))*(W$7-W$5)*(W$6-W$5)),W$7-SQRT((1-NORMSDIST(W$9*SQRT($C$11)*NORMSINV($B814)+SQRT(1-W$9^2*$C$11)*NORMSINV(V814)))*(W$7-W$5)*(W$7-W$6))))</f>
        <v>9.78435208608761</v>
      </c>
      <c r="X814" s="2" t="n">
        <v>0.22407226</v>
      </c>
      <c r="Y814" s="2" t="n">
        <f aca="false">IF(Y$7=Y$5,Y$6,IF(NORMSDIST(Y$9*SQRT($C$11)*NORMSINV($B814)+SQRT(1-Y$9^2*$C$11)*NORMSINV(X814))&lt;Y$8,Y$5+SQRT(NORMSDIST(Y$9*SQRT($C$11)*NORMSINV($B814)+SQRT(1-Y$9^2*$C$11)*NORMSINV(X814))*(Y$7-Y$5)*(Y$6-Y$5)),Y$7-SQRT((1-NORMSDIST(Y$9*SQRT($C$11)*NORMSINV($B814)+SQRT(1-Y$9^2*$C$11)*NORMSINV(X814)))*(Y$7-Y$5)*(Y$7-Y$6))))</f>
        <v>0.334717985773098</v>
      </c>
      <c r="Z814" s="2" t="n">
        <v>0.3571023</v>
      </c>
      <c r="AA814" s="2" t="n">
        <f aca="false">IF(AA$7=AA$5,AA$6,IF(NORMSDIST(AA$9*SQRT($C$11)*NORMSINV($B814)+SQRT(1-AA$9^2*$C$11)*NORMSINV(Z814))&lt;AA$8,AA$5+SQRT(NORMSDIST(AA$9*SQRT($C$11)*NORMSINV($B814)+SQRT(1-AA$9^2*$C$11)*NORMSINV(Z814))*(AA$7-AA$5)*(AA$6-AA$5)),AA$7-SQRT((1-NORMSDIST(AA$9*SQRT($C$11)*NORMSINV($B814)+SQRT(1-AA$9^2*$C$11)*NORMSINV(Z814)))*(AA$7-AA$5)*(AA$7-AA$6))))</f>
        <v>0.708620879529087</v>
      </c>
      <c r="AB814" s="2" t="n">
        <v>0.982485672</v>
      </c>
      <c r="AC814" s="2" t="n">
        <f aca="false">IF(AC$7=AC$5,AC$6,IF(NORMSDIST(AC$9*SQRT($C$11)*NORMSINV($B814)+SQRT(1-AC$9^2*$C$11)*NORMSINV(AB814))&lt;AC$8,AC$5+SQRT(NORMSDIST(AC$9*SQRT($C$11)*NORMSINV($B814)+SQRT(1-AC$9^2*$C$11)*NORMSINV(AB814))*(AC$7-AC$5)*(AC$6-AC$5)),AC$7-SQRT((1-NORMSDIST(AC$9*SQRT($C$11)*NORMSINV($B814)+SQRT(1-AC$9^2*$C$11)*NORMSINV(AB814)))*(AC$7-AC$5)*(AC$7-AC$6))))</f>
        <v>9.86432792775702</v>
      </c>
      <c r="AD814" s="2" t="n">
        <f aca="false">Entrées!$C$8*(1+E814)</f>
        <v>7413.6821660161</v>
      </c>
      <c r="AE814" s="2" t="n">
        <f aca="false">I814*Hypothèses!$J$24/12/Hypothèses!$J$19</f>
        <v>91.4685902168424</v>
      </c>
      <c r="AF814" s="2" t="n">
        <f aca="false">Entrées!$C$36*S814*1000</f>
        <v>234.331294359665</v>
      </c>
      <c r="AG814" s="2" t="n">
        <f aca="false">-AF814/W814</f>
        <v>-23.9495975101776</v>
      </c>
      <c r="AH814" s="2" t="n">
        <f aca="false">AD814+AE814+AG814</f>
        <v>7481.20115872277</v>
      </c>
      <c r="AI814" s="2" t="n">
        <f aca="false">Entrées!$C$16-M814+Hypothèses!$J$22*1000-AF814+Hypothèses!$J$23</f>
        <v>22875.1417990383</v>
      </c>
      <c r="AJ814" s="2" t="n">
        <f aca="false">AI814/AH814</f>
        <v>3.05768302625667</v>
      </c>
      <c r="AK814" s="2" t="n">
        <f aca="false">AI814/(AH814+I814*(12-Hypothèses!$J$24)/12/Hypothèses!$J$19)</f>
        <v>3.03121090327515</v>
      </c>
      <c r="AL814" s="2" t="n">
        <f aca="false">(AD814+AG814+I814/Hypothèses!$J$19)*(1+G814)</f>
        <v>7914.47733876149</v>
      </c>
      <c r="AM814" s="2" t="n">
        <f aca="false">Entrées!$C$54*K814/Hypothèses!$J$19</f>
        <v>33.3772285394639</v>
      </c>
      <c r="AN814" s="2" t="n">
        <f aca="false">Y814*1000/AC814</f>
        <v>33.9321632679346</v>
      </c>
      <c r="AO814" s="2" t="n">
        <f aca="false">(Entrées!$C$36*(1-S814)+MAX(0,Entrées!$C$30-Entrées!$C$35-Entrées!$C$36)*U814)*1000</f>
        <v>1273.38692224788</v>
      </c>
      <c r="AP814" s="2" t="n">
        <f aca="false">-AO814/W814</f>
        <v>-130.14524733411</v>
      </c>
      <c r="AQ814" s="2" t="n">
        <f aca="false">AL814+AM814+AN814+AP814</f>
        <v>7851.64148323478</v>
      </c>
      <c r="AR814" s="2" t="n">
        <f aca="false">O814*AQ814-Hypothèses!$J$25/Hypothèses!$J$19</f>
        <v>1234.71592125855</v>
      </c>
      <c r="AS814" s="2" t="n">
        <f aca="false">Entrées!$C$79*(1+Q814)+Hypothèses!$J$20</f>
        <v>1482.37681019057</v>
      </c>
      <c r="AT814" s="2" t="n">
        <f aca="false">AI814-AR814+AS814+Y814*1000-AO814+Hypothèses!$J$23</f>
        <v>22184.1337514956</v>
      </c>
      <c r="AU814" s="2" t="n">
        <f aca="false">AT814/AQ814</f>
        <v>2.82541348823227</v>
      </c>
      <c r="AV814" s="2" t="n">
        <f aca="false">Hypothèses!$J$26*AQ814-AT814</f>
        <v>1370.79069820876</v>
      </c>
      <c r="AW814" s="2" t="n">
        <f aca="false">IF(AC814&gt;Hypothèses!$J$26,MAX(0,AV814)/(1-Hypothèses!$J$26/AC814),0)</f>
        <v>1969.88388517573</v>
      </c>
      <c r="AX814" s="2" t="n">
        <f aca="false">AQ814-Entrées!$C$17*1000</f>
        <v>-148.358516765221</v>
      </c>
      <c r="AY814" s="2" t="n">
        <f aca="false">AI814+(Entrées!$C$244-Entrées!$C$13)</f>
        <v>28622.1417990383</v>
      </c>
      <c r="AZ814" s="2" t="n">
        <f aca="false">AA814*AH814</f>
        <v>5301.33534502815</v>
      </c>
      <c r="BA814" s="2" t="n">
        <f aca="false">AZ814/AY814</f>
        <v>0.185217982017204</v>
      </c>
      <c r="BB814" s="2" t="n">
        <f aca="false">AZ814/(Entrées!$C$151/100)-AY814</f>
        <v>829.72122889584</v>
      </c>
      <c r="BC814" s="2" t="n">
        <f aca="false">AT814+(Entrées!$C$244-Entrées!$C$13)</f>
        <v>27931.1337514956</v>
      </c>
      <c r="BD814" s="2" t="n">
        <f aca="false">AA814*AQ814</f>
        <v>5563.8370935969</v>
      </c>
      <c r="BE814" s="2" t="n">
        <f aca="false">BD814/BC814</f>
        <v>0.199198397855904</v>
      </c>
      <c r="BF814" s="2" t="n">
        <f aca="false">BD814/(Entrées!$C$151/100)-BC814</f>
        <v>2979.07232404274</v>
      </c>
      <c r="BG814" s="2" t="n">
        <f aca="false">MIN(AV814,BF814)</f>
        <v>1370.79069820876</v>
      </c>
      <c r="BH814" s="2" t="n">
        <f aca="false">IF(AC814&gt;Hypothèses!$J$26,MAX(0,BG814)/(1-Hypothèses!$J$26/AC814),0)</f>
        <v>1969.88388517573</v>
      </c>
    </row>
    <row r="815" customFormat="false" ht="15" hidden="false" customHeight="false" outlineLevel="0" collapsed="false">
      <c r="A815" s="2" t="n">
        <v>800</v>
      </c>
      <c r="B815" s="2" t="n">
        <v>0.71155648</v>
      </c>
      <c r="C815" s="2"/>
      <c r="D815" s="2" t="n">
        <v>0.622032672</v>
      </c>
      <c r="E815" s="2" t="n">
        <f aca="false">IF(E$7=E$5,E$6,IF(NORMSDIST(E$9*SQRT($C$11)*NORMSINV($B815)+SQRT(1-E$9^2*$C$11)*NORMSINV(D815))&lt;E$8,E$5+SQRT(NORMSDIST(E$9*SQRT($C$11)*NORMSINV($B815)+SQRT(1-E$9^2*$C$11)*NORMSINV(D815))*(E$7-E$5)*(E$6-E$5)),E$7-SQRT((1-NORMSDIST(E$9*SQRT($C$11)*NORMSINV($B815)+SQRT(1-E$9^2*$C$11)*NORMSINV(D815)))*(E$7-E$5)*(E$7-E$6))))</f>
        <v>0.0562826180227673</v>
      </c>
      <c r="F815" s="2" t="n">
        <v>0.516699301</v>
      </c>
      <c r="G815" s="2" t="n">
        <f aca="false">IF(G$7=G$5,G$6,IF(NORMSDIST(G$9*SQRT($C$11)*NORMSINV($B815)+SQRT(1-G$9^2*$C$11)*NORMSINV(F815))&lt;G$8,G$5+SQRT(NORMSDIST(G$9*SQRT($C$11)*NORMSINV($B815)+SQRT(1-G$9^2*$C$11)*NORMSINV(F815))*(G$7-G$5)*(G$6-G$5)),G$7-SQRT((1-NORMSDIST(G$9*SQRT($C$11)*NORMSINV($B815)+SQRT(1-G$9^2*$C$11)*NORMSINV(F815)))*(G$7-G$5)*(G$7-G$6))))</f>
        <v>0.0574499899222908</v>
      </c>
      <c r="H815" s="2" t="n">
        <v>0.14952351</v>
      </c>
      <c r="I815" s="2" t="n">
        <f aca="false">IF(I$7=I$5,I$6,IF(NORMSDIST(I$9*SQRT($C$11)*NORMSINV($B815)+SQRT(1-I$9^2*$C$11)*NORMSINV(H815))&lt;I$8,I$5+SQRT(NORMSDIST(I$9*SQRT($C$11)*NORMSINV($B815)+SQRT(1-I$9^2*$C$11)*NORMSINV(H815))*(I$7-I$5)*(I$6-I$5)),I$7-SQRT((1-NORMSDIST(I$9*SQRT($C$11)*NORMSINV($B815)+SQRT(1-I$9^2*$C$11)*NORMSINV(H815)))*(I$7-I$5)*(I$7-I$6))))</f>
        <v>196.144426689011</v>
      </c>
      <c r="J815" s="2" t="n">
        <v>0.008803388</v>
      </c>
      <c r="K815" s="2" t="n">
        <f aca="false">IF(K$7=K$5,K$6,IF(NORMSDIST(K$9*SQRT($C$11)*NORMSINV($B815)+SQRT(1-K$9^2*$C$11)*NORMSINV(J815))&lt;K$8,K$5+SQRT(NORMSDIST(K$9*SQRT($C$11)*NORMSINV($B815)+SQRT(1-K$9^2*$C$11)*NORMSINV(J815))*(K$7-K$5)*(K$6-K$5)),K$7-SQRT((1-NORMSDIST(K$9*SQRT($C$11)*NORMSINV($B815)+SQRT(1-K$9^2*$C$11)*NORMSINV(J815)))*(K$7-K$5)*(K$7-K$6))))</f>
        <v>0.0926408743897557</v>
      </c>
      <c r="L815" s="2" t="n">
        <v>0.300173174</v>
      </c>
      <c r="M815" s="2" t="n">
        <f aca="false">IF(M$7=M$5,M$6,IF(NORMSDIST(M$9*SQRT($C$11)*NORMSINV($B815)+SQRT(1-M$9^2*$C$11)*NORMSINV(L815))&lt;M$8,M$5+SQRT(NORMSDIST(M$9*SQRT($C$11)*NORMSINV($B815)+SQRT(1-M$9^2*$C$11)*NORMSINV(L815))*(M$7-M$5)*(M$6-M$5)),M$7-SQRT((1-NORMSDIST(M$9*SQRT($C$11)*NORMSINV($B815)+SQRT(1-M$9^2*$C$11)*NORMSINV(L815)))*(M$7-M$5)*(M$7-M$6))))</f>
        <v>1579.33031245974</v>
      </c>
      <c r="N815" s="2" t="n">
        <v>0.814307349</v>
      </c>
      <c r="O815" s="2" t="n">
        <f aca="false">IF(O$7=O$5,O$6,IF(NORMSDIST(O$9*SQRT($C$11)*NORMSINV($B815)+SQRT(1-O$9^2*$C$11)*NORMSINV(N815))&lt;O$8,O$5+SQRT(NORMSDIST(O$9*SQRT($C$11)*NORMSINV($B815)+SQRT(1-O$9^2*$C$11)*NORMSINV(N815))*(O$7-O$5)*(O$6-O$5)),O$7-SQRT((1-NORMSDIST(O$9*SQRT($C$11)*NORMSINV($B815)+SQRT(1-O$9^2*$C$11)*NORMSINV(N815)))*(O$7-O$5)*(O$7-O$6))))</f>
        <v>0.177446390892184</v>
      </c>
      <c r="P815" s="2" t="n">
        <v>0.975647886</v>
      </c>
      <c r="Q815" s="2" t="n">
        <f aca="false">IF(Q$7=Q$5,Q$6,IF(NORMSDIST(Q$9*SQRT($C$11)*NORMSINV($B815)+SQRT(1-Q$9^2*$C$11)*NORMSINV(P815))&lt;Q$8,Q$5+SQRT(NORMSDIST(Q$9*SQRT($C$11)*NORMSINV($B815)+SQRT(1-Q$9^2*$C$11)*NORMSINV(P815))*(Q$7-Q$5)*(Q$6-Q$5)),Q$7-SQRT((1-NORMSDIST(Q$9*SQRT($C$11)*NORMSINV($B815)+SQRT(1-Q$9^2*$C$11)*NORMSINV(P815)))*(Q$7-Q$5)*(Q$7-Q$6))))</f>
        <v>0.111172386234095</v>
      </c>
      <c r="R815" s="2" t="n">
        <v>0.690842396</v>
      </c>
      <c r="S815" s="2" t="n">
        <f aca="false">IF(S$7=S$5,S$6,IF(NORMSDIST(S$9*SQRT($C$11)*NORMSINV($B815)+SQRT(1-S$9^2*$C$11)*NORMSINV(R815))&lt;S$8,S$5+SQRT(NORMSDIST(S$9*SQRT($C$11)*NORMSINV($B815)+SQRT(1-S$9^2*$C$11)*NORMSINV(R815))*(S$7-S$5)*(S$6-S$5)),S$7-SQRT((1-NORMSDIST(S$9*SQRT($C$11)*NORMSINV($B815)+SQRT(1-S$9^2*$C$11)*NORMSINV(R815)))*(S$7-S$5)*(S$7-S$6))))</f>
        <v>0.660874217270838</v>
      </c>
      <c r="T815" s="2" t="n">
        <v>0.897741996</v>
      </c>
      <c r="U815" s="2" t="n">
        <f aca="false">IF(U$7=U$5,U$6,IF(NORMSDIST(U$9*SQRT($C$11)*NORMSINV($B815)+SQRT(1-U$9^2*$C$11)*NORMSINV(T815))&lt;U$8,U$5+SQRT(NORMSDIST(U$9*SQRT($C$11)*NORMSINV($B815)+SQRT(1-U$9^2*$C$11)*NORMSINV(T815))*(U$7-U$5)*(U$6-U$5)),U$7-SQRT((1-NORMSDIST(U$9*SQRT($C$11)*NORMSINV($B815)+SQRT(1-U$9^2*$C$11)*NORMSINV(T815)))*(U$7-U$5)*(U$7-U$6))))</f>
        <v>0.786893925607608</v>
      </c>
      <c r="V815" s="2" t="n">
        <v>0.95561189</v>
      </c>
      <c r="W815" s="2" t="n">
        <f aca="false">IF(W$7=W$5,W$6,IF(NORMSDIST(W$9*SQRT($C$11)*NORMSINV($B815)+SQRT(1-W$9^2*$C$11)*NORMSINV(V815))&lt;W$8,W$5+SQRT(NORMSDIST(W$9*SQRT($C$11)*NORMSINV($B815)+SQRT(1-W$9^2*$C$11)*NORMSINV(V815))*(W$7-W$5)*(W$6-W$5)),W$7-SQRT((1-NORMSDIST(W$9*SQRT($C$11)*NORMSINV($B815)+SQRT(1-W$9^2*$C$11)*NORMSINV(V815)))*(W$7-W$5)*(W$7-W$6))))</f>
        <v>11.3845572752402</v>
      </c>
      <c r="X815" s="2" t="n">
        <v>0.809238945</v>
      </c>
      <c r="Y815" s="2" t="n">
        <f aca="false">IF(Y$7=Y$5,Y$6,IF(NORMSDIST(Y$9*SQRT($C$11)*NORMSINV($B815)+SQRT(1-Y$9^2*$C$11)*NORMSINV(X815))&lt;Y$8,Y$5+SQRT(NORMSDIST(Y$9*SQRT($C$11)*NORMSINV($B815)+SQRT(1-Y$9^2*$C$11)*NORMSINV(X815))*(Y$7-Y$5)*(Y$6-Y$5)),Y$7-SQRT((1-NORMSDIST(Y$9*SQRT($C$11)*NORMSINV($B815)+SQRT(1-Y$9^2*$C$11)*NORMSINV(X815)))*(Y$7-Y$5)*(Y$7-Y$6))))</f>
        <v>0.691162619652349</v>
      </c>
      <c r="Z815" s="2" t="n">
        <v>0.013642549</v>
      </c>
      <c r="AA815" s="2" t="n">
        <f aca="false">IF(AA$7=AA$5,AA$6,IF(NORMSDIST(AA$9*SQRT($C$11)*NORMSINV($B815)+SQRT(1-AA$9^2*$C$11)*NORMSINV(Z815))&lt;AA$8,AA$5+SQRT(NORMSDIST(AA$9*SQRT($C$11)*NORMSINV($B815)+SQRT(1-AA$9^2*$C$11)*NORMSINV(Z815))*(AA$7-AA$5)*(AA$6-AA$5)),AA$7-SQRT((1-NORMSDIST(AA$9*SQRT($C$11)*NORMSINV($B815)+SQRT(1-AA$9^2*$C$11)*NORMSINV(Z815)))*(AA$7-AA$5)*(AA$7-AA$6))))</f>
        <v>0.709003641865582</v>
      </c>
      <c r="AB815" s="2" t="n">
        <v>0.316514113</v>
      </c>
      <c r="AC815" s="2" t="n">
        <f aca="false">IF(AC$7=AC$5,AC$6,IF(NORMSDIST(AC$9*SQRT($C$11)*NORMSINV($B815)+SQRT(1-AC$9^2*$C$11)*NORMSINV(AB815))&lt;AC$8,AC$5+SQRT(NORMSDIST(AC$9*SQRT($C$11)*NORMSINV($B815)+SQRT(1-AC$9^2*$C$11)*NORMSINV(AB815))*(AC$7-AC$5)*(AC$6-AC$5)),AC$7-SQRT((1-NORMSDIST(AC$9*SQRT($C$11)*NORMSINV($B815)+SQRT(1-AC$9^2*$C$11)*NORMSINV(AB815)))*(AC$7-AC$5)*(AC$7-AC$6))))</f>
        <v>9.46433808388374</v>
      </c>
      <c r="AD815" s="2" t="n">
        <f aca="false">Entrées!$C$8*(1+E815)</f>
        <v>7446.79245706051</v>
      </c>
      <c r="AE815" s="2" t="n">
        <f aca="false">I815*Hypothèses!$J$24/12/Hypothèses!$J$19</f>
        <v>97.3066222957584</v>
      </c>
      <c r="AF815" s="2" t="n">
        <f aca="false">Entrées!$C$36*S815*1000</f>
        <v>330.437108635419</v>
      </c>
      <c r="AG815" s="2" t="n">
        <f aca="false">-AF815/W815</f>
        <v>-29.0250293135311</v>
      </c>
      <c r="AH815" s="2" t="n">
        <f aca="false">AD815+AE815+AG815</f>
        <v>7515.07405004274</v>
      </c>
      <c r="AI815" s="2" t="n">
        <f aca="false">Entrées!$C$16-M815+Hypothèses!$J$22*1000-AF815+Hypothèses!$J$23</f>
        <v>22638.2325789048</v>
      </c>
      <c r="AJ815" s="2" t="n">
        <f aca="false">AI815/AH815</f>
        <v>3.01237651527547</v>
      </c>
      <c r="AK815" s="2" t="n">
        <f aca="false">AI815/(AH815+I815*(12-Hypothèses!$J$24)/12/Hypothèses!$J$19)</f>
        <v>2.98477123579257</v>
      </c>
      <c r="AL815" s="2" t="n">
        <f aca="false">(AD815+AG815+I815/Hypothèses!$J$19)*(1+G815)</f>
        <v>8020.31275474441</v>
      </c>
      <c r="AM815" s="2" t="n">
        <f aca="false">Entrées!$C$54*K815/Hypothèses!$J$19</f>
        <v>9.45439020537005</v>
      </c>
      <c r="AN815" s="2" t="n">
        <f aca="false">Y815*1000/AC815</f>
        <v>73.0280991154879</v>
      </c>
      <c r="AO815" s="2" t="n">
        <f aca="false">(Entrées!$C$36*(1-S815)+MAX(0,Entrées!$C$30-Entrées!$C$35-Entrées!$C$36)*U815)*1000</f>
        <v>1271.21438721523</v>
      </c>
      <c r="AP815" s="2" t="n">
        <f aca="false">-AO815/W815</f>
        <v>-111.66129314312</v>
      </c>
      <c r="AQ815" s="2" t="n">
        <f aca="false">AL815+AM815+AN815+AP815</f>
        <v>7991.13395092214</v>
      </c>
      <c r="AR815" s="2" t="n">
        <f aca="false">O815*AQ815-Hypothèses!$J$25/Hypothèses!$J$19</f>
        <v>1398.86271646551</v>
      </c>
      <c r="AS815" s="2" t="n">
        <f aca="false">Entrées!$C$79*(1+Q815)+Hypothèses!$J$20</f>
        <v>1516.17845247127</v>
      </c>
      <c r="AT815" s="2" t="n">
        <f aca="false">AI815-AR815+AS815+Y815*1000-AO815+Hypothèses!$J$23</f>
        <v>22175.4965473477</v>
      </c>
      <c r="AU815" s="2" t="n">
        <f aca="false">AT815/AQ815</f>
        <v>2.77501249303783</v>
      </c>
      <c r="AV815" s="2" t="n">
        <f aca="false">Hypothèses!$J$26*AQ815-AT815</f>
        <v>1797.90530541872</v>
      </c>
      <c r="AW815" s="2" t="n">
        <f aca="false">IF(AC815&gt;Hypothèses!$J$26,MAX(0,AV815)/(1-Hypothèses!$J$26/AC815),0)</f>
        <v>2632.28553836218</v>
      </c>
      <c r="AX815" s="2" t="n">
        <f aca="false">AQ815-Entrées!$C$17*1000</f>
        <v>-8.86604907785568</v>
      </c>
      <c r="AY815" s="2" t="n">
        <f aca="false">AI815+(Entrées!$C$244-Entrées!$C$13)</f>
        <v>28385.2325789048</v>
      </c>
      <c r="AZ815" s="2" t="n">
        <f aca="false">AA815*AH815</f>
        <v>5328.21487036983</v>
      </c>
      <c r="BA815" s="2" t="n">
        <f aca="false">AZ815/AY815</f>
        <v>0.187710805453453</v>
      </c>
      <c r="BB815" s="2" t="n">
        <f aca="false">AZ815/(Entrées!$C$151/100)-AY815</f>
        <v>1215.96114537199</v>
      </c>
      <c r="BC815" s="2" t="n">
        <f aca="false">AT815+(Entrées!$C$244-Entrées!$C$13)</f>
        <v>27922.4965473477</v>
      </c>
      <c r="BD815" s="2" t="n">
        <f aca="false">AA815*AQ815</f>
        <v>5665.7430738395</v>
      </c>
      <c r="BE815" s="2" t="n">
        <f aca="false">BD815/BC815</f>
        <v>0.20290961677557</v>
      </c>
      <c r="BF815" s="2" t="n">
        <f aca="false">BD815/(Entrées!$C$151/100)-BC815</f>
        <v>3553.85386287171</v>
      </c>
      <c r="BG815" s="2" t="n">
        <f aca="false">MIN(AV815,BF815)</f>
        <v>1797.90530541872</v>
      </c>
      <c r="BH815" s="2" t="n">
        <f aca="false">IF(AC815&gt;Hypothèses!$J$26,MAX(0,BG815)/(1-Hypothèses!$J$26/AC815),0)</f>
        <v>2632.28553836218</v>
      </c>
    </row>
    <row r="816" customFormat="false" ht="15" hidden="false" customHeight="false" outlineLevel="0" collapsed="false">
      <c r="A816" s="2" t="n">
        <v>801</v>
      </c>
      <c r="B816" s="2" t="n">
        <v>0.405968868</v>
      </c>
      <c r="C816" s="2"/>
      <c r="D816" s="2" t="n">
        <v>0.282892131</v>
      </c>
      <c r="E816" s="2" t="n">
        <f aca="false">IF(E$7=E$5,E$6,IF(NORMSDIST(E$9*SQRT($C$11)*NORMSINV($B816)+SQRT(1-E$9^2*$C$11)*NORMSINV(D816))&lt;E$8,E$5+SQRT(NORMSDIST(E$9*SQRT($C$11)*NORMSINV($B816)+SQRT(1-E$9^2*$C$11)*NORMSINV(D816))*(E$7-E$5)*(E$6-E$5)),E$7-SQRT((1-NORMSDIST(E$9*SQRT($C$11)*NORMSINV($B816)+SQRT(1-E$9^2*$C$11)*NORMSINV(D816)))*(E$7-E$5)*(E$7-E$6))))</f>
        <v>0.0537136181621331</v>
      </c>
      <c r="F816" s="2" t="n">
        <v>0.244013818</v>
      </c>
      <c r="G816" s="2" t="n">
        <f aca="false">IF(G$7=G$5,G$6,IF(NORMSDIST(G$9*SQRT($C$11)*NORMSINV($B816)+SQRT(1-G$9^2*$C$11)*NORMSINV(F816))&lt;G$8,G$5+SQRT(NORMSDIST(G$9*SQRT($C$11)*NORMSINV($B816)+SQRT(1-G$9^2*$C$11)*NORMSINV(F816))*(G$7-G$5)*(G$6-G$5)),G$7-SQRT((1-NORMSDIST(G$9*SQRT($C$11)*NORMSINV($B816)+SQRT(1-G$9^2*$C$11)*NORMSINV(F816)))*(G$7-G$5)*(G$7-G$6))))</f>
        <v>0.0505181023832994</v>
      </c>
      <c r="H816" s="2" t="n">
        <v>0.806327553</v>
      </c>
      <c r="I816" s="2" t="n">
        <f aca="false">IF(I$7=I$5,I$6,IF(NORMSDIST(I$9*SQRT($C$11)*NORMSINV($B816)+SQRT(1-I$9^2*$C$11)*NORMSINV(H816))&lt;I$8,I$5+SQRT(NORMSDIST(I$9*SQRT($C$11)*NORMSINV($B816)+SQRT(1-I$9^2*$C$11)*NORMSINV(H816))*(I$7-I$5)*(I$6-I$5)),I$7-SQRT((1-NORMSDIST(I$9*SQRT($C$11)*NORMSINV($B816)+SQRT(1-I$9^2*$C$11)*NORMSINV(H816)))*(I$7-I$5)*(I$7-I$6))))</f>
        <v>204.460632522109</v>
      </c>
      <c r="J816" s="2" t="n">
        <v>0.642643987</v>
      </c>
      <c r="K816" s="2" t="n">
        <f aca="false">IF(K$7=K$5,K$6,IF(NORMSDIST(K$9*SQRT($C$11)*NORMSINV($B816)+SQRT(1-K$9^2*$C$11)*NORMSINV(J816))&lt;K$8,K$5+SQRT(NORMSDIST(K$9*SQRT($C$11)*NORMSINV($B816)+SQRT(1-K$9^2*$C$11)*NORMSINV(J816))*(K$7-K$5)*(K$6-K$5)),K$7-SQRT((1-NORMSDIST(K$9*SQRT($C$11)*NORMSINV($B816)+SQRT(1-K$9^2*$C$11)*NORMSINV(J816)))*(K$7-K$5)*(K$7-K$6))))</f>
        <v>0.263560381055785</v>
      </c>
      <c r="L816" s="2" t="n">
        <v>0.075842305</v>
      </c>
      <c r="M816" s="2" t="n">
        <f aca="false">IF(M$7=M$5,M$6,IF(NORMSDIST(M$9*SQRT($C$11)*NORMSINV($B816)+SQRT(1-M$9^2*$C$11)*NORMSINV(L816))&lt;M$8,M$5+SQRT(NORMSDIST(M$9*SQRT($C$11)*NORMSINV($B816)+SQRT(1-M$9^2*$C$11)*NORMSINV(L816))*(M$7-M$5)*(M$6-M$5)),M$7-SQRT((1-NORMSDIST(M$9*SQRT($C$11)*NORMSINV($B816)+SQRT(1-M$9^2*$C$11)*NORMSINV(L816)))*(M$7-M$5)*(M$7-M$6))))</f>
        <v>1431.67285942264</v>
      </c>
      <c r="N816" s="2" t="n">
        <v>0.777293653</v>
      </c>
      <c r="O816" s="2" t="n">
        <f aca="false">IF(O$7=O$5,O$6,IF(NORMSDIST(O$9*SQRT($C$11)*NORMSINV($B816)+SQRT(1-O$9^2*$C$11)*NORMSINV(N816))&lt;O$8,O$5+SQRT(NORMSDIST(O$9*SQRT($C$11)*NORMSINV($B816)+SQRT(1-O$9^2*$C$11)*NORMSINV(N816))*(O$7-O$5)*(O$6-O$5)),O$7-SQRT((1-NORMSDIST(O$9*SQRT($C$11)*NORMSINV($B816)+SQRT(1-O$9^2*$C$11)*NORMSINV(N816)))*(O$7-O$5)*(O$7-O$6))))</f>
        <v>0.171258516774997</v>
      </c>
      <c r="P816" s="2" t="n">
        <v>0.95003819</v>
      </c>
      <c r="Q816" s="2" t="n">
        <f aca="false">IF(Q$7=Q$5,Q$6,IF(NORMSDIST(Q$9*SQRT($C$11)*NORMSINV($B816)+SQRT(1-Q$9^2*$C$11)*NORMSINV(P816))&lt;Q$8,Q$5+SQRT(NORMSDIST(Q$9*SQRT($C$11)*NORMSINV($B816)+SQRT(1-Q$9^2*$C$11)*NORMSINV(P816))*(Q$7-Q$5)*(Q$6-Q$5)),Q$7-SQRT((1-NORMSDIST(Q$9*SQRT($C$11)*NORMSINV($B816)+SQRT(1-Q$9^2*$C$11)*NORMSINV(P816)))*(Q$7-Q$5)*(Q$7-Q$6))))</f>
        <v>0.107355720977454</v>
      </c>
      <c r="R816" s="2" t="n">
        <v>0.456841406</v>
      </c>
      <c r="S816" s="2" t="n">
        <f aca="false">IF(S$7=S$5,S$6,IF(NORMSDIST(S$9*SQRT($C$11)*NORMSINV($B816)+SQRT(1-S$9^2*$C$11)*NORMSINV(R816))&lt;S$8,S$5+SQRT(NORMSDIST(S$9*SQRT($C$11)*NORMSINV($B816)+SQRT(1-S$9^2*$C$11)*NORMSINV(R816))*(S$7-S$5)*(S$6-S$5)),S$7-SQRT((1-NORMSDIST(S$9*SQRT($C$11)*NORMSINV($B816)+SQRT(1-S$9^2*$C$11)*NORMSINV(R816)))*(S$7-S$5)*(S$7-S$6))))</f>
        <v>0.451287949191203</v>
      </c>
      <c r="T816" s="2" t="n">
        <v>0.133498001</v>
      </c>
      <c r="U816" s="2" t="n">
        <f aca="false">IF(U$7=U$5,U$6,IF(NORMSDIST(U$9*SQRT($C$11)*NORMSINV($B816)+SQRT(1-U$9^2*$C$11)*NORMSINV(T816))&lt;U$8,U$5+SQRT(NORMSDIST(U$9*SQRT($C$11)*NORMSINV($B816)+SQRT(1-U$9^2*$C$11)*NORMSINV(T816))*(U$7-U$5)*(U$6-U$5)),U$7-SQRT((1-NORMSDIST(U$9*SQRT($C$11)*NORMSINV($B816)+SQRT(1-U$9^2*$C$11)*NORMSINV(T816)))*(U$7-U$5)*(U$7-U$6))))</f>
        <v>0.279445120525428</v>
      </c>
      <c r="V816" s="2" t="n">
        <v>0.412045988</v>
      </c>
      <c r="W816" s="2" t="n">
        <f aca="false">IF(W$7=W$5,W$6,IF(NORMSDIST(W$9*SQRT($C$11)*NORMSINV($B816)+SQRT(1-W$9^2*$C$11)*NORMSINV(V816))&lt;W$8,W$5+SQRT(NORMSDIST(W$9*SQRT($C$11)*NORMSINV($B816)+SQRT(1-W$9^2*$C$11)*NORMSINV(V816))*(W$7-W$5)*(W$6-W$5)),W$7-SQRT((1-NORMSDIST(W$9*SQRT($C$11)*NORMSINV($B816)+SQRT(1-W$9^2*$C$11)*NORMSINV(V816)))*(W$7-W$5)*(W$7-W$6))))</f>
        <v>9.72852899975084</v>
      </c>
      <c r="X816" s="2" t="n">
        <v>0.117801778</v>
      </c>
      <c r="Y816" s="2" t="n">
        <f aca="false">IF(Y$7=Y$5,Y$6,IF(NORMSDIST(Y$9*SQRT($C$11)*NORMSINV($B816)+SQRT(1-Y$9^2*$C$11)*NORMSINV(X816))&lt;Y$8,Y$5+SQRT(NORMSDIST(Y$9*SQRT($C$11)*NORMSINV($B816)+SQRT(1-Y$9^2*$C$11)*NORMSINV(X816))*(Y$7-Y$5)*(Y$6-Y$5)),Y$7-SQRT((1-NORMSDIST(Y$9*SQRT($C$11)*NORMSINV($B816)+SQRT(1-Y$9^2*$C$11)*NORMSINV(X816)))*(Y$7-Y$5)*(Y$7-Y$6))))</f>
        <v>0.242695053513664</v>
      </c>
      <c r="Z816" s="2" t="n">
        <v>0.87436182</v>
      </c>
      <c r="AA816" s="2" t="n">
        <f aca="false">IF(AA$7=AA$5,AA$6,IF(NORMSDIST(AA$9*SQRT($C$11)*NORMSINV($B816)+SQRT(1-AA$9^2*$C$11)*NORMSINV(Z816))&lt;AA$8,AA$5+SQRT(NORMSDIST(AA$9*SQRT($C$11)*NORMSINV($B816)+SQRT(1-AA$9^2*$C$11)*NORMSINV(Z816))*(AA$7-AA$5)*(AA$6-AA$5)),AA$7-SQRT((1-NORMSDIST(AA$9*SQRT($C$11)*NORMSINV($B816)+SQRT(1-AA$9^2*$C$11)*NORMSINV(Z816)))*(AA$7-AA$5)*(AA$7-AA$6))))</f>
        <v>0.736668680842486</v>
      </c>
      <c r="AB816" s="2" t="n">
        <v>0.617197755</v>
      </c>
      <c r="AC816" s="2" t="n">
        <f aca="false">IF(AC$7=AC$5,AC$6,IF(NORMSDIST(AC$9*SQRT($C$11)*NORMSINV($B816)+SQRT(1-AC$9^2*$C$11)*NORMSINV(AB816))&lt;AC$8,AC$5+SQRT(NORMSDIST(AC$9*SQRT($C$11)*NORMSINV($B816)+SQRT(1-AC$9^2*$C$11)*NORMSINV(AB816))*(AC$7-AC$5)*(AC$6-AC$5)),AC$7-SQRT((1-NORMSDIST(AC$9*SQRT($C$11)*NORMSINV($B816)+SQRT(1-AC$9^2*$C$11)*NORMSINV(AB816)))*(AC$7-AC$5)*(AC$7-AC$6))))</f>
        <v>9.54406321692594</v>
      </c>
      <c r="AD816" s="2" t="n">
        <f aca="false">Entrées!$C$8*(1+E816)</f>
        <v>7428.68100804304</v>
      </c>
      <c r="AE816" s="2" t="n">
        <f aca="false">I816*Hypothèses!$J$24/12/Hypothèses!$J$19</f>
        <v>101.432265392506</v>
      </c>
      <c r="AF816" s="2" t="n">
        <f aca="false">Entrées!$C$36*S816*1000</f>
        <v>225.643974595602</v>
      </c>
      <c r="AG816" s="2" t="n">
        <f aca="false">-AF816/W816</f>
        <v>-23.1940486173584</v>
      </c>
      <c r="AH816" s="2" t="n">
        <f aca="false">AD816+AE816+AG816</f>
        <v>7506.91922481819</v>
      </c>
      <c r="AI816" s="2" t="n">
        <f aca="false">Entrées!$C$16-M816+Hypothèses!$J$22*1000-AF816+Hypothèses!$J$23</f>
        <v>22890.6831659818</v>
      </c>
      <c r="AJ816" s="2" t="n">
        <f aca="false">AI816/AH816</f>
        <v>3.0492779368538</v>
      </c>
      <c r="AK816" s="2" t="n">
        <f aca="false">AI816/(AH816+I816*(12-Hypothèses!$J$24)/12/Hypothèses!$J$19)</f>
        <v>3.02012972320209</v>
      </c>
      <c r="AL816" s="2" t="n">
        <f aca="false">(AD816+AG816+I816/Hypothèses!$J$19)*(1+G816)</f>
        <v>7962.26627520112</v>
      </c>
      <c r="AM816" s="2" t="n">
        <f aca="false">Entrées!$C$54*K816/Hypothèses!$J$19</f>
        <v>26.8974435052715</v>
      </c>
      <c r="AN816" s="2" t="n">
        <f aca="false">Y816*1000/AC816</f>
        <v>25.4289025541297</v>
      </c>
      <c r="AO816" s="2" t="n">
        <f aca="false">(Entrées!$C$36*(1-S816)+MAX(0,Entrées!$C$30-Entrées!$C$35-Entrées!$C$36)*U816)*1000</f>
        <v>665.579194139998</v>
      </c>
      <c r="AP816" s="2" t="n">
        <f aca="false">-AO816/W816</f>
        <v>-68.4151935155915</v>
      </c>
      <c r="AQ816" s="2" t="n">
        <f aca="false">AL816+AM816+AN816+AP816</f>
        <v>7946.17742774493</v>
      </c>
      <c r="AR816" s="2" t="n">
        <f aca="false">O816*AQ816-Hypothèses!$J$25/Hypothèses!$J$19</f>
        <v>1341.71539804493</v>
      </c>
      <c r="AS816" s="2" t="n">
        <f aca="false">Entrées!$C$79*(1+Q816)+Hypothèses!$J$20</f>
        <v>1511.98393735422</v>
      </c>
      <c r="AT816" s="2" t="n">
        <f aca="false">AI816-AR816+AS816+Y816*1000-AO816+Hypothèses!$J$23</f>
        <v>22638.0675646647</v>
      </c>
      <c r="AU816" s="2" t="n">
        <f aca="false">AT816/AQ816</f>
        <v>2.84892550795826</v>
      </c>
      <c r="AV816" s="2" t="n">
        <f aca="false">Hypothèses!$J$26*AQ816-AT816</f>
        <v>1200.46471857008</v>
      </c>
      <c r="AW816" s="2" t="n">
        <f aca="false">IF(AC816&gt;Hypothèses!$J$26,MAX(0,AV816)/(1-Hypothèses!$J$26/AC816),0)</f>
        <v>1750.79469496692</v>
      </c>
      <c r="AX816" s="2" t="n">
        <f aca="false">AQ816-Entrées!$C$17*1000</f>
        <v>-53.8225722550696</v>
      </c>
      <c r="AY816" s="2" t="n">
        <f aca="false">AI816+(Entrées!$C$244-Entrées!$C$13)</f>
        <v>28637.6831659818</v>
      </c>
      <c r="AZ816" s="2" t="n">
        <f aca="false">AA816*AH816</f>
        <v>5530.11228253791</v>
      </c>
      <c r="BA816" s="2" t="n">
        <f aca="false">AZ816/AY816</f>
        <v>0.19310613398737</v>
      </c>
      <c r="BB816" s="2" t="n">
        <f aca="false">AZ816/(Entrées!$C$151/100)-AY816</f>
        <v>2085.16284811775</v>
      </c>
      <c r="BC816" s="2" t="n">
        <f aca="false">AT816+(Entrées!$C$244-Entrées!$C$13)</f>
        <v>28385.0675646647</v>
      </c>
      <c r="BD816" s="2" t="n">
        <f aca="false">AA816*AQ816</f>
        <v>5853.7000434372</v>
      </c>
      <c r="BE816" s="2" t="n">
        <f aca="false">BD816/BC816</f>
        <v>0.206224629555725</v>
      </c>
      <c r="BF816" s="2" t="n">
        <f aca="false">BD816/(Entrées!$C$151/100)-BC816</f>
        <v>4135.48823220861</v>
      </c>
      <c r="BG816" s="2" t="n">
        <f aca="false">MIN(AV816,BF816)</f>
        <v>1200.46471857008</v>
      </c>
      <c r="BH816" s="2" t="n">
        <f aca="false">IF(AC816&gt;Hypothèses!$J$26,MAX(0,BG816)/(1-Hypothèses!$J$26/AC816),0)</f>
        <v>1750.79469496692</v>
      </c>
    </row>
    <row r="817" customFormat="false" ht="15" hidden="false" customHeight="false" outlineLevel="0" collapsed="false">
      <c r="A817" s="2" t="n">
        <v>802</v>
      </c>
      <c r="B817" s="2" t="n">
        <v>0.112998541</v>
      </c>
      <c r="C817" s="2"/>
      <c r="D817" s="2" t="n">
        <v>0.673965432</v>
      </c>
      <c r="E817" s="2" t="n">
        <f aca="false">IF(E$7=E$5,E$6,IF(NORMSDIST(E$9*SQRT($C$11)*NORMSINV($B817)+SQRT(1-E$9^2*$C$11)*NORMSINV(D817))&lt;E$8,E$5+SQRT(NORMSDIST(E$9*SQRT($C$11)*NORMSINV($B817)+SQRT(1-E$9^2*$C$11)*NORMSINV(D817))*(E$7-E$5)*(E$6-E$5)),E$7-SQRT((1-NORMSDIST(E$9*SQRT($C$11)*NORMSINV($B817)+SQRT(1-E$9^2*$C$11)*NORMSINV(D817)))*(E$7-E$5)*(E$7-E$6))))</f>
        <v>0.0541141828681586</v>
      </c>
      <c r="F817" s="2" t="n">
        <v>0.766746984</v>
      </c>
      <c r="G817" s="2" t="n">
        <f aca="false">IF(G$7=G$5,G$6,IF(NORMSDIST(G$9*SQRT($C$11)*NORMSINV($B817)+SQRT(1-G$9^2*$C$11)*NORMSINV(F817))&lt;G$8,G$5+SQRT(NORMSDIST(G$9*SQRT($C$11)*NORMSINV($B817)+SQRT(1-G$9^2*$C$11)*NORMSINV(F817))*(G$7-G$5)*(G$6-G$5)),G$7-SQRT((1-NORMSDIST(G$9*SQRT($C$11)*NORMSINV($B817)+SQRT(1-G$9^2*$C$11)*NORMSINV(F817)))*(G$7-G$5)*(G$7-G$6))))</f>
        <v>0.0537490070199329</v>
      </c>
      <c r="H817" s="2" t="n">
        <v>0.698469058</v>
      </c>
      <c r="I817" s="2" t="n">
        <f aca="false">IF(I$7=I$5,I$6,IF(NORMSDIST(I$9*SQRT($C$11)*NORMSINV($B817)+SQRT(1-I$9^2*$C$11)*NORMSINV(H817))&lt;I$8,I$5+SQRT(NORMSDIST(I$9*SQRT($C$11)*NORMSINV($B817)+SQRT(1-I$9^2*$C$11)*NORMSINV(H817))*(I$7-I$5)*(I$6-I$5)),I$7-SQRT((1-NORMSDIST(I$9*SQRT($C$11)*NORMSINV($B817)+SQRT(1-I$9^2*$C$11)*NORMSINV(H817)))*(I$7-I$5)*(I$7-I$6))))</f>
        <v>196.93100011365</v>
      </c>
      <c r="J817" s="2" t="n">
        <v>0.413053122</v>
      </c>
      <c r="K817" s="2" t="n">
        <f aca="false">IF(K$7=K$5,K$6,IF(NORMSDIST(K$9*SQRT($C$11)*NORMSINV($B817)+SQRT(1-K$9^2*$C$11)*NORMSINV(J817))&lt;K$8,K$5+SQRT(NORMSDIST(K$9*SQRT($C$11)*NORMSINV($B817)+SQRT(1-K$9^2*$C$11)*NORMSINV(J817))*(K$7-K$5)*(K$6-K$5)),K$7-SQRT((1-NORMSDIST(K$9*SQRT($C$11)*NORMSINV($B817)+SQRT(1-K$9^2*$C$11)*NORMSINV(J817)))*(K$7-K$5)*(K$7-K$6))))</f>
        <v>0.147757784575794</v>
      </c>
      <c r="L817" s="2" t="n">
        <v>0.162156966</v>
      </c>
      <c r="M817" s="2" t="n">
        <f aca="false">IF(M$7=M$5,M$6,IF(NORMSDIST(M$9*SQRT($C$11)*NORMSINV($B817)+SQRT(1-M$9^2*$C$11)*NORMSINV(L817))&lt;M$8,M$5+SQRT(NORMSDIST(M$9*SQRT($C$11)*NORMSINV($B817)+SQRT(1-M$9^2*$C$11)*NORMSINV(L817))*(M$7-M$5)*(M$6-M$5)),M$7-SQRT((1-NORMSDIST(M$9*SQRT($C$11)*NORMSINV($B817)+SQRT(1-M$9^2*$C$11)*NORMSINV(L817)))*(M$7-M$5)*(M$7-M$6))))</f>
        <v>1403.4387789778</v>
      </c>
      <c r="N817" s="2" t="n">
        <v>0.469347497</v>
      </c>
      <c r="O817" s="2" t="n">
        <f aca="false">IF(O$7=O$5,O$6,IF(NORMSDIST(O$9*SQRT($C$11)*NORMSINV($B817)+SQRT(1-O$9^2*$C$11)*NORMSINV(N817))&lt;O$8,O$5+SQRT(NORMSDIST(O$9*SQRT($C$11)*NORMSINV($B817)+SQRT(1-O$9^2*$C$11)*NORMSINV(N817))*(O$7-O$5)*(O$6-O$5)),O$7-SQRT((1-NORMSDIST(O$9*SQRT($C$11)*NORMSINV($B817)+SQRT(1-O$9^2*$C$11)*NORMSINV(N817)))*(O$7-O$5)*(O$7-O$6))))</f>
        <v>0.157133608991713</v>
      </c>
      <c r="P817" s="2" t="n">
        <v>0.711978209</v>
      </c>
      <c r="Q817" s="2" t="n">
        <f aca="false">IF(Q$7=Q$5,Q$6,IF(NORMSDIST(Q$9*SQRT($C$11)*NORMSINV($B817)+SQRT(1-Q$9^2*$C$11)*NORMSINV(P817))&lt;Q$8,Q$5+SQRT(NORMSDIST(Q$9*SQRT($C$11)*NORMSINV($B817)+SQRT(1-Q$9^2*$C$11)*NORMSINV(P817))*(Q$7-Q$5)*(Q$6-Q$5)),Q$7-SQRT((1-NORMSDIST(Q$9*SQRT($C$11)*NORMSINV($B817)+SQRT(1-Q$9^2*$C$11)*NORMSINV(P817)))*(Q$7-Q$5)*(Q$7-Q$6))))</f>
        <v>0.0896409859975657</v>
      </c>
      <c r="R817" s="2" t="n">
        <v>0.402888386</v>
      </c>
      <c r="S817" s="2" t="n">
        <f aca="false">IF(S$7=S$5,S$6,IF(NORMSDIST(S$9*SQRT($C$11)*NORMSINV($B817)+SQRT(1-S$9^2*$C$11)*NORMSINV(R817))&lt;S$8,S$5+SQRT(NORMSDIST(S$9*SQRT($C$11)*NORMSINV($B817)+SQRT(1-S$9^2*$C$11)*NORMSINV(R817))*(S$7-S$5)*(S$6-S$5)),S$7-SQRT((1-NORMSDIST(S$9*SQRT($C$11)*NORMSINV($B817)+SQRT(1-S$9^2*$C$11)*NORMSINV(R817)))*(S$7-S$5)*(S$7-S$6))))</f>
        <v>0.291107886396087</v>
      </c>
      <c r="T817" s="2" t="n">
        <v>0.884016143</v>
      </c>
      <c r="U817" s="2" t="n">
        <f aca="false">IF(U$7=U$5,U$6,IF(NORMSDIST(U$9*SQRT($C$11)*NORMSINV($B817)+SQRT(1-U$9^2*$C$11)*NORMSINV(T817))&lt;U$8,U$5+SQRT(NORMSDIST(U$9*SQRT($C$11)*NORMSINV($B817)+SQRT(1-U$9^2*$C$11)*NORMSINV(T817))*(U$7-U$5)*(U$6-U$5)),U$7-SQRT((1-NORMSDIST(U$9*SQRT($C$11)*NORMSINV($B817)+SQRT(1-U$9^2*$C$11)*NORMSINV(T817)))*(U$7-U$5)*(U$7-U$6))))</f>
        <v>0.532889773281677</v>
      </c>
      <c r="V817" s="2" t="n">
        <v>0.503854535</v>
      </c>
      <c r="W817" s="2" t="n">
        <f aca="false">IF(W$7=W$5,W$6,IF(NORMSDIST(W$9*SQRT($C$11)*NORMSINV($B817)+SQRT(1-W$9^2*$C$11)*NORMSINV(V817))&lt;W$8,W$5+SQRT(NORMSDIST(W$9*SQRT($C$11)*NORMSINV($B817)+SQRT(1-W$9^2*$C$11)*NORMSINV(V817))*(W$7-W$5)*(W$6-W$5)),W$7-SQRT((1-NORMSDIST(W$9*SQRT($C$11)*NORMSINV($B817)+SQRT(1-W$9^2*$C$11)*NORMSINV(V817)))*(W$7-W$5)*(W$7-W$6))))</f>
        <v>9.33910464575044</v>
      </c>
      <c r="X817" s="2" t="n">
        <v>0.577095614</v>
      </c>
      <c r="Y817" s="2" t="n">
        <f aca="false">IF(Y$7=Y$5,Y$6,IF(NORMSDIST(Y$9*SQRT($C$11)*NORMSINV($B817)+SQRT(1-Y$9^2*$C$11)*NORMSINV(X817))&lt;Y$8,Y$5+SQRT(NORMSDIST(Y$9*SQRT($C$11)*NORMSINV($B817)+SQRT(1-Y$9^2*$C$11)*NORMSINV(X817))*(Y$7-Y$5)*(Y$6-Y$5)),Y$7-SQRT((1-NORMSDIST(Y$9*SQRT($C$11)*NORMSINV($B817)+SQRT(1-Y$9^2*$C$11)*NORMSINV(X817)))*(Y$7-Y$5)*(Y$7-Y$6))))</f>
        <v>0.540160687848462</v>
      </c>
      <c r="Z817" s="2" t="n">
        <v>0.78399833</v>
      </c>
      <c r="AA817" s="2" t="n">
        <f aca="false">IF(AA$7=AA$5,AA$6,IF(NORMSDIST(AA$9*SQRT($C$11)*NORMSINV($B817)+SQRT(1-AA$9^2*$C$11)*NORMSINV(Z817))&lt;AA$8,AA$5+SQRT(NORMSDIST(AA$9*SQRT($C$11)*NORMSINV($B817)+SQRT(1-AA$9^2*$C$11)*NORMSINV(Z817))*(AA$7-AA$5)*(AA$6-AA$5)),AA$7-SQRT((1-NORMSDIST(AA$9*SQRT($C$11)*NORMSINV($B817)+SQRT(1-AA$9^2*$C$11)*NORMSINV(Z817)))*(AA$7-AA$5)*(AA$7-AA$6))))</f>
        <v>0.725940491676713</v>
      </c>
      <c r="AB817" s="2" t="n">
        <v>0.918465781</v>
      </c>
      <c r="AC817" s="2" t="n">
        <f aca="false">IF(AC$7=AC$5,AC$6,IF(NORMSDIST(AC$9*SQRT($C$11)*NORMSINV($B817)+SQRT(1-AC$9^2*$C$11)*NORMSINV(AB817))&lt;AC$8,AC$5+SQRT(NORMSDIST(AC$9*SQRT($C$11)*NORMSINV($B817)+SQRT(1-AC$9^2*$C$11)*NORMSINV(AB817))*(AC$7-AC$5)*(AC$6-AC$5)),AC$7-SQRT((1-NORMSDIST(AC$9*SQRT($C$11)*NORMSINV($B817)+SQRT(1-AC$9^2*$C$11)*NORMSINV(AB817)))*(AC$7-AC$5)*(AC$7-AC$6))))</f>
        <v>9.72100351307201</v>
      </c>
      <c r="AD817" s="2" t="n">
        <f aca="false">Entrées!$C$8*(1+E817)</f>
        <v>7431.50498922052</v>
      </c>
      <c r="AE817" s="2" t="n">
        <f aca="false">I817*Hypothèses!$J$24/12/Hypothèses!$J$19</f>
        <v>97.6968388541954</v>
      </c>
      <c r="AF817" s="2" t="n">
        <f aca="false">Entrées!$C$36*S817*1000</f>
        <v>145.553943198044</v>
      </c>
      <c r="AG817" s="2" t="n">
        <f aca="false">-AF817/W817</f>
        <v>-15.5854280168362</v>
      </c>
      <c r="AH817" s="2" t="n">
        <f aca="false">AD817+AE817+AG817</f>
        <v>7513.61640005788</v>
      </c>
      <c r="AI817" s="2" t="n">
        <f aca="false">Entrées!$C$16-M817+Hypothèses!$J$22*1000-AF817+Hypothèses!$J$23</f>
        <v>22999.0072778242</v>
      </c>
      <c r="AJ817" s="2" t="n">
        <f aca="false">AI817/AH817</f>
        <v>3.06097703865305</v>
      </c>
      <c r="AK817" s="2" t="n">
        <f aca="false">AI817/(AH817+I817*(12-Hypothèses!$J$24)/12/Hypothèses!$J$19)</f>
        <v>3.03280951992369</v>
      </c>
      <c r="AL817" s="2" t="n">
        <f aca="false">(AD817+AG817+I817/Hypothèses!$J$19)*(1+G817)</f>
        <v>7991.00006849795</v>
      </c>
      <c r="AM817" s="2" t="n">
        <f aca="false">Entrées!$C$54*K817/Hypothèses!$J$19</f>
        <v>15.0793023108063</v>
      </c>
      <c r="AN817" s="2" t="n">
        <f aca="false">Y817*1000/AC817</f>
        <v>55.5663504412994</v>
      </c>
      <c r="AO817" s="2" t="n">
        <f aca="false">(Entrées!$C$36*(1-S817)+MAX(0,Entrées!$C$30-Entrées!$C$35-Entrées!$C$36)*U817)*1000</f>
        <v>1100.4917393963</v>
      </c>
      <c r="AP817" s="2" t="n">
        <f aca="false">-AO817/W817</f>
        <v>-117.836964156629</v>
      </c>
      <c r="AQ817" s="2" t="n">
        <f aca="false">AL817+AM817+AN817+AP817</f>
        <v>7943.80875709343</v>
      </c>
      <c r="AR817" s="2" t="n">
        <f aca="false">O817*AQ817-Hypothèses!$J$25/Hypothèses!$J$19</f>
        <v>1229.10417688044</v>
      </c>
      <c r="AS817" s="2" t="n">
        <f aca="false">Entrées!$C$79*(1+Q817)+Hypothèses!$J$20</f>
        <v>1492.51544361132</v>
      </c>
      <c r="AT817" s="2" t="n">
        <f aca="false">AI817-AR817+AS817+Y817*1000-AO817+Hypothèses!$J$23</f>
        <v>22702.0874930072</v>
      </c>
      <c r="AU817" s="2" t="n">
        <f aca="false">AT817/AQ817</f>
        <v>2.85783409283807</v>
      </c>
      <c r="AV817" s="2" t="n">
        <f aca="false">Hypothèses!$J$26*AQ817-AT817</f>
        <v>1129.33877827309</v>
      </c>
      <c r="AW817" s="2" t="n">
        <f aca="false">IF(AC817&gt;Hypothèses!$J$26,MAX(0,AV817)/(1-Hypothèses!$J$26/AC817),0)</f>
        <v>1633.43259822569</v>
      </c>
      <c r="AX817" s="2" t="n">
        <f aca="false">AQ817-Entrées!$C$17*1000</f>
        <v>-56.1912429065706</v>
      </c>
      <c r="AY817" s="2" t="n">
        <f aca="false">AI817+(Entrées!$C$244-Entrées!$C$13)</f>
        <v>28746.0072778242</v>
      </c>
      <c r="AZ817" s="2" t="n">
        <f aca="false">AA817*AH817</f>
        <v>5454.43838372823</v>
      </c>
      <c r="BA817" s="2" t="n">
        <f aca="false">AZ817/AY817</f>
        <v>0.189745947359305</v>
      </c>
      <c r="BB817" s="2" t="n">
        <f aca="false">AZ817/(Entrées!$C$151/100)-AY817</f>
        <v>1556.42818733269</v>
      </c>
      <c r="BC817" s="2" t="n">
        <f aca="false">AT817+(Entrées!$C$244-Entrées!$C$13)</f>
        <v>28449.0874930072</v>
      </c>
      <c r="BD817" s="2" t="n">
        <f aca="false">AA817*AQ817</f>
        <v>5766.73243491019</v>
      </c>
      <c r="BE817" s="2" t="n">
        <f aca="false">BD817/BC817</f>
        <v>0.202703599415189</v>
      </c>
      <c r="BF817" s="2" t="n">
        <f aca="false">BD817/(Entrées!$C$151/100)-BC817</f>
        <v>3588.3149231605</v>
      </c>
      <c r="BG817" s="2" t="n">
        <f aca="false">MIN(AV817,BF817)</f>
        <v>1129.33877827309</v>
      </c>
      <c r="BH817" s="2" t="n">
        <f aca="false">IF(AC817&gt;Hypothèses!$J$26,MAX(0,BG817)/(1-Hypothèses!$J$26/AC817),0)</f>
        <v>1633.43259822569</v>
      </c>
    </row>
    <row r="818" customFormat="false" ht="15" hidden="false" customHeight="false" outlineLevel="0" collapsed="false">
      <c r="A818" s="2" t="n">
        <v>803</v>
      </c>
      <c r="B818" s="2" t="n">
        <v>0.245333148</v>
      </c>
      <c r="C818" s="2"/>
      <c r="D818" s="2" t="n">
        <v>0.199099777</v>
      </c>
      <c r="E818" s="2" t="n">
        <f aca="false">IF(E$7=E$5,E$6,IF(NORMSDIST(E$9*SQRT($C$11)*NORMSINV($B818)+SQRT(1-E$9^2*$C$11)*NORMSINV(D818))&lt;E$8,E$5+SQRT(NORMSDIST(E$9*SQRT($C$11)*NORMSINV($B818)+SQRT(1-E$9^2*$C$11)*NORMSINV(D818))*(E$7-E$5)*(E$6-E$5)),E$7-SQRT((1-NORMSDIST(E$9*SQRT($C$11)*NORMSINV($B818)+SQRT(1-E$9^2*$C$11)*NORMSINV(D818)))*(E$7-E$5)*(E$7-E$6))))</f>
        <v>0.0526247260541501</v>
      </c>
      <c r="F818" s="2" t="n">
        <v>0.136444352</v>
      </c>
      <c r="G818" s="2" t="n">
        <f aca="false">IF(G$7=G$5,G$6,IF(NORMSDIST(G$9*SQRT($C$11)*NORMSINV($B818)+SQRT(1-G$9^2*$C$11)*NORMSINV(F818))&lt;G$8,G$5+SQRT(NORMSDIST(G$9*SQRT($C$11)*NORMSINV($B818)+SQRT(1-G$9^2*$C$11)*NORMSINV(F818))*(G$7-G$5)*(G$6-G$5)),G$7-SQRT((1-NORMSDIST(G$9*SQRT($C$11)*NORMSINV($B818)+SQRT(1-G$9^2*$C$11)*NORMSINV(F818)))*(G$7-G$5)*(G$7-G$6))))</f>
        <v>0.0466866608396047</v>
      </c>
      <c r="H818" s="2" t="n">
        <v>0.128970539</v>
      </c>
      <c r="I818" s="2" t="n">
        <f aca="false">IF(I$7=I$5,I$6,IF(NORMSDIST(I$9*SQRT($C$11)*NORMSINV($B818)+SQRT(1-I$9^2*$C$11)*NORMSINV(H818))&lt;I$8,I$5+SQRT(NORMSDIST(I$9*SQRT($C$11)*NORMSINV($B818)+SQRT(1-I$9^2*$C$11)*NORMSINV(H818))*(I$7-I$5)*(I$6-I$5)),I$7-SQRT((1-NORMSDIST(I$9*SQRT($C$11)*NORMSINV($B818)+SQRT(1-I$9^2*$C$11)*NORMSINV(H818)))*(I$7-I$5)*(I$7-I$6))))</f>
        <v>188.705245014592</v>
      </c>
      <c r="J818" s="2" t="n">
        <v>0.253586131</v>
      </c>
      <c r="K818" s="2" t="n">
        <f aca="false">IF(K$7=K$5,K$6,IF(NORMSDIST(K$9*SQRT($C$11)*NORMSINV($B818)+SQRT(1-K$9^2*$C$11)*NORMSINV(J818))&lt;K$8,K$5+SQRT(NORMSDIST(K$9*SQRT($C$11)*NORMSINV($B818)+SQRT(1-K$9^2*$C$11)*NORMSINV(J818))*(K$7-K$5)*(K$6-K$5)),K$7-SQRT((1-NORMSDIST(K$9*SQRT($C$11)*NORMSINV($B818)+SQRT(1-K$9^2*$C$11)*NORMSINV(J818)))*(K$7-K$5)*(K$7-K$6))))</f>
        <v>0.146261885168622</v>
      </c>
      <c r="L818" s="2" t="n">
        <v>0.074320677</v>
      </c>
      <c r="M818" s="2" t="n">
        <f aca="false">IF(M$7=M$5,M$6,IF(NORMSDIST(M$9*SQRT($C$11)*NORMSINV($B818)+SQRT(1-M$9^2*$C$11)*NORMSINV(L818))&lt;M$8,M$5+SQRT(NORMSDIST(M$9*SQRT($C$11)*NORMSINV($B818)+SQRT(1-M$9^2*$C$11)*NORMSINV(L818))*(M$7-M$5)*(M$6-M$5)),M$7-SQRT((1-NORMSDIST(M$9*SQRT($C$11)*NORMSINV($B818)+SQRT(1-M$9^2*$C$11)*NORMSINV(L818)))*(M$7-M$5)*(M$7-M$6))))</f>
        <v>1400.94654761995</v>
      </c>
      <c r="N818" s="2" t="n">
        <v>0.237805138</v>
      </c>
      <c r="O818" s="2" t="n">
        <f aca="false">IF(O$7=O$5,O$6,IF(NORMSDIST(O$9*SQRT($C$11)*NORMSINV($B818)+SQRT(1-O$9^2*$C$11)*NORMSINV(N818))&lt;O$8,O$5+SQRT(NORMSDIST(O$9*SQRT($C$11)*NORMSINV($B818)+SQRT(1-O$9^2*$C$11)*NORMSINV(N818))*(O$7-O$5)*(O$6-O$5)),O$7-SQRT((1-NORMSDIST(O$9*SQRT($C$11)*NORMSINV($B818)+SQRT(1-O$9^2*$C$11)*NORMSINV(N818)))*(O$7-O$5)*(O$7-O$6))))</f>
        <v>0.155220261699619</v>
      </c>
      <c r="P818" s="2" t="n">
        <v>0.182799416</v>
      </c>
      <c r="Q818" s="2" t="n">
        <f aca="false">IF(Q$7=Q$5,Q$6,IF(NORMSDIST(Q$9*SQRT($C$11)*NORMSINV($B818)+SQRT(1-Q$9^2*$C$11)*NORMSINV(P818))&lt;Q$8,Q$5+SQRT(NORMSDIST(Q$9*SQRT($C$11)*NORMSINV($B818)+SQRT(1-Q$9^2*$C$11)*NORMSINV(P818))*(Q$7-Q$5)*(Q$6-Q$5)),Q$7-SQRT((1-NORMSDIST(Q$9*SQRT($C$11)*NORMSINV($B818)+SQRT(1-Q$9^2*$C$11)*NORMSINV(P818)))*(Q$7-Q$5)*(Q$7-Q$6))))</f>
        <v>0.0641859076984925</v>
      </c>
      <c r="R818" s="2" t="n">
        <v>0.706912725</v>
      </c>
      <c r="S818" s="2" t="n">
        <f aca="false">IF(S$7=S$5,S$6,IF(NORMSDIST(S$9*SQRT($C$11)*NORMSINV($B818)+SQRT(1-S$9^2*$C$11)*NORMSINV(R818))&lt;S$8,S$5+SQRT(NORMSDIST(S$9*SQRT($C$11)*NORMSINV($B818)+SQRT(1-S$9^2*$C$11)*NORMSINV(R818))*(S$7-S$5)*(S$6-S$5)),S$7-SQRT((1-NORMSDIST(S$9*SQRT($C$11)*NORMSINV($B818)+SQRT(1-S$9^2*$C$11)*NORMSINV(R818)))*(S$7-S$5)*(S$7-S$6))))</f>
        <v>0.497151802476894</v>
      </c>
      <c r="T818" s="2" t="n">
        <v>0.444072749</v>
      </c>
      <c r="U818" s="2" t="n">
        <f aca="false">IF(U$7=U$5,U$6,IF(NORMSDIST(U$9*SQRT($C$11)*NORMSINV($B818)+SQRT(1-U$9^2*$C$11)*NORMSINV(T818))&lt;U$8,U$5+SQRT(NORMSDIST(U$9*SQRT($C$11)*NORMSINV($B818)+SQRT(1-U$9^2*$C$11)*NORMSINV(T818))*(U$7-U$5)*(U$6-U$5)),U$7-SQRT((1-NORMSDIST(U$9*SQRT($C$11)*NORMSINV($B818)+SQRT(1-U$9^2*$C$11)*NORMSINV(T818)))*(U$7-U$5)*(U$7-U$6))))</f>
        <v>0.38270242713792</v>
      </c>
      <c r="V818" s="2" t="n">
        <v>0.105362569</v>
      </c>
      <c r="W818" s="2" t="n">
        <f aca="false">IF(W$7=W$5,W$6,IF(NORMSDIST(W$9*SQRT($C$11)*NORMSINV($B818)+SQRT(1-W$9^2*$C$11)*NORMSINV(V818))&lt;W$8,W$5+SQRT(NORMSDIST(W$9*SQRT($C$11)*NORMSINV($B818)+SQRT(1-W$9^2*$C$11)*NORMSINV(V818))*(W$7-W$5)*(W$6-W$5)),W$7-SQRT((1-NORMSDIST(W$9*SQRT($C$11)*NORMSINV($B818)+SQRT(1-W$9^2*$C$11)*NORMSINV(V818)))*(W$7-W$5)*(W$7-W$6))))</f>
        <v>8.79976726816462</v>
      </c>
      <c r="X818" s="2" t="n">
        <v>0.175711406</v>
      </c>
      <c r="Y818" s="2" t="n">
        <f aca="false">IF(Y$7=Y$5,Y$6,IF(NORMSDIST(Y$9*SQRT($C$11)*NORMSINV($B818)+SQRT(1-Y$9^2*$C$11)*NORMSINV(X818))&lt;Y$8,Y$5+SQRT(NORMSDIST(Y$9*SQRT($C$11)*NORMSINV($B818)+SQRT(1-Y$9^2*$C$11)*NORMSINV(X818))*(Y$7-Y$5)*(Y$6-Y$5)),Y$7-SQRT((1-NORMSDIST(Y$9*SQRT($C$11)*NORMSINV($B818)+SQRT(1-Y$9^2*$C$11)*NORMSINV(X818)))*(Y$7-Y$5)*(Y$7-Y$6))))</f>
        <v>0.296404627156865</v>
      </c>
      <c r="Z818" s="2" t="n">
        <v>0.550277129</v>
      </c>
      <c r="AA818" s="2" t="n">
        <f aca="false">IF(AA$7=AA$5,AA$6,IF(NORMSDIST(AA$9*SQRT($C$11)*NORMSINV($B818)+SQRT(1-AA$9^2*$C$11)*NORMSINV(Z818))&lt;AA$8,AA$5+SQRT(NORMSDIST(AA$9*SQRT($C$11)*NORMSINV($B818)+SQRT(1-AA$9^2*$C$11)*NORMSINV(Z818))*(AA$7-AA$5)*(AA$6-AA$5)),AA$7-SQRT((1-NORMSDIST(AA$9*SQRT($C$11)*NORMSINV($B818)+SQRT(1-AA$9^2*$C$11)*NORMSINV(Z818)))*(AA$7-AA$5)*(AA$7-AA$6))))</f>
        <v>0.723387540988028</v>
      </c>
      <c r="AB818" s="2" t="n">
        <v>0.123818322</v>
      </c>
      <c r="AC818" s="2" t="n">
        <f aca="false">IF(AC$7=AC$5,AC$6,IF(NORMSDIST(AC$9*SQRT($C$11)*NORMSINV($B818)+SQRT(1-AC$9^2*$C$11)*NORMSINV(AB818))&lt;AC$8,AC$5+SQRT(NORMSDIST(AC$9*SQRT($C$11)*NORMSINV($B818)+SQRT(1-AC$9^2*$C$11)*NORMSINV(AB818))*(AC$7-AC$5)*(AC$6-AC$5)),AC$7-SQRT((1-NORMSDIST(AC$9*SQRT($C$11)*NORMSINV($B818)+SQRT(1-AC$9^2*$C$11)*NORMSINV(AB818)))*(AC$7-AC$5)*(AC$7-AC$6))))</f>
        <v>8.2892438121448</v>
      </c>
      <c r="AD818" s="2" t="n">
        <f aca="false">Entrées!$C$8*(1+E818)</f>
        <v>7421.00431868176</v>
      </c>
      <c r="AE818" s="2" t="n">
        <f aca="false">I818*Hypothèses!$J$24/12/Hypothèses!$J$19</f>
        <v>93.6160680771062</v>
      </c>
      <c r="AF818" s="2" t="n">
        <f aca="false">Entrées!$C$36*S818*1000</f>
        <v>248.575901238447</v>
      </c>
      <c r="AG818" s="2" t="n">
        <f aca="false">-AF818/W818</f>
        <v>-28.2480085737873</v>
      </c>
      <c r="AH818" s="2" t="n">
        <f aca="false">AD818+AE818+AG818</f>
        <v>7486.37237818508</v>
      </c>
      <c r="AI818" s="2" t="n">
        <f aca="false">Entrées!$C$16-M818+Hypothèses!$J$22*1000-AF818+Hypothèses!$J$23</f>
        <v>22898.4775511416</v>
      </c>
      <c r="AJ818" s="2" t="n">
        <f aca="false">AI818/AH818</f>
        <v>3.05868802597459</v>
      </c>
      <c r="AK818" s="2" t="n">
        <f aca="false">AI818/(AH818+I818*(12-Hypothèses!$J$24)/12/Hypothèses!$J$19)</f>
        <v>3.03160955098305</v>
      </c>
      <c r="AL818" s="2" t="n">
        <f aca="false">(AD818+AG818+I818/Hypothèses!$J$19)*(1+G818)</f>
        <v>7905.87659896479</v>
      </c>
      <c r="AM818" s="2" t="n">
        <f aca="false">Entrées!$C$54*K818/Hypothèses!$J$19</f>
        <v>14.9266394954288</v>
      </c>
      <c r="AN818" s="2" t="n">
        <f aca="false">Y818*1000/AC818</f>
        <v>35.7577402564266</v>
      </c>
      <c r="AO818" s="2" t="n">
        <f aca="false">(Entrées!$C$36*(1-S818)+MAX(0,Entrées!$C$30-Entrées!$C$35-Entrées!$C$36)*U818)*1000</f>
        <v>787.207496754641</v>
      </c>
      <c r="AP818" s="2" t="n">
        <f aca="false">-AO818/W818</f>
        <v>-89.4577632300076</v>
      </c>
      <c r="AQ818" s="2" t="n">
        <f aca="false">AL818+AM818+AN818+AP818</f>
        <v>7867.10321548663</v>
      </c>
      <c r="AR818" s="2" t="n">
        <f aca="false">O818*AQ818-Hypothèses!$J$25/Hypothèses!$J$19</f>
        <v>1201.99865766412</v>
      </c>
      <c r="AS818" s="2" t="n">
        <f aca="false">Entrées!$C$79*(1+Q818)+Hypothèses!$J$20</f>
        <v>1464.54031256064</v>
      </c>
      <c r="AT818" s="2" t="n">
        <f aca="false">AI818-AR818+AS818+Y818*1000-AO818+Hypothèses!$J$23</f>
        <v>22670.2163364404</v>
      </c>
      <c r="AU818" s="2" t="n">
        <f aca="false">AT818/AQ818</f>
        <v>2.88164724873742</v>
      </c>
      <c r="AV818" s="2" t="n">
        <f aca="false">Hypothèses!$J$26*AQ818-AT818</f>
        <v>931.093310019551</v>
      </c>
      <c r="AW818" s="2" t="n">
        <f aca="false">IF(AC818&gt;Hypothèses!$J$26,MAX(0,AV818)/(1-Hypothèses!$J$26/AC818),0)</f>
        <v>1459.19903349649</v>
      </c>
      <c r="AX818" s="2" t="n">
        <f aca="false">AQ818-Entrées!$C$17*1000</f>
        <v>-132.896784513366</v>
      </c>
      <c r="AY818" s="2" t="n">
        <f aca="false">AI818+(Entrées!$C$244-Entrées!$C$13)</f>
        <v>28645.4775511416</v>
      </c>
      <c r="AZ818" s="2" t="n">
        <f aca="false">AA818*AH818</f>
        <v>5415.548505576</v>
      </c>
      <c r="BA818" s="2" t="n">
        <f aca="false">AZ818/AY818</f>
        <v>0.189054223163411</v>
      </c>
      <c r="BB818" s="2" t="n">
        <f aca="false">AZ818/(Entrées!$C$151/100)-AY818</f>
        <v>1440.90303539172</v>
      </c>
      <c r="BC818" s="2" t="n">
        <f aca="false">AT818+(Entrées!$C$244-Entrées!$C$13)</f>
        <v>28417.2163364404</v>
      </c>
      <c r="BD818" s="2" t="n">
        <f aca="false">AA818*AQ818</f>
        <v>5690.96444974988</v>
      </c>
      <c r="BE818" s="2" t="n">
        <f aca="false">BD818/BC818</f>
        <v>0.200264669923076</v>
      </c>
      <c r="BF818" s="2" t="n">
        <f aca="false">BD818/(Entrées!$C$151/100)-BC818</f>
        <v>3199.25282883678</v>
      </c>
      <c r="BG818" s="2" t="n">
        <f aca="false">MIN(AV818,BF818)</f>
        <v>931.093310019551</v>
      </c>
      <c r="BH818" s="2" t="n">
        <f aca="false">IF(AC818&gt;Hypothèses!$J$26,MAX(0,BG818)/(1-Hypothèses!$J$26/AC818),0)</f>
        <v>1459.19903349649</v>
      </c>
    </row>
    <row r="819" customFormat="false" ht="15" hidden="false" customHeight="false" outlineLevel="0" collapsed="false">
      <c r="A819" s="2" t="n">
        <v>804</v>
      </c>
      <c r="B819" s="2" t="n">
        <v>0.249978487</v>
      </c>
      <c r="C819" s="2"/>
      <c r="D819" s="2" t="n">
        <v>0.692489455</v>
      </c>
      <c r="E819" s="2" t="n">
        <f aca="false">IF(E$7=E$5,E$6,IF(NORMSDIST(E$9*SQRT($C$11)*NORMSINV($B819)+SQRT(1-E$9^2*$C$11)*NORMSINV(D819))&lt;E$8,E$5+SQRT(NORMSDIST(E$9*SQRT($C$11)*NORMSINV($B819)+SQRT(1-E$9^2*$C$11)*NORMSINV(D819))*(E$7-E$5)*(E$6-E$5)),E$7-SQRT((1-NORMSDIST(E$9*SQRT($C$11)*NORMSINV($B819)+SQRT(1-E$9^2*$C$11)*NORMSINV(D819)))*(E$7-E$5)*(E$7-E$6))))</f>
        <v>0.054925522145928</v>
      </c>
      <c r="F819" s="2" t="n">
        <v>0.531259229</v>
      </c>
      <c r="G819" s="2" t="n">
        <f aca="false">IF(G$7=G$5,G$6,IF(NORMSDIST(G$9*SQRT($C$11)*NORMSINV($B819)+SQRT(1-G$9^2*$C$11)*NORMSINV(F819))&lt;G$8,G$5+SQRT(NORMSDIST(G$9*SQRT($C$11)*NORMSINV($B819)+SQRT(1-G$9^2*$C$11)*NORMSINV(F819))*(G$7-G$5)*(G$6-G$5)),G$7-SQRT((1-NORMSDIST(G$9*SQRT($C$11)*NORMSINV($B819)+SQRT(1-G$9^2*$C$11)*NORMSINV(F819)))*(G$7-G$5)*(G$7-G$6))))</f>
        <v>0.0526788680968148</v>
      </c>
      <c r="H819" s="2" t="n">
        <v>0.657911875</v>
      </c>
      <c r="I819" s="2" t="n">
        <f aca="false">IF(I$7=I$5,I$6,IF(NORMSDIST(I$9*SQRT($C$11)*NORMSINV($B819)+SQRT(1-I$9^2*$C$11)*NORMSINV(H819))&lt;I$8,I$5+SQRT(NORMSDIST(I$9*SQRT($C$11)*NORMSINV($B819)+SQRT(1-I$9^2*$C$11)*NORMSINV(H819))*(I$7-I$5)*(I$6-I$5)),I$7-SQRT((1-NORMSDIST(I$9*SQRT($C$11)*NORMSINV($B819)+SQRT(1-I$9^2*$C$11)*NORMSINV(H819)))*(I$7-I$5)*(I$7-I$6))))</f>
        <v>199.09120029685</v>
      </c>
      <c r="J819" s="2" t="n">
        <v>0.61114411</v>
      </c>
      <c r="K819" s="2" t="n">
        <f aca="false">IF(K$7=K$5,K$6,IF(NORMSDIST(K$9*SQRT($C$11)*NORMSINV($B819)+SQRT(1-K$9^2*$C$11)*NORMSINV(J819))&lt;K$8,K$5+SQRT(NORMSDIST(K$9*SQRT($C$11)*NORMSINV($B819)+SQRT(1-K$9^2*$C$11)*NORMSINV(J819))*(K$7-K$5)*(K$6-K$5)),K$7-SQRT((1-NORMSDIST(K$9*SQRT($C$11)*NORMSINV($B819)+SQRT(1-K$9^2*$C$11)*NORMSINV(J819)))*(K$7-K$5)*(K$7-K$6))))</f>
        <v>0.228481723026196</v>
      </c>
      <c r="L819" s="2" t="n">
        <v>0.130776559</v>
      </c>
      <c r="M819" s="2" t="n">
        <f aca="false">IF(M$7=M$5,M$6,IF(NORMSDIST(M$9*SQRT($C$11)*NORMSINV($B819)+SQRT(1-M$9^2*$C$11)*NORMSINV(L819))&lt;M$8,M$5+SQRT(NORMSDIST(M$9*SQRT($C$11)*NORMSINV($B819)+SQRT(1-M$9^2*$C$11)*NORMSINV(L819))*(M$7-M$5)*(M$6-M$5)),M$7-SQRT((1-NORMSDIST(M$9*SQRT($C$11)*NORMSINV($B819)+SQRT(1-M$9^2*$C$11)*NORMSINV(L819)))*(M$7-M$5)*(M$7-M$6))))</f>
        <v>1427.7549222118</v>
      </c>
      <c r="N819" s="2" t="n">
        <v>0.882023</v>
      </c>
      <c r="O819" s="2" t="n">
        <f aca="false">IF(O$7=O$5,O$6,IF(NORMSDIST(O$9*SQRT($C$11)*NORMSINV($B819)+SQRT(1-O$9^2*$C$11)*NORMSINV(N819))&lt;O$8,O$5+SQRT(NORMSDIST(O$9*SQRT($C$11)*NORMSINV($B819)+SQRT(1-O$9^2*$C$11)*NORMSINV(N819))*(O$7-O$5)*(O$6-O$5)),O$7-SQRT((1-NORMSDIST(O$9*SQRT($C$11)*NORMSINV($B819)+SQRT(1-O$9^2*$C$11)*NORMSINV(N819)))*(O$7-O$5)*(O$7-O$6))))</f>
        <v>0.171782345663355</v>
      </c>
      <c r="P819" s="2" t="n">
        <v>0.382850912</v>
      </c>
      <c r="Q819" s="2" t="n">
        <f aca="false">IF(Q$7=Q$5,Q$6,IF(NORMSDIST(Q$9*SQRT($C$11)*NORMSINV($B819)+SQRT(1-Q$9^2*$C$11)*NORMSINV(P819))&lt;Q$8,Q$5+SQRT(NORMSDIST(Q$9*SQRT($C$11)*NORMSINV($B819)+SQRT(1-Q$9^2*$C$11)*NORMSINV(P819))*(Q$7-Q$5)*(Q$6-Q$5)),Q$7-SQRT((1-NORMSDIST(Q$9*SQRT($C$11)*NORMSINV($B819)+SQRT(1-Q$9^2*$C$11)*NORMSINV(P819)))*(Q$7-Q$5)*(Q$7-Q$6))))</f>
        <v>0.0750017559330957</v>
      </c>
      <c r="R819" s="2" t="n">
        <v>0.207890702</v>
      </c>
      <c r="S819" s="2" t="n">
        <f aca="false">IF(S$7=S$5,S$6,IF(NORMSDIST(S$9*SQRT($C$11)*NORMSINV($B819)+SQRT(1-S$9^2*$C$11)*NORMSINV(R819))&lt;S$8,S$5+SQRT(NORMSDIST(S$9*SQRT($C$11)*NORMSINV($B819)+SQRT(1-S$9^2*$C$11)*NORMSINV(R819))*(S$7-S$5)*(S$6-S$5)),S$7-SQRT((1-NORMSDIST(S$9*SQRT($C$11)*NORMSINV($B819)+SQRT(1-S$9^2*$C$11)*NORMSINV(R819)))*(S$7-S$5)*(S$7-S$6))))</f>
        <v>0.269503086345952</v>
      </c>
      <c r="T819" s="2" t="n">
        <v>0.138343313</v>
      </c>
      <c r="U819" s="2" t="n">
        <f aca="false">IF(U$7=U$5,U$6,IF(NORMSDIST(U$9*SQRT($C$11)*NORMSINV($B819)+SQRT(1-U$9^2*$C$11)*NORMSINV(T819))&lt;U$8,U$5+SQRT(NORMSDIST(U$9*SQRT($C$11)*NORMSINV($B819)+SQRT(1-U$9^2*$C$11)*NORMSINV(T819))*(U$7-U$5)*(U$6-U$5)),U$7-SQRT((1-NORMSDIST(U$9*SQRT($C$11)*NORMSINV($B819)+SQRT(1-U$9^2*$C$11)*NORMSINV(T819)))*(U$7-U$5)*(U$7-U$6))))</f>
        <v>0.226030796594024</v>
      </c>
      <c r="V819" s="2" t="n">
        <v>0.222469209</v>
      </c>
      <c r="W819" s="2" t="n">
        <f aca="false">IF(W$7=W$5,W$6,IF(NORMSDIST(W$9*SQRT($C$11)*NORMSINV($B819)+SQRT(1-W$9^2*$C$11)*NORMSINV(V819))&lt;W$8,W$5+SQRT(NORMSDIST(W$9*SQRT($C$11)*NORMSINV($B819)+SQRT(1-W$9^2*$C$11)*NORMSINV(V819))*(W$7-W$5)*(W$6-W$5)),W$7-SQRT((1-NORMSDIST(W$9*SQRT($C$11)*NORMSINV($B819)+SQRT(1-W$9^2*$C$11)*NORMSINV(V819)))*(W$7-W$5)*(W$7-W$6))))</f>
        <v>9.11089623635267</v>
      </c>
      <c r="X819" s="2" t="n">
        <v>0.112803541</v>
      </c>
      <c r="Y819" s="2" t="n">
        <f aca="false">IF(Y$7=Y$5,Y$6,IF(NORMSDIST(Y$9*SQRT($C$11)*NORMSINV($B819)+SQRT(1-Y$9^2*$C$11)*NORMSINV(X819))&lt;Y$8,Y$5+SQRT(NORMSDIST(Y$9*SQRT($C$11)*NORMSINV($B819)+SQRT(1-Y$9^2*$C$11)*NORMSINV(X819))*(Y$7-Y$5)*(Y$6-Y$5)),Y$7-SQRT((1-NORMSDIST(Y$9*SQRT($C$11)*NORMSINV($B819)+SQRT(1-Y$9^2*$C$11)*NORMSINV(X819)))*(Y$7-Y$5)*(Y$7-Y$6))))</f>
        <v>0.237490569286446</v>
      </c>
      <c r="Z819" s="2" t="n">
        <v>0.264445685</v>
      </c>
      <c r="AA819" s="2" t="n">
        <f aca="false">IF(AA$7=AA$5,AA$6,IF(NORMSDIST(AA$9*SQRT($C$11)*NORMSINV($B819)+SQRT(1-AA$9^2*$C$11)*NORMSINV(Z819))&lt;AA$8,AA$5+SQRT(NORMSDIST(AA$9*SQRT($C$11)*NORMSINV($B819)+SQRT(1-AA$9^2*$C$11)*NORMSINV(Z819))*(AA$7-AA$5)*(AA$6-AA$5)),AA$7-SQRT((1-NORMSDIST(AA$9*SQRT($C$11)*NORMSINV($B819)+SQRT(1-AA$9^2*$C$11)*NORMSINV(Z819)))*(AA$7-AA$5)*(AA$7-AA$6))))</f>
        <v>0.714972438270623</v>
      </c>
      <c r="AB819" s="2" t="n">
        <v>0.352141617</v>
      </c>
      <c r="AC819" s="2" t="n">
        <f aca="false">IF(AC$7=AC$5,AC$6,IF(NORMSDIST(AC$9*SQRT($C$11)*NORMSINV($B819)+SQRT(1-AC$9^2*$C$11)*NORMSINV(AB819))&lt;AC$8,AC$5+SQRT(NORMSDIST(AC$9*SQRT($C$11)*NORMSINV($B819)+SQRT(1-AC$9^2*$C$11)*NORMSINV(AB819))*(AC$7-AC$5)*(AC$6-AC$5)),AC$7-SQRT((1-NORMSDIST(AC$9*SQRT($C$11)*NORMSINV($B819)+SQRT(1-AC$9^2*$C$11)*NORMSINV(AB819)))*(AC$7-AC$5)*(AC$7-AC$6))))</f>
        <v>8.8266514474739</v>
      </c>
      <c r="AD819" s="2" t="n">
        <f aca="false">Entrées!$C$8*(1+E819)</f>
        <v>7437.22493112879</v>
      </c>
      <c r="AE819" s="2" t="n">
        <f aca="false">I819*Hypothèses!$J$24/12/Hypothèses!$J$19</f>
        <v>98.7685072510917</v>
      </c>
      <c r="AF819" s="2" t="n">
        <f aca="false">Entrées!$C$36*S819*1000</f>
        <v>134.751543172976</v>
      </c>
      <c r="AG819" s="2" t="n">
        <f aca="false">-AF819/W819</f>
        <v>-14.7901523272007</v>
      </c>
      <c r="AH819" s="2" t="n">
        <f aca="false">AD819+AE819+AG819</f>
        <v>7521.20328605268</v>
      </c>
      <c r="AI819" s="2" t="n">
        <f aca="false">Entrées!$C$16-M819+Hypothèses!$J$22*1000-AF819+Hypothèses!$J$23</f>
        <v>22985.4935346152</v>
      </c>
      <c r="AJ819" s="2" t="n">
        <f aca="false">AI819/AH819</f>
        <v>3.05609257726613</v>
      </c>
      <c r="AK819" s="2" t="n">
        <f aca="false">AI819/(AH819+I819*(12-Hypothèses!$J$24)/12/Hypothèses!$J$19)</f>
        <v>3.02769279991204</v>
      </c>
      <c r="AL819" s="2" t="n">
        <f aca="false">(AD819+AG819+I819/Hypothèses!$J$19)*(1+G819)</f>
        <v>7991.67713361419</v>
      </c>
      <c r="AM819" s="2" t="n">
        <f aca="false">Entrées!$C$54*K819/Hypothèses!$J$19</f>
        <v>23.3175191675847</v>
      </c>
      <c r="AN819" s="2" t="n">
        <f aca="false">Y819*1000/AC819</f>
        <v>26.9060776558038</v>
      </c>
      <c r="AO819" s="2" t="n">
        <f aca="false">(Entrées!$C$36*(1-S819)+MAX(0,Entrées!$C$30-Entrées!$C$35-Entrées!$C$36)*U819)*1000</f>
        <v>681.691572058657</v>
      </c>
      <c r="AP819" s="2" t="n">
        <f aca="false">-AO819/W819</f>
        <v>-74.8215712674559</v>
      </c>
      <c r="AQ819" s="2" t="n">
        <f aca="false">AL819+AM819+AN819+AP819</f>
        <v>7967.07915917012</v>
      </c>
      <c r="AR819" s="2" t="n">
        <f aca="false">O819*AQ819-Hypothèses!$J$25/Hypothèses!$J$19</f>
        <v>1349.46838378625</v>
      </c>
      <c r="AS819" s="2" t="n">
        <f aca="false">Entrées!$C$79*(1+Q819)+Hypothèses!$J$20</f>
        <v>1476.42692977047</v>
      </c>
      <c r="AT819" s="2" t="n">
        <f aca="false">AI819-AR819+AS819+Y819*1000-AO819+Hypothèses!$J$23</f>
        <v>22668.2510778272</v>
      </c>
      <c r="AU819" s="2" t="n">
        <f aca="false">AT819/AQ819</f>
        <v>2.84523984573895</v>
      </c>
      <c r="AV819" s="2" t="n">
        <f aca="false">Hypothèses!$J$26*AQ819-AT819</f>
        <v>1232.98639968314</v>
      </c>
      <c r="AW819" s="2" t="n">
        <f aca="false">IF(AC819&gt;Hypothèses!$J$26,MAX(0,AV819)/(1-Hypothèses!$J$26/AC819),0)</f>
        <v>1867.82087234635</v>
      </c>
      <c r="AX819" s="2" t="n">
        <f aca="false">AQ819-Entrées!$C$17*1000</f>
        <v>-32.9208408298755</v>
      </c>
      <c r="AY819" s="2" t="n">
        <f aca="false">AI819+(Entrées!$C$244-Entrées!$C$13)</f>
        <v>28732.4935346152</v>
      </c>
      <c r="AZ819" s="2" t="n">
        <f aca="false">AA819*AH819</f>
        <v>5377.45305215811</v>
      </c>
      <c r="BA819" s="2" t="n">
        <f aca="false">AZ819/AY819</f>
        <v>0.187155808307402</v>
      </c>
      <c r="BB819" s="2" t="n">
        <f aca="false">AZ819/(Entrées!$C$151/100)-AY819</f>
        <v>1142.24564404093</v>
      </c>
      <c r="BC819" s="2" t="n">
        <f aca="false">AT819+(Entrées!$C$244-Entrées!$C$13)</f>
        <v>28415.2510778272</v>
      </c>
      <c r="BD819" s="2" t="n">
        <f aca="false">AA819*AQ819</f>
        <v>5696.24201232693</v>
      </c>
      <c r="BE819" s="2" t="n">
        <f aca="false">BD819/BC819</f>
        <v>0.200464250578865</v>
      </c>
      <c r="BF819" s="2" t="n">
        <f aca="false">BD819/(Entrées!$C$151/100)-BC819</f>
        <v>3230.53787954459</v>
      </c>
      <c r="BG819" s="2" t="n">
        <f aca="false">MIN(AV819,BF819)</f>
        <v>1232.98639968314</v>
      </c>
      <c r="BH819" s="2" t="n">
        <f aca="false">IF(AC819&gt;Hypothèses!$J$26,MAX(0,BG819)/(1-Hypothèses!$J$26/AC819),0)</f>
        <v>1867.82087234635</v>
      </c>
    </row>
    <row r="820" customFormat="false" ht="15" hidden="false" customHeight="false" outlineLevel="0" collapsed="false">
      <c r="A820" s="2" t="n">
        <v>805</v>
      </c>
      <c r="B820" s="2" t="n">
        <v>0.265966232</v>
      </c>
      <c r="C820" s="2"/>
      <c r="D820" s="2" t="n">
        <v>0.443506729</v>
      </c>
      <c r="E820" s="2" t="n">
        <f aca="false">IF(E$7=E$5,E$6,IF(NORMSDIST(E$9*SQRT($C$11)*NORMSINV($B820)+SQRT(1-E$9^2*$C$11)*NORMSINV(D820))&lt;E$8,E$5+SQRT(NORMSDIST(E$9*SQRT($C$11)*NORMSINV($B820)+SQRT(1-E$9^2*$C$11)*NORMSINV(D820))*(E$7-E$5)*(E$6-E$5)),E$7-SQRT((1-NORMSDIST(E$9*SQRT($C$11)*NORMSINV($B820)+SQRT(1-E$9^2*$C$11)*NORMSINV(D820)))*(E$7-E$5)*(E$7-E$6))))</f>
        <v>0.0539156482324588</v>
      </c>
      <c r="F820" s="2" t="n">
        <v>0.293569687</v>
      </c>
      <c r="G820" s="2" t="n">
        <f aca="false">IF(G$7=G$5,G$6,IF(NORMSDIST(G$9*SQRT($C$11)*NORMSINV($B820)+SQRT(1-G$9^2*$C$11)*NORMSINV(F820))&lt;G$8,G$5+SQRT(NORMSDIST(G$9*SQRT($C$11)*NORMSINV($B820)+SQRT(1-G$9^2*$C$11)*NORMSINV(F820))*(G$7-G$5)*(G$6-G$5)),G$7-SQRT((1-NORMSDIST(G$9*SQRT($C$11)*NORMSINV($B820)+SQRT(1-G$9^2*$C$11)*NORMSINV(F820)))*(G$7-G$5)*(G$7-G$6))))</f>
        <v>0.0496578049361545</v>
      </c>
      <c r="H820" s="2" t="n">
        <v>0.307642604</v>
      </c>
      <c r="I820" s="2" t="n">
        <f aca="false">IF(I$7=I$5,I$6,IF(NORMSDIST(I$9*SQRT($C$11)*NORMSINV($B820)+SQRT(1-I$9^2*$C$11)*NORMSINV(H820))&lt;I$8,I$5+SQRT(NORMSDIST(I$9*SQRT($C$11)*NORMSINV($B820)+SQRT(1-I$9^2*$C$11)*NORMSINV(H820))*(I$7-I$5)*(I$6-I$5)),I$7-SQRT((1-NORMSDIST(I$9*SQRT($C$11)*NORMSINV($B820)+SQRT(1-I$9^2*$C$11)*NORMSINV(H820)))*(I$7-I$5)*(I$7-I$6))))</f>
        <v>193.155891670889</v>
      </c>
      <c r="J820" s="2" t="n">
        <v>0.836667165</v>
      </c>
      <c r="K820" s="2" t="n">
        <f aca="false">IF(K$7=K$5,K$6,IF(NORMSDIST(K$9*SQRT($C$11)*NORMSINV($B820)+SQRT(1-K$9^2*$C$11)*NORMSINV(J820))&lt;K$8,K$5+SQRT(NORMSDIST(K$9*SQRT($C$11)*NORMSINV($B820)+SQRT(1-K$9^2*$C$11)*NORMSINV(J820))*(K$7-K$5)*(K$6-K$5)),K$7-SQRT((1-NORMSDIST(K$9*SQRT($C$11)*NORMSINV($B820)+SQRT(1-K$9^2*$C$11)*NORMSINV(J820)))*(K$7-K$5)*(K$7-K$6))))</f>
        <v>0.288527881042383</v>
      </c>
      <c r="L820" s="2" t="n">
        <v>0.474257006</v>
      </c>
      <c r="M820" s="2" t="n">
        <f aca="false">IF(M$7=M$5,M$6,IF(NORMSDIST(M$9*SQRT($C$11)*NORMSINV($B820)+SQRT(1-M$9^2*$C$11)*NORMSINV(L820))&lt;M$8,M$5+SQRT(NORMSDIST(M$9*SQRT($C$11)*NORMSINV($B820)+SQRT(1-M$9^2*$C$11)*NORMSINV(L820))*(M$7-M$5)*(M$6-M$5)),M$7-SQRT((1-NORMSDIST(M$9*SQRT($C$11)*NORMSINV($B820)+SQRT(1-M$9^2*$C$11)*NORMSINV(L820)))*(M$7-M$5)*(M$7-M$6))))</f>
        <v>1531.73786741952</v>
      </c>
      <c r="N820" s="2" t="n">
        <v>0.324312944</v>
      </c>
      <c r="O820" s="2" t="n">
        <f aca="false">IF(O$7=O$5,O$6,IF(NORMSDIST(O$9*SQRT($C$11)*NORMSINV($B820)+SQRT(1-O$9^2*$C$11)*NORMSINV(N820))&lt;O$8,O$5+SQRT(NORMSDIST(O$9*SQRT($C$11)*NORMSINV($B820)+SQRT(1-O$9^2*$C$11)*NORMSINV(N820))*(O$7-O$5)*(O$6-O$5)),O$7-SQRT((1-NORMSDIST(O$9*SQRT($C$11)*NORMSINV($B820)+SQRT(1-O$9^2*$C$11)*NORMSINV(N820)))*(O$7-O$5)*(O$7-O$6))))</f>
        <v>0.158053006069486</v>
      </c>
      <c r="P820" s="2" t="n">
        <v>0.409885331</v>
      </c>
      <c r="Q820" s="2" t="n">
        <f aca="false">IF(Q$7=Q$5,Q$6,IF(NORMSDIST(Q$9*SQRT($C$11)*NORMSINV($B820)+SQRT(1-Q$9^2*$C$11)*NORMSINV(P820))&lt;Q$8,Q$5+SQRT(NORMSDIST(Q$9*SQRT($C$11)*NORMSINV($B820)+SQRT(1-Q$9^2*$C$11)*NORMSINV(P820))*(Q$7-Q$5)*(Q$6-Q$5)),Q$7-SQRT((1-NORMSDIST(Q$9*SQRT($C$11)*NORMSINV($B820)+SQRT(1-Q$9^2*$C$11)*NORMSINV(P820)))*(Q$7-Q$5)*(Q$7-Q$6))))</f>
        <v>0.0762164749692733</v>
      </c>
      <c r="R820" s="2" t="n">
        <v>0.630966995</v>
      </c>
      <c r="S820" s="2" t="n">
        <f aca="false">IF(S$7=S$5,S$6,IF(NORMSDIST(S$9*SQRT($C$11)*NORMSINV($B820)+SQRT(1-S$9^2*$C$11)*NORMSINV(R820))&lt;S$8,S$5+SQRT(NORMSDIST(S$9*SQRT($C$11)*NORMSINV($B820)+SQRT(1-S$9^2*$C$11)*NORMSINV(R820))*(S$7-S$5)*(S$6-S$5)),S$7-SQRT((1-NORMSDIST(S$9*SQRT($C$11)*NORMSINV($B820)+SQRT(1-S$9^2*$C$11)*NORMSINV(R820)))*(S$7-S$5)*(S$7-S$6))))</f>
        <v>0.472121857767718</v>
      </c>
      <c r="T820" s="2" t="n">
        <v>0.92556018</v>
      </c>
      <c r="U820" s="2" t="n">
        <f aca="false">IF(U$7=U$5,U$6,IF(NORMSDIST(U$9*SQRT($C$11)*NORMSINV($B820)+SQRT(1-U$9^2*$C$11)*NORMSINV(T820))&lt;U$8,U$5+SQRT(NORMSDIST(U$9*SQRT($C$11)*NORMSINV($B820)+SQRT(1-U$9^2*$C$11)*NORMSINV(T820))*(U$7-U$5)*(U$6-U$5)),U$7-SQRT((1-NORMSDIST(U$9*SQRT($C$11)*NORMSINV($B820)+SQRT(1-U$9^2*$C$11)*NORMSINV(T820)))*(U$7-U$5)*(U$7-U$6))))</f>
        <v>0.657291101974548</v>
      </c>
      <c r="V820" s="2" t="n">
        <v>0.447192341</v>
      </c>
      <c r="W820" s="2" t="n">
        <f aca="false">IF(W$7=W$5,W$6,IF(NORMSDIST(W$9*SQRT($C$11)*NORMSINV($B820)+SQRT(1-W$9^2*$C$11)*NORMSINV(V820))&lt;W$8,W$5+SQRT(NORMSDIST(W$9*SQRT($C$11)*NORMSINV($B820)+SQRT(1-W$9^2*$C$11)*NORMSINV(V820))*(W$7-W$5)*(W$6-W$5)),W$7-SQRT((1-NORMSDIST(W$9*SQRT($C$11)*NORMSINV($B820)+SQRT(1-W$9^2*$C$11)*NORMSINV(V820)))*(W$7-W$5)*(W$7-W$6))))</f>
        <v>9.57273541217965</v>
      </c>
      <c r="X820" s="2" t="n">
        <v>0.515916469</v>
      </c>
      <c r="Y820" s="2" t="n">
        <f aca="false">IF(Y$7=Y$5,Y$6,IF(NORMSDIST(Y$9*SQRT($C$11)*NORMSINV($B820)+SQRT(1-Y$9^2*$C$11)*NORMSINV(X820))&lt;Y$8,Y$5+SQRT(NORMSDIST(Y$9*SQRT($C$11)*NORMSINV($B820)+SQRT(1-Y$9^2*$C$11)*NORMSINV(X820))*(Y$7-Y$5)*(Y$6-Y$5)),Y$7-SQRT((1-NORMSDIST(Y$9*SQRT($C$11)*NORMSINV($B820)+SQRT(1-Y$9^2*$C$11)*NORMSINV(X820)))*(Y$7-Y$5)*(Y$7-Y$6))))</f>
        <v>0.508022596555492</v>
      </c>
      <c r="Z820" s="2" t="n">
        <v>0.31362146</v>
      </c>
      <c r="AA820" s="2" t="n">
        <f aca="false">IF(AA$7=AA$5,AA$6,IF(NORMSDIST(AA$9*SQRT($C$11)*NORMSINV($B820)+SQRT(1-AA$9^2*$C$11)*NORMSINV(Z820))&lt;AA$8,AA$5+SQRT(NORMSDIST(AA$9*SQRT($C$11)*NORMSINV($B820)+SQRT(1-AA$9^2*$C$11)*NORMSINV(Z820))*(AA$7-AA$5)*(AA$6-AA$5)),AA$7-SQRT((1-NORMSDIST(AA$9*SQRT($C$11)*NORMSINV($B820)+SQRT(1-AA$9^2*$C$11)*NORMSINV(Z820)))*(AA$7-AA$5)*(AA$7-AA$6))))</f>
        <v>0.717041752791738</v>
      </c>
      <c r="AB820" s="2" t="n">
        <v>0.497329871</v>
      </c>
      <c r="AC820" s="2" t="n">
        <f aca="false">IF(AC$7=AC$5,AC$6,IF(NORMSDIST(AC$9*SQRT($C$11)*NORMSINV($B820)+SQRT(1-AC$9^2*$C$11)*NORMSINV(AB820))&lt;AC$8,AC$5+SQRT(NORMSDIST(AC$9*SQRT($C$11)*NORMSINV($B820)+SQRT(1-AC$9^2*$C$11)*NORMSINV(AB820))*(AC$7-AC$5)*(AC$6-AC$5)),AC$7-SQRT((1-NORMSDIST(AC$9*SQRT($C$11)*NORMSINV($B820)+SQRT(1-AC$9^2*$C$11)*NORMSINV(AB820)))*(AC$7-AC$5)*(AC$7-AC$6))))</f>
        <v>9.12497688389788</v>
      </c>
      <c r="AD820" s="2" t="n">
        <f aca="false">Entrées!$C$8*(1+E820)</f>
        <v>7430.10532003883</v>
      </c>
      <c r="AE820" s="2" t="n">
        <f aca="false">I820*Hypothèses!$J$24/12/Hypothèses!$J$19</f>
        <v>95.8240196384465</v>
      </c>
      <c r="AF820" s="2" t="n">
        <f aca="false">Entrées!$C$36*S820*1000</f>
        <v>236.060928883859</v>
      </c>
      <c r="AG820" s="2" t="n">
        <f aca="false">-AF820/W820</f>
        <v>-24.6597151931633</v>
      </c>
      <c r="AH820" s="2" t="n">
        <f aca="false">AD820+AE820+AG820</f>
        <v>7501.26962448412</v>
      </c>
      <c r="AI820" s="2" t="n">
        <f aca="false">Entrées!$C$16-M820+Hypothèses!$J$22*1000-AF820+Hypothèses!$J$23</f>
        <v>22780.2012036966</v>
      </c>
      <c r="AJ820" s="2" t="n">
        <f aca="false">AI820/AH820</f>
        <v>3.03684607327567</v>
      </c>
      <c r="AK820" s="2" t="n">
        <f aca="false">AI820/(AH820+I820*(12-Hypothèses!$J$24)/12/Hypothèses!$J$19)</f>
        <v>3.00938676581524</v>
      </c>
      <c r="AL820" s="2" t="n">
        <f aca="false">(AD820+AG820+I820/Hypothèses!$J$19)*(1+G820)</f>
        <v>7945.61080120872</v>
      </c>
      <c r="AM820" s="2" t="n">
        <f aca="false">Entrées!$C$54*K820/Hypothèses!$J$19</f>
        <v>29.4454817106619</v>
      </c>
      <c r="AN820" s="2" t="n">
        <f aca="false">Y820*1000/AC820</f>
        <v>55.673850248537</v>
      </c>
      <c r="AO820" s="2" t="n">
        <f aca="false">(Entrées!$C$36*(1-S820)+MAX(0,Entrées!$C$30-Entrées!$C$35-Entrées!$C$36)*U820)*1000</f>
        <v>1184.14661388051</v>
      </c>
      <c r="AP820" s="2" t="n">
        <f aca="false">-AO820/W820</f>
        <v>-123.699920962391</v>
      </c>
      <c r="AQ820" s="2" t="n">
        <f aca="false">AL820+AM820+AN820+AP820</f>
        <v>7907.03021220552</v>
      </c>
      <c r="AR820" s="2" t="n">
        <f aca="false">O820*AQ820-Hypothèses!$J$25/Hypothèses!$J$19</f>
        <v>1230.5947318597</v>
      </c>
      <c r="AS820" s="2" t="n">
        <f aca="false">Entrées!$C$79*(1+Q820)+Hypothèses!$J$20</f>
        <v>1477.76190599123</v>
      </c>
      <c r="AT820" s="2" t="n">
        <f aca="false">AI820-AR820+AS820+Y820*1000-AO820+Hypothèses!$J$23</f>
        <v>22351.2443605031</v>
      </c>
      <c r="AU820" s="2" t="n">
        <f aca="false">AT820/AQ820</f>
        <v>2.82675590716741</v>
      </c>
      <c r="AV820" s="2" t="n">
        <f aca="false">Hypothèses!$J$26*AQ820-AT820</f>
        <v>1369.84627611343</v>
      </c>
      <c r="AW820" s="2" t="n">
        <f aca="false">IF(AC820&gt;Hypothèses!$J$26,MAX(0,AV820)/(1-Hypothèses!$J$26/AC820),0)</f>
        <v>2040.79392313949</v>
      </c>
      <c r="AX820" s="2" t="n">
        <f aca="false">AQ820-Entrées!$C$17*1000</f>
        <v>-92.9697877944782</v>
      </c>
      <c r="AY820" s="2" t="n">
        <f aca="false">AI820+(Entrées!$C$244-Entrées!$C$13)</f>
        <v>28527.2012036966</v>
      </c>
      <c r="AZ820" s="2" t="n">
        <f aca="false">AA820*AH820</f>
        <v>5378.72351970351</v>
      </c>
      <c r="BA820" s="2" t="n">
        <f aca="false">AZ820/AY820</f>
        <v>0.188547186290624</v>
      </c>
      <c r="BB820" s="2" t="n">
        <f aca="false">AZ820/(Entrées!$C$151/100)-AY820</f>
        <v>1354.59612798955</v>
      </c>
      <c r="BC820" s="2" t="n">
        <f aca="false">AT820+(Entrées!$C$244-Entrées!$C$13)</f>
        <v>28098.2443605031</v>
      </c>
      <c r="BD820" s="2" t="n">
        <f aca="false">AA820*AQ820</f>
        <v>5669.67080273707</v>
      </c>
      <c r="BE820" s="2" t="n">
        <f aca="false">BD820/BC820</f>
        <v>0.201780251107317</v>
      </c>
      <c r="BF820" s="2" t="n">
        <f aca="false">BD820/(Entrées!$C$151/100)-BC820</f>
        <v>3399.92676581393</v>
      </c>
      <c r="BG820" s="2" t="n">
        <f aca="false">MIN(AV820,BF820)</f>
        <v>1369.84627611343</v>
      </c>
      <c r="BH820" s="2" t="n">
        <f aca="false">IF(AC820&gt;Hypothèses!$J$26,MAX(0,BG820)/(1-Hypothèses!$J$26/AC820),0)</f>
        <v>2040.79392313949</v>
      </c>
    </row>
    <row r="821" customFormat="false" ht="15" hidden="false" customHeight="false" outlineLevel="0" collapsed="false">
      <c r="A821" s="2" t="n">
        <v>806</v>
      </c>
      <c r="B821" s="2" t="n">
        <v>0.213658249</v>
      </c>
      <c r="C821" s="2"/>
      <c r="D821" s="2" t="n">
        <v>0.728280935</v>
      </c>
      <c r="E821" s="2" t="n">
        <f aca="false">IF(E$7=E$5,E$6,IF(NORMSDIST(E$9*SQRT($C$11)*NORMSINV($B821)+SQRT(1-E$9^2*$C$11)*NORMSINV(D821))&lt;E$8,E$5+SQRT(NORMSDIST(E$9*SQRT($C$11)*NORMSINV($B821)+SQRT(1-E$9^2*$C$11)*NORMSINV(D821))*(E$7-E$5)*(E$6-E$5)),E$7-SQRT((1-NORMSDIST(E$9*SQRT($C$11)*NORMSINV($B821)+SQRT(1-E$9^2*$C$11)*NORMSINV(D821)))*(E$7-E$5)*(E$7-E$6))))</f>
        <v>0.0549370274267603</v>
      </c>
      <c r="F821" s="2" t="n">
        <v>0.569085425</v>
      </c>
      <c r="G821" s="2" t="n">
        <f aca="false">IF(G$7=G$5,G$6,IF(NORMSDIST(G$9*SQRT($C$11)*NORMSINV($B821)+SQRT(1-G$9^2*$C$11)*NORMSINV(F821))&lt;G$8,G$5+SQRT(NORMSDIST(G$9*SQRT($C$11)*NORMSINV($B821)+SQRT(1-G$9^2*$C$11)*NORMSINV(F821))*(G$7-G$5)*(G$6-G$5)),G$7-SQRT((1-NORMSDIST(G$9*SQRT($C$11)*NORMSINV($B821)+SQRT(1-G$9^2*$C$11)*NORMSINV(F821)))*(G$7-G$5)*(G$7-G$6))))</f>
        <v>0.0526699221289248</v>
      </c>
      <c r="H821" s="2" t="n">
        <v>0.786262695</v>
      </c>
      <c r="I821" s="2" t="n">
        <f aca="false">IF(I$7=I$5,I$6,IF(NORMSDIST(I$9*SQRT($C$11)*NORMSINV($B821)+SQRT(1-I$9^2*$C$11)*NORMSINV(H821))&lt;I$8,I$5+SQRT(NORMSDIST(I$9*SQRT($C$11)*NORMSINV($B821)+SQRT(1-I$9^2*$C$11)*NORMSINV(H821))*(I$7-I$5)*(I$6-I$5)),I$7-SQRT((1-NORMSDIST(I$9*SQRT($C$11)*NORMSINV($B821)+SQRT(1-I$9^2*$C$11)*NORMSINV(H821)))*(I$7-I$5)*(I$7-I$6))))</f>
        <v>200.917739330792</v>
      </c>
      <c r="J821" s="2" t="n">
        <v>0.054671318</v>
      </c>
      <c r="K821" s="2" t="n">
        <f aca="false">IF(K$7=K$5,K$6,IF(NORMSDIST(K$9*SQRT($C$11)*NORMSINV($B821)+SQRT(1-K$9^2*$C$11)*NORMSINV(J821))&lt;K$8,K$5+SQRT(NORMSDIST(K$9*SQRT($C$11)*NORMSINV($B821)+SQRT(1-K$9^2*$C$11)*NORMSINV(J821))*(K$7-K$5)*(K$6-K$5)),K$7-SQRT((1-NORMSDIST(K$9*SQRT($C$11)*NORMSINV($B821)+SQRT(1-K$9^2*$C$11)*NORMSINV(J821)))*(K$7-K$5)*(K$7-K$6))))</f>
        <v>0.0713521963087179</v>
      </c>
      <c r="L821" s="2" t="n">
        <v>0.679960166</v>
      </c>
      <c r="M821" s="2" t="n">
        <f aca="false">IF(M$7=M$5,M$6,IF(NORMSDIST(M$9*SQRT($C$11)*NORMSINV($B821)+SQRT(1-M$9^2*$C$11)*NORMSINV(L821))&lt;M$8,M$5+SQRT(NORMSDIST(M$9*SQRT($C$11)*NORMSINV($B821)+SQRT(1-M$9^2*$C$11)*NORMSINV(L821))*(M$7-M$5)*(M$6-M$5)),M$7-SQRT((1-NORMSDIST(M$9*SQRT($C$11)*NORMSINV($B821)+SQRT(1-M$9^2*$C$11)*NORMSINV(L821)))*(M$7-M$5)*(M$7-M$6))))</f>
        <v>1569.19847968895</v>
      </c>
      <c r="N821" s="2" t="n">
        <v>0.561131786</v>
      </c>
      <c r="O821" s="2" t="n">
        <f aca="false">IF(O$7=O$5,O$6,IF(NORMSDIST(O$9*SQRT($C$11)*NORMSINV($B821)+SQRT(1-O$9^2*$C$11)*NORMSINV(N821))&lt;O$8,O$5+SQRT(NORMSDIST(O$9*SQRT($C$11)*NORMSINV($B821)+SQRT(1-O$9^2*$C$11)*NORMSINV(N821))*(O$7-O$5)*(O$6-O$5)),O$7-SQRT((1-NORMSDIST(O$9*SQRT($C$11)*NORMSINV($B821)+SQRT(1-O$9^2*$C$11)*NORMSINV(N821)))*(O$7-O$5)*(O$7-O$6))))</f>
        <v>0.162438511048478</v>
      </c>
      <c r="P821" s="2" t="n">
        <v>0.890572274</v>
      </c>
      <c r="Q821" s="2" t="n">
        <f aca="false">IF(Q$7=Q$5,Q$6,IF(NORMSDIST(Q$9*SQRT($C$11)*NORMSINV($B821)+SQRT(1-Q$9^2*$C$11)*NORMSINV(P821))&lt;Q$8,Q$5+SQRT(NORMSDIST(Q$9*SQRT($C$11)*NORMSINV($B821)+SQRT(1-Q$9^2*$C$11)*NORMSINV(P821))*(Q$7-Q$5)*(Q$6-Q$5)),Q$7-SQRT((1-NORMSDIST(Q$9*SQRT($C$11)*NORMSINV($B821)+SQRT(1-Q$9^2*$C$11)*NORMSINV(P821)))*(Q$7-Q$5)*(Q$7-Q$6))))</f>
        <v>0.10128720429225</v>
      </c>
      <c r="R821" s="2" t="n">
        <v>0.413678027</v>
      </c>
      <c r="S821" s="2" t="n">
        <f aca="false">IF(S$7=S$5,S$6,IF(NORMSDIST(S$9*SQRT($C$11)*NORMSINV($B821)+SQRT(1-S$9^2*$C$11)*NORMSINV(R821))&lt;S$8,S$5+SQRT(NORMSDIST(S$9*SQRT($C$11)*NORMSINV($B821)+SQRT(1-S$9^2*$C$11)*NORMSINV(R821))*(S$7-S$5)*(S$6-S$5)),S$7-SQRT((1-NORMSDIST(S$9*SQRT($C$11)*NORMSINV($B821)+SQRT(1-S$9^2*$C$11)*NORMSINV(R821)))*(S$7-S$5)*(S$7-S$6))))</f>
        <v>0.354343690801207</v>
      </c>
      <c r="T821" s="2" t="n">
        <v>0.512059974</v>
      </c>
      <c r="U821" s="2" t="n">
        <f aca="false">IF(U$7=U$5,U$6,IF(NORMSDIST(U$9*SQRT($C$11)*NORMSINV($B821)+SQRT(1-U$9^2*$C$11)*NORMSINV(T821))&lt;U$8,U$5+SQRT(NORMSDIST(U$9*SQRT($C$11)*NORMSINV($B821)+SQRT(1-U$9^2*$C$11)*NORMSINV(T821))*(U$7-U$5)*(U$6-U$5)),U$7-SQRT((1-NORMSDIST(U$9*SQRT($C$11)*NORMSINV($B821)+SQRT(1-U$9^2*$C$11)*NORMSINV(T821)))*(U$7-U$5)*(U$7-U$6))))</f>
        <v>0.397558155177806</v>
      </c>
      <c r="V821" s="2" t="n">
        <v>0.287067764</v>
      </c>
      <c r="W821" s="2" t="n">
        <f aca="false">IF(W$7=W$5,W$6,IF(NORMSDIST(W$9*SQRT($C$11)*NORMSINV($B821)+SQRT(1-W$9^2*$C$11)*NORMSINV(V821))&lt;W$8,W$5+SQRT(NORMSDIST(W$9*SQRT($C$11)*NORMSINV($B821)+SQRT(1-W$9^2*$C$11)*NORMSINV(V821))*(W$7-W$5)*(W$6-W$5)),W$7-SQRT((1-NORMSDIST(W$9*SQRT($C$11)*NORMSINV($B821)+SQRT(1-W$9^2*$C$11)*NORMSINV(V821)))*(W$7-W$5)*(W$7-W$6))))</f>
        <v>9.18082012211529</v>
      </c>
      <c r="X821" s="2" t="n">
        <v>0.861127418</v>
      </c>
      <c r="Y821" s="2" t="n">
        <f aca="false">IF(Y$7=Y$5,Y$6,IF(NORMSDIST(Y$9*SQRT($C$11)*NORMSINV($B821)+SQRT(1-Y$9^2*$C$11)*NORMSINV(X821))&lt;Y$8,Y$5+SQRT(NORMSDIST(Y$9*SQRT($C$11)*NORMSINV($B821)+SQRT(1-Y$9^2*$C$11)*NORMSINV(X821))*(Y$7-Y$5)*(Y$6-Y$5)),Y$7-SQRT((1-NORMSDIST(Y$9*SQRT($C$11)*NORMSINV($B821)+SQRT(1-Y$9^2*$C$11)*NORMSINV(X821)))*(Y$7-Y$5)*(Y$7-Y$6))))</f>
        <v>0.736492332179878</v>
      </c>
      <c r="Z821" s="2" t="n">
        <v>0.779720304</v>
      </c>
      <c r="AA821" s="2" t="n">
        <f aca="false">IF(AA$7=AA$5,AA$6,IF(NORMSDIST(AA$9*SQRT($C$11)*NORMSINV($B821)+SQRT(1-AA$9^2*$C$11)*NORMSINV(Z821))&lt;AA$8,AA$5+SQRT(NORMSDIST(AA$9*SQRT($C$11)*NORMSINV($B821)+SQRT(1-AA$9^2*$C$11)*NORMSINV(Z821))*(AA$7-AA$5)*(AA$6-AA$5)),AA$7-SQRT((1-NORMSDIST(AA$9*SQRT($C$11)*NORMSINV($B821)+SQRT(1-AA$9^2*$C$11)*NORMSINV(Z821)))*(AA$7-AA$5)*(AA$7-AA$6))))</f>
        <v>0.729272080652405</v>
      </c>
      <c r="AB821" s="2" t="n">
        <v>0.741718603</v>
      </c>
      <c r="AC821" s="2" t="n">
        <f aca="false">IF(AC$7=AC$5,AC$6,IF(NORMSDIST(AC$9*SQRT($C$11)*NORMSINV($B821)+SQRT(1-AC$9^2*$C$11)*NORMSINV(AB821))&lt;AC$8,AC$5+SQRT(NORMSDIST(AC$9*SQRT($C$11)*NORMSINV($B821)+SQRT(1-AC$9^2*$C$11)*NORMSINV(AB821))*(AC$7-AC$5)*(AC$6-AC$5)),AC$7-SQRT((1-NORMSDIST(AC$9*SQRT($C$11)*NORMSINV($B821)+SQRT(1-AC$9^2*$C$11)*NORMSINV(AB821)))*(AC$7-AC$5)*(AC$7-AC$6))))</f>
        <v>9.47879771680229</v>
      </c>
      <c r="AD821" s="2" t="n">
        <f aca="false">Entrées!$C$8*(1+E821)</f>
        <v>7437.30604335866</v>
      </c>
      <c r="AE821" s="2" t="n">
        <f aca="false">I821*Hypothèses!$J$24/12/Hypothèses!$J$19</f>
        <v>99.6746474197645</v>
      </c>
      <c r="AF821" s="2" t="n">
        <f aca="false">Entrées!$C$36*S821*1000</f>
        <v>177.171845400604</v>
      </c>
      <c r="AG821" s="2" t="n">
        <f aca="false">-AF821/W821</f>
        <v>-19.2980412472979</v>
      </c>
      <c r="AH821" s="2" t="n">
        <f aca="false">AD821+AE821+AG821</f>
        <v>7517.68264953113</v>
      </c>
      <c r="AI821" s="2" t="n">
        <f aca="false">Entrées!$C$16-M821+Hypothèses!$J$22*1000-AF821+Hypothèses!$J$23</f>
        <v>22801.6296749104</v>
      </c>
      <c r="AJ821" s="2" t="n">
        <f aca="false">AI821/AH821</f>
        <v>3.03306627027314</v>
      </c>
      <c r="AK821" s="2" t="n">
        <f aca="false">AI821/(AH821+I821*(12-Hypothèses!$J$24)/12/Hypothèses!$J$19)</f>
        <v>3.00461111541415</v>
      </c>
      <c r="AL821" s="2" t="n">
        <f aca="false">(AD821+AG821+I821/Hypothèses!$J$19)*(1+G821)</f>
        <v>7988.58448308447</v>
      </c>
      <c r="AM821" s="2" t="n">
        <f aca="false">Entrées!$C$54*K821/Hypothèses!$J$19</f>
        <v>7.2817912218171</v>
      </c>
      <c r="AN821" s="2" t="n">
        <f aca="false">Y821*1000/AC821</f>
        <v>77.6989185953782</v>
      </c>
      <c r="AO821" s="2" t="n">
        <f aca="false">(Entrées!$C$36*(1-S821)+MAX(0,Entrées!$C$30-Entrées!$C$35-Entrées!$C$36)*U821)*1000</f>
        <v>879.409571848325</v>
      </c>
      <c r="AP821" s="2" t="n">
        <f aca="false">-AO821/W821</f>
        <v>-95.7876921833979</v>
      </c>
      <c r="AQ821" s="2" t="n">
        <f aca="false">AL821+AM821+AN821+AP821</f>
        <v>7977.77750071826</v>
      </c>
      <c r="AR821" s="2" t="n">
        <f aca="false">O821*AQ821-Hypothèses!$J$25/Hypothèses!$J$19</f>
        <v>1276.7631364311</v>
      </c>
      <c r="AS821" s="2" t="n">
        <f aca="false">Entrées!$C$79*(1+Q821)+Hypothèses!$J$20</f>
        <v>1505.31463751718</v>
      </c>
      <c r="AT821" s="2" t="n">
        <f aca="false">AI821-AR821+AS821+Y821*1000-AO821+Hypothèses!$J$23</f>
        <v>22887.2639363281</v>
      </c>
      <c r="AU821" s="2" t="n">
        <f aca="false">AT821/AQ821</f>
        <v>2.86887719471588</v>
      </c>
      <c r="AV821" s="2" t="n">
        <f aca="false">Hypothèses!$J$26*AQ821-AT821</f>
        <v>1046.06856582671</v>
      </c>
      <c r="AW821" s="2" t="n">
        <f aca="false">IF(AC821&gt;Hypothèses!$J$26,MAX(0,AV821)/(1-Hypothèses!$J$26/AC821),0)</f>
        <v>1530.44943935536</v>
      </c>
      <c r="AX821" s="2" t="n">
        <f aca="false">AQ821-Entrées!$C$17*1000</f>
        <v>-22.2224992817364</v>
      </c>
      <c r="AY821" s="2" t="n">
        <f aca="false">AI821+(Entrées!$C$244-Entrées!$C$13)</f>
        <v>28548.6296749104</v>
      </c>
      <c r="AZ821" s="2" t="n">
        <f aca="false">AA821*AH821</f>
        <v>5482.43606750805</v>
      </c>
      <c r="BA821" s="2" t="n">
        <f aca="false">AZ821/AY821</f>
        <v>0.192038501670229</v>
      </c>
      <c r="BB821" s="2" t="n">
        <f aca="false">AZ821/(Entrées!$C$151/100)-AY821</f>
        <v>1909.34847791204</v>
      </c>
      <c r="BC821" s="2" t="n">
        <f aca="false">AT821+(Entrées!$C$244-Entrées!$C$13)</f>
        <v>28634.2639363281</v>
      </c>
      <c r="BD821" s="2" t="n">
        <f aca="false">AA821*AQ821</f>
        <v>5817.97039693075</v>
      </c>
      <c r="BE821" s="2" t="n">
        <f aca="false">BD821/BC821</f>
        <v>0.203182118103952</v>
      </c>
      <c r="BF821" s="2" t="n">
        <f aca="false">BD821/(Entrées!$C$151/100)-BC821</f>
        <v>3687.79382439831</v>
      </c>
      <c r="BG821" s="2" t="n">
        <f aca="false">MIN(AV821,BF821)</f>
        <v>1046.06856582671</v>
      </c>
      <c r="BH821" s="2" t="n">
        <f aca="false">IF(AC821&gt;Hypothèses!$J$26,MAX(0,BG821)/(1-Hypothèses!$J$26/AC821),0)</f>
        <v>1530.44943935536</v>
      </c>
    </row>
    <row r="822" customFormat="false" ht="15" hidden="false" customHeight="false" outlineLevel="0" collapsed="false">
      <c r="A822" s="2" t="n">
        <v>807</v>
      </c>
      <c r="B822" s="2" t="n">
        <v>0.775914566</v>
      </c>
      <c r="C822" s="2"/>
      <c r="D822" s="2" t="n">
        <v>0.656978018</v>
      </c>
      <c r="E822" s="2" t="n">
        <f aca="false">IF(E$7=E$5,E$6,IF(NORMSDIST(E$9*SQRT($C$11)*NORMSINV($B822)+SQRT(1-E$9^2*$C$11)*NORMSINV(D822))&lt;E$8,E$5+SQRT(NORMSDIST(E$9*SQRT($C$11)*NORMSINV($B822)+SQRT(1-E$9^2*$C$11)*NORMSINV(D822))*(E$7-E$5)*(E$6-E$5)),E$7-SQRT((1-NORMSDIST(E$9*SQRT($C$11)*NORMSINV($B822)+SQRT(1-E$9^2*$C$11)*NORMSINV(D822)))*(E$7-E$5)*(E$7-E$6))))</f>
        <v>0.0567293452270208</v>
      </c>
      <c r="F822" s="2" t="n">
        <v>0.718887426</v>
      </c>
      <c r="G822" s="2" t="n">
        <f aca="false">IF(G$7=G$5,G$6,IF(NORMSDIST(G$9*SQRT($C$11)*NORMSINV($B822)+SQRT(1-G$9^2*$C$11)*NORMSINV(F822))&lt;G$8,G$5+SQRT(NORMSDIST(G$9*SQRT($C$11)*NORMSINV($B822)+SQRT(1-G$9^2*$C$11)*NORMSINV(F822))*(G$7-G$5)*(G$6-G$5)),G$7-SQRT((1-NORMSDIST(G$9*SQRT($C$11)*NORMSINV($B822)+SQRT(1-G$9^2*$C$11)*NORMSINV(F822)))*(G$7-G$5)*(G$7-G$6))))</f>
        <v>0.0610867563285197</v>
      </c>
      <c r="H822" s="2" t="n">
        <v>0.992917346</v>
      </c>
      <c r="I822" s="2" t="n">
        <f aca="false">IF(I$7=I$5,I$6,IF(NORMSDIST(I$9*SQRT($C$11)*NORMSINV($B822)+SQRT(1-I$9^2*$C$11)*NORMSINV(H822))&lt;I$8,I$5+SQRT(NORMSDIST(I$9*SQRT($C$11)*NORMSINV($B822)+SQRT(1-I$9^2*$C$11)*NORMSINV(H822))*(I$7-I$5)*(I$6-I$5)),I$7-SQRT((1-NORMSDIST(I$9*SQRT($C$11)*NORMSINV($B822)+SQRT(1-I$9^2*$C$11)*NORMSINV(H822)))*(I$7-I$5)*(I$7-I$6))))</f>
        <v>217.36779601431</v>
      </c>
      <c r="J822" s="2" t="n">
        <v>0.292062115</v>
      </c>
      <c r="K822" s="2" t="n">
        <f aca="false">IF(K$7=K$5,K$6,IF(NORMSDIST(K$9*SQRT($C$11)*NORMSINV($B822)+SQRT(1-K$9^2*$C$11)*NORMSINV(J822))&lt;K$8,K$5+SQRT(NORMSDIST(K$9*SQRT($C$11)*NORMSINV($B822)+SQRT(1-K$9^2*$C$11)*NORMSINV(J822))*(K$7-K$5)*(K$6-K$5)),K$7-SQRT((1-NORMSDIST(K$9*SQRT($C$11)*NORMSINV($B822)+SQRT(1-K$9^2*$C$11)*NORMSINV(J822)))*(K$7-K$5)*(K$7-K$6))))</f>
        <v>0.255616070518674</v>
      </c>
      <c r="L822" s="2" t="n">
        <v>0.731040189</v>
      </c>
      <c r="M822" s="2" t="n">
        <f aca="false">IF(M$7=M$5,M$6,IF(NORMSDIST(M$9*SQRT($C$11)*NORMSINV($B822)+SQRT(1-M$9^2*$C$11)*NORMSINV(L822))&lt;M$8,M$5+SQRT(NORMSDIST(M$9*SQRT($C$11)*NORMSINV($B822)+SQRT(1-M$9^2*$C$11)*NORMSINV(L822))*(M$7-M$5)*(M$6-M$5)),M$7-SQRT((1-NORMSDIST(M$9*SQRT($C$11)*NORMSINV($B822)+SQRT(1-M$9^2*$C$11)*NORMSINV(L822)))*(M$7-M$5)*(M$7-M$6))))</f>
        <v>1675.79587141533</v>
      </c>
      <c r="N822" s="2" t="n">
        <v>0.374441344</v>
      </c>
      <c r="O822" s="2" t="n">
        <f aca="false">IF(O$7=O$5,O$6,IF(NORMSDIST(O$9*SQRT($C$11)*NORMSINV($B822)+SQRT(1-O$9^2*$C$11)*NORMSINV(N822))&lt;O$8,O$5+SQRT(NORMSDIST(O$9*SQRT($C$11)*NORMSINV($B822)+SQRT(1-O$9^2*$C$11)*NORMSINV(N822))*(O$7-O$5)*(O$6-O$5)),O$7-SQRT((1-NORMSDIST(O$9*SQRT($C$11)*NORMSINV($B822)+SQRT(1-O$9^2*$C$11)*NORMSINV(N822)))*(O$7-O$5)*(O$7-O$6))))</f>
        <v>0.16914361619583</v>
      </c>
      <c r="P822" s="2" t="n">
        <v>0.065117018</v>
      </c>
      <c r="Q822" s="2" t="n">
        <f aca="false">IF(Q$7=Q$5,Q$6,IF(NORMSDIST(Q$9*SQRT($C$11)*NORMSINV($B822)+SQRT(1-Q$9^2*$C$11)*NORMSINV(P822))&lt;Q$8,Q$5+SQRT(NORMSDIST(Q$9*SQRT($C$11)*NORMSINV($B822)+SQRT(1-Q$9^2*$C$11)*NORMSINV(P822))*(Q$7-Q$5)*(Q$6-Q$5)),Q$7-SQRT((1-NORMSDIST(Q$9*SQRT($C$11)*NORMSINV($B822)+SQRT(1-Q$9^2*$C$11)*NORMSINV(P822)))*(Q$7-Q$5)*(Q$7-Q$6))))</f>
        <v>0.0544351812458313</v>
      </c>
      <c r="R822" s="2" t="n">
        <v>0.082673528</v>
      </c>
      <c r="S822" s="2" t="n">
        <f aca="false">IF(S$7=S$5,S$6,IF(NORMSDIST(S$9*SQRT($C$11)*NORMSINV($B822)+SQRT(1-S$9^2*$C$11)*NORMSINV(R822))&lt;S$8,S$5+SQRT(NORMSDIST(S$9*SQRT($C$11)*NORMSINV($B822)+SQRT(1-S$9^2*$C$11)*NORMSINV(R822))*(S$7-S$5)*(S$6-S$5)),S$7-SQRT((1-NORMSDIST(S$9*SQRT($C$11)*NORMSINV($B822)+SQRT(1-S$9^2*$C$11)*NORMSINV(R822)))*(S$7-S$5)*(S$7-S$6))))</f>
        <v>0.371451324188625</v>
      </c>
      <c r="T822" s="2" t="n">
        <v>0.520164667</v>
      </c>
      <c r="U822" s="2" t="n">
        <f aca="false">IF(U$7=U$5,U$6,IF(NORMSDIST(U$9*SQRT($C$11)*NORMSINV($B822)+SQRT(1-U$9^2*$C$11)*NORMSINV(T822))&lt;U$8,U$5+SQRT(NORMSDIST(U$9*SQRT($C$11)*NORMSINV($B822)+SQRT(1-U$9^2*$C$11)*NORMSINV(T822))*(U$7-U$5)*(U$6-U$5)),U$7-SQRT((1-NORMSDIST(U$9*SQRT($C$11)*NORMSINV($B822)+SQRT(1-U$9^2*$C$11)*NORMSINV(T822)))*(U$7-U$5)*(U$7-U$6))))</f>
        <v>0.611459768063293</v>
      </c>
      <c r="V822" s="2" t="n">
        <v>0.699405121</v>
      </c>
      <c r="W822" s="2" t="n">
        <f aca="false">IF(W$7=W$5,W$6,IF(NORMSDIST(W$9*SQRT($C$11)*NORMSINV($B822)+SQRT(1-W$9^2*$C$11)*NORMSINV(V822))&lt;W$8,W$5+SQRT(NORMSDIST(W$9*SQRT($C$11)*NORMSINV($B822)+SQRT(1-W$9^2*$C$11)*NORMSINV(V822))*(W$7-W$5)*(W$6-W$5)),W$7-SQRT((1-NORMSDIST(W$9*SQRT($C$11)*NORMSINV($B822)+SQRT(1-W$9^2*$C$11)*NORMSINV(V822)))*(W$7-W$5)*(W$7-W$6))))</f>
        <v>10.7729909606052</v>
      </c>
      <c r="X822" s="2" t="n">
        <v>0.937269419</v>
      </c>
      <c r="Y822" s="2" t="n">
        <f aca="false">IF(Y$7=Y$5,Y$6,IF(NORMSDIST(Y$9*SQRT($C$11)*NORMSINV($B822)+SQRT(1-Y$9^2*$C$11)*NORMSINV(X822))&lt;Y$8,Y$5+SQRT(NORMSDIST(Y$9*SQRT($C$11)*NORMSINV($B822)+SQRT(1-Y$9^2*$C$11)*NORMSINV(X822))*(Y$7-Y$5)*(Y$6-Y$5)),Y$7-SQRT((1-NORMSDIST(Y$9*SQRT($C$11)*NORMSINV($B822)+SQRT(1-Y$9^2*$C$11)*NORMSINV(X822)))*(Y$7-Y$5)*(Y$7-Y$6))))</f>
        <v>0.822897514133765</v>
      </c>
      <c r="Z822" s="2" t="n">
        <v>0.345925713</v>
      </c>
      <c r="AA822" s="2" t="n">
        <f aca="false">IF(AA$7=AA$5,AA$6,IF(NORMSDIST(AA$9*SQRT($C$11)*NORMSINV($B822)+SQRT(1-AA$9^2*$C$11)*NORMSINV(Z822))&lt;AA$8,AA$5+SQRT(NORMSDIST(AA$9*SQRT($C$11)*NORMSINV($B822)+SQRT(1-AA$9^2*$C$11)*NORMSINV(Z822))*(AA$7-AA$5)*(AA$6-AA$5)),AA$7-SQRT((1-NORMSDIST(AA$9*SQRT($C$11)*NORMSINV($B822)+SQRT(1-AA$9^2*$C$11)*NORMSINV(Z822)))*(AA$7-AA$5)*(AA$7-AA$6))))</f>
        <v>0.730223209348234</v>
      </c>
      <c r="AB822" s="2" t="n">
        <v>0.35559032</v>
      </c>
      <c r="AC822" s="2" t="n">
        <f aca="false">IF(AC$7=AC$5,AC$6,IF(NORMSDIST(AC$9*SQRT($C$11)*NORMSINV($B822)+SQRT(1-AC$9^2*$C$11)*NORMSINV(AB822))&lt;AC$8,AC$5+SQRT(NORMSDIST(AC$9*SQRT($C$11)*NORMSINV($B822)+SQRT(1-AC$9^2*$C$11)*NORMSINV(AB822))*(AC$7-AC$5)*(AC$6-AC$5)),AC$7-SQRT((1-NORMSDIST(AC$9*SQRT($C$11)*NORMSINV($B822)+SQRT(1-AC$9^2*$C$11)*NORMSINV(AB822)))*(AC$7-AC$5)*(AC$7-AC$6))))</f>
        <v>9.63176024346079</v>
      </c>
      <c r="AD822" s="2" t="n">
        <f aca="false">Entrées!$C$8*(1+E822)</f>
        <v>7449.9418838505</v>
      </c>
      <c r="AE822" s="2" t="n">
        <f aca="false">I822*Hypothèses!$J$24/12/Hypothèses!$J$19</f>
        <v>107.835467890003</v>
      </c>
      <c r="AF822" s="2" t="n">
        <f aca="false">Entrées!$C$36*S822*1000</f>
        <v>185.725662094313</v>
      </c>
      <c r="AG822" s="2" t="n">
        <f aca="false">-AF822/W822</f>
        <v>-17.2399348308633</v>
      </c>
      <c r="AH822" s="2" t="n">
        <f aca="false">AD822+AE822+AG822</f>
        <v>7540.53741690964</v>
      </c>
      <c r="AI822" s="2" t="n">
        <f aca="false">Entrées!$C$16-M822+Hypothèses!$J$22*1000-AF822+Hypothèses!$J$23</f>
        <v>22686.4784664904</v>
      </c>
      <c r="AJ822" s="2" t="n">
        <f aca="false">AI822/AH822</f>
        <v>3.00860233325227</v>
      </c>
      <c r="AK822" s="2" t="n">
        <f aca="false">AI822/(AH822+I822*(12-Hypothèses!$J$24)/12/Hypothèses!$J$19)</f>
        <v>2.97818071313746</v>
      </c>
      <c r="AL822" s="2" t="n">
        <f aca="false">(AD822+AG822+I822/Hypothèses!$J$19)*(1+G822)</f>
        <v>8082.89495071146</v>
      </c>
      <c r="AM822" s="2" t="n">
        <f aca="false">Entrées!$C$54*K822/Hypothèses!$J$19</f>
        <v>26.0866932589549</v>
      </c>
      <c r="AN822" s="2" t="n">
        <f aca="false">Y822*1000/AC822</f>
        <v>85.435838656018</v>
      </c>
      <c r="AO822" s="2" t="n">
        <f aca="false">(Entrées!$C$36*(1-S822)+MAX(0,Entrées!$C$30-Entrées!$C$35-Entrées!$C$36)*U822)*1000</f>
        <v>1170.3180131943</v>
      </c>
      <c r="AP822" s="2" t="n">
        <f aca="false">-AO822/W822</f>
        <v>-108.634456064609</v>
      </c>
      <c r="AQ822" s="2" t="n">
        <f aca="false">AL822+AM822+AN822+AP822</f>
        <v>8085.78302656183</v>
      </c>
      <c r="AR822" s="2" t="n">
        <f aca="false">O822*AQ822-Hypothèses!$J$25/Hypothèses!$J$19</f>
        <v>1348.52341862591</v>
      </c>
      <c r="AS822" s="2" t="n">
        <f aca="false">Entrées!$C$79*(1+Q822)+Hypothèses!$J$20</f>
        <v>1453.82426418917</v>
      </c>
      <c r="AT822" s="2" t="n">
        <f aca="false">AI822-AR822+AS822+Y822*1000-AO822+Hypothèses!$J$23</f>
        <v>22444.3588129931</v>
      </c>
      <c r="AU822" s="2" t="n">
        <f aca="false">AT822/AQ822</f>
        <v>2.77578049513118</v>
      </c>
      <c r="AV822" s="2" t="n">
        <f aca="false">Hypothèses!$J$26*AQ822-AT822</f>
        <v>1812.99026669238</v>
      </c>
      <c r="AW822" s="2" t="n">
        <f aca="false">IF(AC822&gt;Hypothèses!$J$26,MAX(0,AV822)/(1-Hypothèses!$J$26/AC822),0)</f>
        <v>2633.13010896732</v>
      </c>
      <c r="AX822" s="2" t="n">
        <f aca="false">AQ822-Entrées!$C$17*1000</f>
        <v>85.7830265618259</v>
      </c>
      <c r="AY822" s="2" t="n">
        <f aca="false">AI822+(Entrées!$C$244-Entrées!$C$13)</f>
        <v>28433.4784664904</v>
      </c>
      <c r="AZ822" s="2" t="n">
        <f aca="false">AA822*AH822</f>
        <v>5506.2754327862</v>
      </c>
      <c r="BA822" s="2" t="n">
        <f aca="false">AZ822/AY822</f>
        <v>0.193654653941673</v>
      </c>
      <c r="BB822" s="2" t="n">
        <f aca="false">AZ822/(Entrées!$C$151/100)-AY822</f>
        <v>2156.94060454406</v>
      </c>
      <c r="BC822" s="2" t="n">
        <f aca="false">AT822+(Entrées!$C$244-Entrées!$C$13)</f>
        <v>28191.3588129931</v>
      </c>
      <c r="BD822" s="2" t="n">
        <f aca="false">AA822*AQ822</f>
        <v>5904.42643174945</v>
      </c>
      <c r="BE822" s="2" t="n">
        <f aca="false">BD822/BC822</f>
        <v>0.209441001794783</v>
      </c>
      <c r="BF822" s="2" t="n">
        <f aca="false">BD822/(Entrées!$C$151/100)-BC822</f>
        <v>4611.01025228164</v>
      </c>
      <c r="BG822" s="2" t="n">
        <f aca="false">MIN(AV822,BF822)</f>
        <v>1812.99026669238</v>
      </c>
      <c r="BH822" s="2" t="n">
        <f aca="false">IF(AC822&gt;Hypothèses!$J$26,MAX(0,BG822)/(1-Hypothèses!$J$26/AC822),0)</f>
        <v>2633.13010896732</v>
      </c>
    </row>
    <row r="823" customFormat="false" ht="15" hidden="false" customHeight="false" outlineLevel="0" collapsed="false">
      <c r="A823" s="2" t="n">
        <v>808</v>
      </c>
      <c r="B823" s="2" t="n">
        <v>0.789553254</v>
      </c>
      <c r="C823" s="2"/>
      <c r="D823" s="2" t="n">
        <v>0.092519739</v>
      </c>
      <c r="E823" s="2" t="n">
        <f aca="false">IF(E$7=E$5,E$6,IF(NORMSDIST(E$9*SQRT($C$11)*NORMSINV($B823)+SQRT(1-E$9^2*$C$11)*NORMSINV(D823))&lt;E$8,E$5+SQRT(NORMSDIST(E$9*SQRT($C$11)*NORMSINV($B823)+SQRT(1-E$9^2*$C$11)*NORMSINV(D823))*(E$7-E$5)*(E$6-E$5)),E$7-SQRT((1-NORMSDIST(E$9*SQRT($C$11)*NORMSINV($B823)+SQRT(1-E$9^2*$C$11)*NORMSINV(D823)))*(E$7-E$5)*(E$7-E$6))))</f>
        <v>0.0538882378010518</v>
      </c>
      <c r="F823" s="2" t="n">
        <v>0.153860842</v>
      </c>
      <c r="G823" s="2" t="n">
        <f aca="false">IF(G$7=G$5,G$6,IF(NORMSDIST(G$9*SQRT($C$11)*NORMSINV($B823)+SQRT(1-G$9^2*$C$11)*NORMSINV(F823))&lt;G$8,G$5+SQRT(NORMSDIST(G$9*SQRT($C$11)*NORMSINV($B823)+SQRT(1-G$9^2*$C$11)*NORMSINV(F823))*(G$7-G$5)*(G$6-G$5)),G$7-SQRT((1-NORMSDIST(G$9*SQRT($C$11)*NORMSINV($B823)+SQRT(1-G$9^2*$C$11)*NORMSINV(F823)))*(G$7-G$5)*(G$7-G$6))))</f>
        <v>0.0532363342740301</v>
      </c>
      <c r="H823" s="2" t="n">
        <v>0.889672062</v>
      </c>
      <c r="I823" s="2" t="n">
        <f aca="false">IF(I$7=I$5,I$6,IF(NORMSDIST(I$9*SQRT($C$11)*NORMSINV($B823)+SQRT(1-I$9^2*$C$11)*NORMSINV(H823))&lt;I$8,I$5+SQRT(NORMSDIST(I$9*SQRT($C$11)*NORMSINV($B823)+SQRT(1-I$9^2*$C$11)*NORMSINV(H823))*(I$7-I$5)*(I$6-I$5)),I$7-SQRT((1-NORMSDIST(I$9*SQRT($C$11)*NORMSINV($B823)+SQRT(1-I$9^2*$C$11)*NORMSINV(H823)))*(I$7-I$5)*(I$7-I$6))))</f>
        <v>212.386684052496</v>
      </c>
      <c r="J823" s="2" t="n">
        <v>0.685830815</v>
      </c>
      <c r="K823" s="2" t="n">
        <f aca="false">IF(K$7=K$5,K$6,IF(NORMSDIST(K$9*SQRT($C$11)*NORMSINV($B823)+SQRT(1-K$9^2*$C$11)*NORMSINV(J823))&lt;K$8,K$5+SQRT(NORMSDIST(K$9*SQRT($C$11)*NORMSINV($B823)+SQRT(1-K$9^2*$C$11)*NORMSINV(J823))*(K$7-K$5)*(K$6-K$5)),K$7-SQRT((1-NORMSDIST(K$9*SQRT($C$11)*NORMSINV($B823)+SQRT(1-K$9^2*$C$11)*NORMSINV(J823)))*(K$7-K$5)*(K$7-K$6))))</f>
        <v>0.346561312162005</v>
      </c>
      <c r="L823" s="2" t="n">
        <v>0.20275051</v>
      </c>
      <c r="M823" s="2" t="n">
        <f aca="false">IF(M$7=M$5,M$6,IF(NORMSDIST(M$9*SQRT($C$11)*NORMSINV($B823)+SQRT(1-M$9^2*$C$11)*NORMSINV(L823))&lt;M$8,M$5+SQRT(NORMSDIST(M$9*SQRT($C$11)*NORMSINV($B823)+SQRT(1-M$9^2*$C$11)*NORMSINV(L823))*(M$7-M$5)*(M$6-M$5)),M$7-SQRT((1-NORMSDIST(M$9*SQRT($C$11)*NORMSINV($B823)+SQRT(1-M$9^2*$C$11)*NORMSINV(L823)))*(M$7-M$5)*(M$7-M$6))))</f>
        <v>1569.73657902521</v>
      </c>
      <c r="N823" s="2" t="n">
        <v>0.205962021</v>
      </c>
      <c r="O823" s="2" t="n">
        <f aca="false">IF(O$7=O$5,O$6,IF(NORMSDIST(O$9*SQRT($C$11)*NORMSINV($B823)+SQRT(1-O$9^2*$C$11)*NORMSINV(N823))&lt;O$8,O$5+SQRT(NORMSDIST(O$9*SQRT($C$11)*NORMSINV($B823)+SQRT(1-O$9^2*$C$11)*NORMSINV(N823))*(O$7-O$5)*(O$6-O$5)),O$7-SQRT((1-NORMSDIST(O$9*SQRT($C$11)*NORMSINV($B823)+SQRT(1-O$9^2*$C$11)*NORMSINV(N823)))*(O$7-O$5)*(O$7-O$6))))</f>
        <v>0.165400400955832</v>
      </c>
      <c r="P823" s="2" t="n">
        <v>0.94457746</v>
      </c>
      <c r="Q823" s="2" t="n">
        <f aca="false">IF(Q$7=Q$5,Q$6,IF(NORMSDIST(Q$9*SQRT($C$11)*NORMSINV($B823)+SQRT(1-Q$9^2*$C$11)*NORMSINV(P823))&lt;Q$8,Q$5+SQRT(NORMSDIST(Q$9*SQRT($C$11)*NORMSINV($B823)+SQRT(1-Q$9^2*$C$11)*NORMSINV(P823))*(Q$7-Q$5)*(Q$6-Q$5)),Q$7-SQRT((1-NORMSDIST(Q$9*SQRT($C$11)*NORMSINV($B823)+SQRT(1-Q$9^2*$C$11)*NORMSINV(P823)))*(Q$7-Q$5)*(Q$7-Q$6))))</f>
        <v>0.106682638099083</v>
      </c>
      <c r="R823" s="2" t="n">
        <v>0.987541021</v>
      </c>
      <c r="S823" s="2" t="n">
        <f aca="false">IF(S$7=S$5,S$6,IF(NORMSDIST(S$9*SQRT($C$11)*NORMSINV($B823)+SQRT(1-S$9^2*$C$11)*NORMSINV(R823))&lt;S$8,S$5+SQRT(NORMSDIST(S$9*SQRT($C$11)*NORMSINV($B823)+SQRT(1-S$9^2*$C$11)*NORMSINV(R823))*(S$7-S$5)*(S$6-S$5)),S$7-SQRT((1-NORMSDIST(S$9*SQRT($C$11)*NORMSINV($B823)+SQRT(1-S$9^2*$C$11)*NORMSINV(R823)))*(S$7-S$5)*(S$7-S$6))))</f>
        <v>0.921434079459485</v>
      </c>
      <c r="T823" s="2" t="n">
        <v>0.787622177</v>
      </c>
      <c r="U823" s="2" t="n">
        <f aca="false">IF(U$7=U$5,U$6,IF(NORMSDIST(U$9*SQRT($C$11)*NORMSINV($B823)+SQRT(1-U$9^2*$C$11)*NORMSINV(T823))&lt;U$8,U$5+SQRT(NORMSDIST(U$9*SQRT($C$11)*NORMSINV($B823)+SQRT(1-U$9^2*$C$11)*NORMSINV(T823))*(U$7-U$5)*(U$6-U$5)),U$7-SQRT((1-NORMSDIST(U$9*SQRT($C$11)*NORMSINV($B823)+SQRT(1-U$9^2*$C$11)*NORMSINV(T823)))*(U$7-U$5)*(U$7-U$6))))</f>
        <v>0.745243183687039</v>
      </c>
      <c r="V823" s="2" t="n">
        <v>0.040887259</v>
      </c>
      <c r="W823" s="2" t="n">
        <f aca="false">IF(W$7=W$5,W$6,IF(NORMSDIST(W$9*SQRT($C$11)*NORMSINV($B823)+SQRT(1-W$9^2*$C$11)*NORMSINV(V823))&lt;W$8,W$5+SQRT(NORMSDIST(W$9*SQRT($C$11)*NORMSINV($B823)+SQRT(1-W$9^2*$C$11)*NORMSINV(V823))*(W$7-W$5)*(W$6-W$5)),W$7-SQRT((1-NORMSDIST(W$9*SQRT($C$11)*NORMSINV($B823)+SQRT(1-W$9^2*$C$11)*NORMSINV(V823)))*(W$7-W$5)*(W$7-W$6))))</f>
        <v>9.26712113901985</v>
      </c>
      <c r="X823" s="2" t="n">
        <v>0.721016114</v>
      </c>
      <c r="Y823" s="2" t="n">
        <f aca="false">IF(Y$7=Y$5,Y$6,IF(NORMSDIST(Y$9*SQRT($C$11)*NORMSINV($B823)+SQRT(1-Y$9^2*$C$11)*NORMSINV(X823))&lt;Y$8,Y$5+SQRT(NORMSDIST(Y$9*SQRT($C$11)*NORMSINV($B823)+SQRT(1-Y$9^2*$C$11)*NORMSINV(X823))*(Y$7-Y$5)*(Y$6-Y$5)),Y$7-SQRT((1-NORMSDIST(Y$9*SQRT($C$11)*NORMSINV($B823)+SQRT(1-Y$9^2*$C$11)*NORMSINV(X823)))*(Y$7-Y$5)*(Y$7-Y$6))))</f>
        <v>0.626513798112969</v>
      </c>
      <c r="Z823" s="2" t="n">
        <v>0.188015283</v>
      </c>
      <c r="AA823" s="2" t="n">
        <f aca="false">IF(AA$7=AA$5,AA$6,IF(NORMSDIST(AA$9*SQRT($C$11)*NORMSINV($B823)+SQRT(1-AA$9^2*$C$11)*NORMSINV(Z823))&lt;AA$8,AA$5+SQRT(NORMSDIST(AA$9*SQRT($C$11)*NORMSINV($B823)+SQRT(1-AA$9^2*$C$11)*NORMSINV(Z823))*(AA$7-AA$5)*(AA$6-AA$5)),AA$7-SQRT((1-NORMSDIST(AA$9*SQRT($C$11)*NORMSINV($B823)+SQRT(1-AA$9^2*$C$11)*NORMSINV(Z823)))*(AA$7-AA$5)*(AA$7-AA$6))))</f>
        <v>0.725669899252652</v>
      </c>
      <c r="AB823" s="2" t="n">
        <v>0.655784697</v>
      </c>
      <c r="AC823" s="2" t="n">
        <f aca="false">IF(AC$7=AC$5,AC$6,IF(NORMSDIST(AC$9*SQRT($C$11)*NORMSINV($B823)+SQRT(1-AC$9^2*$C$11)*NORMSINV(AB823))&lt;AC$8,AC$5+SQRT(NORMSDIST(AC$9*SQRT($C$11)*NORMSINV($B823)+SQRT(1-AC$9^2*$C$11)*NORMSINV(AB823))*(AC$7-AC$5)*(AC$6-AC$5)),AC$7-SQRT((1-NORMSDIST(AC$9*SQRT($C$11)*NORMSINV($B823)+SQRT(1-AC$9^2*$C$11)*NORMSINV(AB823)))*(AC$7-AC$5)*(AC$7-AC$6))))</f>
        <v>10.0561672633622</v>
      </c>
      <c r="AD823" s="2" t="n">
        <f aca="false">Entrées!$C$8*(1+E823)</f>
        <v>7429.91207649742</v>
      </c>
      <c r="AE823" s="2" t="n">
        <f aca="false">I823*Hypothèses!$J$24/12/Hypothèses!$J$19</f>
        <v>105.364354188416</v>
      </c>
      <c r="AF823" s="2" t="n">
        <f aca="false">Entrées!$C$36*S823*1000</f>
        <v>460.717039729742</v>
      </c>
      <c r="AG823" s="2" t="n">
        <f aca="false">-AF823/W823</f>
        <v>-49.7152279352281</v>
      </c>
      <c r="AH823" s="2" t="n">
        <f aca="false">AD823+AE823+AG823</f>
        <v>7485.5612027506</v>
      </c>
      <c r="AI823" s="2" t="n">
        <f aca="false">Entrées!$C$16-M823+Hypothèses!$J$22*1000-AF823+Hypothèses!$J$23</f>
        <v>22517.546381245</v>
      </c>
      <c r="AJ823" s="2" t="n">
        <f aca="false">AI823/AH823</f>
        <v>3.0081306893825</v>
      </c>
      <c r="AK823" s="2" t="n">
        <f aca="false">AI823/(AH823+I823*(12-Hypothèses!$J$24)/12/Hypothèses!$J$19)</f>
        <v>2.97818782166101</v>
      </c>
      <c r="AL823" s="2" t="n">
        <f aca="false">(AD823+AG823+I823/Hypothèses!$J$19)*(1+G823)</f>
        <v>7963.33187414649</v>
      </c>
      <c r="AM823" s="2" t="n">
        <f aca="false">Entrées!$C$54*K823/Hypothèses!$J$19</f>
        <v>35.3680370230505</v>
      </c>
      <c r="AN823" s="2" t="n">
        <f aca="false">Y823*1000/AC823</f>
        <v>62.3014496184407</v>
      </c>
      <c r="AO823" s="2" t="n">
        <f aca="false">(Entrées!$C$36*(1-S823)+MAX(0,Entrées!$C$30-Entrées!$C$35-Entrées!$C$36)*U823)*1000</f>
        <v>1082.62341743211</v>
      </c>
      <c r="AP823" s="2" t="n">
        <f aca="false">-AO823/W823</f>
        <v>-116.824135693409</v>
      </c>
      <c r="AQ823" s="2" t="n">
        <f aca="false">AL823+AM823+AN823+AP823</f>
        <v>7944.17722509457</v>
      </c>
      <c r="AR823" s="2" t="n">
        <f aca="false">O823*AQ823-Hypothèses!$J$25/Hypothèses!$J$19</f>
        <v>1294.83493603321</v>
      </c>
      <c r="AS823" s="2" t="n">
        <f aca="false">Entrées!$C$79*(1+Q823)+Hypothèses!$J$20</f>
        <v>1511.24421927089</v>
      </c>
      <c r="AT823" s="2" t="n">
        <f aca="false">AI823-AR823+AS823+Y823*1000-AO823+Hypothèses!$J$23</f>
        <v>22277.8460451636</v>
      </c>
      <c r="AU823" s="2" t="n">
        <f aca="false">AT823/AQ823</f>
        <v>2.80429872269099</v>
      </c>
      <c r="AV823" s="2" t="n">
        <f aca="false">Hypothèses!$J$26*AQ823-AT823</f>
        <v>1554.68563012012</v>
      </c>
      <c r="AW823" s="2" t="n">
        <f aca="false">IF(AC823&gt;Hypothèses!$J$26,MAX(0,AV823)/(1-Hypothèses!$J$26/AC823),0)</f>
        <v>2215.67575638564</v>
      </c>
      <c r="AX823" s="2" t="n">
        <f aca="false">AQ823-Entrées!$C$17*1000</f>
        <v>-55.8227749054304</v>
      </c>
      <c r="AY823" s="2" t="n">
        <f aca="false">AI823+(Entrées!$C$244-Entrées!$C$13)</f>
        <v>28264.546381245</v>
      </c>
      <c r="AZ823" s="2" t="n">
        <f aca="false">AA823*AH823</f>
        <v>5432.04644384959</v>
      </c>
      <c r="BA823" s="2" t="n">
        <f aca="false">AZ823/AY823</f>
        <v>0.192185870262331</v>
      </c>
      <c r="BB823" s="2" t="n">
        <f aca="false">AZ823/(Entrées!$C$151/100)-AY823</f>
        <v>1913.48941791936</v>
      </c>
      <c r="BC823" s="2" t="n">
        <f aca="false">AT823+(Entrées!$C$244-Entrées!$C$13)</f>
        <v>28024.8460451636</v>
      </c>
      <c r="BD823" s="2" t="n">
        <f aca="false">AA823*AQ823</f>
        <v>5764.85028657959</v>
      </c>
      <c r="BE823" s="2" t="n">
        <f aca="false">BD823/BC823</f>
        <v>0.205704976123302</v>
      </c>
      <c r="BF823" s="2" t="n">
        <f aca="false">BD823/(Entrées!$C$151/100)-BC823</f>
        <v>4002.0999913897</v>
      </c>
      <c r="BG823" s="2" t="n">
        <f aca="false">MIN(AV823,BF823)</f>
        <v>1554.68563012012</v>
      </c>
      <c r="BH823" s="2" t="n">
        <f aca="false">IF(AC823&gt;Hypothèses!$J$26,MAX(0,BG823)/(1-Hypothèses!$J$26/AC823),0)</f>
        <v>2215.67575638564</v>
      </c>
    </row>
    <row r="824" customFormat="false" ht="15" hidden="false" customHeight="false" outlineLevel="0" collapsed="false">
      <c r="A824" s="2" t="n">
        <v>809</v>
      </c>
      <c r="B824" s="2" t="n">
        <v>0.684286266</v>
      </c>
      <c r="C824" s="2"/>
      <c r="D824" s="2" t="n">
        <v>0.742274968</v>
      </c>
      <c r="E824" s="2" t="n">
        <f aca="false">IF(E$7=E$5,E$6,IF(NORMSDIST(E$9*SQRT($C$11)*NORMSINV($B824)+SQRT(1-E$9^2*$C$11)*NORMSINV(D824))&lt;E$8,E$5+SQRT(NORMSDIST(E$9*SQRT($C$11)*NORMSINV($B824)+SQRT(1-E$9^2*$C$11)*NORMSINV(D824))*(E$7-E$5)*(E$6-E$5)),E$7-SQRT((1-NORMSDIST(E$9*SQRT($C$11)*NORMSINV($B824)+SQRT(1-E$9^2*$C$11)*NORMSINV(D824)))*(E$7-E$5)*(E$7-E$6))))</f>
        <v>0.0567613143854698</v>
      </c>
      <c r="F824" s="2" t="n">
        <v>0.781677078</v>
      </c>
      <c r="G824" s="2" t="n">
        <f aca="false">IF(G$7=G$5,G$6,IF(NORMSDIST(G$9*SQRT($C$11)*NORMSINV($B824)+SQRT(1-G$9^2*$C$11)*NORMSINV(F824))&lt;G$8,G$5+SQRT(NORMSDIST(G$9*SQRT($C$11)*NORMSINV($B824)+SQRT(1-G$9^2*$C$11)*NORMSINV(F824))*(G$7-G$5)*(G$6-G$5)),G$7-SQRT((1-NORMSDIST(G$9*SQRT($C$11)*NORMSINV($B824)+SQRT(1-G$9^2*$C$11)*NORMSINV(F824)))*(G$7-G$5)*(G$7-G$6))))</f>
        <v>0.0609380911575052</v>
      </c>
      <c r="H824" s="2" t="n">
        <v>0.825434591</v>
      </c>
      <c r="I824" s="2" t="n">
        <f aca="false">IF(I$7=I$5,I$6,IF(NORMSDIST(I$9*SQRT($C$11)*NORMSINV($B824)+SQRT(1-I$9^2*$C$11)*NORMSINV(H824))&lt;I$8,I$5+SQRT(NORMSDIST(I$9*SQRT($C$11)*NORMSINV($B824)+SQRT(1-I$9^2*$C$11)*NORMSINV(H824))*(I$7-I$5)*(I$6-I$5)),I$7-SQRT((1-NORMSDIST(I$9*SQRT($C$11)*NORMSINV($B824)+SQRT(1-I$9^2*$C$11)*NORMSINV(H824)))*(I$7-I$5)*(I$7-I$6))))</f>
        <v>208.979109072266</v>
      </c>
      <c r="J824" s="2" t="n">
        <v>0.589261194</v>
      </c>
      <c r="K824" s="2" t="n">
        <f aca="false">IF(K$7=K$5,K$6,IF(NORMSDIST(K$9*SQRT($C$11)*NORMSINV($B824)+SQRT(1-K$9^2*$C$11)*NORMSINV(J824))&lt;K$8,K$5+SQRT(NORMSDIST(K$9*SQRT($C$11)*NORMSINV($B824)+SQRT(1-K$9^2*$C$11)*NORMSINV(J824))*(K$7-K$5)*(K$6-K$5)),K$7-SQRT((1-NORMSDIST(K$9*SQRT($C$11)*NORMSINV($B824)+SQRT(1-K$9^2*$C$11)*NORMSINV(J824)))*(K$7-K$5)*(K$7-K$6))))</f>
        <v>0.301172359298646</v>
      </c>
      <c r="L824" s="2" t="n">
        <v>0.243726603</v>
      </c>
      <c r="M824" s="2" t="n">
        <f aca="false">IF(M$7=M$5,M$6,IF(NORMSDIST(M$9*SQRT($C$11)*NORMSINV($B824)+SQRT(1-M$9^2*$C$11)*NORMSINV(L824))&lt;M$8,M$5+SQRT(NORMSDIST(M$9*SQRT($C$11)*NORMSINV($B824)+SQRT(1-M$9^2*$C$11)*NORMSINV(L824))*(M$7-M$5)*(M$6-M$5)),M$7-SQRT((1-NORMSDIST(M$9*SQRT($C$11)*NORMSINV($B824)+SQRT(1-M$9^2*$C$11)*NORMSINV(L824)))*(M$7-M$5)*(M$7-M$6))))</f>
        <v>1557.86129734986</v>
      </c>
      <c r="N824" s="2" t="n">
        <v>0.276998505</v>
      </c>
      <c r="O824" s="2" t="n">
        <f aca="false">IF(O$7=O$5,O$6,IF(NORMSDIST(O$9*SQRT($C$11)*NORMSINV($B824)+SQRT(1-O$9^2*$C$11)*NORMSINV(N824))&lt;O$8,O$5+SQRT(NORMSDIST(O$9*SQRT($C$11)*NORMSINV($B824)+SQRT(1-O$9^2*$C$11)*NORMSINV(N824))*(O$7-O$5)*(O$6-O$5)),O$7-SQRT((1-NORMSDIST(O$9*SQRT($C$11)*NORMSINV($B824)+SQRT(1-O$9^2*$C$11)*NORMSINV(N824)))*(O$7-O$5)*(O$7-O$6))))</f>
        <v>0.165080761641234</v>
      </c>
      <c r="P824" s="2" t="n">
        <v>0.629736133</v>
      </c>
      <c r="Q824" s="2" t="n">
        <f aca="false">IF(Q$7=Q$5,Q$6,IF(NORMSDIST(Q$9*SQRT($C$11)*NORMSINV($B824)+SQRT(1-Q$9^2*$C$11)*NORMSINV(P824))&lt;Q$8,Q$5+SQRT(NORMSDIST(Q$9*SQRT($C$11)*NORMSINV($B824)+SQRT(1-Q$9^2*$C$11)*NORMSINV(P824))*(Q$7-Q$5)*(Q$6-Q$5)),Q$7-SQRT((1-NORMSDIST(Q$9*SQRT($C$11)*NORMSINV($B824)+SQRT(1-Q$9^2*$C$11)*NORMSINV(P824)))*(Q$7-Q$5)*(Q$7-Q$6))))</f>
        <v>0.0855784315522956</v>
      </c>
      <c r="R824" s="2" t="n">
        <v>0.327424712</v>
      </c>
      <c r="S824" s="2" t="n">
        <f aca="false">IF(S$7=S$5,S$6,IF(NORMSDIST(S$9*SQRT($C$11)*NORMSINV($B824)+SQRT(1-S$9^2*$C$11)*NORMSINV(R824))&lt;S$8,S$5+SQRT(NORMSDIST(S$9*SQRT($C$11)*NORMSINV($B824)+SQRT(1-S$9^2*$C$11)*NORMSINV(R824))*(S$7-S$5)*(S$6-S$5)),S$7-SQRT((1-NORMSDIST(S$9*SQRT($C$11)*NORMSINV($B824)+SQRT(1-S$9^2*$C$11)*NORMSINV(R824)))*(S$7-S$5)*(S$7-S$6))))</f>
        <v>0.4913766288038</v>
      </c>
      <c r="T824" s="2" t="n">
        <v>0.567555788</v>
      </c>
      <c r="U824" s="2" t="n">
        <f aca="false">IF(U$7=U$5,U$6,IF(NORMSDIST(U$9*SQRT($C$11)*NORMSINV($B824)+SQRT(1-U$9^2*$C$11)*NORMSINV(T824))&lt;U$8,U$5+SQRT(NORMSDIST(U$9*SQRT($C$11)*NORMSINV($B824)+SQRT(1-U$9^2*$C$11)*NORMSINV(T824))*(U$7-U$5)*(U$6-U$5)),U$7-SQRT((1-NORMSDIST(U$9*SQRT($C$11)*NORMSINV($B824)+SQRT(1-U$9^2*$C$11)*NORMSINV(T824)))*(U$7-U$5)*(U$7-U$6))))</f>
        <v>0.592748299019688</v>
      </c>
      <c r="V824" s="2" t="n">
        <v>0.040811184</v>
      </c>
      <c r="W824" s="2" t="n">
        <f aca="false">IF(W$7=W$5,W$6,IF(NORMSDIST(W$9*SQRT($C$11)*NORMSINV($B824)+SQRT(1-W$9^2*$C$11)*NORMSINV(V824))&lt;W$8,W$5+SQRT(NORMSDIST(W$9*SQRT($C$11)*NORMSINV($B824)+SQRT(1-W$9^2*$C$11)*NORMSINV(V824))*(W$7-W$5)*(W$6-W$5)),W$7-SQRT((1-NORMSDIST(W$9*SQRT($C$11)*NORMSINV($B824)+SQRT(1-W$9^2*$C$11)*NORMSINV(V824)))*(W$7-W$5)*(W$7-W$6))))</f>
        <v>9.08778385242187</v>
      </c>
      <c r="X824" s="2" t="n">
        <v>0.679314672</v>
      </c>
      <c r="Y824" s="2" t="n">
        <f aca="false">IF(Y$7=Y$5,Y$6,IF(NORMSDIST(Y$9*SQRT($C$11)*NORMSINV($B824)+SQRT(1-Y$9^2*$C$11)*NORMSINV(X824))&lt;Y$8,Y$5+SQRT(NORMSDIST(Y$9*SQRT($C$11)*NORMSINV($B824)+SQRT(1-Y$9^2*$C$11)*NORMSINV(X824))*(Y$7-Y$5)*(Y$6-Y$5)),Y$7-SQRT((1-NORMSDIST(Y$9*SQRT($C$11)*NORMSINV($B824)+SQRT(1-Y$9^2*$C$11)*NORMSINV(X824)))*(Y$7-Y$5)*(Y$7-Y$6))))</f>
        <v>0.599571899087989</v>
      </c>
      <c r="Z824" s="2" t="n">
        <v>0.249009503</v>
      </c>
      <c r="AA824" s="2" t="n">
        <f aca="false">IF(AA$7=AA$5,AA$6,IF(NORMSDIST(AA$9*SQRT($C$11)*NORMSINV($B824)+SQRT(1-AA$9^2*$C$11)*NORMSINV(Z824))&lt;AA$8,AA$5+SQRT(NORMSDIST(AA$9*SQRT($C$11)*NORMSINV($B824)+SQRT(1-AA$9^2*$C$11)*NORMSINV(Z824))*(AA$7-AA$5)*(AA$6-AA$5)),AA$7-SQRT((1-NORMSDIST(AA$9*SQRT($C$11)*NORMSINV($B824)+SQRT(1-AA$9^2*$C$11)*NORMSINV(Z824)))*(AA$7-AA$5)*(AA$7-AA$6))))</f>
        <v>0.725044691457044</v>
      </c>
      <c r="AB824" s="2" t="n">
        <v>0.08384886</v>
      </c>
      <c r="AC824" s="2" t="n">
        <f aca="false">IF(AC$7=AC$5,AC$6,IF(NORMSDIST(AC$9*SQRT($C$11)*NORMSINV($B824)+SQRT(1-AC$9^2*$C$11)*NORMSINV(AB824))&lt;AC$8,AC$5+SQRT(NORMSDIST(AC$9*SQRT($C$11)*NORMSINV($B824)+SQRT(1-AC$9^2*$C$11)*NORMSINV(AB824))*(AC$7-AC$5)*(AC$6-AC$5)),AC$7-SQRT((1-NORMSDIST(AC$9*SQRT($C$11)*NORMSINV($B824)+SQRT(1-AC$9^2*$C$11)*NORMSINV(AB824)))*(AC$7-AC$5)*(AC$7-AC$6))))</f>
        <v>8.78512662303021</v>
      </c>
      <c r="AD824" s="2" t="n">
        <f aca="false">Entrées!$C$8*(1+E824)</f>
        <v>7450.16726641756</v>
      </c>
      <c r="AE824" s="2" t="n">
        <f aca="false">I824*Hypothèses!$J$24/12/Hypothèses!$J$19</f>
        <v>103.673867147092</v>
      </c>
      <c r="AF824" s="2" t="n">
        <f aca="false">Entrées!$C$36*S824*1000</f>
        <v>245.6883144019</v>
      </c>
      <c r="AG824" s="2" t="n">
        <f aca="false">-AF824/W824</f>
        <v>-27.035008577633</v>
      </c>
      <c r="AH824" s="2" t="n">
        <f aca="false">AD824+AE824+AG824</f>
        <v>7526.80612498702</v>
      </c>
      <c r="AI824" s="2" t="n">
        <f aca="false">Entrées!$C$16-M824+Hypothèses!$J$22*1000-AF824+Hypothèses!$J$23</f>
        <v>22744.4503882482</v>
      </c>
      <c r="AJ824" s="2" t="n">
        <f aca="false">AI824/AH824</f>
        <v>3.02179304349857</v>
      </c>
      <c r="AK824" s="2" t="n">
        <f aca="false">AI824/(AH824+I824*(12-Hypothèses!$J$24)/12/Hypothèses!$J$19)</f>
        <v>2.99235267036016</v>
      </c>
      <c r="AL824" s="2" t="n">
        <f aca="false">(AD824+AG824+I824/Hypothèses!$J$19)*(1+G824)</f>
        <v>8064.0407189806</v>
      </c>
      <c r="AM824" s="2" t="n">
        <f aca="false">Entrées!$C$54*K824/Hypothèses!$J$19</f>
        <v>30.7359038074469</v>
      </c>
      <c r="AN824" s="2" t="n">
        <f aca="false">Y824*1000/AC824</f>
        <v>68.2485210305576</v>
      </c>
      <c r="AO824" s="2" t="n">
        <f aca="false">(Entrées!$C$36*(1-S824)+MAX(0,Entrées!$C$30-Entrées!$C$35-Entrées!$C$36)*U824)*1000</f>
        <v>1084.15930422566</v>
      </c>
      <c r="AP824" s="2" t="n">
        <f aca="false">-AO824/W824</f>
        <v>-119.298535466019</v>
      </c>
      <c r="AQ824" s="2" t="n">
        <f aca="false">AL824+AM824+AN824+AP824</f>
        <v>8043.72660835259</v>
      </c>
      <c r="AR824" s="2" t="n">
        <f aca="false">O824*AQ824-Hypothèses!$J$25/Hypothèses!$J$19</f>
        <v>1308.72935267908</v>
      </c>
      <c r="AS824" s="2" t="n">
        <f aca="false">Entrées!$C$79*(1+Q824)+Hypothèses!$J$20</f>
        <v>1488.05069627597</v>
      </c>
      <c r="AT824" s="2" t="n">
        <f aca="false">AI824-AR824+AS824+Y824*1000-AO824+Hypothèses!$J$23</f>
        <v>22439.1843267075</v>
      </c>
      <c r="AU824" s="2" t="n">
        <f aca="false">AT824/AQ824</f>
        <v>2.78965029758802</v>
      </c>
      <c r="AV824" s="2" t="n">
        <f aca="false">Hypothèses!$J$26*AQ824-AT824</f>
        <v>1691.9954983503</v>
      </c>
      <c r="AW824" s="2" t="n">
        <f aca="false">IF(AC824&gt;Hypothèses!$J$26,MAX(0,AV824)/(1-Hypothèses!$J$26/AC824),0)</f>
        <v>2569.41561822179</v>
      </c>
      <c r="AX824" s="2" t="n">
        <f aca="false">AQ824-Entrées!$C$17*1000</f>
        <v>43.7266083525874</v>
      </c>
      <c r="AY824" s="2" t="n">
        <f aca="false">AI824+(Entrées!$C$244-Entrées!$C$13)</f>
        <v>28491.4503882482</v>
      </c>
      <c r="AZ824" s="2" t="n">
        <f aca="false">AA824*AH824</f>
        <v>5457.2708245482</v>
      </c>
      <c r="BA824" s="2" t="n">
        <f aca="false">AZ824/AY824</f>
        <v>0.191540646410866</v>
      </c>
      <c r="BB824" s="2" t="n">
        <f aca="false">AZ824/(Entrées!$C$151/100)-AY824</f>
        <v>1826.72085924176</v>
      </c>
      <c r="BC824" s="2" t="n">
        <f aca="false">AT824+(Entrées!$C$244-Entrées!$C$13)</f>
        <v>28186.1843267075</v>
      </c>
      <c r="BD824" s="2" t="n">
        <f aca="false">AA824*AQ824</f>
        <v>5832.06127691781</v>
      </c>
      <c r="BE824" s="2" t="n">
        <f aca="false">BD824/BC824</f>
        <v>0.206912053413052</v>
      </c>
      <c r="BF824" s="2" t="n">
        <f aca="false">BD824/(Entrées!$C$151/100)-BC824</f>
        <v>4214.15610061372</v>
      </c>
      <c r="BG824" s="2" t="n">
        <f aca="false">MIN(AV824,BF824)</f>
        <v>1691.9954983503</v>
      </c>
      <c r="BH824" s="2" t="n">
        <f aca="false">IF(AC824&gt;Hypothèses!$J$26,MAX(0,BG824)/(1-Hypothèses!$J$26/AC824),0)</f>
        <v>2569.41561822179</v>
      </c>
    </row>
    <row r="825" customFormat="false" ht="15" hidden="false" customHeight="false" outlineLevel="0" collapsed="false">
      <c r="A825" s="2" t="n">
        <v>810</v>
      </c>
      <c r="B825" s="2" t="n">
        <v>0.264003476</v>
      </c>
      <c r="C825" s="2"/>
      <c r="D825" s="2" t="n">
        <v>0.70275309</v>
      </c>
      <c r="E825" s="2" t="n">
        <f aca="false">IF(E$7=E$5,E$6,IF(NORMSDIST(E$9*SQRT($C$11)*NORMSINV($B825)+SQRT(1-E$9^2*$C$11)*NORMSINV(D825))&lt;E$8,E$5+SQRT(NORMSDIST(E$9*SQRT($C$11)*NORMSINV($B825)+SQRT(1-E$9^2*$C$11)*NORMSINV(D825))*(E$7-E$5)*(E$6-E$5)),E$7-SQRT((1-NORMSDIST(E$9*SQRT($C$11)*NORMSINV($B825)+SQRT(1-E$9^2*$C$11)*NORMSINV(D825)))*(E$7-E$5)*(E$7-E$6))))</f>
        <v>0.0550264656859468</v>
      </c>
      <c r="F825" s="2" t="n">
        <v>0.235690764</v>
      </c>
      <c r="G825" s="2" t="n">
        <f aca="false">IF(G$7=G$5,G$6,IF(NORMSDIST(G$9*SQRT($C$11)*NORMSINV($B825)+SQRT(1-G$9^2*$C$11)*NORMSINV(F825))&lt;G$8,G$5+SQRT(NORMSDIST(G$9*SQRT($C$11)*NORMSINV($B825)+SQRT(1-G$9^2*$C$11)*NORMSINV(F825))*(G$7-G$5)*(G$6-G$5)),G$7-SQRT((1-NORMSDIST(G$9*SQRT($C$11)*NORMSINV($B825)+SQRT(1-G$9^2*$C$11)*NORMSINV(F825)))*(G$7-G$5)*(G$7-G$6))))</f>
        <v>0.0487279666876196</v>
      </c>
      <c r="H825" s="2" t="n">
        <v>0.935220315</v>
      </c>
      <c r="I825" s="2" t="n">
        <f aca="false">IF(I$7=I$5,I$6,IF(NORMSDIST(I$9*SQRT($C$11)*NORMSINV($B825)+SQRT(1-I$9^2*$C$11)*NORMSINV(H825))&lt;I$8,I$5+SQRT(NORMSDIST(I$9*SQRT($C$11)*NORMSINV($B825)+SQRT(1-I$9^2*$C$11)*NORMSINV(H825))*(I$7-I$5)*(I$6-I$5)),I$7-SQRT((1-NORMSDIST(I$9*SQRT($C$11)*NORMSINV($B825)+SQRT(1-I$9^2*$C$11)*NORMSINV(H825)))*(I$7-I$5)*(I$7-I$6))))</f>
        <v>206.759037580977</v>
      </c>
      <c r="J825" s="2" t="n">
        <v>0.504485154</v>
      </c>
      <c r="K825" s="2" t="n">
        <f aca="false">IF(K$7=K$5,K$6,IF(NORMSDIST(K$9*SQRT($C$11)*NORMSINV($B825)+SQRT(1-K$9^2*$C$11)*NORMSINV(J825))&lt;K$8,K$5+SQRT(NORMSDIST(K$9*SQRT($C$11)*NORMSINV($B825)+SQRT(1-K$9^2*$C$11)*NORMSINV(J825))*(K$7-K$5)*(K$6-K$5)),K$7-SQRT((1-NORMSDIST(K$9*SQRT($C$11)*NORMSINV($B825)+SQRT(1-K$9^2*$C$11)*NORMSINV(J825)))*(K$7-K$5)*(K$7-K$6))))</f>
        <v>0.208602251932594</v>
      </c>
      <c r="L825" s="2" t="n">
        <v>0.665988274</v>
      </c>
      <c r="M825" s="2" t="n">
        <f aca="false">IF(M$7=M$5,M$6,IF(NORMSDIST(M$9*SQRT($C$11)*NORMSINV($B825)+SQRT(1-M$9^2*$C$11)*NORMSINV(L825))&lt;M$8,M$5+SQRT(NORMSDIST(M$9*SQRT($C$11)*NORMSINV($B825)+SQRT(1-M$9^2*$C$11)*NORMSINV(L825))*(M$7-M$5)*(M$6-M$5)),M$7-SQRT((1-NORMSDIST(M$9*SQRT($C$11)*NORMSINV($B825)+SQRT(1-M$9^2*$C$11)*NORMSINV(L825)))*(M$7-M$5)*(M$7-M$6))))</f>
        <v>1577.72126473167</v>
      </c>
      <c r="N825" s="2" t="n">
        <v>0.434209247</v>
      </c>
      <c r="O825" s="2" t="n">
        <f aca="false">IF(O$7=O$5,O$6,IF(NORMSDIST(O$9*SQRT($C$11)*NORMSINV($B825)+SQRT(1-O$9^2*$C$11)*NORMSINV(N825))&lt;O$8,O$5+SQRT(NORMSDIST(O$9*SQRT($C$11)*NORMSINV($B825)+SQRT(1-O$9^2*$C$11)*NORMSINV(N825))*(O$7-O$5)*(O$6-O$5)),O$7-SQRT((1-NORMSDIST(O$9*SQRT($C$11)*NORMSINV($B825)+SQRT(1-O$9^2*$C$11)*NORMSINV(N825)))*(O$7-O$5)*(O$7-O$6))))</f>
        <v>0.160710663383805</v>
      </c>
      <c r="P825" s="2" t="n">
        <v>0.516758573</v>
      </c>
      <c r="Q825" s="2" t="n">
        <f aca="false">IF(Q$7=Q$5,Q$6,IF(NORMSDIST(Q$9*SQRT($C$11)*NORMSINV($B825)+SQRT(1-Q$9^2*$C$11)*NORMSINV(P825))&lt;Q$8,Q$5+SQRT(NORMSDIST(Q$9*SQRT($C$11)*NORMSINV($B825)+SQRT(1-Q$9^2*$C$11)*NORMSINV(P825))*(Q$7-Q$5)*(Q$6-Q$5)),Q$7-SQRT((1-NORMSDIST(Q$9*SQRT($C$11)*NORMSINV($B825)+SQRT(1-Q$9^2*$C$11)*NORMSINV(P825)))*(Q$7-Q$5)*(Q$7-Q$6))))</f>
        <v>0.0806760560675814</v>
      </c>
      <c r="R825" s="2" t="n">
        <v>0.138058506</v>
      </c>
      <c r="S825" s="2" t="n">
        <f aca="false">IF(S$7=S$5,S$6,IF(NORMSDIST(S$9*SQRT($C$11)*NORMSINV($B825)+SQRT(1-S$9^2*$C$11)*NORMSINV(R825))&lt;S$8,S$5+SQRT(NORMSDIST(S$9*SQRT($C$11)*NORMSINV($B825)+SQRT(1-S$9^2*$C$11)*NORMSINV(R825))*(S$7-S$5)*(S$6-S$5)),S$7-SQRT((1-NORMSDIST(S$9*SQRT($C$11)*NORMSINV($B825)+SQRT(1-S$9^2*$C$11)*NORMSINV(R825)))*(S$7-S$5)*(S$7-S$6))))</f>
        <v>0.231286516366986</v>
      </c>
      <c r="T825" s="2" t="n">
        <v>0.862287298</v>
      </c>
      <c r="U825" s="2" t="n">
        <f aca="false">IF(U$7=U$5,U$6,IF(NORMSDIST(U$9*SQRT($C$11)*NORMSINV($B825)+SQRT(1-U$9^2*$C$11)*NORMSINV(T825))&lt;U$8,U$5+SQRT(NORMSDIST(U$9*SQRT($C$11)*NORMSINV($B825)+SQRT(1-U$9^2*$C$11)*NORMSINV(T825))*(U$7-U$5)*(U$6-U$5)),U$7-SQRT((1-NORMSDIST(U$9*SQRT($C$11)*NORMSINV($B825)+SQRT(1-U$9^2*$C$11)*NORMSINV(T825)))*(U$7-U$5)*(U$7-U$6))))</f>
        <v>0.595089320111538</v>
      </c>
      <c r="V825" s="2" t="n">
        <v>0.030562291</v>
      </c>
      <c r="W825" s="2" t="n">
        <f aca="false">IF(W$7=W$5,W$6,IF(NORMSDIST(W$9*SQRT($C$11)*NORMSINV($B825)+SQRT(1-W$9^2*$C$11)*NORMSINV(V825))&lt;W$8,W$5+SQRT(NORMSDIST(W$9*SQRT($C$11)*NORMSINV($B825)+SQRT(1-W$9^2*$C$11)*NORMSINV(V825))*(W$7-W$5)*(W$6-W$5)),W$7-SQRT((1-NORMSDIST(W$9*SQRT($C$11)*NORMSINV($B825)+SQRT(1-W$9^2*$C$11)*NORMSINV(V825)))*(W$7-W$5)*(W$7-W$6))))</f>
        <v>8.50742038741936</v>
      </c>
      <c r="X825" s="2" t="n">
        <v>0.219638162</v>
      </c>
      <c r="Y825" s="2" t="n">
        <f aca="false">IF(Y$7=Y$5,Y$6,IF(NORMSDIST(Y$9*SQRT($C$11)*NORMSINV($B825)+SQRT(1-Y$9^2*$C$11)*NORMSINV(X825))&lt;Y$8,Y$5+SQRT(NORMSDIST(Y$9*SQRT($C$11)*NORMSINV($B825)+SQRT(1-Y$9^2*$C$11)*NORMSINV(X825))*(Y$7-Y$5)*(Y$6-Y$5)),Y$7-SQRT((1-NORMSDIST(Y$9*SQRT($C$11)*NORMSINV($B825)+SQRT(1-Y$9^2*$C$11)*NORMSINV(X825)))*(Y$7-Y$5)*(Y$7-Y$6))))</f>
        <v>0.331389621141037</v>
      </c>
      <c r="Z825" s="2" t="n">
        <v>0.171929443</v>
      </c>
      <c r="AA825" s="2" t="n">
        <f aca="false">IF(AA$7=AA$5,AA$6,IF(NORMSDIST(AA$9*SQRT($C$11)*NORMSINV($B825)+SQRT(1-AA$9^2*$C$11)*NORMSINV(Z825))&lt;AA$8,AA$5+SQRT(NORMSDIST(AA$9*SQRT($C$11)*NORMSINV($B825)+SQRT(1-AA$9^2*$C$11)*NORMSINV(Z825))*(AA$7-AA$5)*(AA$6-AA$5)),AA$7-SQRT((1-NORMSDIST(AA$9*SQRT($C$11)*NORMSINV($B825)+SQRT(1-AA$9^2*$C$11)*NORMSINV(Z825)))*(AA$7-AA$5)*(AA$7-AA$6))))</f>
        <v>0.711928932714751</v>
      </c>
      <c r="AB825" s="2" t="n">
        <v>0.154661824</v>
      </c>
      <c r="AC825" s="2" t="n">
        <f aca="false">IF(AC$7=AC$5,AC$6,IF(NORMSDIST(AC$9*SQRT($C$11)*NORMSINV($B825)+SQRT(1-AC$9^2*$C$11)*NORMSINV(AB825))&lt;AC$8,AC$5+SQRT(NORMSDIST(AC$9*SQRT($C$11)*NORMSINV($B825)+SQRT(1-AC$9^2*$C$11)*NORMSINV(AB825))*(AC$7-AC$5)*(AC$6-AC$5)),AC$7-SQRT((1-NORMSDIST(AC$9*SQRT($C$11)*NORMSINV($B825)+SQRT(1-AC$9^2*$C$11)*NORMSINV(AB825)))*(AC$7-AC$5)*(AC$7-AC$6))))</f>
        <v>8.40839760998721</v>
      </c>
      <c r="AD825" s="2" t="n">
        <f aca="false">Entrées!$C$8*(1+E825)</f>
        <v>7437.93658308592</v>
      </c>
      <c r="AE825" s="2" t="n">
        <f aca="false">I825*Hypothèses!$J$24/12/Hypothèses!$J$19</f>
        <v>102.572496785879</v>
      </c>
      <c r="AF825" s="2" t="n">
        <f aca="false">Entrées!$C$36*S825*1000</f>
        <v>115.643258183493</v>
      </c>
      <c r="AG825" s="2" t="n">
        <f aca="false">-AF825/W825</f>
        <v>-13.5932224948592</v>
      </c>
      <c r="AH825" s="2" t="n">
        <f aca="false">AD825+AE825+AG825</f>
        <v>7526.91585737694</v>
      </c>
      <c r="AI825" s="2" t="n">
        <f aca="false">Entrées!$C$16-M825+Hypothèses!$J$22*1000-AF825+Hypothèses!$J$23</f>
        <v>22854.6354770848</v>
      </c>
      <c r="AJ825" s="2" t="n">
        <f aca="false">AI825/AH825</f>
        <v>3.03638779948438</v>
      </c>
      <c r="AK825" s="2" t="n">
        <f aca="false">AI825/(AH825+I825*(12-Hypothèses!$J$24)/12/Hypothèses!$J$19)</f>
        <v>3.00711689510576</v>
      </c>
      <c r="AL825" s="2" t="n">
        <f aca="false">(AD825+AG825+I825/Hypothèses!$J$19)*(1+G825)</f>
        <v>7970.52333824453</v>
      </c>
      <c r="AM825" s="2" t="n">
        <f aca="false">Entrées!$C$54*K825/Hypothèses!$J$19</f>
        <v>21.2887356739774</v>
      </c>
      <c r="AN825" s="2" t="n">
        <f aca="false">Y825*1000/AC825</f>
        <v>39.4117448427301</v>
      </c>
      <c r="AO825" s="2" t="n">
        <f aca="false">(Entrées!$C$36*(1-S825)+MAX(0,Entrées!$C$30-Entrées!$C$35-Entrées!$C$36)*U825)*1000</f>
        <v>1217.48178997266</v>
      </c>
      <c r="AP825" s="2" t="n">
        <f aca="false">-AO825/W825</f>
        <v>-143.108220180709</v>
      </c>
      <c r="AQ825" s="2" t="n">
        <f aca="false">AL825+AM825+AN825+AP825</f>
        <v>7888.11559858053</v>
      </c>
      <c r="AR825" s="2" t="n">
        <f aca="false">O825*AQ825-Hypothèses!$J$25/Hypothèses!$J$19</f>
        <v>1248.56912843439</v>
      </c>
      <c r="AS825" s="2" t="n">
        <f aca="false">Entrées!$C$79*(1+Q825)+Hypothèses!$J$20</f>
        <v>1482.66298561827</v>
      </c>
      <c r="AT825" s="2" t="n">
        <f aca="false">AI825-AR825+AS825+Y825*1000-AO825+Hypothèses!$J$23</f>
        <v>22202.6371654371</v>
      </c>
      <c r="AU825" s="2" t="n">
        <f aca="false">AT825/AQ825</f>
        <v>2.81469469963555</v>
      </c>
      <c r="AV825" s="2" t="n">
        <f aca="false">Hypothèses!$J$26*AQ825-AT825</f>
        <v>1461.70963030448</v>
      </c>
      <c r="AW825" s="2" t="n">
        <f aca="false">IF(AC825&gt;Hypothèses!$J$26,MAX(0,AV825)/(1-Hypothèses!$J$26/AC825),0)</f>
        <v>2272.50965040948</v>
      </c>
      <c r="AX825" s="2" t="n">
        <f aca="false">AQ825-Entrées!$C$17*1000</f>
        <v>-111.884401419473</v>
      </c>
      <c r="AY825" s="2" t="n">
        <f aca="false">AI825+(Entrées!$C$244-Entrées!$C$13)</f>
        <v>28601.6354770848</v>
      </c>
      <c r="AZ825" s="2" t="n">
        <f aca="false">AA825*AH825</f>
        <v>5358.6291729761</v>
      </c>
      <c r="BA825" s="2" t="n">
        <f aca="false">AZ825/AY825</f>
        <v>0.187353942653711</v>
      </c>
      <c r="BB825" s="2" t="n">
        <f aca="false">AZ825/(Entrées!$C$151/100)-AY825</f>
        <v>1168.52659500461</v>
      </c>
      <c r="BC825" s="2" t="n">
        <f aca="false">AT825+(Entrées!$C$244-Entrées!$C$13)</f>
        <v>27949.6371654371</v>
      </c>
      <c r="BD825" s="2" t="n">
        <f aca="false">AA825*AQ825</f>
        <v>5615.77771922801</v>
      </c>
      <c r="BE825" s="2" t="n">
        <f aca="false">BD825/BC825</f>
        <v>0.20092488807592</v>
      </c>
      <c r="BF825" s="2" t="n">
        <f aca="false">BD825/(Entrées!$C$151/100)-BC825</f>
        <v>3249.12794138519</v>
      </c>
      <c r="BG825" s="2" t="n">
        <f aca="false">MIN(AV825,BF825)</f>
        <v>1461.70963030448</v>
      </c>
      <c r="BH825" s="2" t="n">
        <f aca="false">IF(AC825&gt;Hypothèses!$J$26,MAX(0,BG825)/(1-Hypothèses!$J$26/AC825),0)</f>
        <v>2272.50965040948</v>
      </c>
    </row>
    <row r="826" customFormat="false" ht="15" hidden="false" customHeight="false" outlineLevel="0" collapsed="false">
      <c r="A826" s="2" t="n">
        <v>811</v>
      </c>
      <c r="B826" s="2" t="n">
        <v>0.46845659</v>
      </c>
      <c r="C826" s="2"/>
      <c r="D826" s="2" t="n">
        <v>0.242537812</v>
      </c>
      <c r="E826" s="2" t="n">
        <f aca="false">IF(E$7=E$5,E$6,IF(NORMSDIST(E$9*SQRT($C$11)*NORMSINV($B826)+SQRT(1-E$9^2*$C$11)*NORMSINV(D826))&lt;E$8,E$5+SQRT(NORMSDIST(E$9*SQRT($C$11)*NORMSINV($B826)+SQRT(1-E$9^2*$C$11)*NORMSINV(D826))*(E$7-E$5)*(E$6-E$5)),E$7-SQRT((1-NORMSDIST(E$9*SQRT($C$11)*NORMSINV($B826)+SQRT(1-E$9^2*$C$11)*NORMSINV(D826)))*(E$7-E$5)*(E$7-E$6))))</f>
        <v>0.0537236365057997</v>
      </c>
      <c r="F826" s="2" t="n">
        <v>0.761779272</v>
      </c>
      <c r="G826" s="2" t="n">
        <f aca="false">IF(G$7=G$5,G$6,IF(NORMSDIST(G$9*SQRT($C$11)*NORMSINV($B826)+SQRT(1-G$9^2*$C$11)*NORMSINV(F826))&lt;G$8,G$5+SQRT(NORMSDIST(G$9*SQRT($C$11)*NORMSINV($B826)+SQRT(1-G$9^2*$C$11)*NORMSINV(F826))*(G$7-G$5)*(G$6-G$5)),G$7-SQRT((1-NORMSDIST(G$9*SQRT($C$11)*NORMSINV($B826)+SQRT(1-G$9^2*$C$11)*NORMSINV(F826)))*(G$7-G$5)*(G$7-G$6))))</f>
        <v>0.0582268516171643</v>
      </c>
      <c r="H826" s="2" t="n">
        <v>0.648492193</v>
      </c>
      <c r="I826" s="2" t="n">
        <f aca="false">IF(I$7=I$5,I$6,IF(NORMSDIST(I$9*SQRT($C$11)*NORMSINV($B826)+SQRT(1-I$9^2*$C$11)*NORMSINV(H826))&lt;I$8,I$5+SQRT(NORMSDIST(I$9*SQRT($C$11)*NORMSINV($B826)+SQRT(1-I$9^2*$C$11)*NORMSINV(H826))*(I$7-I$5)*(I$6-I$5)),I$7-SQRT((1-NORMSDIST(I$9*SQRT($C$11)*NORMSINV($B826)+SQRT(1-I$9^2*$C$11)*NORMSINV(H826)))*(I$7-I$5)*(I$7-I$6))))</f>
        <v>202.041642872012</v>
      </c>
      <c r="J826" s="2" t="n">
        <v>0.476722098</v>
      </c>
      <c r="K826" s="2" t="n">
        <f aca="false">IF(K$7=K$5,K$6,IF(NORMSDIST(K$9*SQRT($C$11)*NORMSINV($B826)+SQRT(1-K$9^2*$C$11)*NORMSINV(J826))&lt;K$8,K$5+SQRT(NORMSDIST(K$9*SQRT($C$11)*NORMSINV($B826)+SQRT(1-K$9^2*$C$11)*NORMSINV(J826))*(K$7-K$5)*(K$6-K$5)),K$7-SQRT((1-NORMSDIST(K$9*SQRT($C$11)*NORMSINV($B826)+SQRT(1-K$9^2*$C$11)*NORMSINV(J826)))*(K$7-K$5)*(K$7-K$6))))</f>
        <v>0.240324148816361</v>
      </c>
      <c r="L826" s="2" t="n">
        <v>0.201650051</v>
      </c>
      <c r="M826" s="2" t="n">
        <f aca="false">IF(M$7=M$5,M$6,IF(NORMSDIST(M$9*SQRT($C$11)*NORMSINV($B826)+SQRT(1-M$9^2*$C$11)*NORMSINV(L826))&lt;M$8,M$5+SQRT(NORMSDIST(M$9*SQRT($C$11)*NORMSINV($B826)+SQRT(1-M$9^2*$C$11)*NORMSINV(L826))*(M$7-M$5)*(M$6-M$5)),M$7-SQRT((1-NORMSDIST(M$9*SQRT($C$11)*NORMSINV($B826)+SQRT(1-M$9^2*$C$11)*NORMSINV(L826)))*(M$7-M$5)*(M$7-M$6))))</f>
        <v>1499.80460624655</v>
      </c>
      <c r="N826" s="2" t="n">
        <v>0.003549832</v>
      </c>
      <c r="O826" s="2" t="n">
        <f aca="false">IF(O$7=O$5,O$6,IF(NORMSDIST(O$9*SQRT($C$11)*NORMSINV($B826)+SQRT(1-O$9^2*$C$11)*NORMSINV(N826))&lt;O$8,O$5+SQRT(NORMSDIST(O$9*SQRT($C$11)*NORMSINV($B826)+SQRT(1-O$9^2*$C$11)*NORMSINV(N826))*(O$7-O$5)*(O$6-O$5)),O$7-SQRT((1-NORMSDIST(O$9*SQRT($C$11)*NORMSINV($B826)+SQRT(1-O$9^2*$C$11)*NORMSINV(N826)))*(O$7-O$5)*(O$7-O$6))))</f>
        <v>0.14484572104611</v>
      </c>
      <c r="P826" s="2" t="n">
        <v>0.301588927</v>
      </c>
      <c r="Q826" s="2" t="n">
        <f aca="false">IF(Q$7=Q$5,Q$6,IF(NORMSDIST(Q$9*SQRT($C$11)*NORMSINV($B826)+SQRT(1-Q$9^2*$C$11)*NORMSINV(P826))&lt;Q$8,Q$5+SQRT(NORMSDIST(Q$9*SQRT($C$11)*NORMSINV($B826)+SQRT(1-Q$9^2*$C$11)*NORMSINV(P826))*(Q$7-Q$5)*(Q$6-Q$5)),Q$7-SQRT((1-NORMSDIST(Q$9*SQRT($C$11)*NORMSINV($B826)+SQRT(1-Q$9^2*$C$11)*NORMSINV(P826)))*(Q$7-Q$5)*(Q$7-Q$6))))</f>
        <v>0.0710658102485675</v>
      </c>
      <c r="R826" s="2" t="n">
        <v>0.817979333</v>
      </c>
      <c r="S826" s="2" t="n">
        <f aca="false">IF(S$7=S$5,S$6,IF(NORMSDIST(S$9*SQRT($C$11)*NORMSINV($B826)+SQRT(1-S$9^2*$C$11)*NORMSINV(R826))&lt;S$8,S$5+SQRT(NORMSDIST(S$9*SQRT($C$11)*NORMSINV($B826)+SQRT(1-S$9^2*$C$11)*NORMSINV(R826))*(S$7-S$5)*(S$6-S$5)),S$7-SQRT((1-NORMSDIST(S$9*SQRT($C$11)*NORMSINV($B826)+SQRT(1-S$9^2*$C$11)*NORMSINV(R826)))*(S$7-S$5)*(S$7-S$6))))</f>
        <v>0.641624059478939</v>
      </c>
      <c r="T826" s="2" t="n">
        <v>0.693396198</v>
      </c>
      <c r="U826" s="2" t="n">
        <f aca="false">IF(U$7=U$5,U$6,IF(NORMSDIST(U$9*SQRT($C$11)*NORMSINV($B826)+SQRT(1-U$9^2*$C$11)*NORMSINV(T826))&lt;U$8,U$5+SQRT(NORMSDIST(U$9*SQRT($C$11)*NORMSINV($B826)+SQRT(1-U$9^2*$C$11)*NORMSINV(T826))*(U$7-U$5)*(U$6-U$5)),U$7-SQRT((1-NORMSDIST(U$9*SQRT($C$11)*NORMSINV($B826)+SQRT(1-U$9^2*$C$11)*NORMSINV(T826)))*(U$7-U$5)*(U$7-U$6))))</f>
        <v>0.572002515613336</v>
      </c>
      <c r="V826" s="2" t="n">
        <v>0.303707722</v>
      </c>
      <c r="W826" s="2" t="n">
        <f aca="false">IF(W$7=W$5,W$6,IF(NORMSDIST(W$9*SQRT($C$11)*NORMSINV($B826)+SQRT(1-W$9^2*$C$11)*NORMSINV(V826))&lt;W$8,W$5+SQRT(NORMSDIST(W$9*SQRT($C$11)*NORMSINV($B826)+SQRT(1-W$9^2*$C$11)*NORMSINV(V826))*(W$7-W$5)*(W$6-W$5)),W$7-SQRT((1-NORMSDIST(W$9*SQRT($C$11)*NORMSINV($B826)+SQRT(1-W$9^2*$C$11)*NORMSINV(V826)))*(W$7-W$5)*(W$7-W$6))))</f>
        <v>9.61757639945588</v>
      </c>
      <c r="X826" s="2" t="n">
        <v>0.530670947</v>
      </c>
      <c r="Y826" s="2" t="n">
        <f aca="false">IF(Y$7=Y$5,Y$6,IF(NORMSDIST(Y$9*SQRT($C$11)*NORMSINV($B826)+SQRT(1-Y$9^2*$C$11)*NORMSINV(X826))&lt;Y$8,Y$5+SQRT(NORMSDIST(Y$9*SQRT($C$11)*NORMSINV($B826)+SQRT(1-Y$9^2*$C$11)*NORMSINV(X826))*(Y$7-Y$5)*(Y$6-Y$5)),Y$7-SQRT((1-NORMSDIST(Y$9*SQRT($C$11)*NORMSINV($B826)+SQRT(1-Y$9^2*$C$11)*NORMSINV(X826)))*(Y$7-Y$5)*(Y$7-Y$6))))</f>
        <v>0.515578152330017</v>
      </c>
      <c r="Z826" s="2" t="n">
        <v>0.584766088</v>
      </c>
      <c r="AA826" s="2" t="n">
        <f aca="false">IF(AA$7=AA$5,AA$6,IF(NORMSDIST(AA$9*SQRT($C$11)*NORMSINV($B826)+SQRT(1-AA$9^2*$C$11)*NORMSINV(Z826))&lt;AA$8,AA$5+SQRT(NORMSDIST(AA$9*SQRT($C$11)*NORMSINV($B826)+SQRT(1-AA$9^2*$C$11)*NORMSINV(Z826))*(AA$7-AA$5)*(AA$6-AA$5)),AA$7-SQRT((1-NORMSDIST(AA$9*SQRT($C$11)*NORMSINV($B826)+SQRT(1-AA$9^2*$C$11)*NORMSINV(Z826)))*(AA$7-AA$5)*(AA$7-AA$6))))</f>
        <v>0.729526690259202</v>
      </c>
      <c r="AB826" s="2" t="n">
        <v>0.904678043</v>
      </c>
      <c r="AC826" s="2" t="n">
        <f aca="false">IF(AC$7=AC$5,AC$6,IF(NORMSDIST(AC$9*SQRT($C$11)*NORMSINV($B826)+SQRT(1-AC$9^2*$C$11)*NORMSINV(AB826))&lt;AC$8,AC$5+SQRT(NORMSDIST(AC$9*SQRT($C$11)*NORMSINV($B826)+SQRT(1-AC$9^2*$C$11)*NORMSINV(AB826))*(AC$7-AC$5)*(AC$6-AC$5)),AC$7-SQRT((1-NORMSDIST(AC$9*SQRT($C$11)*NORMSINV($B826)+SQRT(1-AC$9^2*$C$11)*NORMSINV(AB826)))*(AC$7-AC$5)*(AC$7-AC$6))))</f>
        <v>10.149064202204</v>
      </c>
      <c r="AD826" s="2" t="n">
        <f aca="false">Entrées!$C$8*(1+E826)</f>
        <v>7428.75163736589</v>
      </c>
      <c r="AE826" s="2" t="n">
        <f aca="false">I826*Hypothèses!$J$24/12/Hypothèses!$J$19</f>
        <v>100.232212369371</v>
      </c>
      <c r="AF826" s="2" t="n">
        <f aca="false">Entrées!$C$36*S826*1000</f>
        <v>320.81202973947</v>
      </c>
      <c r="AG826" s="2" t="n">
        <f aca="false">-AF826/W826</f>
        <v>-33.356847548164</v>
      </c>
      <c r="AH826" s="2" t="n">
        <f aca="false">AD826+AE826+AG826</f>
        <v>7495.6270021871</v>
      </c>
      <c r="AI826" s="2" t="n">
        <f aca="false">Entrées!$C$16-M826+Hypothèses!$J$22*1000-AF826+Hypothèses!$J$23</f>
        <v>22727.383364014</v>
      </c>
      <c r="AJ826" s="2" t="n">
        <f aca="false">AI826/AH826</f>
        <v>3.03208568908012</v>
      </c>
      <c r="AK826" s="2" t="n">
        <f aca="false">AI826/(AH826+I826*(12-Hypothèses!$J$24)/12/Hypothèses!$J$19)</f>
        <v>3.00339874357291</v>
      </c>
      <c r="AL826" s="2" t="n">
        <f aca="false">(AD826+AG826+I826/Hypothèses!$J$19)*(1+G826)</f>
        <v>8007.83691951124</v>
      </c>
      <c r="AM826" s="2" t="n">
        <f aca="false">Entrées!$C$54*K826/Hypothèses!$J$19</f>
        <v>24.5260884426038</v>
      </c>
      <c r="AN826" s="2" t="n">
        <f aca="false">Y826*1000/AC826</f>
        <v>50.8005607273677</v>
      </c>
      <c r="AO826" s="2" t="n">
        <f aca="false">(Entrées!$C$36*(1-S826)+MAX(0,Entrées!$C$30-Entrées!$C$35-Entrées!$C$36)*U826)*1000</f>
        <v>979.991492119201</v>
      </c>
      <c r="AP826" s="2" t="n">
        <f aca="false">-AO826/W826</f>
        <v>-101.895888466729</v>
      </c>
      <c r="AQ826" s="2" t="n">
        <f aca="false">AL826+AM826+AN826+AP826</f>
        <v>7981.26768021448</v>
      </c>
      <c r="AR826" s="2" t="n">
        <f aca="false">O826*AQ826-Hypothèses!$J$25/Hypothèses!$J$19</f>
        <v>1136.91730974105</v>
      </c>
      <c r="AS826" s="2" t="n">
        <f aca="false">Entrées!$C$79*(1+Q826)+Hypothèses!$J$20</f>
        <v>1472.10132546318</v>
      </c>
      <c r="AT826" s="2" t="n">
        <f aca="false">AI826-AR826+AS826+Y826*1000-AO826+Hypothèses!$J$23</f>
        <v>22598.1540399469</v>
      </c>
      <c r="AU826" s="2" t="n">
        <f aca="false">AT826/AQ826</f>
        <v>2.83139908914064</v>
      </c>
      <c r="AV826" s="2" t="n">
        <f aca="false">Hypothèses!$J$26*AQ826-AT826</f>
        <v>1345.64900069653</v>
      </c>
      <c r="AW826" s="2" t="n">
        <f aca="false">IF(AC826&gt;Hypothèses!$J$26,MAX(0,AV826)/(1-Hypothèses!$J$26/AC826),0)</f>
        <v>1910.33087903874</v>
      </c>
      <c r="AX826" s="2" t="n">
        <f aca="false">AQ826-Entrées!$C$17*1000</f>
        <v>-18.7323197855176</v>
      </c>
      <c r="AY826" s="2" t="n">
        <f aca="false">AI826+(Entrées!$C$244-Entrées!$C$13)</f>
        <v>28474.383364014</v>
      </c>
      <c r="AZ826" s="2" t="n">
        <f aca="false">AA826*AH826</f>
        <v>5468.25995832305</v>
      </c>
      <c r="BA826" s="2" t="n">
        <f aca="false">AZ826/AY826</f>
        <v>0.192041382895542</v>
      </c>
      <c r="BB826" s="2" t="n">
        <f aca="false">AZ826/(Entrées!$C$151/100)-AY826</f>
        <v>1904.83862666966</v>
      </c>
      <c r="BC826" s="2" t="n">
        <f aca="false">AT826+(Entrées!$C$244-Entrées!$C$13)</f>
        <v>28345.1540399469</v>
      </c>
      <c r="BD826" s="2" t="n">
        <f aca="false">AA826*AQ826</f>
        <v>5822.54779481961</v>
      </c>
      <c r="BE826" s="2" t="n">
        <f aca="false">BD826/BC826</f>
        <v>0.20541598703658</v>
      </c>
      <c r="BF826" s="2" t="n">
        <f aca="false">BD826/(Entrées!$C$151/100)-BC826</f>
        <v>4002.33370905091</v>
      </c>
      <c r="BG826" s="2" t="n">
        <f aca="false">MIN(AV826,BF826)</f>
        <v>1345.64900069653</v>
      </c>
      <c r="BH826" s="2" t="n">
        <f aca="false">IF(AC826&gt;Hypothèses!$J$26,MAX(0,BG826)/(1-Hypothèses!$J$26/AC826),0)</f>
        <v>1910.33087903874</v>
      </c>
    </row>
    <row r="827" customFormat="false" ht="15" hidden="false" customHeight="false" outlineLevel="0" collapsed="false">
      <c r="A827" s="2" t="n">
        <v>812</v>
      </c>
      <c r="B827" s="2" t="n">
        <v>0.633680784</v>
      </c>
      <c r="C827" s="2"/>
      <c r="D827" s="2" t="n">
        <v>0.53179472</v>
      </c>
      <c r="E827" s="2" t="n">
        <f aca="false">IF(E$7=E$5,E$6,IF(NORMSDIST(E$9*SQRT($C$11)*NORMSINV($B827)+SQRT(1-E$9^2*$C$11)*NORMSINV(D827))&lt;E$8,E$5+SQRT(NORMSDIST(E$9*SQRT($C$11)*NORMSINV($B827)+SQRT(1-E$9^2*$C$11)*NORMSINV(D827))*(E$7-E$5)*(E$6-E$5)),E$7-SQRT((1-NORMSDIST(E$9*SQRT($C$11)*NORMSINV($B827)+SQRT(1-E$9^2*$C$11)*NORMSINV(D827)))*(E$7-E$5)*(E$7-E$6))))</f>
        <v>0.0555809445278311</v>
      </c>
      <c r="F827" s="2" t="n">
        <v>0.169768535</v>
      </c>
      <c r="G827" s="2" t="n">
        <f aca="false">IF(G$7=G$5,G$6,IF(NORMSDIST(G$9*SQRT($C$11)*NORMSINV($B827)+SQRT(1-G$9^2*$C$11)*NORMSINV(F827))&lt;G$8,G$5+SQRT(NORMSDIST(G$9*SQRT($C$11)*NORMSINV($B827)+SQRT(1-G$9^2*$C$11)*NORMSINV(F827))*(G$7-G$5)*(G$6-G$5)),G$7-SQRT((1-NORMSDIST(G$9*SQRT($C$11)*NORMSINV($B827)+SQRT(1-G$9^2*$C$11)*NORMSINV(F827)))*(G$7-G$5)*(G$7-G$6))))</f>
        <v>0.0516233710071641</v>
      </c>
      <c r="H827" s="2" t="n">
        <v>0.469605365</v>
      </c>
      <c r="I827" s="2" t="n">
        <f aca="false">IF(I$7=I$5,I$6,IF(NORMSDIST(I$9*SQRT($C$11)*NORMSINV($B827)+SQRT(1-I$9^2*$C$11)*NORMSINV(H827))&lt;I$8,I$5+SQRT(NORMSDIST(I$9*SQRT($C$11)*NORMSINV($B827)+SQRT(1-I$9^2*$C$11)*NORMSINV(H827))*(I$7-I$5)*(I$6-I$5)),I$7-SQRT((1-NORMSDIST(I$9*SQRT($C$11)*NORMSINV($B827)+SQRT(1-I$9^2*$C$11)*NORMSINV(H827)))*(I$7-I$5)*(I$7-I$6))))</f>
        <v>201.2889772501</v>
      </c>
      <c r="J827" s="2" t="n">
        <v>0.98846664</v>
      </c>
      <c r="K827" s="2" t="n">
        <f aca="false">IF(K$7=K$5,K$6,IF(NORMSDIST(K$9*SQRT($C$11)*NORMSINV($B827)+SQRT(1-K$9^2*$C$11)*NORMSINV(J827))&lt;K$8,K$5+SQRT(NORMSDIST(K$9*SQRT($C$11)*NORMSINV($B827)+SQRT(1-K$9^2*$C$11)*NORMSINV(J827))*(K$7-K$5)*(K$6-K$5)),K$7-SQRT((1-NORMSDIST(K$9*SQRT($C$11)*NORMSINV($B827)+SQRT(1-K$9^2*$C$11)*NORMSINV(J827)))*(K$7-K$5)*(K$7-K$6))))</f>
        <v>0.445152132040037</v>
      </c>
      <c r="L827" s="2" t="n">
        <v>0.230046141</v>
      </c>
      <c r="M827" s="2" t="n">
        <f aca="false">IF(M$7=M$5,M$6,IF(NORMSDIST(M$9*SQRT($C$11)*NORMSINV($B827)+SQRT(1-M$9^2*$C$11)*NORMSINV(L827))&lt;M$8,M$5+SQRT(NORMSDIST(M$9*SQRT($C$11)*NORMSINV($B827)+SQRT(1-M$9^2*$C$11)*NORMSINV(L827))*(M$7-M$5)*(M$6-M$5)),M$7-SQRT((1-NORMSDIST(M$9*SQRT($C$11)*NORMSINV($B827)+SQRT(1-M$9^2*$C$11)*NORMSINV(L827)))*(M$7-M$5)*(M$7-M$6))))</f>
        <v>1542.90247201426</v>
      </c>
      <c r="N827" s="2" t="n">
        <v>0.526059156</v>
      </c>
      <c r="O827" s="2" t="n">
        <f aca="false">IF(O$7=O$5,O$6,IF(NORMSDIST(O$9*SQRT($C$11)*NORMSINV($B827)+SQRT(1-O$9^2*$C$11)*NORMSINV(N827))&lt;O$8,O$5+SQRT(NORMSDIST(O$9*SQRT($C$11)*NORMSINV($B827)+SQRT(1-O$9^2*$C$11)*NORMSINV(N827))*(O$7-O$5)*(O$6-O$5)),O$7-SQRT((1-NORMSDIST(O$9*SQRT($C$11)*NORMSINV($B827)+SQRT(1-O$9^2*$C$11)*NORMSINV(N827)))*(O$7-O$5)*(O$7-O$6))))</f>
        <v>0.169491692807683</v>
      </c>
      <c r="P827" s="2" t="n">
        <v>0.654248742</v>
      </c>
      <c r="Q827" s="2" t="n">
        <f aca="false">IF(Q$7=Q$5,Q$6,IF(NORMSDIST(Q$9*SQRT($C$11)*NORMSINV($B827)+SQRT(1-Q$9^2*$C$11)*NORMSINV(P827))&lt;Q$8,Q$5+SQRT(NORMSDIST(Q$9*SQRT($C$11)*NORMSINV($B827)+SQRT(1-Q$9^2*$C$11)*NORMSINV(P827))*(Q$7-Q$5)*(Q$6-Q$5)),Q$7-SQRT((1-NORMSDIST(Q$9*SQRT($C$11)*NORMSINV($B827)+SQRT(1-Q$9^2*$C$11)*NORMSINV(P827)))*(Q$7-Q$5)*(Q$7-Q$6))))</f>
        <v>0.0867373478868567</v>
      </c>
      <c r="R827" s="2" t="n">
        <v>0.090351292</v>
      </c>
      <c r="S827" s="2" t="n">
        <f aca="false">IF(S$7=S$5,S$6,IF(NORMSDIST(S$9*SQRT($C$11)*NORMSINV($B827)+SQRT(1-S$9^2*$C$11)*NORMSINV(R827))&lt;S$8,S$5+SQRT(NORMSDIST(S$9*SQRT($C$11)*NORMSINV($B827)+SQRT(1-S$9^2*$C$11)*NORMSINV(R827))*(S$7-S$5)*(S$6-S$5)),S$7-SQRT((1-NORMSDIST(S$9*SQRT($C$11)*NORMSINV($B827)+SQRT(1-S$9^2*$C$11)*NORMSINV(R827)))*(S$7-S$5)*(S$7-S$6))))</f>
        <v>0.320839832348191</v>
      </c>
      <c r="T827" s="2" t="n">
        <v>0.017909488</v>
      </c>
      <c r="U827" s="2" t="n">
        <f aca="false">IF(U$7=U$5,U$6,IF(NORMSDIST(U$9*SQRT($C$11)*NORMSINV($B827)+SQRT(1-U$9^2*$C$11)*NORMSINV(T827))&lt;U$8,U$5+SQRT(NORMSDIST(U$9*SQRT($C$11)*NORMSINV($B827)+SQRT(1-U$9^2*$C$11)*NORMSINV(T827))*(U$7-U$5)*(U$6-U$5)),U$7-SQRT((1-NORMSDIST(U$9*SQRT($C$11)*NORMSINV($B827)+SQRT(1-U$9^2*$C$11)*NORMSINV(T827)))*(U$7-U$5)*(U$7-U$6))))</f>
        <v>0.199121916982718</v>
      </c>
      <c r="V827" s="2" t="n">
        <v>0.46803085</v>
      </c>
      <c r="W827" s="2" t="n">
        <f aca="false">IF(W$7=W$5,W$6,IF(NORMSDIST(W$9*SQRT($C$11)*NORMSINV($B827)+SQRT(1-W$9^2*$C$11)*NORMSINV(V827))&lt;W$8,W$5+SQRT(NORMSDIST(W$9*SQRT($C$11)*NORMSINV($B827)+SQRT(1-W$9^2*$C$11)*NORMSINV(V827))*(W$7-W$5)*(W$6-W$5)),W$7-SQRT((1-NORMSDIST(W$9*SQRT($C$11)*NORMSINV($B827)+SQRT(1-W$9^2*$C$11)*NORMSINV(V827)))*(W$7-W$5)*(W$7-W$6))))</f>
        <v>10.126315659328</v>
      </c>
      <c r="X827" s="2" t="n">
        <v>0.362282216</v>
      </c>
      <c r="Y827" s="2" t="n">
        <f aca="false">IF(Y$7=Y$5,Y$6,IF(NORMSDIST(Y$9*SQRT($C$11)*NORMSINV($B827)+SQRT(1-Y$9^2*$C$11)*NORMSINV(X827))&lt;Y$8,Y$5+SQRT(NORMSDIST(Y$9*SQRT($C$11)*NORMSINV($B827)+SQRT(1-Y$9^2*$C$11)*NORMSINV(X827))*(Y$7-Y$5)*(Y$6-Y$5)),Y$7-SQRT((1-NORMSDIST(Y$9*SQRT($C$11)*NORMSINV($B827)+SQRT(1-Y$9^2*$C$11)*NORMSINV(X827)))*(Y$7-Y$5)*(Y$7-Y$6))))</f>
        <v>0.425606752765978</v>
      </c>
      <c r="Z827" s="2" t="n">
        <v>0.836381489</v>
      </c>
      <c r="AA827" s="2" t="n">
        <f aca="false">IF(AA$7=AA$5,AA$6,IF(NORMSDIST(AA$9*SQRT($C$11)*NORMSINV($B827)+SQRT(1-AA$9^2*$C$11)*NORMSINV(Z827))&lt;AA$8,AA$5+SQRT(NORMSDIST(AA$9*SQRT($C$11)*NORMSINV($B827)+SQRT(1-AA$9^2*$C$11)*NORMSINV(Z827))*(AA$7-AA$5)*(AA$6-AA$5)),AA$7-SQRT((1-NORMSDIST(AA$9*SQRT($C$11)*NORMSINV($B827)+SQRT(1-AA$9^2*$C$11)*NORMSINV(Z827)))*(AA$7-AA$5)*(AA$7-AA$6))))</f>
        <v>0.739316316205662</v>
      </c>
      <c r="AB827" s="2" t="n">
        <v>0.596196556</v>
      </c>
      <c r="AC827" s="2" t="n">
        <f aca="false">IF(AC$7=AC$5,AC$6,IF(NORMSDIST(AC$9*SQRT($C$11)*NORMSINV($B827)+SQRT(1-AC$9^2*$C$11)*NORMSINV(AB827))&lt;AC$8,AC$5+SQRT(NORMSDIST(AC$9*SQRT($C$11)*NORMSINV($B827)+SQRT(1-AC$9^2*$C$11)*NORMSINV(AB827))*(AC$7-AC$5)*(AC$6-AC$5)),AC$7-SQRT((1-NORMSDIST(AC$9*SQRT($C$11)*NORMSINV($B827)+SQRT(1-AC$9^2*$C$11)*NORMSINV(AB827)))*(AC$7-AC$5)*(AC$7-AC$6))))</f>
        <v>9.78279930226041</v>
      </c>
      <c r="AD827" s="2" t="n">
        <f aca="false">Entrées!$C$8*(1+E827)</f>
        <v>7441.84565892121</v>
      </c>
      <c r="AE827" s="2" t="n">
        <f aca="false">I827*Hypothèses!$J$24/12/Hypothèses!$J$19</f>
        <v>99.8588173633401</v>
      </c>
      <c r="AF827" s="2" t="n">
        <f aca="false">Entrées!$C$36*S827*1000</f>
        <v>160.419916174096</v>
      </c>
      <c r="AG827" s="2" t="n">
        <f aca="false">-AF827/W827</f>
        <v>-15.8418838174694</v>
      </c>
      <c r="AH827" s="2" t="n">
        <f aca="false">AD827+AE827+AG827</f>
        <v>7525.86259246708</v>
      </c>
      <c r="AI827" s="2" t="n">
        <f aca="false">Entrées!$C$16-M827+Hypothèses!$J$22*1000-AF827+Hypothèses!$J$23</f>
        <v>22844.6776118116</v>
      </c>
      <c r="AJ827" s="2" t="n">
        <f aca="false">AI827/AH827</f>
        <v>3.03548959752172</v>
      </c>
      <c r="AK827" s="2" t="n">
        <f aca="false">AI827/(AH827+I827*(12-Hypothèses!$J$24)/12/Hypothèses!$J$19)</f>
        <v>3.00699030195574</v>
      </c>
      <c r="AL827" s="2" t="n">
        <f aca="false">(AD827+AG827+I827/Hypothèses!$J$19)*(1+G827)</f>
        <v>7989.38289361296</v>
      </c>
      <c r="AM827" s="2" t="n">
        <f aca="false">Entrées!$C$54*K827/Hypothèses!$J$19</f>
        <v>45.4296441477059</v>
      </c>
      <c r="AN827" s="2" t="n">
        <f aca="false">Y827*1000/AC827</f>
        <v>43.505620386962</v>
      </c>
      <c r="AO827" s="2" t="n">
        <f aca="false">(Entrées!$C$36*(1-S827)+MAX(0,Entrées!$C$30-Entrées!$C$35-Entrées!$C$36)*U827)*1000</f>
        <v>618.350767601709</v>
      </c>
      <c r="AP827" s="2" t="n">
        <f aca="false">-AO827/W827</f>
        <v>-61.063746026138</v>
      </c>
      <c r="AQ827" s="2" t="n">
        <f aca="false">AL827+AM827+AN827+AP827</f>
        <v>8017.25441212149</v>
      </c>
      <c r="AR827" s="2" t="n">
        <f aca="false">O827*AQ827-Hypothèses!$J$25/Hypothèses!$J$19</f>
        <v>1339.72285971871</v>
      </c>
      <c r="AS827" s="2" t="n">
        <f aca="false">Entrées!$C$79*(1+Q827)+Hypothèses!$J$20</f>
        <v>1489.32434532766</v>
      </c>
      <c r="AT827" s="2" t="n">
        <f aca="false">AI827-AR827+AS827+Y827*1000-AO827+Hypothèses!$J$23</f>
        <v>22801.5350825849</v>
      </c>
      <c r="AU827" s="2" t="n">
        <f aca="false">AT827/AQ827</f>
        <v>2.84405781711388</v>
      </c>
      <c r="AV827" s="2" t="n">
        <f aca="false">Hypothèses!$J$26*AQ827-AT827</f>
        <v>1250.22815377962</v>
      </c>
      <c r="AW827" s="2" t="n">
        <f aca="false">IF(AC827&gt;Hypothèses!$J$26,MAX(0,AV827)/(1-Hypothèses!$J$26/AC827),0)</f>
        <v>1803.19814363159</v>
      </c>
      <c r="AX827" s="2" t="n">
        <f aca="false">AQ827-Entrées!$C$17*1000</f>
        <v>17.2544121214924</v>
      </c>
      <c r="AY827" s="2" t="n">
        <f aca="false">AI827+(Entrées!$C$244-Entrées!$C$13)</f>
        <v>28591.6776118116</v>
      </c>
      <c r="AZ827" s="2" t="n">
        <f aca="false">AA827*AH827</f>
        <v>5563.99300813276</v>
      </c>
      <c r="BA827" s="2" t="n">
        <f aca="false">AZ827/AY827</f>
        <v>0.194601837768141</v>
      </c>
      <c r="BB827" s="2" t="n">
        <f aca="false">AZ827/(Entrées!$C$151/100)-AY827</f>
        <v>2319.39465559255</v>
      </c>
      <c r="BC827" s="2" t="n">
        <f aca="false">AT827+(Entrées!$C$244-Entrées!$C$13)</f>
        <v>28548.5350825849</v>
      </c>
      <c r="BD827" s="2" t="n">
        <f aca="false">AA827*AQ827</f>
        <v>5927.28699805325</v>
      </c>
      <c r="BE827" s="2" t="n">
        <f aca="false">BD827/BC827</f>
        <v>0.207621406173972</v>
      </c>
      <c r="BF827" s="2" t="n">
        <f aca="false">BD827/(Entrées!$C$151/100)-BC827</f>
        <v>4380.83712882211</v>
      </c>
      <c r="BG827" s="2" t="n">
        <f aca="false">MIN(AV827,BF827)</f>
        <v>1250.22815377962</v>
      </c>
      <c r="BH827" s="2" t="n">
        <f aca="false">IF(AC827&gt;Hypothèses!$J$26,MAX(0,BG827)/(1-Hypothèses!$J$26/AC827),0)</f>
        <v>1803.19814363159</v>
      </c>
    </row>
    <row r="828" customFormat="false" ht="15" hidden="false" customHeight="false" outlineLevel="0" collapsed="false">
      <c r="A828" s="2" t="n">
        <v>813</v>
      </c>
      <c r="B828" s="2" t="n">
        <v>0.59498794</v>
      </c>
      <c r="C828" s="2"/>
      <c r="D828" s="2" t="n">
        <v>0.956115539</v>
      </c>
      <c r="E828" s="2" t="n">
        <f aca="false">IF(E$7=E$5,E$6,IF(NORMSDIST(E$9*SQRT($C$11)*NORMSINV($B828)+SQRT(1-E$9^2*$C$11)*NORMSINV(D828))&lt;E$8,E$5+SQRT(NORMSDIST(E$9*SQRT($C$11)*NORMSINV($B828)+SQRT(1-E$9^2*$C$11)*NORMSINV(D828))*(E$7-E$5)*(E$6-E$5)),E$7-SQRT((1-NORMSDIST(E$9*SQRT($C$11)*NORMSINV($B828)+SQRT(1-E$9^2*$C$11)*NORMSINV(D828)))*(E$7-E$5)*(E$7-E$6))))</f>
        <v>0.0581268488897342</v>
      </c>
      <c r="F828" s="2" t="n">
        <v>0.850852104</v>
      </c>
      <c r="G828" s="2" t="n">
        <f aca="false">IF(G$7=G$5,G$6,IF(NORMSDIST(G$9*SQRT($C$11)*NORMSINV($B828)+SQRT(1-G$9^2*$C$11)*NORMSINV(F828))&lt;G$8,G$5+SQRT(NORMSDIST(G$9*SQRT($C$11)*NORMSINV($B828)+SQRT(1-G$9^2*$C$11)*NORMSINV(F828))*(G$7-G$5)*(G$6-G$5)),G$7-SQRT((1-NORMSDIST(G$9*SQRT($C$11)*NORMSINV($B828)+SQRT(1-G$9^2*$C$11)*NORMSINV(F828)))*(G$7-G$5)*(G$7-G$6))))</f>
        <v>0.0612765295047648</v>
      </c>
      <c r="H828" s="2" t="n">
        <v>0.023907236</v>
      </c>
      <c r="I828" s="2" t="n">
        <f aca="false">IF(I$7=I$5,I$6,IF(NORMSDIST(I$9*SQRT($C$11)*NORMSINV($B828)+SQRT(1-I$9^2*$C$11)*NORMSINV(H828))&lt;I$8,I$5+SQRT(NORMSDIST(I$9*SQRT($C$11)*NORMSINV($B828)+SQRT(1-I$9^2*$C$11)*NORMSINV(H828))*(I$7-I$5)*(I$6-I$5)),I$7-SQRT((1-NORMSDIST(I$9*SQRT($C$11)*NORMSINV($B828)+SQRT(1-I$9^2*$C$11)*NORMSINV(H828)))*(I$7-I$5)*(I$7-I$6))))</f>
        <v>188.180714928735</v>
      </c>
      <c r="J828" s="2" t="n">
        <v>0.867203318</v>
      </c>
      <c r="K828" s="2" t="n">
        <f aca="false">IF(K$7=K$5,K$6,IF(NORMSDIST(K$9*SQRT($C$11)*NORMSINV($B828)+SQRT(1-K$9^2*$C$11)*NORMSINV(J828))&lt;K$8,K$5+SQRT(NORMSDIST(K$9*SQRT($C$11)*NORMSINV($B828)+SQRT(1-K$9^2*$C$11)*NORMSINV(J828))*(K$7-K$5)*(K$6-K$5)),K$7-SQRT((1-NORMSDIST(K$9*SQRT($C$11)*NORMSINV($B828)+SQRT(1-K$9^2*$C$11)*NORMSINV(J828)))*(K$7-K$5)*(K$7-K$6))))</f>
        <v>0.36071501240783</v>
      </c>
      <c r="L828" s="2" t="n">
        <v>0.549501675</v>
      </c>
      <c r="M828" s="2" t="n">
        <f aca="false">IF(M$7=M$5,M$6,IF(NORMSDIST(M$9*SQRT($C$11)*NORMSINV($B828)+SQRT(1-M$9^2*$C$11)*NORMSINV(L828))&lt;M$8,M$5+SQRT(NORMSDIST(M$9*SQRT($C$11)*NORMSINV($B828)+SQRT(1-M$9^2*$C$11)*NORMSINV(L828))*(M$7-M$5)*(M$6-M$5)),M$7-SQRT((1-NORMSDIST(M$9*SQRT($C$11)*NORMSINV($B828)+SQRT(1-M$9^2*$C$11)*NORMSINV(L828)))*(M$7-M$5)*(M$7-M$6))))</f>
        <v>1611.78811598101</v>
      </c>
      <c r="N828" s="2" t="n">
        <v>0.398807358</v>
      </c>
      <c r="O828" s="2" t="n">
        <f aca="false">IF(O$7=O$5,O$6,IF(NORMSDIST(O$9*SQRT($C$11)*NORMSINV($B828)+SQRT(1-O$9^2*$C$11)*NORMSINV(N828))&lt;O$8,O$5+SQRT(NORMSDIST(O$9*SQRT($C$11)*NORMSINV($B828)+SQRT(1-O$9^2*$C$11)*NORMSINV(N828))*(O$7-O$5)*(O$6-O$5)),O$7-SQRT((1-NORMSDIST(O$9*SQRT($C$11)*NORMSINV($B828)+SQRT(1-O$9^2*$C$11)*NORMSINV(N828)))*(O$7-O$5)*(O$7-O$6))))</f>
        <v>0.166282074038376</v>
      </c>
      <c r="P828" s="2" t="n">
        <v>0.838707335</v>
      </c>
      <c r="Q828" s="2" t="n">
        <f aca="false">IF(Q$7=Q$5,Q$6,IF(NORMSDIST(Q$9*SQRT($C$11)*NORMSINV($B828)+SQRT(1-Q$9^2*$C$11)*NORMSINV(P828))&lt;Q$8,Q$5+SQRT(NORMSDIST(Q$9*SQRT($C$11)*NORMSINV($B828)+SQRT(1-Q$9^2*$C$11)*NORMSINV(P828))*(Q$7-Q$5)*(Q$6-Q$5)),Q$7-SQRT((1-NORMSDIST(Q$9*SQRT($C$11)*NORMSINV($B828)+SQRT(1-Q$9^2*$C$11)*NORMSINV(P828)))*(Q$7-Q$5)*(Q$7-Q$6))))</f>
        <v>0.097281361660522</v>
      </c>
      <c r="R828" s="2" t="n">
        <v>0.852627221</v>
      </c>
      <c r="S828" s="2" t="n">
        <f aca="false">IF(S$7=S$5,S$6,IF(NORMSDIST(S$9*SQRT($C$11)*NORMSINV($B828)+SQRT(1-S$9^2*$C$11)*NORMSINV(R828))&lt;S$8,S$5+SQRT(NORMSDIST(S$9*SQRT($C$11)*NORMSINV($B828)+SQRT(1-S$9^2*$C$11)*NORMSINV(R828))*(S$7-S$5)*(S$6-S$5)),S$7-SQRT((1-NORMSDIST(S$9*SQRT($C$11)*NORMSINV($B828)+SQRT(1-S$9^2*$C$11)*NORMSINV(R828)))*(S$7-S$5)*(S$7-S$6))))</f>
        <v>0.710505551395855</v>
      </c>
      <c r="T828" s="2" t="n">
        <v>0.682111059</v>
      </c>
      <c r="U828" s="2" t="n">
        <f aca="false">IF(U$7=U$5,U$6,IF(NORMSDIST(U$9*SQRT($C$11)*NORMSINV($B828)+SQRT(1-U$9^2*$C$11)*NORMSINV(T828))&lt;U$8,U$5+SQRT(NORMSDIST(U$9*SQRT($C$11)*NORMSINV($B828)+SQRT(1-U$9^2*$C$11)*NORMSINV(T828))*(U$7-U$5)*(U$6-U$5)),U$7-SQRT((1-NORMSDIST(U$9*SQRT($C$11)*NORMSINV($B828)+SQRT(1-U$9^2*$C$11)*NORMSINV(T828)))*(U$7-U$5)*(U$7-U$6))))</f>
        <v>0.611466452792029</v>
      </c>
      <c r="V828" s="2" t="n">
        <v>0.917994931</v>
      </c>
      <c r="W828" s="2" t="n">
        <f aca="false">IF(W$7=W$5,W$6,IF(NORMSDIST(W$9*SQRT($C$11)*NORMSINV($B828)+SQRT(1-W$9^2*$C$11)*NORMSINV(V828))&lt;W$8,W$5+SQRT(NORMSDIST(W$9*SQRT($C$11)*NORMSINV($B828)+SQRT(1-W$9^2*$C$11)*NORMSINV(V828))*(W$7-W$5)*(W$6-W$5)),W$7-SQRT((1-NORMSDIST(W$9*SQRT($C$11)*NORMSINV($B828)+SQRT(1-W$9^2*$C$11)*NORMSINV(V828)))*(W$7-W$5)*(W$7-W$6))))</f>
        <v>11.0647414077862</v>
      </c>
      <c r="X828" s="2" t="n">
        <v>0.533290581</v>
      </c>
      <c r="Y828" s="2" t="n">
        <f aca="false">IF(Y$7=Y$5,Y$6,IF(NORMSDIST(Y$9*SQRT($C$11)*NORMSINV($B828)+SQRT(1-Y$9^2*$C$11)*NORMSINV(X828))&lt;Y$8,Y$5+SQRT(NORMSDIST(Y$9*SQRT($C$11)*NORMSINV($B828)+SQRT(1-Y$9^2*$C$11)*NORMSINV(X828))*(Y$7-Y$5)*(Y$6-Y$5)),Y$7-SQRT((1-NORMSDIST(Y$9*SQRT($C$11)*NORMSINV($B828)+SQRT(1-Y$9^2*$C$11)*NORMSINV(X828)))*(Y$7-Y$5)*(Y$7-Y$6))))</f>
        <v>0.51693198253248</v>
      </c>
      <c r="Z828" s="2" t="n">
        <v>0.16573816</v>
      </c>
      <c r="AA828" s="2" t="n">
        <f aca="false">IF(AA$7=AA$5,AA$6,IF(NORMSDIST(AA$9*SQRT($C$11)*NORMSINV($B828)+SQRT(1-AA$9^2*$C$11)*NORMSINV(Z828))&lt;AA$8,AA$5+SQRT(NORMSDIST(AA$9*SQRT($C$11)*NORMSINV($B828)+SQRT(1-AA$9^2*$C$11)*NORMSINV(Z828))*(AA$7-AA$5)*(AA$6-AA$5)),AA$7-SQRT((1-NORMSDIST(AA$9*SQRT($C$11)*NORMSINV($B828)+SQRT(1-AA$9^2*$C$11)*NORMSINV(Z828)))*(AA$7-AA$5)*(AA$7-AA$6))))</f>
        <v>0.719557995903179</v>
      </c>
      <c r="AB828" s="2" t="n">
        <v>0.319974383</v>
      </c>
      <c r="AC828" s="2" t="n">
        <f aca="false">IF(AC$7=AC$5,AC$6,IF(NORMSDIST(AC$9*SQRT($C$11)*NORMSINV($B828)+SQRT(1-AC$9^2*$C$11)*NORMSINV(AB828))&lt;AC$8,AC$5+SQRT(NORMSDIST(AC$9*SQRT($C$11)*NORMSINV($B828)+SQRT(1-AC$9^2*$C$11)*NORMSINV(AB828))*(AC$7-AC$5)*(AC$6-AC$5)),AC$7-SQRT((1-NORMSDIST(AC$9*SQRT($C$11)*NORMSINV($B828)+SQRT(1-AC$9^2*$C$11)*NORMSINV(AB828)))*(AC$7-AC$5)*(AC$7-AC$6))))</f>
        <v>9.29748570505563</v>
      </c>
      <c r="AD828" s="2" t="n">
        <f aca="false">Entrées!$C$8*(1+E828)</f>
        <v>7459.79428467263</v>
      </c>
      <c r="AE828" s="2" t="n">
        <f aca="false">I828*Hypothèses!$J$24/12/Hypothèses!$J$19</f>
        <v>93.3558503803364</v>
      </c>
      <c r="AF828" s="2" t="n">
        <f aca="false">Entrées!$C$36*S828*1000</f>
        <v>355.252775697928</v>
      </c>
      <c r="AG828" s="2" t="n">
        <f aca="false">-AF828/W828</f>
        <v>-32.1067400136381</v>
      </c>
      <c r="AH828" s="2" t="n">
        <f aca="false">AD828+AE828+AG828</f>
        <v>7521.04339503932</v>
      </c>
      <c r="AI828" s="2" t="n">
        <f aca="false">Entrées!$C$16-M828+Hypothèses!$J$22*1000-AF828+Hypothèses!$J$23</f>
        <v>22580.9591083211</v>
      </c>
      <c r="AJ828" s="2" t="n">
        <f aca="false">AI828/AH828</f>
        <v>3.00237053853656</v>
      </c>
      <c r="AK828" s="2" t="n">
        <f aca="false">AI828/(AH828+I828*(12-Hypothèses!$J$24)/12/Hypothèses!$J$19)</f>
        <v>2.97598498889888</v>
      </c>
      <c r="AL828" s="2" t="n">
        <f aca="false">(AD828+AG828+I828/Hypothèses!$J$19)*(1+G828)</f>
        <v>8052.67567032822</v>
      </c>
      <c r="AM828" s="2" t="n">
        <f aca="false">Entrées!$C$54*K828/Hypothèses!$J$19</f>
        <v>36.812481560684</v>
      </c>
      <c r="AN828" s="2" t="n">
        <f aca="false">Y828*1000/AC828</f>
        <v>55.5991156029841</v>
      </c>
      <c r="AO828" s="2" t="n">
        <f aca="false">(Entrées!$C$36*(1-S828)+MAX(0,Entrées!$C$30-Entrées!$C$35-Entrées!$C$36)*U828)*1000</f>
        <v>1000.80025821091</v>
      </c>
      <c r="AP828" s="2" t="n">
        <f aca="false">-AO828/W828</f>
        <v>-90.4494936959533</v>
      </c>
      <c r="AQ828" s="2" t="n">
        <f aca="false">AL828+AM828+AN828+AP828</f>
        <v>8054.63777379593</v>
      </c>
      <c r="AR828" s="2" t="n">
        <f aca="false">O828*AQ828-Hypothèses!$J$25/Hypothèses!$J$19</f>
        <v>1320.20671239301</v>
      </c>
      <c r="AS828" s="2" t="n">
        <f aca="false">Entrées!$C$79*(1+Q828)+Hypothèses!$J$20</f>
        <v>1500.91221646491</v>
      </c>
      <c r="AT828" s="2" t="n">
        <f aca="false">AI828-AR828+AS828+Y828*1000-AO828+Hypothèses!$J$23</f>
        <v>22277.7963367145</v>
      </c>
      <c r="AU828" s="2" t="n">
        <f aca="false">AT828/AQ828</f>
        <v>2.76583466101861</v>
      </c>
      <c r="AV828" s="2" t="n">
        <f aca="false">Hypothèses!$J$26*AQ828-AT828</f>
        <v>1886.11698467326</v>
      </c>
      <c r="AW828" s="2" t="n">
        <f aca="false">IF(AC828&gt;Hypothèses!$J$26,MAX(0,AV828)/(1-Hypothèses!$J$26/AC828),0)</f>
        <v>2784.62651991163</v>
      </c>
      <c r="AX828" s="2" t="n">
        <f aca="false">AQ828-Entrées!$C$17*1000</f>
        <v>54.6377737959319</v>
      </c>
      <c r="AY828" s="2" t="n">
        <f aca="false">AI828+(Entrées!$C$244-Entrées!$C$13)</f>
        <v>28327.9591083211</v>
      </c>
      <c r="AZ828" s="2" t="n">
        <f aca="false">AA828*AH828</f>
        <v>5411.82691243534</v>
      </c>
      <c r="BA828" s="2" t="n">
        <f aca="false">AZ828/AY828</f>
        <v>0.191041892278278</v>
      </c>
      <c r="BB828" s="2" t="n">
        <f aca="false">AZ828/(Entrées!$C$151/100)-AY828</f>
        <v>1737.74596076416</v>
      </c>
      <c r="BC828" s="2" t="n">
        <f aca="false">AT828+(Entrées!$C$244-Entrées!$C$13)</f>
        <v>28024.7963367145</v>
      </c>
      <c r="BD828" s="2" t="n">
        <f aca="false">AA828*AQ828</f>
        <v>5795.77901423865</v>
      </c>
      <c r="BE828" s="2" t="n">
        <f aca="false">BD828/BC828</f>
        <v>0.20680896105731</v>
      </c>
      <c r="BF828" s="2" t="n">
        <f aca="false">BD828/(Entrées!$C$151/100)-BC828</f>
        <v>4173.97596461128</v>
      </c>
      <c r="BG828" s="2" t="n">
        <f aca="false">MIN(AV828,BF828)</f>
        <v>1886.11698467326</v>
      </c>
      <c r="BH828" s="2" t="n">
        <f aca="false">IF(AC828&gt;Hypothèses!$J$26,MAX(0,BG828)/(1-Hypothèses!$J$26/AC828),0)</f>
        <v>2784.62651991163</v>
      </c>
    </row>
    <row r="829" customFormat="false" ht="15" hidden="false" customHeight="false" outlineLevel="0" collapsed="false">
      <c r="A829" s="2" t="n">
        <v>814</v>
      </c>
      <c r="B829" s="2" t="n">
        <v>0.742356458</v>
      </c>
      <c r="C829" s="2"/>
      <c r="D829" s="2" t="n">
        <v>0.47701039</v>
      </c>
      <c r="E829" s="2" t="n">
        <f aca="false">IF(E$7=E$5,E$6,IF(NORMSDIST(E$9*SQRT($C$11)*NORMSINV($B829)+SQRT(1-E$9^2*$C$11)*NORMSINV(D829))&lt;E$8,E$5+SQRT(NORMSDIST(E$9*SQRT($C$11)*NORMSINV($B829)+SQRT(1-E$9^2*$C$11)*NORMSINV(D829))*(E$7-E$5)*(E$6-E$5)),E$7-SQRT((1-NORMSDIST(E$9*SQRT($C$11)*NORMSINV($B829)+SQRT(1-E$9^2*$C$11)*NORMSINV(D829)))*(E$7-E$5)*(E$7-E$6))))</f>
        <v>0.0557758280129288</v>
      </c>
      <c r="F829" s="2" t="n">
        <v>0.442603193</v>
      </c>
      <c r="G829" s="2" t="n">
        <f aca="false">IF(G$7=G$5,G$6,IF(NORMSDIST(G$9*SQRT($C$11)*NORMSINV($B829)+SQRT(1-G$9^2*$C$11)*NORMSINV(F829))&lt;G$8,G$5+SQRT(NORMSDIST(G$9*SQRT($C$11)*NORMSINV($B829)+SQRT(1-G$9^2*$C$11)*NORMSINV(F829))*(G$7-G$5)*(G$6-G$5)),G$7-SQRT((1-NORMSDIST(G$9*SQRT($C$11)*NORMSINV($B829)+SQRT(1-G$9^2*$C$11)*NORMSINV(F829)))*(G$7-G$5)*(G$7-G$6))))</f>
        <v>0.0568852070247878</v>
      </c>
      <c r="H829" s="2" t="n">
        <v>0.378553796</v>
      </c>
      <c r="I829" s="2" t="n">
        <f aca="false">IF(I$7=I$5,I$6,IF(NORMSDIST(I$9*SQRT($C$11)*NORMSINV($B829)+SQRT(1-I$9^2*$C$11)*NORMSINV(H829))&lt;I$8,I$5+SQRT(NORMSDIST(I$9*SQRT($C$11)*NORMSINV($B829)+SQRT(1-I$9^2*$C$11)*NORMSINV(H829))*(I$7-I$5)*(I$6-I$5)),I$7-SQRT((1-NORMSDIST(I$9*SQRT($C$11)*NORMSINV($B829)+SQRT(1-I$9^2*$C$11)*NORMSINV(H829)))*(I$7-I$5)*(I$7-I$6))))</f>
        <v>201.415094456437</v>
      </c>
      <c r="J829" s="2" t="n">
        <v>0.231688368</v>
      </c>
      <c r="K829" s="2" t="n">
        <f aca="false">IF(K$7=K$5,K$6,IF(NORMSDIST(K$9*SQRT($C$11)*NORMSINV($B829)+SQRT(1-K$9^2*$C$11)*NORMSINV(J829))&lt;K$8,K$5+SQRT(NORMSDIST(K$9*SQRT($C$11)*NORMSINV($B829)+SQRT(1-K$9^2*$C$11)*NORMSINV(J829))*(K$7-K$5)*(K$6-K$5)),K$7-SQRT((1-NORMSDIST(K$9*SQRT($C$11)*NORMSINV($B829)+SQRT(1-K$9^2*$C$11)*NORMSINV(J829)))*(K$7-K$5)*(K$7-K$6))))</f>
        <v>0.233937130729713</v>
      </c>
      <c r="L829" s="2" t="n">
        <v>0.840868822</v>
      </c>
      <c r="M829" s="2" t="n">
        <f aca="false">IF(M$7=M$5,M$6,IF(NORMSDIST(M$9*SQRT($C$11)*NORMSINV($B829)+SQRT(1-M$9^2*$C$11)*NORMSINV(L829))&lt;M$8,M$5+SQRT(NORMSDIST(M$9*SQRT($C$11)*NORMSINV($B829)+SQRT(1-M$9^2*$C$11)*NORMSINV(L829))*(M$7-M$5)*(M$6-M$5)),M$7-SQRT((1-NORMSDIST(M$9*SQRT($C$11)*NORMSINV($B829)+SQRT(1-M$9^2*$C$11)*NORMSINV(L829)))*(M$7-M$5)*(M$7-M$6))))</f>
        <v>1694.939223426</v>
      </c>
      <c r="N829" s="2" t="n">
        <v>0.74619342</v>
      </c>
      <c r="O829" s="2" t="n">
        <f aca="false">IF(O$7=O$5,O$6,IF(NORMSDIST(O$9*SQRT($C$11)*NORMSINV($B829)+SQRT(1-O$9^2*$C$11)*NORMSINV(N829))&lt;O$8,O$5+SQRT(NORMSDIST(O$9*SQRT($C$11)*NORMSINV($B829)+SQRT(1-O$9^2*$C$11)*NORMSINV(N829))*(O$7-O$5)*(O$6-O$5)),O$7-SQRT((1-NORMSDIST(O$9*SQRT($C$11)*NORMSINV($B829)+SQRT(1-O$9^2*$C$11)*NORMSINV(N829)))*(O$7-O$5)*(O$7-O$6))))</f>
        <v>0.176247461326105</v>
      </c>
      <c r="P829" s="2" t="n">
        <v>0.157109066</v>
      </c>
      <c r="Q829" s="2" t="n">
        <f aca="false">IF(Q$7=Q$5,Q$6,IF(NORMSDIST(Q$9*SQRT($C$11)*NORMSINV($B829)+SQRT(1-Q$9^2*$C$11)*NORMSINV(P829))&lt;Q$8,Q$5+SQRT(NORMSDIST(Q$9*SQRT($C$11)*NORMSINV($B829)+SQRT(1-Q$9^2*$C$11)*NORMSINV(P829))*(Q$7-Q$5)*(Q$6-Q$5)),Q$7-SQRT((1-NORMSDIST(Q$9*SQRT($C$11)*NORMSINV($B829)+SQRT(1-Q$9^2*$C$11)*NORMSINV(P829)))*(Q$7-Q$5)*(Q$7-Q$6))))</f>
        <v>0.0624220652750812</v>
      </c>
      <c r="R829" s="2" t="n">
        <v>0.531322406</v>
      </c>
      <c r="S829" s="2" t="n">
        <f aca="false">IF(S$7=S$5,S$6,IF(NORMSDIST(S$9*SQRT($C$11)*NORMSINV($B829)+SQRT(1-S$9^2*$C$11)*NORMSINV(R829))&lt;S$8,S$5+SQRT(NORMSDIST(S$9*SQRT($C$11)*NORMSINV($B829)+SQRT(1-S$9^2*$C$11)*NORMSINV(R829))*(S$7-S$5)*(S$6-S$5)),S$7-SQRT((1-NORMSDIST(S$9*SQRT($C$11)*NORMSINV($B829)+SQRT(1-S$9^2*$C$11)*NORMSINV(R829)))*(S$7-S$5)*(S$7-S$6))))</f>
        <v>0.601044682477014</v>
      </c>
      <c r="T829" s="2" t="n">
        <v>0.027392216</v>
      </c>
      <c r="U829" s="2" t="n">
        <f aca="false">IF(U$7=U$5,U$6,IF(NORMSDIST(U$9*SQRT($C$11)*NORMSINV($B829)+SQRT(1-U$9^2*$C$11)*NORMSINV(T829))&lt;U$8,U$5+SQRT(NORMSDIST(U$9*SQRT($C$11)*NORMSINV($B829)+SQRT(1-U$9^2*$C$11)*NORMSINV(T829))*(U$7-U$5)*(U$6-U$5)),U$7-SQRT((1-NORMSDIST(U$9*SQRT($C$11)*NORMSINV($B829)+SQRT(1-U$9^2*$C$11)*NORMSINV(T829)))*(U$7-U$5)*(U$7-U$6))))</f>
        <v>0.265445466970723</v>
      </c>
      <c r="V829" s="2" t="n">
        <v>0.02479336</v>
      </c>
      <c r="W829" s="2" t="n">
        <f aca="false">IF(W$7=W$5,W$6,IF(NORMSDIST(W$9*SQRT($C$11)*NORMSINV($B829)+SQRT(1-W$9^2*$C$11)*NORMSINV(V829))&lt;W$8,W$5+SQRT(NORMSDIST(W$9*SQRT($C$11)*NORMSINV($B829)+SQRT(1-W$9^2*$C$11)*NORMSINV(V829))*(W$7-W$5)*(W$6-W$5)),W$7-SQRT((1-NORMSDIST(W$9*SQRT($C$11)*NORMSINV($B829)+SQRT(1-W$9^2*$C$11)*NORMSINV(V829)))*(W$7-W$5)*(W$7-W$6))))</f>
        <v>9.03390856856728</v>
      </c>
      <c r="X829" s="2" t="n">
        <v>0.46996763</v>
      </c>
      <c r="Y829" s="2" t="n">
        <f aca="false">IF(Y$7=Y$5,Y$6,IF(NORMSDIST(Y$9*SQRT($C$11)*NORMSINV($B829)+SQRT(1-Y$9^2*$C$11)*NORMSINV(X829))&lt;Y$8,Y$5+SQRT(NORMSDIST(Y$9*SQRT($C$11)*NORMSINV($B829)+SQRT(1-Y$9^2*$C$11)*NORMSINV(X829))*(Y$7-Y$5)*(Y$6-Y$5)),Y$7-SQRT((1-NORMSDIST(Y$9*SQRT($C$11)*NORMSINV($B829)+SQRT(1-Y$9^2*$C$11)*NORMSINV(X829)))*(Y$7-Y$5)*(Y$7-Y$6))))</f>
        <v>0.484751291901321</v>
      </c>
      <c r="Z829" s="2" t="n">
        <v>0.645168907</v>
      </c>
      <c r="AA829" s="2" t="n">
        <f aca="false">IF(AA$7=AA$5,AA$6,IF(NORMSDIST(AA$9*SQRT($C$11)*NORMSINV($B829)+SQRT(1-AA$9^2*$C$11)*NORMSINV(Z829))&lt;AA$8,AA$5+SQRT(NORMSDIST(AA$9*SQRT($C$11)*NORMSINV($B829)+SQRT(1-AA$9^2*$C$11)*NORMSINV(Z829))*(AA$7-AA$5)*(AA$6-AA$5)),AA$7-SQRT((1-NORMSDIST(AA$9*SQRT($C$11)*NORMSINV($B829)+SQRT(1-AA$9^2*$C$11)*NORMSINV(Z829)))*(AA$7-AA$5)*(AA$7-AA$6))))</f>
        <v>0.73623333426127</v>
      </c>
      <c r="AB829" s="2" t="n">
        <v>0.489364512</v>
      </c>
      <c r="AC829" s="2" t="n">
        <f aca="false">IF(AC$7=AC$5,AC$6,IF(NORMSDIST(AC$9*SQRT($C$11)*NORMSINV($B829)+SQRT(1-AC$9^2*$C$11)*NORMSINV(AB829))&lt;AC$8,AC$5+SQRT(NORMSDIST(AC$9*SQRT($C$11)*NORMSINV($B829)+SQRT(1-AC$9^2*$C$11)*NORMSINV(AB829))*(AC$7-AC$5)*(AC$6-AC$5)),AC$7-SQRT((1-NORMSDIST(AC$9*SQRT($C$11)*NORMSINV($B829)+SQRT(1-AC$9^2*$C$11)*NORMSINV(AB829)))*(AC$7-AC$5)*(AC$7-AC$6))))</f>
        <v>9.77353025457762</v>
      </c>
      <c r="AD829" s="2" t="n">
        <f aca="false">Entrées!$C$8*(1+E829)</f>
        <v>7443.21958749115</v>
      </c>
      <c r="AE829" s="2" t="n">
        <f aca="false">I829*Hypothèses!$J$24/12/Hypothèses!$J$19</f>
        <v>99.92138370575</v>
      </c>
      <c r="AF829" s="2" t="n">
        <f aca="false">Entrées!$C$36*S829*1000</f>
        <v>300.522341238507</v>
      </c>
      <c r="AG829" s="2" t="n">
        <f aca="false">-AF829/W829</f>
        <v>-33.2660375027647</v>
      </c>
      <c r="AH829" s="2" t="n">
        <f aca="false">AD829+AE829+AG829</f>
        <v>7509.87493369413</v>
      </c>
      <c r="AI829" s="2" t="n">
        <f aca="false">Entrées!$C$16-M829+Hypothèses!$J$22*1000-AF829+Hypothèses!$J$23</f>
        <v>22552.5384353355</v>
      </c>
      <c r="AJ829" s="2" t="n">
        <f aca="false">AI829/AH829</f>
        <v>3.00305113393437</v>
      </c>
      <c r="AK829" s="2" t="n">
        <f aca="false">AI829/(AH829+I829*(12-Hypothèses!$J$24)/12/Hypothèses!$J$19)</f>
        <v>2.97477939873191</v>
      </c>
      <c r="AL829" s="2" t="n">
        <f aca="false">(AD829+AG829+I829/Hypothèses!$J$19)*(1+G829)</f>
        <v>8012.50817567334</v>
      </c>
      <c r="AM829" s="2" t="n">
        <f aca="false">Entrées!$C$54*K829/Hypothèses!$J$19</f>
        <v>23.8742664295054</v>
      </c>
      <c r="AN829" s="2" t="n">
        <f aca="false">Y829*1000/AC829</f>
        <v>49.5983824958519</v>
      </c>
      <c r="AO829" s="2" t="n">
        <f aca="false">(Entrées!$C$36*(1-S829)+MAX(0,Entrées!$C$30-Entrées!$C$35-Entrées!$C$36)*U829)*1000</f>
        <v>571.101312520505</v>
      </c>
      <c r="AP829" s="2" t="n">
        <f aca="false">-AO829/W829</f>
        <v>-63.2175218717182</v>
      </c>
      <c r="AQ829" s="2" t="n">
        <f aca="false">AL829+AM829+AN829+AP829</f>
        <v>8022.76330272698</v>
      </c>
      <c r="AR829" s="2" t="n">
        <f aca="false">O829*AQ829-Hypothèses!$J$25/Hypothèses!$J$19</f>
        <v>1394.85650266424</v>
      </c>
      <c r="AS829" s="2" t="n">
        <f aca="false">Entrées!$C$79*(1+Q829)+Hypothèses!$J$20</f>
        <v>1462.60184973731</v>
      </c>
      <c r="AT829" s="2" t="n">
        <f aca="false">AI829-AR829+AS829+Y829*1000-AO829+Hypothèses!$J$23</f>
        <v>22533.9337617894</v>
      </c>
      <c r="AU829" s="2" t="n">
        <f aca="false">AT829/AQ829</f>
        <v>2.80874966785197</v>
      </c>
      <c r="AV829" s="2" t="n">
        <f aca="false">Hypothèses!$J$26*AQ829-AT829</f>
        <v>1534.35614639156</v>
      </c>
      <c r="AW829" s="2" t="n">
        <f aca="false">IF(AC829&gt;Hypothèses!$J$26,MAX(0,AV829)/(1-Hypothèses!$J$26/AC829),0)</f>
        <v>2213.92326518665</v>
      </c>
      <c r="AX829" s="2" t="n">
        <f aca="false">AQ829-Entrées!$C$17*1000</f>
        <v>22.7633027269803</v>
      </c>
      <c r="AY829" s="2" t="n">
        <f aca="false">AI829+(Entrées!$C$244-Entrées!$C$13)</f>
        <v>28299.5384353355</v>
      </c>
      <c r="AZ829" s="2" t="n">
        <f aca="false">AA829*AH829</f>
        <v>5529.02026231876</v>
      </c>
      <c r="BA829" s="2" t="n">
        <f aca="false">AZ829/AY829</f>
        <v>0.195374927225495</v>
      </c>
      <c r="BB829" s="2" t="n">
        <f aca="false">AZ829/(Entrées!$C$151/100)-AY829</f>
        <v>2417.24079976875</v>
      </c>
      <c r="BC829" s="2" t="n">
        <f aca="false">AT829+(Entrées!$C$244-Entrées!$C$13)</f>
        <v>28280.9337617894</v>
      </c>
      <c r="BD829" s="2" t="n">
        <f aca="false">AA829*AQ829</f>
        <v>5906.62577635564</v>
      </c>
      <c r="BE829" s="2" t="n">
        <f aca="false">BD829/BC829</f>
        <v>0.208855401526244</v>
      </c>
      <c r="BF829" s="2" t="n">
        <f aca="false">BD829/(Entrées!$C$151/100)-BC829</f>
        <v>4533.65388463084</v>
      </c>
      <c r="BG829" s="2" t="n">
        <f aca="false">MIN(AV829,BF829)</f>
        <v>1534.35614639156</v>
      </c>
      <c r="BH829" s="2" t="n">
        <f aca="false">IF(AC829&gt;Hypothèses!$J$26,MAX(0,BG829)/(1-Hypothèses!$J$26/AC829),0)</f>
        <v>2213.92326518665</v>
      </c>
    </row>
    <row r="830" customFormat="false" ht="15" hidden="false" customHeight="false" outlineLevel="0" collapsed="false">
      <c r="A830" s="2" t="n">
        <v>815</v>
      </c>
      <c r="B830" s="2" t="n">
        <v>0.094101949</v>
      </c>
      <c r="C830" s="2"/>
      <c r="D830" s="2" t="n">
        <v>0.935001132</v>
      </c>
      <c r="E830" s="2" t="n">
        <f aca="false">IF(E$7=E$5,E$6,IF(NORMSDIST(E$9*SQRT($C$11)*NORMSINV($B830)+SQRT(1-E$9^2*$C$11)*NORMSINV(D830))&lt;E$8,E$5+SQRT(NORMSDIST(E$9*SQRT($C$11)*NORMSINV($B830)+SQRT(1-E$9^2*$C$11)*NORMSINV(D830))*(E$7-E$5)*(E$6-E$5)),E$7-SQRT((1-NORMSDIST(E$9*SQRT($C$11)*NORMSINV($B830)+SQRT(1-E$9^2*$C$11)*NORMSINV(D830)))*(E$7-E$5)*(E$7-E$6))))</f>
        <v>0.0557179813729958</v>
      </c>
      <c r="F830" s="2" t="n">
        <v>0.724776286</v>
      </c>
      <c r="G830" s="2" t="n">
        <f aca="false">IF(G$7=G$5,G$6,IF(NORMSDIST(G$9*SQRT($C$11)*NORMSINV($B830)+SQRT(1-G$9^2*$C$11)*NORMSINV(F830))&lt;G$8,G$5+SQRT(NORMSDIST(G$9*SQRT($C$11)*NORMSINV($B830)+SQRT(1-G$9^2*$C$11)*NORMSINV(F830))*(G$7-G$5)*(G$6-G$5)),G$7-SQRT((1-NORMSDIST(G$9*SQRT($C$11)*NORMSINV($B830)+SQRT(1-G$9^2*$C$11)*NORMSINV(F830)))*(G$7-G$5)*(G$7-G$6))))</f>
        <v>0.0526531707408966</v>
      </c>
      <c r="H830" s="2" t="n">
        <v>0.852490157</v>
      </c>
      <c r="I830" s="2" t="n">
        <f aca="false">IF(I$7=I$5,I$6,IF(NORMSDIST(I$9*SQRT($C$11)*NORMSINV($B830)+SQRT(1-I$9^2*$C$11)*NORMSINV(H830))&lt;I$8,I$5+SQRT(NORMSDIST(I$9*SQRT($C$11)*NORMSINV($B830)+SQRT(1-I$9^2*$C$11)*NORMSINV(H830))*(I$7-I$5)*(I$6-I$5)),I$7-SQRT((1-NORMSDIST(I$9*SQRT($C$11)*NORMSINV($B830)+SQRT(1-I$9^2*$C$11)*NORMSINV(H830)))*(I$7-I$5)*(I$7-I$6))))</f>
        <v>199.830796935109</v>
      </c>
      <c r="J830" s="2" t="n">
        <v>0.694659262</v>
      </c>
      <c r="K830" s="2" t="n">
        <f aca="false">IF(K$7=K$5,K$6,IF(NORMSDIST(K$9*SQRT($C$11)*NORMSINV($B830)+SQRT(1-K$9^2*$C$11)*NORMSINV(J830))&lt;K$8,K$5+SQRT(NORMSDIST(K$9*SQRT($C$11)*NORMSINV($B830)+SQRT(1-K$9^2*$C$11)*NORMSINV(J830))*(K$7-K$5)*(K$6-K$5)),K$7-SQRT((1-NORMSDIST(K$9*SQRT($C$11)*NORMSINV($B830)+SQRT(1-K$9^2*$C$11)*NORMSINV(J830)))*(K$7-K$5)*(K$7-K$6))))</f>
        <v>0.203324472329355</v>
      </c>
      <c r="L830" s="2" t="n">
        <v>0.282527154</v>
      </c>
      <c r="M830" s="2" t="n">
        <f aca="false">IF(M$7=M$5,M$6,IF(NORMSDIST(M$9*SQRT($C$11)*NORMSINV($B830)+SQRT(1-M$9^2*$C$11)*NORMSINV(L830))&lt;M$8,M$5+SQRT(NORMSDIST(M$9*SQRT($C$11)*NORMSINV($B830)+SQRT(1-M$9^2*$C$11)*NORMSINV(L830))*(M$7-M$5)*(M$6-M$5)),M$7-SQRT((1-NORMSDIST(M$9*SQRT($C$11)*NORMSINV($B830)+SQRT(1-M$9^2*$C$11)*NORMSINV(L830)))*(M$7-M$5)*(M$7-M$6))))</f>
        <v>1429.78421730339</v>
      </c>
      <c r="N830" s="2" t="n">
        <v>0.319489764</v>
      </c>
      <c r="O830" s="2" t="n">
        <f aca="false">IF(O$7=O$5,O$6,IF(NORMSDIST(O$9*SQRT($C$11)*NORMSINV($B830)+SQRT(1-O$9^2*$C$11)*NORMSINV(N830))&lt;O$8,O$5+SQRT(NORMSDIST(O$9*SQRT($C$11)*NORMSINV($B830)+SQRT(1-O$9^2*$C$11)*NORMSINV(N830))*(O$7-O$5)*(O$6-O$5)),O$7-SQRT((1-NORMSDIST(O$9*SQRT($C$11)*NORMSINV($B830)+SQRT(1-O$9^2*$C$11)*NORMSINV(N830)))*(O$7-O$5)*(O$7-O$6))))</f>
        <v>0.152896603812782</v>
      </c>
      <c r="P830" s="2" t="n">
        <v>0.59206552</v>
      </c>
      <c r="Q830" s="2" t="n">
        <f aca="false">IF(Q$7=Q$5,Q$6,IF(NORMSDIST(Q$9*SQRT($C$11)*NORMSINV($B830)+SQRT(1-Q$9^2*$C$11)*NORMSINV(P830))&lt;Q$8,Q$5+SQRT(NORMSDIST(Q$9*SQRT($C$11)*NORMSINV($B830)+SQRT(1-Q$9^2*$C$11)*NORMSINV(P830))*(Q$7-Q$5)*(Q$6-Q$5)),Q$7-SQRT((1-NORMSDIST(Q$9*SQRT($C$11)*NORMSINV($B830)+SQRT(1-Q$9^2*$C$11)*NORMSINV(P830)))*(Q$7-Q$5)*(Q$7-Q$6))))</f>
        <v>0.0838698140608161</v>
      </c>
      <c r="R830" s="2" t="n">
        <v>0.580932613</v>
      </c>
      <c r="S830" s="2" t="n">
        <f aca="false">IF(S$7=S$5,S$6,IF(NORMSDIST(S$9*SQRT($C$11)*NORMSINV($B830)+SQRT(1-S$9^2*$C$11)*NORMSINV(R830))&lt;S$8,S$5+SQRT(NORMSDIST(S$9*SQRT($C$11)*NORMSINV($B830)+SQRT(1-S$9^2*$C$11)*NORMSINV(R830))*(S$7-S$5)*(S$6-S$5)),S$7-SQRT((1-NORMSDIST(S$9*SQRT($C$11)*NORMSINV($B830)+SQRT(1-S$9^2*$C$11)*NORMSINV(R830)))*(S$7-S$5)*(S$7-S$6))))</f>
        <v>0.353658789475324</v>
      </c>
      <c r="T830" s="2" t="n">
        <v>0.76800696</v>
      </c>
      <c r="U830" s="2" t="n">
        <f aca="false">IF(U$7=U$5,U$6,IF(NORMSDIST(U$9*SQRT($C$11)*NORMSINV($B830)+SQRT(1-U$9^2*$C$11)*NORMSINV(T830))&lt;U$8,U$5+SQRT(NORMSDIST(U$9*SQRT($C$11)*NORMSINV($B830)+SQRT(1-U$9^2*$C$11)*NORMSINV(T830))*(U$7-U$5)*(U$6-U$5)),U$7-SQRT((1-NORMSDIST(U$9*SQRT($C$11)*NORMSINV($B830)+SQRT(1-U$9^2*$C$11)*NORMSINV(T830)))*(U$7-U$5)*(U$7-U$6))))</f>
        <v>0.444689482246834</v>
      </c>
      <c r="V830" s="2" t="n">
        <v>0.828642726</v>
      </c>
      <c r="W830" s="2" t="n">
        <f aca="false">IF(W$7=W$5,W$6,IF(NORMSDIST(W$9*SQRT($C$11)*NORMSINV($B830)+SQRT(1-W$9^2*$C$11)*NORMSINV(V830))&lt;W$8,W$5+SQRT(NORMSDIST(W$9*SQRT($C$11)*NORMSINV($B830)+SQRT(1-W$9^2*$C$11)*NORMSINV(V830))*(W$7-W$5)*(W$6-W$5)),W$7-SQRT((1-NORMSDIST(W$9*SQRT($C$11)*NORMSINV($B830)+SQRT(1-W$9^2*$C$11)*NORMSINV(V830)))*(W$7-W$5)*(W$7-W$6))))</f>
        <v>9.92091994712743</v>
      </c>
      <c r="X830" s="2" t="n">
        <v>0.474161011</v>
      </c>
      <c r="Y830" s="2" t="n">
        <f aca="false">IF(Y$7=Y$5,Y$6,IF(NORMSDIST(Y$9*SQRT($C$11)*NORMSINV($B830)+SQRT(1-Y$9^2*$C$11)*NORMSINV(X830))&lt;Y$8,Y$5+SQRT(NORMSDIST(Y$9*SQRT($C$11)*NORMSINV($B830)+SQRT(1-Y$9^2*$C$11)*NORMSINV(X830))*(Y$7-Y$5)*(Y$6-Y$5)),Y$7-SQRT((1-NORMSDIST(Y$9*SQRT($C$11)*NORMSINV($B830)+SQRT(1-Y$9^2*$C$11)*NORMSINV(X830)))*(Y$7-Y$5)*(Y$7-Y$6))))</f>
        <v>0.486909134746926</v>
      </c>
      <c r="Z830" s="2" t="n">
        <v>0.020292332</v>
      </c>
      <c r="AA830" s="2" t="n">
        <f aca="false">IF(AA$7=AA$5,AA$6,IF(NORMSDIST(AA$9*SQRT($C$11)*NORMSINV($B830)+SQRT(1-AA$9^2*$C$11)*NORMSINV(Z830))&lt;AA$8,AA$5+SQRT(NORMSDIST(AA$9*SQRT($C$11)*NORMSINV($B830)+SQRT(1-AA$9^2*$C$11)*NORMSINV(Z830))*(AA$7-AA$5)*(AA$6-AA$5)),AA$7-SQRT((1-NORMSDIST(AA$9*SQRT($C$11)*NORMSINV($B830)+SQRT(1-AA$9^2*$C$11)*NORMSINV(Z830)))*(AA$7-AA$5)*(AA$7-AA$6))))</f>
        <v>0.699405759712216</v>
      </c>
      <c r="AB830" s="2" t="n">
        <v>0.328731558</v>
      </c>
      <c r="AC830" s="2" t="n">
        <f aca="false">IF(AC$7=AC$5,AC$6,IF(NORMSDIST(AC$9*SQRT($C$11)*NORMSINV($B830)+SQRT(1-AC$9^2*$C$11)*NORMSINV(AB830))&lt;AC$8,AC$5+SQRT(NORMSDIST(AC$9*SQRT($C$11)*NORMSINV($B830)+SQRT(1-AC$9^2*$C$11)*NORMSINV(AB830))*(AC$7-AC$5)*(AC$6-AC$5)),AC$7-SQRT((1-NORMSDIST(AC$9*SQRT($C$11)*NORMSINV($B830)+SQRT(1-AC$9^2*$C$11)*NORMSINV(AB830)))*(AC$7-AC$5)*(AC$7-AC$6))))</f>
        <v>8.41760677019395</v>
      </c>
      <c r="AD830" s="2" t="n">
        <f aca="false">Entrées!$C$8*(1+E830)</f>
        <v>7442.81176867962</v>
      </c>
      <c r="AE830" s="2" t="n">
        <f aca="false">I830*Hypothèses!$J$24/12/Hypothèses!$J$19</f>
        <v>99.1354187761605</v>
      </c>
      <c r="AF830" s="2" t="n">
        <f aca="false">Entrées!$C$36*S830*1000</f>
        <v>176.829394737662</v>
      </c>
      <c r="AG830" s="2" t="n">
        <f aca="false">-AF830/W830</f>
        <v>-17.8238908972209</v>
      </c>
      <c r="AH830" s="2" t="n">
        <f aca="false">AD830+AE830+AG830</f>
        <v>7524.12329655856</v>
      </c>
      <c r="AI830" s="2" t="n">
        <f aca="false">Entrées!$C$16-M830+Hypothèses!$J$22*1000-AF830+Hypothèses!$J$23</f>
        <v>22941.3863879589</v>
      </c>
      <c r="AJ830" s="2" t="n">
        <f aca="false">AI830/AH830</f>
        <v>3.0490444512588</v>
      </c>
      <c r="AK830" s="2" t="n">
        <f aca="false">AI830/(AH830+I830*(12-Hypothèses!$J$24)/12/Hypothèses!$J$19)</f>
        <v>3.02061682848831</v>
      </c>
      <c r="AL830" s="2" t="n">
        <f aca="false">(AD830+AG830+I830/Hypothèses!$J$19)*(1+G830)</f>
        <v>7994.83168295885</v>
      </c>
      <c r="AM830" s="2" t="n">
        <f aca="false">Entrées!$C$54*K830/Hypothèses!$J$19</f>
        <v>20.7501161055023</v>
      </c>
      <c r="AN830" s="2" t="n">
        <f aca="false">Y830*1000/AC830</f>
        <v>57.8441293398298</v>
      </c>
      <c r="AO830" s="2" t="n">
        <f aca="false">(Entrées!$C$36*(1-S830)+MAX(0,Entrées!$C$30-Entrées!$C$35-Entrées!$C$36)*U830)*1000</f>
        <v>945.735880407906</v>
      </c>
      <c r="AP830" s="2" t="n">
        <f aca="false">-AO830/W830</f>
        <v>-95.3274379239136</v>
      </c>
      <c r="AQ830" s="2" t="n">
        <f aca="false">AL830+AM830+AN830+AP830</f>
        <v>7978.09849048027</v>
      </c>
      <c r="AR830" s="2" t="n">
        <f aca="false">O830*AQ830-Hypothèses!$J$25/Hypothèses!$J$19</f>
        <v>1200.68900181669</v>
      </c>
      <c r="AS830" s="2" t="n">
        <f aca="false">Entrées!$C$79*(1+Q830)+Hypothèses!$J$20</f>
        <v>1486.17292565284</v>
      </c>
      <c r="AT830" s="2" t="n">
        <f aca="false">AI830-AR830+AS830+Y830*1000-AO830+Hypothèses!$J$23</f>
        <v>22768.0435661341</v>
      </c>
      <c r="AU830" s="2" t="n">
        <f aca="false">AT830/AQ830</f>
        <v>2.85381831188242</v>
      </c>
      <c r="AV830" s="2" t="n">
        <f aca="false">Hypothèses!$J$26*AQ830-AT830</f>
        <v>1166.2519053067</v>
      </c>
      <c r="AW830" s="2" t="n">
        <f aca="false">IF(AC830&gt;Hypothèses!$J$26,MAX(0,AV830)/(1-Hypothèses!$J$26/AC830),0)</f>
        <v>1812.06395190433</v>
      </c>
      <c r="AX830" s="2" t="n">
        <f aca="false">AQ830-Entrées!$C$17*1000</f>
        <v>-21.9015095197283</v>
      </c>
      <c r="AY830" s="2" t="n">
        <f aca="false">AI830+(Entrées!$C$244-Entrées!$C$13)</f>
        <v>28688.3863879589</v>
      </c>
      <c r="AZ830" s="2" t="n">
        <f aca="false">AA830*AH830</f>
        <v>5262.41517039792</v>
      </c>
      <c r="BA830" s="2" t="n">
        <f aca="false">AZ830/AY830</f>
        <v>0.183433641029272</v>
      </c>
      <c r="BB830" s="2" t="n">
        <f aca="false">AZ830/(Entrées!$C$151/100)-AY830</f>
        <v>547.253447585073</v>
      </c>
      <c r="BC830" s="2" t="n">
        <f aca="false">AT830+(Entrées!$C$244-Entrées!$C$13)</f>
        <v>28515.0435661341</v>
      </c>
      <c r="BD830" s="2" t="n">
        <f aca="false">AA830*AQ830</f>
        <v>5579.92803579324</v>
      </c>
      <c r="BE830" s="2" t="n">
        <f aca="false">BD830/BC830</f>
        <v>0.195683658096186</v>
      </c>
      <c r="BF830" s="2" t="n">
        <f aca="false">BD830/(Entrées!$C$151/100)-BC830</f>
        <v>2484.55663271721</v>
      </c>
      <c r="BG830" s="2" t="n">
        <f aca="false">MIN(AV830,BF830)</f>
        <v>1166.2519053067</v>
      </c>
      <c r="BH830" s="2" t="n">
        <f aca="false">IF(AC830&gt;Hypothèses!$J$26,MAX(0,BG830)/(1-Hypothèses!$J$26/AC830),0)</f>
        <v>1812.06395190433</v>
      </c>
    </row>
    <row r="831" customFormat="false" ht="15" hidden="false" customHeight="false" outlineLevel="0" collapsed="false">
      <c r="A831" s="2" t="n">
        <v>816</v>
      </c>
      <c r="B831" s="2" t="n">
        <v>0.850745694</v>
      </c>
      <c r="C831" s="2"/>
      <c r="D831" s="2" t="n">
        <v>0.695088619</v>
      </c>
      <c r="E831" s="2" t="n">
        <f aca="false">IF(E$7=E$5,E$6,IF(NORMSDIST(E$9*SQRT($C$11)*NORMSINV($B831)+SQRT(1-E$9^2*$C$11)*NORMSINV(D831))&lt;E$8,E$5+SQRT(NORMSDIST(E$9*SQRT($C$11)*NORMSINV($B831)+SQRT(1-E$9^2*$C$11)*NORMSINV(D831))*(E$7-E$5)*(E$6-E$5)),E$7-SQRT((1-NORMSDIST(E$9*SQRT($C$11)*NORMSINV($B831)+SQRT(1-E$9^2*$C$11)*NORMSINV(D831)))*(E$7-E$5)*(E$7-E$6))))</f>
        <v>0.0572961929823025</v>
      </c>
      <c r="F831" s="2" t="n">
        <v>0.928598337</v>
      </c>
      <c r="G831" s="2" t="n">
        <f aca="false">IF(G$7=G$5,G$6,IF(NORMSDIST(G$9*SQRT($C$11)*NORMSINV($B831)+SQRT(1-G$9^2*$C$11)*NORMSINV(F831))&lt;G$8,G$5+SQRT(NORMSDIST(G$9*SQRT($C$11)*NORMSINV($B831)+SQRT(1-G$9^2*$C$11)*NORMSINV(F831))*(G$7-G$5)*(G$6-G$5)),G$7-SQRT((1-NORMSDIST(G$9*SQRT($C$11)*NORMSINV($B831)+SQRT(1-G$9^2*$C$11)*NORMSINV(F831)))*(G$7-G$5)*(G$7-G$6))))</f>
        <v>0.0659463862668245</v>
      </c>
      <c r="H831" s="2" t="n">
        <v>0.156870094</v>
      </c>
      <c r="I831" s="2" t="n">
        <f aca="false">IF(I$7=I$5,I$6,IF(NORMSDIST(I$9*SQRT($C$11)*NORMSINV($B831)+SQRT(1-I$9^2*$C$11)*NORMSINV(H831))&lt;I$8,I$5+SQRT(NORMSDIST(I$9*SQRT($C$11)*NORMSINV($B831)+SQRT(1-I$9^2*$C$11)*NORMSINV(H831))*(I$7-I$5)*(I$6-I$5)),I$7-SQRT((1-NORMSDIST(I$9*SQRT($C$11)*NORMSINV($B831)+SQRT(1-I$9^2*$C$11)*NORMSINV(H831)))*(I$7-I$5)*(I$7-I$6))))</f>
        <v>198.997460856084</v>
      </c>
      <c r="J831" s="2" t="n">
        <v>0.176640014</v>
      </c>
      <c r="K831" s="2" t="n">
        <f aca="false">IF(K$7=K$5,K$6,IF(NORMSDIST(K$9*SQRT($C$11)*NORMSINV($B831)+SQRT(1-K$9^2*$C$11)*NORMSINV(J831))&lt;K$8,K$5+SQRT(NORMSDIST(K$9*SQRT($C$11)*NORMSINV($B831)+SQRT(1-K$9^2*$C$11)*NORMSINV(J831))*(K$7-K$5)*(K$6-K$5)),K$7-SQRT((1-NORMSDIST(K$9*SQRT($C$11)*NORMSINV($B831)+SQRT(1-K$9^2*$C$11)*NORMSINV(J831)))*(K$7-K$5)*(K$7-K$6))))</f>
        <v>0.243793885827285</v>
      </c>
      <c r="L831" s="2" t="n">
        <v>0.517996488</v>
      </c>
      <c r="M831" s="2" t="n">
        <f aca="false">IF(M$7=M$5,M$6,IF(NORMSDIST(M$9*SQRT($C$11)*NORMSINV($B831)+SQRT(1-M$9^2*$C$11)*NORMSINV(L831))&lt;M$8,M$5+SQRT(NORMSDIST(M$9*SQRT($C$11)*NORMSINV($B831)+SQRT(1-M$9^2*$C$11)*NORMSINV(L831))*(M$7-M$5)*(M$6-M$5)),M$7-SQRT((1-NORMSDIST(M$9*SQRT($C$11)*NORMSINV($B831)+SQRT(1-M$9^2*$C$11)*NORMSINV(L831)))*(M$7-M$5)*(M$7-M$6))))</f>
        <v>1652.4367266175</v>
      </c>
      <c r="N831" s="2" t="n">
        <v>0.575434565</v>
      </c>
      <c r="O831" s="2" t="n">
        <f aca="false">IF(O$7=O$5,O$6,IF(NORMSDIST(O$9*SQRT($C$11)*NORMSINV($B831)+SQRT(1-O$9^2*$C$11)*NORMSINV(N831))&lt;O$8,O$5+SQRT(NORMSDIST(O$9*SQRT($C$11)*NORMSINV($B831)+SQRT(1-O$9^2*$C$11)*NORMSINV(N831))*(O$7-O$5)*(O$6-O$5)),O$7-SQRT((1-NORMSDIST(O$9*SQRT($C$11)*NORMSINV($B831)+SQRT(1-O$9^2*$C$11)*NORMSINV(N831)))*(O$7-O$5)*(O$7-O$6))))</f>
        <v>0.175027907858421</v>
      </c>
      <c r="P831" s="2" t="n">
        <v>0.206245615</v>
      </c>
      <c r="Q831" s="2" t="n">
        <f aca="false">IF(Q$7=Q$5,Q$6,IF(NORMSDIST(Q$9*SQRT($C$11)*NORMSINV($B831)+SQRT(1-Q$9^2*$C$11)*NORMSINV(P831))&lt;Q$8,Q$5+SQRT(NORMSDIST(Q$9*SQRT($C$11)*NORMSINV($B831)+SQRT(1-Q$9^2*$C$11)*NORMSINV(P831))*(Q$7-Q$5)*(Q$6-Q$5)),Q$7-SQRT((1-NORMSDIST(Q$9*SQRT($C$11)*NORMSINV($B831)+SQRT(1-Q$9^2*$C$11)*NORMSINV(P831)))*(Q$7-Q$5)*(Q$7-Q$6))))</f>
        <v>0.0656901920584491</v>
      </c>
      <c r="R831" s="2" t="n">
        <v>0.294363842</v>
      </c>
      <c r="S831" s="2" t="n">
        <f aca="false">IF(S$7=S$5,S$6,IF(NORMSDIST(S$9*SQRT($C$11)*NORMSINV($B831)+SQRT(1-S$9^2*$C$11)*NORMSINV(R831))&lt;S$8,S$5+SQRT(NORMSDIST(S$9*SQRT($C$11)*NORMSINV($B831)+SQRT(1-S$9^2*$C$11)*NORMSINV(R831))*(S$7-S$5)*(S$6-S$5)),S$7-SQRT((1-NORMSDIST(S$9*SQRT($C$11)*NORMSINV($B831)+SQRT(1-S$9^2*$C$11)*NORMSINV(R831)))*(S$7-S$5)*(S$7-S$6))))</f>
        <v>0.549631581790557</v>
      </c>
      <c r="T831" s="2" t="n">
        <v>0.483962933</v>
      </c>
      <c r="U831" s="2" t="n">
        <f aca="false">IF(U$7=U$5,U$6,IF(NORMSDIST(U$9*SQRT($C$11)*NORMSINV($B831)+SQRT(1-U$9^2*$C$11)*NORMSINV(T831))&lt;U$8,U$5+SQRT(NORMSDIST(U$9*SQRT($C$11)*NORMSINV($B831)+SQRT(1-U$9^2*$C$11)*NORMSINV(T831))*(U$7-U$5)*(U$6-U$5)),U$7-SQRT((1-NORMSDIST(U$9*SQRT($C$11)*NORMSINV($B831)+SQRT(1-U$9^2*$C$11)*NORMSINV(T831)))*(U$7-U$5)*(U$7-U$6))))</f>
        <v>0.63562821244386</v>
      </c>
      <c r="V831" s="2" t="n">
        <v>0.754805936</v>
      </c>
      <c r="W831" s="2" t="n">
        <f aca="false">IF(W$7=W$5,W$6,IF(NORMSDIST(W$9*SQRT($C$11)*NORMSINV($B831)+SQRT(1-W$9^2*$C$11)*NORMSINV(V831))&lt;W$8,W$5+SQRT(NORMSDIST(W$9*SQRT($C$11)*NORMSINV($B831)+SQRT(1-W$9^2*$C$11)*NORMSINV(V831))*(W$7-W$5)*(W$6-W$5)),W$7-SQRT((1-NORMSDIST(W$9*SQRT($C$11)*NORMSINV($B831)+SQRT(1-W$9^2*$C$11)*NORMSINV(V831)))*(W$7-W$5)*(W$7-W$6))))</f>
        <v>11.0338601506526</v>
      </c>
      <c r="X831" s="2" t="n">
        <v>0.352026999</v>
      </c>
      <c r="Y831" s="2" t="n">
        <f aca="false">IF(Y$7=Y$5,Y$6,IF(NORMSDIST(Y$9*SQRT($C$11)*NORMSINV($B831)+SQRT(1-Y$9^2*$C$11)*NORMSINV(X831))&lt;Y$8,Y$5+SQRT(NORMSDIST(Y$9*SQRT($C$11)*NORMSINV($B831)+SQRT(1-Y$9^2*$C$11)*NORMSINV(X831))*(Y$7-Y$5)*(Y$6-Y$5)),Y$7-SQRT((1-NORMSDIST(Y$9*SQRT($C$11)*NORMSINV($B831)+SQRT(1-Y$9^2*$C$11)*NORMSINV(X831)))*(Y$7-Y$5)*(Y$7-Y$6))))</f>
        <v>0.419539628044837</v>
      </c>
      <c r="Z831" s="2" t="n">
        <v>0.821642703</v>
      </c>
      <c r="AA831" s="2" t="n">
        <f aca="false">IF(AA$7=AA$5,AA$6,IF(NORMSDIST(AA$9*SQRT($C$11)*NORMSINV($B831)+SQRT(1-AA$9^2*$C$11)*NORMSINV(Z831))&lt;AA$8,AA$5+SQRT(NORMSDIST(AA$9*SQRT($C$11)*NORMSINV($B831)+SQRT(1-AA$9^2*$C$11)*NORMSINV(Z831))*(AA$7-AA$5)*(AA$6-AA$5)),AA$7-SQRT((1-NORMSDIST(AA$9*SQRT($C$11)*NORMSINV($B831)+SQRT(1-AA$9^2*$C$11)*NORMSINV(Z831)))*(AA$7-AA$5)*(AA$7-AA$6))))</f>
        <v>0.743411061303883</v>
      </c>
      <c r="AB831" s="2" t="n">
        <v>0.004011209</v>
      </c>
      <c r="AC831" s="2" t="n">
        <f aca="false">IF(AC$7=AC$5,AC$6,IF(NORMSDIST(AC$9*SQRT($C$11)*NORMSINV($B831)+SQRT(1-AC$9^2*$C$11)*NORMSINV(AB831))&lt;AC$8,AC$5+SQRT(NORMSDIST(AC$9*SQRT($C$11)*NORMSINV($B831)+SQRT(1-AC$9^2*$C$11)*NORMSINV(AB831))*(AC$7-AC$5)*(AC$6-AC$5)),AC$7-SQRT((1-NORMSDIST(AC$9*SQRT($C$11)*NORMSINV($B831)+SQRT(1-AC$9^2*$C$11)*NORMSINV(AB831)))*(AC$7-AC$5)*(AC$7-AC$6))))</f>
        <v>8.23838519697007</v>
      </c>
      <c r="AD831" s="2" t="n">
        <f aca="false">Entrées!$C$8*(1+E831)</f>
        <v>7453.93816052523</v>
      </c>
      <c r="AE831" s="2" t="n">
        <f aca="false">I831*Hypothèses!$J$24/12/Hypothèses!$J$19</f>
        <v>98.7220034145522</v>
      </c>
      <c r="AF831" s="2" t="n">
        <f aca="false">Entrées!$C$36*S831*1000</f>
        <v>274.815790895279</v>
      </c>
      <c r="AG831" s="2" t="n">
        <f aca="false">-AF831/W831</f>
        <v>-24.9065863753062</v>
      </c>
      <c r="AH831" s="2" t="n">
        <f aca="false">AD831+AE831+AG831</f>
        <v>7527.75357756448</v>
      </c>
      <c r="AI831" s="2" t="n">
        <f aca="false">Entrées!$C$16-M831+Hypothèses!$J$22*1000-AF831+Hypothèses!$J$23</f>
        <v>22620.7474824872</v>
      </c>
      <c r="AJ831" s="2" t="n">
        <f aca="false">AI831/AH831</f>
        <v>3.00497980564952</v>
      </c>
      <c r="AK831" s="2" t="n">
        <f aca="false">AI831/(AH831+I831*(12-Hypothèses!$J$24)/12/Hypothèses!$J$19)</f>
        <v>2.97709209905062</v>
      </c>
      <c r="AL831" s="2" t="n">
        <f aca="false">(AD831+AG831+I831/Hypothèses!$J$19)*(1+G831)</f>
        <v>8099.34769612971</v>
      </c>
      <c r="AM831" s="2" t="n">
        <f aca="false">Entrées!$C$54*K831/Hypothèses!$J$19</f>
        <v>24.8801896730529</v>
      </c>
      <c r="AN831" s="2" t="n">
        <f aca="false">Y831*1000/AC831</f>
        <v>50.9249832356875</v>
      </c>
      <c r="AO831" s="2" t="n">
        <f aca="false">(Entrées!$C$36*(1-S831)+MAX(0,Entrées!$C$30-Entrées!$C$35-Entrées!$C$36)*U831)*1000</f>
        <v>1115.06370652612</v>
      </c>
      <c r="AP831" s="2" t="n">
        <f aca="false">-AO831/W831</f>
        <v>-101.058350504848</v>
      </c>
      <c r="AQ831" s="2" t="n">
        <f aca="false">AL831+AM831+AN831+AP831</f>
        <v>8074.0945185336</v>
      </c>
      <c r="AR831" s="2" t="n">
        <f aca="false">O831*AQ831-Hypothèses!$J$25/Hypothèses!$J$19</f>
        <v>1394.05670916846</v>
      </c>
      <c r="AS831" s="2" t="n">
        <f aca="false">Entrées!$C$79*(1+Q831)+Hypothèses!$J$20</f>
        <v>1466.19352107224</v>
      </c>
      <c r="AT831" s="2" t="n">
        <f aca="false">AI831-AR831+AS831+Y831*1000-AO831+Hypothèses!$J$23</f>
        <v>21997.3602159097</v>
      </c>
      <c r="AU831" s="2" t="n">
        <f aca="false">AT831/AQ831</f>
        <v>2.72443679788688</v>
      </c>
      <c r="AV831" s="2" t="n">
        <f aca="false">Hypothèses!$J$26*AQ831-AT831</f>
        <v>2224.92333969108</v>
      </c>
      <c r="AW831" s="2" t="n">
        <f aca="false">IF(AC831&gt;Hypothèses!$J$26,MAX(0,AV831)/(1-Hypothèses!$J$26/AC831),0)</f>
        <v>3499.12708151099</v>
      </c>
      <c r="AX831" s="2" t="n">
        <f aca="false">AQ831-Entrées!$C$17*1000</f>
        <v>74.0945185335968</v>
      </c>
      <c r="AY831" s="2" t="n">
        <f aca="false">AI831+(Entrées!$C$244-Entrées!$C$13)</f>
        <v>28367.7474824872</v>
      </c>
      <c r="AZ831" s="2" t="n">
        <f aca="false">AA831*AH831</f>
        <v>5596.21527633131</v>
      </c>
      <c r="BA831" s="2" t="n">
        <f aca="false">AZ831/AY831</f>
        <v>0.197273868141492</v>
      </c>
      <c r="BB831" s="2" t="n">
        <f aca="false">AZ831/(Entrées!$C$151/100)-AY831</f>
        <v>2722.33738602008</v>
      </c>
      <c r="BC831" s="2" t="n">
        <f aca="false">AT831+(Entrées!$C$244-Entrées!$C$13)</f>
        <v>27744.3602159097</v>
      </c>
      <c r="BD831" s="2" t="n">
        <f aca="false">AA831*AQ831</f>
        <v>6002.37117509093</v>
      </c>
      <c r="BE831" s="2" t="n">
        <f aca="false">BD831/BC831</f>
        <v>0.216345633072084</v>
      </c>
      <c r="BF831" s="2" t="n">
        <f aca="false">BD831/(Entrées!$C$151/100)-BC831</f>
        <v>5602.14631237322</v>
      </c>
      <c r="BG831" s="2" t="n">
        <f aca="false">MIN(AV831,BF831)</f>
        <v>2224.92333969108</v>
      </c>
      <c r="BH831" s="2" t="n">
        <f aca="false">IF(AC831&gt;Hypothèses!$J$26,MAX(0,BG831)/(1-Hypothèses!$J$26/AC831),0)</f>
        <v>3499.12708151099</v>
      </c>
    </row>
    <row r="832" customFormat="false" ht="15" hidden="false" customHeight="false" outlineLevel="0" collapsed="false">
      <c r="A832" s="2" t="n">
        <v>817</v>
      </c>
      <c r="B832" s="2" t="n">
        <v>0.556551534</v>
      </c>
      <c r="C832" s="2"/>
      <c r="D832" s="2" t="n">
        <v>0.035989382</v>
      </c>
      <c r="E832" s="2" t="n">
        <f aca="false">IF(E$7=E$5,E$6,IF(NORMSDIST(E$9*SQRT($C$11)*NORMSINV($B832)+SQRT(1-E$9^2*$C$11)*NORMSINV(D832))&lt;E$8,E$5+SQRT(NORMSDIST(E$9*SQRT($C$11)*NORMSINV($B832)+SQRT(1-E$9^2*$C$11)*NORMSINV(D832))*(E$7-E$5)*(E$6-E$5)),E$7-SQRT((1-NORMSDIST(E$9*SQRT($C$11)*NORMSINV($B832)+SQRT(1-E$9^2*$C$11)*NORMSINV(D832)))*(E$7-E$5)*(E$7-E$6))))</f>
        <v>0.0521927287139325</v>
      </c>
      <c r="F832" s="2" t="n">
        <v>0.057624866</v>
      </c>
      <c r="G832" s="2" t="n">
        <f aca="false">IF(G$7=G$5,G$6,IF(NORMSDIST(G$9*SQRT($C$11)*NORMSINV($B832)+SQRT(1-G$9^2*$C$11)*NORMSINV(F832))&lt;G$8,G$5+SQRT(NORMSDIST(G$9*SQRT($C$11)*NORMSINV($B832)+SQRT(1-G$9^2*$C$11)*NORMSINV(F832))*(G$7-G$5)*(G$6-G$5)),G$7-SQRT((1-NORMSDIST(G$9*SQRT($C$11)*NORMSINV($B832)+SQRT(1-G$9^2*$C$11)*NORMSINV(F832)))*(G$7-G$5)*(G$7-G$6))))</f>
        <v>0.0476257292131613</v>
      </c>
      <c r="H832" s="2" t="n">
        <v>0.467170613</v>
      </c>
      <c r="I832" s="2" t="n">
        <f aca="false">IF(I$7=I$5,I$6,IF(NORMSDIST(I$9*SQRT($C$11)*NORMSINV($B832)+SQRT(1-I$9^2*$C$11)*NORMSINV(H832))&lt;I$8,I$5+SQRT(NORMSDIST(I$9*SQRT($C$11)*NORMSINV($B832)+SQRT(1-I$9^2*$C$11)*NORMSINV(H832))*(I$7-I$5)*(I$6-I$5)),I$7-SQRT((1-NORMSDIST(I$9*SQRT($C$11)*NORMSINV($B832)+SQRT(1-I$9^2*$C$11)*NORMSINV(H832)))*(I$7-I$5)*(I$7-I$6))))</f>
        <v>200.209648250458</v>
      </c>
      <c r="J832" s="2" t="n">
        <v>0.681163373</v>
      </c>
      <c r="K832" s="2" t="n">
        <f aca="false">IF(K$7=K$5,K$6,IF(NORMSDIST(K$9*SQRT($C$11)*NORMSINV($B832)+SQRT(1-K$9^2*$C$11)*NORMSINV(J832))&lt;K$8,K$5+SQRT(NORMSDIST(K$9*SQRT($C$11)*NORMSINV($B832)+SQRT(1-K$9^2*$C$11)*NORMSINV(J832))*(K$7-K$5)*(K$6-K$5)),K$7-SQRT((1-NORMSDIST(K$9*SQRT($C$11)*NORMSINV($B832)+SQRT(1-K$9^2*$C$11)*NORMSINV(J832)))*(K$7-K$5)*(K$7-K$6))))</f>
        <v>0.298554367761809</v>
      </c>
      <c r="L832" s="2" t="n">
        <v>0.17610503</v>
      </c>
      <c r="M832" s="2" t="n">
        <f aca="false">IF(M$7=M$5,M$6,IF(NORMSDIST(M$9*SQRT($C$11)*NORMSINV($B832)+SQRT(1-M$9^2*$C$11)*NORMSINV(L832))&lt;M$8,M$5+SQRT(NORMSDIST(M$9*SQRT($C$11)*NORMSINV($B832)+SQRT(1-M$9^2*$C$11)*NORMSINV(L832))*(M$7-M$5)*(M$6-M$5)),M$7-SQRT((1-NORMSDIST(M$9*SQRT($C$11)*NORMSINV($B832)+SQRT(1-M$9^2*$C$11)*NORMSINV(L832)))*(M$7-M$5)*(M$7-M$6))))</f>
        <v>1508.27210944129</v>
      </c>
      <c r="N832" s="2" t="n">
        <v>0.797601583</v>
      </c>
      <c r="O832" s="2" t="n">
        <f aca="false">IF(O$7=O$5,O$6,IF(NORMSDIST(O$9*SQRT($C$11)*NORMSINV($B832)+SQRT(1-O$9^2*$C$11)*NORMSINV(N832))&lt;O$8,O$5+SQRT(NORMSDIST(O$9*SQRT($C$11)*NORMSINV($B832)+SQRT(1-O$9^2*$C$11)*NORMSINV(N832))*(O$7-O$5)*(O$6-O$5)),O$7-SQRT((1-NORMSDIST(O$9*SQRT($C$11)*NORMSINV($B832)+SQRT(1-O$9^2*$C$11)*NORMSINV(N832)))*(O$7-O$5)*(O$7-O$6))))</f>
        <v>0.174310721830256</v>
      </c>
      <c r="P832" s="2" t="n">
        <v>0.456888127</v>
      </c>
      <c r="Q832" s="2" t="n">
        <f aca="false">IF(Q$7=Q$5,Q$6,IF(NORMSDIST(Q$9*SQRT($C$11)*NORMSINV($B832)+SQRT(1-Q$9^2*$C$11)*NORMSINV(P832))&lt;Q$8,Q$5+SQRT(NORMSDIST(Q$9*SQRT($C$11)*NORMSINV($B832)+SQRT(1-Q$9^2*$C$11)*NORMSINV(P832))*(Q$7-Q$5)*(Q$6-Q$5)),Q$7-SQRT((1-NORMSDIST(Q$9*SQRT($C$11)*NORMSINV($B832)+SQRT(1-Q$9^2*$C$11)*NORMSINV(P832)))*(Q$7-Q$5)*(Q$7-Q$6))))</f>
        <v>0.0782366578874253</v>
      </c>
      <c r="R832" s="2" t="n">
        <v>0.519577348</v>
      </c>
      <c r="S832" s="2" t="n">
        <f aca="false">IF(S$7=S$5,S$6,IF(NORMSDIST(S$9*SQRT($C$11)*NORMSINV($B832)+SQRT(1-S$9^2*$C$11)*NORMSINV(R832))&lt;S$8,S$5+SQRT(NORMSDIST(S$9*SQRT($C$11)*NORMSINV($B832)+SQRT(1-S$9^2*$C$11)*NORMSINV(R832))*(S$7-S$5)*(S$6-S$5)),S$7-SQRT((1-NORMSDIST(S$9*SQRT($C$11)*NORMSINV($B832)+SQRT(1-S$9^2*$C$11)*NORMSINV(R832)))*(S$7-S$5)*(S$7-S$6))))</f>
        <v>0.526142722603805</v>
      </c>
      <c r="T832" s="2" t="n">
        <v>0.288798621</v>
      </c>
      <c r="U832" s="2" t="n">
        <f aca="false">IF(U$7=U$5,U$6,IF(NORMSDIST(U$9*SQRT($C$11)*NORMSINV($B832)+SQRT(1-U$9^2*$C$11)*NORMSINV(T832))&lt;U$8,U$5+SQRT(NORMSDIST(U$9*SQRT($C$11)*NORMSINV($B832)+SQRT(1-U$9^2*$C$11)*NORMSINV(T832))*(U$7-U$5)*(U$6-U$5)),U$7-SQRT((1-NORMSDIST(U$9*SQRT($C$11)*NORMSINV($B832)+SQRT(1-U$9^2*$C$11)*NORMSINV(T832)))*(U$7-U$5)*(U$7-U$6))))</f>
        <v>0.428015913446553</v>
      </c>
      <c r="V832" s="2" t="n">
        <v>0.286136195</v>
      </c>
      <c r="W832" s="2" t="n">
        <f aca="false">IF(W$7=W$5,W$6,IF(NORMSDIST(W$9*SQRT($C$11)*NORMSINV($B832)+SQRT(1-W$9^2*$C$11)*NORMSINV(V832))&lt;W$8,W$5+SQRT(NORMSDIST(W$9*SQRT($C$11)*NORMSINV($B832)+SQRT(1-W$9^2*$C$11)*NORMSINV(V832))*(W$7-W$5)*(W$6-W$5)),W$7-SQRT((1-NORMSDIST(W$9*SQRT($C$11)*NORMSINV($B832)+SQRT(1-W$9^2*$C$11)*NORMSINV(V832)))*(W$7-W$5)*(W$7-W$6))))</f>
        <v>9.70674135127638</v>
      </c>
      <c r="X832" s="2" t="n">
        <v>0.386939067</v>
      </c>
      <c r="Y832" s="2" t="n">
        <f aca="false">IF(Y$7=Y$5,Y$6,IF(NORMSDIST(Y$9*SQRT($C$11)*NORMSINV($B832)+SQRT(1-Y$9^2*$C$11)*NORMSINV(X832))&lt;Y$8,Y$5+SQRT(NORMSDIST(Y$9*SQRT($C$11)*NORMSINV($B832)+SQRT(1-Y$9^2*$C$11)*NORMSINV(X832))*(Y$7-Y$5)*(Y$6-Y$5)),Y$7-SQRT((1-NORMSDIST(Y$9*SQRT($C$11)*NORMSINV($B832)+SQRT(1-Y$9^2*$C$11)*NORMSINV(X832)))*(Y$7-Y$5)*(Y$7-Y$6))))</f>
        <v>0.439851717627657</v>
      </c>
      <c r="Z832" s="2" t="n">
        <v>0.711663319</v>
      </c>
      <c r="AA832" s="2" t="n">
        <f aca="false">IF(AA$7=AA$5,AA$6,IF(NORMSDIST(AA$9*SQRT($C$11)*NORMSINV($B832)+SQRT(1-AA$9^2*$C$11)*NORMSINV(Z832))&lt;AA$8,AA$5+SQRT(NORMSDIST(AA$9*SQRT($C$11)*NORMSINV($B832)+SQRT(1-AA$9^2*$C$11)*NORMSINV(Z832))*(AA$7-AA$5)*(AA$6-AA$5)),AA$7-SQRT((1-NORMSDIST(AA$9*SQRT($C$11)*NORMSINV($B832)+SQRT(1-AA$9^2*$C$11)*NORMSINV(Z832)))*(AA$7-AA$5)*(AA$7-AA$6))))</f>
        <v>0.734209943612148</v>
      </c>
      <c r="AB832" s="2" t="n">
        <v>0.254086716</v>
      </c>
      <c r="AC832" s="2" t="n">
        <f aca="false">IF(AC$7=AC$5,AC$6,IF(NORMSDIST(AC$9*SQRT($C$11)*NORMSINV($B832)+SQRT(1-AC$9^2*$C$11)*NORMSINV(AB832))&lt;AC$8,AC$5+SQRT(NORMSDIST(AC$9*SQRT($C$11)*NORMSINV($B832)+SQRT(1-AC$9^2*$C$11)*NORMSINV(AB832))*(AC$7-AC$5)*(AC$6-AC$5)),AC$7-SQRT((1-NORMSDIST(AC$9*SQRT($C$11)*NORMSINV($B832)+SQRT(1-AC$9^2*$C$11)*NORMSINV(AB832)))*(AC$7-AC$5)*(AC$7-AC$6))))</f>
        <v>9.10459053430846</v>
      </c>
      <c r="AD832" s="2" t="n">
        <f aca="false">Entrées!$C$8*(1+E832)</f>
        <v>7417.95873743322</v>
      </c>
      <c r="AE832" s="2" t="n">
        <f aca="false">I832*Hypothèses!$J$24/12/Hypothèses!$J$19</f>
        <v>99.3233657011447</v>
      </c>
      <c r="AF832" s="2" t="n">
        <f aca="false">Entrées!$C$36*S832*1000</f>
        <v>263.071361301903</v>
      </c>
      <c r="AG832" s="2" t="n">
        <f aca="false">-AF832/W832</f>
        <v>-27.1019234758233</v>
      </c>
      <c r="AH832" s="2" t="n">
        <f aca="false">AD832+AE832+AG832</f>
        <v>7490.18017965855</v>
      </c>
      <c r="AI832" s="2" t="n">
        <f aca="false">Entrées!$C$16-M832+Hypothèses!$J$22*1000-AF832+Hypothèses!$J$23</f>
        <v>22776.6565292568</v>
      </c>
      <c r="AJ832" s="2" t="n">
        <f aca="false">AI832/AH832</f>
        <v>3.04086897550375</v>
      </c>
      <c r="AK832" s="2" t="n">
        <f aca="false">AI832/(AH832+I832*(12-Hypothèses!$J$24)/12/Hypothèses!$J$19)</f>
        <v>3.01233681511639</v>
      </c>
      <c r="AL832" s="2" t="n">
        <f aca="false">(AD832+AG832+I832/Hypothèses!$J$19)*(1+G832)</f>
        <v>7921.22955366744</v>
      </c>
      <c r="AM832" s="2" t="n">
        <f aca="false">Entrées!$C$54*K832/Hypothèses!$J$19</f>
        <v>30.4687267788767</v>
      </c>
      <c r="AN832" s="2" t="n">
        <f aca="false">Y832*1000/AC832</f>
        <v>48.3109829014475</v>
      </c>
      <c r="AO832" s="2" t="n">
        <f aca="false">(Entrées!$C$36*(1-S832)+MAX(0,Entrées!$C$30-Entrées!$C$35-Entrées!$C$36)*U832)*1000</f>
        <v>836.150917523272</v>
      </c>
      <c r="AP832" s="2" t="n">
        <f aca="false">-AO832/W832</f>
        <v>-86.1412586638381</v>
      </c>
      <c r="AQ832" s="2" t="n">
        <f aca="false">AL832+AM832+AN832+AP832</f>
        <v>7913.86800468393</v>
      </c>
      <c r="AR832" s="2" t="n">
        <f aca="false">O832*AQ832-Hypothèses!$J$25/Hypothèses!$J$19</f>
        <v>1360.3368821042</v>
      </c>
      <c r="AS832" s="2" t="n">
        <f aca="false">Entrées!$C$79*(1+Q832)+Hypothèses!$J$20</f>
        <v>1479.98208701828</v>
      </c>
      <c r="AT832" s="2" t="n">
        <f aca="false">AI832-AR832+AS832+Y832*1000-AO832+Hypothèses!$J$23</f>
        <v>22500.0025342753</v>
      </c>
      <c r="AU832" s="2" t="n">
        <f aca="false">AT832/AQ832</f>
        <v>2.84311066610643</v>
      </c>
      <c r="AV832" s="2" t="n">
        <f aca="false">Hypothèses!$J$26*AQ832-AT832</f>
        <v>1241.60147977651</v>
      </c>
      <c r="AW832" s="2" t="n">
        <f aca="false">IF(AC832&gt;Hypothèses!$J$26,MAX(0,AV832)/(1-Hypothèses!$J$26/AC832),0)</f>
        <v>1851.76598112934</v>
      </c>
      <c r="AX832" s="2" t="n">
        <f aca="false">AQ832-Entrées!$C$17*1000</f>
        <v>-86.1319953160728</v>
      </c>
      <c r="AY832" s="2" t="n">
        <f aca="false">AI832+(Entrées!$C$244-Entrées!$C$13)</f>
        <v>28523.6565292568</v>
      </c>
      <c r="AZ832" s="2" t="n">
        <f aca="false">AA832*AH832</f>
        <v>5499.36476735193</v>
      </c>
      <c r="BA832" s="2" t="n">
        <f aca="false">AZ832/AY832</f>
        <v>0.19280013281997</v>
      </c>
      <c r="BB832" s="2" t="n">
        <f aca="false">AZ832/(Entrées!$C$151/100)-AY832</f>
        <v>2028.36995603169</v>
      </c>
      <c r="BC832" s="2" t="n">
        <f aca="false">AT832+(Entrées!$C$244-Entrées!$C$13)</f>
        <v>28247.0025342753</v>
      </c>
      <c r="BD832" s="2" t="n">
        <f aca="false">AA832*AQ832</f>
        <v>5810.44058147297</v>
      </c>
      <c r="BE832" s="2" t="n">
        <f aca="false">BD832/BC832</f>
        <v>0.205701138533992</v>
      </c>
      <c r="BF832" s="2" t="n">
        <f aca="false">BD832/(Entrées!$C$151/100)-BC832</f>
        <v>4033.22291835233</v>
      </c>
      <c r="BG832" s="2" t="n">
        <f aca="false">MIN(AV832,BF832)</f>
        <v>1241.60147977651</v>
      </c>
      <c r="BH832" s="2" t="n">
        <f aca="false">IF(AC832&gt;Hypothèses!$J$26,MAX(0,BG832)/(1-Hypothèses!$J$26/AC832),0)</f>
        <v>1851.76598112934</v>
      </c>
    </row>
    <row r="833" customFormat="false" ht="15" hidden="false" customHeight="false" outlineLevel="0" collapsed="false">
      <c r="A833" s="2" t="n">
        <v>818</v>
      </c>
      <c r="B833" s="2" t="n">
        <v>0.958450851</v>
      </c>
      <c r="C833" s="2"/>
      <c r="D833" s="2" t="n">
        <v>0.364952078</v>
      </c>
      <c r="E833" s="2" t="n">
        <f aca="false">IF(E$7=E$5,E$6,IF(NORMSDIST(E$9*SQRT($C$11)*NORMSINV($B833)+SQRT(1-E$9^2*$C$11)*NORMSINV(D833))&lt;E$8,E$5+SQRT(NORMSDIST(E$9*SQRT($C$11)*NORMSINV($B833)+SQRT(1-E$9^2*$C$11)*NORMSINV(D833))*(E$7-E$5)*(E$6-E$5)),E$7-SQRT((1-NORMSDIST(E$9*SQRT($C$11)*NORMSINV($B833)+SQRT(1-E$9^2*$C$11)*NORMSINV(D833)))*(E$7-E$5)*(E$7-E$6))))</f>
        <v>0.0568088858123654</v>
      </c>
      <c r="F833" s="2" t="n">
        <v>0.897295129</v>
      </c>
      <c r="G833" s="2" t="n">
        <f aca="false">IF(G$7=G$5,G$6,IF(NORMSDIST(G$9*SQRT($C$11)*NORMSINV($B833)+SQRT(1-G$9^2*$C$11)*NORMSINV(F833))&lt;G$8,G$5+SQRT(NORMSDIST(G$9*SQRT($C$11)*NORMSINV($B833)+SQRT(1-G$9^2*$C$11)*NORMSINV(F833))*(G$7-G$5)*(G$6-G$5)),G$7-SQRT((1-NORMSDIST(G$9*SQRT($C$11)*NORMSINV($B833)+SQRT(1-G$9^2*$C$11)*NORMSINV(F833)))*(G$7-G$5)*(G$7-G$6))))</f>
        <v>0.0670832472469158</v>
      </c>
      <c r="H833" s="2" t="n">
        <v>0.247683267</v>
      </c>
      <c r="I833" s="2" t="n">
        <f aca="false">IF(I$7=I$5,I$6,IF(NORMSDIST(I$9*SQRT($C$11)*NORMSINV($B833)+SQRT(1-I$9^2*$C$11)*NORMSINV(H833))&lt;I$8,I$5+SQRT(NORMSDIST(I$9*SQRT($C$11)*NORMSINV($B833)+SQRT(1-I$9^2*$C$11)*NORMSINV(H833))*(I$7-I$5)*(I$6-I$5)),I$7-SQRT((1-NORMSDIST(I$9*SQRT($C$11)*NORMSINV($B833)+SQRT(1-I$9^2*$C$11)*NORMSINV(H833)))*(I$7-I$5)*(I$7-I$6))))</f>
        <v>204.899125391297</v>
      </c>
      <c r="J833" s="2" t="n">
        <v>0.536008647</v>
      </c>
      <c r="K833" s="2" t="n">
        <f aca="false">IF(K$7=K$5,K$6,IF(NORMSDIST(K$9*SQRT($C$11)*NORMSINV($B833)+SQRT(1-K$9^2*$C$11)*NORMSINV(J833))&lt;K$8,K$5+SQRT(NORMSDIST(K$9*SQRT($C$11)*NORMSINV($B833)+SQRT(1-K$9^2*$C$11)*NORMSINV(J833))*(K$7-K$5)*(K$6-K$5)),K$7-SQRT((1-NORMSDIST(K$9*SQRT($C$11)*NORMSINV($B833)+SQRT(1-K$9^2*$C$11)*NORMSINV(J833)))*(K$7-K$5)*(K$7-K$6))))</f>
        <v>0.376611487076292</v>
      </c>
      <c r="L833" s="2" t="n">
        <v>0.89141922</v>
      </c>
      <c r="M833" s="2" t="n">
        <f aca="false">IF(M$7=M$5,M$6,IF(NORMSDIST(M$9*SQRT($C$11)*NORMSINV($B833)+SQRT(1-M$9^2*$C$11)*NORMSINV(L833))&lt;M$8,M$5+SQRT(NORMSDIST(M$9*SQRT($C$11)*NORMSINV($B833)+SQRT(1-M$9^2*$C$11)*NORMSINV(L833))*(M$7-M$5)*(M$6-M$5)),M$7-SQRT((1-NORMSDIST(M$9*SQRT($C$11)*NORMSINV($B833)+SQRT(1-M$9^2*$C$11)*NORMSINV(L833)))*(M$7-M$5)*(M$7-M$6))))</f>
        <v>1751.91203572087</v>
      </c>
      <c r="N833" s="2" t="n">
        <v>0.153137527</v>
      </c>
      <c r="O833" s="2" t="n">
        <f aca="false">IF(O$7=O$5,O$6,IF(NORMSDIST(O$9*SQRT($C$11)*NORMSINV($B833)+SQRT(1-O$9^2*$C$11)*NORMSINV(N833))&lt;O$8,O$5+SQRT(NORMSDIST(O$9*SQRT($C$11)*NORMSINV($B833)+SQRT(1-O$9^2*$C$11)*NORMSINV(N833))*(O$7-O$5)*(O$6-O$5)),O$7-SQRT((1-NORMSDIST(O$9*SQRT($C$11)*NORMSINV($B833)+SQRT(1-O$9^2*$C$11)*NORMSINV(N833)))*(O$7-O$5)*(O$7-O$6))))</f>
        <v>0.169861869978195</v>
      </c>
      <c r="P833" s="2" t="n">
        <v>0.55811194</v>
      </c>
      <c r="Q833" s="2" t="n">
        <f aca="false">IF(Q$7=Q$5,Q$6,IF(NORMSDIST(Q$9*SQRT($C$11)*NORMSINV($B833)+SQRT(1-Q$9^2*$C$11)*NORMSINV(P833))&lt;Q$8,Q$5+SQRT(NORMSDIST(Q$9*SQRT($C$11)*NORMSINV($B833)+SQRT(1-Q$9^2*$C$11)*NORMSINV(P833))*(Q$7-Q$5)*(Q$6-Q$5)),Q$7-SQRT((1-NORMSDIST(Q$9*SQRT($C$11)*NORMSINV($B833)+SQRT(1-Q$9^2*$C$11)*NORMSINV(P833)))*(Q$7-Q$5)*(Q$7-Q$6))))</f>
        <v>0.0823962529526644</v>
      </c>
      <c r="R833" s="2" t="n">
        <v>0.833118213</v>
      </c>
      <c r="S833" s="2" t="n">
        <f aca="false">IF(S$7=S$5,S$6,IF(NORMSDIST(S$9*SQRT($C$11)*NORMSINV($B833)+SQRT(1-S$9^2*$C$11)*NORMSINV(R833))&lt;S$8,S$5+SQRT(NORMSDIST(S$9*SQRT($C$11)*NORMSINV($B833)+SQRT(1-S$9^2*$C$11)*NORMSINV(R833))*(S$7-S$5)*(S$6-S$5)),S$7-SQRT((1-NORMSDIST(S$9*SQRT($C$11)*NORMSINV($B833)+SQRT(1-S$9^2*$C$11)*NORMSINV(R833)))*(S$7-S$5)*(S$7-S$6))))</f>
        <v>0.872449338399425</v>
      </c>
      <c r="T833" s="2" t="n">
        <v>0.680413612</v>
      </c>
      <c r="U833" s="2" t="n">
        <f aca="false">IF(U$7=U$5,U$6,IF(NORMSDIST(U$9*SQRT($C$11)*NORMSINV($B833)+SQRT(1-U$9^2*$C$11)*NORMSINV(T833))&lt;U$8,U$5+SQRT(NORMSDIST(U$9*SQRT($C$11)*NORMSINV($B833)+SQRT(1-U$9^2*$C$11)*NORMSINV(T833))*(U$7-U$5)*(U$6-U$5)),U$7-SQRT((1-NORMSDIST(U$9*SQRT($C$11)*NORMSINV($B833)+SQRT(1-U$9^2*$C$11)*NORMSINV(T833)))*(U$7-U$5)*(U$7-U$6))))</f>
        <v>0.809929437289527</v>
      </c>
      <c r="V833" s="2" t="n">
        <v>0.419526518</v>
      </c>
      <c r="W833" s="2" t="n">
        <f aca="false">IF(W$7=W$5,W$6,IF(NORMSDIST(W$9*SQRT($C$11)*NORMSINV($B833)+SQRT(1-W$9^2*$C$11)*NORMSINV(V833))&lt;W$8,W$5+SQRT(NORMSDIST(W$9*SQRT($C$11)*NORMSINV($B833)+SQRT(1-W$9^2*$C$11)*NORMSINV(V833))*(W$7-W$5)*(W$6-W$5)),W$7-SQRT((1-NORMSDIST(W$9*SQRT($C$11)*NORMSINV($B833)+SQRT(1-W$9^2*$C$11)*NORMSINV(V833)))*(W$7-W$5)*(W$7-W$6))))</f>
        <v>10.8203749978232</v>
      </c>
      <c r="X833" s="2" t="n">
        <v>0.343757548</v>
      </c>
      <c r="Y833" s="2" t="n">
        <f aca="false">IF(Y$7=Y$5,Y$6,IF(NORMSDIST(Y$9*SQRT($C$11)*NORMSINV($B833)+SQRT(1-Y$9^2*$C$11)*NORMSINV(X833))&lt;Y$8,Y$5+SQRT(NORMSDIST(Y$9*SQRT($C$11)*NORMSINV($B833)+SQRT(1-Y$9^2*$C$11)*NORMSINV(X833))*(Y$7-Y$5)*(Y$6-Y$5)),Y$7-SQRT((1-NORMSDIST(Y$9*SQRT($C$11)*NORMSINV($B833)+SQRT(1-Y$9^2*$C$11)*NORMSINV(X833)))*(Y$7-Y$5)*(Y$7-Y$6))))</f>
        <v>0.414582650384697</v>
      </c>
      <c r="Z833" s="2" t="n">
        <v>0.882265427</v>
      </c>
      <c r="AA833" s="2" t="n">
        <f aca="false">IF(AA$7=AA$5,AA$6,IF(NORMSDIST(AA$9*SQRT($C$11)*NORMSINV($B833)+SQRT(1-AA$9^2*$C$11)*NORMSINV(Z833))&lt;AA$8,AA$5+SQRT(NORMSDIST(AA$9*SQRT($C$11)*NORMSINV($B833)+SQRT(1-AA$9^2*$C$11)*NORMSINV(Z833))*(AA$7-AA$5)*(AA$6-AA$5)),AA$7-SQRT((1-NORMSDIST(AA$9*SQRT($C$11)*NORMSINV($B833)+SQRT(1-AA$9^2*$C$11)*NORMSINV(Z833)))*(AA$7-AA$5)*(AA$7-AA$6))))</f>
        <v>0.748559800428892</v>
      </c>
      <c r="AB833" s="2" t="n">
        <v>0.972784146</v>
      </c>
      <c r="AC833" s="2" t="n">
        <f aca="false">IF(AC$7=AC$5,AC$6,IF(NORMSDIST(AC$9*SQRT($C$11)*NORMSINV($B833)+SQRT(1-AC$9^2*$C$11)*NORMSINV(AB833))&lt;AC$8,AC$5+SQRT(NORMSDIST(AC$9*SQRT($C$11)*NORMSINV($B833)+SQRT(1-AC$9^2*$C$11)*NORMSINV(AB833))*(AC$7-AC$5)*(AC$6-AC$5)),AC$7-SQRT((1-NORMSDIST(AC$9*SQRT($C$11)*NORMSINV($B833)+SQRT(1-AC$9^2*$C$11)*NORMSINV(AB833)))*(AC$7-AC$5)*(AC$7-AC$6))))</f>
        <v>10.8551552154796</v>
      </c>
      <c r="AD833" s="2" t="n">
        <f aca="false">Entrées!$C$8*(1+E833)</f>
        <v>7450.50264497718</v>
      </c>
      <c r="AE833" s="2" t="n">
        <f aca="false">I833*Hypothèses!$J$24/12/Hypothèses!$J$19</f>
        <v>101.649800301459</v>
      </c>
      <c r="AF833" s="2" t="n">
        <f aca="false">Entrées!$C$36*S833*1000</f>
        <v>436.224669199713</v>
      </c>
      <c r="AG833" s="2" t="n">
        <f aca="false">-AF833/W833</f>
        <v>-40.315115630232</v>
      </c>
      <c r="AH833" s="2" t="n">
        <f aca="false">AD833+AE833+AG833</f>
        <v>7511.8373296484</v>
      </c>
      <c r="AI833" s="2" t="n">
        <f aca="false">Entrées!$C$16-M833+Hypothèses!$J$22*1000-AF833+Hypothèses!$J$23</f>
        <v>22359.8632950794</v>
      </c>
      <c r="AJ833" s="2" t="n">
        <f aca="false">AI833/AH833</f>
        <v>2.97661707966272</v>
      </c>
      <c r="AK833" s="2" t="n">
        <f aca="false">AI833/(AH833+I833*(12-Hypothèses!$J$24)/12/Hypothèses!$J$19)</f>
        <v>2.94812148690149</v>
      </c>
      <c r="AL833" s="2" t="n">
        <f aca="false">(AD833+AG833+I833/Hypothèses!$J$19)*(1+G833)</f>
        <v>8093.23348407445</v>
      </c>
      <c r="AM833" s="2" t="n">
        <f aca="false">Entrées!$C$54*K833/Hypothèses!$J$19</f>
        <v>38.4347835455845</v>
      </c>
      <c r="AN833" s="2" t="n">
        <f aca="false">Y833*1000/AC833</f>
        <v>38.1922360532898</v>
      </c>
      <c r="AO833" s="2" t="n">
        <f aca="false">(Entrées!$C$36*(1-S833)+MAX(0,Entrées!$C$30-Entrées!$C$35-Entrées!$C$36)*U833)*1000</f>
        <v>1197.67654300562</v>
      </c>
      <c r="AP833" s="2" t="n">
        <f aca="false">-AO833/W833</f>
        <v>-110.687156706359</v>
      </c>
      <c r="AQ833" s="2" t="n">
        <f aca="false">AL833+AM833+AN833+AP833</f>
        <v>8059.17334696697</v>
      </c>
      <c r="AR833" s="2" t="n">
        <f aca="false">O833*AQ833-Hypothèses!$J$25/Hypothèses!$J$19</f>
        <v>1349.81109293261</v>
      </c>
      <c r="AS833" s="2" t="n">
        <f aca="false">Entrées!$C$79*(1+Q833)+Hypothèses!$J$20</f>
        <v>1484.55348199498</v>
      </c>
      <c r="AT833" s="2" t="n">
        <f aca="false">AI833-AR833+AS833+Y833*1000-AO833+Hypothèses!$J$23</f>
        <v>21711.5117915209</v>
      </c>
      <c r="AU833" s="2" t="n">
        <f aca="false">AT833/AQ833</f>
        <v>2.69401225867562</v>
      </c>
      <c r="AV833" s="2" t="n">
        <f aca="false">Hypothèses!$J$26*AQ833-AT833</f>
        <v>2466.00824938005</v>
      </c>
      <c r="AW833" s="2" t="n">
        <f aca="false">IF(AC833&gt;Hypothèses!$J$26,MAX(0,AV833)/(1-Hypothèses!$J$26/AC833),0)</f>
        <v>3407.81328635263</v>
      </c>
      <c r="AX833" s="2" t="n">
        <f aca="false">AQ833-Entrées!$C$17*1000</f>
        <v>59.1733469669653</v>
      </c>
      <c r="AY833" s="2" t="n">
        <f aca="false">AI833+(Entrées!$C$244-Entrées!$C$13)</f>
        <v>28106.8632950794</v>
      </c>
      <c r="AZ833" s="2" t="n">
        <f aca="false">AA833*AH833</f>
        <v>5623.05945233591</v>
      </c>
      <c r="BA833" s="2" t="n">
        <f aca="false">AZ833/AY833</f>
        <v>0.200060013573991</v>
      </c>
      <c r="BB833" s="2" t="n">
        <f aca="false">AZ833/(Entrées!$C$151/100)-AY833</f>
        <v>3132.35588456452</v>
      </c>
      <c r="BC833" s="2" t="n">
        <f aca="false">AT833+(Entrées!$C$244-Entrées!$C$13)</f>
        <v>27458.5117915209</v>
      </c>
      <c r="BD833" s="2" t="n">
        <f aca="false">AA833*AQ833</f>
        <v>6032.77319222743</v>
      </c>
      <c r="BE833" s="2" t="n">
        <f aca="false">BD833/BC833</f>
        <v>0.219705031286158</v>
      </c>
      <c r="BF833" s="2" t="n">
        <f aca="false">BD833/(Entrées!$C$151/100)-BC833</f>
        <v>6056.8948319649</v>
      </c>
      <c r="BG833" s="2" t="n">
        <f aca="false">MIN(AV833,BF833)</f>
        <v>2466.00824938005</v>
      </c>
      <c r="BH833" s="2" t="n">
        <f aca="false">IF(AC833&gt;Hypothèses!$J$26,MAX(0,BG833)/(1-Hypothèses!$J$26/AC833),0)</f>
        <v>3407.81328635263</v>
      </c>
    </row>
    <row r="834" customFormat="false" ht="15" hidden="false" customHeight="false" outlineLevel="0" collapsed="false">
      <c r="A834" s="2" t="n">
        <v>819</v>
      </c>
      <c r="B834" s="2" t="n">
        <v>0.17082592</v>
      </c>
      <c r="C834" s="2"/>
      <c r="D834" s="2" t="n">
        <v>0.957135984</v>
      </c>
      <c r="E834" s="2" t="n">
        <f aca="false">IF(E$7=E$5,E$6,IF(NORMSDIST(E$9*SQRT($C$11)*NORMSINV($B834)+SQRT(1-E$9^2*$C$11)*NORMSINV(D834))&lt;E$8,E$5+SQRT(NORMSDIST(E$9*SQRT($C$11)*NORMSINV($B834)+SQRT(1-E$9^2*$C$11)*NORMSINV(D834))*(E$7-E$5)*(E$6-E$5)),E$7-SQRT((1-NORMSDIST(E$9*SQRT($C$11)*NORMSINV($B834)+SQRT(1-E$9^2*$C$11)*NORMSINV(D834)))*(E$7-E$5)*(E$7-E$6))))</f>
        <v>0.0565882232219858</v>
      </c>
      <c r="F834" s="2" t="n">
        <v>0.403436071</v>
      </c>
      <c r="G834" s="2" t="n">
        <f aca="false">IF(G$7=G$5,G$6,IF(NORMSDIST(G$9*SQRT($C$11)*NORMSINV($B834)+SQRT(1-G$9^2*$C$11)*NORMSINV(F834))&lt;G$8,G$5+SQRT(NORMSDIST(G$9*SQRT($C$11)*NORMSINV($B834)+SQRT(1-G$9^2*$C$11)*NORMSINV(F834))*(G$7-G$5)*(G$6-G$5)),G$7-SQRT((1-NORMSDIST(G$9*SQRT($C$11)*NORMSINV($B834)+SQRT(1-G$9^2*$C$11)*NORMSINV(F834)))*(G$7-G$5)*(G$7-G$6))))</f>
        <v>0.0498256333076587</v>
      </c>
      <c r="H834" s="2" t="n">
        <v>0.962005876</v>
      </c>
      <c r="I834" s="2" t="n">
        <f aca="false">IF(I$7=I$5,I$6,IF(NORMSDIST(I$9*SQRT($C$11)*NORMSINV($B834)+SQRT(1-I$9^2*$C$11)*NORMSINV(H834))&lt;I$8,I$5+SQRT(NORMSDIST(I$9*SQRT($C$11)*NORMSINV($B834)+SQRT(1-I$9^2*$C$11)*NORMSINV(H834))*(I$7-I$5)*(I$6-I$5)),I$7-SQRT((1-NORMSDIST(I$9*SQRT($C$11)*NORMSINV($B834)+SQRT(1-I$9^2*$C$11)*NORMSINV(H834)))*(I$7-I$5)*(I$7-I$6))))</f>
        <v>206.741411189512</v>
      </c>
      <c r="J834" s="2" t="n">
        <v>0.364186196</v>
      </c>
      <c r="K834" s="2" t="n">
        <f aca="false">IF(K$7=K$5,K$6,IF(NORMSDIST(K$9*SQRT($C$11)*NORMSINV($B834)+SQRT(1-K$9^2*$C$11)*NORMSINV(J834))&lt;K$8,K$5+SQRT(NORMSDIST(K$9*SQRT($C$11)*NORMSINV($B834)+SQRT(1-K$9^2*$C$11)*NORMSINV(J834))*(K$7-K$5)*(K$6-K$5)),K$7-SQRT((1-NORMSDIST(K$9*SQRT($C$11)*NORMSINV($B834)+SQRT(1-K$9^2*$C$11)*NORMSINV(J834)))*(K$7-K$5)*(K$7-K$6))))</f>
        <v>0.154933985168251</v>
      </c>
      <c r="L834" s="2" t="n">
        <v>0.042975668</v>
      </c>
      <c r="M834" s="2" t="n">
        <f aca="false">IF(M$7=M$5,M$6,IF(NORMSDIST(M$9*SQRT($C$11)*NORMSINV($B834)+SQRT(1-M$9^2*$C$11)*NORMSINV(L834))&lt;M$8,M$5+SQRT(NORMSDIST(M$9*SQRT($C$11)*NORMSINV($B834)+SQRT(1-M$9^2*$C$11)*NORMSINV(L834))*(M$7-M$5)*(M$6-M$5)),M$7-SQRT((1-NORMSDIST(M$9*SQRT($C$11)*NORMSINV($B834)+SQRT(1-M$9^2*$C$11)*NORMSINV(L834)))*(M$7-M$5)*(M$7-M$6))))</f>
        <v>1368.4131871229</v>
      </c>
      <c r="N834" s="2" t="n">
        <v>0.847316532</v>
      </c>
      <c r="O834" s="2" t="n">
        <f aca="false">IF(O$7=O$5,O$6,IF(NORMSDIST(O$9*SQRT($C$11)*NORMSINV($B834)+SQRT(1-O$9^2*$C$11)*NORMSINV(N834))&lt;O$8,O$5+SQRT(NORMSDIST(O$9*SQRT($C$11)*NORMSINV($B834)+SQRT(1-O$9^2*$C$11)*NORMSINV(N834))*(O$7-O$5)*(O$6-O$5)),O$7-SQRT((1-NORMSDIST(O$9*SQRT($C$11)*NORMSINV($B834)+SQRT(1-O$9^2*$C$11)*NORMSINV(N834)))*(O$7-O$5)*(O$7-O$6))))</f>
        <v>0.168756869249058</v>
      </c>
      <c r="P834" s="2" t="n">
        <v>0.238139064</v>
      </c>
      <c r="Q834" s="2" t="n">
        <f aca="false">IF(Q$7=Q$5,Q$6,IF(NORMSDIST(Q$9*SQRT($C$11)*NORMSINV($B834)+SQRT(1-Q$9^2*$C$11)*NORMSINV(P834))&lt;Q$8,Q$5+SQRT(NORMSDIST(Q$9*SQRT($C$11)*NORMSINV($B834)+SQRT(1-Q$9^2*$C$11)*NORMSINV(P834))*(Q$7-Q$5)*(Q$6-Q$5)),Q$7-SQRT((1-NORMSDIST(Q$9*SQRT($C$11)*NORMSINV($B834)+SQRT(1-Q$9^2*$C$11)*NORMSINV(P834)))*(Q$7-Q$5)*(Q$7-Q$6))))</f>
        <v>0.0676051626475918</v>
      </c>
      <c r="R834" s="2" t="n">
        <v>0.105917547</v>
      </c>
      <c r="S834" s="2" t="n">
        <f aca="false">IF(S$7=S$5,S$6,IF(NORMSDIST(S$9*SQRT($C$11)*NORMSINV($B834)+SQRT(1-S$9^2*$C$11)*NORMSINV(R834))&lt;S$8,S$5+SQRT(NORMSDIST(S$9*SQRT($C$11)*NORMSINV($B834)+SQRT(1-S$9^2*$C$11)*NORMSINV(R834))*(S$7-S$5)*(S$6-S$5)),S$7-SQRT((1-NORMSDIST(S$9*SQRT($C$11)*NORMSINV($B834)+SQRT(1-S$9^2*$C$11)*NORMSINV(R834)))*(S$7-S$5)*(S$7-S$6))))</f>
        <v>0.170851136364918</v>
      </c>
      <c r="T834" s="2" t="n">
        <v>0.192173459</v>
      </c>
      <c r="U834" s="2" t="n">
        <f aca="false">IF(U$7=U$5,U$6,IF(NORMSDIST(U$9*SQRT($C$11)*NORMSINV($B834)+SQRT(1-U$9^2*$C$11)*NORMSINV(T834))&lt;U$8,U$5+SQRT(NORMSDIST(U$9*SQRT($C$11)*NORMSINV($B834)+SQRT(1-U$9^2*$C$11)*NORMSINV(T834))*(U$7-U$5)*(U$6-U$5)),U$7-SQRT((1-NORMSDIST(U$9*SQRT($C$11)*NORMSINV($B834)+SQRT(1-U$9^2*$C$11)*NORMSINV(T834)))*(U$7-U$5)*(U$7-U$6))))</f>
        <v>0.224846931904205</v>
      </c>
      <c r="V834" s="2" t="n">
        <v>0.231599864</v>
      </c>
      <c r="W834" s="2" t="n">
        <f aca="false">IF(W$7=W$5,W$6,IF(NORMSDIST(W$9*SQRT($C$11)*NORMSINV($B834)+SQRT(1-W$9^2*$C$11)*NORMSINV(V834))&lt;W$8,W$5+SQRT(NORMSDIST(W$9*SQRT($C$11)*NORMSINV($B834)+SQRT(1-W$9^2*$C$11)*NORMSINV(V834))*(W$7-W$5)*(W$6-W$5)),W$7-SQRT((1-NORMSDIST(W$9*SQRT($C$11)*NORMSINV($B834)+SQRT(1-W$9^2*$C$11)*NORMSINV(V834)))*(W$7-W$5)*(W$7-W$6))))</f>
        <v>8.98416550364321</v>
      </c>
      <c r="X834" s="2" t="n">
        <v>0.470902436</v>
      </c>
      <c r="Y834" s="2" t="n">
        <f aca="false">IF(Y$7=Y$5,Y$6,IF(NORMSDIST(Y$9*SQRT($C$11)*NORMSINV($B834)+SQRT(1-Y$9^2*$C$11)*NORMSINV(X834))&lt;Y$8,Y$5+SQRT(NORMSDIST(Y$9*SQRT($C$11)*NORMSINV($B834)+SQRT(1-Y$9^2*$C$11)*NORMSINV(X834))*(Y$7-Y$5)*(Y$6-Y$5)),Y$7-SQRT((1-NORMSDIST(Y$9*SQRT($C$11)*NORMSINV($B834)+SQRT(1-Y$9^2*$C$11)*NORMSINV(X834)))*(Y$7-Y$5)*(Y$7-Y$6))))</f>
        <v>0.485233158388831</v>
      </c>
      <c r="Z834" s="2" t="n">
        <v>0.922609937</v>
      </c>
      <c r="AA834" s="2" t="n">
        <f aca="false">IF(AA$7=AA$5,AA$6,IF(NORMSDIST(AA$9*SQRT($C$11)*NORMSINV($B834)+SQRT(1-AA$9^2*$C$11)*NORMSINV(Z834))&lt;AA$8,AA$5+SQRT(NORMSDIST(AA$9*SQRT($C$11)*NORMSINV($B834)+SQRT(1-AA$9^2*$C$11)*NORMSINV(Z834))*(AA$7-AA$5)*(AA$6-AA$5)),AA$7-SQRT((1-NORMSDIST(AA$9*SQRT($C$11)*NORMSINV($B834)+SQRT(1-AA$9^2*$C$11)*NORMSINV(Z834)))*(AA$7-AA$5)*(AA$7-AA$6))))</f>
        <v>0.73396377774318</v>
      </c>
      <c r="AB834" s="2" t="n">
        <v>0.875495087</v>
      </c>
      <c r="AC834" s="2" t="n">
        <f aca="false">IF(AC$7=AC$5,AC$6,IF(NORMSDIST(AC$9*SQRT($C$11)*NORMSINV($B834)+SQRT(1-AC$9^2*$C$11)*NORMSINV(AB834))&lt;AC$8,AC$5+SQRT(NORMSDIST(AC$9*SQRT($C$11)*NORMSINV($B834)+SQRT(1-AC$9^2*$C$11)*NORMSINV(AB834))*(AC$7-AC$5)*(AC$6-AC$5)),AC$7-SQRT((1-NORMSDIST(AC$9*SQRT($C$11)*NORMSINV($B834)+SQRT(1-AC$9^2*$C$11)*NORMSINV(AB834)))*(AC$7-AC$5)*(AC$7-AC$6))))</f>
        <v>9.70450945356827</v>
      </c>
      <c r="AD834" s="2" t="n">
        <f aca="false">Entrées!$C$8*(1+E834)</f>
        <v>7448.946973715</v>
      </c>
      <c r="AE834" s="2" t="n">
        <f aca="false">I834*Hypothèses!$J$24/12/Hypothèses!$J$19</f>
        <v>102.563752389489</v>
      </c>
      <c r="AF834" s="2" t="n">
        <f aca="false">Entrées!$C$36*S834*1000</f>
        <v>85.4255681824591</v>
      </c>
      <c r="AG834" s="2" t="n">
        <f aca="false">-AF834/W834</f>
        <v>-9.50845887109022</v>
      </c>
      <c r="AH834" s="2" t="n">
        <f aca="false">AD834+AE834+AG834</f>
        <v>7542.0022672334</v>
      </c>
      <c r="AI834" s="2" t="n">
        <f aca="false">Entrées!$C$16-M834+Hypothèses!$J$22*1000-AF834+Hypothèses!$J$23</f>
        <v>23094.1612446946</v>
      </c>
      <c r="AJ834" s="2" t="n">
        <f aca="false">AI834/AH834</f>
        <v>3.06207296503057</v>
      </c>
      <c r="AK834" s="2" t="n">
        <f aca="false">AI834/(AH834+I834*(12-Hypothèses!$J$24)/12/Hypothèses!$J$19)</f>
        <v>3.03261542027589</v>
      </c>
      <c r="AL834" s="2" t="n">
        <f aca="false">(AD834+AG834+I834/Hypothèses!$J$19)*(1+G834)</f>
        <v>7994.69734682518</v>
      </c>
      <c r="AM834" s="2" t="n">
        <f aca="false">Entrées!$C$54*K834/Hypothèses!$J$19</f>
        <v>15.8116637121858</v>
      </c>
      <c r="AN834" s="2" t="n">
        <f aca="false">Y834*1000/AC834</f>
        <v>50.000791973098</v>
      </c>
      <c r="AO834" s="2" t="n">
        <f aca="false">(Entrées!$C$36*(1-S834)+MAX(0,Entrées!$C$30-Entrées!$C$35-Entrées!$C$36)*U834)*1000</f>
        <v>729.360136483428</v>
      </c>
      <c r="AP834" s="2" t="n">
        <f aca="false">-AO834/W834</f>
        <v>-81.1828473315259</v>
      </c>
      <c r="AQ834" s="2" t="n">
        <f aca="false">AL834+AM834+AN834+AP834</f>
        <v>7979.32695517893</v>
      </c>
      <c r="AR834" s="2" t="n">
        <f aca="false">O834*AQ834-Hypothèses!$J$25/Hypothèses!$J$19</f>
        <v>1327.43107340899</v>
      </c>
      <c r="AS834" s="2" t="n">
        <f aca="false">Entrées!$C$79*(1+Q834)+Hypothèses!$J$20</f>
        <v>1468.2980737497</v>
      </c>
      <c r="AT834" s="2" t="n">
        <f aca="false">AI834-AR834+AS834+Y834*1000-AO834+Hypothèses!$J$23</f>
        <v>22990.9012669408</v>
      </c>
      <c r="AU834" s="2" t="n">
        <f aca="false">AT834/AQ834</f>
        <v>2.88130833541276</v>
      </c>
      <c r="AV834" s="2" t="n">
        <f aca="false">Hypothèses!$J$26*AQ834-AT834</f>
        <v>947.079598596043</v>
      </c>
      <c r="AW834" s="2" t="n">
        <f aca="false">IF(AC834&gt;Hypothèses!$J$26,MAX(0,AV834)/(1-Hypothèses!$J$26/AC834),0)</f>
        <v>1370.85986402262</v>
      </c>
      <c r="AX834" s="2" t="n">
        <f aca="false">AQ834-Entrées!$C$17*1000</f>
        <v>-20.6730448210665</v>
      </c>
      <c r="AY834" s="2" t="n">
        <f aca="false">AI834+(Entrées!$C$244-Entrées!$C$13)</f>
        <v>28841.1612446946</v>
      </c>
      <c r="AZ834" s="2" t="n">
        <f aca="false">AA834*AH834</f>
        <v>5535.55647580626</v>
      </c>
      <c r="BA834" s="2" t="n">
        <f aca="false">AZ834/AY834</f>
        <v>0.19193251023568</v>
      </c>
      <c r="BB834" s="2" t="n">
        <f aca="false">AZ834/(Entrées!$C$151/100)-AY834</f>
        <v>1911.93028756233</v>
      </c>
      <c r="BC834" s="2" t="n">
        <f aca="false">AT834+(Entrées!$C$244-Entrées!$C$13)</f>
        <v>28737.9012669408</v>
      </c>
      <c r="BD834" s="2" t="n">
        <f aca="false">AA834*AQ834</f>
        <v>5856.53695587112</v>
      </c>
      <c r="BE834" s="2" t="n">
        <f aca="false">BD834/BC834</f>
        <v>0.203791393862443</v>
      </c>
      <c r="BF834" s="2" t="n">
        <f aca="false">BD834/(Entrées!$C$151/100)-BC834</f>
        <v>3798.41515456546</v>
      </c>
      <c r="BG834" s="2" t="n">
        <f aca="false">MIN(AV834,BF834)</f>
        <v>947.079598596043</v>
      </c>
      <c r="BH834" s="2" t="n">
        <f aca="false">IF(AC834&gt;Hypothèses!$J$26,MAX(0,BG834)/(1-Hypothèses!$J$26/AC834),0)</f>
        <v>1370.85986402262</v>
      </c>
    </row>
    <row r="835" customFormat="false" ht="15" hidden="false" customHeight="false" outlineLevel="0" collapsed="false">
      <c r="A835" s="2" t="n">
        <v>820</v>
      </c>
      <c r="B835" s="2" t="n">
        <v>0.368393632</v>
      </c>
      <c r="C835" s="2"/>
      <c r="D835" s="2" t="n">
        <v>0.353444669</v>
      </c>
      <c r="E835" s="2" t="n">
        <f aca="false">IF(E$7=E$5,E$6,IF(NORMSDIST(E$9*SQRT($C$11)*NORMSINV($B835)+SQRT(1-E$9^2*$C$11)*NORMSINV(D835))&lt;E$8,E$5+SQRT(NORMSDIST(E$9*SQRT($C$11)*NORMSINV($B835)+SQRT(1-E$9^2*$C$11)*NORMSINV(D835))*(E$7-E$5)*(E$6-E$5)),E$7-SQRT((1-NORMSDIST(E$9*SQRT($C$11)*NORMSINV($B835)+SQRT(1-E$9^2*$C$11)*NORMSINV(D835)))*(E$7-E$5)*(E$7-E$6))))</f>
        <v>0.0539190726443463</v>
      </c>
      <c r="F835" s="2" t="n">
        <v>0.721159381</v>
      </c>
      <c r="G835" s="2" t="n">
        <f aca="false">IF(G$7=G$5,G$6,IF(NORMSDIST(G$9*SQRT($C$11)*NORMSINV($B835)+SQRT(1-G$9^2*$C$11)*NORMSINV(F835))&lt;G$8,G$5+SQRT(NORMSDIST(G$9*SQRT($C$11)*NORMSINV($B835)+SQRT(1-G$9^2*$C$11)*NORMSINV(F835))*(G$7-G$5)*(G$6-G$5)),G$7-SQRT((1-NORMSDIST(G$9*SQRT($C$11)*NORMSINV($B835)+SQRT(1-G$9^2*$C$11)*NORMSINV(F835)))*(G$7-G$5)*(G$7-G$6))))</f>
        <v>0.0565073416664938</v>
      </c>
      <c r="H835" s="2" t="n">
        <v>0.20915272</v>
      </c>
      <c r="I835" s="2" t="n">
        <f aca="false">IF(I$7=I$5,I$6,IF(NORMSDIST(I$9*SQRT($C$11)*NORMSINV($B835)+SQRT(1-I$9^2*$C$11)*NORMSINV(H835))&lt;I$8,I$5+SQRT(NORMSDIST(I$9*SQRT($C$11)*NORMSINV($B835)+SQRT(1-I$9^2*$C$11)*NORMSINV(H835))*(I$7-I$5)*(I$6-I$5)),I$7-SQRT((1-NORMSDIST(I$9*SQRT($C$11)*NORMSINV($B835)+SQRT(1-I$9^2*$C$11)*NORMSINV(H835)))*(I$7-I$5)*(I$7-I$6))))</f>
        <v>192.667837090853</v>
      </c>
      <c r="J835" s="2" t="n">
        <v>0.834262164</v>
      </c>
      <c r="K835" s="2" t="n">
        <f aca="false">IF(K$7=K$5,K$6,IF(NORMSDIST(K$9*SQRT($C$11)*NORMSINV($B835)+SQRT(1-K$9^2*$C$11)*NORMSINV(J835))&lt;K$8,K$5+SQRT(NORMSDIST(K$9*SQRT($C$11)*NORMSINV($B835)+SQRT(1-K$9^2*$C$11)*NORMSINV(J835))*(K$7-K$5)*(K$6-K$5)),K$7-SQRT((1-NORMSDIST(K$9*SQRT($C$11)*NORMSINV($B835)+SQRT(1-K$9^2*$C$11)*NORMSINV(J835)))*(K$7-K$5)*(K$7-K$6))))</f>
        <v>0.308065139833988</v>
      </c>
      <c r="L835" s="2" t="n">
        <v>0.661034265</v>
      </c>
      <c r="M835" s="2" t="n">
        <f aca="false">IF(M$7=M$5,M$6,IF(NORMSDIST(M$9*SQRT($C$11)*NORMSINV($B835)+SQRT(1-M$9^2*$C$11)*NORMSINV(L835))&lt;M$8,M$5+SQRT(NORMSDIST(M$9*SQRT($C$11)*NORMSINV($B835)+SQRT(1-M$9^2*$C$11)*NORMSINV(L835))*(M$7-M$5)*(M$6-M$5)),M$7-SQRT((1-NORMSDIST(M$9*SQRT($C$11)*NORMSINV($B835)+SQRT(1-M$9^2*$C$11)*NORMSINV(L835)))*(M$7-M$5)*(M$7-M$6))))</f>
        <v>1597.35259684713</v>
      </c>
      <c r="N835" s="2" t="n">
        <v>0.183738777</v>
      </c>
      <c r="O835" s="2" t="n">
        <f aca="false">IF(O$7=O$5,O$6,IF(NORMSDIST(O$9*SQRT($C$11)*NORMSINV($B835)+SQRT(1-O$9^2*$C$11)*NORMSINV(N835))&lt;O$8,O$5+SQRT(NORMSDIST(O$9*SQRT($C$11)*NORMSINV($B835)+SQRT(1-O$9^2*$C$11)*NORMSINV(N835))*(O$7-O$5)*(O$6-O$5)),O$7-SQRT((1-NORMSDIST(O$9*SQRT($C$11)*NORMSINV($B835)+SQRT(1-O$9^2*$C$11)*NORMSINV(N835)))*(O$7-O$5)*(O$7-O$6))))</f>
        <v>0.156125973420467</v>
      </c>
      <c r="P835" s="2" t="n">
        <v>0.807316811</v>
      </c>
      <c r="Q835" s="2" t="n">
        <f aca="false">IF(Q$7=Q$5,Q$6,IF(NORMSDIST(Q$9*SQRT($C$11)*NORMSINV($B835)+SQRT(1-Q$9^2*$C$11)*NORMSINV(P835))&lt;Q$8,Q$5+SQRT(NORMSDIST(Q$9*SQRT($C$11)*NORMSINV($B835)+SQRT(1-Q$9^2*$C$11)*NORMSINV(P835))*(Q$7-Q$5)*(Q$6-Q$5)),Q$7-SQRT((1-NORMSDIST(Q$9*SQRT($C$11)*NORMSINV($B835)+SQRT(1-Q$9^2*$C$11)*NORMSINV(P835)))*(Q$7-Q$5)*(Q$7-Q$6))))</f>
        <v>0.0951688460840017</v>
      </c>
      <c r="R835" s="2" t="n">
        <v>0.356882787</v>
      </c>
      <c r="S835" s="2" t="n">
        <f aca="false">IF(S$7=S$5,S$6,IF(NORMSDIST(S$9*SQRT($C$11)*NORMSINV($B835)+SQRT(1-S$9^2*$C$11)*NORMSINV(R835))&lt;S$8,S$5+SQRT(NORMSDIST(S$9*SQRT($C$11)*NORMSINV($B835)+SQRT(1-S$9^2*$C$11)*NORMSINV(R835))*(S$7-S$5)*(S$6-S$5)),S$7-SQRT((1-NORMSDIST(S$9*SQRT($C$11)*NORMSINV($B835)+SQRT(1-S$9^2*$C$11)*NORMSINV(R835)))*(S$7-S$5)*(S$7-S$6))))</f>
        <v>0.393510051803776</v>
      </c>
      <c r="T835" s="2" t="n">
        <v>0.520480739</v>
      </c>
      <c r="U835" s="2" t="n">
        <f aca="false">IF(U$7=U$5,U$6,IF(NORMSDIST(U$9*SQRT($C$11)*NORMSINV($B835)+SQRT(1-U$9^2*$C$11)*NORMSINV(T835))&lt;U$8,U$5+SQRT(NORMSDIST(U$9*SQRT($C$11)*NORMSINV($B835)+SQRT(1-U$9^2*$C$11)*NORMSINV(T835))*(U$7-U$5)*(U$6-U$5)),U$7-SQRT((1-NORMSDIST(U$9*SQRT($C$11)*NORMSINV($B835)+SQRT(1-U$9^2*$C$11)*NORMSINV(T835)))*(U$7-U$5)*(U$7-U$6))))</f>
        <v>0.464439208666245</v>
      </c>
      <c r="V835" s="2" t="n">
        <v>0.762214762</v>
      </c>
      <c r="W835" s="2" t="n">
        <f aca="false">IF(W$7=W$5,W$6,IF(NORMSDIST(W$9*SQRT($C$11)*NORMSINV($B835)+SQRT(1-W$9^2*$C$11)*NORMSINV(V835))&lt;W$8,W$5+SQRT(NORMSDIST(W$9*SQRT($C$11)*NORMSINV($B835)+SQRT(1-W$9^2*$C$11)*NORMSINV(V835))*(W$7-W$5)*(W$6-W$5)),W$7-SQRT((1-NORMSDIST(W$9*SQRT($C$11)*NORMSINV($B835)+SQRT(1-W$9^2*$C$11)*NORMSINV(V835)))*(W$7-W$5)*(W$7-W$6))))</f>
        <v>10.2867414861857</v>
      </c>
      <c r="X835" s="2" t="n">
        <v>0.570129683</v>
      </c>
      <c r="Y835" s="2" t="n">
        <f aca="false">IF(Y$7=Y$5,Y$6,IF(NORMSDIST(Y$9*SQRT($C$11)*NORMSINV($B835)+SQRT(1-Y$9^2*$C$11)*NORMSINV(X835))&lt;Y$8,Y$5+SQRT(NORMSDIST(Y$9*SQRT($C$11)*NORMSINV($B835)+SQRT(1-Y$9^2*$C$11)*NORMSINV(X835))*(Y$7-Y$5)*(Y$6-Y$5)),Y$7-SQRT((1-NORMSDIST(Y$9*SQRT($C$11)*NORMSINV($B835)+SQRT(1-Y$9^2*$C$11)*NORMSINV(X835)))*(Y$7-Y$5)*(Y$7-Y$6))))</f>
        <v>0.536389000885441</v>
      </c>
      <c r="Z835" s="2" t="n">
        <v>0.523439964</v>
      </c>
      <c r="AA835" s="2" t="n">
        <f aca="false">IF(AA$7=AA$5,AA$6,IF(NORMSDIST(AA$9*SQRT($C$11)*NORMSINV($B835)+SQRT(1-AA$9^2*$C$11)*NORMSINV(Z835))&lt;AA$8,AA$5+SQRT(NORMSDIST(AA$9*SQRT($C$11)*NORMSINV($B835)+SQRT(1-AA$9^2*$C$11)*NORMSINV(Z835))*(AA$7-AA$5)*(AA$6-AA$5)),AA$7-SQRT((1-NORMSDIST(AA$9*SQRT($C$11)*NORMSINV($B835)+SQRT(1-AA$9^2*$C$11)*NORMSINV(Z835)))*(AA$7-AA$5)*(AA$7-AA$6))))</f>
        <v>0.725803042876496</v>
      </c>
      <c r="AB835" s="2" t="n">
        <v>0.566561194</v>
      </c>
      <c r="AC835" s="2" t="n">
        <f aca="false">IF(AC$7=AC$5,AC$6,IF(NORMSDIST(AC$9*SQRT($C$11)*NORMSINV($B835)+SQRT(1-AC$9^2*$C$11)*NORMSINV(AB835))&lt;AC$8,AC$5+SQRT(NORMSDIST(AC$9*SQRT($C$11)*NORMSINV($B835)+SQRT(1-AC$9^2*$C$11)*NORMSINV(AB835))*(AC$7-AC$5)*(AC$6-AC$5)),AC$7-SQRT((1-NORMSDIST(AC$9*SQRT($C$11)*NORMSINV($B835)+SQRT(1-AC$9^2*$C$11)*NORMSINV(AB835)))*(AC$7-AC$5)*(AC$7-AC$6))))</f>
        <v>9.40876995527691</v>
      </c>
      <c r="AD835" s="2" t="n">
        <f aca="false">Entrées!$C$8*(1+E835)</f>
        <v>7430.12946214264</v>
      </c>
      <c r="AE835" s="2" t="n">
        <f aca="false">I835*Hypothèses!$J$24/12/Hypothèses!$J$19</f>
        <v>95.5818973233701</v>
      </c>
      <c r="AF835" s="2" t="n">
        <f aca="false">Entrées!$C$36*S835*1000</f>
        <v>196.755025901888</v>
      </c>
      <c r="AG835" s="2" t="n">
        <f aca="false">-AF835/W835</f>
        <v>-19.1270506958996</v>
      </c>
      <c r="AH835" s="2" t="n">
        <f aca="false">AD835+AE835+AG835</f>
        <v>7506.58430877011</v>
      </c>
      <c r="AI835" s="2" t="n">
        <f aca="false">Entrées!$C$16-M835+Hypothèses!$J$22*1000-AF835+Hypothèses!$J$23</f>
        <v>22753.892377251</v>
      </c>
      <c r="AJ835" s="2" t="n">
        <f aca="false">AI835/AH835</f>
        <v>3.03119121045068</v>
      </c>
      <c r="AK835" s="2" t="n">
        <f aca="false">AI835/(AH835+I835*(12-Hypothèses!$J$24)/12/Hypothèses!$J$19)</f>
        <v>3.00387084524171</v>
      </c>
      <c r="AL835" s="2" t="n">
        <f aca="false">(AD835+AG835+I835/Hypothèses!$J$19)*(1+G835)</f>
        <v>8002.89213037738</v>
      </c>
      <c r="AM835" s="2" t="n">
        <f aca="false">Entrées!$C$54*K835/Hypothèses!$J$19</f>
        <v>31.4393410019939</v>
      </c>
      <c r="AN835" s="2" t="n">
        <f aca="false">Y835*1000/AC835</f>
        <v>57.0094713161317</v>
      </c>
      <c r="AO835" s="2" t="n">
        <f aca="false">(Entrées!$C$36*(1-S835)+MAX(0,Entrées!$C$30-Entrées!$C$35-Entrées!$C$36)*U835)*1000</f>
        <v>953.459866230856</v>
      </c>
      <c r="AP835" s="2" t="n">
        <f aca="false">-AO835/W835</f>
        <v>-92.6882305257963</v>
      </c>
      <c r="AQ835" s="2" t="n">
        <f aca="false">AL835+AM835+AN835+AP835</f>
        <v>7998.65271216971</v>
      </c>
      <c r="AR835" s="2" t="n">
        <f aca="false">O835*AQ835-Hypothèses!$J$25/Hypothèses!$J$19</f>
        <v>1229.66227847813</v>
      </c>
      <c r="AS835" s="2" t="n">
        <f aca="false">Entrées!$C$79*(1+Q835)+Hypothèses!$J$20</f>
        <v>1498.59056184632</v>
      </c>
      <c r="AT835" s="2" t="n">
        <f aca="false">AI835-AR835+AS835+Y835*1000-AO835+Hypothèses!$J$23</f>
        <v>22605.7497952738</v>
      </c>
      <c r="AU835" s="2" t="n">
        <f aca="false">AT835/AQ835</f>
        <v>2.82619468662263</v>
      </c>
      <c r="AV835" s="2" t="n">
        <f aca="false">Hypothèses!$J$26*AQ835-AT835</f>
        <v>1390.20834123538</v>
      </c>
      <c r="AW835" s="2" t="n">
        <f aca="false">IF(AC835&gt;Hypothèses!$J$26,MAX(0,AV835)/(1-Hypothèses!$J$26/AC835),0)</f>
        <v>2040.97674965236</v>
      </c>
      <c r="AX835" s="2" t="n">
        <f aca="false">AQ835-Entrées!$C$17*1000</f>
        <v>-1.34728783029095</v>
      </c>
      <c r="AY835" s="2" t="n">
        <f aca="false">AI835+(Entrées!$C$244-Entrées!$C$13)</f>
        <v>28500.892377251</v>
      </c>
      <c r="AZ835" s="2" t="n">
        <f aca="false">AA835*AH835</f>
        <v>5448.3017329143</v>
      </c>
      <c r="BA835" s="2" t="n">
        <f aca="false">AZ835/AY835</f>
        <v>0.191162496275487</v>
      </c>
      <c r="BB835" s="2" t="n">
        <f aca="false">AZ835/(Entrées!$C$151/100)-AY835</f>
        <v>1767.45058338404</v>
      </c>
      <c r="BC835" s="2" t="n">
        <f aca="false">AT835+(Entrées!$C$244-Entrées!$C$13)</f>
        <v>28352.7497952738</v>
      </c>
      <c r="BD835" s="2" t="n">
        <f aca="false">AA835*AQ835</f>
        <v>5805.44647740511</v>
      </c>
      <c r="BE835" s="2" t="n">
        <f aca="false">BD835/BC835</f>
        <v>0.204757793135566</v>
      </c>
      <c r="BF835" s="2" t="n">
        <f aca="false">BD835/(Entrées!$C$151/100)-BC835</f>
        <v>3899.73063475464</v>
      </c>
      <c r="BG835" s="2" t="n">
        <f aca="false">MIN(AV835,BF835)</f>
        <v>1390.20834123538</v>
      </c>
      <c r="BH835" s="2" t="n">
        <f aca="false">IF(AC835&gt;Hypothèses!$J$26,MAX(0,BG835)/(1-Hypothèses!$J$26/AC835),0)</f>
        <v>2040.97674965236</v>
      </c>
    </row>
    <row r="836" customFormat="false" ht="15" hidden="false" customHeight="false" outlineLevel="0" collapsed="false">
      <c r="A836" s="2" t="n">
        <v>821</v>
      </c>
      <c r="B836" s="2" t="n">
        <v>0.894279787</v>
      </c>
      <c r="C836" s="2"/>
      <c r="D836" s="2" t="n">
        <v>0.908089266</v>
      </c>
      <c r="E836" s="2" t="n">
        <f aca="false">IF(E$7=E$5,E$6,IF(NORMSDIST(E$9*SQRT($C$11)*NORMSINV($B836)+SQRT(1-E$9^2*$C$11)*NORMSINV(D836))&lt;E$8,E$5+SQRT(NORMSDIST(E$9*SQRT($C$11)*NORMSINV($B836)+SQRT(1-E$9^2*$C$11)*NORMSINV(D836))*(E$7-E$5)*(E$6-E$5)),E$7-SQRT((1-NORMSDIST(E$9*SQRT($C$11)*NORMSINV($B836)+SQRT(1-E$9^2*$C$11)*NORMSINV(D836)))*(E$7-E$5)*(E$7-E$6))))</f>
        <v>0.0586886515473869</v>
      </c>
      <c r="F836" s="2" t="n">
        <v>0.325682452</v>
      </c>
      <c r="G836" s="2" t="n">
        <f aca="false">IF(G$7=G$5,G$6,IF(NORMSDIST(G$9*SQRT($C$11)*NORMSINV($B836)+SQRT(1-G$9^2*$C$11)*NORMSINV(F836))&lt;G$8,G$5+SQRT(NORMSDIST(G$9*SQRT($C$11)*NORMSINV($B836)+SQRT(1-G$9^2*$C$11)*NORMSINV(F836))*(G$7-G$5)*(G$6-G$5)),G$7-SQRT((1-NORMSDIST(G$9*SQRT($C$11)*NORMSINV($B836)+SQRT(1-G$9^2*$C$11)*NORMSINV(F836)))*(G$7-G$5)*(G$7-G$6))))</f>
        <v>0.0578166026457226</v>
      </c>
      <c r="H836" s="2" t="n">
        <v>0.522824574</v>
      </c>
      <c r="I836" s="2" t="n">
        <f aca="false">IF(I$7=I$5,I$6,IF(NORMSDIST(I$9*SQRT($C$11)*NORMSINV($B836)+SQRT(1-I$9^2*$C$11)*NORMSINV(H836))&lt;I$8,I$5+SQRT(NORMSDIST(I$9*SQRT($C$11)*NORMSINV($B836)+SQRT(1-I$9^2*$C$11)*NORMSINV(H836))*(I$7-I$5)*(I$6-I$5)),I$7-SQRT((1-NORMSDIST(I$9*SQRT($C$11)*NORMSINV($B836)+SQRT(1-I$9^2*$C$11)*NORMSINV(H836)))*(I$7-I$5)*(I$7-I$6))))</f>
        <v>207.289288326051</v>
      </c>
      <c r="J836" s="2" t="n">
        <v>0.930059374</v>
      </c>
      <c r="K836" s="2" t="n">
        <f aca="false">IF(K$7=K$5,K$6,IF(NORMSDIST(K$9*SQRT($C$11)*NORMSINV($B836)+SQRT(1-K$9^2*$C$11)*NORMSINV(J836))&lt;K$8,K$5+SQRT(NORMSDIST(K$9*SQRT($C$11)*NORMSINV($B836)+SQRT(1-K$9^2*$C$11)*NORMSINV(J836))*(K$7-K$5)*(K$6-K$5)),K$7-SQRT((1-NORMSDIST(K$9*SQRT($C$11)*NORMSINV($B836)+SQRT(1-K$9^2*$C$11)*NORMSINV(J836)))*(K$7-K$5)*(K$7-K$6))))</f>
        <v>0.442371682810929</v>
      </c>
      <c r="L836" s="2" t="n">
        <v>0.116967608</v>
      </c>
      <c r="M836" s="2" t="n">
        <f aca="false">IF(M$7=M$5,M$6,IF(NORMSDIST(M$9*SQRT($C$11)*NORMSINV($B836)+SQRT(1-M$9^2*$C$11)*NORMSINV(L836))&lt;M$8,M$5+SQRT(NORMSDIST(M$9*SQRT($C$11)*NORMSINV($B836)+SQRT(1-M$9^2*$C$11)*NORMSINV(L836))*(M$7-M$5)*(M$6-M$5)),M$7-SQRT((1-NORMSDIST(M$9*SQRT($C$11)*NORMSINV($B836)+SQRT(1-M$9^2*$C$11)*NORMSINV(L836)))*(M$7-M$5)*(M$7-M$6))))</f>
        <v>1570.16477762663</v>
      </c>
      <c r="N836" s="2" t="n">
        <v>0.119091172</v>
      </c>
      <c r="O836" s="2" t="n">
        <f aca="false">IF(O$7=O$5,O$6,IF(NORMSDIST(O$9*SQRT($C$11)*NORMSINV($B836)+SQRT(1-O$9^2*$C$11)*NORMSINV(N836))&lt;O$8,O$5+SQRT(NORMSDIST(O$9*SQRT($C$11)*NORMSINV($B836)+SQRT(1-O$9^2*$C$11)*NORMSINV(N836))*(O$7-O$5)*(O$6-O$5)),O$7-SQRT((1-NORMSDIST(O$9*SQRT($C$11)*NORMSINV($B836)+SQRT(1-O$9^2*$C$11)*NORMSINV(N836)))*(O$7-O$5)*(O$7-O$6))))</f>
        <v>0.165435889835257</v>
      </c>
      <c r="P836" s="2" t="n">
        <v>0.296132219</v>
      </c>
      <c r="Q836" s="2" t="n">
        <f aca="false">IF(Q$7=Q$5,Q$6,IF(NORMSDIST(Q$9*SQRT($C$11)*NORMSINV($B836)+SQRT(1-Q$9^2*$C$11)*NORMSINV(P836))&lt;Q$8,Q$5+SQRT(NORMSDIST(Q$9*SQRT($C$11)*NORMSINV($B836)+SQRT(1-Q$9^2*$C$11)*NORMSINV(P836))*(Q$7-Q$5)*(Q$6-Q$5)),Q$7-SQRT((1-NORMSDIST(Q$9*SQRT($C$11)*NORMSINV($B836)+SQRT(1-Q$9^2*$C$11)*NORMSINV(P836)))*(Q$7-Q$5)*(Q$7-Q$6))))</f>
        <v>0.0707834874697459</v>
      </c>
      <c r="R836" s="2" t="n">
        <v>0.710942328</v>
      </c>
      <c r="S836" s="2" t="n">
        <f aca="false">IF(S$7=S$5,S$6,IF(NORMSDIST(S$9*SQRT($C$11)*NORMSINV($B836)+SQRT(1-S$9^2*$C$11)*NORMSINV(R836))&lt;S$8,S$5+SQRT(NORMSDIST(S$9*SQRT($C$11)*NORMSINV($B836)+SQRT(1-S$9^2*$C$11)*NORMSINV(R836))*(S$7-S$5)*(S$6-S$5)),S$7-SQRT((1-NORMSDIST(S$9*SQRT($C$11)*NORMSINV($B836)+SQRT(1-S$9^2*$C$11)*NORMSINV(R836)))*(S$7-S$5)*(S$7-S$6))))</f>
        <v>0.764391984230383</v>
      </c>
      <c r="T836" s="2" t="n">
        <v>0.156693815</v>
      </c>
      <c r="U836" s="2" t="n">
        <f aca="false">IF(U$7=U$5,U$6,IF(NORMSDIST(U$9*SQRT($C$11)*NORMSINV($B836)+SQRT(1-U$9^2*$C$11)*NORMSINV(T836))&lt;U$8,U$5+SQRT(NORMSDIST(U$9*SQRT($C$11)*NORMSINV($B836)+SQRT(1-U$9^2*$C$11)*NORMSINV(T836))*(U$7-U$5)*(U$6-U$5)),U$7-SQRT((1-NORMSDIST(U$9*SQRT($C$11)*NORMSINV($B836)+SQRT(1-U$9^2*$C$11)*NORMSINV(T836)))*(U$7-U$5)*(U$7-U$6))))</f>
        <v>0.50188339128742</v>
      </c>
      <c r="V836" s="2" t="n">
        <v>0.502093535</v>
      </c>
      <c r="W836" s="2" t="n">
        <f aca="false">IF(W$7=W$5,W$6,IF(NORMSDIST(W$9*SQRT($C$11)*NORMSINV($B836)+SQRT(1-W$9^2*$C$11)*NORMSINV(V836))&lt;W$8,W$5+SQRT(NORMSDIST(W$9*SQRT($C$11)*NORMSINV($B836)+SQRT(1-W$9^2*$C$11)*NORMSINV(V836))*(W$7-W$5)*(W$6-W$5)),W$7-SQRT((1-NORMSDIST(W$9*SQRT($C$11)*NORMSINV($B836)+SQRT(1-W$9^2*$C$11)*NORMSINV(V836)))*(W$7-W$5)*(W$7-W$6))))</f>
        <v>10.6931439791652</v>
      </c>
      <c r="X836" s="2" t="n">
        <v>0.28569408</v>
      </c>
      <c r="Y836" s="2" t="n">
        <f aca="false">IF(Y$7=Y$5,Y$6,IF(NORMSDIST(Y$9*SQRT($C$11)*NORMSINV($B836)+SQRT(1-Y$9^2*$C$11)*NORMSINV(X836))&lt;Y$8,Y$5+SQRT(NORMSDIST(Y$9*SQRT($C$11)*NORMSINV($B836)+SQRT(1-Y$9^2*$C$11)*NORMSINV(X836))*(Y$7-Y$5)*(Y$6-Y$5)),Y$7-SQRT((1-NORMSDIST(Y$9*SQRT($C$11)*NORMSINV($B836)+SQRT(1-Y$9^2*$C$11)*NORMSINV(X836)))*(Y$7-Y$5)*(Y$7-Y$6))))</f>
        <v>0.377951107949163</v>
      </c>
      <c r="Z836" s="2" t="n">
        <v>0.455051248</v>
      </c>
      <c r="AA836" s="2" t="n">
        <f aca="false">IF(AA$7=AA$5,AA$6,IF(NORMSDIST(AA$9*SQRT($C$11)*NORMSINV($B836)+SQRT(1-AA$9^2*$C$11)*NORMSINV(Z836))&lt;AA$8,AA$5+SQRT(NORMSDIST(AA$9*SQRT($C$11)*NORMSINV($B836)+SQRT(1-AA$9^2*$C$11)*NORMSINV(Z836))*(AA$7-AA$5)*(AA$6-AA$5)),AA$7-SQRT((1-NORMSDIST(AA$9*SQRT($C$11)*NORMSINV($B836)+SQRT(1-AA$9^2*$C$11)*NORMSINV(Z836)))*(AA$7-AA$5)*(AA$7-AA$6))))</f>
        <v>0.736267287445849</v>
      </c>
      <c r="AB836" s="2" t="n">
        <v>0.236628981</v>
      </c>
      <c r="AC836" s="2" t="n">
        <f aca="false">IF(AC$7=AC$5,AC$6,IF(NORMSDIST(AC$9*SQRT($C$11)*NORMSINV($B836)+SQRT(1-AC$9^2*$C$11)*NORMSINV(AB836))&lt;AC$8,AC$5+SQRT(NORMSDIST(AC$9*SQRT($C$11)*NORMSINV($B836)+SQRT(1-AC$9^2*$C$11)*NORMSINV(AB836))*(AC$7-AC$5)*(AC$6-AC$5)),AC$7-SQRT((1-NORMSDIST(AC$9*SQRT($C$11)*NORMSINV($B836)+SQRT(1-AC$9^2*$C$11)*NORMSINV(AB836)))*(AC$7-AC$5)*(AC$7-AC$6))))</f>
        <v>9.66316755465595</v>
      </c>
      <c r="AD836" s="2" t="n">
        <f aca="false">Entrées!$C$8*(1+E836)</f>
        <v>7463.75499340908</v>
      </c>
      <c r="AE836" s="2" t="n">
        <f aca="false">I836*Hypothèses!$J$24/12/Hypothèses!$J$19</f>
        <v>102.835552483377</v>
      </c>
      <c r="AF836" s="2" t="n">
        <f aca="false">Entrées!$C$36*S836*1000</f>
        <v>382.195992115192</v>
      </c>
      <c r="AG836" s="2" t="n">
        <f aca="false">-AF836/W836</f>
        <v>-35.7421533704092</v>
      </c>
      <c r="AH836" s="2" t="n">
        <f aca="false">AD836+AE836+AG836</f>
        <v>7530.84839252205</v>
      </c>
      <c r="AI836" s="2" t="n">
        <f aca="false">Entrées!$C$16-M836+Hypothèses!$J$22*1000-AF836+Hypothèses!$J$23</f>
        <v>22595.6392302582</v>
      </c>
      <c r="AJ836" s="2" t="n">
        <f aca="false">AI836/AH836</f>
        <v>3.00041085048201</v>
      </c>
      <c r="AK836" s="2" t="n">
        <f aca="false">AI836/(AH836+I836*(12-Hypothèses!$J$24)/12/Hypothèses!$J$19)</f>
        <v>2.97142830002789</v>
      </c>
      <c r="AL836" s="2" t="n">
        <f aca="false">(AD836+AG836+I836/Hypothèses!$J$19)*(1+G836)</f>
        <v>8043.95728644564</v>
      </c>
      <c r="AM836" s="2" t="n">
        <f aca="false">Entrées!$C$54*K836/Hypothèses!$J$19</f>
        <v>45.1458876295235</v>
      </c>
      <c r="AN836" s="2" t="n">
        <f aca="false">Y836*1000/AC836</f>
        <v>39.112548324494</v>
      </c>
      <c r="AO836" s="2" t="n">
        <f aca="false">(Entrées!$C$36*(1-S836)+MAX(0,Entrées!$C$30-Entrées!$C$35-Entrées!$C$36)*U836)*1000</f>
        <v>820.440755687196</v>
      </c>
      <c r="AP836" s="2" t="n">
        <f aca="false">-AO836/W836</f>
        <v>-76.725868209178</v>
      </c>
      <c r="AQ836" s="2" t="n">
        <f aca="false">AL836+AM836+AN836+AP836</f>
        <v>8051.48985419048</v>
      </c>
      <c r="AR836" s="2" t="n">
        <f aca="false">O836*AQ836-Hypothèses!$J$25/Hypothèses!$J$19</f>
        <v>1312.87022626592</v>
      </c>
      <c r="AS836" s="2" t="n">
        <f aca="false">Entrées!$C$79*(1+Q836)+Hypothèses!$J$20</f>
        <v>1471.79105272925</v>
      </c>
      <c r="AT836" s="2" t="n">
        <f aca="false">AI836-AR836+AS836+Y836*1000-AO836+Hypothèses!$J$23</f>
        <v>22312.0704089835</v>
      </c>
      <c r="AU836" s="2" t="n">
        <f aca="false">AT836/AQ836</f>
        <v>2.77117289011684</v>
      </c>
      <c r="AV836" s="2" t="n">
        <f aca="false">Hypothèses!$J$26*AQ836-AT836</f>
        <v>1842.39915358797</v>
      </c>
      <c r="AW836" s="2" t="n">
        <f aca="false">IF(AC836&gt;Hypothèses!$J$26,MAX(0,AV836)/(1-Hypothèses!$J$26/AC836),0)</f>
        <v>2671.9141575896</v>
      </c>
      <c r="AX836" s="2" t="n">
        <f aca="false">AQ836-Entrées!$C$17*1000</f>
        <v>51.489854190484</v>
      </c>
      <c r="AY836" s="2" t="n">
        <f aca="false">AI836+(Entrées!$C$244-Entrées!$C$13)</f>
        <v>28342.6392302582</v>
      </c>
      <c r="AZ836" s="2" t="n">
        <f aca="false">AA836*AH836</f>
        <v>5544.71731812814</v>
      </c>
      <c r="BA836" s="2" t="n">
        <f aca="false">AZ836/AY836</f>
        <v>0.195631651416876</v>
      </c>
      <c r="BB836" s="2" t="n">
        <f aca="false">AZ836/(Entrées!$C$151/100)-AY836</f>
        <v>2461.34587045372</v>
      </c>
      <c r="BC836" s="2" t="n">
        <f aca="false">AT836+(Entrées!$C$244-Entrées!$C$13)</f>
        <v>28059.0704089835</v>
      </c>
      <c r="BD836" s="2" t="n">
        <f aca="false">AA836*AQ836</f>
        <v>5928.04859484261</v>
      </c>
      <c r="BE836" s="2" t="n">
        <f aca="false">BD836/BC836</f>
        <v>0.211270313251171</v>
      </c>
      <c r="BF836" s="2" t="n">
        <f aca="false">BD836/(Entrées!$C$151/100)-BC836</f>
        <v>4874.53289569766</v>
      </c>
      <c r="BG836" s="2" t="n">
        <f aca="false">MIN(AV836,BF836)</f>
        <v>1842.39915358797</v>
      </c>
      <c r="BH836" s="2" t="n">
        <f aca="false">IF(AC836&gt;Hypothèses!$J$26,MAX(0,BG836)/(1-Hypothèses!$J$26/AC836),0)</f>
        <v>2671.9141575896</v>
      </c>
    </row>
    <row r="837" customFormat="false" ht="15" hidden="false" customHeight="false" outlineLevel="0" collapsed="false">
      <c r="A837" s="2" t="n">
        <v>822</v>
      </c>
      <c r="B837" s="2" t="n">
        <v>0.204618527</v>
      </c>
      <c r="C837" s="2"/>
      <c r="D837" s="2" t="n">
        <v>0.360365468</v>
      </c>
      <c r="E837" s="2" t="n">
        <f aca="false">IF(E$7=E$5,E$6,IF(NORMSDIST(E$9*SQRT($C$11)*NORMSINV($B837)+SQRT(1-E$9^2*$C$11)*NORMSINV(D837))&lt;E$8,E$5+SQRT(NORMSDIST(E$9*SQRT($C$11)*NORMSINV($B837)+SQRT(1-E$9^2*$C$11)*NORMSINV(D837))*(E$7-E$5)*(E$6-E$5)),E$7-SQRT((1-NORMSDIST(E$9*SQRT($C$11)*NORMSINV($B837)+SQRT(1-E$9^2*$C$11)*NORMSINV(D837)))*(E$7-E$5)*(E$7-E$6))))</f>
        <v>0.0532572569541266</v>
      </c>
      <c r="F837" s="2" t="n">
        <v>0.587875007</v>
      </c>
      <c r="G837" s="2" t="n">
        <f aca="false">IF(G$7=G$5,G$6,IF(NORMSDIST(G$9*SQRT($C$11)*NORMSINV($B837)+SQRT(1-G$9^2*$C$11)*NORMSINV(F837))&lt;G$8,G$5+SQRT(NORMSDIST(G$9*SQRT($C$11)*NORMSINV($B837)+SQRT(1-G$9^2*$C$11)*NORMSINV(F837))*(G$7-G$5)*(G$6-G$5)),G$7-SQRT((1-NORMSDIST(G$9*SQRT($C$11)*NORMSINV($B837)+SQRT(1-G$9^2*$C$11)*NORMSINV(F837)))*(G$7-G$5)*(G$7-G$6))))</f>
        <v>0.0527844754489217</v>
      </c>
      <c r="H837" s="2" t="n">
        <v>0.761524024</v>
      </c>
      <c r="I837" s="2" t="n">
        <f aca="false">IF(I$7=I$5,I$6,IF(NORMSDIST(I$9*SQRT($C$11)*NORMSINV($B837)+SQRT(1-I$9^2*$C$11)*NORMSINV(H837))&lt;I$8,I$5+SQRT(NORMSDIST(I$9*SQRT($C$11)*NORMSINV($B837)+SQRT(1-I$9^2*$C$11)*NORMSINV(H837))*(I$7-I$5)*(I$6-I$5)),I$7-SQRT((1-NORMSDIST(I$9*SQRT($C$11)*NORMSINV($B837)+SQRT(1-I$9^2*$C$11)*NORMSINV(H837)))*(I$7-I$5)*(I$7-I$6))))</f>
        <v>200.23252955139</v>
      </c>
      <c r="J837" s="2" t="n">
        <v>0.131509808</v>
      </c>
      <c r="K837" s="2" t="n">
        <f aca="false">IF(K$7=K$5,K$6,IF(NORMSDIST(K$9*SQRT($C$11)*NORMSINV($B837)+SQRT(1-K$9^2*$C$11)*NORMSINV(J837))&lt;K$8,K$5+SQRT(NORMSDIST(K$9*SQRT($C$11)*NORMSINV($B837)+SQRT(1-K$9^2*$C$11)*NORMSINV(J837))*(K$7-K$5)*(K$6-K$5)),K$7-SQRT((1-NORMSDIST(K$9*SQRT($C$11)*NORMSINV($B837)+SQRT(1-K$9^2*$C$11)*NORMSINV(J837)))*(K$7-K$5)*(K$7-K$6))))</f>
        <v>0.101506654028869</v>
      </c>
      <c r="L837" s="2" t="n">
        <v>0.694992309</v>
      </c>
      <c r="M837" s="2" t="n">
        <f aca="false">IF(M$7=M$5,M$6,IF(NORMSDIST(M$9*SQRT($C$11)*NORMSINV($B837)+SQRT(1-M$9^2*$C$11)*NORMSINV(L837))&lt;M$8,M$5+SQRT(NORMSDIST(M$9*SQRT($C$11)*NORMSINV($B837)+SQRT(1-M$9^2*$C$11)*NORMSINV(L837))*(M$7-M$5)*(M$6-M$5)),M$7-SQRT((1-NORMSDIST(M$9*SQRT($C$11)*NORMSINV($B837)+SQRT(1-M$9^2*$C$11)*NORMSINV(L837)))*(M$7-M$5)*(M$7-M$6))))</f>
        <v>1570.73306215459</v>
      </c>
      <c r="N837" s="2" t="n">
        <v>0.356662152</v>
      </c>
      <c r="O837" s="2" t="n">
        <f aca="false">IF(O$7=O$5,O$6,IF(NORMSDIST(O$9*SQRT($C$11)*NORMSINV($B837)+SQRT(1-O$9^2*$C$11)*NORMSINV(N837))&lt;O$8,O$5+SQRT(NORMSDIST(O$9*SQRT($C$11)*NORMSINV($B837)+SQRT(1-O$9^2*$C$11)*NORMSINV(N837))*(O$7-O$5)*(O$6-O$5)),O$7-SQRT((1-NORMSDIST(O$9*SQRT($C$11)*NORMSINV($B837)+SQRT(1-O$9^2*$C$11)*NORMSINV(N837)))*(O$7-O$5)*(O$7-O$6))))</f>
        <v>0.157357293733373</v>
      </c>
      <c r="P837" s="2" t="n">
        <v>0.088607981</v>
      </c>
      <c r="Q837" s="2" t="n">
        <f aca="false">IF(Q$7=Q$5,Q$6,IF(NORMSDIST(Q$9*SQRT($C$11)*NORMSINV($B837)+SQRT(1-Q$9^2*$C$11)*NORMSINV(P837))&lt;Q$8,Q$5+SQRT(NORMSDIST(Q$9*SQRT($C$11)*NORMSINV($B837)+SQRT(1-Q$9^2*$C$11)*NORMSINV(P837))*(Q$7-Q$5)*(Q$6-Q$5)),Q$7-SQRT((1-NORMSDIST(Q$9*SQRT($C$11)*NORMSINV($B837)+SQRT(1-Q$9^2*$C$11)*NORMSINV(P837)))*(Q$7-Q$5)*(Q$7-Q$6))))</f>
        <v>0.0568388105043082</v>
      </c>
      <c r="R837" s="2" t="n">
        <v>0.776410066</v>
      </c>
      <c r="S837" s="2" t="n">
        <f aca="false">IF(S$7=S$5,S$6,IF(NORMSDIST(S$9*SQRT($C$11)*NORMSINV($B837)+SQRT(1-S$9^2*$C$11)*NORMSINV(R837))&lt;S$8,S$5+SQRT(NORMSDIST(S$9*SQRT($C$11)*NORMSINV($B837)+SQRT(1-S$9^2*$C$11)*NORMSINV(R837))*(S$7-S$5)*(S$6-S$5)),S$7-SQRT((1-NORMSDIST(S$9*SQRT($C$11)*NORMSINV($B837)+SQRT(1-S$9^2*$C$11)*NORMSINV(R837)))*(S$7-S$5)*(S$7-S$6))))</f>
        <v>0.513510149083287</v>
      </c>
      <c r="T837" s="2" t="n">
        <v>0.62638255</v>
      </c>
      <c r="U837" s="2" t="n">
        <f aca="false">IF(U$7=U$5,U$6,IF(NORMSDIST(U$9*SQRT($C$11)*NORMSINV($B837)+SQRT(1-U$9^2*$C$11)*NORMSINV(T837))&lt;U$8,U$5+SQRT(NORMSDIST(U$9*SQRT($C$11)*NORMSINV($B837)+SQRT(1-U$9^2*$C$11)*NORMSINV(T837))*(U$7-U$5)*(U$6-U$5)),U$7-SQRT((1-NORMSDIST(U$9*SQRT($C$11)*NORMSINV($B837)+SQRT(1-U$9^2*$C$11)*NORMSINV(T837)))*(U$7-U$5)*(U$7-U$6))))</f>
        <v>0.44311525629881</v>
      </c>
      <c r="V837" s="2" t="n">
        <v>0.563073842</v>
      </c>
      <c r="W837" s="2" t="n">
        <f aca="false">IF(W$7=W$5,W$6,IF(NORMSDIST(W$9*SQRT($C$11)*NORMSINV($B837)+SQRT(1-W$9^2*$C$11)*NORMSINV(V837))&lt;W$8,W$5+SQRT(NORMSDIST(W$9*SQRT($C$11)*NORMSINV($B837)+SQRT(1-W$9^2*$C$11)*NORMSINV(V837))*(W$7-W$5)*(W$6-W$5)),W$7-SQRT((1-NORMSDIST(W$9*SQRT($C$11)*NORMSINV($B837)+SQRT(1-W$9^2*$C$11)*NORMSINV(V837)))*(W$7-W$5)*(W$7-W$6))))</f>
        <v>9.66124482992839</v>
      </c>
      <c r="X837" s="2" t="n">
        <v>0.909528669</v>
      </c>
      <c r="Y837" s="2" t="n">
        <f aca="false">IF(Y$7=Y$5,Y$6,IF(NORMSDIST(Y$9*SQRT($C$11)*NORMSINV($B837)+SQRT(1-Y$9^2*$C$11)*NORMSINV(X837))&lt;Y$8,Y$5+SQRT(NORMSDIST(Y$9*SQRT($C$11)*NORMSINV($B837)+SQRT(1-Y$9^2*$C$11)*NORMSINV(X837))*(Y$7-Y$5)*(Y$6-Y$5)),Y$7-SQRT((1-NORMSDIST(Y$9*SQRT($C$11)*NORMSINV($B837)+SQRT(1-Y$9^2*$C$11)*NORMSINV(X837)))*(Y$7-Y$5)*(Y$7-Y$6))))</f>
        <v>0.787313222084682</v>
      </c>
      <c r="Z837" s="2" t="n">
        <v>0.784072265</v>
      </c>
      <c r="AA837" s="2" t="n">
        <f aca="false">IF(AA$7=AA$5,AA$6,IF(NORMSDIST(AA$9*SQRT($C$11)*NORMSINV($B837)+SQRT(1-AA$9^2*$C$11)*NORMSINV(Z837))&lt;AA$8,AA$5+SQRT(NORMSDIST(AA$9*SQRT($C$11)*NORMSINV($B837)+SQRT(1-AA$9^2*$C$11)*NORMSINV(Z837))*(AA$7-AA$5)*(AA$6-AA$5)),AA$7-SQRT((1-NORMSDIST(AA$9*SQRT($C$11)*NORMSINV($B837)+SQRT(1-AA$9^2*$C$11)*NORMSINV(Z837)))*(AA$7-AA$5)*(AA$7-AA$6))))</f>
        <v>0.729166037291828</v>
      </c>
      <c r="AB837" s="2" t="n">
        <v>0.91246289</v>
      </c>
      <c r="AC837" s="2" t="n">
        <f aca="false">IF(AC$7=AC$5,AC$6,IF(NORMSDIST(AC$9*SQRT($C$11)*NORMSINV($B837)+SQRT(1-AC$9^2*$C$11)*NORMSINV(AB837))&lt;AC$8,AC$5+SQRT(NORMSDIST(AC$9*SQRT($C$11)*NORMSINV($B837)+SQRT(1-AC$9^2*$C$11)*NORMSINV(AB837))*(AC$7-AC$5)*(AC$6-AC$5)),AC$7-SQRT((1-NORMSDIST(AC$9*SQRT($C$11)*NORMSINV($B837)+SQRT(1-AC$9^2*$C$11)*NORMSINV(AB837)))*(AC$7-AC$5)*(AC$7-AC$6))))</f>
        <v>9.86427693745132</v>
      </c>
      <c r="AD837" s="2" t="n">
        <f aca="false">Entrées!$C$8*(1+E837)</f>
        <v>7425.46366152659</v>
      </c>
      <c r="AE837" s="2" t="n">
        <f aca="false">I837*Hypothèses!$J$24/12/Hypothèses!$J$19</f>
        <v>99.3347170413026</v>
      </c>
      <c r="AF837" s="2" t="n">
        <f aca="false">Entrées!$C$36*S837*1000</f>
        <v>256.755074541644</v>
      </c>
      <c r="AG837" s="2" t="n">
        <f aca="false">-AF837/W837</f>
        <v>-26.575775592217</v>
      </c>
      <c r="AH837" s="2" t="n">
        <f aca="false">AD837+AE837+AG837</f>
        <v>7498.22260297568</v>
      </c>
      <c r="AI837" s="2" t="n">
        <f aca="false">Entrées!$C$16-M837+Hypothèses!$J$22*1000-AF837+Hypothèses!$J$23</f>
        <v>22720.5118633038</v>
      </c>
      <c r="AJ837" s="2" t="n">
        <f aca="false">AI837/AH837</f>
        <v>3.03011967853383</v>
      </c>
      <c r="AK837" s="2" t="n">
        <f aca="false">AI837/(AH837+I837*(12-Hypothèses!$J$24)/12/Hypothèses!$J$19)</f>
        <v>3.00171537119478</v>
      </c>
      <c r="AL837" s="2" t="n">
        <f aca="false">(AD837+AG837+I837/Hypothèses!$J$19)*(1+G837)</f>
        <v>7968.71095556885</v>
      </c>
      <c r="AM837" s="2" t="n">
        <f aca="false">Entrées!$C$54*K837/Hypothèses!$J$19</f>
        <v>10.3591802425447</v>
      </c>
      <c r="AN837" s="2" t="n">
        <f aca="false">Y837*1000/AC837</f>
        <v>79.8145902712362</v>
      </c>
      <c r="AO837" s="2" t="n">
        <f aca="false">(Entrées!$C$36*(1-S837)+MAX(0,Entrées!$C$30-Entrées!$C$35-Entrées!$C$36)*U837)*1000</f>
        <v>863.60628427669</v>
      </c>
      <c r="AP837" s="2" t="n">
        <f aca="false">-AO837/W837</f>
        <v>-89.3887174457509</v>
      </c>
      <c r="AQ837" s="2" t="n">
        <f aca="false">AL837+AM837+AN837+AP837</f>
        <v>7969.49600863688</v>
      </c>
      <c r="AR837" s="2" t="n">
        <f aca="false">O837*AQ837-Hypothèses!$J$25/Hypothèses!$J$19</f>
        <v>1234.92316207639</v>
      </c>
      <c r="AS837" s="2" t="n">
        <f aca="false">Entrées!$C$79*(1+Q837)+Hypothèses!$J$20</f>
        <v>1456.46585274423</v>
      </c>
      <c r="AT837" s="2" t="n">
        <f aca="false">AI837-AR837+AS837+Y837*1000-AO837+Hypothèses!$J$23</f>
        <v>22865.7614917796</v>
      </c>
      <c r="AU837" s="2" t="n">
        <f aca="false">AT837/AQ837</f>
        <v>2.86916029156662</v>
      </c>
      <c r="AV837" s="2" t="n">
        <f aca="false">Hypothèses!$J$26*AQ837-AT837</f>
        <v>1042.72653413104</v>
      </c>
      <c r="AW837" s="2" t="n">
        <f aca="false">IF(AC837&gt;Hypothèses!$J$26,MAX(0,AV837)/(1-Hypothèses!$J$26/AC837),0)</f>
        <v>1498.44526909726</v>
      </c>
      <c r="AX837" s="2" t="n">
        <f aca="false">AQ837-Entrées!$C$17*1000</f>
        <v>-30.5039913631199</v>
      </c>
      <c r="AY837" s="2" t="n">
        <f aca="false">AI837+(Entrées!$C$244-Entrées!$C$13)</f>
        <v>28467.5118633038</v>
      </c>
      <c r="AZ837" s="2" t="n">
        <f aca="false">AA837*AH837</f>
        <v>5467.44926214379</v>
      </c>
      <c r="BA837" s="2" t="n">
        <f aca="false">AZ837/AY837</f>
        <v>0.192059259987229</v>
      </c>
      <c r="BB837" s="2" t="n">
        <f aca="false">AZ837/(Entrées!$C$151/100)-AY837</f>
        <v>1907.2062597173</v>
      </c>
      <c r="BC837" s="2" t="n">
        <f aca="false">AT837+(Entrées!$C$244-Entrées!$C$13)</f>
        <v>28612.7614917796</v>
      </c>
      <c r="BD837" s="2" t="n">
        <f aca="false">AA837*AQ837</f>
        <v>5811.08582383079</v>
      </c>
      <c r="BE837" s="2" t="n">
        <f aca="false">BD837/BC837</f>
        <v>0.203094197164447</v>
      </c>
      <c r="BF837" s="2" t="n">
        <f aca="false">BD837/(Entrées!$C$151/100)-BC837</f>
        <v>3671.0486406137</v>
      </c>
      <c r="BG837" s="2" t="n">
        <f aca="false">MIN(AV837,BF837)</f>
        <v>1042.72653413104</v>
      </c>
      <c r="BH837" s="2" t="n">
        <f aca="false">IF(AC837&gt;Hypothèses!$J$26,MAX(0,BG837)/(1-Hypothèses!$J$26/AC837),0)</f>
        <v>1498.44526909726</v>
      </c>
    </row>
    <row r="838" customFormat="false" ht="15" hidden="false" customHeight="false" outlineLevel="0" collapsed="false">
      <c r="A838" s="2" t="n">
        <v>823</v>
      </c>
      <c r="B838" s="2" t="n">
        <v>0.697276509</v>
      </c>
      <c r="C838" s="2"/>
      <c r="D838" s="2" t="n">
        <v>0.668941335</v>
      </c>
      <c r="E838" s="2" t="n">
        <f aca="false">IF(E$7=E$5,E$6,IF(NORMSDIST(E$9*SQRT($C$11)*NORMSINV($B838)+SQRT(1-E$9^2*$C$11)*NORMSINV(D838))&lt;E$8,E$5+SQRT(NORMSDIST(E$9*SQRT($C$11)*NORMSINV($B838)+SQRT(1-E$9^2*$C$11)*NORMSINV(D838))*(E$7-E$5)*(E$6-E$5)),E$7-SQRT((1-NORMSDIST(E$9*SQRT($C$11)*NORMSINV($B838)+SQRT(1-E$9^2*$C$11)*NORMSINV(D838)))*(E$7-E$5)*(E$7-E$6))))</f>
        <v>0.0564436071484089</v>
      </c>
      <c r="F838" s="2" t="n">
        <v>0.512935659</v>
      </c>
      <c r="G838" s="2" t="n">
        <f aca="false">IF(G$7=G$5,G$6,IF(NORMSDIST(G$9*SQRT($C$11)*NORMSINV($B838)+SQRT(1-G$9^2*$C$11)*NORMSINV(F838))&lt;G$8,G$5+SQRT(NORMSDIST(G$9*SQRT($C$11)*NORMSINV($B838)+SQRT(1-G$9^2*$C$11)*NORMSINV(F838))*(G$7-G$5)*(G$6-G$5)),G$7-SQRT((1-NORMSDIST(G$9*SQRT($C$11)*NORMSINV($B838)+SQRT(1-G$9^2*$C$11)*NORMSINV(F838)))*(G$7-G$5)*(G$7-G$6))))</f>
        <v>0.0572283058660066</v>
      </c>
      <c r="H838" s="2" t="n">
        <v>0.855437016</v>
      </c>
      <c r="I838" s="2" t="n">
        <f aca="false">IF(I$7=I$5,I$6,IF(NORMSDIST(I$9*SQRT($C$11)*NORMSINV($B838)+SQRT(1-I$9^2*$C$11)*NORMSINV(H838))&lt;I$8,I$5+SQRT(NORMSDIST(I$9*SQRT($C$11)*NORMSINV($B838)+SQRT(1-I$9^2*$C$11)*NORMSINV(H838))*(I$7-I$5)*(I$6-I$5)),I$7-SQRT((1-NORMSDIST(I$9*SQRT($C$11)*NORMSINV($B838)+SQRT(1-I$9^2*$C$11)*NORMSINV(H838)))*(I$7-I$5)*(I$7-I$6))))</f>
        <v>209.979166130006</v>
      </c>
      <c r="J838" s="2" t="n">
        <v>0.755585355</v>
      </c>
      <c r="K838" s="2" t="n">
        <f aca="false">IF(K$7=K$5,K$6,IF(NORMSDIST(K$9*SQRT($C$11)*NORMSINV($B838)+SQRT(1-K$9^2*$C$11)*NORMSINV(J838))&lt;K$8,K$5+SQRT(NORMSDIST(K$9*SQRT($C$11)*NORMSINV($B838)+SQRT(1-K$9^2*$C$11)*NORMSINV(J838))*(K$7-K$5)*(K$6-K$5)),K$7-SQRT((1-NORMSDIST(K$9*SQRT($C$11)*NORMSINV($B838)+SQRT(1-K$9^2*$C$11)*NORMSINV(J838)))*(K$7-K$5)*(K$7-K$6))))</f>
        <v>0.344233983763079</v>
      </c>
      <c r="L838" s="2" t="n">
        <v>0.771848353</v>
      </c>
      <c r="M838" s="2" t="n">
        <f aca="false">IF(M$7=M$5,M$6,IF(NORMSDIST(M$9*SQRT($C$11)*NORMSINV($B838)+SQRT(1-M$9^2*$C$11)*NORMSINV(L838))&lt;M$8,M$5+SQRT(NORMSDIST(M$9*SQRT($C$11)*NORMSINV($B838)+SQRT(1-M$9^2*$C$11)*NORMSINV(L838))*(M$7-M$5)*(M$6-M$5)),M$7-SQRT((1-NORMSDIST(M$9*SQRT($C$11)*NORMSINV($B838)+SQRT(1-M$9^2*$C$11)*NORMSINV(L838)))*(M$7-M$5)*(M$7-M$6))))</f>
        <v>1671.1789128733</v>
      </c>
      <c r="N838" s="2" t="n">
        <v>0.918940052</v>
      </c>
      <c r="O838" s="2" t="n">
        <f aca="false">IF(O$7=O$5,O$6,IF(NORMSDIST(O$9*SQRT($C$11)*NORMSINV($B838)+SQRT(1-O$9^2*$C$11)*NORMSINV(N838))&lt;O$8,O$5+SQRT(NORMSDIST(O$9*SQRT($C$11)*NORMSINV($B838)+SQRT(1-O$9^2*$C$11)*NORMSINV(N838))*(O$7-O$5)*(O$6-O$5)),O$7-SQRT((1-NORMSDIST(O$9*SQRT($C$11)*NORMSINV($B838)+SQRT(1-O$9^2*$C$11)*NORMSINV(N838)))*(O$7-O$5)*(O$7-O$6))))</f>
        <v>0.180807495477799</v>
      </c>
      <c r="P838" s="2" t="n">
        <v>0.670287498</v>
      </c>
      <c r="Q838" s="2" t="n">
        <f aca="false">IF(Q$7=Q$5,Q$6,IF(NORMSDIST(Q$9*SQRT($C$11)*NORMSINV($B838)+SQRT(1-Q$9^2*$C$11)*NORMSINV(P838))&lt;Q$8,Q$5+SQRT(NORMSDIST(Q$9*SQRT($C$11)*NORMSINV($B838)+SQRT(1-Q$9^2*$C$11)*NORMSINV(P838))*(Q$7-Q$5)*(Q$6-Q$5)),Q$7-SQRT((1-NORMSDIST(Q$9*SQRT($C$11)*NORMSINV($B838)+SQRT(1-Q$9^2*$C$11)*NORMSINV(P838)))*(Q$7-Q$5)*(Q$7-Q$6))))</f>
        <v>0.0875180048888619</v>
      </c>
      <c r="R838" s="2" t="n">
        <v>0.075245218</v>
      </c>
      <c r="S838" s="2" t="n">
        <f aca="false">IF(S$7=S$5,S$6,IF(NORMSDIST(S$9*SQRT($C$11)*NORMSINV($B838)+SQRT(1-S$9^2*$C$11)*NORMSINV(R838))&lt;S$8,S$5+SQRT(NORMSDIST(S$9*SQRT($C$11)*NORMSINV($B838)+SQRT(1-S$9^2*$C$11)*NORMSINV(R838))*(S$7-S$5)*(S$6-S$5)),S$7-SQRT((1-NORMSDIST(S$9*SQRT($C$11)*NORMSINV($B838)+SQRT(1-S$9^2*$C$11)*NORMSINV(R838)))*(S$7-S$5)*(S$7-S$6))))</f>
        <v>0.328360256253597</v>
      </c>
      <c r="T838" s="2" t="n">
        <v>0.29887714</v>
      </c>
      <c r="U838" s="2" t="n">
        <f aca="false">IF(U$7=U$5,U$6,IF(NORMSDIST(U$9*SQRT($C$11)*NORMSINV($B838)+SQRT(1-U$9^2*$C$11)*NORMSINV(T838))&lt;U$8,U$5+SQRT(NORMSDIST(U$9*SQRT($C$11)*NORMSINV($B838)+SQRT(1-U$9^2*$C$11)*NORMSINV(T838))*(U$7-U$5)*(U$6-U$5)),U$7-SQRT((1-NORMSDIST(U$9*SQRT($C$11)*NORMSINV($B838)+SQRT(1-U$9^2*$C$11)*NORMSINV(T838)))*(U$7-U$5)*(U$7-U$6))))</f>
        <v>0.483388418574194</v>
      </c>
      <c r="V838" s="2" t="n">
        <v>0.307457757</v>
      </c>
      <c r="W838" s="2" t="n">
        <f aca="false">IF(W$7=W$5,W$6,IF(NORMSDIST(W$9*SQRT($C$11)*NORMSINV($B838)+SQRT(1-W$9^2*$C$11)*NORMSINV(V838))&lt;W$8,W$5+SQRT(NORMSDIST(W$9*SQRT($C$11)*NORMSINV($B838)+SQRT(1-W$9^2*$C$11)*NORMSINV(V838))*(W$7-W$5)*(W$6-W$5)),W$7-SQRT((1-NORMSDIST(W$9*SQRT($C$11)*NORMSINV($B838)+SQRT(1-W$9^2*$C$11)*NORMSINV(V838)))*(W$7-W$5)*(W$7-W$6))))</f>
        <v>9.94915214519128</v>
      </c>
      <c r="X838" s="2" t="n">
        <v>0.47098879</v>
      </c>
      <c r="Y838" s="2" t="n">
        <f aca="false">IF(Y$7=Y$5,Y$6,IF(NORMSDIST(Y$9*SQRT($C$11)*NORMSINV($B838)+SQRT(1-Y$9^2*$C$11)*NORMSINV(X838))&lt;Y$8,Y$5+SQRT(NORMSDIST(Y$9*SQRT($C$11)*NORMSINV($B838)+SQRT(1-Y$9^2*$C$11)*NORMSINV(X838))*(Y$7-Y$5)*(Y$6-Y$5)),Y$7-SQRT((1-NORMSDIST(Y$9*SQRT($C$11)*NORMSINV($B838)+SQRT(1-Y$9^2*$C$11)*NORMSINV(X838)))*(Y$7-Y$5)*(Y$7-Y$6))))</f>
        <v>0.485277647331917</v>
      </c>
      <c r="Z838" s="2" t="n">
        <v>0.179718919</v>
      </c>
      <c r="AA838" s="2" t="n">
        <f aca="false">IF(AA$7=AA$5,AA$6,IF(NORMSDIST(AA$9*SQRT($C$11)*NORMSINV($B838)+SQRT(1-AA$9^2*$C$11)*NORMSINV(Z838))&lt;AA$8,AA$5+SQRT(NORMSDIST(AA$9*SQRT($C$11)*NORMSINV($B838)+SQRT(1-AA$9^2*$C$11)*NORMSINV(Z838))*(AA$7-AA$5)*(AA$6-AA$5)),AA$7-SQRT((1-NORMSDIST(AA$9*SQRT($C$11)*NORMSINV($B838)+SQRT(1-AA$9^2*$C$11)*NORMSINV(Z838)))*(AA$7-AA$5)*(AA$7-AA$6))))</f>
        <v>0.722736302538555</v>
      </c>
      <c r="AB838" s="2" t="n">
        <v>0.057427598</v>
      </c>
      <c r="AC838" s="2" t="n">
        <f aca="false">IF(AC$7=AC$5,AC$6,IF(NORMSDIST(AC$9*SQRT($C$11)*NORMSINV($B838)+SQRT(1-AC$9^2*$C$11)*NORMSINV(AB838))&lt;AC$8,AC$5+SQRT(NORMSDIST(AC$9*SQRT($C$11)*NORMSINV($B838)+SQRT(1-AC$9^2*$C$11)*NORMSINV(AB838))*(AC$7-AC$5)*(AC$6-AC$5)),AC$7-SQRT((1-NORMSDIST(AC$9*SQRT($C$11)*NORMSINV($B838)+SQRT(1-AC$9^2*$C$11)*NORMSINV(AB838)))*(AC$7-AC$5)*(AC$7-AC$6))))</f>
        <v>8.66596727730856</v>
      </c>
      <c r="AD838" s="2" t="n">
        <f aca="false">Entrées!$C$8*(1+E838)</f>
        <v>7447.92743039628</v>
      </c>
      <c r="AE838" s="2" t="n">
        <f aca="false">I838*Hypothèses!$J$24/12/Hypothèses!$J$19</f>
        <v>104.16999225263</v>
      </c>
      <c r="AF838" s="2" t="n">
        <f aca="false">Entrées!$C$36*S838*1000</f>
        <v>164.180128126799</v>
      </c>
      <c r="AG838" s="2" t="n">
        <f aca="false">-AF838/W838</f>
        <v>-16.501921543752</v>
      </c>
      <c r="AH838" s="2" t="n">
        <f aca="false">AD838+AE838+AG838</f>
        <v>7535.59550110516</v>
      </c>
      <c r="AI838" s="2" t="n">
        <f aca="false">Entrées!$C$16-M838+Hypothèses!$J$22*1000-AF838+Hypothèses!$J$23</f>
        <v>22712.6409589999</v>
      </c>
      <c r="AJ838" s="2" t="n">
        <f aca="false">AI838/AH838</f>
        <v>3.01404725819862</v>
      </c>
      <c r="AK838" s="2" t="n">
        <f aca="false">AI838/(AH838+I838*(12-Hypothèses!$J$24)/12/Hypothèses!$J$19)</f>
        <v>2.98457727784576</v>
      </c>
      <c r="AL838" s="2" t="n">
        <f aca="false">(AD838+AG838+I838/Hypothèses!$J$19)*(1+G838)</f>
        <v>8045.51019706157</v>
      </c>
      <c r="AM838" s="2" t="n">
        <f aca="false">Entrées!$C$54*K838/Hypothèses!$J$19</f>
        <v>35.1305233881197</v>
      </c>
      <c r="AN838" s="2" t="n">
        <f aca="false">Y838*1000/AC838</f>
        <v>55.9980936695427</v>
      </c>
      <c r="AO838" s="2" t="n">
        <f aca="false">(Entrées!$C$36*(1-S838)+MAX(0,Entrées!$C$30-Entrées!$C$35-Entrées!$C$36)*U838)*1000</f>
        <v>1012.56365787707</v>
      </c>
      <c r="AP838" s="2" t="n">
        <f aca="false">-AO838/W838</f>
        <v>-101.773864053981</v>
      </c>
      <c r="AQ838" s="2" t="n">
        <f aca="false">AL838+AM838+AN838+AP838</f>
        <v>8034.86495006525</v>
      </c>
      <c r="AR838" s="2" t="n">
        <f aca="false">O838*AQ838-Hypothèses!$J$25/Hypothèses!$J$19</f>
        <v>1433.62864586202</v>
      </c>
      <c r="AS838" s="2" t="n">
        <f aca="false">Entrées!$C$79*(1+Q838)+Hypothèses!$J$20</f>
        <v>1490.18228737286</v>
      </c>
      <c r="AT838" s="2" t="n">
        <f aca="false">AI838-AR838+AS838+Y838*1000-AO838+Hypothèses!$J$23</f>
        <v>22241.9085899656</v>
      </c>
      <c r="AU838" s="2" t="n">
        <f aca="false">AT838/AQ838</f>
        <v>2.76817454035552</v>
      </c>
      <c r="AV838" s="2" t="n">
        <f aca="false">Hypothèses!$J$26*AQ838-AT838</f>
        <v>1862.68626023017</v>
      </c>
      <c r="AW838" s="2" t="n">
        <f aca="false">IF(AC838&gt;Hypothèses!$J$26,MAX(0,AV838)/(1-Hypothèses!$J$26/AC838),0)</f>
        <v>2848.93600492423</v>
      </c>
      <c r="AX838" s="2" t="n">
        <f aca="false">AQ838-Entrées!$C$17*1000</f>
        <v>34.86495006525</v>
      </c>
      <c r="AY838" s="2" t="n">
        <f aca="false">AI838+(Entrées!$C$244-Entrées!$C$13)</f>
        <v>28459.6409589999</v>
      </c>
      <c r="AZ838" s="2" t="n">
        <f aca="false">AA838*AH838</f>
        <v>5446.24842989491</v>
      </c>
      <c r="BA838" s="2" t="n">
        <f aca="false">AZ838/AY838</f>
        <v>0.191367432840808</v>
      </c>
      <c r="BB838" s="2" t="n">
        <f aca="false">AZ838/(Entrées!$C$151/100)-AY838</f>
        <v>1797.2947626385</v>
      </c>
      <c r="BC838" s="2" t="n">
        <f aca="false">AT838+(Entrées!$C$244-Entrées!$C$13)</f>
        <v>27988.9085899656</v>
      </c>
      <c r="BD838" s="2" t="n">
        <f aca="false">AA838*AQ838</f>
        <v>5807.08858540679</v>
      </c>
      <c r="BE838" s="2" t="n">
        <f aca="false">BD838/BC838</f>
        <v>0.20747820754571</v>
      </c>
      <c r="BF838" s="2" t="n">
        <f aca="false">BD838/(Entrées!$C$151/100)-BC838</f>
        <v>4272.69466229435</v>
      </c>
      <c r="BG838" s="2" t="n">
        <f aca="false">MIN(AV838,BF838)</f>
        <v>1862.68626023017</v>
      </c>
      <c r="BH838" s="2" t="n">
        <f aca="false">IF(AC838&gt;Hypothèses!$J$26,MAX(0,BG838)/(1-Hypothèses!$J$26/AC838),0)</f>
        <v>2848.93600492423</v>
      </c>
    </row>
    <row r="839" customFormat="false" ht="15" hidden="false" customHeight="false" outlineLevel="0" collapsed="false">
      <c r="A839" s="2" t="n">
        <v>824</v>
      </c>
      <c r="B839" s="2" t="n">
        <v>0.830147073</v>
      </c>
      <c r="C839" s="2"/>
      <c r="D839" s="2" t="n">
        <v>0.278252691</v>
      </c>
      <c r="E839" s="2" t="n">
        <f aca="false">IF(E$7=E$5,E$6,IF(NORMSDIST(E$9*SQRT($C$11)*NORMSINV($B839)+SQRT(1-E$9^2*$C$11)*NORMSINV(D839))&lt;E$8,E$5+SQRT(NORMSDIST(E$9*SQRT($C$11)*NORMSINV($B839)+SQRT(1-E$9^2*$C$11)*NORMSINV(D839))*(E$7-E$5)*(E$6-E$5)),E$7-SQRT((1-NORMSDIST(E$9*SQRT($C$11)*NORMSINV($B839)+SQRT(1-E$9^2*$C$11)*NORMSINV(D839)))*(E$7-E$5)*(E$7-E$6))))</f>
        <v>0.055304060909535</v>
      </c>
      <c r="F839" s="2" t="n">
        <v>0.408045713</v>
      </c>
      <c r="G839" s="2" t="n">
        <f aca="false">IF(G$7=G$5,G$6,IF(NORMSDIST(G$9*SQRT($C$11)*NORMSINV($B839)+SQRT(1-G$9^2*$C$11)*NORMSINV(F839))&lt;G$8,G$5+SQRT(NORMSDIST(G$9*SQRT($C$11)*NORMSINV($B839)+SQRT(1-G$9^2*$C$11)*NORMSINV(F839))*(G$7-G$5)*(G$6-G$5)),G$7-SQRT((1-NORMSDIST(G$9*SQRT($C$11)*NORMSINV($B839)+SQRT(1-G$9^2*$C$11)*NORMSINV(F839)))*(G$7-G$5)*(G$7-G$6))))</f>
        <v>0.0577055159268272</v>
      </c>
      <c r="H839" s="2" t="n">
        <v>0.03081669</v>
      </c>
      <c r="I839" s="2" t="n">
        <f aca="false">IF(I$7=I$5,I$6,IF(NORMSDIST(I$9*SQRT($C$11)*NORMSINV($B839)+SQRT(1-I$9^2*$C$11)*NORMSINV(H839))&lt;I$8,I$5+SQRT(NORMSDIST(I$9*SQRT($C$11)*NORMSINV($B839)+SQRT(1-I$9^2*$C$11)*NORMSINV(H839))*(I$7-I$5)*(I$6-I$5)),I$7-SQRT((1-NORMSDIST(I$9*SQRT($C$11)*NORMSINV($B839)+SQRT(1-I$9^2*$C$11)*NORMSINV(H839)))*(I$7-I$5)*(I$7-I$6))))</f>
        <v>192.629580532449</v>
      </c>
      <c r="J839" s="2" t="n">
        <v>0.275483683</v>
      </c>
      <c r="K839" s="2" t="n">
        <f aca="false">IF(K$7=K$5,K$6,IF(NORMSDIST(K$9*SQRT($C$11)*NORMSINV($B839)+SQRT(1-K$9^2*$C$11)*NORMSINV(J839))&lt;K$8,K$5+SQRT(NORMSDIST(K$9*SQRT($C$11)*NORMSINV($B839)+SQRT(1-K$9^2*$C$11)*NORMSINV(J839))*(K$7-K$5)*(K$6-K$5)),K$7-SQRT((1-NORMSDIST(K$9*SQRT($C$11)*NORMSINV($B839)+SQRT(1-K$9^2*$C$11)*NORMSINV(J839)))*(K$7-K$5)*(K$7-K$6))))</f>
        <v>0.26453078209558</v>
      </c>
      <c r="L839" s="2" t="n">
        <v>0.072547712</v>
      </c>
      <c r="M839" s="2" t="n">
        <f aca="false">IF(M$7=M$5,M$6,IF(NORMSDIST(M$9*SQRT($C$11)*NORMSINV($B839)+SQRT(1-M$9^2*$C$11)*NORMSINV(L839))&lt;M$8,M$5+SQRT(NORMSDIST(M$9*SQRT($C$11)*NORMSINV($B839)+SQRT(1-M$9^2*$C$11)*NORMSINV(L839))*(M$7-M$5)*(M$6-M$5)),M$7-SQRT((1-NORMSDIST(M$9*SQRT($C$11)*NORMSINV($B839)+SQRT(1-M$9^2*$C$11)*NORMSINV(L839)))*(M$7-M$5)*(M$7-M$6))))</f>
        <v>1521.70124732925</v>
      </c>
      <c r="N839" s="2" t="n">
        <v>0.288516363</v>
      </c>
      <c r="O839" s="2" t="n">
        <f aca="false">IF(O$7=O$5,O$6,IF(NORMSDIST(O$9*SQRT($C$11)*NORMSINV($B839)+SQRT(1-O$9^2*$C$11)*NORMSINV(N839))&lt;O$8,O$5+SQRT(NORMSDIST(O$9*SQRT($C$11)*NORMSINV($B839)+SQRT(1-O$9^2*$C$11)*NORMSINV(N839))*(O$7-O$5)*(O$6-O$5)),O$7-SQRT((1-NORMSDIST(O$9*SQRT($C$11)*NORMSINV($B839)+SQRT(1-O$9^2*$C$11)*NORMSINV(N839)))*(O$7-O$5)*(O$7-O$6))))</f>
        <v>0.168553120714478</v>
      </c>
      <c r="P839" s="2" t="n">
        <v>0.867303132</v>
      </c>
      <c r="Q839" s="2" t="n">
        <f aca="false">IF(Q$7=Q$5,Q$6,IF(NORMSDIST(Q$9*SQRT($C$11)*NORMSINV($B839)+SQRT(1-Q$9^2*$C$11)*NORMSINV(P839))&lt;Q$8,Q$5+SQRT(NORMSDIST(Q$9*SQRT($C$11)*NORMSINV($B839)+SQRT(1-Q$9^2*$C$11)*NORMSINV(P839))*(Q$7-Q$5)*(Q$6-Q$5)),Q$7-SQRT((1-NORMSDIST(Q$9*SQRT($C$11)*NORMSINV($B839)+SQRT(1-Q$9^2*$C$11)*NORMSINV(P839)))*(Q$7-Q$5)*(Q$7-Q$6))))</f>
        <v>0.0993934481875303</v>
      </c>
      <c r="R839" s="2" t="n">
        <v>0.772248116</v>
      </c>
      <c r="S839" s="2" t="n">
        <f aca="false">IF(S$7=S$5,S$6,IF(NORMSDIST(S$9*SQRT($C$11)*NORMSINV($B839)+SQRT(1-S$9^2*$C$11)*NORMSINV(R839))&lt;S$8,S$5+SQRT(NORMSDIST(S$9*SQRT($C$11)*NORMSINV($B839)+SQRT(1-S$9^2*$C$11)*NORMSINV(R839))*(S$7-S$5)*(S$6-S$5)),S$7-SQRT((1-NORMSDIST(S$9*SQRT($C$11)*NORMSINV($B839)+SQRT(1-S$9^2*$C$11)*NORMSINV(R839)))*(S$7-S$5)*(S$7-S$6))))</f>
        <v>0.75645951983819</v>
      </c>
      <c r="T839" s="2" t="n">
        <v>0.866923</v>
      </c>
      <c r="U839" s="2" t="n">
        <f aca="false">IF(U$7=U$5,U$6,IF(NORMSDIST(U$9*SQRT($C$11)*NORMSINV($B839)+SQRT(1-U$9^2*$C$11)*NORMSINV(T839))&lt;U$8,U$5+SQRT(NORMSDIST(U$9*SQRT($C$11)*NORMSINV($B839)+SQRT(1-U$9^2*$C$11)*NORMSINV(T839))*(U$7-U$5)*(U$6-U$5)),U$7-SQRT((1-NORMSDIST(U$9*SQRT($C$11)*NORMSINV($B839)+SQRT(1-U$9^2*$C$11)*NORMSINV(T839)))*(U$7-U$5)*(U$7-U$6))))</f>
        <v>0.811004039164137</v>
      </c>
      <c r="V839" s="2" t="n">
        <v>0.016289015</v>
      </c>
      <c r="W839" s="2" t="n">
        <f aca="false">IF(W$7=W$5,W$6,IF(NORMSDIST(W$9*SQRT($C$11)*NORMSINV($B839)+SQRT(1-W$9^2*$C$11)*NORMSINV(V839))&lt;W$8,W$5+SQRT(NORMSDIST(W$9*SQRT($C$11)*NORMSINV($B839)+SQRT(1-W$9^2*$C$11)*NORMSINV(V839))*(W$7-W$5)*(W$6-W$5)),W$7-SQRT((1-NORMSDIST(W$9*SQRT($C$11)*NORMSINV($B839)+SQRT(1-W$9^2*$C$11)*NORMSINV(V839)))*(W$7-W$5)*(W$7-W$6))))</f>
        <v>9.08250022627301</v>
      </c>
      <c r="X839" s="2" t="n">
        <v>0.932960421</v>
      </c>
      <c r="Y839" s="2" t="n">
        <f aca="false">IF(Y$7=Y$5,Y$6,IF(NORMSDIST(Y$9*SQRT($C$11)*NORMSINV($B839)+SQRT(1-Y$9^2*$C$11)*NORMSINV(X839))&lt;Y$8,Y$5+SQRT(NORMSDIST(Y$9*SQRT($C$11)*NORMSINV($B839)+SQRT(1-Y$9^2*$C$11)*NORMSINV(X839))*(Y$7-Y$5)*(Y$6-Y$5)),Y$7-SQRT((1-NORMSDIST(Y$9*SQRT($C$11)*NORMSINV($B839)+SQRT(1-Y$9^2*$C$11)*NORMSINV(X839)))*(Y$7-Y$5)*(Y$7-Y$6))))</f>
        <v>0.816915895009971</v>
      </c>
      <c r="Z839" s="2" t="n">
        <v>0.712100837</v>
      </c>
      <c r="AA839" s="2" t="n">
        <f aca="false">IF(AA$7=AA$5,AA$6,IF(NORMSDIST(AA$9*SQRT($C$11)*NORMSINV($B839)+SQRT(1-AA$9^2*$C$11)*NORMSINV(Z839))&lt;AA$8,AA$5+SQRT(NORMSDIST(AA$9*SQRT($C$11)*NORMSINV($B839)+SQRT(1-AA$9^2*$C$11)*NORMSINV(Z839))*(AA$7-AA$5)*(AA$6-AA$5)),AA$7-SQRT((1-NORMSDIST(AA$9*SQRT($C$11)*NORMSINV($B839)+SQRT(1-AA$9^2*$C$11)*NORMSINV(Z839)))*(AA$7-AA$5)*(AA$7-AA$6))))</f>
        <v>0.739994010154577</v>
      </c>
      <c r="AB839" s="2" t="n">
        <v>0.566423312</v>
      </c>
      <c r="AC839" s="2" t="n">
        <f aca="false">IF(AC$7=AC$5,AC$6,IF(NORMSDIST(AC$9*SQRT($C$11)*NORMSINV($B839)+SQRT(1-AC$9^2*$C$11)*NORMSINV(AB839))&lt;AC$8,AC$5+SQRT(NORMSDIST(AC$9*SQRT($C$11)*NORMSINV($B839)+SQRT(1-AC$9^2*$C$11)*NORMSINV(AB839))*(AC$7-AC$5)*(AC$6-AC$5)),AC$7-SQRT((1-NORMSDIST(AC$9*SQRT($C$11)*NORMSINV($B839)+SQRT(1-AC$9^2*$C$11)*NORMSINV(AB839)))*(AC$7-AC$5)*(AC$7-AC$6))))</f>
        <v>9.99962418145459</v>
      </c>
      <c r="AD839" s="2" t="n">
        <f aca="false">Entrées!$C$8*(1+E839)</f>
        <v>7439.89362941222</v>
      </c>
      <c r="AE839" s="2" t="n">
        <f aca="false">I839*Hypothèses!$J$24/12/Hypothèses!$J$19</f>
        <v>95.5629183671907</v>
      </c>
      <c r="AF839" s="2" t="n">
        <f aca="false">Entrées!$C$36*S839*1000</f>
        <v>378.229759919095</v>
      </c>
      <c r="AG839" s="2" t="n">
        <f aca="false">-AF839/W839</f>
        <v>-41.6437930631686</v>
      </c>
      <c r="AH839" s="2" t="n">
        <f aca="false">AD839+AE839+AG839</f>
        <v>7493.81275471624</v>
      </c>
      <c r="AI839" s="2" t="n">
        <f aca="false">Entrées!$C$16-M839+Hypothèses!$J$22*1000-AF839+Hypothèses!$J$23</f>
        <v>22648.0689927517</v>
      </c>
      <c r="AJ839" s="2" t="n">
        <f aca="false">AI839/AH839</f>
        <v>3.02223577423896</v>
      </c>
      <c r="AK839" s="2" t="n">
        <f aca="false">AI839/(AH839+I839*(12-Hypothèses!$J$24)/12/Hypothèses!$J$19)</f>
        <v>2.99495548922271</v>
      </c>
      <c r="AL839" s="2" t="n">
        <f aca="false">(AD839+AG839+I839/Hypothèses!$J$19)*(1+G839)</f>
        <v>7998.4452473255</v>
      </c>
      <c r="AM839" s="2" t="n">
        <f aca="false">Entrées!$C$54*K839/Hypothèses!$J$19</f>
        <v>26.9964770058333</v>
      </c>
      <c r="AN839" s="2" t="n">
        <f aca="false">Y839*1000/AC839</f>
        <v>81.6946597378161</v>
      </c>
      <c r="AO839" s="2" t="n">
        <f aca="false">(Entrées!$C$36*(1-S839)+MAX(0,Entrées!$C$30-Entrées!$C$35-Entrées!$C$36)*U839)*1000</f>
        <v>1257.1758949107</v>
      </c>
      <c r="AP839" s="2" t="n">
        <f aca="false">-AO839/W839</f>
        <v>-138.417381072456</v>
      </c>
      <c r="AQ839" s="2" t="n">
        <f aca="false">AL839+AM839+AN839+AP839</f>
        <v>7968.71900299669</v>
      </c>
      <c r="AR839" s="2" t="n">
        <f aca="false">O839*AQ839-Hypothèses!$J$25/Hypothèses!$J$19</f>
        <v>1324.01729379023</v>
      </c>
      <c r="AS839" s="2" t="n">
        <f aca="false">Entrées!$C$79*(1+Q839)+Hypothèses!$J$20</f>
        <v>1503.2333995581</v>
      </c>
      <c r="AT839" s="2" t="n">
        <f aca="false">AI839-AR839+AS839+Y839*1000-AO839+Hypothèses!$J$23</f>
        <v>22387.0250986188</v>
      </c>
      <c r="AU839" s="2" t="n">
        <f aca="false">AT839/AQ839</f>
        <v>2.80936309715526</v>
      </c>
      <c r="AV839" s="2" t="n">
        <f aca="false">Hypothèses!$J$26*AQ839-AT839</f>
        <v>1519.13191037128</v>
      </c>
      <c r="AW839" s="2" t="n">
        <f aca="false">IF(AC839&gt;Hypothèses!$J$26,MAX(0,AV839)/(1-Hypothèses!$J$26/AC839),0)</f>
        <v>2170.22339942416</v>
      </c>
      <c r="AX839" s="2" t="n">
        <f aca="false">AQ839-Entrées!$C$17*1000</f>
        <v>-31.2809970033077</v>
      </c>
      <c r="AY839" s="2" t="n">
        <f aca="false">AI839+(Entrées!$C$244-Entrées!$C$13)</f>
        <v>28395.0689927517</v>
      </c>
      <c r="AZ839" s="2" t="n">
        <f aca="false">AA839*AH839</f>
        <v>5545.37655170999</v>
      </c>
      <c r="BA839" s="2" t="n">
        <f aca="false">AZ839/AY839</f>
        <v>0.195293645989222</v>
      </c>
      <c r="BB839" s="2" t="n">
        <f aca="false">AZ839/(Entrées!$C$151/100)-AY839</f>
        <v>2412.57851674829</v>
      </c>
      <c r="BC839" s="2" t="n">
        <f aca="false">AT839+(Entrées!$C$244-Entrées!$C$13)</f>
        <v>28134.0250986188</v>
      </c>
      <c r="BD839" s="2" t="n">
        <f aca="false">AA839*AQ839</f>
        <v>5896.8043308225</v>
      </c>
      <c r="BE839" s="2" t="n">
        <f aca="false">BD839/BC839</f>
        <v>0.209596895934809</v>
      </c>
      <c r="BF839" s="2" t="n">
        <f aca="false">BD839/(Entrées!$C$151/100)-BC839</f>
        <v>4625.99896150623</v>
      </c>
      <c r="BG839" s="2" t="n">
        <f aca="false">MIN(AV839,BF839)</f>
        <v>1519.13191037128</v>
      </c>
      <c r="BH839" s="2" t="n">
        <f aca="false">IF(AC839&gt;Hypothèses!$J$26,MAX(0,BG839)/(1-Hypothèses!$J$26/AC839),0)</f>
        <v>2170.22339942416</v>
      </c>
    </row>
    <row r="840" customFormat="false" ht="15" hidden="false" customHeight="false" outlineLevel="0" collapsed="false">
      <c r="A840" s="2" t="n">
        <v>825</v>
      </c>
      <c r="B840" s="2" t="n">
        <v>0.810214023</v>
      </c>
      <c r="C840" s="2"/>
      <c r="D840" s="2" t="n">
        <v>0.709776521</v>
      </c>
      <c r="E840" s="2" t="n">
        <f aca="false">IF(E$7=E$5,E$6,IF(NORMSDIST(E$9*SQRT($C$11)*NORMSINV($B840)+SQRT(1-E$9^2*$C$11)*NORMSINV(D840))&lt;E$8,E$5+SQRT(NORMSDIST(E$9*SQRT($C$11)*NORMSINV($B840)+SQRT(1-E$9^2*$C$11)*NORMSINV(D840))*(E$7-E$5)*(E$6-E$5)),E$7-SQRT((1-NORMSDIST(E$9*SQRT($C$11)*NORMSINV($B840)+SQRT(1-E$9^2*$C$11)*NORMSINV(D840)))*(E$7-E$5)*(E$7-E$6))))</f>
        <v>0.0571487826347447</v>
      </c>
      <c r="F840" s="2" t="n">
        <v>0.331049384</v>
      </c>
      <c r="G840" s="2" t="n">
        <f aca="false">IF(G$7=G$5,G$6,IF(NORMSDIST(G$9*SQRT($C$11)*NORMSINV($B840)+SQRT(1-G$9^2*$C$11)*NORMSINV(F840))&lt;G$8,G$5+SQRT(NORMSDIST(G$9*SQRT($C$11)*NORMSINV($B840)+SQRT(1-G$9^2*$C$11)*NORMSINV(F840))*(G$7-G$5)*(G$6-G$5)),G$7-SQRT((1-NORMSDIST(G$9*SQRT($C$11)*NORMSINV($B840)+SQRT(1-G$9^2*$C$11)*NORMSINV(F840)))*(G$7-G$5)*(G$7-G$6))))</f>
        <v>0.0563505019046809</v>
      </c>
      <c r="H840" s="2" t="n">
        <v>0.49748195</v>
      </c>
      <c r="I840" s="2" t="n">
        <f aca="false">IF(I$7=I$5,I$6,IF(NORMSDIST(I$9*SQRT($C$11)*NORMSINV($B840)+SQRT(1-I$9^2*$C$11)*NORMSINV(H840))&lt;I$8,I$5+SQRT(NORMSDIST(I$9*SQRT($C$11)*NORMSINV($B840)+SQRT(1-I$9^2*$C$11)*NORMSINV(H840))*(I$7-I$5)*(I$6-I$5)),I$7-SQRT((1-NORMSDIST(I$9*SQRT($C$11)*NORMSINV($B840)+SQRT(1-I$9^2*$C$11)*NORMSINV(H840)))*(I$7-I$5)*(I$7-I$6))))</f>
        <v>204.745581388675</v>
      </c>
      <c r="J840" s="2" t="n">
        <v>0.583697048</v>
      </c>
      <c r="K840" s="2" t="n">
        <f aca="false">IF(K$7=K$5,K$6,IF(NORMSDIST(K$9*SQRT($C$11)*NORMSINV($B840)+SQRT(1-K$9^2*$C$11)*NORMSINV(J840))&lt;K$8,K$5+SQRT(NORMSDIST(K$9*SQRT($C$11)*NORMSINV($B840)+SQRT(1-K$9^2*$C$11)*NORMSINV(J840))*(K$7-K$5)*(K$6-K$5)),K$7-SQRT((1-NORMSDIST(K$9*SQRT($C$11)*NORMSINV($B840)+SQRT(1-K$9^2*$C$11)*NORMSINV(J840)))*(K$7-K$5)*(K$7-K$6))))</f>
        <v>0.32826899968995</v>
      </c>
      <c r="L840" s="2" t="n">
        <v>0.461203039</v>
      </c>
      <c r="M840" s="2" t="n">
        <f aca="false">IF(M$7=M$5,M$6,IF(NORMSDIST(M$9*SQRT($C$11)*NORMSINV($B840)+SQRT(1-M$9^2*$C$11)*NORMSINV(L840))&lt;M$8,M$5+SQRT(NORMSDIST(M$9*SQRT($C$11)*NORMSINV($B840)+SQRT(1-M$9^2*$C$11)*NORMSINV(L840))*(M$7-M$5)*(M$6-M$5)),M$7-SQRT((1-NORMSDIST(M$9*SQRT($C$11)*NORMSINV($B840)+SQRT(1-M$9^2*$C$11)*NORMSINV(L840)))*(M$7-M$5)*(M$7-M$6))))</f>
        <v>1633.41400832911</v>
      </c>
      <c r="N840" s="2" t="n">
        <v>0.968010138</v>
      </c>
      <c r="O840" s="2" t="n">
        <f aca="false">IF(O$7=O$5,O$6,IF(NORMSDIST(O$9*SQRT($C$11)*NORMSINV($B840)+SQRT(1-O$9^2*$C$11)*NORMSINV(N840))&lt;O$8,O$5+SQRT(NORMSDIST(O$9*SQRT($C$11)*NORMSINV($B840)+SQRT(1-O$9^2*$C$11)*NORMSINV(N840))*(O$7-O$5)*(O$6-O$5)),O$7-SQRT((1-NORMSDIST(O$9*SQRT($C$11)*NORMSINV($B840)+SQRT(1-O$9^2*$C$11)*NORMSINV(N840)))*(O$7-O$5)*(O$7-O$6))))</f>
        <v>0.18502177104416</v>
      </c>
      <c r="P840" s="2" t="n">
        <v>0.870687389</v>
      </c>
      <c r="Q840" s="2" t="n">
        <f aca="false">IF(Q$7=Q$5,Q$6,IF(NORMSDIST(Q$9*SQRT($C$11)*NORMSINV($B840)+SQRT(1-Q$9^2*$C$11)*NORMSINV(P840))&lt;Q$8,Q$5+SQRT(NORMSDIST(Q$9*SQRT($C$11)*NORMSINV($B840)+SQRT(1-Q$9^2*$C$11)*NORMSINV(P840))*(Q$7-Q$5)*(Q$6-Q$5)),Q$7-SQRT((1-NORMSDIST(Q$9*SQRT($C$11)*NORMSINV($B840)+SQRT(1-Q$9^2*$C$11)*NORMSINV(P840)))*(Q$7-Q$5)*(Q$7-Q$6))))</f>
        <v>0.099657916645535</v>
      </c>
      <c r="R840" s="2" t="n">
        <v>0.852993064</v>
      </c>
      <c r="S840" s="2" t="n">
        <f aca="false">IF(S$7=S$5,S$6,IF(NORMSDIST(S$9*SQRT($C$11)*NORMSINV($B840)+SQRT(1-S$9^2*$C$11)*NORMSINV(R840))&lt;S$8,S$5+SQRT(NORMSDIST(S$9*SQRT($C$11)*NORMSINV($B840)+SQRT(1-S$9^2*$C$11)*NORMSINV(R840))*(S$7-S$5)*(S$6-S$5)),S$7-SQRT((1-NORMSDIST(S$9*SQRT($C$11)*NORMSINV($B840)+SQRT(1-S$9^2*$C$11)*NORMSINV(R840)))*(S$7-S$5)*(S$7-S$6))))</f>
        <v>0.793156120190258</v>
      </c>
      <c r="T840" s="2" t="n">
        <v>0.598797677</v>
      </c>
      <c r="U840" s="2" t="n">
        <f aca="false">IF(U$7=U$5,U$6,IF(NORMSDIST(U$9*SQRT($C$11)*NORMSINV($B840)+SQRT(1-U$9^2*$C$11)*NORMSINV(T840))&lt;U$8,U$5+SQRT(NORMSDIST(U$9*SQRT($C$11)*NORMSINV($B840)+SQRT(1-U$9^2*$C$11)*NORMSINV(T840))*(U$7-U$5)*(U$6-U$5)),U$7-SQRT((1-NORMSDIST(U$9*SQRT($C$11)*NORMSINV($B840)+SQRT(1-U$9^2*$C$11)*NORMSINV(T840)))*(U$7-U$5)*(U$7-U$6))))</f>
        <v>0.663280966398676</v>
      </c>
      <c r="V840" s="2" t="n">
        <v>0.163193436</v>
      </c>
      <c r="W840" s="2" t="n">
        <f aca="false">IF(W$7=W$5,W$6,IF(NORMSDIST(W$9*SQRT($C$11)*NORMSINV($B840)+SQRT(1-W$9^2*$C$11)*NORMSINV(V840))&lt;W$8,W$5+SQRT(NORMSDIST(W$9*SQRT($C$11)*NORMSINV($B840)+SQRT(1-W$9^2*$C$11)*NORMSINV(V840))*(W$7-W$5)*(W$6-W$5)),W$7-SQRT((1-NORMSDIST(W$9*SQRT($C$11)*NORMSINV($B840)+SQRT(1-W$9^2*$C$11)*NORMSINV(V840)))*(W$7-W$5)*(W$7-W$6))))</f>
        <v>9.83082884246798</v>
      </c>
      <c r="X840" s="2" t="n">
        <v>0.486293817</v>
      </c>
      <c r="Y840" s="2" t="n">
        <f aca="false">IF(Y$7=Y$5,Y$6,IF(NORMSDIST(Y$9*SQRT($C$11)*NORMSINV($B840)+SQRT(1-Y$9^2*$C$11)*NORMSINV(X840))&lt;Y$8,Y$5+SQRT(NORMSDIST(Y$9*SQRT($C$11)*NORMSINV($B840)+SQRT(1-Y$9^2*$C$11)*NORMSINV(X840))*(Y$7-Y$5)*(Y$6-Y$5)),Y$7-SQRT((1-NORMSDIST(Y$9*SQRT($C$11)*NORMSINV($B840)+SQRT(1-Y$9^2*$C$11)*NORMSINV(X840)))*(Y$7-Y$5)*(Y$7-Y$6))))</f>
        <v>0.493099288683324</v>
      </c>
      <c r="Z840" s="2" t="n">
        <v>0.627740711</v>
      </c>
      <c r="AA840" s="2" t="n">
        <f aca="false">IF(AA$7=AA$5,AA$6,IF(NORMSDIST(AA$9*SQRT($C$11)*NORMSINV($B840)+SQRT(1-AA$9^2*$C$11)*NORMSINV(Z840))&lt;AA$8,AA$5+SQRT(NORMSDIST(AA$9*SQRT($C$11)*NORMSINV($B840)+SQRT(1-AA$9^2*$C$11)*NORMSINV(Z840))*(AA$7-AA$5)*(AA$6-AA$5)),AA$7-SQRT((1-NORMSDIST(AA$9*SQRT($C$11)*NORMSINV($B840)+SQRT(1-AA$9^2*$C$11)*NORMSINV(Z840)))*(AA$7-AA$5)*(AA$7-AA$6))))</f>
        <v>0.737460397562426</v>
      </c>
      <c r="AB840" s="2" t="n">
        <v>0.827329859</v>
      </c>
      <c r="AC840" s="2" t="n">
        <f aca="false">IF(AC$7=AC$5,AC$6,IF(NORMSDIST(AC$9*SQRT($C$11)*NORMSINV($B840)+SQRT(1-AC$9^2*$C$11)*NORMSINV(AB840))&lt;AC$8,AC$5+SQRT(NORMSDIST(AC$9*SQRT($C$11)*NORMSINV($B840)+SQRT(1-AC$9^2*$C$11)*NORMSINV(AB840))*(AC$7-AC$5)*(AC$6-AC$5)),AC$7-SQRT((1-NORMSDIST(AC$9*SQRT($C$11)*NORMSINV($B840)+SQRT(1-AC$9^2*$C$11)*NORMSINV(AB840)))*(AC$7-AC$5)*(AC$7-AC$6))))</f>
        <v>10.3456934232248</v>
      </c>
      <c r="AD840" s="2" t="n">
        <f aca="false">Entrées!$C$8*(1+E840)</f>
        <v>7452.89891757495</v>
      </c>
      <c r="AE840" s="2" t="n">
        <f aca="false">I840*Hypothèses!$J$24/12/Hypothèses!$J$19</f>
        <v>101.573627613195</v>
      </c>
      <c r="AF840" s="2" t="n">
        <f aca="false">Entrées!$C$36*S840*1000</f>
        <v>396.578060095129</v>
      </c>
      <c r="AG840" s="2" t="n">
        <f aca="false">-AF840/W840</f>
        <v>-40.3402466312871</v>
      </c>
      <c r="AH840" s="2" t="n">
        <f aca="false">AD840+AE840+AG840</f>
        <v>7514.13229855686</v>
      </c>
      <c r="AI840" s="2" t="n">
        <f aca="false">Entrées!$C$16-M840+Hypothèses!$J$22*1000-AF840+Hypothèses!$J$23</f>
        <v>22518.0079315758</v>
      </c>
      <c r="AJ840" s="2" t="n">
        <f aca="false">AI840/AH840</f>
        <v>2.9967542541007</v>
      </c>
      <c r="AK840" s="2" t="n">
        <f aca="false">AI840/(AH840+I840*(12-Hypothèses!$J$24)/12/Hypothèses!$J$19)</f>
        <v>2.96809584936367</v>
      </c>
      <c r="AL840" s="2" t="n">
        <f aca="false">(AD840+AG840+I840/Hypothèses!$J$19)*(1+G840)</f>
        <v>8014.19839103691</v>
      </c>
      <c r="AM840" s="2" t="n">
        <f aca="false">Entrées!$C$54*K840/Hypothèses!$J$19</f>
        <v>33.5012297308205</v>
      </c>
      <c r="AN840" s="2" t="n">
        <f aca="false">Y840*1000/AC840</f>
        <v>47.6622753556932</v>
      </c>
      <c r="AO840" s="2" t="n">
        <f aca="false">(Entrées!$C$36*(1-S840)+MAX(0,Entrées!$C$30-Entrées!$C$35-Entrées!$C$36)*U840)*1000</f>
        <v>1032.01529286302</v>
      </c>
      <c r="AP840" s="2" t="n">
        <f aca="false">-AO840/W840</f>
        <v>-104.977444872688</v>
      </c>
      <c r="AQ840" s="2" t="n">
        <f aca="false">AL840+AM840+AN840+AP840</f>
        <v>7990.38445125074</v>
      </c>
      <c r="AR840" s="2" t="n">
        <f aca="false">O840*AQ840-Hypothèses!$J$25/Hypothèses!$J$19</f>
        <v>1459.2599202325</v>
      </c>
      <c r="AS840" s="2" t="n">
        <f aca="false">Entrées!$C$79*(1+Q840)+Hypothèses!$J$20</f>
        <v>1503.52405039344</v>
      </c>
      <c r="AT840" s="2" t="n">
        <f aca="false">AI840-AR840+AS840+Y840*1000-AO840+Hypothèses!$J$23</f>
        <v>22023.356057557</v>
      </c>
      <c r="AU840" s="2" t="n">
        <f aca="false">AT840/AQ840</f>
        <v>2.75623234300193</v>
      </c>
      <c r="AV840" s="2" t="n">
        <f aca="false">Hypothèses!$J$26*AQ840-AT840</f>
        <v>1947.79729619519</v>
      </c>
      <c r="AW840" s="2" t="n">
        <f aca="false">IF(AC840&gt;Hypothèses!$J$26,MAX(0,AV840)/(1-Hypothèses!$J$26/AC840),0)</f>
        <v>2743.2826985822</v>
      </c>
      <c r="AX840" s="2" t="n">
        <f aca="false">AQ840-Entrées!$C$17*1000</f>
        <v>-9.61554874926515</v>
      </c>
      <c r="AY840" s="2" t="n">
        <f aca="false">AI840+(Entrées!$C$244-Entrées!$C$13)</f>
        <v>28265.0079315758</v>
      </c>
      <c r="AZ840" s="2" t="n">
        <f aca="false">AA840*AH840</f>
        <v>5541.37499223041</v>
      </c>
      <c r="BA840" s="2" t="n">
        <f aca="false">AZ840/AY840</f>
        <v>0.196050714213314</v>
      </c>
      <c r="BB840" s="2" t="n">
        <f aca="false">AZ840/(Entrées!$C$151/100)-AY840</f>
        <v>2520.4086919265</v>
      </c>
      <c r="BC840" s="2" t="n">
        <f aca="false">AT840+(Entrées!$C$244-Entrées!$C$13)</f>
        <v>27770.356057557</v>
      </c>
      <c r="BD840" s="2" t="n">
        <f aca="false">AA840*AQ840</f>
        <v>5892.592094096</v>
      </c>
      <c r="BE840" s="2" t="n">
        <f aca="false">BD840/BC840</f>
        <v>0.212190008723078</v>
      </c>
      <c r="BF840" s="2" t="n">
        <f aca="false">BD840/(Entrées!$C$151/100)-BC840</f>
        <v>4966.26668742074</v>
      </c>
      <c r="BG840" s="2" t="n">
        <f aca="false">MIN(AV840,BF840)</f>
        <v>1947.79729619519</v>
      </c>
      <c r="BH840" s="2" t="n">
        <f aca="false">IF(AC840&gt;Hypothèses!$J$26,MAX(0,BG840)/(1-Hypothèses!$J$26/AC840),0)</f>
        <v>2743.2826985822</v>
      </c>
    </row>
    <row r="841" customFormat="false" ht="15" hidden="false" customHeight="false" outlineLevel="0" collapsed="false">
      <c r="A841" s="2" t="n">
        <v>826</v>
      </c>
      <c r="B841" s="2" t="n">
        <v>0.673229001</v>
      </c>
      <c r="C841" s="2"/>
      <c r="D841" s="2" t="n">
        <v>0.746104917</v>
      </c>
      <c r="E841" s="2" t="n">
        <f aca="false">IF(E$7=E$5,E$6,IF(NORMSDIST(E$9*SQRT($C$11)*NORMSINV($B841)+SQRT(1-E$9^2*$C$11)*NORMSINV(D841))&lt;E$8,E$5+SQRT(NORMSDIST(E$9*SQRT($C$11)*NORMSINV($B841)+SQRT(1-E$9^2*$C$11)*NORMSINV(D841))*(E$7-E$5)*(E$6-E$5)),E$7-SQRT((1-NORMSDIST(E$9*SQRT($C$11)*NORMSINV($B841)+SQRT(1-E$9^2*$C$11)*NORMSINV(D841)))*(E$7-E$5)*(E$7-E$6))))</f>
        <v>0.0567383972682627</v>
      </c>
      <c r="F841" s="2" t="n">
        <v>0.866369465</v>
      </c>
      <c r="G841" s="2" t="n">
        <f aca="false">IF(G$7=G$5,G$6,IF(NORMSDIST(G$9*SQRT($C$11)*NORMSINV($B841)+SQRT(1-G$9^2*$C$11)*NORMSINV(F841))&lt;G$8,G$5+SQRT(NORMSDIST(G$9*SQRT($C$11)*NORMSINV($B841)+SQRT(1-G$9^2*$C$11)*NORMSINV(F841))*(G$7-G$5)*(G$6-G$5)),G$7-SQRT((1-NORMSDIST(G$9*SQRT($C$11)*NORMSINV($B841)+SQRT(1-G$9^2*$C$11)*NORMSINV(F841)))*(G$7-G$5)*(G$7-G$6))))</f>
        <v>0.0624558415243554</v>
      </c>
      <c r="H841" s="2" t="n">
        <v>0.737564936</v>
      </c>
      <c r="I841" s="2" t="n">
        <f aca="false">IF(I$7=I$5,I$6,IF(NORMSDIST(I$9*SQRT($C$11)*NORMSINV($B841)+SQRT(1-I$9^2*$C$11)*NORMSINV(H841))&lt;I$8,I$5+SQRT(NORMSDIST(I$9*SQRT($C$11)*NORMSINV($B841)+SQRT(1-I$9^2*$C$11)*NORMSINV(H841))*(I$7-I$5)*(I$6-I$5)),I$7-SQRT((1-NORMSDIST(I$9*SQRT($C$11)*NORMSINV($B841)+SQRT(1-I$9^2*$C$11)*NORMSINV(H841)))*(I$7-I$5)*(I$7-I$6))))</f>
        <v>206.771119945891</v>
      </c>
      <c r="J841" s="2" t="n">
        <v>0.70424296</v>
      </c>
      <c r="K841" s="2" t="n">
        <f aca="false">IF(K$7=K$5,K$6,IF(NORMSDIST(K$9*SQRT($C$11)*NORMSINV($B841)+SQRT(1-K$9^2*$C$11)*NORMSINV(J841))&lt;K$8,K$5+SQRT(NORMSDIST(K$9*SQRT($C$11)*NORMSINV($B841)+SQRT(1-K$9^2*$C$11)*NORMSINV(J841))*(K$7-K$5)*(K$6-K$5)),K$7-SQRT((1-NORMSDIST(K$9*SQRT($C$11)*NORMSINV($B841)+SQRT(1-K$9^2*$C$11)*NORMSINV(J841)))*(K$7-K$5)*(K$7-K$6))))</f>
        <v>0.326038173760313</v>
      </c>
      <c r="L841" s="2" t="n">
        <v>0.346133613</v>
      </c>
      <c r="M841" s="2" t="n">
        <f aca="false">IF(M$7=M$5,M$6,IF(NORMSDIST(M$9*SQRT($C$11)*NORMSINV($B841)+SQRT(1-M$9^2*$C$11)*NORMSINV(L841))&lt;M$8,M$5+SQRT(NORMSDIST(M$9*SQRT($C$11)*NORMSINV($B841)+SQRT(1-M$9^2*$C$11)*NORMSINV(L841))*(M$7-M$5)*(M$6-M$5)),M$7-SQRT((1-NORMSDIST(M$9*SQRT($C$11)*NORMSINV($B841)+SQRT(1-M$9^2*$C$11)*NORMSINV(L841)))*(M$7-M$5)*(M$7-M$6))))</f>
        <v>1582.78512551194</v>
      </c>
      <c r="N841" s="2" t="n">
        <v>0.598801976</v>
      </c>
      <c r="O841" s="2" t="n">
        <f aca="false">IF(O$7=O$5,O$6,IF(NORMSDIST(O$9*SQRT($C$11)*NORMSINV($B841)+SQRT(1-O$9^2*$C$11)*NORMSINV(N841))&lt;O$8,O$5+SQRT(NORMSDIST(O$9*SQRT($C$11)*NORMSINV($B841)+SQRT(1-O$9^2*$C$11)*NORMSINV(N841))*(O$7-O$5)*(O$6-O$5)),O$7-SQRT((1-NORMSDIST(O$9*SQRT($C$11)*NORMSINV($B841)+SQRT(1-O$9^2*$C$11)*NORMSINV(N841)))*(O$7-O$5)*(O$7-O$6))))</f>
        <v>0.171641046412928</v>
      </c>
      <c r="P841" s="2" t="n">
        <v>0.182409524</v>
      </c>
      <c r="Q841" s="2" t="n">
        <f aca="false">IF(Q$7=Q$5,Q$6,IF(NORMSDIST(Q$9*SQRT($C$11)*NORMSINV($B841)+SQRT(1-Q$9^2*$C$11)*NORMSINV(P841))&lt;Q$8,Q$5+SQRT(NORMSDIST(Q$9*SQRT($C$11)*NORMSINV($B841)+SQRT(1-Q$9^2*$C$11)*NORMSINV(P841))*(Q$7-Q$5)*(Q$6-Q$5)),Q$7-SQRT((1-NORMSDIST(Q$9*SQRT($C$11)*NORMSINV($B841)+SQRT(1-Q$9^2*$C$11)*NORMSINV(P841)))*(Q$7-Q$5)*(Q$7-Q$6))))</f>
        <v>0.0641601009269415</v>
      </c>
      <c r="R841" s="2" t="n">
        <v>0.344723669</v>
      </c>
      <c r="S841" s="2" t="n">
        <f aca="false">IF(S$7=S$5,S$6,IF(NORMSDIST(S$9*SQRT($C$11)*NORMSINV($B841)+SQRT(1-S$9^2*$C$11)*NORMSINV(R841))&lt;S$8,S$5+SQRT(NORMSDIST(S$9*SQRT($C$11)*NORMSINV($B841)+SQRT(1-S$9^2*$C$11)*NORMSINV(R841))*(S$7-S$5)*(S$6-S$5)),S$7-SQRT((1-NORMSDIST(S$9*SQRT($C$11)*NORMSINV($B841)+SQRT(1-S$9^2*$C$11)*NORMSINV(R841)))*(S$7-S$5)*(S$7-S$6))))</f>
        <v>0.494856263038893</v>
      </c>
      <c r="T841" s="2" t="n">
        <v>0.716680248</v>
      </c>
      <c r="U841" s="2" t="n">
        <f aca="false">IF(U$7=U$5,U$6,IF(NORMSDIST(U$9*SQRT($C$11)*NORMSINV($B841)+SQRT(1-U$9^2*$C$11)*NORMSINV(T841))&lt;U$8,U$5+SQRT(NORMSDIST(U$9*SQRT($C$11)*NORMSINV($B841)+SQRT(1-U$9^2*$C$11)*NORMSINV(T841))*(U$7-U$5)*(U$6-U$5)),U$7-SQRT((1-NORMSDIST(U$9*SQRT($C$11)*NORMSINV($B841)+SQRT(1-U$9^2*$C$11)*NORMSINV(T841)))*(U$7-U$5)*(U$7-U$6))))</f>
        <v>0.658392930386791</v>
      </c>
      <c r="V841" s="2" t="n">
        <v>0.013011001</v>
      </c>
      <c r="W841" s="2" t="n">
        <f aca="false">IF(W$7=W$5,W$6,IF(NORMSDIST(W$9*SQRT($C$11)*NORMSINV($B841)+SQRT(1-W$9^2*$C$11)*NORMSINV(V841))&lt;W$8,W$5+SQRT(NORMSDIST(W$9*SQRT($C$11)*NORMSINV($B841)+SQRT(1-W$9^2*$C$11)*NORMSINV(V841))*(W$7-W$5)*(W$6-W$5)),W$7-SQRT((1-NORMSDIST(W$9*SQRT($C$11)*NORMSINV($B841)+SQRT(1-W$9^2*$C$11)*NORMSINV(V841)))*(W$7-W$5)*(W$7-W$6))))</f>
        <v>8.77404524835312</v>
      </c>
      <c r="X841" s="2" t="n">
        <v>0.222657253</v>
      </c>
      <c r="Y841" s="2" t="n">
        <f aca="false">IF(Y$7=Y$5,Y$6,IF(NORMSDIST(Y$9*SQRT($C$11)*NORMSINV($B841)+SQRT(1-Y$9^2*$C$11)*NORMSINV(X841))&lt;Y$8,Y$5+SQRT(NORMSDIST(Y$9*SQRT($C$11)*NORMSINV($B841)+SQRT(1-Y$9^2*$C$11)*NORMSINV(X841))*(Y$7-Y$5)*(Y$6-Y$5)),Y$7-SQRT((1-NORMSDIST(Y$9*SQRT($C$11)*NORMSINV($B841)+SQRT(1-Y$9^2*$C$11)*NORMSINV(X841)))*(Y$7-Y$5)*(Y$7-Y$6))))</f>
        <v>0.333659446891587</v>
      </c>
      <c r="Z841" s="2" t="n">
        <v>0.963930909</v>
      </c>
      <c r="AA841" s="2" t="n">
        <f aca="false">IF(AA$7=AA$5,AA$6,IF(NORMSDIST(AA$9*SQRT($C$11)*NORMSINV($B841)+SQRT(1-AA$9^2*$C$11)*NORMSINV(Z841))&lt;AA$8,AA$5+SQRT(NORMSDIST(AA$9*SQRT($C$11)*NORMSINV($B841)+SQRT(1-AA$9^2*$C$11)*NORMSINV(Z841))*(AA$7-AA$5)*(AA$6-AA$5)),AA$7-SQRT((1-NORMSDIST(AA$9*SQRT($C$11)*NORMSINV($B841)+SQRT(1-AA$9^2*$C$11)*NORMSINV(Z841)))*(AA$7-AA$5)*(AA$7-AA$6))))</f>
        <v>0.746116108635488</v>
      </c>
      <c r="AB841" s="2" t="n">
        <v>0.847666727</v>
      </c>
      <c r="AC841" s="2" t="n">
        <f aca="false">IF(AC$7=AC$5,AC$6,IF(NORMSDIST(AC$9*SQRT($C$11)*NORMSINV($B841)+SQRT(1-AC$9^2*$C$11)*NORMSINV(AB841))&lt;AC$8,AC$5+SQRT(NORMSDIST(AC$9*SQRT($C$11)*NORMSINV($B841)+SQRT(1-AC$9^2*$C$11)*NORMSINV(AB841))*(AC$7-AC$5)*(AC$6-AC$5)),AC$7-SQRT((1-NORMSDIST(AC$9*SQRT($C$11)*NORMSINV($B841)+SQRT(1-AC$9^2*$C$11)*NORMSINV(AB841)))*(AC$7-AC$5)*(AC$7-AC$6))))</f>
        <v>10.2214841425874</v>
      </c>
      <c r="AD841" s="2" t="n">
        <f aca="false">Entrées!$C$8*(1+E841)</f>
        <v>7450.00570074125</v>
      </c>
      <c r="AE841" s="2" t="n">
        <f aca="false">I841*Hypothèses!$J$24/12/Hypothèses!$J$19</f>
        <v>102.578490808442</v>
      </c>
      <c r="AF841" s="2" t="n">
        <f aca="false">Entrées!$C$36*S841*1000</f>
        <v>247.428131519446</v>
      </c>
      <c r="AG841" s="2" t="n">
        <f aca="false">-AF841/W841</f>
        <v>-28.2000063272854</v>
      </c>
      <c r="AH841" s="2" t="n">
        <f aca="false">AD841+AE841+AG841</f>
        <v>7524.38418522241</v>
      </c>
      <c r="AI841" s="2" t="n">
        <f aca="false">Entrées!$C$16-M841+Hypothèses!$J$22*1000-AF841+Hypothèses!$J$23</f>
        <v>22717.7867429686</v>
      </c>
      <c r="AJ841" s="2" t="n">
        <f aca="false">AI841/AH841</f>
        <v>3.01922206306071</v>
      </c>
      <c r="AK841" s="2" t="n">
        <f aca="false">AI841/(AH841+I841*(12-Hypothèses!$J$24)/12/Hypothèses!$J$19)</f>
        <v>2.99010525365733</v>
      </c>
      <c r="AL841" s="2" t="n">
        <f aca="false">(AD841+AG841+I841/Hypothèses!$J$19)*(1+G841)</f>
        <v>8072.17244344458</v>
      </c>
      <c r="AM841" s="2" t="n">
        <f aca="false">Entrées!$C$54*K841/Hypothèses!$J$19</f>
        <v>33.2735645780682</v>
      </c>
      <c r="AN841" s="2" t="n">
        <f aca="false">Y841*1000/AC841</f>
        <v>32.642954999207</v>
      </c>
      <c r="AO841" s="2" t="n">
        <f aca="false">(Entrées!$C$36*(1-S841)+MAX(0,Entrées!$C$30-Entrées!$C$35-Entrées!$C$36)*U841)*1000</f>
        <v>1174.32197102206</v>
      </c>
      <c r="AP841" s="2" t="n">
        <f aca="false">-AO841/W841</f>
        <v>-133.840427964795</v>
      </c>
      <c r="AQ841" s="2" t="n">
        <f aca="false">AL841+AM841+AN841+AP841</f>
        <v>8004.24853505706</v>
      </c>
      <c r="AR841" s="2" t="n">
        <f aca="false">O841*AQ841-Hypothèses!$J$25/Hypothèses!$J$19</f>
        <v>1354.72243204472</v>
      </c>
      <c r="AS841" s="2" t="n">
        <f aca="false">Entrées!$C$79*(1+Q841)+Hypothèses!$J$20</f>
        <v>1464.51195091871</v>
      </c>
      <c r="AT841" s="2" t="n">
        <f aca="false">AI841-AR841+AS841+Y841*1000-AO841+Hypothèses!$J$23</f>
        <v>21986.9137377121</v>
      </c>
      <c r="AU841" s="2" t="n">
        <f aca="false">AT841/AQ841</f>
        <v>2.74690542671354</v>
      </c>
      <c r="AV841" s="2" t="n">
        <f aca="false">Hypothèses!$J$26*AQ841-AT841</f>
        <v>2025.83186745906</v>
      </c>
      <c r="AW841" s="2" t="n">
        <f aca="false">IF(AC841&gt;Hypothèses!$J$26,MAX(0,AV841)/(1-Hypothèses!$J$26/AC841),0)</f>
        <v>2867.41726491722</v>
      </c>
      <c r="AX841" s="2" t="n">
        <f aca="false">AQ841-Entrées!$C$17*1000</f>
        <v>4.24853505706324</v>
      </c>
      <c r="AY841" s="2" t="n">
        <f aca="false">AI841+(Entrées!$C$244-Entrées!$C$13)</f>
        <v>28464.7867429686</v>
      </c>
      <c r="AZ841" s="2" t="n">
        <f aca="false">AA841*AH841</f>
        <v>5614.06424815655</v>
      </c>
      <c r="BA841" s="2" t="n">
        <f aca="false">AZ841/AY841</f>
        <v>0.197228396574703</v>
      </c>
      <c r="BB841" s="2" t="n">
        <f aca="false">AZ841/(Entrées!$C$151/100)-AY841</f>
        <v>2724.45908012334</v>
      </c>
      <c r="BC841" s="2" t="n">
        <f aca="false">AT841+(Entrées!$C$244-Entrées!$C$13)</f>
        <v>27733.9137377121</v>
      </c>
      <c r="BD841" s="2" t="n">
        <f aca="false">AA841*AQ841</f>
        <v>5972.09876952808</v>
      </c>
      <c r="BE841" s="2" t="n">
        <f aca="false">BD841/BC841</f>
        <v>0.215335593310342</v>
      </c>
      <c r="BF841" s="2" t="n">
        <f aca="false">BD841/(Entrées!$C$151/100)-BC841</f>
        <v>5444.41275966611</v>
      </c>
      <c r="BG841" s="2" t="n">
        <f aca="false">MIN(AV841,BF841)</f>
        <v>2025.83186745906</v>
      </c>
      <c r="BH841" s="2" t="n">
        <f aca="false">IF(AC841&gt;Hypothèses!$J$26,MAX(0,BG841)/(1-Hypothèses!$J$26/AC841),0)</f>
        <v>2867.41726491722</v>
      </c>
    </row>
    <row r="842" customFormat="false" ht="15" hidden="false" customHeight="false" outlineLevel="0" collapsed="false">
      <c r="A842" s="2" t="n">
        <v>827</v>
      </c>
      <c r="B842" s="2" t="n">
        <v>0.515372117</v>
      </c>
      <c r="C842" s="2"/>
      <c r="D842" s="2" t="n">
        <v>0.604294308</v>
      </c>
      <c r="E842" s="2" t="n">
        <f aca="false">IF(E$7=E$5,E$6,IF(NORMSDIST(E$9*SQRT($C$11)*NORMSINV($B842)+SQRT(1-E$9^2*$C$11)*NORMSINV(D842))&lt;E$8,E$5+SQRT(NORMSDIST(E$9*SQRT($C$11)*NORMSINV($B842)+SQRT(1-E$9^2*$C$11)*NORMSINV(D842))*(E$7-E$5)*(E$6-E$5)),E$7-SQRT((1-NORMSDIST(E$9*SQRT($C$11)*NORMSINV($B842)+SQRT(1-E$9^2*$C$11)*NORMSINV(D842)))*(E$7-E$5)*(E$7-E$6))))</f>
        <v>0.0554759464125864</v>
      </c>
      <c r="F842" s="2" t="n">
        <v>0.802349591</v>
      </c>
      <c r="G842" s="2" t="n">
        <f aca="false">IF(G$7=G$5,G$6,IF(NORMSDIST(G$9*SQRT($C$11)*NORMSINV($B842)+SQRT(1-G$9^2*$C$11)*NORMSINV(F842))&lt;G$8,G$5+SQRT(NORMSDIST(G$9*SQRT($C$11)*NORMSINV($B842)+SQRT(1-G$9^2*$C$11)*NORMSINV(F842))*(G$7-G$5)*(G$6-G$5)),G$7-SQRT((1-NORMSDIST(G$9*SQRT($C$11)*NORMSINV($B842)+SQRT(1-G$9^2*$C$11)*NORMSINV(F842)))*(G$7-G$5)*(G$7-G$6))))</f>
        <v>0.0594495226352083</v>
      </c>
      <c r="H842" s="2" t="n">
        <v>0.764692125</v>
      </c>
      <c r="I842" s="2" t="n">
        <f aca="false">IF(I$7=I$5,I$6,IF(NORMSDIST(I$9*SQRT($C$11)*NORMSINV($B842)+SQRT(1-I$9^2*$C$11)*NORMSINV(H842))&lt;I$8,I$5+SQRT(NORMSDIST(I$9*SQRT($C$11)*NORMSINV($B842)+SQRT(1-I$9^2*$C$11)*NORMSINV(H842))*(I$7-I$5)*(I$6-I$5)),I$7-SQRT((1-NORMSDIST(I$9*SQRT($C$11)*NORMSINV($B842)+SQRT(1-I$9^2*$C$11)*NORMSINV(H842)))*(I$7-I$5)*(I$7-I$6))))</f>
        <v>205.036865872809</v>
      </c>
      <c r="J842" s="2" t="n">
        <v>0.826780666</v>
      </c>
      <c r="K842" s="2" t="n">
        <f aca="false">IF(K$7=K$5,K$6,IF(NORMSDIST(K$9*SQRT($C$11)*NORMSINV($B842)+SQRT(1-K$9^2*$C$11)*NORMSINV(J842))&lt;K$8,K$5+SQRT(NORMSDIST(K$9*SQRT($C$11)*NORMSINV($B842)+SQRT(1-K$9^2*$C$11)*NORMSINV(J842))*(K$7-K$5)*(K$6-K$5)),K$7-SQRT((1-NORMSDIST(K$9*SQRT($C$11)*NORMSINV($B842)+SQRT(1-K$9^2*$C$11)*NORMSINV(J842)))*(K$7-K$5)*(K$7-K$6))))</f>
        <v>0.332100273420015</v>
      </c>
      <c r="L842" s="2" t="n">
        <v>0.668929817</v>
      </c>
      <c r="M842" s="2" t="n">
        <f aca="false">IF(M$7=M$5,M$6,IF(NORMSDIST(M$9*SQRT($C$11)*NORMSINV($B842)+SQRT(1-M$9^2*$C$11)*NORMSINV(L842))&lt;M$8,M$5+SQRT(NORMSDIST(M$9*SQRT($C$11)*NORMSINV($B842)+SQRT(1-M$9^2*$C$11)*NORMSINV(L842))*(M$7-M$5)*(M$6-M$5)),M$7-SQRT((1-NORMSDIST(M$9*SQRT($C$11)*NORMSINV($B842)+SQRT(1-M$9^2*$C$11)*NORMSINV(L842)))*(M$7-M$5)*(M$7-M$6))))</f>
        <v>1622.82603199248</v>
      </c>
      <c r="N842" s="2" t="n">
        <v>0.201169636</v>
      </c>
      <c r="O842" s="2" t="n">
        <f aca="false">IF(O$7=O$5,O$6,IF(NORMSDIST(O$9*SQRT($C$11)*NORMSINV($B842)+SQRT(1-O$9^2*$C$11)*NORMSINV(N842))&lt;O$8,O$5+SQRT(NORMSDIST(O$9*SQRT($C$11)*NORMSINV($B842)+SQRT(1-O$9^2*$C$11)*NORMSINV(N842))*(O$7-O$5)*(O$6-O$5)),O$7-SQRT((1-NORMSDIST(O$9*SQRT($C$11)*NORMSINV($B842)+SQRT(1-O$9^2*$C$11)*NORMSINV(N842)))*(O$7-O$5)*(O$7-O$6))))</f>
        <v>0.159543939135718</v>
      </c>
      <c r="P842" s="2" t="n">
        <v>0.910561169</v>
      </c>
      <c r="Q842" s="2" t="n">
        <f aca="false">IF(Q$7=Q$5,Q$6,IF(NORMSDIST(Q$9*SQRT($C$11)*NORMSINV($B842)+SQRT(1-Q$9^2*$C$11)*NORMSINV(P842))&lt;Q$8,Q$5+SQRT(NORMSDIST(Q$9*SQRT($C$11)*NORMSINV($B842)+SQRT(1-Q$9^2*$C$11)*NORMSINV(P842))*(Q$7-Q$5)*(Q$6-Q$5)),Q$7-SQRT((1-NORMSDIST(Q$9*SQRT($C$11)*NORMSINV($B842)+SQRT(1-Q$9^2*$C$11)*NORMSINV(P842)))*(Q$7-Q$5)*(Q$7-Q$6))))</f>
        <v>0.103082427502741</v>
      </c>
      <c r="R842" s="2" t="n">
        <v>0.524501123</v>
      </c>
      <c r="S842" s="2" t="n">
        <f aca="false">IF(S$7=S$5,S$6,IF(NORMSDIST(S$9*SQRT($C$11)*NORMSINV($B842)+SQRT(1-S$9^2*$C$11)*NORMSINV(R842))&lt;S$8,S$5+SQRT(NORMSDIST(S$9*SQRT($C$11)*NORMSINV($B842)+SQRT(1-S$9^2*$C$11)*NORMSINV(R842))*(S$7-S$5)*(S$6-S$5)),S$7-SQRT((1-NORMSDIST(S$9*SQRT($C$11)*NORMSINV($B842)+SQRT(1-S$9^2*$C$11)*NORMSINV(R842)))*(S$7-S$5)*(S$7-S$6))))</f>
        <v>0.514557030561089</v>
      </c>
      <c r="T842" s="2" t="n">
        <v>0.790214555</v>
      </c>
      <c r="U842" s="2" t="n">
        <f aca="false">IF(U$7=U$5,U$6,IF(NORMSDIST(U$9*SQRT($C$11)*NORMSINV($B842)+SQRT(1-U$9^2*$C$11)*NORMSINV(T842))&lt;U$8,U$5+SQRT(NORMSDIST(U$9*SQRT($C$11)*NORMSINV($B842)+SQRT(1-U$9^2*$C$11)*NORMSINV(T842))*(U$7-U$5)*(U$6-U$5)),U$7-SQRT((1-NORMSDIST(U$9*SQRT($C$11)*NORMSINV($B842)+SQRT(1-U$9^2*$C$11)*NORMSINV(T842)))*(U$7-U$5)*(U$7-U$6))))</f>
        <v>0.640852374169847</v>
      </c>
      <c r="V842" s="2" t="n">
        <v>0.096410091</v>
      </c>
      <c r="W842" s="2" t="n">
        <f aca="false">IF(W$7=W$5,W$6,IF(NORMSDIST(W$9*SQRT($C$11)*NORMSINV($B842)+SQRT(1-W$9^2*$C$11)*NORMSINV(V842))&lt;W$8,W$5+SQRT(NORMSDIST(W$9*SQRT($C$11)*NORMSINV($B842)+SQRT(1-W$9^2*$C$11)*NORMSINV(V842))*(W$7-W$5)*(W$6-W$5)),W$7-SQRT((1-NORMSDIST(W$9*SQRT($C$11)*NORMSINV($B842)+SQRT(1-W$9^2*$C$11)*NORMSINV(V842)))*(W$7-W$5)*(W$7-W$6))))</f>
        <v>9.14006160141768</v>
      </c>
      <c r="X842" s="2" t="n">
        <v>0.735781773</v>
      </c>
      <c r="Y842" s="2" t="n">
        <f aca="false">IF(Y$7=Y$5,Y$6,IF(NORMSDIST(Y$9*SQRT($C$11)*NORMSINV($B842)+SQRT(1-Y$9^2*$C$11)*NORMSINV(X842))&lt;Y$8,Y$5+SQRT(NORMSDIST(Y$9*SQRT($C$11)*NORMSINV($B842)+SQRT(1-Y$9^2*$C$11)*NORMSINV(X842))*(Y$7-Y$5)*(Y$6-Y$5)),Y$7-SQRT((1-NORMSDIST(Y$9*SQRT($C$11)*NORMSINV($B842)+SQRT(1-Y$9^2*$C$11)*NORMSINV(X842)))*(Y$7-Y$5)*(Y$7-Y$6))))</f>
        <v>0.636531826014987</v>
      </c>
      <c r="Z842" s="2" t="n">
        <v>0.834576373</v>
      </c>
      <c r="AA842" s="2" t="n">
        <f aca="false">IF(AA$7=AA$5,AA$6,IF(NORMSDIST(AA$9*SQRT($C$11)*NORMSINV($B842)+SQRT(1-AA$9^2*$C$11)*NORMSINV(Z842))&lt;AA$8,AA$5+SQRT(NORMSDIST(AA$9*SQRT($C$11)*NORMSINV($B842)+SQRT(1-AA$9^2*$C$11)*NORMSINV(Z842))*(AA$7-AA$5)*(AA$6-AA$5)),AA$7-SQRT((1-NORMSDIST(AA$9*SQRT($C$11)*NORMSINV($B842)+SQRT(1-AA$9^2*$C$11)*NORMSINV(Z842)))*(AA$7-AA$5)*(AA$7-AA$6))))</f>
        <v>0.737115397240532</v>
      </c>
      <c r="AB842" s="2" t="n">
        <v>0.394283695</v>
      </c>
      <c r="AC842" s="2" t="n">
        <f aca="false">IF(AC$7=AC$5,AC$6,IF(NORMSDIST(AC$9*SQRT($C$11)*NORMSINV($B842)+SQRT(1-AC$9^2*$C$11)*NORMSINV(AB842))&lt;AC$8,AC$5+SQRT(NORMSDIST(AC$9*SQRT($C$11)*NORMSINV($B842)+SQRT(1-AC$9^2*$C$11)*NORMSINV(AB842))*(AC$7-AC$5)*(AC$6-AC$5)),AC$7-SQRT((1-NORMSDIST(AC$9*SQRT($C$11)*NORMSINV($B842)+SQRT(1-AC$9^2*$C$11)*NORMSINV(AB842)))*(AC$7-AC$5)*(AC$7-AC$6))))</f>
        <v>9.32133947045189</v>
      </c>
      <c r="AD842" s="2" t="n">
        <f aca="false">Entrées!$C$8*(1+E842)</f>
        <v>7441.10542220873</v>
      </c>
      <c r="AE842" s="2" t="n">
        <f aca="false">I842*Hypothèses!$J$24/12/Hypothèses!$J$19</f>
        <v>101.718132913482</v>
      </c>
      <c r="AF842" s="2" t="n">
        <f aca="false">Entrées!$C$36*S842*1000</f>
        <v>257.278515280544</v>
      </c>
      <c r="AG842" s="2" t="n">
        <f aca="false">-AF842/W842</f>
        <v>-28.1484443431583</v>
      </c>
      <c r="AH842" s="2" t="n">
        <f aca="false">AD842+AE842+AG842</f>
        <v>7514.67511077906</v>
      </c>
      <c r="AI842" s="2" t="n">
        <f aca="false">Entrées!$C$16-M842+Hypothèses!$J$22*1000-AF842+Hypothèses!$J$23</f>
        <v>22667.895452727</v>
      </c>
      <c r="AJ842" s="2" t="n">
        <f aca="false">AI842/AH842</f>
        <v>3.01648376257972</v>
      </c>
      <c r="AK842" s="2" t="n">
        <f aca="false">AI842/(AH842+I842*(12-Hypothèses!$J$24)/12/Hypothèses!$J$19)</f>
        <v>2.98759810158881</v>
      </c>
      <c r="AL842" s="2" t="n">
        <f aca="false">(AD842+AG842+I842/Hypothèses!$J$19)*(1+G842)</f>
        <v>8038.39412127251</v>
      </c>
      <c r="AM842" s="2" t="n">
        <f aca="false">Entrées!$C$54*K842/Hypothèses!$J$19</f>
        <v>33.8922273014525</v>
      </c>
      <c r="AN842" s="2" t="n">
        <f aca="false">Y842*1000/AC842</f>
        <v>68.2875919316913</v>
      </c>
      <c r="AO842" s="2" t="n">
        <f aca="false">(Entrées!$C$36*(1-S842)+MAX(0,Entrées!$C$30-Entrées!$C$35-Entrées!$C$36)*U842)*1000</f>
        <v>1139.91480855724</v>
      </c>
      <c r="AP842" s="2" t="n">
        <f aca="false">-AO842/W842</f>
        <v>-124.716315739101</v>
      </c>
      <c r="AQ842" s="2" t="n">
        <f aca="false">AL842+AM842+AN842+AP842</f>
        <v>8015.85762476655</v>
      </c>
      <c r="AR842" s="2" t="n">
        <f aca="false">O842*AQ842-Hypothèses!$J$25/Hypothèses!$J$19</f>
        <v>1259.74633874471</v>
      </c>
      <c r="AS842" s="2" t="n">
        <f aca="false">Entrées!$C$79*(1+Q842)+Hypothèses!$J$20</f>
        <v>1507.28758782551</v>
      </c>
      <c r="AT842" s="2" t="n">
        <f aca="false">AI842-AR842+AS842+Y842*1000-AO842+Hypothèses!$J$23</f>
        <v>22412.0537192655</v>
      </c>
      <c r="AU842" s="2" t="n">
        <f aca="false">AT842/AQ842</f>
        <v>2.79596454533064</v>
      </c>
      <c r="AV842" s="2" t="n">
        <f aca="false">Hypothèses!$J$26*AQ842-AT842</f>
        <v>1635.51915503412</v>
      </c>
      <c r="AW842" s="2" t="n">
        <f aca="false">IF(AC842&gt;Hypothèses!$J$26,MAX(0,AV842)/(1-Hypothèses!$J$26/AC842),0)</f>
        <v>2411.70867752968</v>
      </c>
      <c r="AX842" s="2" t="n">
        <f aca="false">AQ842-Entrées!$C$17*1000</f>
        <v>15.8576247665478</v>
      </c>
      <c r="AY842" s="2" t="n">
        <f aca="false">AI842+(Entrées!$C$244-Entrées!$C$13)</f>
        <v>28414.895452727</v>
      </c>
      <c r="AZ842" s="2" t="n">
        <f aca="false">AA842*AH842</f>
        <v>5539.18272941545</v>
      </c>
      <c r="BA842" s="2" t="n">
        <f aca="false">AZ842/AY842</f>
        <v>0.194939402069271</v>
      </c>
      <c r="BB842" s="2" t="n">
        <f aca="false">AZ842/(Entrées!$C$151/100)-AY842</f>
        <v>2358.3419329144</v>
      </c>
      <c r="BC842" s="2" t="n">
        <f aca="false">AT842+(Entrées!$C$244-Entrées!$C$13)</f>
        <v>28159.0537192655</v>
      </c>
      <c r="BD842" s="2" t="n">
        <f aca="false">AA842*AQ842</f>
        <v>5908.61207730334</v>
      </c>
      <c r="BE842" s="2" t="n">
        <f aca="false">BD842/BC842</f>
        <v>0.209829923129159</v>
      </c>
      <c r="BF842" s="2" t="n">
        <f aca="false">BD842/(Entrées!$C$151/100)-BC842</f>
        <v>4666.56893241973</v>
      </c>
      <c r="BG842" s="2" t="n">
        <f aca="false">MIN(AV842,BF842)</f>
        <v>1635.51915503412</v>
      </c>
      <c r="BH842" s="2" t="n">
        <f aca="false">IF(AC842&gt;Hypothèses!$J$26,MAX(0,BG842)/(1-Hypothèses!$J$26/AC842),0)</f>
        <v>2411.70867752968</v>
      </c>
    </row>
    <row r="843" customFormat="false" ht="15" hidden="false" customHeight="false" outlineLevel="0" collapsed="false">
      <c r="A843" s="2" t="n">
        <v>828</v>
      </c>
      <c r="B843" s="2" t="n">
        <v>0.896240094</v>
      </c>
      <c r="C843" s="2"/>
      <c r="D843" s="2" t="n">
        <v>0.786292588</v>
      </c>
      <c r="E843" s="2" t="n">
        <f aca="false">IF(E$7=E$5,E$6,IF(NORMSDIST(E$9*SQRT($C$11)*NORMSINV($B843)+SQRT(1-E$9^2*$C$11)*NORMSINV(D843))&lt;E$8,E$5+SQRT(NORMSDIST(E$9*SQRT($C$11)*NORMSINV($B843)+SQRT(1-E$9^2*$C$11)*NORMSINV(D843))*(E$7-E$5)*(E$6-E$5)),E$7-SQRT((1-NORMSDIST(E$9*SQRT($C$11)*NORMSINV($B843)+SQRT(1-E$9^2*$C$11)*NORMSINV(D843)))*(E$7-E$5)*(E$7-E$6))))</f>
        <v>0.0580126579278305</v>
      </c>
      <c r="F843" s="2" t="n">
        <v>0.237825642</v>
      </c>
      <c r="G843" s="2" t="n">
        <f aca="false">IF(G$7=G$5,G$6,IF(NORMSDIST(G$9*SQRT($C$11)*NORMSINV($B843)+SQRT(1-G$9^2*$C$11)*NORMSINV(F843))&lt;G$8,G$5+SQRT(NORMSDIST(G$9*SQRT($C$11)*NORMSINV($B843)+SQRT(1-G$9^2*$C$11)*NORMSINV(F843))*(G$7-G$5)*(G$6-G$5)),G$7-SQRT((1-NORMSDIST(G$9*SQRT($C$11)*NORMSINV($B843)+SQRT(1-G$9^2*$C$11)*NORMSINV(F843)))*(G$7-G$5)*(G$7-G$6))))</f>
        <v>0.0565271394461599</v>
      </c>
      <c r="H843" s="2" t="n">
        <v>0.003078296</v>
      </c>
      <c r="I843" s="2" t="n">
        <f aca="false">IF(I$7=I$5,I$6,IF(NORMSDIST(I$9*SQRT($C$11)*NORMSINV($B843)+SQRT(1-I$9^2*$C$11)*NORMSINV(H843))&lt;I$8,I$5+SQRT(NORMSDIST(I$9*SQRT($C$11)*NORMSINV($B843)+SQRT(1-I$9^2*$C$11)*NORMSINV(H843))*(I$7-I$5)*(I$6-I$5)),I$7-SQRT((1-NORMSDIST(I$9*SQRT($C$11)*NORMSINV($B843)+SQRT(1-I$9^2*$C$11)*NORMSINV(H843)))*(I$7-I$5)*(I$7-I$6))))</f>
        <v>188.608508277821</v>
      </c>
      <c r="J843" s="2" t="n">
        <v>0.057744845</v>
      </c>
      <c r="K843" s="2" t="n">
        <f aca="false">IF(K$7=K$5,K$6,IF(NORMSDIST(K$9*SQRT($C$11)*NORMSINV($B843)+SQRT(1-K$9^2*$C$11)*NORMSINV(J843))&lt;K$8,K$5+SQRT(NORMSDIST(K$9*SQRT($C$11)*NORMSINV($B843)+SQRT(1-K$9^2*$C$11)*NORMSINV(J843))*(K$7-K$5)*(K$6-K$5)),K$7-SQRT((1-NORMSDIST(K$9*SQRT($C$11)*NORMSINV($B843)+SQRT(1-K$9^2*$C$11)*NORMSINV(J843)))*(K$7-K$5)*(K$7-K$6))))</f>
        <v>0.20508953631052</v>
      </c>
      <c r="L843" s="2" t="n">
        <v>0.246189024</v>
      </c>
      <c r="M843" s="2" t="n">
        <f aca="false">IF(M$7=M$5,M$6,IF(NORMSDIST(M$9*SQRT($C$11)*NORMSINV($B843)+SQRT(1-M$9^2*$C$11)*NORMSINV(L843))&lt;M$8,M$5+SQRT(NORMSDIST(M$9*SQRT($C$11)*NORMSINV($B843)+SQRT(1-M$9^2*$C$11)*NORMSINV(L843))*(M$7-M$5)*(M$6-M$5)),M$7-SQRT((1-NORMSDIST(M$9*SQRT($C$11)*NORMSINV($B843)+SQRT(1-M$9^2*$C$11)*NORMSINV(L843)))*(M$7-M$5)*(M$7-M$6))))</f>
        <v>1613.47338521191</v>
      </c>
      <c r="N843" s="2" t="n">
        <v>0.129057886</v>
      </c>
      <c r="O843" s="2" t="n">
        <f aca="false">IF(O$7=O$5,O$6,IF(NORMSDIST(O$9*SQRT($C$11)*NORMSINV($B843)+SQRT(1-O$9^2*$C$11)*NORMSINV(N843))&lt;O$8,O$5+SQRT(NORMSDIST(O$9*SQRT($C$11)*NORMSINV($B843)+SQRT(1-O$9^2*$C$11)*NORMSINV(N843))*(O$7-O$5)*(O$6-O$5)),O$7-SQRT((1-NORMSDIST(O$9*SQRT($C$11)*NORMSINV($B843)+SQRT(1-O$9^2*$C$11)*NORMSINV(N843)))*(O$7-O$5)*(O$7-O$6))))</f>
        <v>0.16592969982783</v>
      </c>
      <c r="P843" s="2" t="n">
        <v>0.430342429</v>
      </c>
      <c r="Q843" s="2" t="n">
        <f aca="false">IF(Q$7=Q$5,Q$6,IF(NORMSDIST(Q$9*SQRT($C$11)*NORMSINV($B843)+SQRT(1-Q$9^2*$C$11)*NORMSINV(P843))&lt;Q$8,Q$5+SQRT(NORMSDIST(Q$9*SQRT($C$11)*NORMSINV($B843)+SQRT(1-Q$9^2*$C$11)*NORMSINV(P843))*(Q$7-Q$5)*(Q$6-Q$5)),Q$7-SQRT((1-NORMSDIST(Q$9*SQRT($C$11)*NORMSINV($B843)+SQRT(1-Q$9^2*$C$11)*NORMSINV(P843)))*(Q$7-Q$5)*(Q$7-Q$6))))</f>
        <v>0.0771092410701162</v>
      </c>
      <c r="R843" s="2" t="n">
        <v>0.066563004</v>
      </c>
      <c r="S843" s="2" t="n">
        <f aca="false">IF(S$7=S$5,S$6,IF(NORMSDIST(S$9*SQRT($C$11)*NORMSINV($B843)+SQRT(1-S$9^2*$C$11)*NORMSINV(R843))&lt;S$8,S$5+SQRT(NORMSDIST(S$9*SQRT($C$11)*NORMSINV($B843)+SQRT(1-S$9^2*$C$11)*NORMSINV(R843))*(S$7-S$5)*(S$6-S$5)),S$7-SQRT((1-NORMSDIST(S$9*SQRT($C$11)*NORMSINV($B843)+SQRT(1-S$9^2*$C$11)*NORMSINV(R843)))*(S$7-S$5)*(S$7-S$6))))</f>
        <v>0.422556172394016</v>
      </c>
      <c r="T843" s="2" t="n">
        <v>0.626073712</v>
      </c>
      <c r="U843" s="2" t="n">
        <f aca="false">IF(U$7=U$5,U$6,IF(NORMSDIST(U$9*SQRT($C$11)*NORMSINV($B843)+SQRT(1-U$9^2*$C$11)*NORMSINV(T843))&lt;U$8,U$5+SQRT(NORMSDIST(U$9*SQRT($C$11)*NORMSINV($B843)+SQRT(1-U$9^2*$C$11)*NORMSINV(T843))*(U$7-U$5)*(U$6-U$5)),U$7-SQRT((1-NORMSDIST(U$9*SQRT($C$11)*NORMSINV($B843)+SQRT(1-U$9^2*$C$11)*NORMSINV(T843)))*(U$7-U$5)*(U$7-U$6))))</f>
        <v>0.728207941287382</v>
      </c>
      <c r="V843" s="2" t="n">
        <v>0.584904474</v>
      </c>
      <c r="W843" s="2" t="n">
        <f aca="false">IF(W$7=W$5,W$6,IF(NORMSDIST(W$9*SQRT($C$11)*NORMSINV($B843)+SQRT(1-W$9^2*$C$11)*NORMSINV(V843))&lt;W$8,W$5+SQRT(NORMSDIST(W$9*SQRT($C$11)*NORMSINV($B843)+SQRT(1-W$9^2*$C$11)*NORMSINV(V843))*(W$7-W$5)*(W$6-W$5)),W$7-SQRT((1-NORMSDIST(W$9*SQRT($C$11)*NORMSINV($B843)+SQRT(1-W$9^2*$C$11)*NORMSINV(V843)))*(W$7-W$5)*(W$7-W$6))))</f>
        <v>10.8417077042511</v>
      </c>
      <c r="X843" s="2" t="n">
        <v>0.559904636</v>
      </c>
      <c r="Y843" s="2" t="n">
        <f aca="false">IF(Y$7=Y$5,Y$6,IF(NORMSDIST(Y$9*SQRT($C$11)*NORMSINV($B843)+SQRT(1-Y$9^2*$C$11)*NORMSINV(X843))&lt;Y$8,Y$5+SQRT(NORMSDIST(Y$9*SQRT($C$11)*NORMSINV($B843)+SQRT(1-Y$9^2*$C$11)*NORMSINV(X843))*(Y$7-Y$5)*(Y$6-Y$5)),Y$7-SQRT((1-NORMSDIST(Y$9*SQRT($C$11)*NORMSINV($B843)+SQRT(1-Y$9^2*$C$11)*NORMSINV(X843)))*(Y$7-Y$5)*(Y$7-Y$6))))</f>
        <v>0.530907597588705</v>
      </c>
      <c r="Z843" s="2" t="n">
        <v>0.969759352</v>
      </c>
      <c r="AA843" s="2" t="n">
        <f aca="false">IF(AA$7=AA$5,AA$6,IF(NORMSDIST(AA$9*SQRT($C$11)*NORMSINV($B843)+SQRT(1-AA$9^2*$C$11)*NORMSINV(Z843))&lt;AA$8,AA$5+SQRT(NORMSDIST(AA$9*SQRT($C$11)*NORMSINV($B843)+SQRT(1-AA$9^2*$C$11)*NORMSINV(Z843))*(AA$7-AA$5)*(AA$6-AA$5)),AA$7-SQRT((1-NORMSDIST(AA$9*SQRT($C$11)*NORMSINV($B843)+SQRT(1-AA$9^2*$C$11)*NORMSINV(Z843)))*(AA$7-AA$5)*(AA$7-AA$6))))</f>
        <v>0.749914500680246</v>
      </c>
      <c r="AB843" s="2" t="n">
        <v>0.053139391</v>
      </c>
      <c r="AC843" s="2" t="n">
        <f aca="false">IF(AC$7=AC$5,AC$6,IF(NORMSDIST(AC$9*SQRT($C$11)*NORMSINV($B843)+SQRT(1-AC$9^2*$C$11)*NORMSINV(AB843))&lt;AC$8,AC$5+SQRT(NORMSDIST(AC$9*SQRT($C$11)*NORMSINV($B843)+SQRT(1-AC$9^2*$C$11)*NORMSINV(AB843))*(AC$7-AC$5)*(AC$6-AC$5)),AC$7-SQRT((1-NORMSDIST(AC$9*SQRT($C$11)*NORMSINV($B843)+SQRT(1-AC$9^2*$C$11)*NORMSINV(AB843)))*(AC$7-AC$5)*(AC$7-AC$6))))</f>
        <v>9.07555165933438</v>
      </c>
      <c r="AD843" s="2" t="n">
        <f aca="false">Entrées!$C$8*(1+E843)</f>
        <v>7458.98923839121</v>
      </c>
      <c r="AE843" s="2" t="n">
        <f aca="false">I843*Hypothèses!$J$24/12/Hypothèses!$J$19</f>
        <v>93.5680772916123</v>
      </c>
      <c r="AF843" s="2" t="n">
        <f aca="false">Entrées!$C$36*S843*1000</f>
        <v>211.278086197008</v>
      </c>
      <c r="AG843" s="2" t="n">
        <f aca="false">-AF843/W843</f>
        <v>-19.4875283452038</v>
      </c>
      <c r="AH843" s="2" t="n">
        <f aca="false">AD843+AE843+AG843</f>
        <v>7533.06978733761</v>
      </c>
      <c r="AI843" s="2" t="n">
        <f aca="false">Entrées!$C$16-M843+Hypothèses!$J$22*1000-AF843+Hypothèses!$J$23</f>
        <v>22723.2485285911</v>
      </c>
      <c r="AJ843" s="2" t="n">
        <f aca="false">AI843/AH843</f>
        <v>3.01646595213903</v>
      </c>
      <c r="AK843" s="2" t="n">
        <f aca="false">AI843/(AH843+I843*(12-Hypothèses!$J$24)/12/Hypothèses!$J$19)</f>
        <v>2.98993883937231</v>
      </c>
      <c r="AL843" s="2" t="n">
        <f aca="false">(AD843+AG843+I843/Hypothèses!$J$19)*(1+G843)</f>
        <v>8029.50496869581</v>
      </c>
      <c r="AM843" s="2" t="n">
        <f aca="false">Entrées!$C$54*K843/Hypothèses!$J$19</f>
        <v>20.9302482958049</v>
      </c>
      <c r="AN843" s="2" t="n">
        <f aca="false">Y843*1000/AC843</f>
        <v>58.4986585407904</v>
      </c>
      <c r="AO843" s="2" t="n">
        <f aca="false">(Entrées!$C$36*(1-S843)+MAX(0,Entrées!$C$30-Entrées!$C$35-Entrées!$C$36)*U843)*1000</f>
        <v>1308.21303160533</v>
      </c>
      <c r="AP843" s="2" t="n">
        <f aca="false">-AO843/W843</f>
        <v>-120.664849790441</v>
      </c>
      <c r="AQ843" s="2" t="n">
        <f aca="false">AL843+AM843+AN843+AP843</f>
        <v>7988.26902574196</v>
      </c>
      <c r="AR843" s="2" t="n">
        <f aca="false">O843*AQ843-Hypothèses!$J$25/Hypothèses!$J$19</f>
        <v>1306.35591932369</v>
      </c>
      <c r="AS843" s="2" t="n">
        <f aca="false">Entrées!$C$79*(1+Q843)+Hypothèses!$J$20</f>
        <v>1478.74305593606</v>
      </c>
      <c r="AT843" s="2" t="n">
        <f aca="false">AI843-AR843+AS843+Y843*1000-AO843+Hypothèses!$J$23</f>
        <v>22118.3302311868</v>
      </c>
      <c r="AU843" s="2" t="n">
        <f aca="false">AT843/AQ843</f>
        <v>2.76885144452586</v>
      </c>
      <c r="AV843" s="2" t="n">
        <f aca="false">Hypothèses!$J$26*AQ843-AT843</f>
        <v>1846.47684603905</v>
      </c>
      <c r="AW843" s="2" t="n">
        <f aca="false">IF(AC843&gt;Hypothèses!$J$26,MAX(0,AV843)/(1-Hypothèses!$J$26/AC843),0)</f>
        <v>2758.23446883968</v>
      </c>
      <c r="AX843" s="2" t="n">
        <f aca="false">AQ843-Entrées!$C$17*1000</f>
        <v>-11.7309742580401</v>
      </c>
      <c r="AY843" s="2" t="n">
        <f aca="false">AI843+(Entrées!$C$244-Entrées!$C$13)</f>
        <v>28470.2485285911</v>
      </c>
      <c r="AZ843" s="2" t="n">
        <f aca="false">AA843*AH843</f>
        <v>5649.15826816073</v>
      </c>
      <c r="BA843" s="2" t="n">
        <f aca="false">AZ843/AY843</f>
        <v>0.198423215817298</v>
      </c>
      <c r="BB843" s="2" t="n">
        <f aca="false">AZ843/(Entrées!$C$151/100)-AY843</f>
        <v>2913.96407230187</v>
      </c>
      <c r="BC843" s="2" t="n">
        <f aca="false">AT843+(Entrées!$C$244-Entrées!$C$13)</f>
        <v>27865.3302311868</v>
      </c>
      <c r="BD843" s="2" t="n">
        <f aca="false">AA843*AQ843</f>
        <v>5990.51877773876</v>
      </c>
      <c r="BE843" s="2" t="n">
        <f aca="false">BD843/BC843</f>
        <v>0.214981079644058</v>
      </c>
      <c r="BF843" s="2" t="n">
        <f aca="false">BD843/(Entrées!$C$151/100)-BC843</f>
        <v>5415.32964513959</v>
      </c>
      <c r="BG843" s="2" t="n">
        <f aca="false">MIN(AV843,BF843)</f>
        <v>1846.47684603905</v>
      </c>
      <c r="BH843" s="2" t="n">
        <f aca="false">IF(AC843&gt;Hypothèses!$J$26,MAX(0,BG843)/(1-Hypothèses!$J$26/AC843),0)</f>
        <v>2758.23446883968</v>
      </c>
    </row>
    <row r="844" customFormat="false" ht="15" hidden="false" customHeight="false" outlineLevel="0" collapsed="false">
      <c r="A844" s="2" t="n">
        <v>829</v>
      </c>
      <c r="B844" s="2" t="n">
        <v>0.45373371</v>
      </c>
      <c r="C844" s="2"/>
      <c r="D844" s="2" t="n">
        <v>0.266770981</v>
      </c>
      <c r="E844" s="2" t="n">
        <f aca="false">IF(E$7=E$5,E$6,IF(NORMSDIST(E$9*SQRT($C$11)*NORMSINV($B844)+SQRT(1-E$9^2*$C$11)*NORMSINV(D844))&lt;E$8,E$5+SQRT(NORMSDIST(E$9*SQRT($C$11)*NORMSINV($B844)+SQRT(1-E$9^2*$C$11)*NORMSINV(D844))*(E$7-E$5)*(E$6-E$5)),E$7-SQRT((1-NORMSDIST(E$9*SQRT($C$11)*NORMSINV($B844)+SQRT(1-E$9^2*$C$11)*NORMSINV(D844)))*(E$7-E$5)*(E$7-E$6))))</f>
        <v>0.0538024968413017</v>
      </c>
      <c r="F844" s="2" t="n">
        <v>0.470385188</v>
      </c>
      <c r="G844" s="2" t="n">
        <f aca="false">IF(G$7=G$5,G$6,IF(NORMSDIST(G$9*SQRT($C$11)*NORMSINV($B844)+SQRT(1-G$9^2*$C$11)*NORMSINV(F844))&lt;G$8,G$5+SQRT(NORMSDIST(G$9*SQRT($C$11)*NORMSINV($B844)+SQRT(1-G$9^2*$C$11)*NORMSINV(F844))*(G$7-G$5)*(G$6-G$5)),G$7-SQRT((1-NORMSDIST(G$9*SQRT($C$11)*NORMSINV($B844)+SQRT(1-G$9^2*$C$11)*NORMSINV(F844)))*(G$7-G$5)*(G$7-G$6))))</f>
        <v>0.0541963949813306</v>
      </c>
      <c r="H844" s="2" t="n">
        <v>0.957466858</v>
      </c>
      <c r="I844" s="2" t="n">
        <f aca="false">IF(I$7=I$5,I$6,IF(NORMSDIST(I$9*SQRT($C$11)*NORMSINV($B844)+SQRT(1-I$9^2*$C$11)*NORMSINV(H844))&lt;I$8,I$5+SQRT(NORMSDIST(I$9*SQRT($C$11)*NORMSINV($B844)+SQRT(1-I$9^2*$C$11)*NORMSINV(H844))*(I$7-I$5)*(I$6-I$5)),I$7-SQRT((1-NORMSDIST(I$9*SQRT($C$11)*NORMSINV($B844)+SQRT(1-I$9^2*$C$11)*NORMSINV(H844)))*(I$7-I$5)*(I$7-I$6))))</f>
        <v>210.88867283766</v>
      </c>
      <c r="J844" s="2" t="n">
        <v>0.729934112</v>
      </c>
      <c r="K844" s="2" t="n">
        <f aca="false">IF(K$7=K$5,K$6,IF(NORMSDIST(K$9*SQRT($C$11)*NORMSINV($B844)+SQRT(1-K$9^2*$C$11)*NORMSINV(J844))&lt;K$8,K$5+SQRT(NORMSDIST(K$9*SQRT($C$11)*NORMSINV($B844)+SQRT(1-K$9^2*$C$11)*NORMSINV(J844))*(K$7-K$5)*(K$6-K$5)),K$7-SQRT((1-NORMSDIST(K$9*SQRT($C$11)*NORMSINV($B844)+SQRT(1-K$9^2*$C$11)*NORMSINV(J844)))*(K$7-K$5)*(K$7-K$6))))</f>
        <v>0.292574055867739</v>
      </c>
      <c r="L844" s="2" t="n">
        <v>0.476188266</v>
      </c>
      <c r="M844" s="2" t="n">
        <f aca="false">IF(M$7=M$5,M$6,IF(NORMSDIST(M$9*SQRT($C$11)*NORMSINV($B844)+SQRT(1-M$9^2*$C$11)*NORMSINV(L844))&lt;M$8,M$5+SQRT(NORMSDIST(M$9*SQRT($C$11)*NORMSINV($B844)+SQRT(1-M$9^2*$C$11)*NORMSINV(L844))*(M$7-M$5)*(M$6-M$5)),M$7-SQRT((1-NORMSDIST(M$9*SQRT($C$11)*NORMSINV($B844)+SQRT(1-M$9^2*$C$11)*NORMSINV(L844)))*(M$7-M$5)*(M$7-M$6))))</f>
        <v>1571.56446949662</v>
      </c>
      <c r="N844" s="2" t="n">
        <v>0.923382745</v>
      </c>
      <c r="O844" s="2" t="n">
        <f aca="false">IF(O$7=O$5,O$6,IF(NORMSDIST(O$9*SQRT($C$11)*NORMSINV($B844)+SQRT(1-O$9^2*$C$11)*NORMSINV(N844))&lt;O$8,O$5+SQRT(NORMSDIST(O$9*SQRT($C$11)*NORMSINV($B844)+SQRT(1-O$9^2*$C$11)*NORMSINV(N844))*(O$7-O$5)*(O$6-O$5)),O$7-SQRT((1-NORMSDIST(O$9*SQRT($C$11)*NORMSINV($B844)+SQRT(1-O$9^2*$C$11)*NORMSINV(N844)))*(O$7-O$5)*(O$7-O$6))))</f>
        <v>0.177323649534043</v>
      </c>
      <c r="P844" s="2" t="n">
        <v>0.263890688</v>
      </c>
      <c r="Q844" s="2" t="n">
        <f aca="false">IF(Q$7=Q$5,Q$6,IF(NORMSDIST(Q$9*SQRT($C$11)*NORMSINV($B844)+SQRT(1-Q$9^2*$C$11)*NORMSINV(P844))&lt;Q$8,Q$5+SQRT(NORMSDIST(Q$9*SQRT($C$11)*NORMSINV($B844)+SQRT(1-Q$9^2*$C$11)*NORMSINV(P844))*(Q$7-Q$5)*(Q$6-Q$5)),Q$7-SQRT((1-NORMSDIST(Q$9*SQRT($C$11)*NORMSINV($B844)+SQRT(1-Q$9^2*$C$11)*NORMSINV(P844)))*(Q$7-Q$5)*(Q$7-Q$6))))</f>
        <v>0.0690594253487573</v>
      </c>
      <c r="R844" s="2" t="n">
        <v>0.797342526</v>
      </c>
      <c r="S844" s="2" t="n">
        <f aca="false">IF(S$7=S$5,S$6,IF(NORMSDIST(S$9*SQRT($C$11)*NORMSINV($B844)+SQRT(1-S$9^2*$C$11)*NORMSINV(R844))&lt;S$8,S$5+SQRT(NORMSDIST(S$9*SQRT($C$11)*NORMSINV($B844)+SQRT(1-S$9^2*$C$11)*NORMSINV(R844))*(S$7-S$5)*(S$6-S$5)),S$7-SQRT((1-NORMSDIST(S$9*SQRT($C$11)*NORMSINV($B844)+SQRT(1-S$9^2*$C$11)*NORMSINV(R844)))*(S$7-S$5)*(S$7-S$6))))</f>
        <v>0.623189425819209</v>
      </c>
      <c r="T844" s="2" t="n">
        <v>0.867983062</v>
      </c>
      <c r="U844" s="2" t="n">
        <f aca="false">IF(U$7=U$5,U$6,IF(NORMSDIST(U$9*SQRT($C$11)*NORMSINV($B844)+SQRT(1-U$9^2*$C$11)*NORMSINV(T844))&lt;U$8,U$5+SQRT(NORMSDIST(U$9*SQRT($C$11)*NORMSINV($B844)+SQRT(1-U$9^2*$C$11)*NORMSINV(T844))*(U$7-U$5)*(U$6-U$5)),U$7-SQRT((1-NORMSDIST(U$9*SQRT($C$11)*NORMSINV($B844)+SQRT(1-U$9^2*$C$11)*NORMSINV(T844)))*(U$7-U$5)*(U$7-U$6))))</f>
        <v>0.67267353223993</v>
      </c>
      <c r="V844" s="2" t="n">
        <v>0.573737988</v>
      </c>
      <c r="W844" s="2" t="n">
        <f aca="false">IF(W$7=W$5,W$6,IF(NORMSDIST(W$9*SQRT($C$11)*NORMSINV($B844)+SQRT(1-W$9^2*$C$11)*NORMSINV(V844))&lt;W$8,W$5+SQRT(NORMSDIST(W$9*SQRT($C$11)*NORMSINV($B844)+SQRT(1-W$9^2*$C$11)*NORMSINV(V844))*(W$7-W$5)*(W$6-W$5)),W$7-SQRT((1-NORMSDIST(W$9*SQRT($C$11)*NORMSINV($B844)+SQRT(1-W$9^2*$C$11)*NORMSINV(V844)))*(W$7-W$5)*(W$7-W$6))))</f>
        <v>10.0570040214155</v>
      </c>
      <c r="X844" s="2" t="n">
        <v>0.134359687</v>
      </c>
      <c r="Y844" s="2" t="n">
        <f aca="false">IF(Y$7=Y$5,Y$6,IF(NORMSDIST(Y$9*SQRT($C$11)*NORMSINV($B844)+SQRT(1-Y$9^2*$C$11)*NORMSINV(X844))&lt;Y$8,Y$5+SQRT(NORMSDIST(Y$9*SQRT($C$11)*NORMSINV($B844)+SQRT(1-Y$9^2*$C$11)*NORMSINV(X844))*(Y$7-Y$5)*(Y$6-Y$5)),Y$7-SQRT((1-NORMSDIST(Y$9*SQRT($C$11)*NORMSINV($B844)+SQRT(1-Y$9^2*$C$11)*NORMSINV(X844)))*(Y$7-Y$5)*(Y$7-Y$6))))</f>
        <v>0.259190747327138</v>
      </c>
      <c r="Z844" s="2" t="n">
        <v>0.324414776</v>
      </c>
      <c r="AA844" s="2" t="n">
        <f aca="false">IF(AA$7=AA$5,AA$6,IF(NORMSDIST(AA$9*SQRT($C$11)*NORMSINV($B844)+SQRT(1-AA$9^2*$C$11)*NORMSINV(Z844))&lt;AA$8,AA$5+SQRT(NORMSDIST(AA$9*SQRT($C$11)*NORMSINV($B844)+SQRT(1-AA$9^2*$C$11)*NORMSINV(Z844))*(AA$7-AA$5)*(AA$6-AA$5)),AA$7-SQRT((1-NORMSDIST(AA$9*SQRT($C$11)*NORMSINV($B844)+SQRT(1-AA$9^2*$C$11)*NORMSINV(Z844)))*(AA$7-AA$5)*(AA$7-AA$6))))</f>
        <v>0.722110071228744</v>
      </c>
      <c r="AB844" s="2" t="n">
        <v>0.22271756</v>
      </c>
      <c r="AC844" s="2" t="n">
        <f aca="false">IF(AC$7=AC$5,AC$6,IF(NORMSDIST(AC$9*SQRT($C$11)*NORMSINV($B844)+SQRT(1-AC$9^2*$C$11)*NORMSINV(AB844))&lt;AC$8,AC$5+SQRT(NORMSDIST(AC$9*SQRT($C$11)*NORMSINV($B844)+SQRT(1-AC$9^2*$C$11)*NORMSINV(AB844))*(AC$7-AC$5)*(AC$6-AC$5)),AC$7-SQRT((1-NORMSDIST(AC$9*SQRT($C$11)*NORMSINV($B844)+SQRT(1-AC$9^2*$C$11)*NORMSINV(AB844)))*(AC$7-AC$5)*(AC$7-AC$6))))</f>
        <v>8.8789644830478</v>
      </c>
      <c r="AD844" s="2" t="n">
        <f aca="false">Entrées!$C$8*(1+E844)</f>
        <v>7429.30760273118</v>
      </c>
      <c r="AE844" s="2" t="n">
        <f aca="false">I844*Hypothèses!$J$24/12/Hypothèses!$J$19</f>
        <v>104.621195619308</v>
      </c>
      <c r="AF844" s="2" t="n">
        <f aca="false">Entrées!$C$36*S844*1000</f>
        <v>311.594712909604</v>
      </c>
      <c r="AG844" s="2" t="n">
        <f aca="false">-AF844/W844</f>
        <v>-30.9828565491364</v>
      </c>
      <c r="AH844" s="2" t="n">
        <f aca="false">AD844+AE844+AG844</f>
        <v>7502.94594180135</v>
      </c>
      <c r="AI844" s="2" t="n">
        <f aca="false">Entrées!$C$16-M844+Hypothèses!$J$22*1000-AF844+Hypothèses!$J$23</f>
        <v>22664.8408175938</v>
      </c>
      <c r="AJ844" s="2" t="n">
        <f aca="false">AI844/AH844</f>
        <v>3.02079223193127</v>
      </c>
      <c r="AK844" s="2" t="n">
        <f aca="false">AI844/(AH844+I844*(12-Hypothèses!$J$24)/12/Hypothèses!$J$19)</f>
        <v>2.99100182036933</v>
      </c>
      <c r="AL844" s="2" t="n">
        <f aca="false">(AD844+AG844+I844/Hypothèses!$J$19)*(1+G844)</f>
        <v>7988.35805448715</v>
      </c>
      <c r="AM844" s="2" t="n">
        <f aca="false">Entrées!$C$54*K844/Hypothèses!$J$19</f>
        <v>29.8584108403798</v>
      </c>
      <c r="AN844" s="2" t="n">
        <f aca="false">Y844*1000/AC844</f>
        <v>29.1915513145703</v>
      </c>
      <c r="AO844" s="2" t="n">
        <f aca="false">(Entrées!$C$36*(1-S844)+MAX(0,Entrées!$C$30-Entrées!$C$35-Entrées!$C$36)*U844)*1000</f>
        <v>1130.1482322263</v>
      </c>
      <c r="AP844" s="2" t="n">
        <f aca="false">-AO844/W844</f>
        <v>-112.374244836707</v>
      </c>
      <c r="AQ844" s="2" t="n">
        <f aca="false">AL844+AM844+AN844+AP844</f>
        <v>7935.0337718054</v>
      </c>
      <c r="AR844" s="2" t="n">
        <f aca="false">O844*AQ844-Hypothèses!$J$25/Hypothèses!$J$19</f>
        <v>1387.93398533079</v>
      </c>
      <c r="AS844" s="2" t="n">
        <f aca="false">Entrées!$C$79*(1+Q844)+Hypothèses!$J$20</f>
        <v>1469.89630845828</v>
      </c>
      <c r="AT844" s="2" t="n">
        <f aca="false">AI844-AR844+AS844+Y844*1000-AO844+Hypothèses!$J$23</f>
        <v>21875.8456558221</v>
      </c>
      <c r="AU844" s="2" t="n">
        <f aca="false">AT844/AQ844</f>
        <v>2.75686862651435</v>
      </c>
      <c r="AV844" s="2" t="n">
        <f aca="false">Hypothèses!$J$26*AQ844-AT844</f>
        <v>1929.25565959408</v>
      </c>
      <c r="AW844" s="2" t="n">
        <f aca="false">IF(AC844&gt;Hypothèses!$J$26,MAX(0,AV844)/(1-Hypothèses!$J$26/AC844),0)</f>
        <v>2913.74314807465</v>
      </c>
      <c r="AX844" s="2" t="n">
        <f aca="false">AQ844-Entrées!$C$17*1000</f>
        <v>-64.9662281946048</v>
      </c>
      <c r="AY844" s="2" t="n">
        <f aca="false">AI844+(Entrées!$C$244-Entrées!$C$13)</f>
        <v>28411.8408175938</v>
      </c>
      <c r="AZ844" s="2" t="n">
        <f aca="false">AA844*AH844</f>
        <v>5417.95282845959</v>
      </c>
      <c r="BA844" s="2" t="n">
        <f aca="false">AZ844/AY844</f>
        <v>0.190693481046979</v>
      </c>
      <c r="BB844" s="2" t="n">
        <f aca="false">AZ844/(Entrées!$C$151/100)-AY844</f>
        <v>1687.89711829284</v>
      </c>
      <c r="BC844" s="2" t="n">
        <f aca="false">AT844+(Entrées!$C$244-Entrées!$C$13)</f>
        <v>27622.8456558221</v>
      </c>
      <c r="BD844" s="2" t="n">
        <f aca="false">AA844*AQ844</f>
        <v>5729.96780216089</v>
      </c>
      <c r="BE844" s="2" t="n">
        <f aca="false">BD844/BC844</f>
        <v>0.207435825894106</v>
      </c>
      <c r="BF844" s="2" t="n">
        <f aca="false">BD844/(Entrées!$C$151/100)-BC844</f>
        <v>4210.30880062726</v>
      </c>
      <c r="BG844" s="2" t="n">
        <f aca="false">MIN(AV844,BF844)</f>
        <v>1929.25565959408</v>
      </c>
      <c r="BH844" s="2" t="n">
        <f aca="false">IF(AC844&gt;Hypothèses!$J$26,MAX(0,BG844)/(1-Hypothèses!$J$26/AC844),0)</f>
        <v>2913.74314807465</v>
      </c>
    </row>
    <row r="845" customFormat="false" ht="15" hidden="false" customHeight="false" outlineLevel="0" collapsed="false">
      <c r="A845" s="2" t="n">
        <v>830</v>
      </c>
      <c r="B845" s="2" t="n">
        <v>0.798440105</v>
      </c>
      <c r="C845" s="2"/>
      <c r="D845" s="2" t="n">
        <v>0.350988193</v>
      </c>
      <c r="E845" s="2" t="n">
        <f aca="false">IF(E$7=E$5,E$6,IF(NORMSDIST(E$9*SQRT($C$11)*NORMSINV($B845)+SQRT(1-E$9^2*$C$11)*NORMSINV(D845))&lt;E$8,E$5+SQRT(NORMSDIST(E$9*SQRT($C$11)*NORMSINV($B845)+SQRT(1-E$9^2*$C$11)*NORMSINV(D845))*(E$7-E$5)*(E$6-E$5)),E$7-SQRT((1-NORMSDIST(E$9*SQRT($C$11)*NORMSINV($B845)+SQRT(1-E$9^2*$C$11)*NORMSINV(D845)))*(E$7-E$5)*(E$7-E$6))))</f>
        <v>0.0554826701348668</v>
      </c>
      <c r="F845" s="2" t="n">
        <v>0.197294406</v>
      </c>
      <c r="G845" s="2" t="n">
        <f aca="false">IF(G$7=G$5,G$6,IF(NORMSDIST(G$9*SQRT($C$11)*NORMSINV($B845)+SQRT(1-G$9^2*$C$11)*NORMSINV(F845))&lt;G$8,G$5+SQRT(NORMSDIST(G$9*SQRT($C$11)*NORMSINV($B845)+SQRT(1-G$9^2*$C$11)*NORMSINV(F845))*(G$7-G$5)*(G$6-G$5)),G$7-SQRT((1-NORMSDIST(G$9*SQRT($C$11)*NORMSINV($B845)+SQRT(1-G$9^2*$C$11)*NORMSINV(F845)))*(G$7-G$5)*(G$7-G$6))))</f>
        <v>0.0541989344600015</v>
      </c>
      <c r="H845" s="2" t="n">
        <v>0.163682416</v>
      </c>
      <c r="I845" s="2" t="n">
        <f aca="false">IF(I$7=I$5,I$6,IF(NORMSDIST(I$9*SQRT($C$11)*NORMSINV($B845)+SQRT(1-I$9^2*$C$11)*NORMSINV(H845))&lt;I$8,I$5+SQRT(NORMSDIST(I$9*SQRT($C$11)*NORMSINV($B845)+SQRT(1-I$9^2*$C$11)*NORMSINV(H845))*(I$7-I$5)*(I$6-I$5)),I$7-SQRT((1-NORMSDIST(I$9*SQRT($C$11)*NORMSINV($B845)+SQRT(1-I$9^2*$C$11)*NORMSINV(H845)))*(I$7-I$5)*(I$7-I$6))))</f>
        <v>198.090585522097</v>
      </c>
      <c r="J845" s="2" t="n">
        <v>0.855427631</v>
      </c>
      <c r="K845" s="2" t="n">
        <f aca="false">IF(K$7=K$5,K$6,IF(NORMSDIST(K$9*SQRT($C$11)*NORMSINV($B845)+SQRT(1-K$9^2*$C$11)*NORMSINV(J845))&lt;K$8,K$5+SQRT(NORMSDIST(K$9*SQRT($C$11)*NORMSINV($B845)+SQRT(1-K$9^2*$C$11)*NORMSINV(J845))*(K$7-K$5)*(K$6-K$5)),K$7-SQRT((1-NORMSDIST(K$9*SQRT($C$11)*NORMSINV($B845)+SQRT(1-K$9^2*$C$11)*NORMSINV(J845)))*(K$7-K$5)*(K$7-K$6))))</f>
        <v>0.394802015111867</v>
      </c>
      <c r="L845" s="2" t="n">
        <v>0.851500939</v>
      </c>
      <c r="M845" s="2" t="n">
        <f aca="false">IF(M$7=M$5,M$6,IF(NORMSDIST(M$9*SQRT($C$11)*NORMSINV($B845)+SQRT(1-M$9^2*$C$11)*NORMSINV(L845))&lt;M$8,M$5+SQRT(NORMSDIST(M$9*SQRT($C$11)*NORMSINV($B845)+SQRT(1-M$9^2*$C$11)*NORMSINV(L845))*(M$7-M$5)*(M$6-M$5)),M$7-SQRT((1-NORMSDIST(M$9*SQRT($C$11)*NORMSINV($B845)+SQRT(1-M$9^2*$C$11)*NORMSINV(L845)))*(M$7-M$5)*(M$7-M$6))))</f>
        <v>1706.93657820099</v>
      </c>
      <c r="N845" s="2" t="n">
        <v>0.928545049</v>
      </c>
      <c r="O845" s="2" t="n">
        <f aca="false">IF(O$7=O$5,O$6,IF(NORMSDIST(O$9*SQRT($C$11)*NORMSINV($B845)+SQRT(1-O$9^2*$C$11)*NORMSINV(N845))&lt;O$8,O$5+SQRT(NORMSDIST(O$9*SQRT($C$11)*NORMSINV($B845)+SQRT(1-O$9^2*$C$11)*NORMSINV(N845))*(O$7-O$5)*(O$6-O$5)),O$7-SQRT((1-NORMSDIST(O$9*SQRT($C$11)*NORMSINV($B845)+SQRT(1-O$9^2*$C$11)*NORMSINV(N845)))*(O$7-O$5)*(O$7-O$6))))</f>
        <v>0.182842311701402</v>
      </c>
      <c r="P845" s="2" t="n">
        <v>0.477293674</v>
      </c>
      <c r="Q845" s="2" t="n">
        <f aca="false">IF(Q$7=Q$5,Q$6,IF(NORMSDIST(Q$9*SQRT($C$11)*NORMSINV($B845)+SQRT(1-Q$9^2*$C$11)*NORMSINV(P845))&lt;Q$8,Q$5+SQRT(NORMSDIST(Q$9*SQRT($C$11)*NORMSINV($B845)+SQRT(1-Q$9^2*$C$11)*NORMSINV(P845))*(Q$7-Q$5)*(Q$6-Q$5)),Q$7-SQRT((1-NORMSDIST(Q$9*SQRT($C$11)*NORMSINV($B845)+SQRT(1-Q$9^2*$C$11)*NORMSINV(P845)))*(Q$7-Q$5)*(Q$7-Q$6))))</f>
        <v>0.0790811944136819</v>
      </c>
      <c r="R845" s="2" t="n">
        <v>0.308212284</v>
      </c>
      <c r="S845" s="2" t="n">
        <f aca="false">IF(S$7=S$5,S$6,IF(NORMSDIST(S$9*SQRT($C$11)*NORMSINV($B845)+SQRT(1-S$9^2*$C$11)*NORMSINV(R845))&lt;S$8,S$5+SQRT(NORMSDIST(S$9*SQRT($C$11)*NORMSINV($B845)+SQRT(1-S$9^2*$C$11)*NORMSINV(R845))*(S$7-S$5)*(S$6-S$5)),S$7-SQRT((1-NORMSDIST(S$9*SQRT($C$11)*NORMSINV($B845)+SQRT(1-S$9^2*$C$11)*NORMSINV(R845)))*(S$7-S$5)*(S$7-S$6))))</f>
        <v>0.528815064821634</v>
      </c>
      <c r="T845" s="2" t="n">
        <v>0.353365699</v>
      </c>
      <c r="U845" s="2" t="n">
        <f aca="false">IF(U$7=U$5,U$6,IF(NORMSDIST(U$9*SQRT($C$11)*NORMSINV($B845)+SQRT(1-U$9^2*$C$11)*NORMSINV(T845))&lt;U$8,U$5+SQRT(NORMSDIST(U$9*SQRT($C$11)*NORMSINV($B845)+SQRT(1-U$9^2*$C$11)*NORMSINV(T845))*(U$7-U$5)*(U$6-U$5)),U$7-SQRT((1-NORMSDIST(U$9*SQRT($C$11)*NORMSINV($B845)+SQRT(1-U$9^2*$C$11)*NORMSINV(T845)))*(U$7-U$5)*(U$7-U$6))))</f>
        <v>0.549333751353913</v>
      </c>
      <c r="V845" s="2" t="n">
        <v>0.263036312</v>
      </c>
      <c r="W845" s="2" t="n">
        <f aca="false">IF(W$7=W$5,W$6,IF(NORMSDIST(W$9*SQRT($C$11)*NORMSINV($B845)+SQRT(1-W$9^2*$C$11)*NORMSINV(V845))&lt;W$8,W$5+SQRT(NORMSDIST(W$9*SQRT($C$11)*NORMSINV($B845)+SQRT(1-W$9^2*$C$11)*NORMSINV(V845))*(W$7-W$5)*(W$6-W$5)),W$7-SQRT((1-NORMSDIST(W$9*SQRT($C$11)*NORMSINV($B845)+SQRT(1-W$9^2*$C$11)*NORMSINV(V845)))*(W$7-W$5)*(W$7-W$6))))</f>
        <v>10.030277008978</v>
      </c>
      <c r="X845" s="2" t="n">
        <v>0.953089714</v>
      </c>
      <c r="Y845" s="2" t="n">
        <f aca="false">IF(Y$7=Y$5,Y$6,IF(NORMSDIST(Y$9*SQRT($C$11)*NORMSINV($B845)+SQRT(1-Y$9^2*$C$11)*NORMSINV(X845))&lt;Y$8,Y$5+SQRT(NORMSDIST(Y$9*SQRT($C$11)*NORMSINV($B845)+SQRT(1-Y$9^2*$C$11)*NORMSINV(X845))*(Y$7-Y$5)*(Y$6-Y$5)),Y$7-SQRT((1-NORMSDIST(Y$9*SQRT($C$11)*NORMSINV($B845)+SQRT(1-Y$9^2*$C$11)*NORMSINV(X845)))*(Y$7-Y$5)*(Y$7-Y$6))))</f>
        <v>0.846849280119224</v>
      </c>
      <c r="Z845" s="2" t="n">
        <v>0.352155491</v>
      </c>
      <c r="AA845" s="2" t="n">
        <f aca="false">IF(AA$7=AA$5,AA$6,IF(NORMSDIST(AA$9*SQRT($C$11)*NORMSINV($B845)+SQRT(1-AA$9^2*$C$11)*NORMSINV(Z845))&lt;AA$8,AA$5+SQRT(NORMSDIST(AA$9*SQRT($C$11)*NORMSINV($B845)+SQRT(1-AA$9^2*$C$11)*NORMSINV(Z845))*(AA$7-AA$5)*(AA$6-AA$5)),AA$7-SQRT((1-NORMSDIST(AA$9*SQRT($C$11)*NORMSINV($B845)+SQRT(1-AA$9^2*$C$11)*NORMSINV(Z845)))*(AA$7-AA$5)*(AA$7-AA$6))))</f>
        <v>0.730960345183857</v>
      </c>
      <c r="AB845" s="2" t="n">
        <v>0.63861129</v>
      </c>
      <c r="AC845" s="2" t="n">
        <f aca="false">IF(AC$7=AC$5,AC$6,IF(NORMSDIST(AC$9*SQRT($C$11)*NORMSINV($B845)+SQRT(1-AC$9^2*$C$11)*NORMSINV(AB845))&lt;AC$8,AC$5+SQRT(NORMSDIST(AC$9*SQRT($C$11)*NORMSINV($B845)+SQRT(1-AC$9^2*$C$11)*NORMSINV(AB845))*(AC$7-AC$5)*(AC$6-AC$5)),AC$7-SQRT((1-NORMSDIST(AC$9*SQRT($C$11)*NORMSINV($B845)+SQRT(1-AC$9^2*$C$11)*NORMSINV(AB845)))*(AC$7-AC$5)*(AC$7-AC$6))))</f>
        <v>10.0456591047748</v>
      </c>
      <c r="AD845" s="2" t="n">
        <f aca="false">Entrées!$C$8*(1+E845)</f>
        <v>7441.15282445081</v>
      </c>
      <c r="AE845" s="2" t="n">
        <f aca="false">I845*Hypothèses!$J$24/12/Hypothèses!$J$19</f>
        <v>98.2721054639285</v>
      </c>
      <c r="AF845" s="2" t="n">
        <f aca="false">Entrées!$C$36*S845*1000</f>
        <v>264.407532410817</v>
      </c>
      <c r="AG845" s="2" t="n">
        <f aca="false">-AF845/W845</f>
        <v>-26.360940198775</v>
      </c>
      <c r="AH845" s="2" t="n">
        <f aca="false">AD845+AE845+AG845</f>
        <v>7513.06398971596</v>
      </c>
      <c r="AI845" s="2" t="n">
        <f aca="false">Entrées!$C$16-M845+Hypothèses!$J$22*1000-AF845+Hypothèses!$J$23</f>
        <v>22576.6558893882</v>
      </c>
      <c r="AJ845" s="2" t="n">
        <f aca="false">AI845/AH845</f>
        <v>3.0049865035479</v>
      </c>
      <c r="AK845" s="2" t="n">
        <f aca="false">AI845/(AH845+I845*(12-Hypothèses!$J$24)/12/Hypothèses!$J$19)</f>
        <v>2.97717087366814</v>
      </c>
      <c r="AL845" s="2" t="n">
        <f aca="false">(AD845+AG845+I845/Hypothèses!$J$19)*(1+G845)</f>
        <v>7994.26287310782</v>
      </c>
      <c r="AM845" s="2" t="n">
        <f aca="false">Entrées!$C$54*K845/Hypothèses!$J$19</f>
        <v>40.2912033087065</v>
      </c>
      <c r="AN845" s="2" t="n">
        <f aca="false">Y845*1000/AC845</f>
        <v>84.3000216597738</v>
      </c>
      <c r="AO845" s="2" t="n">
        <f aca="false">(Entrées!$C$36*(1-S845)+MAX(0,Entrées!$C$30-Entrées!$C$35-Entrées!$C$36)*U845)*1000</f>
        <v>1004.65971948466</v>
      </c>
      <c r="AP845" s="2" t="n">
        <f aca="false">-AO845/W845</f>
        <v>-100.162709223823</v>
      </c>
      <c r="AQ845" s="2" t="n">
        <f aca="false">AL845+AM845+AN845+AP845</f>
        <v>8018.69138885247</v>
      </c>
      <c r="AR845" s="2" t="n">
        <f aca="false">O845*AQ845-Hypothèses!$J$25/Hypothèses!$J$19</f>
        <v>1447.02090809629</v>
      </c>
      <c r="AS845" s="2" t="n">
        <f aca="false">Entrées!$C$79*(1+Q845)+Hypothèses!$J$20</f>
        <v>1480.91023266064</v>
      </c>
      <c r="AT845" s="2" t="n">
        <f aca="false">AI845-AR845+AS845+Y845*1000-AO845+Hypothèses!$J$23</f>
        <v>22452.7347745871</v>
      </c>
      <c r="AU845" s="2" t="n">
        <f aca="false">AT845/AQ845</f>
        <v>2.8000497445008</v>
      </c>
      <c r="AV845" s="2" t="n">
        <f aca="false">Hypothèses!$J$26*AQ845-AT845</f>
        <v>1603.33939197033</v>
      </c>
      <c r="AW845" s="2" t="n">
        <f aca="false">IF(AC845&gt;Hypothèses!$J$26,MAX(0,AV845)/(1-Hypothèses!$J$26/AC845),0)</f>
        <v>2286.03182774986</v>
      </c>
      <c r="AX845" s="2" t="n">
        <f aca="false">AQ845-Entrées!$C$17*1000</f>
        <v>18.6913888524741</v>
      </c>
      <c r="AY845" s="2" t="n">
        <f aca="false">AI845+(Entrées!$C$244-Entrées!$C$13)</f>
        <v>28323.6558893882</v>
      </c>
      <c r="AZ845" s="2" t="n">
        <f aca="false">AA845*AH845</f>
        <v>5491.75184731119</v>
      </c>
      <c r="BA845" s="2" t="n">
        <f aca="false">AZ845/AY845</f>
        <v>0.193892761187257</v>
      </c>
      <c r="BB845" s="2" t="n">
        <f aca="false">AZ845/(Entrées!$C$151/100)-AY845</f>
        <v>2186.07659567396</v>
      </c>
      <c r="BC845" s="2" t="n">
        <f aca="false">AT845+(Entrées!$C$244-Entrées!$C$13)</f>
        <v>28199.7347745871</v>
      </c>
      <c r="BD845" s="2" t="n">
        <f aca="false">AA845*AQ845</f>
        <v>5861.34542551843</v>
      </c>
      <c r="BE845" s="2" t="n">
        <f aca="false">BD845/BC845</f>
        <v>0.207851083436449</v>
      </c>
      <c r="BF845" s="2" t="n">
        <f aca="false">BD845/(Entrées!$C$151/100)-BC845</f>
        <v>4363.29536718194</v>
      </c>
      <c r="BG845" s="2" t="n">
        <f aca="false">MIN(AV845,BF845)</f>
        <v>1603.33939197033</v>
      </c>
      <c r="BH845" s="2" t="n">
        <f aca="false">IF(AC845&gt;Hypothèses!$J$26,MAX(0,BG845)/(1-Hypothèses!$J$26/AC845),0)</f>
        <v>2286.03182774986</v>
      </c>
    </row>
    <row r="846" customFormat="false" ht="15" hidden="false" customHeight="false" outlineLevel="0" collapsed="false">
      <c r="A846" s="2" t="n">
        <v>831</v>
      </c>
      <c r="B846" s="2" t="n">
        <v>0.84704198</v>
      </c>
      <c r="C846" s="2"/>
      <c r="D846" s="2" t="n">
        <v>0.417553698</v>
      </c>
      <c r="E846" s="2" t="n">
        <f aca="false">IF(E$7=E$5,E$6,IF(NORMSDIST(E$9*SQRT($C$11)*NORMSINV($B846)+SQRT(1-E$9^2*$C$11)*NORMSINV(D846))&lt;E$8,E$5+SQRT(NORMSDIST(E$9*SQRT($C$11)*NORMSINV($B846)+SQRT(1-E$9^2*$C$11)*NORMSINV(D846))*(E$7-E$5)*(E$6-E$5)),E$7-SQRT((1-NORMSDIST(E$9*SQRT($C$11)*NORMSINV($B846)+SQRT(1-E$9^2*$C$11)*NORMSINV(D846)))*(E$7-E$5)*(E$7-E$6))))</f>
        <v>0.0560415854157209</v>
      </c>
      <c r="F846" s="2" t="n">
        <v>0.566178781</v>
      </c>
      <c r="G846" s="2" t="n">
        <f aca="false">IF(G$7=G$5,G$6,IF(NORMSDIST(G$9*SQRT($C$11)*NORMSINV($B846)+SQRT(1-G$9^2*$C$11)*NORMSINV(F846))&lt;G$8,G$5+SQRT(NORMSDIST(G$9*SQRT($C$11)*NORMSINV($B846)+SQRT(1-G$9^2*$C$11)*NORMSINV(F846))*(G$7-G$5)*(G$6-G$5)),G$7-SQRT((1-NORMSDIST(G$9*SQRT($C$11)*NORMSINV($B846)+SQRT(1-G$9^2*$C$11)*NORMSINV(F846)))*(G$7-G$5)*(G$7-G$6))))</f>
        <v>0.0600797314255138</v>
      </c>
      <c r="H846" s="2" t="n">
        <v>0.821133429</v>
      </c>
      <c r="I846" s="2" t="n">
        <f aca="false">IF(I$7=I$5,I$6,IF(NORMSDIST(I$9*SQRT($C$11)*NORMSINV($B846)+SQRT(1-I$9^2*$C$11)*NORMSINV(H846))&lt;I$8,I$5+SQRT(NORMSDIST(I$9*SQRT($C$11)*NORMSINV($B846)+SQRT(1-I$9^2*$C$11)*NORMSINV(H846))*(I$7-I$5)*(I$6-I$5)),I$7-SQRT((1-NORMSDIST(I$9*SQRT($C$11)*NORMSINV($B846)+SQRT(1-I$9^2*$C$11)*NORMSINV(H846)))*(I$7-I$5)*(I$7-I$6))))</f>
        <v>211.660791130223</v>
      </c>
      <c r="J846" s="2" t="n">
        <v>0.734089499</v>
      </c>
      <c r="K846" s="2" t="n">
        <f aca="false">IF(K$7=K$5,K$6,IF(NORMSDIST(K$9*SQRT($C$11)*NORMSINV($B846)+SQRT(1-K$9^2*$C$11)*NORMSINV(J846))&lt;K$8,K$5+SQRT(NORMSDIST(K$9*SQRT($C$11)*NORMSINV($B846)+SQRT(1-K$9^2*$C$11)*NORMSINV(J846))*(K$7-K$5)*(K$6-K$5)),K$7-SQRT((1-NORMSDIST(K$9*SQRT($C$11)*NORMSINV($B846)+SQRT(1-K$9^2*$C$11)*NORMSINV(J846)))*(K$7-K$5)*(K$7-K$6))))</f>
        <v>0.373087765463374</v>
      </c>
      <c r="L846" s="2" t="n">
        <v>0.36925853</v>
      </c>
      <c r="M846" s="2" t="n">
        <f aca="false">IF(M$7=M$5,M$6,IF(NORMSDIST(M$9*SQRT($C$11)*NORMSINV($B846)+SQRT(1-M$9^2*$C$11)*NORMSINV(L846))&lt;M$8,M$5+SQRT(NORMSDIST(M$9*SQRT($C$11)*NORMSINV($B846)+SQRT(1-M$9^2*$C$11)*NORMSINV(L846))*(M$7-M$5)*(M$6-M$5)),M$7-SQRT((1-NORMSDIST(M$9*SQRT($C$11)*NORMSINV($B846)+SQRT(1-M$9^2*$C$11)*NORMSINV(L846)))*(M$7-M$5)*(M$7-M$6))))</f>
        <v>1625.234201367</v>
      </c>
      <c r="N846" s="2" t="n">
        <v>0.236874473</v>
      </c>
      <c r="O846" s="2" t="n">
        <f aca="false">IF(O$7=O$5,O$6,IF(NORMSDIST(O$9*SQRT($C$11)*NORMSINV($B846)+SQRT(1-O$9^2*$C$11)*NORMSINV(N846))&lt;O$8,O$5+SQRT(NORMSDIST(O$9*SQRT($C$11)*NORMSINV($B846)+SQRT(1-O$9^2*$C$11)*NORMSINV(N846))*(O$7-O$5)*(O$6-O$5)),O$7-SQRT((1-NORMSDIST(O$9*SQRT($C$11)*NORMSINV($B846)+SQRT(1-O$9^2*$C$11)*NORMSINV(N846)))*(O$7-O$5)*(O$7-O$6))))</f>
        <v>0.167755086978291</v>
      </c>
      <c r="P846" s="2" t="n">
        <v>0.202041917</v>
      </c>
      <c r="Q846" s="2" t="n">
        <f aca="false">IF(Q$7=Q$5,Q$6,IF(NORMSDIST(Q$9*SQRT($C$11)*NORMSINV($B846)+SQRT(1-Q$9^2*$C$11)*NORMSINV(P846))&lt;Q$8,Q$5+SQRT(NORMSDIST(Q$9*SQRT($C$11)*NORMSINV($B846)+SQRT(1-Q$9^2*$C$11)*NORMSINV(P846))*(Q$7-Q$5)*(Q$6-Q$5)),Q$7-SQRT((1-NORMSDIST(Q$9*SQRT($C$11)*NORMSINV($B846)+SQRT(1-Q$9^2*$C$11)*NORMSINV(P846)))*(Q$7-Q$5)*(Q$7-Q$6))))</f>
        <v>0.0654270355016073</v>
      </c>
      <c r="R846" s="2" t="n">
        <v>0.72318396</v>
      </c>
      <c r="S846" s="2" t="n">
        <f aca="false">IF(S$7=S$5,S$6,IF(NORMSDIST(S$9*SQRT($C$11)*NORMSINV($B846)+SQRT(1-S$9^2*$C$11)*NORMSINV(R846))&lt;S$8,S$5+SQRT(NORMSDIST(S$9*SQRT($C$11)*NORMSINV($B846)+SQRT(1-S$9^2*$C$11)*NORMSINV(R846))*(S$7-S$5)*(S$6-S$5)),S$7-SQRT((1-NORMSDIST(S$9*SQRT($C$11)*NORMSINV($B846)+SQRT(1-S$9^2*$C$11)*NORMSINV(R846)))*(S$7-S$5)*(S$7-S$6))))</f>
        <v>0.740876845079104</v>
      </c>
      <c r="T846" s="2" t="n">
        <v>0.040020673</v>
      </c>
      <c r="U846" s="2" t="n">
        <f aca="false">IF(U$7=U$5,U$6,IF(NORMSDIST(U$9*SQRT($C$11)*NORMSINV($B846)+SQRT(1-U$9^2*$C$11)*NORMSINV(T846))&lt;U$8,U$5+SQRT(NORMSDIST(U$9*SQRT($C$11)*NORMSINV($B846)+SQRT(1-U$9^2*$C$11)*NORMSINV(T846))*(U$7-U$5)*(U$6-U$5)),U$7-SQRT((1-NORMSDIST(U$9*SQRT($C$11)*NORMSINV($B846)+SQRT(1-U$9^2*$C$11)*NORMSINV(T846)))*(U$7-U$5)*(U$7-U$6))))</f>
        <v>0.345947814735742</v>
      </c>
      <c r="V846" s="2" t="n">
        <v>0.835249254</v>
      </c>
      <c r="W846" s="2" t="n">
        <f aca="false">IF(W$7=W$5,W$6,IF(NORMSDIST(W$9*SQRT($C$11)*NORMSINV($B846)+SQRT(1-W$9^2*$C$11)*NORMSINV(V846))&lt;W$8,W$5+SQRT(NORMSDIST(W$9*SQRT($C$11)*NORMSINV($B846)+SQRT(1-W$9^2*$C$11)*NORMSINV(V846))*(W$7-W$5)*(W$6-W$5)),W$7-SQRT((1-NORMSDIST(W$9*SQRT($C$11)*NORMSINV($B846)+SQRT(1-W$9^2*$C$11)*NORMSINV(V846)))*(W$7-W$5)*(W$7-W$6))))</f>
        <v>11.1983476659278</v>
      </c>
      <c r="X846" s="2" t="n">
        <v>0.765344067</v>
      </c>
      <c r="Y846" s="2" t="n">
        <f aca="false">IF(Y$7=Y$5,Y$6,IF(NORMSDIST(Y$9*SQRT($C$11)*NORMSINV($B846)+SQRT(1-Y$9^2*$C$11)*NORMSINV(X846))&lt;Y$8,Y$5+SQRT(NORMSDIST(Y$9*SQRT($C$11)*NORMSINV($B846)+SQRT(1-Y$9^2*$C$11)*NORMSINV(X846))*(Y$7-Y$5)*(Y$6-Y$5)),Y$7-SQRT((1-NORMSDIST(Y$9*SQRT($C$11)*NORMSINV($B846)+SQRT(1-Y$9^2*$C$11)*NORMSINV(X846)))*(Y$7-Y$5)*(Y$7-Y$6))))</f>
        <v>0.657468298547419</v>
      </c>
      <c r="Z846" s="2" t="n">
        <v>0.908247557</v>
      </c>
      <c r="AA846" s="2" t="n">
        <f aca="false">IF(AA$7=AA$5,AA$6,IF(NORMSDIST(AA$9*SQRT($C$11)*NORMSINV($B846)+SQRT(1-AA$9^2*$C$11)*NORMSINV(Z846))&lt;AA$8,AA$5+SQRT(NORMSDIST(AA$9*SQRT($C$11)*NORMSINV($B846)+SQRT(1-AA$9^2*$C$11)*NORMSINV(Z846))*(AA$7-AA$5)*(AA$6-AA$5)),AA$7-SQRT((1-NORMSDIST(AA$9*SQRT($C$11)*NORMSINV($B846)+SQRT(1-AA$9^2*$C$11)*NORMSINV(Z846)))*(AA$7-AA$5)*(AA$7-AA$6))))</f>
        <v>0.746124057986653</v>
      </c>
      <c r="AB846" s="2" t="n">
        <v>0.985511471</v>
      </c>
      <c r="AC846" s="2" t="n">
        <f aca="false">IF(AC$7=AC$5,AC$6,IF(NORMSDIST(AC$9*SQRT($C$11)*NORMSINV($B846)+SQRT(1-AC$9^2*$C$11)*NORMSINV(AB846))&lt;AC$8,AC$5+SQRT(NORMSDIST(AC$9*SQRT($C$11)*NORMSINV($B846)+SQRT(1-AC$9^2*$C$11)*NORMSINV(AB846))*(AC$7-AC$5)*(AC$6-AC$5)),AC$7-SQRT((1-NORMSDIST(AC$9*SQRT($C$11)*NORMSINV($B846)+SQRT(1-AC$9^2*$C$11)*NORMSINV(AB846)))*(AC$7-AC$5)*(AC$7-AC$6))))</f>
        <v>10.7956607070905</v>
      </c>
      <c r="AD846" s="2" t="n">
        <f aca="false">Entrées!$C$8*(1+E846)</f>
        <v>7445.09317718083</v>
      </c>
      <c r="AE846" s="2" t="n">
        <f aca="false">I846*Hypothèses!$J$24/12/Hypothèses!$J$19</f>
        <v>105.004241032987</v>
      </c>
      <c r="AF846" s="2" t="n">
        <f aca="false">Entrées!$C$36*S846*1000</f>
        <v>370.438422539552</v>
      </c>
      <c r="AG846" s="2" t="n">
        <f aca="false">-AF846/W846</f>
        <v>-33.0797394035775</v>
      </c>
      <c r="AH846" s="2" t="n">
        <f aca="false">AD846+AE846+AG846</f>
        <v>7517.01767881024</v>
      </c>
      <c r="AI846" s="2" t="n">
        <f aca="false">Entrées!$C$16-M846+Hypothèses!$J$22*1000-AF846+Hypothèses!$J$23</f>
        <v>22552.3273760934</v>
      </c>
      <c r="AJ846" s="2" t="n">
        <f aca="false">AI846/AH846</f>
        <v>3.00016952729356</v>
      </c>
      <c r="AK846" s="2" t="n">
        <f aca="false">AI846/(AH846+I846*(12-Hypothèses!$J$24)/12/Hypothèses!$J$19)</f>
        <v>2.97053027687005</v>
      </c>
      <c r="AL846" s="2" t="n">
        <f aca="false">(AD846+AG846+I846/Hypothèses!$J$19)*(1+G846)</f>
        <v>8048.14727324028</v>
      </c>
      <c r="AM846" s="2" t="n">
        <f aca="false">Entrées!$C$54*K846/Hypothèses!$J$19</f>
        <v>38.0751729598353</v>
      </c>
      <c r="AN846" s="2" t="n">
        <f aca="false">Y846*1000/AC846</f>
        <v>60.901163568025</v>
      </c>
      <c r="AO846" s="2" t="n">
        <f aca="false">(Entrées!$C$36*(1-S846)+MAX(0,Entrées!$C$30-Entrées!$C$35-Entrées!$C$36)*U846)*1000</f>
        <v>613.888518090487</v>
      </c>
      <c r="AP846" s="2" t="n">
        <f aca="false">-AO846/W846</f>
        <v>-54.8195623501055</v>
      </c>
      <c r="AQ846" s="2" t="n">
        <f aca="false">AL846+AM846+AN846+AP846</f>
        <v>8092.30404741803</v>
      </c>
      <c r="AR846" s="2" t="n">
        <f aca="false">O846*AQ846-Hypothèses!$J$25/Hypothèses!$J$19</f>
        <v>1338.39000706776</v>
      </c>
      <c r="AS846" s="2" t="n">
        <f aca="false">Entrées!$C$79*(1+Q846)+Hypothèses!$J$20</f>
        <v>1465.90431201627</v>
      </c>
      <c r="AT846" s="2" t="n">
        <f aca="false">AI846-AR846+AS846+Y846*1000-AO846+Hypothèses!$J$23</f>
        <v>22723.4214614989</v>
      </c>
      <c r="AU846" s="2" t="n">
        <f aca="false">AT846/AQ846</f>
        <v>2.80802863169101</v>
      </c>
      <c r="AV846" s="2" t="n">
        <f aca="false">Hypothèses!$J$26*AQ846-AT846</f>
        <v>1553.49068075521</v>
      </c>
      <c r="AW846" s="2" t="n">
        <f aca="false">IF(AC846&gt;Hypothèses!$J$26,MAX(0,AV846)/(1-Hypothèses!$J$26/AC846),0)</f>
        <v>2151.31968042252</v>
      </c>
      <c r="AX846" s="2" t="n">
        <f aca="false">AQ846-Entrées!$C$17*1000</f>
        <v>92.3040474180325</v>
      </c>
      <c r="AY846" s="2" t="n">
        <f aca="false">AI846+(Entrées!$C$244-Entrées!$C$13)</f>
        <v>28299.3273760934</v>
      </c>
      <c r="AZ846" s="2" t="n">
        <f aca="false">AA846*AH846</f>
        <v>5608.62773447131</v>
      </c>
      <c r="BA846" s="2" t="n">
        <f aca="false">AZ846/AY846</f>
        <v>0.198189436092723</v>
      </c>
      <c r="BB846" s="2" t="n">
        <f aca="false">AZ846/(Entrées!$C$151/100)-AY846</f>
        <v>2859.71559319161</v>
      </c>
      <c r="BC846" s="2" t="n">
        <f aca="false">AT846+(Entrées!$C$244-Entrées!$C$13)</f>
        <v>28470.4214614989</v>
      </c>
      <c r="BD846" s="2" t="n">
        <f aca="false">AA846*AQ846</f>
        <v>6037.86273432136</v>
      </c>
      <c r="BE846" s="2" t="n">
        <f aca="false">BD846/BC846</f>
        <v>0.212074933365018</v>
      </c>
      <c r="BF846" s="2" t="n">
        <f aca="false">BD846/(Entrées!$C$151/100)-BC846</f>
        <v>5073.260395842</v>
      </c>
      <c r="BG846" s="2" t="n">
        <f aca="false">MIN(AV846,BF846)</f>
        <v>1553.49068075521</v>
      </c>
      <c r="BH846" s="2" t="n">
        <f aca="false">IF(AC846&gt;Hypothèses!$J$26,MAX(0,BG846)/(1-Hypothèses!$J$26/AC846),0)</f>
        <v>2151.31968042252</v>
      </c>
    </row>
    <row r="847" customFormat="false" ht="15" hidden="false" customHeight="false" outlineLevel="0" collapsed="false">
      <c r="A847" s="2" t="n">
        <v>832</v>
      </c>
      <c r="B847" s="2" t="n">
        <v>0.685846523</v>
      </c>
      <c r="C847" s="2"/>
      <c r="D847" s="2" t="n">
        <v>0.986087794</v>
      </c>
      <c r="E847" s="2" t="n">
        <f aca="false">IF(E$7=E$5,E$6,IF(NORMSDIST(E$9*SQRT($C$11)*NORMSINV($B847)+SQRT(1-E$9^2*$C$11)*NORMSINV(D847))&lt;E$8,E$5+SQRT(NORMSDIST(E$9*SQRT($C$11)*NORMSINV($B847)+SQRT(1-E$9^2*$C$11)*NORMSINV(D847))*(E$7-E$5)*(E$6-E$5)),E$7-SQRT((1-NORMSDIST(E$9*SQRT($C$11)*NORMSINV($B847)+SQRT(1-E$9^2*$C$11)*NORMSINV(D847)))*(E$7-E$5)*(E$7-E$6))))</f>
        <v>0.0589461905320946</v>
      </c>
      <c r="F847" s="2" t="n">
        <v>0.831566315</v>
      </c>
      <c r="G847" s="2" t="n">
        <f aca="false">IF(G$7=G$5,G$6,IF(NORMSDIST(G$9*SQRT($C$11)*NORMSINV($B847)+SQRT(1-G$9^2*$C$11)*NORMSINV(F847))&lt;G$8,G$5+SQRT(NORMSDIST(G$9*SQRT($C$11)*NORMSINV($B847)+SQRT(1-G$9^2*$C$11)*NORMSINV(F847))*(G$7-G$5)*(G$6-G$5)),G$7-SQRT((1-NORMSDIST(G$9*SQRT($C$11)*NORMSINV($B847)+SQRT(1-G$9^2*$C$11)*NORMSINV(F847)))*(G$7-G$5)*(G$7-G$6))))</f>
        <v>0.0618711488719191</v>
      </c>
      <c r="H847" s="2" t="n">
        <v>0.699356158</v>
      </c>
      <c r="I847" s="2" t="n">
        <f aca="false">IF(I$7=I$5,I$6,IF(NORMSDIST(I$9*SQRT($C$11)*NORMSINV($B847)+SQRT(1-I$9^2*$C$11)*NORMSINV(H847))&lt;I$8,I$5+SQRT(NORMSDIST(I$9*SQRT($C$11)*NORMSINV($B847)+SQRT(1-I$9^2*$C$11)*NORMSINV(H847))*(I$7-I$5)*(I$6-I$5)),I$7-SQRT((1-NORMSDIST(I$9*SQRT($C$11)*NORMSINV($B847)+SQRT(1-I$9^2*$C$11)*NORMSINV(H847)))*(I$7-I$5)*(I$7-I$6))))</f>
        <v>206.185240910266</v>
      </c>
      <c r="J847" s="2" t="n">
        <v>0.374355792</v>
      </c>
      <c r="K847" s="2" t="n">
        <f aca="false">IF(K$7=K$5,K$6,IF(NORMSDIST(K$9*SQRT($C$11)*NORMSINV($B847)+SQRT(1-K$9^2*$C$11)*NORMSINV(J847))&lt;K$8,K$5+SQRT(NORMSDIST(K$9*SQRT($C$11)*NORMSINV($B847)+SQRT(1-K$9^2*$C$11)*NORMSINV(J847))*(K$7-K$5)*(K$6-K$5)),K$7-SQRT((1-NORMSDIST(K$9*SQRT($C$11)*NORMSINV($B847)+SQRT(1-K$9^2*$C$11)*NORMSINV(J847)))*(K$7-K$5)*(K$7-K$6))))</f>
        <v>0.255854503222577</v>
      </c>
      <c r="L847" s="2" t="n">
        <v>0.220435478</v>
      </c>
      <c r="M847" s="2" t="n">
        <f aca="false">IF(M$7=M$5,M$6,IF(NORMSDIST(M$9*SQRT($C$11)*NORMSINV($B847)+SQRT(1-M$9^2*$C$11)*NORMSINV(L847))&lt;M$8,M$5+SQRT(NORMSDIST(M$9*SQRT($C$11)*NORMSINV($B847)+SQRT(1-M$9^2*$C$11)*NORMSINV(L847))*(M$7-M$5)*(M$6-M$5)),M$7-SQRT((1-NORMSDIST(M$9*SQRT($C$11)*NORMSINV($B847)+SQRT(1-M$9^2*$C$11)*NORMSINV(L847)))*(M$7-M$5)*(M$7-M$6))))</f>
        <v>1550.97753501329</v>
      </c>
      <c r="N847" s="2" t="n">
        <v>0.69290235</v>
      </c>
      <c r="O847" s="2" t="n">
        <f aca="false">IF(O$7=O$5,O$6,IF(NORMSDIST(O$9*SQRT($C$11)*NORMSINV($B847)+SQRT(1-O$9^2*$C$11)*NORMSINV(N847))&lt;O$8,O$5+SQRT(NORMSDIST(O$9*SQRT($C$11)*NORMSINV($B847)+SQRT(1-O$9^2*$C$11)*NORMSINV(N847))*(O$7-O$5)*(O$6-O$5)),O$7-SQRT((1-NORMSDIST(O$9*SQRT($C$11)*NORMSINV($B847)+SQRT(1-O$9^2*$C$11)*NORMSINV(N847)))*(O$7-O$5)*(O$7-O$6))))</f>
        <v>0.173911141814364</v>
      </c>
      <c r="P847" s="2" t="n">
        <v>0.687530466</v>
      </c>
      <c r="Q847" s="2" t="n">
        <f aca="false">IF(Q$7=Q$5,Q$6,IF(NORMSDIST(Q$9*SQRT($C$11)*NORMSINV($B847)+SQRT(1-Q$9^2*$C$11)*NORMSINV(P847))&lt;Q$8,Q$5+SQRT(NORMSDIST(Q$9*SQRT($C$11)*NORMSINV($B847)+SQRT(1-Q$9^2*$C$11)*NORMSINV(P847))*(Q$7-Q$5)*(Q$6-Q$5)),Q$7-SQRT((1-NORMSDIST(Q$9*SQRT($C$11)*NORMSINV($B847)+SQRT(1-Q$9^2*$C$11)*NORMSINV(P847)))*(Q$7-Q$5)*(Q$7-Q$6))))</f>
        <v>0.0883787649071071</v>
      </c>
      <c r="R847" s="2" t="n">
        <v>0.246939689</v>
      </c>
      <c r="S847" s="2" t="n">
        <f aca="false">IF(S$7=S$5,S$6,IF(NORMSDIST(S$9*SQRT($C$11)*NORMSINV($B847)+SQRT(1-S$9^2*$C$11)*NORMSINV(R847))&lt;S$8,S$5+SQRT(NORMSDIST(S$9*SQRT($C$11)*NORMSINV($B847)+SQRT(1-S$9^2*$C$11)*NORMSINV(R847))*(S$7-S$5)*(S$6-S$5)),S$7-SQRT((1-NORMSDIST(S$9*SQRT($C$11)*NORMSINV($B847)+SQRT(1-S$9^2*$C$11)*NORMSINV(R847)))*(S$7-S$5)*(S$7-S$6))))</f>
        <v>0.453580714922953</v>
      </c>
      <c r="T847" s="2" t="n">
        <v>0.352601</v>
      </c>
      <c r="U847" s="2" t="n">
        <f aca="false">IF(U$7=U$5,U$6,IF(NORMSDIST(U$9*SQRT($C$11)*NORMSINV($B847)+SQRT(1-U$9^2*$C$11)*NORMSINV(T847))&lt;U$8,U$5+SQRT(NORMSDIST(U$9*SQRT($C$11)*NORMSINV($B847)+SQRT(1-U$9^2*$C$11)*NORMSINV(T847))*(U$7-U$5)*(U$6-U$5)),U$7-SQRT((1-NORMSDIST(U$9*SQRT($C$11)*NORMSINV($B847)+SQRT(1-U$9^2*$C$11)*NORMSINV(T847)))*(U$7-U$5)*(U$7-U$6))))</f>
        <v>0.502628461450584</v>
      </c>
      <c r="V847" s="2" t="n">
        <v>0.402175956</v>
      </c>
      <c r="W847" s="2" t="n">
        <f aca="false">IF(W$7=W$5,W$6,IF(NORMSDIST(W$9*SQRT($C$11)*NORMSINV($B847)+SQRT(1-W$9^2*$C$11)*NORMSINV(V847))&lt;W$8,W$5+SQRT(NORMSDIST(W$9*SQRT($C$11)*NORMSINV($B847)+SQRT(1-W$9^2*$C$11)*NORMSINV(V847))*(W$7-W$5)*(W$6-W$5)),W$7-SQRT((1-NORMSDIST(W$9*SQRT($C$11)*NORMSINV($B847)+SQRT(1-W$9^2*$C$11)*NORMSINV(V847)))*(W$7-W$5)*(W$7-W$6))))</f>
        <v>10.0931673412587</v>
      </c>
      <c r="X847" s="2" t="n">
        <v>0.759883226</v>
      </c>
      <c r="Y847" s="2" t="n">
        <f aca="false">IF(Y$7=Y$5,Y$6,IF(NORMSDIST(Y$9*SQRT($C$11)*NORMSINV($B847)+SQRT(1-Y$9^2*$C$11)*NORMSINV(X847))&lt;Y$8,Y$5+SQRT(NORMSDIST(Y$9*SQRT($C$11)*NORMSINV($B847)+SQRT(1-Y$9^2*$C$11)*NORMSINV(X847))*(Y$7-Y$5)*(Y$6-Y$5)),Y$7-SQRT((1-NORMSDIST(Y$9*SQRT($C$11)*NORMSINV($B847)+SQRT(1-Y$9^2*$C$11)*NORMSINV(X847)))*(Y$7-Y$5)*(Y$7-Y$6))))</f>
        <v>0.653505574359413</v>
      </c>
      <c r="Z847" s="2" t="n">
        <v>0.840374209</v>
      </c>
      <c r="AA847" s="2" t="n">
        <f aca="false">IF(AA$7=AA$5,AA$6,IF(NORMSDIST(AA$9*SQRT($C$11)*NORMSINV($B847)+SQRT(1-AA$9^2*$C$11)*NORMSINV(Z847))&lt;AA$8,AA$5+SQRT(NORMSDIST(AA$9*SQRT($C$11)*NORMSINV($B847)+SQRT(1-AA$9^2*$C$11)*NORMSINV(Z847))*(AA$7-AA$5)*(AA$6-AA$5)),AA$7-SQRT((1-NORMSDIST(AA$9*SQRT($C$11)*NORMSINV($B847)+SQRT(1-AA$9^2*$C$11)*NORMSINV(Z847)))*(AA$7-AA$5)*(AA$7-AA$6))))</f>
        <v>0.740427904719048</v>
      </c>
      <c r="AB847" s="2" t="n">
        <v>0.774995528</v>
      </c>
      <c r="AC847" s="2" t="n">
        <f aca="false">IF(AC$7=AC$5,AC$6,IF(NORMSDIST(AC$9*SQRT($C$11)*NORMSINV($B847)+SQRT(1-AC$9^2*$C$11)*NORMSINV(AB847))&lt;AC$8,AC$5+SQRT(NORMSDIST(AC$9*SQRT($C$11)*NORMSINV($B847)+SQRT(1-AC$9^2*$C$11)*NORMSINV(AB847))*(AC$7-AC$5)*(AC$6-AC$5)),AC$7-SQRT((1-NORMSDIST(AC$9*SQRT($C$11)*NORMSINV($B847)+SQRT(1-AC$9^2*$C$11)*NORMSINV(AB847)))*(AC$7-AC$5)*(AC$7-AC$6))))</f>
        <v>10.1026880492075</v>
      </c>
      <c r="AD847" s="2" t="n">
        <f aca="false">Entrées!$C$8*(1+E847)</f>
        <v>7465.57064325127</v>
      </c>
      <c r="AE847" s="2" t="n">
        <f aca="false">I847*Hypothèses!$J$24/12/Hypothèses!$J$19</f>
        <v>102.287838094047</v>
      </c>
      <c r="AF847" s="2" t="n">
        <f aca="false">Entrées!$C$36*S847*1000</f>
        <v>226.790357461476</v>
      </c>
      <c r="AG847" s="2" t="n">
        <f aca="false">-AF847/W847</f>
        <v>-22.4696916035867</v>
      </c>
      <c r="AH847" s="2" t="n">
        <f aca="false">AD847+AE847+AG847</f>
        <v>7545.38878974173</v>
      </c>
      <c r="AI847" s="2" t="n">
        <f aca="false">Entrées!$C$16-M847+Hypothèses!$J$22*1000-AF847+Hypothèses!$J$23</f>
        <v>22770.2321075252</v>
      </c>
      <c r="AJ847" s="2" t="n">
        <f aca="false">AI847/AH847</f>
        <v>3.0177679032898</v>
      </c>
      <c r="AK847" s="2" t="n">
        <f aca="false">AI847/(AH847+I847*(12-Hypothèses!$J$24)/12/Hypothèses!$J$19)</f>
        <v>2.98882679953555</v>
      </c>
      <c r="AL847" s="2" t="n">
        <f aca="false">(AD847+AG847+I847/Hypothèses!$J$19)*(1+G847)</f>
        <v>8089.81388010017</v>
      </c>
      <c r="AM847" s="2" t="n">
        <f aca="false">Entrées!$C$54*K847/Hypothèses!$J$19</f>
        <v>26.1110263175025</v>
      </c>
      <c r="AN847" s="2" t="n">
        <f aca="false">Y847*1000/AC847</f>
        <v>64.6863063747355</v>
      </c>
      <c r="AO847" s="2" t="n">
        <f aca="false">(Entrées!$C$36*(1-S847)+MAX(0,Entrées!$C$30-Entrées!$C$35-Entrées!$C$36)*U847)*1000</f>
        <v>976.889488569341</v>
      </c>
      <c r="AP847" s="2" t="n">
        <f aca="false">-AO847/W847</f>
        <v>-96.7872081716138</v>
      </c>
      <c r="AQ847" s="2" t="n">
        <f aca="false">AL847+AM847+AN847+AP847</f>
        <v>8083.82400462079</v>
      </c>
      <c r="AR847" s="2" t="n">
        <f aca="false">O847*AQ847-Hypothèses!$J$25/Hypothèses!$J$19</f>
        <v>1386.73190060834</v>
      </c>
      <c r="AS847" s="2" t="n">
        <f aca="false">Entrées!$C$79*(1+Q847)+Hypothèses!$J$20</f>
        <v>1491.12826263291</v>
      </c>
      <c r="AT847" s="2" t="n">
        <f aca="false">AI847-AR847+AS847+Y847*1000-AO847+Hypothèses!$J$23</f>
        <v>22551.2445553399</v>
      </c>
      <c r="AU847" s="2" t="n">
        <f aca="false">AT847/AQ847</f>
        <v>2.78967534949417</v>
      </c>
      <c r="AV847" s="2" t="n">
        <f aca="false">Hypothèses!$J$26*AQ847-AT847</f>
        <v>1700.22745852249</v>
      </c>
      <c r="AW847" s="2" t="n">
        <f aca="false">IF(AC847&gt;Hypothèses!$J$26,MAX(0,AV847)/(1-Hypothèses!$J$26/AC847),0)</f>
        <v>2418.36154243972</v>
      </c>
      <c r="AX847" s="2" t="n">
        <f aca="false">AQ847-Entrées!$C$17*1000</f>
        <v>83.824004620792</v>
      </c>
      <c r="AY847" s="2" t="n">
        <f aca="false">AI847+(Entrées!$C$244-Entrées!$C$13)</f>
        <v>28517.2321075252</v>
      </c>
      <c r="AZ847" s="2" t="n">
        <f aca="false">AA847*AH847</f>
        <v>5586.81641187906</v>
      </c>
      <c r="BA847" s="2" t="n">
        <f aca="false">AZ847/AY847</f>
        <v>0.195910191803109</v>
      </c>
      <c r="BB847" s="2" t="n">
        <f aca="false">AZ847/(Entrées!$C$151/100)-AY847</f>
        <v>2520.63684735843</v>
      </c>
      <c r="BC847" s="2" t="n">
        <f aca="false">AT847+(Entrées!$C$244-Entrées!$C$13)</f>
        <v>28298.2445553399</v>
      </c>
      <c r="BD847" s="2" t="n">
        <f aca="false">AA847*AQ847</f>
        <v>5985.48886985892</v>
      </c>
      <c r="BE847" s="2" t="n">
        <f aca="false">BD847/BC847</f>
        <v>0.211514493704856</v>
      </c>
      <c r="BF847" s="2" t="n">
        <f aca="false">BD847/(Entrées!$C$151/100)-BC847</f>
        <v>4954.47138832077</v>
      </c>
      <c r="BG847" s="2" t="n">
        <f aca="false">MIN(AV847,BF847)</f>
        <v>1700.22745852249</v>
      </c>
      <c r="BH847" s="2" t="n">
        <f aca="false">IF(AC847&gt;Hypothèses!$J$26,MAX(0,BG847)/(1-Hypothèses!$J$26/AC847),0)</f>
        <v>2418.36154243972</v>
      </c>
    </row>
    <row r="848" customFormat="false" ht="15" hidden="false" customHeight="false" outlineLevel="0" collapsed="false">
      <c r="A848" s="2" t="n">
        <v>833</v>
      </c>
      <c r="B848" s="2" t="n">
        <v>0.755881974</v>
      </c>
      <c r="C848" s="2"/>
      <c r="D848" s="2" t="n">
        <v>0.238537076</v>
      </c>
      <c r="E848" s="2" t="n">
        <f aca="false">IF(E$7=E$5,E$6,IF(NORMSDIST(E$9*SQRT($C$11)*NORMSINV($B848)+SQRT(1-E$9^2*$C$11)*NORMSINV(D848))&lt;E$8,E$5+SQRT(NORMSDIST(E$9*SQRT($C$11)*NORMSINV($B848)+SQRT(1-E$9^2*$C$11)*NORMSINV(D848))*(E$7-E$5)*(E$6-E$5)),E$7-SQRT((1-NORMSDIST(E$9*SQRT($C$11)*NORMSINV($B848)+SQRT(1-E$9^2*$C$11)*NORMSINV(D848)))*(E$7-E$5)*(E$7-E$6))))</f>
        <v>0.0547710535711773</v>
      </c>
      <c r="F848" s="2" t="n">
        <v>0.590023066</v>
      </c>
      <c r="G848" s="2" t="n">
        <f aca="false">IF(G$7=G$5,G$6,IF(NORMSDIST(G$9*SQRT($C$11)*NORMSINV($B848)+SQRT(1-G$9^2*$C$11)*NORMSINV(F848))&lt;G$8,G$5+SQRT(NORMSDIST(G$9*SQRT($C$11)*NORMSINV($B848)+SQRT(1-G$9^2*$C$11)*NORMSINV(F848))*(G$7-G$5)*(G$6-G$5)),G$7-SQRT((1-NORMSDIST(G$9*SQRT($C$11)*NORMSINV($B848)+SQRT(1-G$9^2*$C$11)*NORMSINV(F848)))*(G$7-G$5)*(G$7-G$6))))</f>
        <v>0.058989811392104</v>
      </c>
      <c r="H848" s="2" t="n">
        <v>0.55161513</v>
      </c>
      <c r="I848" s="2" t="n">
        <f aca="false">IF(I$7=I$5,I$6,IF(NORMSDIST(I$9*SQRT($C$11)*NORMSINV($B848)+SQRT(1-I$9^2*$C$11)*NORMSINV(H848))&lt;I$8,I$5+SQRT(NORMSDIST(I$9*SQRT($C$11)*NORMSINV($B848)+SQRT(1-I$9^2*$C$11)*NORMSINV(H848))*(I$7-I$5)*(I$6-I$5)),I$7-SQRT((1-NORMSDIST(I$9*SQRT($C$11)*NORMSINV($B848)+SQRT(1-I$9^2*$C$11)*NORMSINV(H848)))*(I$7-I$5)*(I$7-I$6))))</f>
        <v>204.637962260103</v>
      </c>
      <c r="J848" s="2" t="n">
        <v>0.822421446</v>
      </c>
      <c r="K848" s="2" t="n">
        <f aca="false">IF(K$7=K$5,K$6,IF(NORMSDIST(K$9*SQRT($C$11)*NORMSINV($B848)+SQRT(1-K$9^2*$C$11)*NORMSINV(J848))&lt;K$8,K$5+SQRT(NORMSDIST(K$9*SQRT($C$11)*NORMSINV($B848)+SQRT(1-K$9^2*$C$11)*NORMSINV(J848))*(K$7-K$5)*(K$6-K$5)),K$7-SQRT((1-NORMSDIST(K$9*SQRT($C$11)*NORMSINV($B848)+SQRT(1-K$9^2*$C$11)*NORMSINV(J848)))*(K$7-K$5)*(K$7-K$6))))</f>
        <v>0.375435451070022</v>
      </c>
      <c r="L848" s="2" t="n">
        <v>0.173572648</v>
      </c>
      <c r="M848" s="2" t="n">
        <f aca="false">IF(M$7=M$5,M$6,IF(NORMSDIST(M$9*SQRT($C$11)*NORMSINV($B848)+SQRT(1-M$9^2*$C$11)*NORMSINV(L848))&lt;M$8,M$5+SQRT(NORMSDIST(M$9*SQRT($C$11)*NORMSINV($B848)+SQRT(1-M$9^2*$C$11)*NORMSINV(L848))*(M$7-M$5)*(M$6-M$5)),M$7-SQRT((1-NORMSDIST(M$9*SQRT($C$11)*NORMSINV($B848)+SQRT(1-M$9^2*$C$11)*NORMSINV(L848)))*(M$7-M$5)*(M$7-M$6))))</f>
        <v>1551.0950676059</v>
      </c>
      <c r="N848" s="2" t="n">
        <v>0.273361716</v>
      </c>
      <c r="O848" s="2" t="n">
        <f aca="false">IF(O$7=O$5,O$6,IF(NORMSDIST(O$9*SQRT($C$11)*NORMSINV($B848)+SQRT(1-O$9^2*$C$11)*NORMSINV(N848))&lt;O$8,O$5+SQRT(NORMSDIST(O$9*SQRT($C$11)*NORMSINV($B848)+SQRT(1-O$9^2*$C$11)*NORMSINV(N848))*(O$7-O$5)*(O$6-O$5)),O$7-SQRT((1-NORMSDIST(O$9*SQRT($C$11)*NORMSINV($B848)+SQRT(1-O$9^2*$C$11)*NORMSINV(N848)))*(O$7-O$5)*(O$7-O$6))))</f>
        <v>0.166478615708109</v>
      </c>
      <c r="P848" s="2" t="n">
        <v>0.145357613</v>
      </c>
      <c r="Q848" s="2" t="n">
        <f aca="false">IF(Q$7=Q$5,Q$6,IF(NORMSDIST(Q$9*SQRT($C$11)*NORMSINV($B848)+SQRT(1-Q$9^2*$C$11)*NORMSINV(P848))&lt;Q$8,Q$5+SQRT(NORMSDIST(Q$9*SQRT($C$11)*NORMSINV($B848)+SQRT(1-Q$9^2*$C$11)*NORMSINV(P848))*(Q$7-Q$5)*(Q$6-Q$5)),Q$7-SQRT((1-NORMSDIST(Q$9*SQRT($C$11)*NORMSINV($B848)+SQRT(1-Q$9^2*$C$11)*NORMSINV(P848)))*(Q$7-Q$5)*(Q$7-Q$6))))</f>
        <v>0.06156720569754</v>
      </c>
      <c r="R848" s="2" t="n">
        <v>0.585347442</v>
      </c>
      <c r="S848" s="2" t="n">
        <f aca="false">IF(S$7=S$5,S$6,IF(NORMSDIST(S$9*SQRT($C$11)*NORMSINV($B848)+SQRT(1-S$9^2*$C$11)*NORMSINV(R848))&lt;S$8,S$5+SQRT(NORMSDIST(S$9*SQRT($C$11)*NORMSINV($B848)+SQRT(1-S$9^2*$C$11)*NORMSINV(R848))*(S$7-S$5)*(S$6-S$5)),S$7-SQRT((1-NORMSDIST(S$9*SQRT($C$11)*NORMSINV($B848)+SQRT(1-S$9^2*$C$11)*NORMSINV(R848)))*(S$7-S$5)*(S$7-S$6))))</f>
        <v>0.630900539806611</v>
      </c>
      <c r="T848" s="2" t="n">
        <v>0.748923825</v>
      </c>
      <c r="U848" s="2" t="n">
        <f aca="false">IF(U$7=U$5,U$6,IF(NORMSDIST(U$9*SQRT($C$11)*NORMSINV($B848)+SQRT(1-U$9^2*$C$11)*NORMSINV(T848))&lt;U$8,U$5+SQRT(NORMSDIST(U$9*SQRT($C$11)*NORMSINV($B848)+SQRT(1-U$9^2*$C$11)*NORMSINV(T848))*(U$7-U$5)*(U$6-U$5)),U$7-SQRT((1-NORMSDIST(U$9*SQRT($C$11)*NORMSINV($B848)+SQRT(1-U$9^2*$C$11)*NORMSINV(T848)))*(U$7-U$5)*(U$7-U$6))))</f>
        <v>0.709328196025723</v>
      </c>
      <c r="V848" s="2" t="n">
        <v>0.929816886</v>
      </c>
      <c r="W848" s="2" t="n">
        <f aca="false">IF(W$7=W$5,W$6,IF(NORMSDIST(W$9*SQRT($C$11)*NORMSINV($B848)+SQRT(1-W$9^2*$C$11)*NORMSINV(V848))&lt;W$8,W$5+SQRT(NORMSDIST(W$9*SQRT($C$11)*NORMSINV($B848)+SQRT(1-W$9^2*$C$11)*NORMSINV(V848))*(W$7-W$5)*(W$6-W$5)),W$7-SQRT((1-NORMSDIST(W$9*SQRT($C$11)*NORMSINV($B848)+SQRT(1-W$9^2*$C$11)*NORMSINV(V848)))*(W$7-W$5)*(W$7-W$6))))</f>
        <v>11.324713079194</v>
      </c>
      <c r="X848" s="2" t="n">
        <v>0.412183552</v>
      </c>
      <c r="Y848" s="2" t="n">
        <f aca="false">IF(Y$7=Y$5,Y$6,IF(NORMSDIST(Y$9*SQRT($C$11)*NORMSINV($B848)+SQRT(1-Y$9^2*$C$11)*NORMSINV(X848))&lt;Y$8,Y$5+SQRT(NORMSDIST(Y$9*SQRT($C$11)*NORMSINV($B848)+SQRT(1-Y$9^2*$C$11)*NORMSINV(X848))*(Y$7-Y$5)*(Y$6-Y$5)),Y$7-SQRT((1-NORMSDIST(Y$9*SQRT($C$11)*NORMSINV($B848)+SQRT(1-Y$9^2*$C$11)*NORMSINV(X848)))*(Y$7-Y$5)*(Y$7-Y$6))))</f>
        <v>0.453973320802005</v>
      </c>
      <c r="Z848" s="2" t="n">
        <v>0.571789751</v>
      </c>
      <c r="AA848" s="2" t="n">
        <f aca="false">IF(AA$7=AA$5,AA$6,IF(NORMSDIST(AA$9*SQRT($C$11)*NORMSINV($B848)+SQRT(1-AA$9^2*$C$11)*NORMSINV(Z848))&lt;AA$8,AA$5+SQRT(NORMSDIST(AA$9*SQRT($C$11)*NORMSINV($B848)+SQRT(1-AA$9^2*$C$11)*NORMSINV(Z848))*(AA$7-AA$5)*(AA$6-AA$5)),AA$7-SQRT((1-NORMSDIST(AA$9*SQRT($C$11)*NORMSINV($B848)+SQRT(1-AA$9^2*$C$11)*NORMSINV(Z848)))*(AA$7-AA$5)*(AA$7-AA$6))))</f>
        <v>0.734849601461926</v>
      </c>
      <c r="AB848" s="2" t="n">
        <v>0.138687866</v>
      </c>
      <c r="AC848" s="2" t="n">
        <f aca="false">IF(AC$7=AC$5,AC$6,IF(NORMSDIST(AC$9*SQRT($C$11)*NORMSINV($B848)+SQRT(1-AC$9^2*$C$11)*NORMSINV(AB848))&lt;AC$8,AC$5+SQRT(NORMSDIST(AC$9*SQRT($C$11)*NORMSINV($B848)+SQRT(1-AC$9^2*$C$11)*NORMSINV(AB848))*(AC$7-AC$5)*(AC$6-AC$5)),AC$7-SQRT((1-NORMSDIST(AC$9*SQRT($C$11)*NORMSINV($B848)+SQRT(1-AC$9^2*$C$11)*NORMSINV(AB848)))*(AC$7-AC$5)*(AC$7-AC$6))))</f>
        <v>9.12265214504929</v>
      </c>
      <c r="AD848" s="2" t="n">
        <f aca="false">Entrées!$C$8*(1+E848)</f>
        <v>7436.1359276768</v>
      </c>
      <c r="AE848" s="2" t="n">
        <f aca="false">I848*Hypothèses!$J$24/12/Hypothèses!$J$19</f>
        <v>101.520238107959</v>
      </c>
      <c r="AF848" s="2" t="n">
        <f aca="false">Entrées!$C$36*S848*1000</f>
        <v>315.450269903306</v>
      </c>
      <c r="AG848" s="2" t="n">
        <f aca="false">-AF848/W848</f>
        <v>-27.8550341803236</v>
      </c>
      <c r="AH848" s="2" t="n">
        <f aca="false">AD848+AE848+AG848</f>
        <v>7509.80113160443</v>
      </c>
      <c r="AI848" s="2" t="n">
        <f aca="false">Entrées!$C$16-M848+Hypothèses!$J$22*1000-AF848+Hypothèses!$J$23</f>
        <v>22681.4546624908</v>
      </c>
      <c r="AJ848" s="2" t="n">
        <f aca="false">AI848/AH848</f>
        <v>3.02024704316571</v>
      </c>
      <c r="AK848" s="2" t="n">
        <f aca="false">AI848/(AH848+I848*(12-Hypothèses!$J$24)/12/Hypothèses!$J$19)</f>
        <v>2.99136251993974</v>
      </c>
      <c r="AL848" s="2" t="n">
        <f aca="false">(AD848+AG848+I848/Hypothèses!$J$19)*(1+G848)</f>
        <v>8029.59495381172</v>
      </c>
      <c r="AM848" s="2" t="n">
        <f aca="false">Entrées!$C$54*K848/Hypothèses!$J$19</f>
        <v>38.3147641332886</v>
      </c>
      <c r="AN848" s="2" t="n">
        <f aca="false">Y848*1000/AC848</f>
        <v>49.7633049670066</v>
      </c>
      <c r="AO848" s="2" t="n">
        <f aca="false">(Entrées!$C$36*(1-S848)+MAX(0,Entrées!$C$30-Entrées!$C$35-Entrées!$C$36)*U848)*1000</f>
        <v>1177.60920453271</v>
      </c>
      <c r="AP848" s="2" t="n">
        <f aca="false">-AO848/W848</f>
        <v>-103.985787215769</v>
      </c>
      <c r="AQ848" s="2" t="n">
        <f aca="false">AL848+AM848+AN848+AP848</f>
        <v>8013.68723569625</v>
      </c>
      <c r="AR848" s="2" t="n">
        <f aca="false">O848*AQ848-Hypothèses!$J$25/Hypothèses!$J$19</f>
        <v>1314.97239545483</v>
      </c>
      <c r="AS848" s="2" t="n">
        <f aca="false">Entrées!$C$79*(1+Q848)+Hypothèses!$J$20</f>
        <v>1461.6623590616</v>
      </c>
      <c r="AT848" s="2" t="n">
        <f aca="false">AI848-AR848+AS848+Y848*1000-AO848+Hypothèses!$J$23</f>
        <v>22104.5087423669</v>
      </c>
      <c r="AU848" s="2" t="n">
        <f aca="false">AT848/AQ848</f>
        <v>2.75834432917525</v>
      </c>
      <c r="AV848" s="2" t="n">
        <f aca="false">Hypothèses!$J$26*AQ848-AT848</f>
        <v>1936.55296472189</v>
      </c>
      <c r="AW848" s="2" t="n">
        <f aca="false">IF(AC848&gt;Hypothèses!$J$26,MAX(0,AV848)/(1-Hypothèses!$J$26/AC848),0)</f>
        <v>2885.43243011227</v>
      </c>
      <c r="AX848" s="2" t="n">
        <f aca="false">AQ848-Entrées!$C$17*1000</f>
        <v>13.6872356962494</v>
      </c>
      <c r="AY848" s="2" t="n">
        <f aca="false">AI848+(Entrées!$C$244-Entrées!$C$13)</f>
        <v>28428.4546624908</v>
      </c>
      <c r="AZ848" s="2" t="n">
        <f aca="false">AA848*AH848</f>
        <v>5518.57436861784</v>
      </c>
      <c r="BA848" s="2" t="n">
        <f aca="false">AZ848/AY848</f>
        <v>0.194121503758668</v>
      </c>
      <c r="BB848" s="2" t="n">
        <f aca="false">AZ848/(Entrées!$C$151/100)-AY848</f>
        <v>2230.29182983055</v>
      </c>
      <c r="BC848" s="2" t="n">
        <f aca="false">AT848+(Entrées!$C$244-Entrées!$C$13)</f>
        <v>27851.5087423669</v>
      </c>
      <c r="BD848" s="2" t="n">
        <f aca="false">AA848*AQ848</f>
        <v>5888.85487139191</v>
      </c>
      <c r="BE848" s="2" t="n">
        <f aca="false">BD848/BC848</f>
        <v>0.211437553558238</v>
      </c>
      <c r="BF848" s="2" t="n">
        <f aca="false">BD848/(Entrées!$C$151/100)-BC848</f>
        <v>4864.35165425489</v>
      </c>
      <c r="BG848" s="2" t="n">
        <f aca="false">MIN(AV848,BF848)</f>
        <v>1936.55296472189</v>
      </c>
      <c r="BH848" s="2" t="n">
        <f aca="false">IF(AC848&gt;Hypothèses!$J$26,MAX(0,BG848)/(1-Hypothèses!$J$26/AC848),0)</f>
        <v>2885.43243011227</v>
      </c>
    </row>
    <row r="849" customFormat="false" ht="15" hidden="false" customHeight="false" outlineLevel="0" collapsed="false">
      <c r="A849" s="2" t="n">
        <v>834</v>
      </c>
      <c r="B849" s="2" t="n">
        <v>0.801213541</v>
      </c>
      <c r="C849" s="2"/>
      <c r="D849" s="2" t="n">
        <v>0.017006929</v>
      </c>
      <c r="E849" s="2" t="n">
        <f aca="false">IF(E$7=E$5,E$6,IF(NORMSDIST(E$9*SQRT($C$11)*NORMSINV($B849)+SQRT(1-E$9^2*$C$11)*NORMSINV(D849))&lt;E$8,E$5+SQRT(NORMSDIST(E$9*SQRT($C$11)*NORMSINV($B849)+SQRT(1-E$9^2*$C$11)*NORMSINV(D849))*(E$7-E$5)*(E$6-E$5)),E$7-SQRT((1-NORMSDIST(E$9*SQRT($C$11)*NORMSINV($B849)+SQRT(1-E$9^2*$C$11)*NORMSINV(D849)))*(E$7-E$5)*(E$7-E$6))))</f>
        <v>0.0525897741543037</v>
      </c>
      <c r="F849" s="2" t="n">
        <v>0.836086601</v>
      </c>
      <c r="G849" s="2" t="n">
        <f aca="false">IF(G$7=G$5,G$6,IF(NORMSDIST(G$9*SQRT($C$11)*NORMSINV($B849)+SQRT(1-G$9^2*$C$11)*NORMSINV(F849))&lt;G$8,G$5+SQRT(NORMSDIST(G$9*SQRT($C$11)*NORMSINV($B849)+SQRT(1-G$9^2*$C$11)*NORMSINV(F849))*(G$7-G$5)*(G$6-G$5)),G$7-SQRT((1-NORMSDIST(G$9*SQRT($C$11)*NORMSINV($B849)+SQRT(1-G$9^2*$C$11)*NORMSINV(F849)))*(G$7-G$5)*(G$7-G$6))))</f>
        <v>0.0633588995522528</v>
      </c>
      <c r="H849" s="2" t="n">
        <v>0.050251908</v>
      </c>
      <c r="I849" s="2" t="n">
        <f aca="false">IF(I$7=I$5,I$6,IF(NORMSDIST(I$9*SQRT($C$11)*NORMSINV($B849)+SQRT(1-I$9^2*$C$11)*NORMSINV(H849))&lt;I$8,I$5+SQRT(NORMSDIST(I$9*SQRT($C$11)*NORMSINV($B849)+SQRT(1-I$9^2*$C$11)*NORMSINV(H849))*(I$7-I$5)*(I$6-I$5)),I$7-SQRT((1-NORMSDIST(I$9*SQRT($C$11)*NORMSINV($B849)+SQRT(1-I$9^2*$C$11)*NORMSINV(H849)))*(I$7-I$5)*(I$7-I$6))))</f>
        <v>193.579626597772</v>
      </c>
      <c r="J849" s="2" t="n">
        <v>0.767836477</v>
      </c>
      <c r="K849" s="2" t="n">
        <f aca="false">IF(K$7=K$5,K$6,IF(NORMSDIST(K$9*SQRT($C$11)*NORMSINV($B849)+SQRT(1-K$9^2*$C$11)*NORMSINV(J849))&lt;K$8,K$5+SQRT(NORMSDIST(K$9*SQRT($C$11)*NORMSINV($B849)+SQRT(1-K$9^2*$C$11)*NORMSINV(J849))*(K$7-K$5)*(K$6-K$5)),K$7-SQRT((1-NORMSDIST(K$9*SQRT($C$11)*NORMSINV($B849)+SQRT(1-K$9^2*$C$11)*NORMSINV(J849)))*(K$7-K$5)*(K$7-K$6))))</f>
        <v>0.369968265095938</v>
      </c>
      <c r="L849" s="2" t="n">
        <v>0.2819709</v>
      </c>
      <c r="M849" s="2" t="n">
        <f aca="false">IF(M$7=M$5,M$6,IF(NORMSDIST(M$9*SQRT($C$11)*NORMSINV($B849)+SQRT(1-M$9^2*$C$11)*NORMSINV(L849))&lt;M$8,M$5+SQRT(NORMSDIST(M$9*SQRT($C$11)*NORMSINV($B849)+SQRT(1-M$9^2*$C$11)*NORMSINV(L849))*(M$7-M$5)*(M$6-M$5)),M$7-SQRT((1-NORMSDIST(M$9*SQRT($C$11)*NORMSINV($B849)+SQRT(1-M$9^2*$C$11)*NORMSINV(L849)))*(M$7-M$5)*(M$7-M$6))))</f>
        <v>1595.08644995069</v>
      </c>
      <c r="N849" s="2" t="n">
        <v>0.3692178</v>
      </c>
      <c r="O849" s="2" t="n">
        <f aca="false">IF(O$7=O$5,O$6,IF(NORMSDIST(O$9*SQRT($C$11)*NORMSINV($B849)+SQRT(1-O$9^2*$C$11)*NORMSINV(N849))&lt;O$8,O$5+SQRT(NORMSDIST(O$9*SQRT($C$11)*NORMSINV($B849)+SQRT(1-O$9^2*$C$11)*NORMSINV(N849))*(O$7-O$5)*(O$6-O$5)),O$7-SQRT((1-NORMSDIST(O$9*SQRT($C$11)*NORMSINV($B849)+SQRT(1-O$9^2*$C$11)*NORMSINV(N849)))*(O$7-O$5)*(O$7-O$6))))</f>
        <v>0.169588633959795</v>
      </c>
      <c r="P849" s="2" t="n">
        <v>0.381985681</v>
      </c>
      <c r="Q849" s="2" t="n">
        <f aca="false">IF(Q$7=Q$5,Q$6,IF(NORMSDIST(Q$9*SQRT($C$11)*NORMSINV($B849)+SQRT(1-Q$9^2*$C$11)*NORMSINV(P849))&lt;Q$8,Q$5+SQRT(NORMSDIST(Q$9*SQRT($C$11)*NORMSINV($B849)+SQRT(1-Q$9^2*$C$11)*NORMSINV(P849))*(Q$7-Q$5)*(Q$6-Q$5)),Q$7-SQRT((1-NORMSDIST(Q$9*SQRT($C$11)*NORMSINV($B849)+SQRT(1-Q$9^2*$C$11)*NORMSINV(P849)))*(Q$7-Q$5)*(Q$7-Q$6))))</f>
        <v>0.0749621821286944</v>
      </c>
      <c r="R849" s="2" t="n">
        <v>0.204630912</v>
      </c>
      <c r="S849" s="2" t="n">
        <f aca="false">IF(S$7=S$5,S$6,IF(NORMSDIST(S$9*SQRT($C$11)*NORMSINV($B849)+SQRT(1-S$9^2*$C$11)*NORMSINV(R849))&lt;S$8,S$5+SQRT(NORMSDIST(S$9*SQRT($C$11)*NORMSINV($B849)+SQRT(1-S$9^2*$C$11)*NORMSINV(R849))*(S$7-S$5)*(S$6-S$5)),S$7-SQRT((1-NORMSDIST(S$9*SQRT($C$11)*NORMSINV($B849)+SQRT(1-S$9^2*$C$11)*NORMSINV(R849)))*(S$7-S$5)*(S$7-S$6))))</f>
        <v>0.478812162277979</v>
      </c>
      <c r="T849" s="2" t="n">
        <v>0.022270575</v>
      </c>
      <c r="U849" s="2" t="n">
        <f aca="false">IF(U$7=U$5,U$6,IF(NORMSDIST(U$9*SQRT($C$11)*NORMSINV($B849)+SQRT(1-U$9^2*$C$11)*NORMSINV(T849))&lt;U$8,U$5+SQRT(NORMSDIST(U$9*SQRT($C$11)*NORMSINV($B849)+SQRT(1-U$9^2*$C$11)*NORMSINV(T849))*(U$7-U$5)*(U$6-U$5)),U$7-SQRT((1-NORMSDIST(U$9*SQRT($C$11)*NORMSINV($B849)+SQRT(1-U$9^2*$C$11)*NORMSINV(T849)))*(U$7-U$5)*(U$7-U$6))))</f>
        <v>0.277131130039796</v>
      </c>
      <c r="V849" s="2" t="n">
        <v>0.594041265</v>
      </c>
      <c r="W849" s="2" t="n">
        <f aca="false">IF(W$7=W$5,W$6,IF(NORMSDIST(W$9*SQRT($C$11)*NORMSINV($B849)+SQRT(1-W$9^2*$C$11)*NORMSINV(V849))&lt;W$8,W$5+SQRT(NORMSDIST(W$9*SQRT($C$11)*NORMSINV($B849)+SQRT(1-W$9^2*$C$11)*NORMSINV(V849))*(W$7-W$5)*(W$6-W$5)),W$7-SQRT((1-NORMSDIST(W$9*SQRT($C$11)*NORMSINV($B849)+SQRT(1-W$9^2*$C$11)*NORMSINV(V849)))*(W$7-W$5)*(W$7-W$6))))</f>
        <v>10.6260655793917</v>
      </c>
      <c r="X849" s="2" t="n">
        <v>0.058773242</v>
      </c>
      <c r="Y849" s="2" t="n">
        <f aca="false">IF(Y$7=Y$5,Y$6,IF(NORMSDIST(Y$9*SQRT($C$11)*NORMSINV($B849)+SQRT(1-Y$9^2*$C$11)*NORMSINV(X849))&lt;Y$8,Y$5+SQRT(NORMSDIST(Y$9*SQRT($C$11)*NORMSINV($B849)+SQRT(1-Y$9^2*$C$11)*NORMSINV(X849))*(Y$7-Y$5)*(Y$6-Y$5)),Y$7-SQRT((1-NORMSDIST(Y$9*SQRT($C$11)*NORMSINV($B849)+SQRT(1-Y$9^2*$C$11)*NORMSINV(X849)))*(Y$7-Y$5)*(Y$7-Y$6))))</f>
        <v>0.171425263599039</v>
      </c>
      <c r="Z849" s="2" t="n">
        <v>0.807889605</v>
      </c>
      <c r="AA849" s="2" t="n">
        <f aca="false">IF(AA$7=AA$5,AA$6,IF(NORMSDIST(AA$9*SQRT($C$11)*NORMSINV($B849)+SQRT(1-AA$9^2*$C$11)*NORMSINV(Z849))&lt;AA$8,AA$5+SQRT(NORMSDIST(AA$9*SQRT($C$11)*NORMSINV($B849)+SQRT(1-AA$9^2*$C$11)*NORMSINV(Z849))*(AA$7-AA$5)*(AA$6-AA$5)),AA$7-SQRT((1-NORMSDIST(AA$9*SQRT($C$11)*NORMSINV($B849)+SQRT(1-AA$9^2*$C$11)*NORMSINV(Z849)))*(AA$7-AA$5)*(AA$7-AA$6))))</f>
        <v>0.741801867834616</v>
      </c>
      <c r="AB849" s="2" t="n">
        <v>0.792154056</v>
      </c>
      <c r="AC849" s="2" t="n">
        <f aca="false">IF(AC$7=AC$5,AC$6,IF(NORMSDIST(AC$9*SQRT($C$11)*NORMSINV($B849)+SQRT(1-AC$9^2*$C$11)*NORMSINV(AB849))&lt;AC$8,AC$5+SQRT(NORMSDIST(AC$9*SQRT($C$11)*NORMSINV($B849)+SQRT(1-AC$9^2*$C$11)*NORMSINV(AB849))*(AC$7-AC$5)*(AC$6-AC$5)),AC$7-SQRT((1-NORMSDIST(AC$9*SQRT($C$11)*NORMSINV($B849)+SQRT(1-AC$9^2*$C$11)*NORMSINV(AB849)))*(AC$7-AC$5)*(AC$7-AC$6))))</f>
        <v>10.2742932175015</v>
      </c>
      <c r="AD849" s="2" t="n">
        <f aca="false">Entrées!$C$8*(1+E849)</f>
        <v>7420.75790778784</v>
      </c>
      <c r="AE849" s="2" t="n">
        <f aca="false">I849*Hypothèses!$J$24/12/Hypothèses!$J$19</f>
        <v>96.0342331794565</v>
      </c>
      <c r="AF849" s="2" t="n">
        <f aca="false">Entrées!$C$36*S849*1000</f>
        <v>239.40608113899</v>
      </c>
      <c r="AG849" s="2" t="n">
        <f aca="false">-AF849/W849</f>
        <v>-22.5300775108424</v>
      </c>
      <c r="AH849" s="2" t="n">
        <f aca="false">AD849+AE849+AG849</f>
        <v>7494.26206345646</v>
      </c>
      <c r="AI849" s="2" t="n">
        <f aca="false">Entrées!$C$16-M849+Hypothèses!$J$22*1000-AF849+Hypothèses!$J$23</f>
        <v>22713.5074689103</v>
      </c>
      <c r="AJ849" s="2" t="n">
        <f aca="false">AI849/AH849</f>
        <v>3.03078639051949</v>
      </c>
      <c r="AK849" s="2" t="n">
        <f aca="false">AI849/(AH849+I849*(12-Hypothèses!$J$24)/12/Hypothèses!$J$19)</f>
        <v>3.00329685367584</v>
      </c>
      <c r="AL849" s="2" t="n">
        <f aca="false">(AD849+AG849+I849/Hypothèses!$J$19)*(1+G849)</f>
        <v>8042.03230111972</v>
      </c>
      <c r="AM849" s="2" t="n">
        <f aca="false">Entrées!$C$54*K849/Hypothèses!$J$19</f>
        <v>37.7568148494028</v>
      </c>
      <c r="AN849" s="2" t="n">
        <f aca="false">Y849*1000/AC849</f>
        <v>16.6848716471347</v>
      </c>
      <c r="AO849" s="2" t="n">
        <f aca="false">(Entrées!$C$36*(1-S849)+MAX(0,Entrées!$C$30-Entrées!$C$35-Entrées!$C$36)*U849)*1000</f>
        <v>648.577500916725</v>
      </c>
      <c r="AP849" s="2" t="n">
        <f aca="false">-AO849/W849</f>
        <v>-61.0364669849755</v>
      </c>
      <c r="AQ849" s="2" t="n">
        <f aca="false">AL849+AM849+AN849+AP849</f>
        <v>8035.43752063128</v>
      </c>
      <c r="AR849" s="2" t="n">
        <f aca="false">O849*AQ849-Hypothèses!$J$25/Hypothèses!$J$19</f>
        <v>1343.58371013152</v>
      </c>
      <c r="AS849" s="2" t="n">
        <f aca="false">Entrées!$C$79*(1+Q849)+Hypothèses!$J$20</f>
        <v>1476.38343815944</v>
      </c>
      <c r="AT849" s="2" t="n">
        <f aca="false">AI849-AR849+AS849+Y849*1000-AO849+Hypothèses!$J$23</f>
        <v>22369.1549596205</v>
      </c>
      <c r="AU849" s="2" t="n">
        <f aca="false">AT849/AQ849</f>
        <v>2.78381294138458</v>
      </c>
      <c r="AV849" s="2" t="n">
        <f aca="false">Hypothèses!$J$26*AQ849-AT849</f>
        <v>1737.15760227329</v>
      </c>
      <c r="AW849" s="2" t="n">
        <f aca="false">IF(AC849&gt;Hypothèses!$J$26,MAX(0,AV849)/(1-Hypothèses!$J$26/AC849),0)</f>
        <v>2453.58085481436</v>
      </c>
      <c r="AX849" s="2" t="n">
        <f aca="false">AQ849-Entrées!$C$17*1000</f>
        <v>35.4375206312789</v>
      </c>
      <c r="AY849" s="2" t="n">
        <f aca="false">AI849+(Entrées!$C$244-Entrées!$C$13)</f>
        <v>28460.5074689103</v>
      </c>
      <c r="AZ849" s="2" t="n">
        <f aca="false">AA849*AH849</f>
        <v>5559.2575967141</v>
      </c>
      <c r="BA849" s="2" t="n">
        <f aca="false">AZ849/AY849</f>
        <v>0.195332342643114</v>
      </c>
      <c r="BB849" s="2" t="n">
        <f aca="false">AZ849/(Entrées!$C$151/100)-AY849</f>
        <v>2424.25695727915</v>
      </c>
      <c r="BC849" s="2" t="n">
        <f aca="false">AT849+(Entrées!$C$244-Entrées!$C$13)</f>
        <v>28116.1549596205</v>
      </c>
      <c r="BD849" s="2" t="n">
        <f aca="false">AA849*AQ849</f>
        <v>5960.70256167264</v>
      </c>
      <c r="BE849" s="2" t="n">
        <f aca="false">BD849/BC849</f>
        <v>0.212002763899729</v>
      </c>
      <c r="BF849" s="2" t="n">
        <f aca="false">BD849/(Entrées!$C$151/100)-BC849</f>
        <v>4998.85927189413</v>
      </c>
      <c r="BG849" s="2" t="n">
        <f aca="false">MIN(AV849,BF849)</f>
        <v>1737.15760227329</v>
      </c>
      <c r="BH849" s="2" t="n">
        <f aca="false">IF(AC849&gt;Hypothèses!$J$26,MAX(0,BG849)/(1-Hypothèses!$J$26/AC849),0)</f>
        <v>2453.58085481436</v>
      </c>
    </row>
    <row r="850" customFormat="false" ht="15" hidden="false" customHeight="false" outlineLevel="0" collapsed="false">
      <c r="A850" s="2" t="n">
        <v>835</v>
      </c>
      <c r="B850" s="2" t="n">
        <v>0.679299682</v>
      </c>
      <c r="C850" s="2"/>
      <c r="D850" s="2" t="n">
        <v>0.681649351</v>
      </c>
      <c r="E850" s="2" t="n">
        <f aca="false">IF(E$7=E$5,E$6,IF(NORMSDIST(E$9*SQRT($C$11)*NORMSINV($B850)+SQRT(1-E$9^2*$C$11)*NORMSINV(D850))&lt;E$8,E$5+SQRT(NORMSDIST(E$9*SQRT($C$11)*NORMSINV($B850)+SQRT(1-E$9^2*$C$11)*NORMSINV(D850))*(E$7-E$5)*(E$6-E$5)),E$7-SQRT((1-NORMSDIST(E$9*SQRT($C$11)*NORMSINV($B850)+SQRT(1-E$9^2*$C$11)*NORMSINV(D850)))*(E$7-E$5)*(E$7-E$6))))</f>
        <v>0.0564328319609239</v>
      </c>
      <c r="F850" s="2" t="n">
        <v>0.787247853</v>
      </c>
      <c r="G850" s="2" t="n">
        <f aca="false">IF(G$7=G$5,G$6,IF(NORMSDIST(G$9*SQRT($C$11)*NORMSINV($B850)+SQRT(1-G$9^2*$C$11)*NORMSINV(F850))&lt;G$8,G$5+SQRT(NORMSDIST(G$9*SQRT($C$11)*NORMSINV($B850)+SQRT(1-G$9^2*$C$11)*NORMSINV(F850))*(G$7-G$5)*(G$6-G$5)),G$7-SQRT((1-NORMSDIST(G$9*SQRT($C$11)*NORMSINV($B850)+SQRT(1-G$9^2*$C$11)*NORMSINV(F850)))*(G$7-G$5)*(G$7-G$6))))</f>
        <v>0.0609768889593597</v>
      </c>
      <c r="H850" s="2" t="n">
        <v>0.858059348</v>
      </c>
      <c r="I850" s="2" t="n">
        <f aca="false">IF(I$7=I$5,I$6,IF(NORMSDIST(I$9*SQRT($C$11)*NORMSINV($B850)+SQRT(1-I$9^2*$C$11)*NORMSINV(H850))&lt;I$8,I$5+SQRT(NORMSDIST(I$9*SQRT($C$11)*NORMSINV($B850)+SQRT(1-I$9^2*$C$11)*NORMSINV(H850))*(I$7-I$5)*(I$6-I$5)),I$7-SQRT((1-NORMSDIST(I$9*SQRT($C$11)*NORMSINV($B850)+SQRT(1-I$9^2*$C$11)*NORMSINV(H850)))*(I$7-I$5)*(I$7-I$6))))</f>
        <v>209.787512269195</v>
      </c>
      <c r="J850" s="2" t="n">
        <v>0.627820643</v>
      </c>
      <c r="K850" s="2" t="n">
        <f aca="false">IF(K$7=K$5,K$6,IF(NORMSDIST(K$9*SQRT($C$11)*NORMSINV($B850)+SQRT(1-K$9^2*$C$11)*NORMSINV(J850))&lt;K$8,K$5+SQRT(NORMSDIST(K$9*SQRT($C$11)*NORMSINV($B850)+SQRT(1-K$9^2*$C$11)*NORMSINV(J850))*(K$7-K$5)*(K$6-K$5)),K$7-SQRT((1-NORMSDIST(K$9*SQRT($C$11)*NORMSINV($B850)+SQRT(1-K$9^2*$C$11)*NORMSINV(J850)))*(K$7-K$5)*(K$7-K$6))))</f>
        <v>0.308904778310088</v>
      </c>
      <c r="L850" s="2" t="n">
        <v>0.856718728</v>
      </c>
      <c r="M850" s="2" t="n">
        <f aca="false">IF(M$7=M$5,M$6,IF(NORMSDIST(M$9*SQRT($C$11)*NORMSINV($B850)+SQRT(1-M$9^2*$C$11)*NORMSINV(L850))&lt;M$8,M$5+SQRT(NORMSDIST(M$9*SQRT($C$11)*NORMSINV($B850)+SQRT(1-M$9^2*$C$11)*NORMSINV(L850))*(M$7-M$5)*(M$6-M$5)),M$7-SQRT((1-NORMSDIST(M$9*SQRT($C$11)*NORMSINV($B850)+SQRT(1-M$9^2*$C$11)*NORMSINV(L850)))*(M$7-M$5)*(M$7-M$6))))</f>
        <v>1689.64299778743</v>
      </c>
      <c r="N850" s="2" t="n">
        <v>0.750786293</v>
      </c>
      <c r="O850" s="2" t="n">
        <f aca="false">IF(O$7=O$5,O$6,IF(NORMSDIST(O$9*SQRT($C$11)*NORMSINV($B850)+SQRT(1-O$9^2*$C$11)*NORMSINV(N850))&lt;O$8,O$5+SQRT(NORMSDIST(O$9*SQRT($C$11)*NORMSINV($B850)+SQRT(1-O$9^2*$C$11)*NORMSINV(N850))*(O$7-O$5)*(O$6-O$5)),O$7-SQRT((1-NORMSDIST(O$9*SQRT($C$11)*NORMSINV($B850)+SQRT(1-O$9^2*$C$11)*NORMSINV(N850)))*(O$7-O$5)*(O$7-O$6))))</f>
        <v>0.175172134577536</v>
      </c>
      <c r="P850" s="2" t="n">
        <v>0.577592075</v>
      </c>
      <c r="Q850" s="2" t="n">
        <f aca="false">IF(Q$7=Q$5,Q$6,IF(NORMSDIST(Q$9*SQRT($C$11)*NORMSINV($B850)+SQRT(1-Q$9^2*$C$11)*NORMSINV(P850))&lt;Q$8,Q$5+SQRT(NORMSDIST(Q$9*SQRT($C$11)*NORMSINV($B850)+SQRT(1-Q$9^2*$C$11)*NORMSINV(P850))*(Q$7-Q$5)*(Q$6-Q$5)),Q$7-SQRT((1-NORMSDIST(Q$9*SQRT($C$11)*NORMSINV($B850)+SQRT(1-Q$9^2*$C$11)*NORMSINV(P850)))*(Q$7-Q$5)*(Q$7-Q$6))))</f>
        <v>0.0832344541724184</v>
      </c>
      <c r="R850" s="2" t="n">
        <v>0.066102924</v>
      </c>
      <c r="S850" s="2" t="n">
        <f aca="false">IF(S$7=S$5,S$6,IF(NORMSDIST(S$9*SQRT($C$11)*NORMSINV($B850)+SQRT(1-S$9^2*$C$11)*NORMSINV(R850))&lt;S$8,S$5+SQRT(NORMSDIST(S$9*SQRT($C$11)*NORMSINV($B850)+SQRT(1-S$9^2*$C$11)*NORMSINV(R850))*(S$7-S$5)*(S$6-S$5)),S$7-SQRT((1-NORMSDIST(S$9*SQRT($C$11)*NORMSINV($B850)+SQRT(1-S$9^2*$C$11)*NORMSINV(R850)))*(S$7-S$5)*(S$7-S$6))))</f>
        <v>0.309615281149174</v>
      </c>
      <c r="T850" s="2" t="n">
        <v>0.403323338</v>
      </c>
      <c r="U850" s="2" t="n">
        <f aca="false">IF(U$7=U$5,U$6,IF(NORMSDIST(U$9*SQRT($C$11)*NORMSINV($B850)+SQRT(1-U$9^2*$C$11)*NORMSINV(T850))&lt;U$8,U$5+SQRT(NORMSDIST(U$9*SQRT($C$11)*NORMSINV($B850)+SQRT(1-U$9^2*$C$11)*NORMSINV(T850))*(U$7-U$5)*(U$6-U$5)),U$7-SQRT((1-NORMSDIST(U$9*SQRT($C$11)*NORMSINV($B850)+SQRT(1-U$9^2*$C$11)*NORMSINV(T850)))*(U$7-U$5)*(U$7-U$6))))</f>
        <v>0.521357185192349</v>
      </c>
      <c r="V850" s="2" t="n">
        <v>0.359788622</v>
      </c>
      <c r="W850" s="2" t="n">
        <f aca="false">IF(W$7=W$5,W$6,IF(NORMSDIST(W$9*SQRT($C$11)*NORMSINV($B850)+SQRT(1-W$9^2*$C$11)*NORMSINV(V850))&lt;W$8,W$5+SQRT(NORMSDIST(W$9*SQRT($C$11)*NORMSINV($B850)+SQRT(1-W$9^2*$C$11)*NORMSINV(V850))*(W$7-W$5)*(W$6-W$5)),W$7-SQRT((1-NORMSDIST(W$9*SQRT($C$11)*NORMSINV($B850)+SQRT(1-W$9^2*$C$11)*NORMSINV(V850)))*(W$7-W$5)*(W$7-W$6))))</f>
        <v>10.0131776141934</v>
      </c>
      <c r="X850" s="2" t="n">
        <v>0.620546071</v>
      </c>
      <c r="Y850" s="2" t="n">
        <f aca="false">IF(Y$7=Y$5,Y$6,IF(NORMSDIST(Y$9*SQRT($C$11)*NORMSINV($B850)+SQRT(1-Y$9^2*$C$11)*NORMSINV(X850))&lt;Y$8,Y$5+SQRT(NORMSDIST(Y$9*SQRT($C$11)*NORMSINV($B850)+SQRT(1-Y$9^2*$C$11)*NORMSINV(X850))*(Y$7-Y$5)*(Y$6-Y$5)),Y$7-SQRT((1-NORMSDIST(Y$9*SQRT($C$11)*NORMSINV($B850)+SQRT(1-Y$9^2*$C$11)*NORMSINV(X850)))*(Y$7-Y$5)*(Y$7-Y$6))))</f>
        <v>0.564423411441799</v>
      </c>
      <c r="Z850" s="2" t="n">
        <v>0.928349654</v>
      </c>
      <c r="AA850" s="2" t="n">
        <f aca="false">IF(AA$7=AA$5,AA$6,IF(NORMSDIST(AA$9*SQRT($C$11)*NORMSINV($B850)+SQRT(1-AA$9^2*$C$11)*NORMSINV(Z850))&lt;AA$8,AA$5+SQRT(NORMSDIST(AA$9*SQRT($C$11)*NORMSINV($B850)+SQRT(1-AA$9^2*$C$11)*NORMSINV(Z850))*(AA$7-AA$5)*(AA$6-AA$5)),AA$7-SQRT((1-NORMSDIST(AA$9*SQRT($C$11)*NORMSINV($B850)+SQRT(1-AA$9^2*$C$11)*NORMSINV(Z850)))*(AA$7-AA$5)*(AA$7-AA$6))))</f>
        <v>0.743948001313929</v>
      </c>
      <c r="AB850" s="2" t="n">
        <v>0.486871145</v>
      </c>
      <c r="AC850" s="2" t="n">
        <f aca="false">IF(AC$7=AC$5,AC$6,IF(NORMSDIST(AC$9*SQRT($C$11)*NORMSINV($B850)+SQRT(1-AC$9^2*$C$11)*NORMSINV(AB850))&lt;AC$8,AC$5+SQRT(NORMSDIST(AC$9*SQRT($C$11)*NORMSINV($B850)+SQRT(1-AC$9^2*$C$11)*NORMSINV(AB850))*(AC$7-AC$5)*(AC$6-AC$5)),AC$7-SQRT((1-NORMSDIST(AC$9*SQRT($C$11)*NORMSINV($B850)+SQRT(1-AC$9^2*$C$11)*NORMSINV(AB850)))*(AC$7-AC$5)*(AC$7-AC$6))))</f>
        <v>9.68830922655659</v>
      </c>
      <c r="AD850" s="2" t="n">
        <f aca="false">Entrées!$C$8*(1+E850)</f>
        <v>7447.85146532451</v>
      </c>
      <c r="AE850" s="2" t="n">
        <f aca="false">I850*Hypothèses!$J$24/12/Hypothèses!$J$19</f>
        <v>104.074913385694</v>
      </c>
      <c r="AF850" s="2" t="n">
        <f aca="false">Entrées!$C$36*S850*1000</f>
        <v>154.807640574587</v>
      </c>
      <c r="AG850" s="2" t="n">
        <f aca="false">-AF850/W850</f>
        <v>-15.460390950736</v>
      </c>
      <c r="AH850" s="2" t="n">
        <f aca="false">AD850+AE850+AG850</f>
        <v>7536.46598775947</v>
      </c>
      <c r="AI850" s="2" t="n">
        <f aca="false">Entrées!$C$16-M850+Hypothèses!$J$22*1000-AF850+Hypothèses!$J$23</f>
        <v>22703.549361638</v>
      </c>
      <c r="AJ850" s="2" t="n">
        <f aca="false">AI850/AH850</f>
        <v>3.01249277824812</v>
      </c>
      <c r="AK850" s="2" t="n">
        <f aca="false">AI850/(AH850+I850*(12-Hypothèses!$J$24)/12/Hypothèses!$J$19)</f>
        <v>2.98306798431989</v>
      </c>
      <c r="AL850" s="2" t="n">
        <f aca="false">(AD850+AG850+I850/Hypothèses!$J$19)*(1+G850)</f>
        <v>8074.88843588584</v>
      </c>
      <c r="AM850" s="2" t="n">
        <f aca="false">Entrées!$C$54*K850/Hypothèses!$J$19</f>
        <v>31.525029633894</v>
      </c>
      <c r="AN850" s="2" t="n">
        <f aca="false">Y850*1000/AC850</f>
        <v>58.2581953406958</v>
      </c>
      <c r="AO850" s="2" t="n">
        <f aca="false">(Entrées!$C$36*(1-S850)+MAX(0,Entrées!$C$30-Entrées!$C$35-Entrées!$C$36)*U850)*1000</f>
        <v>1075.0924186947</v>
      </c>
      <c r="AP850" s="2" t="n">
        <f aca="false">-AO850/W850</f>
        <v>-107.367756781902</v>
      </c>
      <c r="AQ850" s="2" t="n">
        <f aca="false">AL850+AM850+AN850+AP850</f>
        <v>8057.30390407852</v>
      </c>
      <c r="AR850" s="2" t="n">
        <f aca="false">O850*AQ850-Hypothèses!$J$25/Hypothèses!$J$19</f>
        <v>1392.27996155572</v>
      </c>
      <c r="AS850" s="2" t="n">
        <f aca="false">Entrées!$C$79*(1+Q850)+Hypothèses!$J$20</f>
        <v>1485.47466513549</v>
      </c>
      <c r="AT850" s="2" t="n">
        <f aca="false">AI850-AR850+AS850+Y850*1000-AO850+Hypothèses!$J$23</f>
        <v>22286.0750579649</v>
      </c>
      <c r="AU850" s="2" t="n">
        <f aca="false">AT850/AQ850</f>
        <v>2.76594693749653</v>
      </c>
      <c r="AV850" s="2" t="n">
        <f aca="false">Hypothèses!$J$26*AQ850-AT850</f>
        <v>1885.83665427072</v>
      </c>
      <c r="AW850" s="2" t="n">
        <f aca="false">IF(AC850&gt;Hypothèses!$J$26,MAX(0,AV850)/(1-Hypothèses!$J$26/AC850),0)</f>
        <v>2731.71709597465</v>
      </c>
      <c r="AX850" s="2" t="n">
        <f aca="false">AQ850-Entrées!$C$17*1000</f>
        <v>57.3039040785234</v>
      </c>
      <c r="AY850" s="2" t="n">
        <f aca="false">AI850+(Entrées!$C$244-Entrées!$C$13)</f>
        <v>28450.549361638</v>
      </c>
      <c r="AZ850" s="2" t="n">
        <f aca="false">AA850*AH850</f>
        <v>5606.73880856407</v>
      </c>
      <c r="BA850" s="2" t="n">
        <f aca="false">AZ850/AY850</f>
        <v>0.197069614976365</v>
      </c>
      <c r="BB850" s="2" t="n">
        <f aca="false">AZ850/(Entrées!$C$151/100)-AY850</f>
        <v>2697.99957482905</v>
      </c>
      <c r="BC850" s="2" t="n">
        <f aca="false">AT850+(Entrées!$C$244-Entrées!$C$13)</f>
        <v>28033.0750579649</v>
      </c>
      <c r="BD850" s="2" t="n">
        <f aca="false">AA850*AQ850</f>
        <v>5994.21513541814</v>
      </c>
      <c r="BE850" s="2" t="n">
        <f aca="false">BD850/BC850</f>
        <v>0.21382652894924</v>
      </c>
      <c r="BF850" s="2" t="n">
        <f aca="false">BD850/(Entrées!$C$151/100)-BC850</f>
        <v>5268.12013880258</v>
      </c>
      <c r="BG850" s="2" t="n">
        <f aca="false">MIN(AV850,BF850)</f>
        <v>1885.83665427072</v>
      </c>
      <c r="BH850" s="2" t="n">
        <f aca="false">IF(AC850&gt;Hypothèses!$J$26,MAX(0,BG850)/(1-Hypothèses!$J$26/AC850),0)</f>
        <v>2731.71709597465</v>
      </c>
    </row>
    <row r="851" customFormat="false" ht="15" hidden="false" customHeight="false" outlineLevel="0" collapsed="false">
      <c r="A851" s="2" t="n">
        <v>836</v>
      </c>
      <c r="B851" s="2" t="n">
        <v>0.549946576</v>
      </c>
      <c r="C851" s="2"/>
      <c r="D851" s="2" t="n">
        <v>0.922403073</v>
      </c>
      <c r="E851" s="2" t="n">
        <f aca="false">IF(E$7=E$5,E$6,IF(NORMSDIST(E$9*SQRT($C$11)*NORMSINV($B851)+SQRT(1-E$9^2*$C$11)*NORMSINV(D851))&lt;E$8,E$5+SQRT(NORMSDIST(E$9*SQRT($C$11)*NORMSINV($B851)+SQRT(1-E$9^2*$C$11)*NORMSINV(D851))*(E$7-E$5)*(E$6-E$5)),E$7-SQRT((1-NORMSDIST(E$9*SQRT($C$11)*NORMSINV($B851)+SQRT(1-E$9^2*$C$11)*NORMSINV(D851)))*(E$7-E$5)*(E$7-E$6))))</f>
        <v>0.0575615912280666</v>
      </c>
      <c r="F851" s="2" t="n">
        <v>0.931864221</v>
      </c>
      <c r="G851" s="2" t="n">
        <f aca="false">IF(G$7=G$5,G$6,IF(NORMSDIST(G$9*SQRT($C$11)*NORMSINV($B851)+SQRT(1-G$9^2*$C$11)*NORMSINV(F851))&lt;G$8,G$5+SQRT(NORMSDIST(G$9*SQRT($C$11)*NORMSINV($B851)+SQRT(1-G$9^2*$C$11)*NORMSINV(F851))*(G$7-G$5)*(G$6-G$5)),G$7-SQRT((1-NORMSDIST(G$9*SQRT($C$11)*NORMSINV($B851)+SQRT(1-G$9^2*$C$11)*NORMSINV(F851)))*(G$7-G$5)*(G$7-G$6))))</f>
        <v>0.0630056437482137</v>
      </c>
      <c r="H851" s="2" t="n">
        <v>0.93293651</v>
      </c>
      <c r="I851" s="2" t="n">
        <f aca="false">IF(I$7=I$5,I$6,IF(NORMSDIST(I$9*SQRT($C$11)*NORMSINV($B851)+SQRT(1-I$9^2*$C$11)*NORMSINV(H851))&lt;I$8,I$5+SQRT(NORMSDIST(I$9*SQRT($C$11)*NORMSINV($B851)+SQRT(1-I$9^2*$C$11)*NORMSINV(H851))*(I$7-I$5)*(I$6-I$5)),I$7-SQRT((1-NORMSDIST(I$9*SQRT($C$11)*NORMSINV($B851)+SQRT(1-I$9^2*$C$11)*NORMSINV(H851)))*(I$7-I$5)*(I$7-I$6))))</f>
        <v>210.724952481212</v>
      </c>
      <c r="J851" s="2" t="n">
        <v>0.002579443</v>
      </c>
      <c r="K851" s="2" t="n">
        <f aca="false">IF(K$7=K$5,K$6,IF(NORMSDIST(K$9*SQRT($C$11)*NORMSINV($B851)+SQRT(1-K$9^2*$C$11)*NORMSINV(J851))&lt;K$8,K$5+SQRT(NORMSDIST(K$9*SQRT($C$11)*NORMSINV($B851)+SQRT(1-K$9^2*$C$11)*NORMSINV(J851))*(K$7-K$5)*(K$6-K$5)),K$7-SQRT((1-NORMSDIST(K$9*SQRT($C$11)*NORMSINV($B851)+SQRT(1-K$9^2*$C$11)*NORMSINV(J851)))*(K$7-K$5)*(K$7-K$6))))</f>
        <v>0.048009133886618</v>
      </c>
      <c r="L851" s="2" t="n">
        <v>0.670755026</v>
      </c>
      <c r="M851" s="2" t="n">
        <f aca="false">IF(M$7=M$5,M$6,IF(NORMSDIST(M$9*SQRT($C$11)*NORMSINV($B851)+SQRT(1-M$9^2*$C$11)*NORMSINV(L851))&lt;M$8,M$5+SQRT(NORMSDIST(M$9*SQRT($C$11)*NORMSINV($B851)+SQRT(1-M$9^2*$C$11)*NORMSINV(L851))*(M$7-M$5)*(M$6-M$5)),M$7-SQRT((1-NORMSDIST(M$9*SQRT($C$11)*NORMSINV($B851)+SQRT(1-M$9^2*$C$11)*NORMSINV(L851)))*(M$7-M$5)*(M$7-M$6))))</f>
        <v>1628.2008546266</v>
      </c>
      <c r="N851" s="2" t="n">
        <v>0.562730515</v>
      </c>
      <c r="O851" s="2" t="n">
        <f aca="false">IF(O$7=O$5,O$6,IF(NORMSDIST(O$9*SQRT($C$11)*NORMSINV($B851)+SQRT(1-O$9^2*$C$11)*NORMSINV(N851))&lt;O$8,O$5+SQRT(NORMSDIST(O$9*SQRT($C$11)*NORMSINV($B851)+SQRT(1-O$9^2*$C$11)*NORMSINV(N851))*(O$7-O$5)*(O$6-O$5)),O$7-SQRT((1-NORMSDIST(O$9*SQRT($C$11)*NORMSINV($B851)+SQRT(1-O$9^2*$C$11)*NORMSINV(N851)))*(O$7-O$5)*(O$7-O$6))))</f>
        <v>0.168846776975741</v>
      </c>
      <c r="P851" s="2" t="n">
        <v>0.070823766</v>
      </c>
      <c r="Q851" s="2" t="n">
        <f aca="false">IF(Q$7=Q$5,Q$6,IF(NORMSDIST(Q$9*SQRT($C$11)*NORMSINV($B851)+SQRT(1-Q$9^2*$C$11)*NORMSINV(P851))&lt;Q$8,Q$5+SQRT(NORMSDIST(Q$9*SQRT($C$11)*NORMSINV($B851)+SQRT(1-Q$9^2*$C$11)*NORMSINV(P851))*(Q$7-Q$5)*(Q$6-Q$5)),Q$7-SQRT((1-NORMSDIST(Q$9*SQRT($C$11)*NORMSINV($B851)+SQRT(1-Q$9^2*$C$11)*NORMSINV(P851)))*(Q$7-Q$5)*(Q$7-Q$6))))</f>
        <v>0.0550544362631086</v>
      </c>
      <c r="R851" s="2" t="n">
        <v>0.712217717</v>
      </c>
      <c r="S851" s="2" t="n">
        <f aca="false">IF(S$7=S$5,S$6,IF(NORMSDIST(S$9*SQRT($C$11)*NORMSINV($B851)+SQRT(1-S$9^2*$C$11)*NORMSINV(R851))&lt;S$8,S$5+SQRT(NORMSDIST(S$9*SQRT($C$11)*NORMSINV($B851)+SQRT(1-S$9^2*$C$11)*NORMSINV(R851))*(S$7-S$5)*(S$6-S$5)),S$7-SQRT((1-NORMSDIST(S$9*SQRT($C$11)*NORMSINV($B851)+SQRT(1-S$9^2*$C$11)*NORMSINV(R851)))*(S$7-S$5)*(S$7-S$6))))</f>
        <v>0.61015893138004</v>
      </c>
      <c r="T851" s="2" t="n">
        <v>0.570143664</v>
      </c>
      <c r="U851" s="2" t="n">
        <f aca="false">IF(U$7=U$5,U$6,IF(NORMSDIST(U$9*SQRT($C$11)*NORMSINV($B851)+SQRT(1-U$9^2*$C$11)*NORMSINV(T851))&lt;U$8,U$5+SQRT(NORMSDIST(U$9*SQRT($C$11)*NORMSINV($B851)+SQRT(1-U$9^2*$C$11)*NORMSINV(T851))*(U$7-U$5)*(U$6-U$5)),U$7-SQRT((1-NORMSDIST(U$9*SQRT($C$11)*NORMSINV($B851)+SQRT(1-U$9^2*$C$11)*NORMSINV(T851)))*(U$7-U$5)*(U$7-U$6))))</f>
        <v>0.544818680444746</v>
      </c>
      <c r="V851" s="2" t="n">
        <v>0.941491755</v>
      </c>
      <c r="W851" s="2" t="n">
        <f aca="false">IF(W$7=W$5,W$6,IF(NORMSDIST(W$9*SQRT($C$11)*NORMSINV($B851)+SQRT(1-W$9^2*$C$11)*NORMSINV(V851))&lt;W$8,W$5+SQRT(NORMSDIST(W$9*SQRT($C$11)*NORMSINV($B851)+SQRT(1-W$9^2*$C$11)*NORMSINV(V851))*(W$7-W$5)*(W$6-W$5)),W$7-SQRT((1-NORMSDIST(W$9*SQRT($C$11)*NORMSINV($B851)+SQRT(1-W$9^2*$C$11)*NORMSINV(V851)))*(W$7-W$5)*(W$7-W$6))))</f>
        <v>11.114934369702</v>
      </c>
      <c r="X851" s="2" t="n">
        <v>0.23266784</v>
      </c>
      <c r="Y851" s="2" t="n">
        <f aca="false">IF(Y$7=Y$5,Y$6,IF(NORMSDIST(Y$9*SQRT($C$11)*NORMSINV($B851)+SQRT(1-Y$9^2*$C$11)*NORMSINV(X851))&lt;Y$8,Y$5+SQRT(NORMSDIST(Y$9*SQRT($C$11)*NORMSINV($B851)+SQRT(1-Y$9^2*$C$11)*NORMSINV(X851))*(Y$7-Y$5)*(Y$6-Y$5)),Y$7-SQRT((1-NORMSDIST(Y$9*SQRT($C$11)*NORMSINV($B851)+SQRT(1-Y$9^2*$C$11)*NORMSINV(X851)))*(Y$7-Y$5)*(Y$7-Y$6))))</f>
        <v>0.341077586481434</v>
      </c>
      <c r="Z851" s="2" t="n">
        <v>0.486737301</v>
      </c>
      <c r="AA851" s="2" t="n">
        <f aca="false">IF(AA$7=AA$5,AA$6,IF(NORMSDIST(AA$9*SQRT($C$11)*NORMSINV($B851)+SQRT(1-AA$9^2*$C$11)*NORMSINV(Z851))&lt;AA$8,AA$5+SQRT(NORMSDIST(AA$9*SQRT($C$11)*NORMSINV($B851)+SQRT(1-AA$9^2*$C$11)*NORMSINV(Z851))*(AA$7-AA$5)*(AA$6-AA$5)),AA$7-SQRT((1-NORMSDIST(AA$9*SQRT($C$11)*NORMSINV($B851)+SQRT(1-AA$9^2*$C$11)*NORMSINV(Z851)))*(AA$7-AA$5)*(AA$7-AA$6))))</f>
        <v>0.72874407872753</v>
      </c>
      <c r="AB851" s="2" t="n">
        <v>0.367878776</v>
      </c>
      <c r="AC851" s="2" t="n">
        <f aca="false">IF(AC$7=AC$5,AC$6,IF(NORMSDIST(AC$9*SQRT($C$11)*NORMSINV($B851)+SQRT(1-AC$9^2*$C$11)*NORMSINV(AB851))&lt;AC$8,AC$5+SQRT(NORMSDIST(AC$9*SQRT($C$11)*NORMSINV($B851)+SQRT(1-AC$9^2*$C$11)*NORMSINV(AB851))*(AC$7-AC$5)*(AC$6-AC$5)),AC$7-SQRT((1-NORMSDIST(AC$9*SQRT($C$11)*NORMSINV($B851)+SQRT(1-AC$9^2*$C$11)*NORMSINV(AB851)))*(AC$7-AC$5)*(AC$7-AC$6))))</f>
        <v>9.32251258815251</v>
      </c>
      <c r="AD851" s="2" t="n">
        <f aca="false">Entrées!$C$8*(1+E851)</f>
        <v>7455.80921815787</v>
      </c>
      <c r="AE851" s="2" t="n">
        <f aca="false">I851*Hypothèses!$J$24/12/Hypothèses!$J$19</f>
        <v>104.539974474481</v>
      </c>
      <c r="AF851" s="2" t="n">
        <f aca="false">Entrées!$C$36*S851*1000</f>
        <v>305.07946569002</v>
      </c>
      <c r="AG851" s="2" t="n">
        <f aca="false">-AF851/W851</f>
        <v>-27.4477073406417</v>
      </c>
      <c r="AH851" s="2" t="n">
        <f aca="false">AD851+AE851+AG851</f>
        <v>7532.90148529171</v>
      </c>
      <c r="AI851" s="2" t="n">
        <f aca="false">Entrées!$C$16-M851+Hypothèses!$J$22*1000-AF851+Hypothèses!$J$23</f>
        <v>22614.7196796834</v>
      </c>
      <c r="AJ851" s="2" t="n">
        <f aca="false">AI851/AH851</f>
        <v>3.00212603653977</v>
      </c>
      <c r="AK851" s="2" t="n">
        <f aca="false">AI851/(AH851+I851*(12-Hypothèses!$J$24)/12/Hypothèses!$J$19)</f>
        <v>2.97265895311658</v>
      </c>
      <c r="AL851" s="2" t="n">
        <f aca="false">(AD851+AG851+I851/Hypothèses!$J$19)*(1+G851)</f>
        <v>8086.89292328129</v>
      </c>
      <c r="AM851" s="2" t="n">
        <f aca="false">Entrées!$C$54*K851/Hypothèses!$J$19</f>
        <v>4.89953369045633</v>
      </c>
      <c r="AN851" s="2" t="n">
        <f aca="false">Y851*1000/AC851</f>
        <v>36.5864441861834</v>
      </c>
      <c r="AO851" s="2" t="n">
        <f aca="false">(Entrées!$C$36*(1-S851)+MAX(0,Entrées!$C$30-Entrées!$C$35-Entrées!$C$36)*U851)*1000</f>
        <v>957.666686932625</v>
      </c>
      <c r="AP851" s="2" t="n">
        <f aca="false">-AO851/W851</f>
        <v>-86.1603546254947</v>
      </c>
      <c r="AQ851" s="2" t="n">
        <f aca="false">AL851+AM851+AN851+AP851</f>
        <v>8042.21854653244</v>
      </c>
      <c r="AR851" s="2" t="n">
        <f aca="false">O851*AQ851-Hypothèses!$J$25/Hypothèses!$J$19</f>
        <v>1338.7675190549</v>
      </c>
      <c r="AS851" s="2" t="n">
        <f aca="false">Entrées!$C$79*(1+Q851)+Hypothèses!$J$20</f>
        <v>1454.50482545316</v>
      </c>
      <c r="AT851" s="2" t="n">
        <f aca="false">AI851-AR851+AS851+Y851*1000-AO851+Hypothèses!$J$23</f>
        <v>22113.8678856304</v>
      </c>
      <c r="AU851" s="2" t="n">
        <f aca="false">AT851/AQ851</f>
        <v>2.7497223257089</v>
      </c>
      <c r="AV851" s="2" t="n">
        <f aca="false">Hypothèses!$J$26*AQ851-AT851</f>
        <v>2012.78775396688</v>
      </c>
      <c r="AW851" s="2" t="n">
        <f aca="false">IF(AC851&gt;Hypothèses!$J$26,MAX(0,AV851)/(1-Hypothèses!$J$26/AC851),0)</f>
        <v>2967.84528492627</v>
      </c>
      <c r="AX851" s="2" t="n">
        <f aca="false">AQ851-Entrées!$C$17*1000</f>
        <v>42.2185465324392</v>
      </c>
      <c r="AY851" s="2" t="n">
        <f aca="false">AI851+(Entrées!$C$244-Entrées!$C$13)</f>
        <v>28361.7196796834</v>
      </c>
      <c r="AZ851" s="2" t="n">
        <f aca="false">AA851*AH851</f>
        <v>5489.55735304415</v>
      </c>
      <c r="BA851" s="2" t="n">
        <f aca="false">AZ851/AY851</f>
        <v>0.193555165731947</v>
      </c>
      <c r="BB851" s="2" t="n">
        <f aca="false">AZ851/(Entrées!$C$151/100)-AY851</f>
        <v>2135.82117056191</v>
      </c>
      <c r="BC851" s="2" t="n">
        <f aca="false">AT851+(Entrées!$C$244-Entrées!$C$13)</f>
        <v>27860.8678856304</v>
      </c>
      <c r="BD851" s="2" t="n">
        <f aca="false">AA851*AQ851</f>
        <v>5860.71914561824</v>
      </c>
      <c r="BE851" s="2" t="n">
        <f aca="false">BD851/BC851</f>
        <v>0.210356661166358</v>
      </c>
      <c r="BF851" s="2" t="n">
        <f aca="false">BD851/(Entrées!$C$151/100)-BC851</f>
        <v>4698.68292335978</v>
      </c>
      <c r="BG851" s="2" t="n">
        <f aca="false">MIN(AV851,BF851)</f>
        <v>2012.78775396688</v>
      </c>
      <c r="BH851" s="2" t="n">
        <f aca="false">IF(AC851&gt;Hypothèses!$J$26,MAX(0,BG851)/(1-Hypothèses!$J$26/AC851),0)</f>
        <v>2967.84528492627</v>
      </c>
    </row>
    <row r="852" customFormat="false" ht="15" hidden="false" customHeight="false" outlineLevel="0" collapsed="false">
      <c r="A852" s="2" t="n">
        <v>837</v>
      </c>
      <c r="B852" s="2" t="n">
        <v>0.700219443</v>
      </c>
      <c r="C852" s="2"/>
      <c r="D852" s="2" t="n">
        <v>0.84944578</v>
      </c>
      <c r="E852" s="2" t="n">
        <f aca="false">IF(E$7=E$5,E$6,IF(NORMSDIST(E$9*SQRT($C$11)*NORMSINV($B852)+SQRT(1-E$9^2*$C$11)*NORMSINV(D852))&lt;E$8,E$5+SQRT(NORMSDIST(E$9*SQRT($C$11)*NORMSINV($B852)+SQRT(1-E$9^2*$C$11)*NORMSINV(D852))*(E$7-E$5)*(E$6-E$5)),E$7-SQRT((1-NORMSDIST(E$9*SQRT($C$11)*NORMSINV($B852)+SQRT(1-E$9^2*$C$11)*NORMSINV(D852)))*(E$7-E$5)*(E$7-E$6))))</f>
        <v>0.0574642642079918</v>
      </c>
      <c r="F852" s="2" t="n">
        <v>0.958437066</v>
      </c>
      <c r="G852" s="2" t="n">
        <f aca="false">IF(G$7=G$5,G$6,IF(NORMSDIST(G$9*SQRT($C$11)*NORMSINV($B852)+SQRT(1-G$9^2*$C$11)*NORMSINV(F852))&lt;G$8,G$5+SQRT(NORMSDIST(G$9*SQRT($C$11)*NORMSINV($B852)+SQRT(1-G$9^2*$C$11)*NORMSINV(F852))*(G$7-G$5)*(G$6-G$5)),G$7-SQRT((1-NORMSDIST(G$9*SQRT($C$11)*NORMSINV($B852)+SQRT(1-G$9^2*$C$11)*NORMSINV(F852)))*(G$7-G$5)*(G$7-G$6))))</f>
        <v>0.065399352249274</v>
      </c>
      <c r="H852" s="2" t="n">
        <v>0.217725483</v>
      </c>
      <c r="I852" s="2" t="n">
        <f aca="false">IF(I$7=I$5,I$6,IF(NORMSDIST(I$9*SQRT($C$11)*NORMSINV($B852)+SQRT(1-I$9^2*$C$11)*NORMSINV(H852))&lt;I$8,I$5+SQRT(NORMSDIST(I$9*SQRT($C$11)*NORMSINV($B852)+SQRT(1-I$9^2*$C$11)*NORMSINV(H852))*(I$7-I$5)*(I$6-I$5)),I$7-SQRT((1-NORMSDIST(I$9*SQRT($C$11)*NORMSINV($B852)+SQRT(1-I$9^2*$C$11)*NORMSINV(H852)))*(I$7-I$5)*(I$7-I$6))))</f>
        <v>197.726655790888</v>
      </c>
      <c r="J852" s="2" t="n">
        <v>0.627922375</v>
      </c>
      <c r="K852" s="2" t="n">
        <f aca="false">IF(K$7=K$5,K$6,IF(NORMSDIST(K$9*SQRT($C$11)*NORMSINV($B852)+SQRT(1-K$9^2*$C$11)*NORMSINV(J852))&lt;K$8,K$5+SQRT(NORMSDIST(K$9*SQRT($C$11)*NORMSINV($B852)+SQRT(1-K$9^2*$C$11)*NORMSINV(J852))*(K$7-K$5)*(K$6-K$5)),K$7-SQRT((1-NORMSDIST(K$9*SQRT($C$11)*NORMSINV($B852)+SQRT(1-K$9^2*$C$11)*NORMSINV(J852)))*(K$7-K$5)*(K$7-K$6))))</f>
        <v>0.313143374432193</v>
      </c>
      <c r="L852" s="2" t="n">
        <v>0.175459732</v>
      </c>
      <c r="M852" s="2" t="n">
        <f aca="false">IF(M$7=M$5,M$6,IF(NORMSDIST(M$9*SQRT($C$11)*NORMSINV($B852)+SQRT(1-M$9^2*$C$11)*NORMSINV(L852))&lt;M$8,M$5+SQRT(NORMSDIST(M$9*SQRT($C$11)*NORMSINV($B852)+SQRT(1-M$9^2*$C$11)*NORMSINV(L852))*(M$7-M$5)*(M$6-M$5)),M$7-SQRT((1-NORMSDIST(M$9*SQRT($C$11)*NORMSINV($B852)+SQRT(1-M$9^2*$C$11)*NORMSINV(L852)))*(M$7-M$5)*(M$7-M$6))))</f>
        <v>1538.61852976389</v>
      </c>
      <c r="N852" s="2" t="n">
        <v>0.681408123</v>
      </c>
      <c r="O852" s="2" t="n">
        <f aca="false">IF(O$7=O$5,O$6,IF(NORMSDIST(O$9*SQRT($C$11)*NORMSINV($B852)+SQRT(1-O$9^2*$C$11)*NORMSINV(N852))&lt;O$8,O$5+SQRT(NORMSDIST(O$9*SQRT($C$11)*NORMSINV($B852)+SQRT(1-O$9^2*$C$11)*NORMSINV(N852))*(O$7-O$5)*(O$6-O$5)),O$7-SQRT((1-NORMSDIST(O$9*SQRT($C$11)*NORMSINV($B852)+SQRT(1-O$9^2*$C$11)*NORMSINV(N852)))*(O$7-O$5)*(O$7-O$6))))</f>
        <v>0.173918825912937</v>
      </c>
      <c r="P852" s="2" t="n">
        <v>0.45904385</v>
      </c>
      <c r="Q852" s="2" t="n">
        <f aca="false">IF(Q$7=Q$5,Q$6,IF(NORMSDIST(Q$9*SQRT($C$11)*NORMSINV($B852)+SQRT(1-Q$9^2*$C$11)*NORMSINV(P852))&lt;Q$8,Q$5+SQRT(NORMSDIST(Q$9*SQRT($C$11)*NORMSINV($B852)+SQRT(1-Q$9^2*$C$11)*NORMSINV(P852))*(Q$7-Q$5)*(Q$6-Q$5)),Q$7-SQRT((1-NORMSDIST(Q$9*SQRT($C$11)*NORMSINV($B852)+SQRT(1-Q$9^2*$C$11)*NORMSINV(P852)))*(Q$7-Q$5)*(Q$7-Q$6))))</f>
        <v>0.078326757233035</v>
      </c>
      <c r="R852" s="2" t="n">
        <v>0.527495875</v>
      </c>
      <c r="S852" s="2" t="n">
        <f aca="false">IF(S$7=S$5,S$6,IF(NORMSDIST(S$9*SQRT($C$11)*NORMSINV($B852)+SQRT(1-S$9^2*$C$11)*NORMSINV(R852))&lt;S$8,S$5+SQRT(NORMSDIST(S$9*SQRT($C$11)*NORMSINV($B852)+SQRT(1-S$9^2*$C$11)*NORMSINV(R852))*(S$7-S$5)*(S$6-S$5)),S$7-SQRT((1-NORMSDIST(S$9*SQRT($C$11)*NORMSINV($B852)+SQRT(1-S$9^2*$C$11)*NORMSINV(R852)))*(S$7-S$5)*(S$7-S$6))))</f>
        <v>0.581707133731644</v>
      </c>
      <c r="T852" s="2" t="n">
        <v>0.587898412</v>
      </c>
      <c r="U852" s="2" t="n">
        <f aca="false">IF(U$7=U$5,U$6,IF(NORMSDIST(U$9*SQRT($C$11)*NORMSINV($B852)+SQRT(1-U$9^2*$C$11)*NORMSINV(T852))&lt;U$8,U$5+SQRT(NORMSDIST(U$9*SQRT($C$11)*NORMSINV($B852)+SQRT(1-U$9^2*$C$11)*NORMSINV(T852))*(U$7-U$5)*(U$6-U$5)),U$7-SQRT((1-NORMSDIST(U$9*SQRT($C$11)*NORMSINV($B852)+SQRT(1-U$9^2*$C$11)*NORMSINV(T852)))*(U$7-U$5)*(U$7-U$6))))</f>
        <v>0.608154965177437</v>
      </c>
      <c r="V852" s="2" t="n">
        <v>0.29428019</v>
      </c>
      <c r="W852" s="2" t="n">
        <f aca="false">IF(W$7=W$5,W$6,IF(NORMSDIST(W$9*SQRT($C$11)*NORMSINV($B852)+SQRT(1-W$9^2*$C$11)*NORMSINV(V852))&lt;W$8,W$5+SQRT(NORMSDIST(W$9*SQRT($C$11)*NORMSINV($B852)+SQRT(1-W$9^2*$C$11)*NORMSINV(V852))*(W$7-W$5)*(W$6-W$5)),W$7-SQRT((1-NORMSDIST(W$9*SQRT($C$11)*NORMSINV($B852)+SQRT(1-W$9^2*$C$11)*NORMSINV(V852)))*(W$7-W$5)*(W$7-W$6))))</f>
        <v>9.92947725030946</v>
      </c>
      <c r="X852" s="2" t="n">
        <v>0.770957201</v>
      </c>
      <c r="Y852" s="2" t="n">
        <f aca="false">IF(Y$7=Y$5,Y$6,IF(NORMSDIST(Y$9*SQRT($C$11)*NORMSINV($B852)+SQRT(1-Y$9^2*$C$11)*NORMSINV(X852))&lt;Y$8,Y$5+SQRT(NORMSDIST(Y$9*SQRT($C$11)*NORMSINV($B852)+SQRT(1-Y$9^2*$C$11)*NORMSINV(X852))*(Y$7-Y$5)*(Y$6-Y$5)),Y$7-SQRT((1-NORMSDIST(Y$9*SQRT($C$11)*NORMSINV($B852)+SQRT(1-Y$9^2*$C$11)*NORMSINV(X852)))*(Y$7-Y$5)*(Y$7-Y$6))))</f>
        <v>0.66158989450668</v>
      </c>
      <c r="Z852" s="2" t="n">
        <v>0.170972035</v>
      </c>
      <c r="AA852" s="2" t="n">
        <f aca="false">IF(AA$7=AA$5,AA$6,IF(NORMSDIST(AA$9*SQRT($C$11)*NORMSINV($B852)+SQRT(1-AA$9^2*$C$11)*NORMSINV(Z852))&lt;AA$8,AA$5+SQRT(NORMSDIST(AA$9*SQRT($C$11)*NORMSINV($B852)+SQRT(1-AA$9^2*$C$11)*NORMSINV(Z852))*(AA$7-AA$5)*(AA$6-AA$5)),AA$7-SQRT((1-NORMSDIST(AA$9*SQRT($C$11)*NORMSINV($B852)+SQRT(1-AA$9^2*$C$11)*NORMSINV(Z852)))*(AA$7-AA$5)*(AA$7-AA$6))))</f>
        <v>0.722432928841544</v>
      </c>
      <c r="AB852" s="2" t="n">
        <v>0.098321057</v>
      </c>
      <c r="AC852" s="2" t="n">
        <f aca="false">IF(AC$7=AC$5,AC$6,IF(NORMSDIST(AC$9*SQRT($C$11)*NORMSINV($B852)+SQRT(1-AC$9^2*$C$11)*NORMSINV(AB852))&lt;AC$8,AC$5+SQRT(NORMSDIST(AC$9*SQRT($C$11)*NORMSINV($B852)+SQRT(1-AC$9^2*$C$11)*NORMSINV(AB852))*(AC$7-AC$5)*(AC$6-AC$5)),AC$7-SQRT((1-NORMSDIST(AC$9*SQRT($C$11)*NORMSINV($B852)+SQRT(1-AC$9^2*$C$11)*NORMSINV(AB852)))*(AC$7-AC$5)*(AC$7-AC$6))))</f>
        <v>8.87567928567056</v>
      </c>
      <c r="AD852" s="2" t="n">
        <f aca="false">Entrées!$C$8*(1+E852)</f>
        <v>7455.12306266634</v>
      </c>
      <c r="AE852" s="2" t="n">
        <f aca="false">I852*Hypothèses!$J$24/12/Hypothèses!$J$19</f>
        <v>98.0915610890782</v>
      </c>
      <c r="AF852" s="2" t="n">
        <f aca="false">Entrées!$C$36*S852*1000</f>
        <v>290.853566865822</v>
      </c>
      <c r="AG852" s="2" t="n">
        <f aca="false">-AF852/W852</f>
        <v>-29.2919314414822</v>
      </c>
      <c r="AH852" s="2" t="n">
        <f aca="false">AD852+AE852+AG852</f>
        <v>7523.92269231394</v>
      </c>
      <c r="AI852" s="2" t="n">
        <f aca="false">Entrées!$C$16-M852+Hypothèses!$J$22*1000-AF852+Hypothèses!$J$23</f>
        <v>22718.5279033703</v>
      </c>
      <c r="AJ852" s="2" t="n">
        <f aca="false">AI852/AH852</f>
        <v>3.01950575948613</v>
      </c>
      <c r="AK852" s="2" t="n">
        <f aca="false">AI852/(AH852+I852*(12-Hypothèses!$J$24)/12/Hypothèses!$J$19)</f>
        <v>2.99164650047806</v>
      </c>
      <c r="AL852" s="2" t="n">
        <f aca="false">(AD852+AG852+I852/Hypothèses!$J$19)*(1+G852)</f>
        <v>8090.62999536876</v>
      </c>
      <c r="AM852" s="2" t="n">
        <f aca="false">Entrées!$C$54*K852/Hypothèses!$J$19</f>
        <v>31.9575961648699</v>
      </c>
      <c r="AN852" s="2" t="n">
        <f aca="false">Y852*1000/AC852</f>
        <v>74.5396350197997</v>
      </c>
      <c r="AO852" s="2" t="n">
        <f aca="false">(Entrées!$C$36*(1-S852)+MAX(0,Entrées!$C$30-Entrées!$C$35-Entrées!$C$36)*U852)*1000</f>
        <v>1060.56338438259</v>
      </c>
      <c r="AP852" s="2" t="n">
        <f aca="false">-AO852/W852</f>
        <v>-106.809589029426</v>
      </c>
      <c r="AQ852" s="2" t="n">
        <f aca="false">AL852+AM852+AN852+AP852</f>
        <v>8090.317637524</v>
      </c>
      <c r="AR852" s="2" t="n">
        <f aca="false">O852*AQ852-Hypothèses!$J$25/Hypothèses!$J$19</f>
        <v>1387.92338251927</v>
      </c>
      <c r="AS852" s="2" t="n">
        <f aca="false">Entrées!$C$79*(1+Q852)+Hypothèses!$J$20</f>
        <v>1480.08110619911</v>
      </c>
      <c r="AT852" s="2" t="n">
        <f aca="false">AI852-AR852+AS852+Y852*1000-AO852+Hypothèses!$J$23</f>
        <v>22411.7121371742</v>
      </c>
      <c r="AU852" s="2" t="n">
        <f aca="false">AT852/AQ852</f>
        <v>2.77018939691881</v>
      </c>
      <c r="AV852" s="2" t="n">
        <f aca="false">Hypothèses!$J$26*AQ852-AT852</f>
        <v>1859.24077539779</v>
      </c>
      <c r="AW852" s="2" t="n">
        <f aca="false">IF(AC852&gt;Hypothèses!$J$26,MAX(0,AV852)/(1-Hypothèses!$J$26/AC852),0)</f>
        <v>2808.53056046079</v>
      </c>
      <c r="AX852" s="2" t="n">
        <f aca="false">AQ852-Entrées!$C$17*1000</f>
        <v>90.317637524</v>
      </c>
      <c r="AY852" s="2" t="n">
        <f aca="false">AI852+(Entrées!$C$244-Entrées!$C$13)</f>
        <v>28465.5279033703</v>
      </c>
      <c r="AZ852" s="2" t="n">
        <f aca="false">AA852*AH852</f>
        <v>5435.52950698572</v>
      </c>
      <c r="BA852" s="2" t="n">
        <f aca="false">AZ852/AY852</f>
        <v>0.190951298196095</v>
      </c>
      <c r="BB852" s="2" t="n">
        <f aca="false">AZ852/(Entrées!$C$151/100)-AY852</f>
        <v>1731.85824655036</v>
      </c>
      <c r="BC852" s="2" t="n">
        <f aca="false">AT852+(Entrées!$C$244-Entrées!$C$13)</f>
        <v>28158.7121371742</v>
      </c>
      <c r="BD852" s="2" t="n">
        <f aca="false">AA852*AQ852</f>
        <v>5844.71186613487</v>
      </c>
      <c r="BE852" s="2" t="n">
        <f aca="false">BD852/BC852</f>
        <v>0.207563181073856</v>
      </c>
      <c r="BF852" s="2" t="n">
        <f aca="false">BD852/(Entrées!$C$151/100)-BC852</f>
        <v>4311.90934135283</v>
      </c>
      <c r="BG852" s="2" t="n">
        <f aca="false">MIN(AV852,BF852)</f>
        <v>1859.24077539779</v>
      </c>
      <c r="BH852" s="2" t="n">
        <f aca="false">IF(AC852&gt;Hypothèses!$J$26,MAX(0,BG852)/(1-Hypothèses!$J$26/AC852),0)</f>
        <v>2808.53056046079</v>
      </c>
    </row>
    <row r="853" customFormat="false" ht="15" hidden="false" customHeight="false" outlineLevel="0" collapsed="false">
      <c r="A853" s="2" t="n">
        <v>838</v>
      </c>
      <c r="B853" s="2" t="n">
        <v>0.108874247</v>
      </c>
      <c r="C853" s="2"/>
      <c r="D853" s="2" t="n">
        <v>0.423432629</v>
      </c>
      <c r="E853" s="2" t="n">
        <f aca="false">IF(E$7=E$5,E$6,IF(NORMSDIST(E$9*SQRT($C$11)*NORMSINV($B853)+SQRT(1-E$9^2*$C$11)*NORMSINV(D853))&lt;E$8,E$5+SQRT(NORMSDIST(E$9*SQRT($C$11)*NORMSINV($B853)+SQRT(1-E$9^2*$C$11)*NORMSINV(D853))*(E$7-E$5)*(E$6-E$5)),E$7-SQRT((1-NORMSDIST(E$9*SQRT($C$11)*NORMSINV($B853)+SQRT(1-E$9^2*$C$11)*NORMSINV(D853)))*(E$7-E$5)*(E$7-E$6))))</f>
        <v>0.0529699730670767</v>
      </c>
      <c r="F853" s="2" t="n">
        <v>0.641433969</v>
      </c>
      <c r="G853" s="2" t="n">
        <f aca="false">IF(G$7=G$5,G$6,IF(NORMSDIST(G$9*SQRT($C$11)*NORMSINV($B853)+SQRT(1-G$9^2*$C$11)*NORMSINV(F853))&lt;G$8,G$5+SQRT(NORMSDIST(G$9*SQRT($C$11)*NORMSINV($B853)+SQRT(1-G$9^2*$C$11)*NORMSINV(F853))*(G$7-G$5)*(G$6-G$5)),G$7-SQRT((1-NORMSDIST(G$9*SQRT($C$11)*NORMSINV($B853)+SQRT(1-G$9^2*$C$11)*NORMSINV(F853)))*(G$7-G$5)*(G$7-G$6))))</f>
        <v>0.0517905611943634</v>
      </c>
      <c r="H853" s="2" t="n">
        <v>0.01523251</v>
      </c>
      <c r="I853" s="2" t="n">
        <f aca="false">IF(I$7=I$5,I$6,IF(NORMSDIST(I$9*SQRT($C$11)*NORMSINV($B853)+SQRT(1-I$9^2*$C$11)*NORMSINV(H853))&lt;I$8,I$5+SQRT(NORMSDIST(I$9*SQRT($C$11)*NORMSINV($B853)+SQRT(1-I$9^2*$C$11)*NORMSINV(H853))*(I$7-I$5)*(I$6-I$5)),I$7-SQRT((1-NORMSDIST(I$9*SQRT($C$11)*NORMSINV($B853)+SQRT(1-I$9^2*$C$11)*NORMSINV(H853)))*(I$7-I$5)*(I$7-I$6))))</f>
        <v>182.371436158078</v>
      </c>
      <c r="J853" s="2" t="n">
        <v>0.550350569</v>
      </c>
      <c r="K853" s="2" t="n">
        <f aca="false">IF(K$7=K$5,K$6,IF(NORMSDIST(K$9*SQRT($C$11)*NORMSINV($B853)+SQRT(1-K$9^2*$C$11)*NORMSINV(J853))&lt;K$8,K$5+SQRT(NORMSDIST(K$9*SQRT($C$11)*NORMSINV($B853)+SQRT(1-K$9^2*$C$11)*NORMSINV(J853))*(K$7-K$5)*(K$6-K$5)),K$7-SQRT((1-NORMSDIST(K$9*SQRT($C$11)*NORMSINV($B853)+SQRT(1-K$9^2*$C$11)*NORMSINV(J853)))*(K$7-K$5)*(K$7-K$6))))</f>
        <v>0.175988976189465</v>
      </c>
      <c r="L853" s="2" t="n">
        <v>0.540773769</v>
      </c>
      <c r="M853" s="2" t="n">
        <f aca="false">IF(M$7=M$5,M$6,IF(NORMSDIST(M$9*SQRT($C$11)*NORMSINV($B853)+SQRT(1-M$9^2*$C$11)*NORMSINV(L853))&lt;M$8,M$5+SQRT(NORMSDIST(M$9*SQRT($C$11)*NORMSINV($B853)+SQRT(1-M$9^2*$C$11)*NORMSINV(L853))*(M$7-M$5)*(M$6-M$5)),M$7-SQRT((1-NORMSDIST(M$9*SQRT($C$11)*NORMSINV($B853)+SQRT(1-M$9^2*$C$11)*NORMSINV(L853)))*(M$7-M$5)*(M$7-M$6))))</f>
        <v>1499.45030641573</v>
      </c>
      <c r="N853" s="2" t="n">
        <v>0.866146925</v>
      </c>
      <c r="O853" s="2" t="n">
        <f aca="false">IF(O$7=O$5,O$6,IF(NORMSDIST(O$9*SQRT($C$11)*NORMSINV($B853)+SQRT(1-O$9^2*$C$11)*NORMSINV(N853))&lt;O$8,O$5+SQRT(NORMSDIST(O$9*SQRT($C$11)*NORMSINV($B853)+SQRT(1-O$9^2*$C$11)*NORMSINV(N853))*(O$7-O$5)*(O$6-O$5)),O$7-SQRT((1-NORMSDIST(O$9*SQRT($C$11)*NORMSINV($B853)+SQRT(1-O$9^2*$C$11)*NORMSINV(N853)))*(O$7-O$5)*(O$7-O$6))))</f>
        <v>0.167614972647578</v>
      </c>
      <c r="P853" s="2" t="n">
        <v>0.226514071</v>
      </c>
      <c r="Q853" s="2" t="n">
        <f aca="false">IF(Q$7=Q$5,Q$6,IF(NORMSDIST(Q$9*SQRT($C$11)*NORMSINV($B853)+SQRT(1-Q$9^2*$C$11)*NORMSINV(P853))&lt;Q$8,Q$5+SQRT(NORMSDIST(Q$9*SQRT($C$11)*NORMSINV($B853)+SQRT(1-Q$9^2*$C$11)*NORMSINV(P853))*(Q$7-Q$5)*(Q$6-Q$5)),Q$7-SQRT((1-NORMSDIST(Q$9*SQRT($C$11)*NORMSINV($B853)+SQRT(1-Q$9^2*$C$11)*NORMSINV(P853)))*(Q$7-Q$5)*(Q$7-Q$6))))</f>
        <v>0.0669229461092207</v>
      </c>
      <c r="R853" s="2" t="n">
        <v>0.750849276</v>
      </c>
      <c r="S853" s="2" t="n">
        <f aca="false">IF(S$7=S$5,S$6,IF(NORMSDIST(S$9*SQRT($C$11)*NORMSINV($B853)+SQRT(1-S$9^2*$C$11)*NORMSINV(R853))&lt;S$8,S$5+SQRT(NORMSDIST(S$9*SQRT($C$11)*NORMSINV($B853)+SQRT(1-S$9^2*$C$11)*NORMSINV(R853))*(S$7-S$5)*(S$6-S$5)),S$7-SQRT((1-NORMSDIST(S$9*SQRT($C$11)*NORMSINV($B853)+SQRT(1-S$9^2*$C$11)*NORMSINV(R853)))*(S$7-S$5)*(S$7-S$6))))</f>
        <v>0.446857540542247</v>
      </c>
      <c r="T853" s="2" t="n">
        <v>0.751534026</v>
      </c>
      <c r="U853" s="2" t="n">
        <f aca="false">IF(U$7=U$5,U$6,IF(NORMSDIST(U$9*SQRT($C$11)*NORMSINV($B853)+SQRT(1-U$9^2*$C$11)*NORMSINV(T853))&lt;U$8,U$5+SQRT(NORMSDIST(U$9*SQRT($C$11)*NORMSINV($B853)+SQRT(1-U$9^2*$C$11)*NORMSINV(T853))*(U$7-U$5)*(U$6-U$5)),U$7-SQRT((1-NORMSDIST(U$9*SQRT($C$11)*NORMSINV($B853)+SQRT(1-U$9^2*$C$11)*NORMSINV(T853)))*(U$7-U$5)*(U$7-U$6))))</f>
        <v>0.447219006337549</v>
      </c>
      <c r="V853" s="2" t="n">
        <v>0.136237431</v>
      </c>
      <c r="W853" s="2" t="n">
        <f aca="false">IF(W$7=W$5,W$6,IF(NORMSDIST(W$9*SQRT($C$11)*NORMSINV($B853)+SQRT(1-W$9^2*$C$11)*NORMSINV(V853))&lt;W$8,W$5+SQRT(NORMSDIST(W$9*SQRT($C$11)*NORMSINV($B853)+SQRT(1-W$9^2*$C$11)*NORMSINV(V853))*(W$7-W$5)*(W$6-W$5)),W$7-SQRT((1-NORMSDIST(W$9*SQRT($C$11)*NORMSINV($B853)+SQRT(1-W$9^2*$C$11)*NORMSINV(V853)))*(W$7-W$5)*(W$7-W$6))))</f>
        <v>8.64248293790436</v>
      </c>
      <c r="X853" s="2" t="n">
        <v>0.057760534</v>
      </c>
      <c r="Y853" s="2" t="n">
        <f aca="false">IF(Y$7=Y$5,Y$6,IF(NORMSDIST(Y$9*SQRT($C$11)*NORMSINV($B853)+SQRT(1-Y$9^2*$C$11)*NORMSINV(X853))&lt;Y$8,Y$5+SQRT(NORMSDIST(Y$9*SQRT($C$11)*NORMSINV($B853)+SQRT(1-Y$9^2*$C$11)*NORMSINV(X853))*(Y$7-Y$5)*(Y$6-Y$5)),Y$7-SQRT((1-NORMSDIST(Y$9*SQRT($C$11)*NORMSINV($B853)+SQRT(1-Y$9^2*$C$11)*NORMSINV(X853)))*(Y$7-Y$5)*(Y$7-Y$6))))</f>
        <v>0.169941951854155</v>
      </c>
      <c r="Z853" s="2" t="n">
        <v>0.346266029</v>
      </c>
      <c r="AA853" s="2" t="n">
        <f aca="false">IF(AA$7=AA$5,AA$6,IF(NORMSDIST(AA$9*SQRT($C$11)*NORMSINV($B853)+SQRT(1-AA$9^2*$C$11)*NORMSINV(Z853))&lt;AA$8,AA$5+SQRT(NORMSDIST(AA$9*SQRT($C$11)*NORMSINV($B853)+SQRT(1-AA$9^2*$C$11)*NORMSINV(Z853))*(AA$7-AA$5)*(AA$6-AA$5)),AA$7-SQRT((1-NORMSDIST(AA$9*SQRT($C$11)*NORMSINV($B853)+SQRT(1-AA$9^2*$C$11)*NORMSINV(Z853)))*(AA$7-AA$5)*(AA$7-AA$6))))</f>
        <v>0.712563784810006</v>
      </c>
      <c r="AB853" s="2" t="n">
        <v>0.75217881</v>
      </c>
      <c r="AC853" s="2" t="n">
        <f aca="false">IF(AC$7=AC$5,AC$6,IF(NORMSDIST(AC$9*SQRT($C$11)*NORMSINV($B853)+SQRT(1-AC$9^2*$C$11)*NORMSINV(AB853))&lt;AC$8,AC$5+SQRT(NORMSDIST(AC$9*SQRT($C$11)*NORMSINV($B853)+SQRT(1-AC$9^2*$C$11)*NORMSINV(AB853))*(AC$7-AC$5)*(AC$6-AC$5)),AC$7-SQRT((1-NORMSDIST(AC$9*SQRT($C$11)*NORMSINV($B853)+SQRT(1-AC$9^2*$C$11)*NORMSINV(AB853)))*(AC$7-AC$5)*(AC$7-AC$6))))</f>
        <v>9.26047087390993</v>
      </c>
      <c r="AD853" s="2" t="n">
        <f aca="false">Entrées!$C$8*(1+E853)</f>
        <v>7423.43831012289</v>
      </c>
      <c r="AE853" s="2" t="n">
        <f aca="false">I853*Hypothèses!$J$24/12/Hypothèses!$J$19</f>
        <v>90.4738857755338</v>
      </c>
      <c r="AF853" s="2" t="n">
        <f aca="false">Entrées!$C$36*S853*1000</f>
        <v>223.428770271124</v>
      </c>
      <c r="AG853" s="2" t="n">
        <f aca="false">-AF853/W853</f>
        <v>-25.8523819921247</v>
      </c>
      <c r="AH853" s="2" t="n">
        <f aca="false">AD853+AE853+AG853</f>
        <v>7488.0598139063</v>
      </c>
      <c r="AI853" s="2" t="n">
        <f aca="false">Entrées!$C$16-M853+Hypothèses!$J$22*1000-AF853+Hypothèses!$J$23</f>
        <v>22825.1209233132</v>
      </c>
      <c r="AJ853" s="2" t="n">
        <f aca="false">AI853/AH853</f>
        <v>3.04820227008923</v>
      </c>
      <c r="AK853" s="2" t="n">
        <f aca="false">AI853/(AH853+I853*(12-Hypothèses!$J$24)/12/Hypothèses!$J$19)</f>
        <v>3.02212046324449</v>
      </c>
      <c r="AL853" s="2" t="n">
        <f aca="false">(AD853+AG853+I853/Hypothèses!$J$19)*(1+G853)</f>
        <v>7943.84176184924</v>
      </c>
      <c r="AM853" s="2" t="n">
        <f aca="false">Entrées!$C$54*K853/Hypothèses!$J$19</f>
        <v>17.9604139500951</v>
      </c>
      <c r="AN853" s="2" t="n">
        <f aca="false">Y853*1000/AC853</f>
        <v>18.3513294483699</v>
      </c>
      <c r="AO853" s="2" t="n">
        <f aca="false">(Entrées!$C$36*(1-S853)+MAX(0,Entrées!$C$30-Entrées!$C$35-Entrées!$C$36)*U853)*1000</f>
        <v>902.677838601446</v>
      </c>
      <c r="AP853" s="2" t="n">
        <f aca="false">-AO853/W853</f>
        <v>-104.44658613585</v>
      </c>
      <c r="AQ853" s="2" t="n">
        <f aca="false">AL853+AM853+AN853+AP853</f>
        <v>7875.70691911186</v>
      </c>
      <c r="AR853" s="2" t="n">
        <f aca="false">O853*AQ853-Hypothèses!$J$25/Hypothèses!$J$19</f>
        <v>1300.95123756565</v>
      </c>
      <c r="AS853" s="2" t="n">
        <f aca="false">Entrées!$C$79*(1+Q853)+Hypothèses!$J$20</f>
        <v>1467.54831777403</v>
      </c>
      <c r="AT853" s="2" t="n">
        <f aca="false">AI853-AR853+AS853+Y853*1000-AO853+Hypothèses!$J$23</f>
        <v>22258.9821167742</v>
      </c>
      <c r="AU853" s="2" t="n">
        <f aca="false">AT853/AQ853</f>
        <v>2.82628370321383</v>
      </c>
      <c r="AV853" s="2" t="n">
        <f aca="false">Hypothèses!$J$26*AQ853-AT853</f>
        <v>1368.13864056133</v>
      </c>
      <c r="AW853" s="2" t="n">
        <f aca="false">IF(AC853&gt;Hypothèses!$J$26,MAX(0,AV853)/(1-Hypothèses!$J$26/AC853),0)</f>
        <v>2023.7468215352</v>
      </c>
      <c r="AX853" s="2" t="n">
        <f aca="false">AQ853-Entrées!$C$17*1000</f>
        <v>-124.293080888142</v>
      </c>
      <c r="AY853" s="2" t="n">
        <f aca="false">AI853+(Entrées!$C$244-Entrées!$C$13)</f>
        <v>28572.1209233132</v>
      </c>
      <c r="AZ853" s="2" t="n">
        <f aca="false">AA853*AH853</f>
        <v>5335.72024188078</v>
      </c>
      <c r="BA853" s="2" t="n">
        <f aca="false">AZ853/AY853</f>
        <v>0.186745683185428</v>
      </c>
      <c r="BB853" s="2" t="n">
        <f aca="false">AZ853/(Entrées!$C$151/100)-AY853</f>
        <v>1070.76930935785</v>
      </c>
      <c r="BC853" s="2" t="n">
        <f aca="false">AT853+(Entrées!$C$244-Entrées!$C$13)</f>
        <v>28005.9821167742</v>
      </c>
      <c r="BD853" s="2" t="n">
        <f aca="false">AA853*AQ853</f>
        <v>5611.94353033669</v>
      </c>
      <c r="BE853" s="2" t="n">
        <f aca="false">BD853/BC853</f>
        <v>0.200383743263744</v>
      </c>
      <c r="BF853" s="2" t="n">
        <f aca="false">BD853/(Entrées!$C$151/100)-BC853</f>
        <v>3171.48194065184</v>
      </c>
      <c r="BG853" s="2" t="n">
        <f aca="false">MIN(AV853,BF853)</f>
        <v>1368.13864056133</v>
      </c>
      <c r="BH853" s="2" t="n">
        <f aca="false">IF(AC853&gt;Hypothèses!$J$26,MAX(0,BG853)/(1-Hypothèses!$J$26/AC853),0)</f>
        <v>2023.7468215352</v>
      </c>
    </row>
    <row r="854" customFormat="false" ht="15" hidden="false" customHeight="false" outlineLevel="0" collapsed="false">
      <c r="A854" s="2" t="n">
        <v>839</v>
      </c>
      <c r="B854" s="2" t="n">
        <v>0.12782303</v>
      </c>
      <c r="C854" s="2"/>
      <c r="D854" s="2" t="n">
        <v>0.572873509</v>
      </c>
      <c r="E854" s="2" t="n">
        <f aca="false">IF(E$7=E$5,E$6,IF(NORMSDIST(E$9*SQRT($C$11)*NORMSINV($B854)+SQRT(1-E$9^2*$C$11)*NORMSINV(D854))&lt;E$8,E$5+SQRT(NORMSDIST(E$9*SQRT($C$11)*NORMSINV($B854)+SQRT(1-E$9^2*$C$11)*NORMSINV(D854))*(E$7-E$5)*(E$6-E$5)),E$7-SQRT((1-NORMSDIST(E$9*SQRT($C$11)*NORMSINV($B854)+SQRT(1-E$9^2*$C$11)*NORMSINV(D854)))*(E$7-E$5)*(E$7-E$6))))</f>
        <v>0.0537555830757333</v>
      </c>
      <c r="F854" s="2" t="n">
        <v>0.213484953</v>
      </c>
      <c r="G854" s="2" t="n">
        <f aca="false">IF(G$7=G$5,G$6,IF(NORMSDIST(G$9*SQRT($C$11)*NORMSINV($B854)+SQRT(1-G$9^2*$C$11)*NORMSINV(F854))&lt;G$8,G$5+SQRT(NORMSDIST(G$9*SQRT($C$11)*NORMSINV($B854)+SQRT(1-G$9^2*$C$11)*NORMSINV(F854))*(G$7-G$5)*(G$6-G$5)),G$7-SQRT((1-NORMSDIST(G$9*SQRT($C$11)*NORMSINV($B854)+SQRT(1-G$9^2*$C$11)*NORMSINV(F854)))*(G$7-G$5)*(G$7-G$6))))</f>
        <v>0.0464012538762281</v>
      </c>
      <c r="H854" s="2" t="n">
        <v>0.743771703</v>
      </c>
      <c r="I854" s="2" t="n">
        <f aca="false">IF(I$7=I$5,I$6,IF(NORMSDIST(I$9*SQRT($C$11)*NORMSINV($B854)+SQRT(1-I$9^2*$C$11)*NORMSINV(H854))&lt;I$8,I$5+SQRT(NORMSDIST(I$9*SQRT($C$11)*NORMSINV($B854)+SQRT(1-I$9^2*$C$11)*NORMSINV(H854))*(I$7-I$5)*(I$6-I$5)),I$7-SQRT((1-NORMSDIST(I$9*SQRT($C$11)*NORMSINV($B854)+SQRT(1-I$9^2*$C$11)*NORMSINV(H854)))*(I$7-I$5)*(I$7-I$6))))</f>
        <v>198.24770316714</v>
      </c>
      <c r="J854" s="2" t="n">
        <v>0.040200756</v>
      </c>
      <c r="K854" s="2" t="n">
        <f aca="false">IF(K$7=K$5,K$6,IF(NORMSDIST(K$9*SQRT($C$11)*NORMSINV($B854)+SQRT(1-K$9^2*$C$11)*NORMSINV(J854))&lt;K$8,K$5+SQRT(NORMSDIST(K$9*SQRT($C$11)*NORMSINV($B854)+SQRT(1-K$9^2*$C$11)*NORMSINV(J854))*(K$7-K$5)*(K$6-K$5)),K$7-SQRT((1-NORMSDIST(K$9*SQRT($C$11)*NORMSINV($B854)+SQRT(1-K$9^2*$C$11)*NORMSINV(J854)))*(K$7-K$5)*(K$7-K$6))))</f>
        <v>0.0488316000044131</v>
      </c>
      <c r="L854" s="2" t="n">
        <v>0.107911492</v>
      </c>
      <c r="M854" s="2" t="n">
        <f aca="false">IF(M$7=M$5,M$6,IF(NORMSDIST(M$9*SQRT($C$11)*NORMSINV($B854)+SQRT(1-M$9^2*$C$11)*NORMSINV(L854))&lt;M$8,M$5+SQRT(NORMSDIST(M$9*SQRT($C$11)*NORMSINV($B854)+SQRT(1-M$9^2*$C$11)*NORMSINV(L854))*(M$7-M$5)*(M$6-M$5)),M$7-SQRT((1-NORMSDIST(M$9*SQRT($C$11)*NORMSINV($B854)+SQRT(1-M$9^2*$C$11)*NORMSINV(L854)))*(M$7-M$5)*(M$7-M$6))))</f>
        <v>1389.43502087361</v>
      </c>
      <c r="N854" s="2" t="n">
        <v>0.842567152</v>
      </c>
      <c r="O854" s="2" t="n">
        <f aca="false">IF(O$7=O$5,O$6,IF(NORMSDIST(O$9*SQRT($C$11)*NORMSINV($B854)+SQRT(1-O$9^2*$C$11)*NORMSINV(N854))&lt;O$8,O$5+SQRT(NORMSDIST(O$9*SQRT($C$11)*NORMSINV($B854)+SQRT(1-O$9^2*$C$11)*NORMSINV(N854))*(O$7-O$5)*(O$6-O$5)),O$7-SQRT((1-NORMSDIST(O$9*SQRT($C$11)*NORMSINV($B854)+SQRT(1-O$9^2*$C$11)*NORMSINV(N854)))*(O$7-O$5)*(O$7-O$6))))</f>
        <v>0.167413383643036</v>
      </c>
      <c r="P854" s="2" t="n">
        <v>0.260239083</v>
      </c>
      <c r="Q854" s="2" t="n">
        <f aca="false">IF(Q$7=Q$5,Q$6,IF(NORMSDIST(Q$9*SQRT($C$11)*NORMSINV($B854)+SQRT(1-Q$9^2*$C$11)*NORMSINV(P854))&lt;Q$8,Q$5+SQRT(NORMSDIST(Q$9*SQRT($C$11)*NORMSINV($B854)+SQRT(1-Q$9^2*$C$11)*NORMSINV(P854))*(Q$7-Q$5)*(Q$6-Q$5)),Q$7-SQRT((1-NORMSDIST(Q$9*SQRT($C$11)*NORMSINV($B854)+SQRT(1-Q$9^2*$C$11)*NORMSINV(P854)))*(Q$7-Q$5)*(Q$7-Q$6))))</f>
        <v>0.0688576690950603</v>
      </c>
      <c r="R854" s="2" t="n">
        <v>0.397408429</v>
      </c>
      <c r="S854" s="2" t="n">
        <f aca="false">IF(S$7=S$5,S$6,IF(NORMSDIST(S$9*SQRT($C$11)*NORMSINV($B854)+SQRT(1-S$9^2*$C$11)*NORMSINV(R854))&lt;S$8,S$5+SQRT(NORMSDIST(S$9*SQRT($C$11)*NORMSINV($B854)+SQRT(1-S$9^2*$C$11)*NORMSINV(R854))*(S$7-S$5)*(S$6-S$5)),S$7-SQRT((1-NORMSDIST(S$9*SQRT($C$11)*NORMSINV($B854)+SQRT(1-S$9^2*$C$11)*NORMSINV(R854)))*(S$7-S$5)*(S$7-S$6))))</f>
        <v>0.298903668168442</v>
      </c>
      <c r="T854" s="2" t="n">
        <v>0.610841809</v>
      </c>
      <c r="U854" s="2" t="n">
        <f aca="false">IF(U$7=U$5,U$6,IF(NORMSDIST(U$9*SQRT($C$11)*NORMSINV($B854)+SQRT(1-U$9^2*$C$11)*NORMSINV(T854))&lt;U$8,U$5+SQRT(NORMSDIST(U$9*SQRT($C$11)*NORMSINV($B854)+SQRT(1-U$9^2*$C$11)*NORMSINV(T854))*(U$7-U$5)*(U$6-U$5)),U$7-SQRT((1-NORMSDIST(U$9*SQRT($C$11)*NORMSINV($B854)+SQRT(1-U$9^2*$C$11)*NORMSINV(T854)))*(U$7-U$5)*(U$7-U$6))))</f>
        <v>0.392573583392305</v>
      </c>
      <c r="V854" s="2" t="n">
        <v>0.841989922</v>
      </c>
      <c r="W854" s="2" t="n">
        <f aca="false">IF(W$7=W$5,W$6,IF(NORMSDIST(W$9*SQRT($C$11)*NORMSINV($B854)+SQRT(1-W$9^2*$C$11)*NORMSINV(V854))&lt;W$8,W$5+SQRT(NORMSDIST(W$9*SQRT($C$11)*NORMSINV($B854)+SQRT(1-W$9^2*$C$11)*NORMSINV(V854))*(W$7-W$5)*(W$6-W$5)),W$7-SQRT((1-NORMSDIST(W$9*SQRT($C$11)*NORMSINV($B854)+SQRT(1-W$9^2*$C$11)*NORMSINV(V854)))*(W$7-W$5)*(W$7-W$6))))</f>
        <v>10.0465753167383</v>
      </c>
      <c r="X854" s="2" t="n">
        <v>0.771183982</v>
      </c>
      <c r="Y854" s="2" t="n">
        <f aca="false">IF(Y$7=Y$5,Y$6,IF(NORMSDIST(Y$9*SQRT($C$11)*NORMSINV($B854)+SQRT(1-Y$9^2*$C$11)*NORMSINV(X854))&lt;Y$8,Y$5+SQRT(NORMSDIST(Y$9*SQRT($C$11)*NORMSINV($B854)+SQRT(1-Y$9^2*$C$11)*NORMSINV(X854))*(Y$7-Y$5)*(Y$6-Y$5)),Y$7-SQRT((1-NORMSDIST(Y$9*SQRT($C$11)*NORMSINV($B854)+SQRT(1-Y$9^2*$C$11)*NORMSINV(X854)))*(Y$7-Y$5)*(Y$7-Y$6))))</f>
        <v>0.661757470149007</v>
      </c>
      <c r="Z854" s="2" t="n">
        <v>0.658274022</v>
      </c>
      <c r="AA854" s="2" t="n">
        <f aca="false">IF(AA$7=AA$5,AA$6,IF(NORMSDIST(AA$9*SQRT($C$11)*NORMSINV($B854)+SQRT(1-AA$9^2*$C$11)*NORMSINV(Z854))&lt;AA$8,AA$5+SQRT(NORMSDIST(AA$9*SQRT($C$11)*NORMSINV($B854)+SQRT(1-AA$9^2*$C$11)*NORMSINV(Z854))*(AA$7-AA$5)*(AA$6-AA$5)),AA$7-SQRT((1-NORMSDIST(AA$9*SQRT($C$11)*NORMSINV($B854)+SQRT(1-AA$9^2*$C$11)*NORMSINV(Z854)))*(AA$7-AA$5)*(AA$7-AA$6))))</f>
        <v>0.722447056229508</v>
      </c>
      <c r="AB854" s="2" t="n">
        <v>0.58301446</v>
      </c>
      <c r="AC854" s="2" t="n">
        <f aca="false">IF(AC$7=AC$5,AC$6,IF(NORMSDIST(AC$9*SQRT($C$11)*NORMSINV($B854)+SQRT(1-AC$9^2*$C$11)*NORMSINV(AB854))&lt;AC$8,AC$5+SQRT(NORMSDIST(AC$9*SQRT($C$11)*NORMSINV($B854)+SQRT(1-AC$9^2*$C$11)*NORMSINV(AB854))*(AC$7-AC$5)*(AC$6-AC$5)),AC$7-SQRT((1-NORMSDIST(AC$9*SQRT($C$11)*NORMSINV($B854)+SQRT(1-AC$9^2*$C$11)*NORMSINV(AB854)))*(AC$7-AC$5)*(AC$7-AC$6))))</f>
        <v>8.97992844694379</v>
      </c>
      <c r="AD854" s="2" t="n">
        <f aca="false">Entrées!$C$8*(1+E854)</f>
        <v>7428.97686068392</v>
      </c>
      <c r="AE854" s="2" t="n">
        <f aca="false">I854*Hypothèses!$J$24/12/Hypothèses!$J$19</f>
        <v>98.3500510247599</v>
      </c>
      <c r="AF854" s="2" t="n">
        <f aca="false">Entrées!$C$36*S854*1000</f>
        <v>149.451834084221</v>
      </c>
      <c r="AG854" s="2" t="n">
        <f aca="false">-AF854/W854</f>
        <v>-14.8758984402598</v>
      </c>
      <c r="AH854" s="2" t="n">
        <f aca="false">AD854+AE854+AG854</f>
        <v>7512.45101326842</v>
      </c>
      <c r="AI854" s="2" t="n">
        <f aca="false">Entrées!$C$16-M854+Hypothèses!$J$22*1000-AF854+Hypothèses!$J$23</f>
        <v>23009.1131450422</v>
      </c>
      <c r="AJ854" s="2" t="n">
        <f aca="false">AI854/AH854</f>
        <v>3.06279709570201</v>
      </c>
      <c r="AK854" s="2" t="n">
        <f aca="false">AI854/(AH854+I854*(12-Hypothèses!$J$24)/12/Hypothèses!$J$19)</f>
        <v>3.03442177057844</v>
      </c>
      <c r="AL854" s="2" t="n">
        <f aca="false">(AD854+AG854+I854/Hypothèses!$J$19)*(1+G854)</f>
        <v>7934.54788619003</v>
      </c>
      <c r="AM854" s="2" t="n">
        <f aca="false">Entrées!$C$54*K854/Hypothèses!$J$19</f>
        <v>4.98346981108938</v>
      </c>
      <c r="AN854" s="2" t="n">
        <f aca="false">Y854*1000/AC854</f>
        <v>73.6929558023626</v>
      </c>
      <c r="AO854" s="2" t="n">
        <f aca="false">(Entrées!$C$36*(1-S854)+MAX(0,Entrées!$C$30-Entrées!$C$35-Entrées!$C$36)*U854)*1000</f>
        <v>900.151182665006</v>
      </c>
      <c r="AP854" s="2" t="n">
        <f aca="false">-AO854/W854</f>
        <v>-89.5978136116978</v>
      </c>
      <c r="AQ854" s="2" t="n">
        <f aca="false">AL854+AM854+AN854+AP854</f>
        <v>7923.62649819178</v>
      </c>
      <c r="AR854" s="2" t="n">
        <f aca="false">O854*AQ854-Hypothèses!$J$25/Hypothèses!$J$19</f>
        <v>1307.38596052428</v>
      </c>
      <c r="AS854" s="2" t="n">
        <f aca="false">Entrées!$C$79*(1+Q854)+Hypothèses!$J$20</f>
        <v>1469.67457833547</v>
      </c>
      <c r="AT854" s="2" t="n">
        <f aca="false">AI854-AR854+AS854+Y854*1000-AO854+Hypothèses!$J$23</f>
        <v>22933.0080503374</v>
      </c>
      <c r="AU854" s="2" t="n">
        <f aca="false">AT854/AQ854</f>
        <v>2.89425656996462</v>
      </c>
      <c r="AV854" s="2" t="n">
        <f aca="false">Hypothèses!$J$26*AQ854-AT854</f>
        <v>837.871444237986</v>
      </c>
      <c r="AW854" s="2" t="n">
        <f aca="false">IF(AC854&gt;Hypothèses!$J$26,MAX(0,AV854)/(1-Hypothèses!$J$26/AC854),0)</f>
        <v>1258.21331872958</v>
      </c>
      <c r="AX854" s="2" t="n">
        <f aca="false">AQ854-Entrées!$C$17*1000</f>
        <v>-76.373501808217</v>
      </c>
      <c r="AY854" s="2" t="n">
        <f aca="false">AI854+(Entrées!$C$244-Entrées!$C$13)</f>
        <v>28756.1131450422</v>
      </c>
      <c r="AZ854" s="2" t="n">
        <f aca="false">AA854*AH854</f>
        <v>5427.34811960415</v>
      </c>
      <c r="BA854" s="2" t="n">
        <f aca="false">AZ854/AY854</f>
        <v>0.188737194495977</v>
      </c>
      <c r="BB854" s="2" t="n">
        <f aca="false">AZ854/(Entrées!$C$151/100)-AY854</f>
        <v>1395.82085275868</v>
      </c>
      <c r="BC854" s="2" t="n">
        <f aca="false">AT854+(Entrées!$C$244-Entrées!$C$13)</f>
        <v>28680.0080503374</v>
      </c>
      <c r="BD854" s="2" t="n">
        <f aca="false">AA854*AQ854</f>
        <v>5724.40063828078</v>
      </c>
      <c r="BE854" s="2" t="n">
        <f aca="false">BD854/BC854</f>
        <v>0.199595503189318</v>
      </c>
      <c r="BF854" s="2" t="n">
        <f aca="false">BD854/(Entrées!$C$151/100)-BC854</f>
        <v>3122.21771788918</v>
      </c>
      <c r="BG854" s="2" t="n">
        <f aca="false">MIN(AV854,BF854)</f>
        <v>837.871444237986</v>
      </c>
      <c r="BH854" s="2" t="n">
        <f aca="false">IF(AC854&gt;Hypothèses!$J$26,MAX(0,BG854)/(1-Hypothèses!$J$26/AC854),0)</f>
        <v>1258.21331872958</v>
      </c>
    </row>
    <row r="855" customFormat="false" ht="15" hidden="false" customHeight="false" outlineLevel="0" collapsed="false">
      <c r="A855" s="2" t="n">
        <v>840</v>
      </c>
      <c r="B855" s="2" t="n">
        <v>0.711615341</v>
      </c>
      <c r="C855" s="2"/>
      <c r="D855" s="2" t="n">
        <v>0.67371841</v>
      </c>
      <c r="E855" s="2" t="n">
        <f aca="false">IF(E$7=E$5,E$6,IF(NORMSDIST(E$9*SQRT($C$11)*NORMSINV($B855)+SQRT(1-E$9^2*$C$11)*NORMSINV(D855))&lt;E$8,E$5+SQRT(NORMSDIST(E$9*SQRT($C$11)*NORMSINV($B855)+SQRT(1-E$9^2*$C$11)*NORMSINV(D855))*(E$7-E$5)*(E$6-E$5)),E$7-SQRT((1-NORMSDIST(E$9*SQRT($C$11)*NORMSINV($B855)+SQRT(1-E$9^2*$C$11)*NORMSINV(D855)))*(E$7-E$5)*(E$7-E$6))))</f>
        <v>0.0565255854119238</v>
      </c>
      <c r="F855" s="2" t="n">
        <v>0.347450072</v>
      </c>
      <c r="G855" s="2" t="n">
        <f aca="false">IF(G$7=G$5,G$6,IF(NORMSDIST(G$9*SQRT($C$11)*NORMSINV($B855)+SQRT(1-G$9^2*$C$11)*NORMSINV(F855))&lt;G$8,G$5+SQRT(NORMSDIST(G$9*SQRT($C$11)*NORMSINV($B855)+SQRT(1-G$9^2*$C$11)*NORMSINV(F855))*(G$7-G$5)*(G$6-G$5)),G$7-SQRT((1-NORMSDIST(G$9*SQRT($C$11)*NORMSINV($B855)+SQRT(1-G$9^2*$C$11)*NORMSINV(F855)))*(G$7-G$5)*(G$7-G$6))))</f>
        <v>0.0552970757226026</v>
      </c>
      <c r="H855" s="2" t="n">
        <v>0.313208329</v>
      </c>
      <c r="I855" s="2" t="n">
        <f aca="false">IF(I$7=I$5,I$6,IF(NORMSDIST(I$9*SQRT($C$11)*NORMSINV($B855)+SQRT(1-I$9^2*$C$11)*NORMSINV(H855))&lt;I$8,I$5+SQRT(NORMSDIST(I$9*SQRT($C$11)*NORMSINV($B855)+SQRT(1-I$9^2*$C$11)*NORMSINV(H855))*(I$7-I$5)*(I$6-I$5)),I$7-SQRT((1-NORMSDIST(I$9*SQRT($C$11)*NORMSINV($B855)+SQRT(1-I$9^2*$C$11)*NORMSINV(H855)))*(I$7-I$5)*(I$7-I$6))))</f>
        <v>199.806990026966</v>
      </c>
      <c r="J855" s="2" t="n">
        <v>0.022418378</v>
      </c>
      <c r="K855" s="2" t="n">
        <f aca="false">IF(K$7=K$5,K$6,IF(NORMSDIST(K$9*SQRT($C$11)*NORMSINV($B855)+SQRT(1-K$9^2*$C$11)*NORMSINV(J855))&lt;K$8,K$5+SQRT(NORMSDIST(K$9*SQRT($C$11)*NORMSINV($B855)+SQRT(1-K$9^2*$C$11)*NORMSINV(J855))*(K$7-K$5)*(K$6-K$5)),K$7-SQRT((1-NORMSDIST(K$9*SQRT($C$11)*NORMSINV($B855)+SQRT(1-K$9^2*$C$11)*NORMSINV(J855)))*(K$7-K$5)*(K$7-K$6))))</f>
        <v>0.119830645328593</v>
      </c>
      <c r="L855" s="2" t="n">
        <v>0.8169997</v>
      </c>
      <c r="M855" s="2" t="n">
        <f aca="false">IF(M$7=M$5,M$6,IF(NORMSDIST(M$9*SQRT($C$11)*NORMSINV($B855)+SQRT(1-M$9^2*$C$11)*NORMSINV(L855))&lt;M$8,M$5+SQRT(NORMSDIST(M$9*SQRT($C$11)*NORMSINV($B855)+SQRT(1-M$9^2*$C$11)*NORMSINV(L855))*(M$7-M$5)*(M$6-M$5)),M$7-SQRT((1-NORMSDIST(M$9*SQRT($C$11)*NORMSINV($B855)+SQRT(1-M$9^2*$C$11)*NORMSINV(L855)))*(M$7-M$5)*(M$7-M$6))))</f>
        <v>1684.04484049603</v>
      </c>
      <c r="N855" s="2" t="n">
        <v>0.24479707</v>
      </c>
      <c r="O855" s="2" t="n">
        <f aca="false">IF(O$7=O$5,O$6,IF(NORMSDIST(O$9*SQRT($C$11)*NORMSINV($B855)+SQRT(1-O$9^2*$C$11)*NORMSINV(N855))&lt;O$8,O$5+SQRT(NORMSDIST(O$9*SQRT($C$11)*NORMSINV($B855)+SQRT(1-O$9^2*$C$11)*NORMSINV(N855))*(O$7-O$5)*(O$6-O$5)),O$7-SQRT((1-NORMSDIST(O$9*SQRT($C$11)*NORMSINV($B855)+SQRT(1-O$9^2*$C$11)*NORMSINV(N855)))*(O$7-O$5)*(O$7-O$6))))</f>
        <v>0.164772416184856</v>
      </c>
      <c r="P855" s="2" t="n">
        <v>0.938349102</v>
      </c>
      <c r="Q855" s="2" t="n">
        <f aca="false">IF(Q$7=Q$5,Q$6,IF(NORMSDIST(Q$9*SQRT($C$11)*NORMSINV($B855)+SQRT(1-Q$9^2*$C$11)*NORMSINV(P855))&lt;Q$8,Q$5+SQRT(NORMSDIST(Q$9*SQRT($C$11)*NORMSINV($B855)+SQRT(1-Q$9^2*$C$11)*NORMSINV(P855))*(Q$7-Q$5)*(Q$6-Q$5)),Q$7-SQRT((1-NORMSDIST(Q$9*SQRT($C$11)*NORMSINV($B855)+SQRT(1-Q$9^2*$C$11)*NORMSINV(P855)))*(Q$7-Q$5)*(Q$7-Q$6))))</f>
        <v>0.105954257812419</v>
      </c>
      <c r="R855" s="2" t="n">
        <v>0.665929025</v>
      </c>
      <c r="S855" s="2" t="n">
        <f aca="false">IF(S$7=S$5,S$6,IF(NORMSDIST(S$9*SQRT($C$11)*NORMSINV($B855)+SQRT(1-S$9^2*$C$11)*NORMSINV(R855))&lt;S$8,S$5+SQRT(NORMSDIST(S$9*SQRT($C$11)*NORMSINV($B855)+SQRT(1-S$9^2*$C$11)*NORMSINV(R855))*(S$7-S$5)*(S$6-S$5)),S$7-SQRT((1-NORMSDIST(S$9*SQRT($C$11)*NORMSINV($B855)+SQRT(1-S$9^2*$C$11)*NORMSINV(R855)))*(S$7-S$5)*(S$7-S$6))))</f>
        <v>0.648818754456026</v>
      </c>
      <c r="T855" s="2" t="n">
        <v>0.577578595</v>
      </c>
      <c r="U855" s="2" t="n">
        <f aca="false">IF(U$7=U$5,U$6,IF(NORMSDIST(U$9*SQRT($C$11)*NORMSINV($B855)+SQRT(1-U$9^2*$C$11)*NORMSINV(T855))&lt;U$8,U$5+SQRT(NORMSDIST(U$9*SQRT($C$11)*NORMSINV($B855)+SQRT(1-U$9^2*$C$11)*NORMSINV(T855))*(U$7-U$5)*(U$6-U$5)),U$7-SQRT((1-NORMSDIST(U$9*SQRT($C$11)*NORMSINV($B855)+SQRT(1-U$9^2*$C$11)*NORMSINV(T855)))*(U$7-U$5)*(U$7-U$6))))</f>
        <v>0.608253723770179</v>
      </c>
      <c r="V855" s="2" t="n">
        <v>0.784386508</v>
      </c>
      <c r="W855" s="2" t="n">
        <f aca="false">IF(W$7=W$5,W$6,IF(NORMSDIST(W$9*SQRT($C$11)*NORMSINV($B855)+SQRT(1-W$9^2*$C$11)*NORMSINV(V855))&lt;W$8,W$5+SQRT(NORMSDIST(W$9*SQRT($C$11)*NORMSINV($B855)+SQRT(1-W$9^2*$C$11)*NORMSINV(V855))*(W$7-W$5)*(W$6-W$5)),W$7-SQRT((1-NORMSDIST(W$9*SQRT($C$11)*NORMSINV($B855)+SQRT(1-W$9^2*$C$11)*NORMSINV(V855)))*(W$7-W$5)*(W$7-W$6))))</f>
        <v>10.8411760821453</v>
      </c>
      <c r="X855" s="2" t="n">
        <v>0.024929056</v>
      </c>
      <c r="Y855" s="2" t="n">
        <f aca="false">IF(Y$7=Y$5,Y$6,IF(NORMSDIST(Y$9*SQRT($C$11)*NORMSINV($B855)+SQRT(1-Y$9^2*$C$11)*NORMSINV(X855))&lt;Y$8,Y$5+SQRT(NORMSDIST(Y$9*SQRT($C$11)*NORMSINV($B855)+SQRT(1-Y$9^2*$C$11)*NORMSINV(X855))*(Y$7-Y$5)*(Y$6-Y$5)),Y$7-SQRT((1-NORMSDIST(Y$9*SQRT($C$11)*NORMSINV($B855)+SQRT(1-Y$9^2*$C$11)*NORMSINV(X855)))*(Y$7-Y$5)*(Y$7-Y$6))))</f>
        <v>0.111644650565981</v>
      </c>
      <c r="Z855" s="2" t="n">
        <v>0.67543132</v>
      </c>
      <c r="AA855" s="2" t="n">
        <f aca="false">IF(AA$7=AA$5,AA$6,IF(NORMSDIST(AA$9*SQRT($C$11)*NORMSINV($B855)+SQRT(1-AA$9^2*$C$11)*NORMSINV(Z855))&lt;AA$8,AA$5+SQRT(NORMSDIST(AA$9*SQRT($C$11)*NORMSINV($B855)+SQRT(1-AA$9^2*$C$11)*NORMSINV(Z855))*(AA$7-AA$5)*(AA$6-AA$5)),AA$7-SQRT((1-NORMSDIST(AA$9*SQRT($C$11)*NORMSINV($B855)+SQRT(1-AA$9^2*$C$11)*NORMSINV(Z855)))*(AA$7-AA$5)*(AA$7-AA$6))))</f>
        <v>0.736296011294336</v>
      </c>
      <c r="AB855" s="2" t="n">
        <v>0.345011764</v>
      </c>
      <c r="AC855" s="2" t="n">
        <f aca="false">IF(AC$7=AC$5,AC$6,IF(NORMSDIST(AC$9*SQRT($C$11)*NORMSINV($B855)+SQRT(1-AC$9^2*$C$11)*NORMSINV(AB855))&lt;AC$8,AC$5+SQRT(NORMSDIST(AC$9*SQRT($C$11)*NORMSINV($B855)+SQRT(1-AC$9^2*$C$11)*NORMSINV(AB855))*(AC$7-AC$5)*(AC$6-AC$5)),AC$7-SQRT((1-NORMSDIST(AC$9*SQRT($C$11)*NORMSINV($B855)+SQRT(1-AC$9^2*$C$11)*NORMSINV(AB855)))*(AC$7-AC$5)*(AC$7-AC$6))))</f>
        <v>9.51466173370763</v>
      </c>
      <c r="AD855" s="2" t="n">
        <f aca="false">Entrées!$C$8*(1+E855)</f>
        <v>7448.50537715406</v>
      </c>
      <c r="AE855" s="2" t="n">
        <f aca="false">I855*Hypothèses!$J$24/12/Hypothèses!$J$19</f>
        <v>99.1236082452278</v>
      </c>
      <c r="AF855" s="2" t="n">
        <f aca="false">Entrées!$C$36*S855*1000</f>
        <v>324.409377228013</v>
      </c>
      <c r="AG855" s="2" t="n">
        <f aca="false">-AF855/W855</f>
        <v>-29.9238177454099</v>
      </c>
      <c r="AH855" s="2" t="n">
        <f aca="false">AD855+AE855+AG855</f>
        <v>7517.70516765388</v>
      </c>
      <c r="AI855" s="2" t="n">
        <f aca="false">Entrées!$C$16-M855+Hypothèses!$J$22*1000-AF855+Hypothèses!$J$23</f>
        <v>22539.545782276</v>
      </c>
      <c r="AJ855" s="2" t="n">
        <f aca="false">AI855/AH855</f>
        <v>2.9981949650348</v>
      </c>
      <c r="AK855" s="2" t="n">
        <f aca="false">AI855/(AH855+I855*(12-Hypothèses!$J$24)/12/Hypothèses!$J$19)</f>
        <v>2.97022109481413</v>
      </c>
      <c r="AL855" s="2" t="n">
        <f aca="false">(AD855+AG855+I855/Hypothèses!$J$19)*(1+G855)</f>
        <v>8008.13003236717</v>
      </c>
      <c r="AM855" s="2" t="n">
        <f aca="false">Entrées!$C$54*K855/Hypothèses!$J$19</f>
        <v>12.2292204921492</v>
      </c>
      <c r="AN855" s="2" t="n">
        <f aca="false">Y855*1000/AC855</f>
        <v>11.7339589877859</v>
      </c>
      <c r="AO855" s="2" t="n">
        <f aca="false">(Entrées!$C$36*(1-S855)+MAX(0,Entrées!$C$30-Entrées!$C$35-Entrées!$C$36)*U855)*1000</f>
        <v>1027.14583605024</v>
      </c>
      <c r="AP855" s="2" t="n">
        <f aca="false">-AO855/W855</f>
        <v>-94.7448716142412</v>
      </c>
      <c r="AQ855" s="2" t="n">
        <f aca="false">AL855+AM855+AN855+AP855</f>
        <v>7937.34834023286</v>
      </c>
      <c r="AR855" s="2" t="n">
        <f aca="false">O855*AQ855-Hypothèses!$J$25/Hypothèses!$J$19</f>
        <v>1288.7209018594</v>
      </c>
      <c r="AS855" s="2" t="n">
        <f aca="false">Entrées!$C$79*(1+Q855)+Hypothèses!$J$20</f>
        <v>1510.44372933585</v>
      </c>
      <c r="AT855" s="2" t="n">
        <f aca="false">AI855-AR855+AS855+Y855*1000-AO855+Hypothèses!$J$23</f>
        <v>21845.7674242682</v>
      </c>
      <c r="AU855" s="2" t="n">
        <f aca="false">AT855/AQ855</f>
        <v>2.75227525463841</v>
      </c>
      <c r="AV855" s="2" t="n">
        <f aca="false">Hypothèses!$J$26*AQ855-AT855</f>
        <v>1966.27759643043</v>
      </c>
      <c r="AW855" s="2" t="n">
        <f aca="false">IF(AC855&gt;Hypothèses!$J$26,MAX(0,AV855)/(1-Hypothèses!$J$26/AC855),0)</f>
        <v>2871.74790792336</v>
      </c>
      <c r="AX855" s="2" t="n">
        <f aca="false">AQ855-Entrées!$C$17*1000</f>
        <v>-62.651659767138</v>
      </c>
      <c r="AY855" s="2" t="n">
        <f aca="false">AI855+(Entrées!$C$244-Entrées!$C$13)</f>
        <v>28286.545782276</v>
      </c>
      <c r="AZ855" s="2" t="n">
        <f aca="false">AA855*AH855</f>
        <v>5535.25632903037</v>
      </c>
      <c r="BA855" s="2" t="n">
        <f aca="false">AZ855/AY855</f>
        <v>0.195685127892099</v>
      </c>
      <c r="BB855" s="2" t="n">
        <f aca="false">AZ855/(Entrées!$C$151/100)-AY855</f>
        <v>2464.87826789277</v>
      </c>
      <c r="BC855" s="2" t="n">
        <f aca="false">AT855+(Entrées!$C$244-Entrées!$C$13)</f>
        <v>27592.7674242682</v>
      </c>
      <c r="BD855" s="2" t="n">
        <f aca="false">AA855*AQ855</f>
        <v>5844.23792316718</v>
      </c>
      <c r="BE855" s="2" t="n">
        <f aca="false">BD855/BC855</f>
        <v>0.211803253849308</v>
      </c>
      <c r="BF855" s="2" t="n">
        <f aca="false">BD855/(Entrées!$C$151/100)-BC855</f>
        <v>4875.22103777171</v>
      </c>
      <c r="BG855" s="2" t="n">
        <f aca="false">MIN(AV855,BF855)</f>
        <v>1966.27759643043</v>
      </c>
      <c r="BH855" s="2" t="n">
        <f aca="false">IF(AC855&gt;Hypothèses!$J$26,MAX(0,BG855)/(1-Hypothèses!$J$26/AC855),0)</f>
        <v>2871.74790792336</v>
      </c>
    </row>
    <row r="856" customFormat="false" ht="15" hidden="false" customHeight="false" outlineLevel="0" collapsed="false">
      <c r="A856" s="2" t="n">
        <v>841</v>
      </c>
      <c r="B856" s="2" t="n">
        <v>0.933872421</v>
      </c>
      <c r="C856" s="2"/>
      <c r="D856" s="2" t="n">
        <v>0.586869649</v>
      </c>
      <c r="E856" s="2" t="n">
        <f aca="false">IF(E$7=E$5,E$6,IF(NORMSDIST(E$9*SQRT($C$11)*NORMSINV($B856)+SQRT(1-E$9^2*$C$11)*NORMSINV(D856))&lt;E$8,E$5+SQRT(NORMSDIST(E$9*SQRT($C$11)*NORMSINV($B856)+SQRT(1-E$9^2*$C$11)*NORMSINV(D856))*(E$7-E$5)*(E$6-E$5)),E$7-SQRT((1-NORMSDIST(E$9*SQRT($C$11)*NORMSINV($B856)+SQRT(1-E$9^2*$C$11)*NORMSINV(D856)))*(E$7-E$5)*(E$7-E$6))))</f>
        <v>0.0574414561788934</v>
      </c>
      <c r="F856" s="2" t="n">
        <v>0.581453309</v>
      </c>
      <c r="G856" s="2" t="n">
        <f aca="false">IF(G$7=G$5,G$6,IF(NORMSDIST(G$9*SQRT($C$11)*NORMSINV($B856)+SQRT(1-G$9^2*$C$11)*NORMSINV(F856))&lt;G$8,G$5+SQRT(NORMSDIST(G$9*SQRT($C$11)*NORMSINV($B856)+SQRT(1-G$9^2*$C$11)*NORMSINV(F856))*(G$7-G$5)*(G$6-G$5)),G$7-SQRT((1-NORMSDIST(G$9*SQRT($C$11)*NORMSINV($B856)+SQRT(1-G$9^2*$C$11)*NORMSINV(F856)))*(G$7-G$5)*(G$7-G$6))))</f>
        <v>0.0622572254050233</v>
      </c>
      <c r="H856" s="2" t="n">
        <v>0.649237217</v>
      </c>
      <c r="I856" s="2" t="n">
        <f aca="false">IF(I$7=I$5,I$6,IF(NORMSDIST(I$9*SQRT($C$11)*NORMSINV($B856)+SQRT(1-I$9^2*$C$11)*NORMSINV(H856))&lt;I$8,I$5+SQRT(NORMSDIST(I$9*SQRT($C$11)*NORMSINV($B856)+SQRT(1-I$9^2*$C$11)*NORMSINV(H856))*(I$7-I$5)*(I$6-I$5)),I$7-SQRT((1-NORMSDIST(I$9*SQRT($C$11)*NORMSINV($B856)+SQRT(1-I$9^2*$C$11)*NORMSINV(H856)))*(I$7-I$5)*(I$7-I$6))))</f>
        <v>210.797699507151</v>
      </c>
      <c r="J856" s="2" t="n">
        <v>0.584846127</v>
      </c>
      <c r="K856" s="2" t="n">
        <f aca="false">IF(K$7=K$5,K$6,IF(NORMSDIST(K$9*SQRT($C$11)*NORMSINV($B856)+SQRT(1-K$9^2*$C$11)*NORMSINV(J856))&lt;K$8,K$5+SQRT(NORMSDIST(K$9*SQRT($C$11)*NORMSINV($B856)+SQRT(1-K$9^2*$C$11)*NORMSINV(J856))*(K$7-K$5)*(K$6-K$5)),K$7-SQRT((1-NORMSDIST(K$9*SQRT($C$11)*NORMSINV($B856)+SQRT(1-K$9^2*$C$11)*NORMSINV(J856)))*(K$7-K$5)*(K$7-K$6))))</f>
        <v>0.371654780930131</v>
      </c>
      <c r="L856" s="2" t="n">
        <v>0.357477658</v>
      </c>
      <c r="M856" s="2" t="n">
        <f aca="false">IF(M$7=M$5,M$6,IF(NORMSDIST(M$9*SQRT($C$11)*NORMSINV($B856)+SQRT(1-M$9^2*$C$11)*NORMSINV(L856))&lt;M$8,M$5+SQRT(NORMSDIST(M$9*SQRT($C$11)*NORMSINV($B856)+SQRT(1-M$9^2*$C$11)*NORMSINV(L856))*(M$7-M$5)*(M$6-M$5)),M$7-SQRT((1-NORMSDIST(M$9*SQRT($C$11)*NORMSINV($B856)+SQRT(1-M$9^2*$C$11)*NORMSINV(L856)))*(M$7-M$5)*(M$7-M$6))))</f>
        <v>1650.34343872138</v>
      </c>
      <c r="N856" s="2" t="n">
        <v>0.976632155</v>
      </c>
      <c r="O856" s="2" t="n">
        <f aca="false">IF(O$7=O$5,O$6,IF(NORMSDIST(O$9*SQRT($C$11)*NORMSINV($B856)+SQRT(1-O$9^2*$C$11)*NORMSINV(N856))&lt;O$8,O$5+SQRT(NORMSDIST(O$9*SQRT($C$11)*NORMSINV($B856)+SQRT(1-O$9^2*$C$11)*NORMSINV(N856))*(O$7-O$5)*(O$6-O$5)),O$7-SQRT((1-NORMSDIST(O$9*SQRT($C$11)*NORMSINV($B856)+SQRT(1-O$9^2*$C$11)*NORMSINV(N856)))*(O$7-O$5)*(O$7-O$6))))</f>
        <v>0.18740061526752</v>
      </c>
      <c r="P856" s="2" t="n">
        <v>0.855141115</v>
      </c>
      <c r="Q856" s="2" t="n">
        <f aca="false">IF(Q$7=Q$5,Q$6,IF(NORMSDIST(Q$9*SQRT($C$11)*NORMSINV($B856)+SQRT(1-Q$9^2*$C$11)*NORMSINV(P856))&lt;Q$8,Q$5+SQRT(NORMSDIST(Q$9*SQRT($C$11)*NORMSINV($B856)+SQRT(1-Q$9^2*$C$11)*NORMSINV(P856))*(Q$7-Q$5)*(Q$6-Q$5)),Q$7-SQRT((1-NORMSDIST(Q$9*SQRT($C$11)*NORMSINV($B856)+SQRT(1-Q$9^2*$C$11)*NORMSINV(P856)))*(Q$7-Q$5)*(Q$7-Q$6))))</f>
        <v>0.0984698250819925</v>
      </c>
      <c r="R856" s="2" t="n">
        <v>0.217218404</v>
      </c>
      <c r="S856" s="2" t="n">
        <f aca="false">IF(S$7=S$5,S$6,IF(NORMSDIST(S$9*SQRT($C$11)*NORMSINV($B856)+SQRT(1-S$9^2*$C$11)*NORMSINV(R856))&lt;S$8,S$5+SQRT(NORMSDIST(S$9*SQRT($C$11)*NORMSINV($B856)+SQRT(1-S$9^2*$C$11)*NORMSINV(R856))*(S$7-S$5)*(S$6-S$5)),S$7-SQRT((1-NORMSDIST(S$9*SQRT($C$11)*NORMSINV($B856)+SQRT(1-S$9^2*$C$11)*NORMSINV(R856)))*(S$7-S$5)*(S$7-S$6))))</f>
        <v>0.573118337528823</v>
      </c>
      <c r="T856" s="2" t="n">
        <v>0.716623035</v>
      </c>
      <c r="U856" s="2" t="n">
        <f aca="false">IF(U$7=U$5,U$6,IF(NORMSDIST(U$9*SQRT($C$11)*NORMSINV($B856)+SQRT(1-U$9^2*$C$11)*NORMSINV(T856))&lt;U$8,U$5+SQRT(NORMSDIST(U$9*SQRT($C$11)*NORMSINV($B856)+SQRT(1-U$9^2*$C$11)*NORMSINV(T856))*(U$7-U$5)*(U$6-U$5)),U$7-SQRT((1-NORMSDIST(U$9*SQRT($C$11)*NORMSINV($B856)+SQRT(1-U$9^2*$C$11)*NORMSINV(T856)))*(U$7-U$5)*(U$7-U$6))))</f>
        <v>0.798260943395842</v>
      </c>
      <c r="V856" s="2" t="n">
        <v>0.664762713</v>
      </c>
      <c r="W856" s="2" t="n">
        <f aca="false">IF(W$7=W$5,W$6,IF(NORMSDIST(W$9*SQRT($C$11)*NORMSINV($B856)+SQRT(1-W$9^2*$C$11)*NORMSINV(V856))&lt;W$8,W$5+SQRT(NORMSDIST(W$9*SQRT($C$11)*NORMSINV($B856)+SQRT(1-W$9^2*$C$11)*NORMSINV(V856))*(W$7-W$5)*(W$6-W$5)),W$7-SQRT((1-NORMSDIST(W$9*SQRT($C$11)*NORMSINV($B856)+SQRT(1-W$9^2*$C$11)*NORMSINV(V856)))*(W$7-W$5)*(W$7-W$6))))</f>
        <v>11.1056135947127</v>
      </c>
      <c r="X856" s="2" t="n">
        <v>0.662500362</v>
      </c>
      <c r="Y856" s="2" t="n">
        <f aca="false">IF(Y$7=Y$5,Y$6,IF(NORMSDIST(Y$9*SQRT($C$11)*NORMSINV($B856)+SQRT(1-Y$9^2*$C$11)*NORMSINV(X856))&lt;Y$8,Y$5+SQRT(NORMSDIST(Y$9*SQRT($C$11)*NORMSINV($B856)+SQRT(1-Y$9^2*$C$11)*NORMSINV(X856))*(Y$7-Y$5)*(Y$6-Y$5)),Y$7-SQRT((1-NORMSDIST(Y$9*SQRT($C$11)*NORMSINV($B856)+SQRT(1-Y$9^2*$C$11)*NORMSINV(X856)))*(Y$7-Y$5)*(Y$7-Y$6))))</f>
        <v>0.589208302177369</v>
      </c>
      <c r="Z856" s="2" t="n">
        <v>0.520263006</v>
      </c>
      <c r="AA856" s="2" t="n">
        <f aca="false">IF(AA$7=AA$5,AA$6,IF(NORMSDIST(AA$9*SQRT($C$11)*NORMSINV($B856)+SQRT(1-AA$9^2*$C$11)*NORMSINV(Z856))&lt;AA$8,AA$5+SQRT(NORMSDIST(AA$9*SQRT($C$11)*NORMSINV($B856)+SQRT(1-AA$9^2*$C$11)*NORMSINV(Z856))*(AA$7-AA$5)*(AA$6-AA$5)),AA$7-SQRT((1-NORMSDIST(AA$9*SQRT($C$11)*NORMSINV($B856)+SQRT(1-AA$9^2*$C$11)*NORMSINV(Z856)))*(AA$7-AA$5)*(AA$7-AA$6))))</f>
        <v>0.739496167053716</v>
      </c>
      <c r="AB856" s="2" t="n">
        <v>0.431642129</v>
      </c>
      <c r="AC856" s="2" t="n">
        <f aca="false">IF(AC$7=AC$5,AC$6,IF(NORMSDIST(AC$9*SQRT($C$11)*NORMSINV($B856)+SQRT(1-AC$9^2*$C$11)*NORMSINV(AB856))&lt;AC$8,AC$5+SQRT(NORMSDIST(AC$9*SQRT($C$11)*NORMSINV($B856)+SQRT(1-AC$9^2*$C$11)*NORMSINV(AB856))*(AC$7-AC$5)*(AC$6-AC$5)),AC$7-SQRT((1-NORMSDIST(AC$9*SQRT($C$11)*NORMSINV($B856)+SQRT(1-AC$9^2*$C$11)*NORMSINV(AB856)))*(AC$7-AC$5)*(AC$7-AC$6))))</f>
        <v>10.0555052264502</v>
      </c>
      <c r="AD856" s="2" t="n">
        <f aca="false">Entrées!$C$8*(1+E856)</f>
        <v>7454.9622660612</v>
      </c>
      <c r="AE856" s="2" t="n">
        <f aca="false">I856*Hypothèses!$J$24/12/Hypothèses!$J$19</f>
        <v>104.576064041213</v>
      </c>
      <c r="AF856" s="2" t="n">
        <f aca="false">Entrées!$C$36*S856*1000</f>
        <v>286.559168764411</v>
      </c>
      <c r="AG856" s="2" t="n">
        <f aca="false">-AF856/W856</f>
        <v>-25.8030919516991</v>
      </c>
      <c r="AH856" s="2" t="n">
        <f aca="false">AD856+AE856+AG856</f>
        <v>7533.73523815071</v>
      </c>
      <c r="AI856" s="2" t="n">
        <f aca="false">Entrées!$C$16-M856+Hypothèses!$J$22*1000-AF856+Hypothèses!$J$23</f>
        <v>22611.0973925142</v>
      </c>
      <c r="AJ856" s="2" t="n">
        <f aca="false">AI856/AH856</f>
        <v>3.00131298456202</v>
      </c>
      <c r="AK856" s="2" t="n">
        <f aca="false">AI856/(AH856+I856*(12-Hypothèses!$J$24)/12/Hypothèses!$J$19)</f>
        <v>2.97184704079287</v>
      </c>
      <c r="AL856" s="2" t="n">
        <f aca="false">(AD856+AG856+I856/Hypothèses!$J$19)*(1+G856)</f>
        <v>8082.11231932274</v>
      </c>
      <c r="AM856" s="2" t="n">
        <f aca="false">Entrées!$C$54*K856/Hypothèses!$J$19</f>
        <v>37.9289308715046</v>
      </c>
      <c r="AN856" s="2" t="n">
        <f aca="false">Y856*1000/AC856</f>
        <v>58.5955940460859</v>
      </c>
      <c r="AO856" s="2" t="n">
        <f aca="false">(Entrées!$C$36*(1-S856)+MAX(0,Entrées!$C$30-Entrées!$C$35-Entrées!$C$36)*U856)*1000</f>
        <v>1331.00615198977</v>
      </c>
      <c r="AP856" s="2" t="n">
        <f aca="false">-AO856/W856</f>
        <v>-119.849852566764</v>
      </c>
      <c r="AQ856" s="2" t="n">
        <f aca="false">AL856+AM856+AN856+AP856</f>
        <v>8058.78699167357</v>
      </c>
      <c r="AR856" s="2" t="n">
        <f aca="false">O856*AQ856-Hypothèses!$J$25/Hypothèses!$J$19</f>
        <v>1491.08647828789</v>
      </c>
      <c r="AS856" s="2" t="n">
        <f aca="false">Entrées!$C$79*(1+Q856)+Hypothèses!$J$20</f>
        <v>1502.21833776511</v>
      </c>
      <c r="AT856" s="2" t="n">
        <f aca="false">AI856-AR856+AS856+Y856*1000-AO856+Hypothèses!$J$23</f>
        <v>21880.431402179</v>
      </c>
      <c r="AU856" s="2" t="n">
        <f aca="false">AT856/AQ856</f>
        <v>2.71510233795559</v>
      </c>
      <c r="AV856" s="2" t="n">
        <f aca="false">Hypothèses!$J$26*AQ856-AT856</f>
        <v>2295.92957284167</v>
      </c>
      <c r="AW856" s="2" t="n">
        <f aca="false">IF(AC856&gt;Hypothèses!$J$26,MAX(0,AV856)/(1-Hypothèses!$J$26/AC856),0)</f>
        <v>3272.15855963395</v>
      </c>
      <c r="AX856" s="2" t="n">
        <f aca="false">AQ856-Entrées!$C$17*1000</f>
        <v>58.786991673569</v>
      </c>
      <c r="AY856" s="2" t="n">
        <f aca="false">AI856+(Entrées!$C$244-Entrées!$C$13)</f>
        <v>28358.0973925142</v>
      </c>
      <c r="AZ856" s="2" t="n">
        <f aca="false">AA856*AH856</f>
        <v>5571.16833220996</v>
      </c>
      <c r="BA856" s="2" t="n">
        <f aca="false">AZ856/AY856</f>
        <v>0.196457761432211</v>
      </c>
      <c r="BB856" s="2" t="n">
        <f aca="false">AZ856/(Entrées!$C$151/100)-AY856</f>
        <v>2592.83778643003</v>
      </c>
      <c r="BC856" s="2" t="n">
        <f aca="false">AT856+(Entrées!$C$244-Entrées!$C$13)</f>
        <v>27627.431402179</v>
      </c>
      <c r="BD856" s="2" t="n">
        <f aca="false">AA856*AQ856</f>
        <v>5959.44209144495</v>
      </c>
      <c r="BE856" s="2" t="n">
        <f aca="false">BD856/BC856</f>
        <v>0.215707425156249</v>
      </c>
      <c r="BF856" s="2" t="n">
        <f aca="false">BD856/(Entrées!$C$151/100)-BC856</f>
        <v>5480.58021695956</v>
      </c>
      <c r="BG856" s="2" t="n">
        <f aca="false">MIN(AV856,BF856)</f>
        <v>2295.92957284167</v>
      </c>
      <c r="BH856" s="2" t="n">
        <f aca="false">IF(AC856&gt;Hypothèses!$J$26,MAX(0,BG856)/(1-Hypothèses!$J$26/AC856),0)</f>
        <v>3272.15855963395</v>
      </c>
    </row>
    <row r="857" customFormat="false" ht="15" hidden="false" customHeight="false" outlineLevel="0" collapsed="false">
      <c r="A857" s="2" t="n">
        <v>842</v>
      </c>
      <c r="B857" s="2" t="n">
        <v>0.864831847</v>
      </c>
      <c r="C857" s="2"/>
      <c r="D857" s="2" t="n">
        <v>0.860319265</v>
      </c>
      <c r="E857" s="2" t="n">
        <f aca="false">IF(E$7=E$5,E$6,IF(NORMSDIST(E$9*SQRT($C$11)*NORMSINV($B857)+SQRT(1-E$9^2*$C$11)*NORMSINV(D857))&lt;E$8,E$5+SQRT(NORMSDIST(E$9*SQRT($C$11)*NORMSINV($B857)+SQRT(1-E$9^2*$C$11)*NORMSINV(D857))*(E$7-E$5)*(E$6-E$5)),E$7-SQRT((1-NORMSDIST(E$9*SQRT($C$11)*NORMSINV($B857)+SQRT(1-E$9^2*$C$11)*NORMSINV(D857)))*(E$7-E$5)*(E$7-E$6))))</f>
        <v>0.0582338876357555</v>
      </c>
      <c r="F857" s="2" t="n">
        <v>0.448689402</v>
      </c>
      <c r="G857" s="2" t="n">
        <f aca="false">IF(G$7=G$5,G$6,IF(NORMSDIST(G$9*SQRT($C$11)*NORMSINV($B857)+SQRT(1-G$9^2*$C$11)*NORMSINV(F857))&lt;G$8,G$5+SQRT(NORMSDIST(G$9*SQRT($C$11)*NORMSINV($B857)+SQRT(1-G$9^2*$C$11)*NORMSINV(F857))*(G$7-G$5)*(G$6-G$5)),G$7-SQRT((1-NORMSDIST(G$9*SQRT($C$11)*NORMSINV($B857)+SQRT(1-G$9^2*$C$11)*NORMSINV(F857)))*(G$7-G$5)*(G$7-G$6))))</f>
        <v>0.0588722334807098</v>
      </c>
      <c r="H857" s="2" t="n">
        <v>0.314260999</v>
      </c>
      <c r="I857" s="2" t="n">
        <f aca="false">IF(I$7=I$5,I$6,IF(NORMSDIST(I$9*SQRT($C$11)*NORMSINV($B857)+SQRT(1-I$9^2*$C$11)*NORMSINV(H857))&lt;I$8,I$5+SQRT(NORMSDIST(I$9*SQRT($C$11)*NORMSINV($B857)+SQRT(1-I$9^2*$C$11)*NORMSINV(H857))*(I$7-I$5)*(I$6-I$5)),I$7-SQRT((1-NORMSDIST(I$9*SQRT($C$11)*NORMSINV($B857)+SQRT(1-I$9^2*$C$11)*NORMSINV(H857)))*(I$7-I$5)*(I$7-I$6))))</f>
        <v>202.712367393615</v>
      </c>
      <c r="J857" s="2" t="n">
        <v>0.09534486</v>
      </c>
      <c r="K857" s="2" t="n">
        <f aca="false">IF(K$7=K$5,K$6,IF(NORMSDIST(K$9*SQRT($C$11)*NORMSINV($B857)+SQRT(1-K$9^2*$C$11)*NORMSINV(J857))&lt;K$8,K$5+SQRT(NORMSDIST(K$9*SQRT($C$11)*NORMSINV($B857)+SQRT(1-K$9^2*$C$11)*NORMSINV(J857))*(K$7-K$5)*(K$6-K$5)),K$7-SQRT((1-NORMSDIST(K$9*SQRT($C$11)*NORMSINV($B857)+SQRT(1-K$9^2*$C$11)*NORMSINV(J857)))*(K$7-K$5)*(K$7-K$6))))</f>
        <v>0.216746674770247</v>
      </c>
      <c r="L857" s="2" t="n">
        <v>0.231921674</v>
      </c>
      <c r="M857" s="2" t="n">
        <f aca="false">IF(M$7=M$5,M$6,IF(NORMSDIST(M$9*SQRT($C$11)*NORMSINV($B857)+SQRT(1-M$9^2*$C$11)*NORMSINV(L857))&lt;M$8,M$5+SQRT(NORMSDIST(M$9*SQRT($C$11)*NORMSINV($B857)+SQRT(1-M$9^2*$C$11)*NORMSINV(L857))*(M$7-M$5)*(M$6-M$5)),M$7-SQRT((1-NORMSDIST(M$9*SQRT($C$11)*NORMSINV($B857)+SQRT(1-M$9^2*$C$11)*NORMSINV(L857)))*(M$7-M$5)*(M$7-M$6))))</f>
        <v>1599.55543424643</v>
      </c>
      <c r="N857" s="2" t="n">
        <v>0.500851156</v>
      </c>
      <c r="O857" s="2" t="n">
        <f aca="false">IF(O$7=O$5,O$6,IF(NORMSDIST(O$9*SQRT($C$11)*NORMSINV($B857)+SQRT(1-O$9^2*$C$11)*NORMSINV(N857))&lt;O$8,O$5+SQRT(NORMSDIST(O$9*SQRT($C$11)*NORMSINV($B857)+SQRT(1-O$9^2*$C$11)*NORMSINV(N857))*(O$7-O$5)*(O$6-O$5)),O$7-SQRT((1-NORMSDIST(O$9*SQRT($C$11)*NORMSINV($B857)+SQRT(1-O$9^2*$C$11)*NORMSINV(N857)))*(O$7-O$5)*(O$7-O$6))))</f>
        <v>0.173933443868573</v>
      </c>
      <c r="P857" s="2" t="n">
        <v>0.072189871</v>
      </c>
      <c r="Q857" s="2" t="n">
        <f aca="false">IF(Q$7=Q$5,Q$6,IF(NORMSDIST(Q$9*SQRT($C$11)*NORMSINV($B857)+SQRT(1-Q$9^2*$C$11)*NORMSINV(P857))&lt;Q$8,Q$5+SQRT(NORMSDIST(Q$9*SQRT($C$11)*NORMSINV($B857)+SQRT(1-Q$9^2*$C$11)*NORMSINV(P857))*(Q$7-Q$5)*(Q$6-Q$5)),Q$7-SQRT((1-NORMSDIST(Q$9*SQRT($C$11)*NORMSINV($B857)+SQRT(1-Q$9^2*$C$11)*NORMSINV(P857)))*(Q$7-Q$5)*(Q$7-Q$6))))</f>
        <v>0.0551989337520762</v>
      </c>
      <c r="R857" s="2" t="n">
        <v>0.205899636</v>
      </c>
      <c r="S857" s="2" t="n">
        <f aca="false">IF(S$7=S$5,S$6,IF(NORMSDIST(S$9*SQRT($C$11)*NORMSINV($B857)+SQRT(1-S$9^2*$C$11)*NORMSINV(R857))&lt;S$8,S$5+SQRT(NORMSDIST(S$9*SQRT($C$11)*NORMSINV($B857)+SQRT(1-S$9^2*$C$11)*NORMSINV(R857))*(S$7-S$5)*(S$6-S$5)),S$7-SQRT((1-NORMSDIST(S$9*SQRT($C$11)*NORMSINV($B857)+SQRT(1-S$9^2*$C$11)*NORMSINV(R857)))*(S$7-S$5)*(S$7-S$6))))</f>
        <v>0.512396002893482</v>
      </c>
      <c r="T857" s="2" t="n">
        <v>0.394537641</v>
      </c>
      <c r="U857" s="2" t="n">
        <f aca="false">IF(U$7=U$5,U$6,IF(NORMSDIST(U$9*SQRT($C$11)*NORMSINV($B857)+SQRT(1-U$9^2*$C$11)*NORMSINV(T857))&lt;U$8,U$5+SQRT(NORMSDIST(U$9*SQRT($C$11)*NORMSINV($B857)+SQRT(1-U$9^2*$C$11)*NORMSINV(T857))*(U$7-U$5)*(U$6-U$5)),U$7-SQRT((1-NORMSDIST(U$9*SQRT($C$11)*NORMSINV($B857)+SQRT(1-U$9^2*$C$11)*NORMSINV(T857)))*(U$7-U$5)*(U$7-U$6))))</f>
        <v>0.604974674326661</v>
      </c>
      <c r="V857" s="2" t="n">
        <v>0.100349258</v>
      </c>
      <c r="W857" s="2" t="n">
        <f aca="false">IF(W$7=W$5,W$6,IF(NORMSDIST(W$9*SQRT($C$11)*NORMSINV($B857)+SQRT(1-W$9^2*$C$11)*NORMSINV(V857))&lt;W$8,W$5+SQRT(NORMSDIST(W$9*SQRT($C$11)*NORMSINV($B857)+SQRT(1-W$9^2*$C$11)*NORMSINV(V857))*(W$7-W$5)*(W$6-W$5)),W$7-SQRT((1-NORMSDIST(W$9*SQRT($C$11)*NORMSINV($B857)+SQRT(1-W$9^2*$C$11)*NORMSINV(V857)))*(W$7-W$5)*(W$7-W$6))))</f>
        <v>9.75357888628679</v>
      </c>
      <c r="X857" s="2" t="n">
        <v>0.035382196</v>
      </c>
      <c r="Y857" s="2" t="n">
        <f aca="false">IF(Y$7=Y$5,Y$6,IF(NORMSDIST(Y$9*SQRT($C$11)*NORMSINV($B857)+SQRT(1-Y$9^2*$C$11)*NORMSINV(X857))&lt;Y$8,Y$5+SQRT(NORMSDIST(Y$9*SQRT($C$11)*NORMSINV($B857)+SQRT(1-Y$9^2*$C$11)*NORMSINV(X857))*(Y$7-Y$5)*(Y$6-Y$5)),Y$7-SQRT((1-NORMSDIST(Y$9*SQRT($C$11)*NORMSINV($B857)+SQRT(1-Y$9^2*$C$11)*NORMSINV(X857)))*(Y$7-Y$5)*(Y$7-Y$6))))</f>
        <v>0.133007886984194</v>
      </c>
      <c r="Z857" s="2" t="n">
        <v>0.858397881</v>
      </c>
      <c r="AA857" s="2" t="n">
        <f aca="false">IF(AA$7=AA$5,AA$6,IF(NORMSDIST(AA$9*SQRT($C$11)*NORMSINV($B857)+SQRT(1-AA$9^2*$C$11)*NORMSINV(Z857))&lt;AA$8,AA$5+SQRT(NORMSDIST(AA$9*SQRT($C$11)*NORMSINV($B857)+SQRT(1-AA$9^2*$C$11)*NORMSINV(Z857))*(AA$7-AA$5)*(AA$6-AA$5)),AA$7-SQRT((1-NORMSDIST(AA$9*SQRT($C$11)*NORMSINV($B857)+SQRT(1-AA$9^2*$C$11)*NORMSINV(Z857)))*(AA$7-AA$5)*(AA$7-AA$6))))</f>
        <v>0.744857772503188</v>
      </c>
      <c r="AB857" s="2" t="n">
        <v>0.676074937</v>
      </c>
      <c r="AC857" s="2" t="n">
        <f aca="false">IF(AC$7=AC$5,AC$6,IF(NORMSDIST(AC$9*SQRT($C$11)*NORMSINV($B857)+SQRT(1-AC$9^2*$C$11)*NORMSINV(AB857))&lt;AC$8,AC$5+SQRT(NORMSDIST(AC$9*SQRT($C$11)*NORMSINV($B857)+SQRT(1-AC$9^2*$C$11)*NORMSINV(AB857))*(AC$7-AC$5)*(AC$6-AC$5)),AC$7-SQRT((1-NORMSDIST(AC$9*SQRT($C$11)*NORMSINV($B857)+SQRT(1-AC$9^2*$C$11)*NORMSINV(AB857)))*(AC$7-AC$5)*(AC$7-AC$6))))</f>
        <v>10.2040778777316</v>
      </c>
      <c r="AD857" s="2" t="n">
        <f aca="false">Entrées!$C$8*(1+E857)</f>
        <v>7460.54890783208</v>
      </c>
      <c r="AE857" s="2" t="n">
        <f aca="false">I857*Hypothèses!$J$24/12/Hypothèses!$J$19</f>
        <v>100.5649566578</v>
      </c>
      <c r="AF857" s="2" t="n">
        <f aca="false">Entrées!$C$36*S857*1000</f>
        <v>256.198001446741</v>
      </c>
      <c r="AG857" s="2" t="n">
        <f aca="false">-AF857/W857</f>
        <v>-26.2670763658811</v>
      </c>
      <c r="AH857" s="2" t="n">
        <f aca="false">AD857+AE857+AG857</f>
        <v>7534.846788124</v>
      </c>
      <c r="AI857" s="2" t="n">
        <f aca="false">Entrées!$C$16-M857+Hypothèses!$J$22*1000-AF857+Hypothèses!$J$23</f>
        <v>22692.2465643068</v>
      </c>
      <c r="AJ857" s="2" t="n">
        <f aca="false">AI857/AH857</f>
        <v>3.01164007741645</v>
      </c>
      <c r="AK857" s="2" t="n">
        <f aca="false">AI857/(AH857+I857*(12-Hypothèses!$J$24)/12/Hypothèses!$J$19)</f>
        <v>2.98320027209771</v>
      </c>
      <c r="AL857" s="2" t="n">
        <f aca="false">(AD857+AG857+I857/Hypothèses!$J$19)*(1+G857)</f>
        <v>8054.50107623734</v>
      </c>
      <c r="AM857" s="2" t="n">
        <f aca="false">Entrées!$C$54*K857/Hypothèses!$J$19</f>
        <v>22.1199082207816</v>
      </c>
      <c r="AN857" s="2" t="n">
        <f aca="false">Y857*1000/AC857</f>
        <v>13.0347777210185</v>
      </c>
      <c r="AO857" s="2" t="n">
        <f aca="false">(Entrées!$C$36*(1-S857)+MAX(0,Entrées!$C$30-Entrées!$C$35-Entrées!$C$36)*U857)*1000</f>
        <v>1090.76654261058</v>
      </c>
      <c r="AP857" s="2" t="n">
        <f aca="false">-AO857/W857</f>
        <v>-111.832441745477</v>
      </c>
      <c r="AQ857" s="2" t="n">
        <f aca="false">AL857+AM857+AN857+AP857</f>
        <v>7977.82332043366</v>
      </c>
      <c r="AR857" s="2" t="n">
        <f aca="false">O857*AQ857-Hypothèses!$J$25/Hypothèses!$J$19</f>
        <v>1368.47512243642</v>
      </c>
      <c r="AS857" s="2" t="n">
        <f aca="false">Entrées!$C$79*(1+Q857)+Hypothèses!$J$20</f>
        <v>1454.66362819353</v>
      </c>
      <c r="AT857" s="2" t="n">
        <f aca="false">AI857-AR857+AS857+Y857*1000-AO857+Hypothèses!$J$23</f>
        <v>21820.6764144376</v>
      </c>
      <c r="AU857" s="2" t="n">
        <f aca="false">AT857/AQ857</f>
        <v>2.73516666614415</v>
      </c>
      <c r="AV857" s="2" t="n">
        <f aca="false">Hypothèses!$J$26*AQ857-AT857</f>
        <v>2112.79354686341</v>
      </c>
      <c r="AW857" s="2" t="n">
        <f aca="false">IF(AC857&gt;Hypothèses!$J$26,MAX(0,AV857)/(1-Hypothèses!$J$26/AC857),0)</f>
        <v>2992.62587907386</v>
      </c>
      <c r="AX857" s="2" t="n">
        <f aca="false">AQ857-Entrées!$C$17*1000</f>
        <v>-22.1766795663425</v>
      </c>
      <c r="AY857" s="2" t="n">
        <f aca="false">AI857+(Entrées!$C$244-Entrées!$C$13)</f>
        <v>28439.2465643068</v>
      </c>
      <c r="AZ857" s="2" t="n">
        <f aca="false">AA857*AH857</f>
        <v>5612.38919475484</v>
      </c>
      <c r="BA857" s="2" t="n">
        <f aca="false">AZ857/AY857</f>
        <v>0.197346620349597</v>
      </c>
      <c r="BB857" s="2" t="n">
        <f aca="false">AZ857/(Entrées!$C$151/100)-AY857</f>
        <v>2740.69340655341</v>
      </c>
      <c r="BC857" s="2" t="n">
        <f aca="false">AT857+(Entrées!$C$244-Entrées!$C$13)</f>
        <v>27567.6764144376</v>
      </c>
      <c r="BD857" s="2" t="n">
        <f aca="false">AA857*AQ857</f>
        <v>5942.3437078822</v>
      </c>
      <c r="BE857" s="2" t="n">
        <f aca="false">BD857/BC857</f>
        <v>0.215554754000599</v>
      </c>
      <c r="BF857" s="2" t="n">
        <f aca="false">BD857/(Entrées!$C$151/100)-BC857</f>
        <v>5445.34418490802</v>
      </c>
      <c r="BG857" s="2" t="n">
        <f aca="false">MIN(AV857,BF857)</f>
        <v>2112.79354686341</v>
      </c>
      <c r="BH857" s="2" t="n">
        <f aca="false">IF(AC857&gt;Hypothèses!$J$26,MAX(0,BG857)/(1-Hypothèses!$J$26/AC857),0)</f>
        <v>2992.62587907386</v>
      </c>
    </row>
    <row r="858" customFormat="false" ht="15" hidden="false" customHeight="false" outlineLevel="0" collapsed="false">
      <c r="A858" s="2" t="n">
        <v>843</v>
      </c>
      <c r="B858" s="2" t="n">
        <v>0.055093546</v>
      </c>
      <c r="C858" s="2"/>
      <c r="D858" s="2" t="n">
        <v>0.924989396</v>
      </c>
      <c r="E858" s="2" t="n">
        <f aca="false">IF(E$7=E$5,E$6,IF(NORMSDIST(E$9*SQRT($C$11)*NORMSINV($B858)+SQRT(1-E$9^2*$C$11)*NORMSINV(D858))&lt;E$8,E$5+SQRT(NORMSDIST(E$9*SQRT($C$11)*NORMSINV($B858)+SQRT(1-E$9^2*$C$11)*NORMSINV(D858))*(E$7-E$5)*(E$6-E$5)),E$7-SQRT((1-NORMSDIST(E$9*SQRT($C$11)*NORMSINV($B858)+SQRT(1-E$9^2*$C$11)*NORMSINV(D858)))*(E$7-E$5)*(E$7-E$6))))</f>
        <v>0.0552130928092295</v>
      </c>
      <c r="F858" s="2" t="n">
        <v>0.454903456</v>
      </c>
      <c r="G858" s="2" t="n">
        <f aca="false">IF(G$7=G$5,G$6,IF(NORMSDIST(G$9*SQRT($C$11)*NORMSINV($B858)+SQRT(1-G$9^2*$C$11)*NORMSINV(F858))&lt;G$8,G$5+SQRT(NORMSDIST(G$9*SQRT($C$11)*NORMSINV($B858)+SQRT(1-G$9^2*$C$11)*NORMSINV(F858))*(G$7-G$5)*(G$6-G$5)),G$7-SQRT((1-NORMSDIST(G$9*SQRT($C$11)*NORMSINV($B858)+SQRT(1-G$9^2*$C$11)*NORMSINV(F858)))*(G$7-G$5)*(G$7-G$6))))</f>
        <v>0.0478259670959308</v>
      </c>
      <c r="H858" s="2" t="n">
        <v>0.276990632</v>
      </c>
      <c r="I858" s="2" t="n">
        <f aca="false">IF(I$7=I$5,I$6,IF(NORMSDIST(I$9*SQRT($C$11)*NORMSINV($B858)+SQRT(1-I$9^2*$C$11)*NORMSINV(H858))&lt;I$8,I$5+SQRT(NORMSDIST(I$9*SQRT($C$11)*NORMSINV($B858)+SQRT(1-I$9^2*$C$11)*NORMSINV(H858))*(I$7-I$5)*(I$6-I$5)),I$7-SQRT((1-NORMSDIST(I$9*SQRT($C$11)*NORMSINV($B858)+SQRT(1-I$9^2*$C$11)*NORMSINV(H858)))*(I$7-I$5)*(I$7-I$6))))</f>
        <v>187.534554050021</v>
      </c>
      <c r="J858" s="2" t="n">
        <v>0.28441884</v>
      </c>
      <c r="K858" s="2" t="n">
        <f aca="false">IF(K$7=K$5,K$6,IF(NORMSDIST(K$9*SQRT($C$11)*NORMSINV($B858)+SQRT(1-K$9^2*$C$11)*NORMSINV(J858))&lt;K$8,K$5+SQRT(NORMSDIST(K$9*SQRT($C$11)*NORMSINV($B858)+SQRT(1-K$9^2*$C$11)*NORMSINV(J858))*(K$7-K$5)*(K$6-K$5)),K$7-SQRT((1-NORMSDIST(K$9*SQRT($C$11)*NORMSINV($B858)+SQRT(1-K$9^2*$C$11)*NORMSINV(J858)))*(K$7-K$5)*(K$7-K$6))))</f>
        <v>0.0957258724023143</v>
      </c>
      <c r="L858" s="2" t="n">
        <v>0.306152077</v>
      </c>
      <c r="M858" s="2" t="n">
        <f aca="false">IF(M$7=M$5,M$6,IF(NORMSDIST(M$9*SQRT($C$11)*NORMSINV($B858)+SQRT(1-M$9^2*$C$11)*NORMSINV(L858))&lt;M$8,M$5+SQRT(NORMSDIST(M$9*SQRT($C$11)*NORMSINV($B858)+SQRT(1-M$9^2*$C$11)*NORMSINV(L858))*(M$7-M$5)*(M$6-M$5)),M$7-SQRT((1-NORMSDIST(M$9*SQRT($C$11)*NORMSINV($B858)+SQRT(1-M$9^2*$C$11)*NORMSINV(L858)))*(M$7-M$5)*(M$7-M$6))))</f>
        <v>1416.29769110267</v>
      </c>
      <c r="N858" s="2" t="n">
        <v>0.935215456</v>
      </c>
      <c r="O858" s="2" t="n">
        <f aca="false">IF(O$7=O$5,O$6,IF(NORMSDIST(O$9*SQRT($C$11)*NORMSINV($B858)+SQRT(1-O$9^2*$C$11)*NORMSINV(N858))&lt;O$8,O$5+SQRT(NORMSDIST(O$9*SQRT($C$11)*NORMSINV($B858)+SQRT(1-O$9^2*$C$11)*NORMSINV(N858))*(O$7-O$5)*(O$6-O$5)),O$7-SQRT((1-NORMSDIST(O$9*SQRT($C$11)*NORMSINV($B858)+SQRT(1-O$9^2*$C$11)*NORMSINV(N858)))*(O$7-O$5)*(O$7-O$6))))</f>
        <v>0.168474520459282</v>
      </c>
      <c r="P858" s="2" t="n">
        <v>0.388416033</v>
      </c>
      <c r="Q858" s="2" t="n">
        <f aca="false">IF(Q$7=Q$5,Q$6,IF(NORMSDIST(Q$9*SQRT($C$11)*NORMSINV($B858)+SQRT(1-Q$9^2*$C$11)*NORMSINV(P858))&lt;Q$8,Q$5+SQRT(NORMSDIST(Q$9*SQRT($C$11)*NORMSINV($B858)+SQRT(1-Q$9^2*$C$11)*NORMSINV(P858))*(Q$7-Q$5)*(Q$6-Q$5)),Q$7-SQRT((1-NORMSDIST(Q$9*SQRT($C$11)*NORMSINV($B858)+SQRT(1-Q$9^2*$C$11)*NORMSINV(P858)))*(Q$7-Q$5)*(Q$7-Q$6))))</f>
        <v>0.0752552308969889</v>
      </c>
      <c r="R858" s="2" t="n">
        <v>0.700510033</v>
      </c>
      <c r="S858" s="2" t="n">
        <f aca="false">IF(S$7=S$5,S$6,IF(NORMSDIST(S$9*SQRT($C$11)*NORMSINV($B858)+SQRT(1-S$9^2*$C$11)*NORMSINV(R858))&lt;S$8,S$5+SQRT(NORMSDIST(S$9*SQRT($C$11)*NORMSINV($B858)+SQRT(1-S$9^2*$C$11)*NORMSINV(R858))*(S$7-S$5)*(S$6-S$5)),S$7-SQRT((1-NORMSDIST(S$9*SQRT($C$11)*NORMSINV($B858)+SQRT(1-S$9^2*$C$11)*NORMSINV(R858)))*(S$7-S$5)*(S$7-S$6))))</f>
        <v>0.369649349948997</v>
      </c>
      <c r="T858" s="2" t="n">
        <v>0.92247795</v>
      </c>
      <c r="U858" s="2" t="n">
        <f aca="false">IF(U$7=U$5,U$6,IF(NORMSDIST(U$9*SQRT($C$11)*NORMSINV($B858)+SQRT(1-U$9^2*$C$11)*NORMSINV(T858))&lt;U$8,U$5+SQRT(NORMSDIST(U$9*SQRT($C$11)*NORMSINV($B858)+SQRT(1-U$9^2*$C$11)*NORMSINV(T858))*(U$7-U$5)*(U$6-U$5)),U$7-SQRT((1-NORMSDIST(U$9*SQRT($C$11)*NORMSINV($B858)+SQRT(1-U$9^2*$C$11)*NORMSINV(T858)))*(U$7-U$5)*(U$7-U$6))))</f>
        <v>0.518503856545959</v>
      </c>
      <c r="V858" s="2" t="n">
        <v>0.531101986</v>
      </c>
      <c r="W858" s="2" t="n">
        <f aca="false">IF(W$7=W$5,W$6,IF(NORMSDIST(W$9*SQRT($C$11)*NORMSINV($B858)+SQRT(1-W$9^2*$C$11)*NORMSINV(V858))&lt;W$8,W$5+SQRT(NORMSDIST(W$9*SQRT($C$11)*NORMSINV($B858)+SQRT(1-W$9^2*$C$11)*NORMSINV(V858))*(W$7-W$5)*(W$6-W$5)),W$7-SQRT((1-NORMSDIST(W$9*SQRT($C$11)*NORMSINV($B858)+SQRT(1-W$9^2*$C$11)*NORMSINV(V858)))*(W$7-W$5)*(W$7-W$6))))</f>
        <v>9.16997676471677</v>
      </c>
      <c r="X858" s="2" t="n">
        <v>0.944599583</v>
      </c>
      <c r="Y858" s="2" t="n">
        <f aca="false">IF(Y$7=Y$5,Y$6,IF(NORMSDIST(Y$9*SQRT($C$11)*NORMSINV($B858)+SQRT(1-Y$9^2*$C$11)*NORMSINV(X858))&lt;Y$8,Y$5+SQRT(NORMSDIST(Y$9*SQRT($C$11)*NORMSINV($B858)+SQRT(1-Y$9^2*$C$11)*NORMSINV(X858))*(Y$7-Y$5)*(Y$6-Y$5)),Y$7-SQRT((1-NORMSDIST(Y$9*SQRT($C$11)*NORMSINV($B858)+SQRT(1-Y$9^2*$C$11)*NORMSINV(X858)))*(Y$7-Y$5)*(Y$7-Y$6))))</f>
        <v>0.833566203852703</v>
      </c>
      <c r="Z858" s="2" t="n">
        <v>0.032616514</v>
      </c>
      <c r="AA858" s="2" t="n">
        <f aca="false">IF(AA$7=AA$5,AA$6,IF(NORMSDIST(AA$9*SQRT($C$11)*NORMSINV($B858)+SQRT(1-AA$9^2*$C$11)*NORMSINV(Z858))&lt;AA$8,AA$5+SQRT(NORMSDIST(AA$9*SQRT($C$11)*NORMSINV($B858)+SQRT(1-AA$9^2*$C$11)*NORMSINV(Z858))*(AA$7-AA$5)*(AA$6-AA$5)),AA$7-SQRT((1-NORMSDIST(AA$9*SQRT($C$11)*NORMSINV($B858)+SQRT(1-AA$9^2*$C$11)*NORMSINV(Z858)))*(AA$7-AA$5)*(AA$7-AA$6))))</f>
        <v>0.699295091279343</v>
      </c>
      <c r="AB858" s="2" t="n">
        <v>0.767709893</v>
      </c>
      <c r="AC858" s="2" t="n">
        <f aca="false">IF(AC$7=AC$5,AC$6,IF(NORMSDIST(AC$9*SQRT($C$11)*NORMSINV($B858)+SQRT(1-AC$9^2*$C$11)*NORMSINV(AB858))&lt;AC$8,AC$5+SQRT(NORMSDIST(AC$9*SQRT($C$11)*NORMSINV($B858)+SQRT(1-AC$9^2*$C$11)*NORMSINV(AB858))*(AC$7-AC$5)*(AC$6-AC$5)),AC$7-SQRT((1-NORMSDIST(AC$9*SQRT($C$11)*NORMSINV($B858)+SQRT(1-AC$9^2*$C$11)*NORMSINV(AB858)))*(AC$7-AC$5)*(AC$7-AC$6))))</f>
        <v>9.08497351111086</v>
      </c>
      <c r="AD858" s="2" t="n">
        <f aca="false">Entrées!$C$8*(1+E858)</f>
        <v>7439.25230430507</v>
      </c>
      <c r="AE858" s="2" t="n">
        <f aca="false">I858*Hypothèses!$J$24/12/Hypothèses!$J$19</f>
        <v>93.0352920365247</v>
      </c>
      <c r="AF858" s="2" t="n">
        <f aca="false">Entrées!$C$36*S858*1000</f>
        <v>184.824674974498</v>
      </c>
      <c r="AG858" s="2" t="n">
        <f aca="false">-AF858/W858</f>
        <v>-20.1554136631672</v>
      </c>
      <c r="AH858" s="2" t="n">
        <f aca="false">AD858+AE858+AG858</f>
        <v>7512.13218267842</v>
      </c>
      <c r="AI858" s="2" t="n">
        <f aca="false">Entrées!$C$16-M858+Hypothèses!$J$22*1000-AF858+Hypothèses!$J$23</f>
        <v>22946.8776339228</v>
      </c>
      <c r="AJ858" s="2" t="n">
        <f aca="false">AI858/AH858</f>
        <v>3.05464242054128</v>
      </c>
      <c r="AK858" s="2" t="n">
        <f aca="false">AI858/(AH858+I858*(12-Hypothèses!$J$24)/12/Hypothèses!$J$19)</f>
        <v>3.02785740596574</v>
      </c>
      <c r="AL858" s="2" t="n">
        <f aca="false">(AD858+AG858+I858/Hypothèses!$J$19)*(1+G858)</f>
        <v>7941.0391655905</v>
      </c>
      <c r="AM858" s="2" t="n">
        <f aca="false">Entrées!$C$54*K858/Hypothèses!$J$19</f>
        <v>9.76922720562127</v>
      </c>
      <c r="AN858" s="2" t="n">
        <f aca="false">Y858*1000/AC858</f>
        <v>91.7521886919381</v>
      </c>
      <c r="AO858" s="2" t="n">
        <f aca="false">(Entrées!$C$36*(1-S858)+MAX(0,Entrées!$C$30-Entrées!$C$35-Entrées!$C$36)*U858)*1000</f>
        <v>1041.08072418984</v>
      </c>
      <c r="AP858" s="2" t="n">
        <f aca="false">-AO858/W858</f>
        <v>-113.53144625138</v>
      </c>
      <c r="AQ858" s="2" t="n">
        <f aca="false">AL858+AM858+AN858+AP858</f>
        <v>7929.02913523668</v>
      </c>
      <c r="AR858" s="2" t="n">
        <f aca="false">O858*AQ858-Hypothèses!$J$25/Hypothèses!$J$19</f>
        <v>1316.70421900505</v>
      </c>
      <c r="AS858" s="2" t="n">
        <f aca="false">Entrées!$C$79*(1+Q858)+Hypothèses!$J$20</f>
        <v>1476.70549875579</v>
      </c>
      <c r="AT858" s="2" t="n">
        <f aca="false">AI858-AR858+AS858+Y858*1000-AO858+Hypothèses!$J$23</f>
        <v>22899.3643933364</v>
      </c>
      <c r="AU858" s="2" t="n">
        <f aca="false">AT858/AQ858</f>
        <v>2.88804139860849</v>
      </c>
      <c r="AV858" s="2" t="n">
        <f aca="false">Hypothèses!$J$26*AQ858-AT858</f>
        <v>887.723012373612</v>
      </c>
      <c r="AW858" s="2" t="n">
        <f aca="false">IF(AC858&gt;Hypothèses!$J$26,MAX(0,AV858)/(1-Hypothèses!$J$26/AC858),0)</f>
        <v>1325.38622195998</v>
      </c>
      <c r="AX858" s="2" t="n">
        <f aca="false">AQ858-Entrées!$C$17*1000</f>
        <v>-70.9708647633188</v>
      </c>
      <c r="AY858" s="2" t="n">
        <f aca="false">AI858+(Entrées!$C$244-Entrées!$C$13)</f>
        <v>28693.8776339228</v>
      </c>
      <c r="AZ858" s="2" t="n">
        <f aca="false">AA858*AH858</f>
        <v>5253.1971603886</v>
      </c>
      <c r="BA858" s="2" t="n">
        <f aca="false">AZ858/AY858</f>
        <v>0.183077283154581</v>
      </c>
      <c r="BB858" s="2" t="n">
        <f aca="false">AZ858/(Entrées!$C$151/100)-AY858</f>
        <v>490.551034902732</v>
      </c>
      <c r="BC858" s="2" t="n">
        <f aca="false">AT858+(Entrées!$C$244-Entrées!$C$13)</f>
        <v>28646.3643933364</v>
      </c>
      <c r="BD858" s="2" t="n">
        <f aca="false">AA858*AQ858</f>
        <v>5544.73115288191</v>
      </c>
      <c r="BE858" s="2" t="n">
        <f aca="false">BD858/BC858</f>
        <v>0.193557935546323</v>
      </c>
      <c r="BF858" s="2" t="n">
        <f aca="false">BD858/(Entrées!$C$151/100)-BC858</f>
        <v>2157.69756711861</v>
      </c>
      <c r="BG858" s="2" t="n">
        <f aca="false">MIN(AV858,BF858)</f>
        <v>887.723012373612</v>
      </c>
      <c r="BH858" s="2" t="n">
        <f aca="false">IF(AC858&gt;Hypothèses!$J$26,MAX(0,BG858)/(1-Hypothèses!$J$26/AC858),0)</f>
        <v>1325.38622195998</v>
      </c>
    </row>
    <row r="859" customFormat="false" ht="15" hidden="false" customHeight="false" outlineLevel="0" collapsed="false">
      <c r="A859" s="2" t="n">
        <v>844</v>
      </c>
      <c r="B859" s="2" t="n">
        <v>0.413544677</v>
      </c>
      <c r="C859" s="2"/>
      <c r="D859" s="2" t="n">
        <v>0.329482614</v>
      </c>
      <c r="E859" s="2" t="n">
        <f aca="false">IF(E$7=E$5,E$6,IF(NORMSDIST(E$9*SQRT($C$11)*NORMSINV($B859)+SQRT(1-E$9^2*$C$11)*NORMSINV(D859))&lt;E$8,E$5+SQRT(NORMSDIST(E$9*SQRT($C$11)*NORMSINV($B859)+SQRT(1-E$9^2*$C$11)*NORMSINV(D859))*(E$7-E$5)*(E$6-E$5)),E$7-SQRT((1-NORMSDIST(E$9*SQRT($C$11)*NORMSINV($B859)+SQRT(1-E$9^2*$C$11)*NORMSINV(D859)))*(E$7-E$5)*(E$7-E$6))))</f>
        <v>0.0539724611117276</v>
      </c>
      <c r="F859" s="2" t="n">
        <v>0.391513647</v>
      </c>
      <c r="G859" s="2" t="n">
        <f aca="false">IF(G$7=G$5,G$6,IF(NORMSDIST(G$9*SQRT($C$11)*NORMSINV($B859)+SQRT(1-G$9^2*$C$11)*NORMSINV(F859))&lt;G$8,G$5+SQRT(NORMSDIST(G$9*SQRT($C$11)*NORMSINV($B859)+SQRT(1-G$9^2*$C$11)*NORMSINV(F859))*(G$7-G$5)*(G$6-G$5)),G$7-SQRT((1-NORMSDIST(G$9*SQRT($C$11)*NORMSINV($B859)+SQRT(1-G$9^2*$C$11)*NORMSINV(F859)))*(G$7-G$5)*(G$7-G$6))))</f>
        <v>0.0527742053736291</v>
      </c>
      <c r="H859" s="2" t="n">
        <v>0.659167621</v>
      </c>
      <c r="I859" s="2" t="n">
        <f aca="false">IF(I$7=I$5,I$6,IF(NORMSDIST(I$9*SQRT($C$11)*NORMSINV($B859)+SQRT(1-I$9^2*$C$11)*NORMSINV(H859))&lt;I$8,I$5+SQRT(NORMSDIST(I$9*SQRT($C$11)*NORMSINV($B859)+SQRT(1-I$9^2*$C$11)*NORMSINV(H859))*(I$7-I$5)*(I$6-I$5)),I$7-SQRT((1-NORMSDIST(I$9*SQRT($C$11)*NORMSINV($B859)+SQRT(1-I$9^2*$C$11)*NORMSINV(H859)))*(I$7-I$5)*(I$7-I$6))))</f>
        <v>201.479954089194</v>
      </c>
      <c r="J859" s="2" t="n">
        <v>0.682892233</v>
      </c>
      <c r="K859" s="2" t="n">
        <f aca="false">IF(K$7=K$5,K$6,IF(NORMSDIST(K$9*SQRT($C$11)*NORMSINV($B859)+SQRT(1-K$9^2*$C$11)*NORMSINV(J859))&lt;K$8,K$5+SQRT(NORMSDIST(K$9*SQRT($C$11)*NORMSINV($B859)+SQRT(1-K$9^2*$C$11)*NORMSINV(J859))*(K$7-K$5)*(K$6-K$5)),K$7-SQRT((1-NORMSDIST(K$9*SQRT($C$11)*NORMSINV($B859)+SQRT(1-K$9^2*$C$11)*NORMSINV(J859)))*(K$7-K$5)*(K$7-K$6))))</f>
        <v>0.273922263150389</v>
      </c>
      <c r="L859" s="2" t="n">
        <v>0.432196526</v>
      </c>
      <c r="M859" s="2" t="n">
        <f aca="false">IF(M$7=M$5,M$6,IF(NORMSDIST(M$9*SQRT($C$11)*NORMSINV($B859)+SQRT(1-M$9^2*$C$11)*NORMSINV(L859))&lt;M$8,M$5+SQRT(NORMSDIST(M$9*SQRT($C$11)*NORMSINV($B859)+SQRT(1-M$9^2*$C$11)*NORMSINV(L859))*(M$7-M$5)*(M$6-M$5)),M$7-SQRT((1-NORMSDIST(M$9*SQRT($C$11)*NORMSINV($B859)+SQRT(1-M$9^2*$C$11)*NORMSINV(L859)))*(M$7-M$5)*(M$7-M$6))))</f>
        <v>1553.47635172095</v>
      </c>
      <c r="N859" s="2" t="n">
        <v>0.471366077</v>
      </c>
      <c r="O859" s="2" t="n">
        <f aca="false">IF(O$7=O$5,O$6,IF(NORMSDIST(O$9*SQRT($C$11)*NORMSINV($B859)+SQRT(1-O$9^2*$C$11)*NORMSINV(N859))&lt;O$8,O$5+SQRT(NORMSDIST(O$9*SQRT($C$11)*NORMSINV($B859)+SQRT(1-O$9^2*$C$11)*NORMSINV(N859))*(O$7-O$5)*(O$6-O$5)),O$7-SQRT((1-NORMSDIST(O$9*SQRT($C$11)*NORMSINV($B859)+SQRT(1-O$9^2*$C$11)*NORMSINV(N859)))*(O$7-O$5)*(O$7-O$6))))</f>
        <v>0.164640805170466</v>
      </c>
      <c r="P859" s="2" t="n">
        <v>0.476421019</v>
      </c>
      <c r="Q859" s="2" t="n">
        <f aca="false">IF(Q$7=Q$5,Q$6,IF(NORMSDIST(Q$9*SQRT($C$11)*NORMSINV($B859)+SQRT(1-Q$9^2*$C$11)*NORMSINV(P859))&lt;Q$8,Q$5+SQRT(NORMSDIST(Q$9*SQRT($C$11)*NORMSINV($B859)+SQRT(1-Q$9^2*$C$11)*NORMSINV(P859))*(Q$7-Q$5)*(Q$6-Q$5)),Q$7-SQRT((1-NORMSDIST(Q$9*SQRT($C$11)*NORMSINV($B859)+SQRT(1-Q$9^2*$C$11)*NORMSINV(P859)))*(Q$7-Q$5)*(Q$7-Q$6))))</f>
        <v>0.0790454512177795</v>
      </c>
      <c r="R859" s="2" t="n">
        <v>0.338360784</v>
      </c>
      <c r="S859" s="2" t="n">
        <f aca="false">IF(S$7=S$5,S$6,IF(NORMSDIST(S$9*SQRT($C$11)*NORMSINV($B859)+SQRT(1-S$9^2*$C$11)*NORMSINV(R859))&lt;S$8,S$5+SQRT(NORMSDIST(S$9*SQRT($C$11)*NORMSINV($B859)+SQRT(1-S$9^2*$C$11)*NORMSINV(R859))*(S$7-S$5)*(S$6-S$5)),S$7-SQRT((1-NORMSDIST(S$9*SQRT($C$11)*NORMSINV($B859)+SQRT(1-S$9^2*$C$11)*NORMSINV(R859)))*(S$7-S$5)*(S$7-S$6))))</f>
        <v>0.40147169860919</v>
      </c>
      <c r="T859" s="2" t="n">
        <v>0.603868128</v>
      </c>
      <c r="U859" s="2" t="n">
        <f aca="false">IF(U$7=U$5,U$6,IF(NORMSDIST(U$9*SQRT($C$11)*NORMSINV($B859)+SQRT(1-U$9^2*$C$11)*NORMSINV(T859))&lt;U$8,U$5+SQRT(NORMSDIST(U$9*SQRT($C$11)*NORMSINV($B859)+SQRT(1-U$9^2*$C$11)*NORMSINV(T859))*(U$7-U$5)*(U$6-U$5)),U$7-SQRT((1-NORMSDIST(U$9*SQRT($C$11)*NORMSINV($B859)+SQRT(1-U$9^2*$C$11)*NORMSINV(T859)))*(U$7-U$5)*(U$7-U$6))))</f>
        <v>0.513303893892983</v>
      </c>
      <c r="V859" s="2" t="n">
        <v>0.717374139</v>
      </c>
      <c r="W859" s="2" t="n">
        <f aca="false">IF(W$7=W$5,W$6,IF(NORMSDIST(W$9*SQRT($C$11)*NORMSINV($B859)+SQRT(1-W$9^2*$C$11)*NORMSINV(V859))&lt;W$8,W$5+SQRT(NORMSDIST(W$9*SQRT($C$11)*NORMSINV($B859)+SQRT(1-W$9^2*$C$11)*NORMSINV(V859))*(W$7-W$5)*(W$6-W$5)),W$7-SQRT((1-NORMSDIST(W$9*SQRT($C$11)*NORMSINV($B859)+SQRT(1-W$9^2*$C$11)*NORMSINV(V859)))*(W$7-W$5)*(W$7-W$6))))</f>
        <v>10.2580187149116</v>
      </c>
      <c r="X859" s="2" t="n">
        <v>0.506906386</v>
      </c>
      <c r="Y859" s="2" t="n">
        <f aca="false">IF(Y$7=Y$5,Y$6,IF(NORMSDIST(Y$9*SQRT($C$11)*NORMSINV($B859)+SQRT(1-Y$9^2*$C$11)*NORMSINV(X859))&lt;Y$8,Y$5+SQRT(NORMSDIST(Y$9*SQRT($C$11)*NORMSINV($B859)+SQRT(1-Y$9^2*$C$11)*NORMSINV(X859))*(Y$7-Y$5)*(Y$6-Y$5)),Y$7-SQRT((1-NORMSDIST(Y$9*SQRT($C$11)*NORMSINV($B859)+SQRT(1-Y$9^2*$C$11)*NORMSINV(X859)))*(Y$7-Y$5)*(Y$7-Y$6))))</f>
        <v>0.503465200615304</v>
      </c>
      <c r="Z859" s="2" t="n">
        <v>0.137271748</v>
      </c>
      <c r="AA859" s="2" t="n">
        <f aca="false">IF(AA$7=AA$5,AA$6,IF(NORMSDIST(AA$9*SQRT($C$11)*NORMSINV($B859)+SQRT(1-AA$9^2*$C$11)*NORMSINV(Z859))&lt;AA$8,AA$5+SQRT(NORMSDIST(AA$9*SQRT($C$11)*NORMSINV($B859)+SQRT(1-AA$9^2*$C$11)*NORMSINV(Z859))*(AA$7-AA$5)*(AA$6-AA$5)),AA$7-SQRT((1-NORMSDIST(AA$9*SQRT($C$11)*NORMSINV($B859)+SQRT(1-AA$9^2*$C$11)*NORMSINV(Z859)))*(AA$7-AA$5)*(AA$7-AA$6))))</f>
        <v>0.713975350958508</v>
      </c>
      <c r="AB859" s="2" t="n">
        <v>0.919502477</v>
      </c>
      <c r="AC859" s="2" t="n">
        <f aca="false">IF(AC$7=AC$5,AC$6,IF(NORMSDIST(AC$9*SQRT($C$11)*NORMSINV($B859)+SQRT(1-AC$9^2*$C$11)*NORMSINV(AB859))&lt;AC$8,AC$5+SQRT(NORMSDIST(AC$9*SQRT($C$11)*NORMSINV($B859)+SQRT(1-AC$9^2*$C$11)*NORMSINV(AB859))*(AC$7-AC$5)*(AC$6-AC$5)),AC$7-SQRT((1-NORMSDIST(AC$9*SQRT($C$11)*NORMSINV($B859)+SQRT(1-AC$9^2*$C$11)*NORMSINV(AB859)))*(AC$7-AC$5)*(AC$7-AC$6))))</f>
        <v>10.138855156945</v>
      </c>
      <c r="AD859" s="2" t="n">
        <f aca="false">Entrées!$C$8*(1+E859)</f>
        <v>7430.50585083768</v>
      </c>
      <c r="AE859" s="2" t="n">
        <f aca="false">I859*Hypothèses!$J$24/12/Hypothèses!$J$19</f>
        <v>99.9535603619693</v>
      </c>
      <c r="AF859" s="2" t="n">
        <f aca="false">Entrées!$C$36*S859*1000</f>
        <v>200.735849304595</v>
      </c>
      <c r="AG859" s="2" t="n">
        <f aca="false">-AF859/W859</f>
        <v>-19.5686764553076</v>
      </c>
      <c r="AH859" s="2" t="n">
        <f aca="false">AD859+AE859+AG859</f>
        <v>7510.89073474434</v>
      </c>
      <c r="AI859" s="2" t="n">
        <f aca="false">Entrées!$C$16-M859+Hypothèses!$J$22*1000-AF859+Hypothèses!$J$23</f>
        <v>22793.7877989745</v>
      </c>
      <c r="AJ859" s="2" t="n">
        <f aca="false">AI859/AH859</f>
        <v>3.03476493054726</v>
      </c>
      <c r="AK859" s="2" t="n">
        <f aca="false">AI859/(AH859+I859*(12-Hypothèses!$J$24)/12/Hypothèses!$J$19)</f>
        <v>3.00618934621171</v>
      </c>
      <c r="AL859" s="2" t="n">
        <f aca="false">(AD859+AG859+I859/Hypothèses!$J$19)*(1+G859)</f>
        <v>7982.43526069315</v>
      </c>
      <c r="AM859" s="2" t="n">
        <f aca="false">Entrées!$C$54*K859/Hypothèses!$J$19</f>
        <v>27.9549170797573</v>
      </c>
      <c r="AN859" s="2" t="n">
        <f aca="false">Y859*1000/AC859</f>
        <v>49.6570069127023</v>
      </c>
      <c r="AO859" s="2" t="n">
        <f aca="false">(Entrées!$C$36*(1-S859)+MAX(0,Entrées!$C$30-Entrées!$C$35-Entrées!$C$36)*U859)*1000</f>
        <v>1017.88960214558</v>
      </c>
      <c r="AP859" s="2" t="n">
        <f aca="false">-AO859/W859</f>
        <v>-99.228674701668</v>
      </c>
      <c r="AQ859" s="2" t="n">
        <f aca="false">AL859+AM859+AN859+AP859</f>
        <v>7960.81850998395</v>
      </c>
      <c r="AR859" s="2" t="n">
        <f aca="false">O859*AQ859-Hypothèses!$J$25/Hypothèses!$J$19</f>
        <v>1291.54040703808</v>
      </c>
      <c r="AS859" s="2" t="n">
        <f aca="false">Entrées!$C$79*(1+Q859)+Hypothèses!$J$20</f>
        <v>1480.87095088834</v>
      </c>
      <c r="AT859" s="2" t="n">
        <f aca="false">AI859-AR859+AS859+Y859*1000-AO859+Hypothèses!$J$23</f>
        <v>22468.6939412944</v>
      </c>
      <c r="AU859" s="2" t="n">
        <f aca="false">AT859/AQ859</f>
        <v>2.82241002142125</v>
      </c>
      <c r="AV859" s="2" t="n">
        <f aca="false">Hypothèses!$J$26*AQ859-AT859</f>
        <v>1413.76158865739</v>
      </c>
      <c r="AW859" s="2" t="n">
        <f aca="false">IF(AC859&gt;Hypothèses!$J$26,MAX(0,AV859)/(1-Hypothèses!$J$26/AC859),0)</f>
        <v>2007.8743242052</v>
      </c>
      <c r="AX859" s="2" t="n">
        <f aca="false">AQ859-Entrées!$C$17*1000</f>
        <v>-39.1814900160553</v>
      </c>
      <c r="AY859" s="2" t="n">
        <f aca="false">AI859+(Entrées!$C$244-Entrées!$C$13)</f>
        <v>28540.7877989745</v>
      </c>
      <c r="AZ859" s="2" t="n">
        <f aca="false">AA859*AH859</f>
        <v>5362.5908483501</v>
      </c>
      <c r="BA859" s="2" t="n">
        <f aca="false">AZ859/AY859</f>
        <v>0.18789218034629</v>
      </c>
      <c r="BB859" s="2" t="n">
        <f aca="false">AZ859/(Entrées!$C$151/100)-AY859</f>
        <v>1251.38358074831</v>
      </c>
      <c r="BC859" s="2" t="n">
        <f aca="false">AT859+(Entrées!$C$244-Entrées!$C$13)</f>
        <v>28215.6939412944</v>
      </c>
      <c r="BD859" s="2" t="n">
        <f aca="false">AA859*AQ859</f>
        <v>5683.82818958278</v>
      </c>
      <c r="BE859" s="2" t="n">
        <f aca="false">BD859/BC859</f>
        <v>0.201442084019218</v>
      </c>
      <c r="BF859" s="2" t="n">
        <f aca="false">BD859/(Entrées!$C$151/100)-BC859</f>
        <v>3361.12933416542</v>
      </c>
      <c r="BG859" s="2" t="n">
        <f aca="false">MIN(AV859,BF859)</f>
        <v>1413.76158865739</v>
      </c>
      <c r="BH859" s="2" t="n">
        <f aca="false">IF(AC859&gt;Hypothèses!$J$26,MAX(0,BG859)/(1-Hypothèses!$J$26/AC859),0)</f>
        <v>2007.8743242052</v>
      </c>
    </row>
    <row r="860" customFormat="false" ht="15" hidden="false" customHeight="false" outlineLevel="0" collapsed="false">
      <c r="A860" s="2" t="n">
        <v>845</v>
      </c>
      <c r="B860" s="2" t="n">
        <v>0.399792278</v>
      </c>
      <c r="C860" s="2"/>
      <c r="D860" s="2" t="n">
        <v>0.66828876</v>
      </c>
      <c r="E860" s="2" t="n">
        <f aca="false">IF(E$7=E$5,E$6,IF(NORMSDIST(E$9*SQRT($C$11)*NORMSINV($B860)+SQRT(1-E$9^2*$C$11)*NORMSINV(D860))&lt;E$8,E$5+SQRT(NORMSDIST(E$9*SQRT($C$11)*NORMSINV($B860)+SQRT(1-E$9^2*$C$11)*NORMSINV(D860))*(E$7-E$5)*(E$6-E$5)),E$7-SQRT((1-NORMSDIST(E$9*SQRT($C$11)*NORMSINV($B860)+SQRT(1-E$9^2*$C$11)*NORMSINV(D860)))*(E$7-E$5)*(E$7-E$6))))</f>
        <v>0.0553635166597692</v>
      </c>
      <c r="F860" s="2" t="n">
        <v>0.431825558</v>
      </c>
      <c r="G860" s="2" t="n">
        <f aca="false">IF(G$7=G$5,G$6,IF(NORMSDIST(G$9*SQRT($C$11)*NORMSINV($B860)+SQRT(1-G$9^2*$C$11)*NORMSINV(F860))&lt;G$8,G$5+SQRT(NORMSDIST(G$9*SQRT($C$11)*NORMSINV($B860)+SQRT(1-G$9^2*$C$11)*NORMSINV(F860))*(G$7-G$5)*(G$6-G$5)),G$7-SQRT((1-NORMSDIST(G$9*SQRT($C$11)*NORMSINV($B860)+SQRT(1-G$9^2*$C$11)*NORMSINV(F860)))*(G$7-G$5)*(G$7-G$6))))</f>
        <v>0.053154499069254</v>
      </c>
      <c r="H860" s="2" t="n">
        <v>0.161763875</v>
      </c>
      <c r="I860" s="2" t="n">
        <f aca="false">IF(I$7=I$5,I$6,IF(NORMSDIST(I$9*SQRT($C$11)*NORMSINV($B860)+SQRT(1-I$9^2*$C$11)*NORMSINV(H860))&lt;I$8,I$5+SQRT(NORMSDIST(I$9*SQRT($C$11)*NORMSINV($B860)+SQRT(1-I$9^2*$C$11)*NORMSINV(H860))*(I$7-I$5)*(I$6-I$5)),I$7-SQRT((1-NORMSDIST(I$9*SQRT($C$11)*NORMSINV($B860)+SQRT(1-I$9^2*$C$11)*NORMSINV(H860)))*(I$7-I$5)*(I$7-I$6))))</f>
        <v>191.913364544649</v>
      </c>
      <c r="J860" s="2" t="n">
        <v>0.238610654</v>
      </c>
      <c r="K860" s="2" t="n">
        <f aca="false">IF(K$7=K$5,K$6,IF(NORMSDIST(K$9*SQRT($C$11)*NORMSINV($B860)+SQRT(1-K$9^2*$C$11)*NORMSINV(J860))&lt;K$8,K$5+SQRT(NORMSDIST(K$9*SQRT($C$11)*NORMSINV($B860)+SQRT(1-K$9^2*$C$11)*NORMSINV(J860))*(K$7-K$5)*(K$6-K$5)),K$7-SQRT((1-NORMSDIST(K$9*SQRT($C$11)*NORMSINV($B860)+SQRT(1-K$9^2*$C$11)*NORMSINV(J860)))*(K$7-K$5)*(K$7-K$6))))</f>
        <v>0.172662763202607</v>
      </c>
      <c r="L860" s="2" t="n">
        <v>0.989274686</v>
      </c>
      <c r="M860" s="2" t="n">
        <f aca="false">IF(M$7=M$5,M$6,IF(NORMSDIST(M$9*SQRT($C$11)*NORMSINV($B860)+SQRT(1-M$9^2*$C$11)*NORMSINV(L860))&lt;M$8,M$5+SQRT(NORMSDIST(M$9*SQRT($C$11)*NORMSINV($B860)+SQRT(1-M$9^2*$C$11)*NORMSINV(L860))*(M$7-M$5)*(M$6-M$5)),M$7-SQRT((1-NORMSDIST(M$9*SQRT($C$11)*NORMSINV($B860)+SQRT(1-M$9^2*$C$11)*NORMSINV(L860)))*(M$7-M$5)*(M$7-M$6))))</f>
        <v>1727.2435619058</v>
      </c>
      <c r="N860" s="2" t="n">
        <v>0.723312846</v>
      </c>
      <c r="O860" s="2" t="n">
        <f aca="false">IF(O$7=O$5,O$6,IF(NORMSDIST(O$9*SQRT($C$11)*NORMSINV($B860)+SQRT(1-O$9^2*$C$11)*NORMSINV(N860))&lt;O$8,O$5+SQRT(NORMSDIST(O$9*SQRT($C$11)*NORMSINV($B860)+SQRT(1-O$9^2*$C$11)*NORMSINV(N860))*(O$7-O$5)*(O$6-O$5)),O$7-SQRT((1-NORMSDIST(O$9*SQRT($C$11)*NORMSINV($B860)+SQRT(1-O$9^2*$C$11)*NORMSINV(N860)))*(O$7-O$5)*(O$7-O$6))))</f>
        <v>0.169811229379152</v>
      </c>
      <c r="P860" s="2" t="n">
        <v>0.384528708</v>
      </c>
      <c r="Q860" s="2" t="n">
        <f aca="false">IF(Q$7=Q$5,Q$6,IF(NORMSDIST(Q$9*SQRT($C$11)*NORMSINV($B860)+SQRT(1-Q$9^2*$C$11)*NORMSINV(P860))&lt;Q$8,Q$5+SQRT(NORMSDIST(Q$9*SQRT($C$11)*NORMSINV($B860)+SQRT(1-Q$9^2*$C$11)*NORMSINV(P860))*(Q$7-Q$5)*(Q$6-Q$5)),Q$7-SQRT((1-NORMSDIST(Q$9*SQRT($C$11)*NORMSINV($B860)+SQRT(1-Q$9^2*$C$11)*NORMSINV(P860)))*(Q$7-Q$5)*(Q$7-Q$6))))</f>
        <v>0.0750783674876697</v>
      </c>
      <c r="R860" s="2" t="n">
        <v>0.342080233</v>
      </c>
      <c r="S860" s="2" t="n">
        <f aca="false">IF(S$7=S$5,S$6,IF(NORMSDIST(S$9*SQRT($C$11)*NORMSINV($B860)+SQRT(1-S$9^2*$C$11)*NORMSINV(R860))&lt;S$8,S$5+SQRT(NORMSDIST(S$9*SQRT($C$11)*NORMSINV($B860)+SQRT(1-S$9^2*$C$11)*NORMSINV(R860))*(S$7-S$5)*(S$6-S$5)),S$7-SQRT((1-NORMSDIST(S$9*SQRT($C$11)*NORMSINV($B860)+SQRT(1-S$9^2*$C$11)*NORMSINV(R860)))*(S$7-S$5)*(S$7-S$6))))</f>
        <v>0.398217548353056</v>
      </c>
      <c r="T860" s="2" t="n">
        <v>0.088387069</v>
      </c>
      <c r="U860" s="2" t="n">
        <f aca="false">IF(U$7=U$5,U$6,IF(NORMSDIST(U$9*SQRT($C$11)*NORMSINV($B860)+SQRT(1-U$9^2*$C$11)*NORMSINV(T860))&lt;U$8,U$5+SQRT(NORMSDIST(U$9*SQRT($C$11)*NORMSINV($B860)+SQRT(1-U$9^2*$C$11)*NORMSINV(T860))*(U$7-U$5)*(U$6-U$5)),U$7-SQRT((1-NORMSDIST(U$9*SQRT($C$11)*NORMSINV($B860)+SQRT(1-U$9^2*$C$11)*NORMSINV(T860)))*(U$7-U$5)*(U$7-U$6))))</f>
        <v>0.238477362217056</v>
      </c>
      <c r="V860" s="2" t="n">
        <v>0.737189995</v>
      </c>
      <c r="W860" s="2" t="n">
        <f aca="false">IF(W$7=W$5,W$6,IF(NORMSDIST(W$9*SQRT($C$11)*NORMSINV($B860)+SQRT(1-W$9^2*$C$11)*NORMSINV(V860))&lt;W$8,W$5+SQRT(NORMSDIST(W$9*SQRT($C$11)*NORMSINV($B860)+SQRT(1-W$9^2*$C$11)*NORMSINV(V860))*(W$7-W$5)*(W$6-W$5)),W$7-SQRT((1-NORMSDIST(W$9*SQRT($C$11)*NORMSINV($B860)+SQRT(1-W$9^2*$C$11)*NORMSINV(V860)))*(W$7-W$5)*(W$7-W$6))))</f>
        <v>10.278847794719</v>
      </c>
      <c r="X860" s="2" t="n">
        <v>0.321107248</v>
      </c>
      <c r="Y860" s="2" t="n">
        <f aca="false">IF(Y$7=Y$5,Y$6,IF(NORMSDIST(Y$9*SQRT($C$11)*NORMSINV($B860)+SQRT(1-Y$9^2*$C$11)*NORMSINV(X860))&lt;Y$8,Y$5+SQRT(NORMSDIST(Y$9*SQRT($C$11)*NORMSINV($B860)+SQRT(1-Y$9^2*$C$11)*NORMSINV(X860))*(Y$7-Y$5)*(Y$6-Y$5)),Y$7-SQRT((1-NORMSDIST(Y$9*SQRT($C$11)*NORMSINV($B860)+SQRT(1-Y$9^2*$C$11)*NORMSINV(X860)))*(Y$7-Y$5)*(Y$7-Y$6))))</f>
        <v>0.400691432401543</v>
      </c>
      <c r="Z860" s="2" t="n">
        <v>0.839056017</v>
      </c>
      <c r="AA860" s="2" t="n">
        <f aca="false">IF(AA$7=AA$5,AA$6,IF(NORMSDIST(AA$9*SQRT($C$11)*NORMSINV($B860)+SQRT(1-AA$9^2*$C$11)*NORMSINV(Z860))&lt;AA$8,AA$5+SQRT(NORMSDIST(AA$9*SQRT($C$11)*NORMSINV($B860)+SQRT(1-AA$9^2*$C$11)*NORMSINV(Z860))*(AA$7-AA$5)*(AA$6-AA$5)),AA$7-SQRT((1-NORMSDIST(AA$9*SQRT($C$11)*NORMSINV($B860)+SQRT(1-AA$9^2*$C$11)*NORMSINV(Z860)))*(AA$7-AA$5)*(AA$7-AA$6))))</f>
        <v>0.73517147275356</v>
      </c>
      <c r="AB860" s="2" t="n">
        <v>0.923141612</v>
      </c>
      <c r="AC860" s="2" t="n">
        <f aca="false">IF(AC$7=AC$5,AC$6,IF(NORMSDIST(AC$9*SQRT($C$11)*NORMSINV($B860)+SQRT(1-AC$9^2*$C$11)*NORMSINV(AB860))&lt;AC$8,AC$5+SQRT(NORMSDIST(AC$9*SQRT($C$11)*NORMSINV($B860)+SQRT(1-AC$9^2*$C$11)*NORMSINV(AB860))*(AC$7-AC$5)*(AC$6-AC$5)),AC$7-SQRT((1-NORMSDIST(AC$9*SQRT($C$11)*NORMSINV($B860)+SQRT(1-AC$9^2*$C$11)*NORMSINV(AB860)))*(AC$7-AC$5)*(AC$7-AC$6))))</f>
        <v>10.1368007163975</v>
      </c>
      <c r="AD860" s="2" t="n">
        <f aca="false">Entrées!$C$8*(1+E860)</f>
        <v>7440.31279245137</v>
      </c>
      <c r="AE860" s="2" t="n">
        <f aca="false">I860*Hypothèses!$J$24/12/Hypothèses!$J$19</f>
        <v>95.2076059079815</v>
      </c>
      <c r="AF860" s="2" t="n">
        <f aca="false">Entrées!$C$36*S860*1000</f>
        <v>199.108774176528</v>
      </c>
      <c r="AG860" s="2" t="n">
        <f aca="false">-AF860/W860</f>
        <v>-19.3707289136848</v>
      </c>
      <c r="AH860" s="2" t="n">
        <f aca="false">AD860+AE860+AG860</f>
        <v>7516.14966944567</v>
      </c>
      <c r="AI860" s="2" t="n">
        <f aca="false">Entrées!$C$16-M860+Hypothèses!$J$22*1000-AF860+Hypothèses!$J$23</f>
        <v>22621.6476639177</v>
      </c>
      <c r="AJ860" s="2" t="n">
        <f aca="false">AI860/AH860</f>
        <v>3.00973885018259</v>
      </c>
      <c r="AK860" s="2" t="n">
        <f aca="false">AI860/(AH860+I860*(12-Hypothèses!$J$24)/12/Hypothèses!$J$19)</f>
        <v>2.98275119099885</v>
      </c>
      <c r="AL860" s="2" t="n">
        <f aca="false">(AD860+AG860+I860/Hypothèses!$J$19)*(1+G860)</f>
        <v>7987.28706756002</v>
      </c>
      <c r="AM860" s="2" t="n">
        <f aca="false">Entrées!$C$54*K860/Hypothèses!$J$19</f>
        <v>17.6209599489204</v>
      </c>
      <c r="AN860" s="2" t="n">
        <f aca="false">Y860*1000/AC860</f>
        <v>39.528392005712</v>
      </c>
      <c r="AO860" s="2" t="n">
        <f aca="false">(Entrées!$C$36*(1-S860)+MAX(0,Entrées!$C$30-Entrées!$C$35-Entrées!$C$36)*U860)*1000</f>
        <v>634.759532927351</v>
      </c>
      <c r="AP860" s="2" t="n">
        <f aca="false">-AO860/W860</f>
        <v>-61.7539577980204</v>
      </c>
      <c r="AQ860" s="2" t="n">
        <f aca="false">AL860+AM860+AN860+AP860</f>
        <v>7982.68246171664</v>
      </c>
      <c r="AR860" s="2" t="n">
        <f aca="false">O860*AQ860-Hypothèses!$J$25/Hypothèses!$J$19</f>
        <v>1336.41396030587</v>
      </c>
      <c r="AS860" s="2" t="n">
        <f aca="false">Entrées!$C$79*(1+Q860)+Hypothèses!$J$20</f>
        <v>1476.51112586895</v>
      </c>
      <c r="AT860" s="2" t="n">
        <f aca="false">AI860-AR860+AS860+Y860*1000-AO860+Hypothèses!$J$23</f>
        <v>22527.6767289549</v>
      </c>
      <c r="AU860" s="2" t="n">
        <f aca="false">AT860/AQ860</f>
        <v>2.82206850103248</v>
      </c>
      <c r="AV860" s="2" t="n">
        <f aca="false">Hypothèses!$J$26*AQ860-AT860</f>
        <v>1420.37065619496</v>
      </c>
      <c r="AW860" s="2" t="n">
        <f aca="false">IF(AC860&gt;Hypothèses!$J$26,MAX(0,AV860)/(1-Hypothèses!$J$26/AC860),0)</f>
        <v>2017.43258042588</v>
      </c>
      <c r="AX860" s="2" t="n">
        <f aca="false">AQ860-Entrées!$C$17*1000</f>
        <v>-17.3175382833642</v>
      </c>
      <c r="AY860" s="2" t="n">
        <f aca="false">AI860+(Entrées!$C$244-Entrées!$C$13)</f>
        <v>28368.6476639177</v>
      </c>
      <c r="AZ860" s="2" t="n">
        <f aca="false">AA860*AH860</f>
        <v>5525.65882192256</v>
      </c>
      <c r="BA860" s="2" t="n">
        <f aca="false">AZ860/AY860</f>
        <v>0.194780480458034</v>
      </c>
      <c r="BB860" s="2" t="n">
        <f aca="false">AZ860/(Entrées!$C$151/100)-AY860</f>
        <v>2329.45690231875</v>
      </c>
      <c r="BC860" s="2" t="n">
        <f aca="false">AT860+(Entrées!$C$244-Entrées!$C$13)</f>
        <v>28274.6767289549</v>
      </c>
      <c r="BD860" s="2" t="n">
        <f aca="false">AA860*AQ860</f>
        <v>5868.64042190423</v>
      </c>
      <c r="BE860" s="2" t="n">
        <f aca="false">BD860/BC860</f>
        <v>0.207558179291026</v>
      </c>
      <c r="BF860" s="2" t="n">
        <f aca="false">BD860/(Entrées!$C$151/100)-BC860</f>
        <v>4328.88117051301</v>
      </c>
      <c r="BG860" s="2" t="n">
        <f aca="false">MIN(AV860,BF860)</f>
        <v>1420.37065619496</v>
      </c>
      <c r="BH860" s="2" t="n">
        <f aca="false">IF(AC860&gt;Hypothèses!$J$26,MAX(0,BG860)/(1-Hypothèses!$J$26/AC860),0)</f>
        <v>2017.43258042588</v>
      </c>
    </row>
    <row r="861" customFormat="false" ht="15" hidden="false" customHeight="false" outlineLevel="0" collapsed="false">
      <c r="A861" s="2" t="n">
        <v>846</v>
      </c>
      <c r="B861" s="2" t="n">
        <v>0.24092504</v>
      </c>
      <c r="C861" s="2"/>
      <c r="D861" s="2" t="n">
        <v>0.761559309</v>
      </c>
      <c r="E861" s="2" t="n">
        <f aca="false">IF(E$7=E$5,E$6,IF(NORMSDIST(E$9*SQRT($C$11)*NORMSINV($B861)+SQRT(1-E$9^2*$C$11)*NORMSINV(D861))&lt;E$8,E$5+SQRT(NORMSDIST(E$9*SQRT($C$11)*NORMSINV($B861)+SQRT(1-E$9^2*$C$11)*NORMSINV(D861))*(E$7-E$5)*(E$6-E$5)),E$7-SQRT((1-NORMSDIST(E$9*SQRT($C$11)*NORMSINV($B861)+SQRT(1-E$9^2*$C$11)*NORMSINV(D861)))*(E$7-E$5)*(E$7-E$6))))</f>
        <v>0.0552160424823512</v>
      </c>
      <c r="F861" s="2" t="n">
        <v>0.229906753</v>
      </c>
      <c r="G861" s="2" t="n">
        <f aca="false">IF(G$7=G$5,G$6,IF(NORMSDIST(G$9*SQRT($C$11)*NORMSINV($B861)+SQRT(1-G$9^2*$C$11)*NORMSINV(F861))&lt;G$8,G$5+SQRT(NORMSDIST(G$9*SQRT($C$11)*NORMSINV($B861)+SQRT(1-G$9^2*$C$11)*NORMSINV(F861))*(G$7-G$5)*(G$6-G$5)),G$7-SQRT((1-NORMSDIST(G$9*SQRT($C$11)*NORMSINV($B861)+SQRT(1-G$9^2*$C$11)*NORMSINV(F861)))*(G$7-G$5)*(G$7-G$6))))</f>
        <v>0.0483378533188354</v>
      </c>
      <c r="H861" s="2" t="n">
        <v>0.858794213</v>
      </c>
      <c r="I861" s="2" t="n">
        <f aca="false">IF(I$7=I$5,I$6,IF(NORMSDIST(I$9*SQRT($C$11)*NORMSINV($B861)+SQRT(1-I$9^2*$C$11)*NORMSINV(H861))&lt;I$8,I$5+SQRT(NORMSDIST(I$9*SQRT($C$11)*NORMSINV($B861)+SQRT(1-I$9^2*$C$11)*NORMSINV(H861))*(I$7-I$5)*(I$6-I$5)),I$7-SQRT((1-NORMSDIST(I$9*SQRT($C$11)*NORMSINV($B861)+SQRT(1-I$9^2*$C$11)*NORMSINV(H861)))*(I$7-I$5)*(I$7-I$6))))</f>
        <v>203.288781519781</v>
      </c>
      <c r="J861" s="2" t="n">
        <v>0.393704839</v>
      </c>
      <c r="K861" s="2" t="n">
        <f aca="false">IF(K$7=K$5,K$6,IF(NORMSDIST(K$9*SQRT($C$11)*NORMSINV($B861)+SQRT(1-K$9^2*$C$11)*NORMSINV(J861))&lt;K$8,K$5+SQRT(NORMSDIST(K$9*SQRT($C$11)*NORMSINV($B861)+SQRT(1-K$9^2*$C$11)*NORMSINV(J861))*(K$7-K$5)*(K$6-K$5)),K$7-SQRT((1-NORMSDIST(K$9*SQRT($C$11)*NORMSINV($B861)+SQRT(1-K$9^2*$C$11)*NORMSINV(J861)))*(K$7-K$5)*(K$7-K$6))))</f>
        <v>0.1791116025394</v>
      </c>
      <c r="L861" s="2" t="n">
        <v>0.070971399</v>
      </c>
      <c r="M861" s="2" t="n">
        <f aca="false">IF(M$7=M$5,M$6,IF(NORMSDIST(M$9*SQRT($C$11)*NORMSINV($B861)+SQRT(1-M$9^2*$C$11)*NORMSINV(L861))&lt;M$8,M$5+SQRT(NORMSDIST(M$9*SQRT($C$11)*NORMSINV($B861)+SQRT(1-M$9^2*$C$11)*NORMSINV(L861))*(M$7-M$5)*(M$6-M$5)),M$7-SQRT((1-NORMSDIST(M$9*SQRT($C$11)*NORMSINV($B861)+SQRT(1-M$9^2*$C$11)*NORMSINV(L861)))*(M$7-M$5)*(M$7-M$6))))</f>
        <v>1398.28105509066</v>
      </c>
      <c r="N861" s="2" t="n">
        <v>0.650177949</v>
      </c>
      <c r="O861" s="2" t="n">
        <f aca="false">IF(O$7=O$5,O$6,IF(NORMSDIST(O$9*SQRT($C$11)*NORMSINV($B861)+SQRT(1-O$9^2*$C$11)*NORMSINV(N861))&lt;O$8,O$5+SQRT(NORMSDIST(O$9*SQRT($C$11)*NORMSINV($B861)+SQRT(1-O$9^2*$C$11)*NORMSINV(N861))*(O$7-O$5)*(O$6-O$5)),O$7-SQRT((1-NORMSDIST(O$9*SQRT($C$11)*NORMSINV($B861)+SQRT(1-O$9^2*$C$11)*NORMSINV(N861)))*(O$7-O$5)*(O$7-O$6))))</f>
        <v>0.165182172809458</v>
      </c>
      <c r="P861" s="2" t="n">
        <v>0.889885658</v>
      </c>
      <c r="Q861" s="2" t="n">
        <f aca="false">IF(Q$7=Q$5,Q$6,IF(NORMSDIST(Q$9*SQRT($C$11)*NORMSINV($B861)+SQRT(1-Q$9^2*$C$11)*NORMSINV(P861))&lt;Q$8,Q$5+SQRT(NORMSDIST(Q$9*SQRT($C$11)*NORMSINV($B861)+SQRT(1-Q$9^2*$C$11)*NORMSINV(P861))*(Q$7-Q$5)*(Q$6-Q$5)),Q$7-SQRT((1-NORMSDIST(Q$9*SQRT($C$11)*NORMSINV($B861)+SQRT(1-Q$9^2*$C$11)*NORMSINV(P861)))*(Q$7-Q$5)*(Q$7-Q$6))))</f>
        <v>0.101228588374872</v>
      </c>
      <c r="R861" s="2" t="n">
        <v>0.017000199</v>
      </c>
      <c r="S861" s="2" t="n">
        <f aca="false">IF(S$7=S$5,S$6,IF(NORMSDIST(S$9*SQRT($C$11)*NORMSINV($B861)+SQRT(1-S$9^2*$C$11)*NORMSINV(R861))&lt;S$8,S$5+SQRT(NORMSDIST(S$9*SQRT($C$11)*NORMSINV($B861)+SQRT(1-S$9^2*$C$11)*NORMSINV(R861))*(S$7-S$5)*(S$6-S$5)),S$7-SQRT((1-NORMSDIST(S$9*SQRT($C$11)*NORMSINV($B861)+SQRT(1-S$9^2*$C$11)*NORMSINV(R861)))*(S$7-S$5)*(S$7-S$6))))</f>
        <v>0.0960288547831748</v>
      </c>
      <c r="T861" s="2" t="n">
        <v>0.661481817</v>
      </c>
      <c r="U861" s="2" t="n">
        <f aca="false">IF(U$7=U$5,U$6,IF(NORMSDIST(U$9*SQRT($C$11)*NORMSINV($B861)+SQRT(1-U$9^2*$C$11)*NORMSINV(T861))&lt;U$8,U$5+SQRT(NORMSDIST(U$9*SQRT($C$11)*NORMSINV($B861)+SQRT(1-U$9^2*$C$11)*NORMSINV(T861))*(U$7-U$5)*(U$6-U$5)),U$7-SQRT((1-NORMSDIST(U$9*SQRT($C$11)*NORMSINV($B861)+SQRT(1-U$9^2*$C$11)*NORMSINV(T861)))*(U$7-U$5)*(U$7-U$6))))</f>
        <v>0.475063898609098</v>
      </c>
      <c r="V861" s="2" t="n">
        <v>0.965930461</v>
      </c>
      <c r="W861" s="2" t="n">
        <f aca="false">IF(W$7=W$5,W$6,IF(NORMSDIST(W$9*SQRT($C$11)*NORMSINV($B861)+SQRT(1-W$9^2*$C$11)*NORMSINV(V861))&lt;W$8,W$5+SQRT(NORMSDIST(W$9*SQRT($C$11)*NORMSINV($B861)+SQRT(1-W$9^2*$C$11)*NORMSINV(V861))*(W$7-W$5)*(W$6-W$5)),W$7-SQRT((1-NORMSDIST(W$9*SQRT($C$11)*NORMSINV($B861)+SQRT(1-W$9^2*$C$11)*NORMSINV(V861)))*(W$7-W$5)*(W$7-W$6))))</f>
        <v>10.8458917309663</v>
      </c>
      <c r="X861" s="2" t="n">
        <v>0.72305074</v>
      </c>
      <c r="Y861" s="2" t="n">
        <f aca="false">IF(Y$7=Y$5,Y$6,IF(NORMSDIST(Y$9*SQRT($C$11)*NORMSINV($B861)+SQRT(1-Y$9^2*$C$11)*NORMSINV(X861))&lt;Y$8,Y$5+SQRT(NORMSDIST(Y$9*SQRT($C$11)*NORMSINV($B861)+SQRT(1-Y$9^2*$C$11)*NORMSINV(X861))*(Y$7-Y$5)*(Y$6-Y$5)),Y$7-SQRT((1-NORMSDIST(Y$9*SQRT($C$11)*NORMSINV($B861)+SQRT(1-Y$9^2*$C$11)*NORMSINV(X861)))*(Y$7-Y$5)*(Y$7-Y$6))))</f>
        <v>0.627878205421934</v>
      </c>
      <c r="Z861" s="2" t="n">
        <v>0.851784003</v>
      </c>
      <c r="AA861" s="2" t="n">
        <f aca="false">IF(AA$7=AA$5,AA$6,IF(NORMSDIST(AA$9*SQRT($C$11)*NORMSINV($B861)+SQRT(1-AA$9^2*$C$11)*NORMSINV(Z861))&lt;AA$8,AA$5+SQRT(NORMSDIST(AA$9*SQRT($C$11)*NORMSINV($B861)+SQRT(1-AA$9^2*$C$11)*NORMSINV(Z861))*(AA$7-AA$5)*(AA$6-AA$5)),AA$7-SQRT((1-NORMSDIST(AA$9*SQRT($C$11)*NORMSINV($B861)+SQRT(1-AA$9^2*$C$11)*NORMSINV(Z861)))*(AA$7-AA$5)*(AA$7-AA$6))))</f>
        <v>0.732419861349127</v>
      </c>
      <c r="AB861" s="2" t="n">
        <v>0.510318026</v>
      </c>
      <c r="AC861" s="2" t="n">
        <f aca="false">IF(AC$7=AC$5,AC$6,IF(NORMSDIST(AC$9*SQRT($C$11)*NORMSINV($B861)+SQRT(1-AC$9^2*$C$11)*NORMSINV(AB861))&lt;AC$8,AC$5+SQRT(NORMSDIST(AC$9*SQRT($C$11)*NORMSINV($B861)+SQRT(1-AC$9^2*$C$11)*NORMSINV(AB861))*(AC$7-AC$5)*(AC$6-AC$5)),AC$7-SQRT((1-NORMSDIST(AC$9*SQRT($C$11)*NORMSINV($B861)+SQRT(1-AC$9^2*$C$11)*NORMSINV(AB861)))*(AC$7-AC$5)*(AC$7-AC$6))))</f>
        <v>9.10255071052196</v>
      </c>
      <c r="AD861" s="2" t="n">
        <f aca="false">Entrées!$C$8*(1+E861)</f>
        <v>7439.27309950058</v>
      </c>
      <c r="AE861" s="2" t="n">
        <f aca="false">I861*Hypothèses!$J$24/12/Hypothèses!$J$19</f>
        <v>100.850913860906</v>
      </c>
      <c r="AF861" s="2" t="n">
        <f aca="false">Entrées!$C$36*S861*1000</f>
        <v>48.0144273915874</v>
      </c>
      <c r="AG861" s="2" t="n">
        <f aca="false">-AF861/W861</f>
        <v>-4.42696908493937</v>
      </c>
      <c r="AH861" s="2" t="n">
        <f aca="false">AD861+AE861+AG861</f>
        <v>7535.69704427654</v>
      </c>
      <c r="AI861" s="2" t="n">
        <f aca="false">Entrées!$C$16-M861+Hypothèses!$J$22*1000-AF861+Hypothèses!$J$23</f>
        <v>23101.7045175178</v>
      </c>
      <c r="AJ861" s="2" t="n">
        <f aca="false">AI861/AH861</f>
        <v>3.06563604956277</v>
      </c>
      <c r="AK861" s="2" t="n">
        <f aca="false">AI861/(AH861+I861*(12-Hypothèses!$J$24)/12/Hypothèses!$J$19)</f>
        <v>3.03660804979617</v>
      </c>
      <c r="AL861" s="2" t="n">
        <f aca="false">(AD861+AG861+I861/Hypothèses!$J$19)*(1+G861)</f>
        <v>7975.47491304524</v>
      </c>
      <c r="AM861" s="2" t="n">
        <f aca="false">Entrées!$C$54*K861/Hypothèses!$J$19</f>
        <v>18.2790910801668</v>
      </c>
      <c r="AN861" s="2" t="n">
        <f aca="false">Y861*1000/AC861</f>
        <v>68.978270529836</v>
      </c>
      <c r="AO861" s="2" t="n">
        <f aca="false">(Entrées!$C$36*(1-S861)+MAX(0,Entrées!$C$30-Entrées!$C$35-Entrées!$C$36)*U861)*1000</f>
        <v>1117.07503066115</v>
      </c>
      <c r="AP861" s="2" t="n">
        <f aca="false">-AO861/W861</f>
        <v>-102.995222372704</v>
      </c>
      <c r="AQ861" s="2" t="n">
        <f aca="false">AL861+AM861+AN861+AP861</f>
        <v>7959.73705228254</v>
      </c>
      <c r="AR861" s="2" t="n">
        <f aca="false">O861*AQ861-Hypothèses!$J$25/Hypothèses!$J$19</f>
        <v>1295.67149902635</v>
      </c>
      <c r="AS861" s="2" t="n">
        <f aca="false">Entrées!$C$79*(1+Q861)+Hypothèses!$J$20</f>
        <v>1505.25021862398</v>
      </c>
      <c r="AT861" s="2" t="n">
        <f aca="false">AI861-AR861+AS861+Y861*1000-AO861+Hypothèses!$J$23</f>
        <v>22822.0864118762</v>
      </c>
      <c r="AU861" s="2" t="n">
        <f aca="false">AT861/AQ861</f>
        <v>2.8671909966337</v>
      </c>
      <c r="AV861" s="2" t="n">
        <f aca="false">Hypothèses!$J$26*AQ861-AT861</f>
        <v>1057.12474497144</v>
      </c>
      <c r="AW861" s="2" t="n">
        <f aca="false">IF(AC861&gt;Hypothèses!$J$26,MAX(0,AV861)/(1-Hypothèses!$J$26/AC861),0)</f>
        <v>1576.80485667395</v>
      </c>
      <c r="AX861" s="2" t="n">
        <f aca="false">AQ861-Entrées!$C$17*1000</f>
        <v>-40.2629477174633</v>
      </c>
      <c r="AY861" s="2" t="n">
        <f aca="false">AI861+(Entrées!$C$244-Entrées!$C$13)</f>
        <v>28848.7045175178</v>
      </c>
      <c r="AZ861" s="2" t="n">
        <f aca="false">AA861*AH861</f>
        <v>5519.29418433805</v>
      </c>
      <c r="BA861" s="2" t="n">
        <f aca="false">AZ861/AY861</f>
        <v>0.191318614705439</v>
      </c>
      <c r="BB861" s="2" t="n">
        <f aca="false">AZ861/(Entrées!$C$151/100)-AY861</f>
        <v>1814.04095102697</v>
      </c>
      <c r="BC861" s="2" t="n">
        <f aca="false">AT861+(Entrées!$C$244-Entrées!$C$13)</f>
        <v>28569.0864118762</v>
      </c>
      <c r="BD861" s="2" t="n">
        <f aca="false">AA861*AQ861</f>
        <v>5829.86950820828</v>
      </c>
      <c r="BE861" s="2" t="n">
        <f aca="false">BD861/BC861</f>
        <v>0.20406216090217</v>
      </c>
      <c r="BF861" s="2" t="n">
        <f aca="false">BD861/(Entrées!$C$151/100)-BC861</f>
        <v>3819.0775226143</v>
      </c>
      <c r="BG861" s="2" t="n">
        <f aca="false">MIN(AV861,BF861)</f>
        <v>1057.12474497144</v>
      </c>
      <c r="BH861" s="2" t="n">
        <f aca="false">IF(AC861&gt;Hypothèses!$J$26,MAX(0,BG861)/(1-Hypothèses!$J$26/AC861),0)</f>
        <v>1576.80485667395</v>
      </c>
    </row>
    <row r="862" customFormat="false" ht="15" hidden="false" customHeight="false" outlineLevel="0" collapsed="false">
      <c r="A862" s="2" t="n">
        <v>847</v>
      </c>
      <c r="B862" s="2" t="n">
        <v>0.046181961</v>
      </c>
      <c r="C862" s="2"/>
      <c r="D862" s="2" t="n">
        <v>0.603372351</v>
      </c>
      <c r="E862" s="2" t="n">
        <f aca="false">IF(E$7=E$5,E$6,IF(NORMSDIST(E$9*SQRT($C$11)*NORMSINV($B862)+SQRT(1-E$9^2*$C$11)*NORMSINV(D862))&lt;E$8,E$5+SQRT(NORMSDIST(E$9*SQRT($C$11)*NORMSINV($B862)+SQRT(1-E$9^2*$C$11)*NORMSINV(D862))*(E$7-E$5)*(E$6-E$5)),E$7-SQRT((1-NORMSDIST(E$9*SQRT($C$11)*NORMSINV($B862)+SQRT(1-E$9^2*$C$11)*NORMSINV(D862)))*(E$7-E$5)*(E$7-E$6))))</f>
        <v>0.0531184577346954</v>
      </c>
      <c r="F862" s="2" t="n">
        <v>0.038369131</v>
      </c>
      <c r="G862" s="2" t="n">
        <f aca="false">IF(G$7=G$5,G$6,IF(NORMSDIST(G$9*SQRT($C$11)*NORMSINV($B862)+SQRT(1-G$9^2*$C$11)*NORMSINV(F862))&lt;G$8,G$5+SQRT(NORMSDIST(G$9*SQRT($C$11)*NORMSINV($B862)+SQRT(1-G$9^2*$C$11)*NORMSINV(F862))*(G$7-G$5)*(G$6-G$5)),G$7-SQRT((1-NORMSDIST(G$9*SQRT($C$11)*NORMSINV($B862)+SQRT(1-G$9^2*$C$11)*NORMSINV(F862)))*(G$7-G$5)*(G$7-G$6))))</f>
        <v>0.0418293571730821</v>
      </c>
      <c r="H862" s="2" t="n">
        <v>0.298681328</v>
      </c>
      <c r="I862" s="2" t="n">
        <f aca="false">IF(I$7=I$5,I$6,IF(NORMSDIST(I$9*SQRT($C$11)*NORMSINV($B862)+SQRT(1-I$9^2*$C$11)*NORMSINV(H862))&lt;I$8,I$5+SQRT(NORMSDIST(I$9*SQRT($C$11)*NORMSINV($B862)+SQRT(1-I$9^2*$C$11)*NORMSINV(H862))*(I$7-I$5)*(I$6-I$5)),I$7-SQRT((1-NORMSDIST(I$9*SQRT($C$11)*NORMSINV($B862)+SQRT(1-I$9^2*$C$11)*NORMSINV(H862)))*(I$7-I$5)*(I$7-I$6))))</f>
        <v>187.499057559255</v>
      </c>
      <c r="J862" s="2" t="n">
        <v>0.652715386</v>
      </c>
      <c r="K862" s="2" t="n">
        <f aca="false">IF(K$7=K$5,K$6,IF(NORMSDIST(K$9*SQRT($C$11)*NORMSINV($B862)+SQRT(1-K$9^2*$C$11)*NORMSINV(J862))&lt;K$8,K$5+SQRT(NORMSDIST(K$9*SQRT($C$11)*NORMSINV($B862)+SQRT(1-K$9^2*$C$11)*NORMSINV(J862))*(K$7-K$5)*(K$6-K$5)),K$7-SQRT((1-NORMSDIST(K$9*SQRT($C$11)*NORMSINV($B862)+SQRT(1-K$9^2*$C$11)*NORMSINV(J862)))*(K$7-K$5)*(K$7-K$6))))</f>
        <v>0.167158710537643</v>
      </c>
      <c r="L862" s="2" t="n">
        <v>0.859063675</v>
      </c>
      <c r="M862" s="2" t="n">
        <f aca="false">IF(M$7=M$5,M$6,IF(NORMSDIST(M$9*SQRT($C$11)*NORMSINV($B862)+SQRT(1-M$9^2*$C$11)*NORMSINV(L862))&lt;M$8,M$5+SQRT(NORMSDIST(M$9*SQRT($C$11)*NORMSINV($B862)+SQRT(1-M$9^2*$C$11)*NORMSINV(L862))*(M$7-M$5)*(M$6-M$5)),M$7-SQRT((1-NORMSDIST(M$9*SQRT($C$11)*NORMSINV($B862)+SQRT(1-M$9^2*$C$11)*NORMSINV(L862)))*(M$7-M$5)*(M$7-M$6))))</f>
        <v>1558.29228966066</v>
      </c>
      <c r="N862" s="2" t="n">
        <v>0.975436103</v>
      </c>
      <c r="O862" s="2" t="n">
        <f aca="false">IF(O$7=O$5,O$6,IF(NORMSDIST(O$9*SQRT($C$11)*NORMSINV($B862)+SQRT(1-O$9^2*$C$11)*NORMSINV(N862))&lt;O$8,O$5+SQRT(NORMSDIST(O$9*SQRT($C$11)*NORMSINV($B862)+SQRT(1-O$9^2*$C$11)*NORMSINV(N862))*(O$7-O$5)*(O$6-O$5)),O$7-SQRT((1-NORMSDIST(O$9*SQRT($C$11)*NORMSINV($B862)+SQRT(1-O$9^2*$C$11)*NORMSINV(N862)))*(O$7-O$5)*(O$7-O$6))))</f>
        <v>0.171453571489529</v>
      </c>
      <c r="P862" s="2" t="n">
        <v>0.144621231</v>
      </c>
      <c r="Q862" s="2" t="n">
        <f aca="false">IF(Q$7=Q$5,Q$6,IF(NORMSDIST(Q$9*SQRT($C$11)*NORMSINV($B862)+SQRT(1-Q$9^2*$C$11)*NORMSINV(P862))&lt;Q$8,Q$5+SQRT(NORMSDIST(Q$9*SQRT($C$11)*NORMSINV($B862)+SQRT(1-Q$9^2*$C$11)*NORMSINV(P862))*(Q$7-Q$5)*(Q$6-Q$5)),Q$7-SQRT((1-NORMSDIST(Q$9*SQRT($C$11)*NORMSINV($B862)+SQRT(1-Q$9^2*$C$11)*NORMSINV(P862)))*(Q$7-Q$5)*(Q$7-Q$6))))</f>
        <v>0.0615125065764081</v>
      </c>
      <c r="R862" s="2" t="n">
        <v>0.26340849</v>
      </c>
      <c r="S862" s="2" t="n">
        <f aca="false">IF(S$7=S$5,S$6,IF(NORMSDIST(S$9*SQRT($C$11)*NORMSINV($B862)+SQRT(1-S$9^2*$C$11)*NORMSINV(R862))&lt;S$8,S$5+SQRT(NORMSDIST(S$9*SQRT($C$11)*NORMSINV($B862)+SQRT(1-S$9^2*$C$11)*NORMSINV(R862))*(S$7-S$5)*(S$6-S$5)),S$7-SQRT((1-NORMSDIST(S$9*SQRT($C$11)*NORMSINV($B862)+SQRT(1-S$9^2*$C$11)*NORMSINV(R862)))*(S$7-S$5)*(S$7-S$6))))</f>
        <v>0.173221174143196</v>
      </c>
      <c r="T862" s="2" t="n">
        <v>0.374860492</v>
      </c>
      <c r="U862" s="2" t="n">
        <f aca="false">IF(U$7=U$5,U$6,IF(NORMSDIST(U$9*SQRT($C$11)*NORMSINV($B862)+SQRT(1-U$9^2*$C$11)*NORMSINV(T862))&lt;U$8,U$5+SQRT(NORMSDIST(U$9*SQRT($C$11)*NORMSINV($B862)+SQRT(1-U$9^2*$C$11)*NORMSINV(T862))*(U$7-U$5)*(U$6-U$5)),U$7-SQRT((1-NORMSDIST(U$9*SQRT($C$11)*NORMSINV($B862)+SQRT(1-U$9^2*$C$11)*NORMSINV(T862)))*(U$7-U$5)*(U$7-U$6))))</f>
        <v>0.217754593779462</v>
      </c>
      <c r="V862" s="2" t="n">
        <v>0.338585856</v>
      </c>
      <c r="W862" s="2" t="n">
        <f aca="false">IF(W$7=W$5,W$6,IF(NORMSDIST(W$9*SQRT($C$11)*NORMSINV($B862)+SQRT(1-W$9^2*$C$11)*NORMSINV(V862))&lt;W$8,W$5+SQRT(NORMSDIST(W$9*SQRT($C$11)*NORMSINV($B862)+SQRT(1-W$9^2*$C$11)*NORMSINV(V862))*(W$7-W$5)*(W$6-W$5)),W$7-SQRT((1-NORMSDIST(W$9*SQRT($C$11)*NORMSINV($B862)+SQRT(1-W$9^2*$C$11)*NORMSINV(V862)))*(W$7-W$5)*(W$7-W$6))))</f>
        <v>8.81353291872981</v>
      </c>
      <c r="X862" s="2" t="n">
        <v>0.39478535</v>
      </c>
      <c r="Y862" s="2" t="n">
        <f aca="false">IF(Y$7=Y$5,Y$6,IF(NORMSDIST(Y$9*SQRT($C$11)*NORMSINV($B862)+SQRT(1-Y$9^2*$C$11)*NORMSINV(X862))&lt;Y$8,Y$5+SQRT(NORMSDIST(Y$9*SQRT($C$11)*NORMSINV($B862)+SQRT(1-Y$9^2*$C$11)*NORMSINV(X862))*(Y$7-Y$5)*(Y$6-Y$5)),Y$7-SQRT((1-NORMSDIST(Y$9*SQRT($C$11)*NORMSINV($B862)+SQRT(1-Y$9^2*$C$11)*NORMSINV(X862)))*(Y$7-Y$5)*(Y$7-Y$6))))</f>
        <v>0.444288954397923</v>
      </c>
      <c r="Z862" s="2" t="n">
        <v>0.674263357</v>
      </c>
      <c r="AA862" s="2" t="n">
        <f aca="false">IF(AA$7=AA$5,AA$6,IF(NORMSDIST(AA$9*SQRT($C$11)*NORMSINV($B862)+SQRT(1-AA$9^2*$C$11)*NORMSINV(Z862))&lt;AA$8,AA$5+SQRT(NORMSDIST(AA$9*SQRT($C$11)*NORMSINV($B862)+SQRT(1-AA$9^2*$C$11)*NORMSINV(Z862))*(AA$7-AA$5)*(AA$6-AA$5)),AA$7-SQRT((1-NORMSDIST(AA$9*SQRT($C$11)*NORMSINV($B862)+SQRT(1-AA$9^2*$C$11)*NORMSINV(Z862)))*(AA$7-AA$5)*(AA$7-AA$6))))</f>
        <v>0.717875437885198</v>
      </c>
      <c r="AB862" s="2" t="n">
        <v>0.389842645</v>
      </c>
      <c r="AC862" s="2" t="n">
        <f aca="false">IF(AC$7=AC$5,AC$6,IF(NORMSDIST(AC$9*SQRT($C$11)*NORMSINV($B862)+SQRT(1-AC$9^2*$C$11)*NORMSINV(AB862))&lt;AC$8,AC$5+SQRT(NORMSDIST(AC$9*SQRT($C$11)*NORMSINV($B862)+SQRT(1-AC$9^2*$C$11)*NORMSINV(AB862))*(AC$7-AC$5)*(AC$6-AC$5)),AC$7-SQRT((1-NORMSDIST(AC$9*SQRT($C$11)*NORMSINV($B862)+SQRT(1-AC$9^2*$C$11)*NORMSINV(AB862)))*(AC$7-AC$5)*(AC$7-AC$6))))</f>
        <v>8.32985462247912</v>
      </c>
      <c r="AD862" s="2" t="n">
        <f aca="false">Entrées!$C$8*(1+E862)</f>
        <v>7424.4851270296</v>
      </c>
      <c r="AE862" s="2" t="n">
        <f aca="false">I862*Hypothèses!$J$24/12/Hypothèses!$J$19</f>
        <v>93.0176823410667</v>
      </c>
      <c r="AF862" s="2" t="n">
        <f aca="false">Entrées!$C$36*S862*1000</f>
        <v>86.610587071598</v>
      </c>
      <c r="AG862" s="2" t="n">
        <f aca="false">-AF862/W862</f>
        <v>-9.82699989552886</v>
      </c>
      <c r="AH862" s="2" t="n">
        <f aca="false">AD862+AE862+AG862</f>
        <v>7507.67580947514</v>
      </c>
      <c r="AI862" s="2" t="n">
        <f aca="false">Entrées!$C$16-M862+Hypothèses!$J$22*1000-AF862+Hypothèses!$J$23</f>
        <v>22903.0971232677</v>
      </c>
      <c r="AJ862" s="2" t="n">
        <f aca="false">AI862/AH862</f>
        <v>3.05062414846984</v>
      </c>
      <c r="AK862" s="2" t="n">
        <f aca="false">AI862/(AH862+I862*(12-Hypothèses!$J$24)/12/Hypothèses!$J$19)</f>
        <v>3.02386365163883</v>
      </c>
      <c r="AL862" s="2" t="n">
        <f aca="false">(AD862+AG862+I862/Hypothèses!$J$19)*(1+G862)</f>
        <v>7890.93745687733</v>
      </c>
      <c r="AM862" s="2" t="n">
        <f aca="false">Entrées!$C$54*K862/Hypothèses!$J$19</f>
        <v>17.0592482644372</v>
      </c>
      <c r="AN862" s="2" t="n">
        <f aca="false">Y862*1000/AC862</f>
        <v>53.3369397827132</v>
      </c>
      <c r="AO862" s="2" t="n">
        <f aca="false">(Entrées!$C$36*(1-S862)+MAX(0,Entrées!$C$30-Entrées!$C$35-Entrées!$C$36)*U862)*1000</f>
        <v>718.245844219649</v>
      </c>
      <c r="AP862" s="2" t="n">
        <f aca="false">-AO862/W862</f>
        <v>-81.4935226137626</v>
      </c>
      <c r="AQ862" s="2" t="n">
        <f aca="false">AL862+AM862+AN862+AP862</f>
        <v>7879.84012231072</v>
      </c>
      <c r="AR862" s="2" t="n">
        <f aca="false">O862*AQ862-Hypothèses!$J$25/Hypothèses!$J$19</f>
        <v>1331.89156947504</v>
      </c>
      <c r="AS862" s="2" t="n">
        <f aca="false">Entrées!$C$79*(1+Q862)+Hypothèses!$J$20</f>
        <v>1461.60224472747</v>
      </c>
      <c r="AT862" s="2" t="n">
        <f aca="false">AI862-AR862+AS862+Y862*1000-AO862+Hypothèses!$J$23</f>
        <v>22758.8509086985</v>
      </c>
      <c r="AU862" s="2" t="n">
        <f aca="false">AT862/AQ862</f>
        <v>2.88823764891623</v>
      </c>
      <c r="AV862" s="2" t="n">
        <f aca="false">Hypothèses!$J$26*AQ862-AT862</f>
        <v>880.669458233697</v>
      </c>
      <c r="AW862" s="2" t="n">
        <f aca="false">IF(AC862&gt;Hypothèses!$J$26,MAX(0,AV862)/(1-Hypothèses!$J$26/AC862),0)</f>
        <v>1376.36935285337</v>
      </c>
      <c r="AX862" s="2" t="n">
        <f aca="false">AQ862-Entrées!$C$17*1000</f>
        <v>-120.159877689282</v>
      </c>
      <c r="AY862" s="2" t="n">
        <f aca="false">AI862+(Entrées!$C$244-Entrées!$C$13)</f>
        <v>28650.0971232677</v>
      </c>
      <c r="AZ862" s="2" t="n">
        <f aca="false">AA862*AH862</f>
        <v>5389.57605922707</v>
      </c>
      <c r="BA862" s="2" t="n">
        <f aca="false">AZ862/AY862</f>
        <v>0.188117200302613</v>
      </c>
      <c r="BB862" s="2" t="n">
        <f aca="false">AZ862/(Entrées!$C$151/100)-AY862</f>
        <v>1291.99209466044</v>
      </c>
      <c r="BC862" s="2" t="n">
        <f aca="false">AT862+(Entrées!$C$244-Entrées!$C$13)</f>
        <v>28505.8509086985</v>
      </c>
      <c r="BD862" s="2" t="n">
        <f aca="false">AA862*AQ862</f>
        <v>5656.74367826916</v>
      </c>
      <c r="BE862" s="2" t="n">
        <f aca="false">BD862/BC862</f>
        <v>0.198441495270117</v>
      </c>
      <c r="BF862" s="2" t="n">
        <f aca="false">BD862/(Entrées!$C$151/100)-BC862</f>
        <v>2920.50285946353</v>
      </c>
      <c r="BG862" s="2" t="n">
        <f aca="false">MIN(AV862,BF862)</f>
        <v>880.669458233697</v>
      </c>
      <c r="BH862" s="2" t="n">
        <f aca="false">IF(AC862&gt;Hypothèses!$J$26,MAX(0,BG862)/(1-Hypothèses!$J$26/AC862),0)</f>
        <v>1376.36935285337</v>
      </c>
    </row>
    <row r="863" customFormat="false" ht="15" hidden="false" customHeight="false" outlineLevel="0" collapsed="false">
      <c r="A863" s="2" t="n">
        <v>848</v>
      </c>
      <c r="B863" s="2" t="n">
        <v>0.217157107</v>
      </c>
      <c r="C863" s="2"/>
      <c r="D863" s="2" t="n">
        <v>0.641661731</v>
      </c>
      <c r="E863" s="2" t="n">
        <f aca="false">IF(E$7=E$5,E$6,IF(NORMSDIST(E$9*SQRT($C$11)*NORMSINV($B863)+SQRT(1-E$9^2*$C$11)*NORMSINV(D863))&lt;E$8,E$5+SQRT(NORMSDIST(E$9*SQRT($C$11)*NORMSINV($B863)+SQRT(1-E$9^2*$C$11)*NORMSINV(D863))*(E$7-E$5)*(E$6-E$5)),E$7-SQRT((1-NORMSDIST(E$9*SQRT($C$11)*NORMSINV($B863)+SQRT(1-E$9^2*$C$11)*NORMSINV(D863)))*(E$7-E$5)*(E$7-E$6))))</f>
        <v>0.054558068077063</v>
      </c>
      <c r="F863" s="2" t="n">
        <v>0.75594093</v>
      </c>
      <c r="G863" s="2" t="n">
        <f aca="false">IF(G$7=G$5,G$6,IF(NORMSDIST(G$9*SQRT($C$11)*NORMSINV($B863)+SQRT(1-G$9^2*$C$11)*NORMSINV(F863))&lt;G$8,G$5+SQRT(NORMSDIST(G$9*SQRT($C$11)*NORMSINV($B863)+SQRT(1-G$9^2*$C$11)*NORMSINV(F863))*(G$7-G$5)*(G$6-G$5)),G$7-SQRT((1-NORMSDIST(G$9*SQRT($C$11)*NORMSINV($B863)+SQRT(1-G$9^2*$C$11)*NORMSINV(F863)))*(G$7-G$5)*(G$7-G$6))))</f>
        <v>0.0552567987331738</v>
      </c>
      <c r="H863" s="2" t="n">
        <v>0.574446645</v>
      </c>
      <c r="I863" s="2" t="n">
        <f aca="false">IF(I$7=I$5,I$6,IF(NORMSDIST(I$9*SQRT($C$11)*NORMSINV($B863)+SQRT(1-I$9^2*$C$11)*NORMSINV(H863))&lt;I$8,I$5+SQRT(NORMSDIST(I$9*SQRT($C$11)*NORMSINV($B863)+SQRT(1-I$9^2*$C$11)*NORMSINV(H863))*(I$7-I$5)*(I$6-I$5)),I$7-SQRT((1-NORMSDIST(I$9*SQRT($C$11)*NORMSINV($B863)+SQRT(1-I$9^2*$C$11)*NORMSINV(H863)))*(I$7-I$5)*(I$7-I$6))))</f>
        <v>197.053235960873</v>
      </c>
      <c r="J863" s="2" t="n">
        <v>0.23738606</v>
      </c>
      <c r="K863" s="2" t="n">
        <f aca="false">IF(K$7=K$5,K$6,IF(NORMSDIST(K$9*SQRT($C$11)*NORMSINV($B863)+SQRT(1-K$9^2*$C$11)*NORMSINV(J863))&lt;K$8,K$5+SQRT(NORMSDIST(K$9*SQRT($C$11)*NORMSINV($B863)+SQRT(1-K$9^2*$C$11)*NORMSINV(J863))*(K$7-K$5)*(K$6-K$5)),K$7-SQRT((1-NORMSDIST(K$9*SQRT($C$11)*NORMSINV($B863)+SQRT(1-K$9^2*$C$11)*NORMSINV(J863)))*(K$7-K$5)*(K$7-K$6))))</f>
        <v>0.135690395388833</v>
      </c>
      <c r="L863" s="2" t="n">
        <v>0.451241882</v>
      </c>
      <c r="M863" s="2" t="n">
        <f aca="false">IF(M$7=M$5,M$6,IF(NORMSDIST(M$9*SQRT($C$11)*NORMSINV($B863)+SQRT(1-M$9^2*$C$11)*NORMSINV(L863))&lt;M$8,M$5+SQRT(NORMSDIST(M$9*SQRT($C$11)*NORMSINV($B863)+SQRT(1-M$9^2*$C$11)*NORMSINV(L863))*(M$7-M$5)*(M$6-M$5)),M$7-SQRT((1-NORMSDIST(M$9*SQRT($C$11)*NORMSINV($B863)+SQRT(1-M$9^2*$C$11)*NORMSINV(L863)))*(M$7-M$5)*(M$7-M$6))))</f>
        <v>1513.51262269195</v>
      </c>
      <c r="N863" s="2" t="n">
        <v>0.490665845</v>
      </c>
      <c r="O863" s="2" t="n">
        <f aca="false">IF(O$7=O$5,O$6,IF(NORMSDIST(O$9*SQRT($C$11)*NORMSINV($B863)+SQRT(1-O$9^2*$C$11)*NORMSINV(N863))&lt;O$8,O$5+SQRT(NORMSDIST(O$9*SQRT($C$11)*NORMSINV($B863)+SQRT(1-O$9^2*$C$11)*NORMSINV(N863))*(O$7-O$5)*(O$6-O$5)),O$7-SQRT((1-NORMSDIST(O$9*SQRT($C$11)*NORMSINV($B863)+SQRT(1-O$9^2*$C$11)*NORMSINV(N863)))*(O$7-O$5)*(O$7-O$6))))</f>
        <v>0.160889028886784</v>
      </c>
      <c r="P863" s="2" t="n">
        <v>0.923486311</v>
      </c>
      <c r="Q863" s="2" t="n">
        <f aca="false">IF(Q$7=Q$5,Q$6,IF(NORMSDIST(Q$9*SQRT($C$11)*NORMSINV($B863)+SQRT(1-Q$9^2*$C$11)*NORMSINV(P863))&lt;Q$8,Q$5+SQRT(NORMSDIST(Q$9*SQRT($C$11)*NORMSINV($B863)+SQRT(1-Q$9^2*$C$11)*NORMSINV(P863))*(Q$7-Q$5)*(Q$6-Q$5)),Q$7-SQRT((1-NORMSDIST(Q$9*SQRT($C$11)*NORMSINV($B863)+SQRT(1-Q$9^2*$C$11)*NORMSINV(P863)))*(Q$7-Q$5)*(Q$7-Q$6))))</f>
        <v>0.104352514425634</v>
      </c>
      <c r="R863" s="2" t="n">
        <v>0.115601272</v>
      </c>
      <c r="S863" s="2" t="n">
        <f aca="false">IF(S$7=S$5,S$6,IF(NORMSDIST(S$9*SQRT($C$11)*NORMSINV($B863)+SQRT(1-S$9^2*$C$11)*NORMSINV(R863))&lt;S$8,S$5+SQRT(NORMSDIST(S$9*SQRT($C$11)*NORMSINV($B863)+SQRT(1-S$9^2*$C$11)*NORMSINV(R863))*(S$7-S$5)*(S$6-S$5)),S$7-SQRT((1-NORMSDIST(S$9*SQRT($C$11)*NORMSINV($B863)+SQRT(1-S$9^2*$C$11)*NORMSINV(R863)))*(S$7-S$5)*(S$7-S$6))))</f>
        <v>0.196890469030552</v>
      </c>
      <c r="T863" s="2" t="n">
        <v>0.039544543</v>
      </c>
      <c r="U863" s="2" t="n">
        <f aca="false">IF(U$7=U$5,U$6,IF(NORMSDIST(U$9*SQRT($C$11)*NORMSINV($B863)+SQRT(1-U$9^2*$C$11)*NORMSINV(T863))&lt;U$8,U$5+SQRT(NORMSDIST(U$9*SQRT($C$11)*NORMSINV($B863)+SQRT(1-U$9^2*$C$11)*NORMSINV(T863))*(U$7-U$5)*(U$6-U$5)),U$7-SQRT((1-NORMSDIST(U$9*SQRT($C$11)*NORMSINV($B863)+SQRT(1-U$9^2*$C$11)*NORMSINV(T863)))*(U$7-U$5)*(U$7-U$6))))</f>
        <v>0.126139361392345</v>
      </c>
      <c r="V863" s="2" t="n">
        <v>0.496138082</v>
      </c>
      <c r="W863" s="2" t="n">
        <f aca="false">IF(W$7=W$5,W$6,IF(NORMSDIST(W$9*SQRT($C$11)*NORMSINV($B863)+SQRT(1-W$9^2*$C$11)*NORMSINV(V863))&lt;W$8,W$5+SQRT(NORMSDIST(W$9*SQRT($C$11)*NORMSINV($B863)+SQRT(1-W$9^2*$C$11)*NORMSINV(V863))*(W$7-W$5)*(W$6-W$5)),W$7-SQRT((1-NORMSDIST(W$9*SQRT($C$11)*NORMSINV($B863)+SQRT(1-W$9^2*$C$11)*NORMSINV(V863)))*(W$7-W$5)*(W$7-W$6))))</f>
        <v>9.56931520660856</v>
      </c>
      <c r="X863" s="2" t="n">
        <v>0.60198152</v>
      </c>
      <c r="Y863" s="2" t="n">
        <f aca="false">IF(Y$7=Y$5,Y$6,IF(NORMSDIST(Y$9*SQRT($C$11)*NORMSINV($B863)+SQRT(1-Y$9^2*$C$11)*NORMSINV(X863))&lt;Y$8,Y$5+SQRT(NORMSDIST(Y$9*SQRT($C$11)*NORMSINV($B863)+SQRT(1-Y$9^2*$C$11)*NORMSINV(X863))*(Y$7-Y$5)*(Y$6-Y$5)),Y$7-SQRT((1-NORMSDIST(Y$9*SQRT($C$11)*NORMSINV($B863)+SQRT(1-Y$9^2*$C$11)*NORMSINV(X863)))*(Y$7-Y$5)*(Y$7-Y$6))))</f>
        <v>0.553895483098411</v>
      </c>
      <c r="Z863" s="2" t="n">
        <v>0.480803946</v>
      </c>
      <c r="AA863" s="2" t="n">
        <f aca="false">IF(AA$7=AA$5,AA$6,IF(NORMSDIST(AA$9*SQRT($C$11)*NORMSINV($B863)+SQRT(1-AA$9^2*$C$11)*NORMSINV(Z863))&lt;AA$8,AA$5+SQRT(NORMSDIST(AA$9*SQRT($C$11)*NORMSINV($B863)+SQRT(1-AA$9^2*$C$11)*NORMSINV(Z863))*(AA$7-AA$5)*(AA$6-AA$5)),AA$7-SQRT((1-NORMSDIST(AA$9*SQRT($C$11)*NORMSINV($B863)+SQRT(1-AA$9^2*$C$11)*NORMSINV(Z863)))*(AA$7-AA$5)*(AA$7-AA$6))))</f>
        <v>0.720565289472873</v>
      </c>
      <c r="AB863" s="2" t="n">
        <v>0.889208135</v>
      </c>
      <c r="AC863" s="2" t="n">
        <f aca="false">IF(AC$7=AC$5,AC$6,IF(NORMSDIST(AC$9*SQRT($C$11)*NORMSINV($B863)+SQRT(1-AC$9^2*$C$11)*NORMSINV(AB863))&lt;AC$8,AC$5+SQRT(NORMSDIST(AC$9*SQRT($C$11)*NORMSINV($B863)+SQRT(1-AC$9^2*$C$11)*NORMSINV(AB863))*(AC$7-AC$5)*(AC$6-AC$5)),AC$7-SQRT((1-NORMSDIST(AC$9*SQRT($C$11)*NORMSINV($B863)+SQRT(1-AC$9^2*$C$11)*NORMSINV(AB863)))*(AC$7-AC$5)*(AC$7-AC$6))))</f>
        <v>9.81416056957531</v>
      </c>
      <c r="AD863" s="2" t="n">
        <f aca="false">Entrées!$C$8*(1+E863)</f>
        <v>7434.63437994329</v>
      </c>
      <c r="AE863" s="2" t="n">
        <f aca="false">I863*Hypothèses!$J$24/12/Hypothèses!$J$19</f>
        <v>97.7574796667718</v>
      </c>
      <c r="AF863" s="2" t="n">
        <f aca="false">Entrées!$C$36*S863*1000</f>
        <v>98.445234515276</v>
      </c>
      <c r="AG863" s="2" t="n">
        <f aca="false">-AF863/W863</f>
        <v>-10.2875945028219</v>
      </c>
      <c r="AH863" s="2" t="n">
        <f aca="false">AD863+AE863+AG863</f>
        <v>7522.10426510725</v>
      </c>
      <c r="AI863" s="2" t="n">
        <f aca="false">Entrées!$C$16-M863+Hypothèses!$J$22*1000-AF863+Hypothèses!$J$23</f>
        <v>22936.0421427928</v>
      </c>
      <c r="AJ863" s="2" t="n">
        <f aca="false">AI863/AH863</f>
        <v>3.04915238268979</v>
      </c>
      <c r="AK863" s="2" t="n">
        <f aca="false">AI863/(AH863+I863*(12-Hypothèses!$J$24)/12/Hypothèses!$J$19)</f>
        <v>3.02110780947999</v>
      </c>
      <c r="AL863" s="2" t="n">
        <f aca="false">(AD863+AG863+I863/Hypothèses!$J$19)*(1+G863)</f>
        <v>8011.43684156664</v>
      </c>
      <c r="AM863" s="2" t="n">
        <f aca="false">Entrées!$C$54*K863/Hypothèses!$J$19</f>
        <v>13.847774576584</v>
      </c>
      <c r="AN863" s="2" t="n">
        <f aca="false">Y863*1000/AC863</f>
        <v>56.4383962511813</v>
      </c>
      <c r="AO863" s="2" t="n">
        <f aca="false">(Entrées!$C$36*(1-S863)+MAX(0,Entrées!$C$30-Entrées!$C$35-Entrées!$C$36)*U863)*1000</f>
        <v>578.149871434007</v>
      </c>
      <c r="AP863" s="2" t="n">
        <f aca="false">-AO863/W863</f>
        <v>-60.4170579556975</v>
      </c>
      <c r="AQ863" s="2" t="n">
        <f aca="false">AL863+AM863+AN863+AP863</f>
        <v>8021.30595443871</v>
      </c>
      <c r="AR863" s="2" t="n">
        <f aca="false">O863*AQ863-Hypothèses!$J$25/Hypothèses!$J$19</f>
        <v>1271.4049631518</v>
      </c>
      <c r="AS863" s="2" t="n">
        <f aca="false">Entrées!$C$79*(1+Q863)+Hypothèses!$J$20</f>
        <v>1508.68341335377</v>
      </c>
      <c r="AT863" s="2" t="n">
        <f aca="false">AI863-AR863+AS863+Y863*1000-AO863+Hypothèses!$J$23</f>
        <v>23149.0662046592</v>
      </c>
      <c r="AU863" s="2" t="n">
        <f aca="false">AT863/AQ863</f>
        <v>2.88594729289054</v>
      </c>
      <c r="AV863" s="2" t="n">
        <f aca="false">Hypothèses!$J$26*AQ863-AT863</f>
        <v>914.85165865696</v>
      </c>
      <c r="AW863" s="2" t="n">
        <f aca="false">IF(AC863&gt;Hypothèses!$J$26,MAX(0,AV863)/(1-Hypothèses!$J$26/AC863),0)</f>
        <v>1317.62393676046</v>
      </c>
      <c r="AX863" s="2" t="n">
        <f aca="false">AQ863-Entrées!$C$17*1000</f>
        <v>21.3059544387061</v>
      </c>
      <c r="AY863" s="2" t="n">
        <f aca="false">AI863+(Entrées!$C$244-Entrées!$C$13)</f>
        <v>28683.0421427928</v>
      </c>
      <c r="AZ863" s="2" t="n">
        <f aca="false">AA863*AH863</f>
        <v>5420.16723723214</v>
      </c>
      <c r="BA863" s="2" t="n">
        <f aca="false">AZ863/AY863</f>
        <v>0.188967655880046</v>
      </c>
      <c r="BB863" s="2" t="n">
        <f aca="false">AZ863/(Entrées!$C$151/100)-AY863</f>
        <v>1428.99806405242</v>
      </c>
      <c r="BC863" s="2" t="n">
        <f aca="false">AT863+(Entrées!$C$244-Entrées!$C$13)</f>
        <v>28896.0662046592</v>
      </c>
      <c r="BD863" s="2" t="n">
        <f aca="false">AA863*AQ863</f>
        <v>5779.87464701061</v>
      </c>
      <c r="BE863" s="2" t="n">
        <f aca="false">BD863/BC863</f>
        <v>0.200022889139099</v>
      </c>
      <c r="BF863" s="2" t="n">
        <f aca="false">BD863/(Entrées!$C$151/100)-BC863</f>
        <v>3214.34850095533</v>
      </c>
      <c r="BG863" s="2" t="n">
        <f aca="false">MIN(AV863,BF863)</f>
        <v>914.85165865696</v>
      </c>
      <c r="BH863" s="2" t="n">
        <f aca="false">IF(AC863&gt;Hypothèses!$J$26,MAX(0,BG863)/(1-Hypothèses!$J$26/AC863),0)</f>
        <v>1317.62393676046</v>
      </c>
    </row>
    <row r="864" customFormat="false" ht="15" hidden="false" customHeight="false" outlineLevel="0" collapsed="false">
      <c r="A864" s="2" t="n">
        <v>849</v>
      </c>
      <c r="B864" s="2" t="n">
        <v>0.026363128</v>
      </c>
      <c r="C864" s="2"/>
      <c r="D864" s="2" t="n">
        <v>0.884080231</v>
      </c>
      <c r="E864" s="2" t="n">
        <f aca="false">IF(E$7=E$5,E$6,IF(NORMSDIST(E$9*SQRT($C$11)*NORMSINV($B864)+SQRT(1-E$9^2*$C$11)*NORMSINV(D864))&lt;E$8,E$5+SQRT(NORMSDIST(E$9*SQRT($C$11)*NORMSINV($B864)+SQRT(1-E$9^2*$C$11)*NORMSINV(D864))*(E$7-E$5)*(E$6-E$5)),E$7-SQRT((1-NORMSDIST(E$9*SQRT($C$11)*NORMSINV($B864)+SQRT(1-E$9^2*$C$11)*NORMSINV(D864)))*(E$7-E$5)*(E$7-E$6))))</f>
        <v>0.0543729743662822</v>
      </c>
      <c r="F864" s="2" t="n">
        <v>0.576149644</v>
      </c>
      <c r="G864" s="2" t="n">
        <f aca="false">IF(G$7=G$5,G$6,IF(NORMSDIST(G$9*SQRT($C$11)*NORMSINV($B864)+SQRT(1-G$9^2*$C$11)*NORMSINV(F864))&lt;G$8,G$5+SQRT(NORMSDIST(G$9*SQRT($C$11)*NORMSINV($B864)+SQRT(1-G$9^2*$C$11)*NORMSINV(F864))*(G$7-G$5)*(G$6-G$5)),G$7-SQRT((1-NORMSDIST(G$9*SQRT($C$11)*NORMSINV($B864)+SQRT(1-G$9^2*$C$11)*NORMSINV(F864)))*(G$7-G$5)*(G$7-G$6))))</f>
        <v>0.0479619868862916</v>
      </c>
      <c r="H864" s="2" t="n">
        <v>0.903691468</v>
      </c>
      <c r="I864" s="2" t="n">
        <f aca="false">IF(I$7=I$5,I$6,IF(NORMSDIST(I$9*SQRT($C$11)*NORMSINV($B864)+SQRT(1-I$9^2*$C$11)*NORMSINV(H864))&lt;I$8,I$5+SQRT(NORMSDIST(I$9*SQRT($C$11)*NORMSINV($B864)+SQRT(1-I$9^2*$C$11)*NORMSINV(H864))*(I$7-I$5)*(I$6-I$5)),I$7-SQRT((1-NORMSDIST(I$9*SQRT($C$11)*NORMSINV($B864)+SQRT(1-I$9^2*$C$11)*NORMSINV(H864)))*(I$7-I$5)*(I$7-I$6))))</f>
        <v>198.210081191863</v>
      </c>
      <c r="J864" s="2" t="n">
        <v>0.071323138</v>
      </c>
      <c r="K864" s="2" t="n">
        <f aca="false">IF(K$7=K$5,K$6,IF(NORMSDIST(K$9*SQRT($C$11)*NORMSINV($B864)+SQRT(1-K$9^2*$C$11)*NORMSINV(J864))&lt;K$8,K$5+SQRT(NORMSDIST(K$9*SQRT($C$11)*NORMSINV($B864)+SQRT(1-K$9^2*$C$11)*NORMSINV(J864))*(K$7-K$5)*(K$6-K$5)),K$7-SQRT((1-NORMSDIST(K$9*SQRT($C$11)*NORMSINV($B864)+SQRT(1-K$9^2*$C$11)*NORMSINV(J864)))*(K$7-K$5)*(K$7-K$6))))</f>
        <v>0.0337629840220629</v>
      </c>
      <c r="L864" s="2" t="n">
        <v>0.804626425</v>
      </c>
      <c r="M864" s="2" t="n">
        <f aca="false">IF(M$7=M$5,M$6,IF(NORMSDIST(M$9*SQRT($C$11)*NORMSINV($B864)+SQRT(1-M$9^2*$C$11)*NORMSINV(L864))&lt;M$8,M$5+SQRT(NORMSDIST(M$9*SQRT($C$11)*NORMSINV($B864)+SQRT(1-M$9^2*$C$11)*NORMSINV(L864))*(M$7-M$5)*(M$6-M$5)),M$7-SQRT((1-NORMSDIST(M$9*SQRT($C$11)*NORMSINV($B864)+SQRT(1-M$9^2*$C$11)*NORMSINV(L864)))*(M$7-M$5)*(M$7-M$6))))</f>
        <v>1517.19549916672</v>
      </c>
      <c r="N864" s="2" t="n">
        <v>0.874954931</v>
      </c>
      <c r="O864" s="2" t="n">
        <f aca="false">IF(O$7=O$5,O$6,IF(NORMSDIST(O$9*SQRT($C$11)*NORMSINV($B864)+SQRT(1-O$9^2*$C$11)*NORMSINV(N864))&lt;O$8,O$5+SQRT(NORMSDIST(O$9*SQRT($C$11)*NORMSINV($B864)+SQRT(1-O$9^2*$C$11)*NORMSINV(N864))*(O$7-O$5)*(O$6-O$5)),O$7-SQRT((1-NORMSDIST(O$9*SQRT($C$11)*NORMSINV($B864)+SQRT(1-O$9^2*$C$11)*NORMSINV(N864)))*(O$7-O$5)*(O$7-O$6))))</f>
        <v>0.163012383288145</v>
      </c>
      <c r="P864" s="2" t="n">
        <v>0.38526339</v>
      </c>
      <c r="Q864" s="2" t="n">
        <f aca="false">IF(Q$7=Q$5,Q$6,IF(NORMSDIST(Q$9*SQRT($C$11)*NORMSINV($B864)+SQRT(1-Q$9^2*$C$11)*NORMSINV(P864))&lt;Q$8,Q$5+SQRT(NORMSDIST(Q$9*SQRT($C$11)*NORMSINV($B864)+SQRT(1-Q$9^2*$C$11)*NORMSINV(P864))*(Q$7-Q$5)*(Q$6-Q$5)),Q$7-SQRT((1-NORMSDIST(Q$9*SQRT($C$11)*NORMSINV($B864)+SQRT(1-Q$9^2*$C$11)*NORMSINV(P864)))*(Q$7-Q$5)*(Q$7-Q$6))))</f>
        <v>0.0751118619272747</v>
      </c>
      <c r="R864" s="2" t="n">
        <v>0.54678455</v>
      </c>
      <c r="S864" s="2" t="n">
        <f aca="false">IF(S$7=S$5,S$6,IF(NORMSDIST(S$9*SQRT($C$11)*NORMSINV($B864)+SQRT(1-S$9^2*$C$11)*NORMSINV(R864))&lt;S$8,S$5+SQRT(NORMSDIST(S$9*SQRT($C$11)*NORMSINV($B864)+SQRT(1-S$9^2*$C$11)*NORMSINV(R864))*(S$7-S$5)*(S$6-S$5)),S$7-SQRT((1-NORMSDIST(S$9*SQRT($C$11)*NORMSINV($B864)+SQRT(1-S$9^2*$C$11)*NORMSINV(R864)))*(S$7-S$5)*(S$7-S$6))))</f>
        <v>0.253350117369737</v>
      </c>
      <c r="T864" s="2" t="n">
        <v>0.729551809</v>
      </c>
      <c r="U864" s="2" t="n">
        <f aca="false">IF(U$7=U$5,U$6,IF(NORMSDIST(U$9*SQRT($C$11)*NORMSINV($B864)+SQRT(1-U$9^2*$C$11)*NORMSINV(T864))&lt;U$8,U$5+SQRT(NORMSDIST(U$9*SQRT($C$11)*NORMSINV($B864)+SQRT(1-U$9^2*$C$11)*NORMSINV(T864))*(U$7-U$5)*(U$6-U$5)),U$7-SQRT((1-NORMSDIST(U$9*SQRT($C$11)*NORMSINV($B864)+SQRT(1-U$9^2*$C$11)*NORMSINV(T864)))*(U$7-U$5)*(U$7-U$6))))</f>
        <v>0.33627841498832</v>
      </c>
      <c r="V864" s="2" t="n">
        <v>0.152250259</v>
      </c>
      <c r="W864" s="2" t="n">
        <f aca="false">IF(W$7=W$5,W$6,IF(NORMSDIST(W$9*SQRT($C$11)*NORMSINV($B864)+SQRT(1-W$9^2*$C$11)*NORMSINV(V864))&lt;W$8,W$5+SQRT(NORMSDIST(W$9*SQRT($C$11)*NORMSINV($B864)+SQRT(1-W$9^2*$C$11)*NORMSINV(V864))*(W$7-W$5)*(W$6-W$5)),W$7-SQRT((1-NORMSDIST(W$9*SQRT($C$11)*NORMSINV($B864)+SQRT(1-W$9^2*$C$11)*NORMSINV(V864)))*(W$7-W$5)*(W$7-W$6))))</f>
        <v>8.41630261215626</v>
      </c>
      <c r="X864" s="2" t="n">
        <v>0.568816583</v>
      </c>
      <c r="Y864" s="2" t="n">
        <f aca="false">IF(Y$7=Y$5,Y$6,IF(NORMSDIST(Y$9*SQRT($C$11)*NORMSINV($B864)+SQRT(1-Y$9^2*$C$11)*NORMSINV(X864))&lt;Y$8,Y$5+SQRT(NORMSDIST(Y$9*SQRT($C$11)*NORMSINV($B864)+SQRT(1-Y$9^2*$C$11)*NORMSINV(X864))*(Y$7-Y$5)*(Y$6-Y$5)),Y$7-SQRT((1-NORMSDIST(Y$9*SQRT($C$11)*NORMSINV($B864)+SQRT(1-Y$9^2*$C$11)*NORMSINV(X864)))*(Y$7-Y$5)*(Y$7-Y$6))))</f>
        <v>0.53568145794078</v>
      </c>
      <c r="Z864" s="2" t="n">
        <v>0.225340184</v>
      </c>
      <c r="AA864" s="2" t="n">
        <f aca="false">IF(AA$7=AA$5,AA$6,IF(NORMSDIST(AA$9*SQRT($C$11)*NORMSINV($B864)+SQRT(1-AA$9^2*$C$11)*NORMSINV(Z864))&lt;AA$8,AA$5+SQRT(NORMSDIST(AA$9*SQRT($C$11)*NORMSINV($B864)+SQRT(1-AA$9^2*$C$11)*NORMSINV(Z864))*(AA$7-AA$5)*(AA$6-AA$5)),AA$7-SQRT((1-NORMSDIST(AA$9*SQRT($C$11)*NORMSINV($B864)+SQRT(1-AA$9^2*$C$11)*NORMSINV(Z864)))*(AA$7-AA$5)*(AA$7-AA$6))))</f>
        <v>0.704003028542051</v>
      </c>
      <c r="AB864" s="2" t="n">
        <v>0.285324698</v>
      </c>
      <c r="AC864" s="2" t="n">
        <f aca="false">IF(AC$7=AC$5,AC$6,IF(NORMSDIST(AC$9*SQRT($C$11)*NORMSINV($B864)+SQRT(1-AC$9^2*$C$11)*NORMSINV(AB864))&lt;AC$8,AC$5+SQRT(NORMSDIST(AC$9*SQRT($C$11)*NORMSINV($B864)+SQRT(1-AC$9^2*$C$11)*NORMSINV(AB864))*(AC$7-AC$5)*(AC$6-AC$5)),AC$7-SQRT((1-NORMSDIST(AC$9*SQRT($C$11)*NORMSINV($B864)+SQRT(1-AC$9^2*$C$11)*NORMSINV(AB864)))*(AC$7-AC$5)*(AC$7-AC$6))))</f>
        <v>8.04407299423682</v>
      </c>
      <c r="AD864" s="2" t="n">
        <f aca="false">Entrées!$C$8*(1+E864)</f>
        <v>7433.32946928229</v>
      </c>
      <c r="AE864" s="2" t="n">
        <f aca="false">I864*Hypothèses!$J$24/12/Hypothèses!$J$19</f>
        <v>98.3313868832386</v>
      </c>
      <c r="AF864" s="2" t="n">
        <f aca="false">Entrées!$C$36*S864*1000</f>
        <v>126.675058684869</v>
      </c>
      <c r="AG864" s="2" t="n">
        <f aca="false">-AF864/W864</f>
        <v>-15.051153044557</v>
      </c>
      <c r="AH864" s="2" t="n">
        <f aca="false">AD864+AE864+AG864</f>
        <v>7516.60970312097</v>
      </c>
      <c r="AI864" s="2" t="n">
        <f aca="false">Entrées!$C$16-M864+Hypothèses!$J$22*1000-AF864+Hypothèses!$J$23</f>
        <v>22904.1294421484</v>
      </c>
      <c r="AJ864" s="2" t="n">
        <f aca="false">AI864/AH864</f>
        <v>3.04713565647002</v>
      </c>
      <c r="AK864" s="2" t="n">
        <f aca="false">AI864/(AH864+I864*(12-Hypothèses!$J$24)/12/Hypothèses!$J$19)</f>
        <v>3.01892620600354</v>
      </c>
      <c r="AL864" s="2" t="n">
        <f aca="false">(AD864+AG864+I864/Hypothèses!$J$19)*(1+G864)</f>
        <v>7950.72663596818</v>
      </c>
      <c r="AM864" s="2" t="n">
        <f aca="false">Entrées!$C$54*K864/Hypothèses!$J$19</f>
        <v>3.44565428106057</v>
      </c>
      <c r="AN864" s="2" t="n">
        <f aca="false">Y864*1000/AC864</f>
        <v>66.5933114138285</v>
      </c>
      <c r="AO864" s="2" t="n">
        <f aca="false">(Entrées!$C$36*(1-S864)+MAX(0,Entrées!$C$30-Entrées!$C$35-Entrées!$C$36)*U864)*1000</f>
        <v>844.11472229878</v>
      </c>
      <c r="AP864" s="2" t="n">
        <f aca="false">-AO864/W864</f>
        <v>-100.295196263448</v>
      </c>
      <c r="AQ864" s="2" t="n">
        <f aca="false">AL864+AM864+AN864+AP864</f>
        <v>7920.47040539962</v>
      </c>
      <c r="AR864" s="2" t="n">
        <f aca="false">O864*AQ864-Hypothèses!$J$25/Hypothèses!$J$19</f>
        <v>1271.99959528579</v>
      </c>
      <c r="AS864" s="2" t="n">
        <f aca="false">Entrées!$C$79*(1+Q864)+Hypothèses!$J$20</f>
        <v>1476.54793625807</v>
      </c>
      <c r="AT864" s="2" t="n">
        <f aca="false">AI864-AR864+AS864+Y864*1000-AO864+Hypothèses!$J$23</f>
        <v>22800.2445187627</v>
      </c>
      <c r="AU864" s="2" t="n">
        <f aca="false">AT864/AQ864</f>
        <v>2.8786477761749</v>
      </c>
      <c r="AV864" s="2" t="n">
        <f aca="false">Hypothèses!$J$26*AQ864-AT864</f>
        <v>961.166697436151</v>
      </c>
      <c r="AW864" s="2" t="n">
        <f aca="false">IF(AC864&gt;Hypothèses!$J$26,MAX(0,AV864)/(1-Hypothèses!$J$26/AC864),0)</f>
        <v>1532.82775301624</v>
      </c>
      <c r="AX864" s="2" t="n">
        <f aca="false">AQ864-Entrées!$C$17*1000</f>
        <v>-79.5295946003835</v>
      </c>
      <c r="AY864" s="2" t="n">
        <f aca="false">AI864+(Entrées!$C$244-Entrées!$C$13)</f>
        <v>28651.1294421484</v>
      </c>
      <c r="AZ864" s="2" t="n">
        <f aca="false">AA864*AH864</f>
        <v>5291.71599536573</v>
      </c>
      <c r="BA864" s="2" t="n">
        <f aca="false">AZ864/AY864</f>
        <v>0.184694847930886</v>
      </c>
      <c r="BB864" s="2" t="n">
        <f aca="false">AZ864/(Entrées!$C$151/100)-AY864</f>
        <v>747.292754327871</v>
      </c>
      <c r="BC864" s="2" t="n">
        <f aca="false">AT864+(Entrées!$C$244-Entrées!$C$13)</f>
        <v>28547.2445187627</v>
      </c>
      <c r="BD864" s="2" t="n">
        <f aca="false">AA864*AQ864</f>
        <v>5576.03515287902</v>
      </c>
      <c r="BE864" s="2" t="n">
        <f aca="false">BD864/BC864</f>
        <v>0.195326562926736</v>
      </c>
      <c r="BF864" s="2" t="n">
        <f aca="false">BD864/(Entrées!$C$151/100)-BC864</f>
        <v>2430.7285527874</v>
      </c>
      <c r="BG864" s="2" t="n">
        <f aca="false">MIN(AV864,BF864)</f>
        <v>961.166697436151</v>
      </c>
      <c r="BH864" s="2" t="n">
        <f aca="false">IF(AC864&gt;Hypothèses!$J$26,MAX(0,BG864)/(1-Hypothèses!$J$26/AC864),0)</f>
        <v>1532.82775301624</v>
      </c>
    </row>
    <row r="865" customFormat="false" ht="15" hidden="false" customHeight="false" outlineLevel="0" collapsed="false">
      <c r="A865" s="2" t="n">
        <v>850</v>
      </c>
      <c r="B865" s="2" t="n">
        <v>0.030934266</v>
      </c>
      <c r="C865" s="2"/>
      <c r="D865" s="2" t="n">
        <v>0.178382401</v>
      </c>
      <c r="E865" s="2" t="n">
        <f aca="false">IF(E$7=E$5,E$6,IF(NORMSDIST(E$9*SQRT($C$11)*NORMSINV($B865)+SQRT(1-E$9^2*$C$11)*NORMSINV(D865))&lt;E$8,E$5+SQRT(NORMSDIST(E$9*SQRT($C$11)*NORMSINV($B865)+SQRT(1-E$9^2*$C$11)*NORMSINV(D865))*(E$7-E$5)*(E$6-E$5)),E$7-SQRT((1-NORMSDIST(E$9*SQRT($C$11)*NORMSINV($B865)+SQRT(1-E$9^2*$C$11)*NORMSINV(D865)))*(E$7-E$5)*(E$7-E$6))))</f>
        <v>0.051205432122577</v>
      </c>
      <c r="F865" s="2" t="n">
        <v>0.200988571</v>
      </c>
      <c r="G865" s="2" t="n">
        <f aca="false">IF(G$7=G$5,G$6,IF(NORMSDIST(G$9*SQRT($C$11)*NORMSINV($B865)+SQRT(1-G$9^2*$C$11)*NORMSINV(F865))&lt;G$8,G$5+SQRT(NORMSDIST(G$9*SQRT($C$11)*NORMSINV($B865)+SQRT(1-G$9^2*$C$11)*NORMSINV(F865))*(G$7-G$5)*(G$6-G$5)),G$7-SQRT((1-NORMSDIST(G$9*SQRT($C$11)*NORMSINV($B865)+SQRT(1-G$9^2*$C$11)*NORMSINV(F865)))*(G$7-G$5)*(G$7-G$6))))</f>
        <v>0.0438893263500723</v>
      </c>
      <c r="H865" s="2" t="n">
        <v>0.504158058</v>
      </c>
      <c r="I865" s="2" t="n">
        <f aca="false">IF(I$7=I$5,I$6,IF(NORMSDIST(I$9*SQRT($C$11)*NORMSINV($B865)+SQRT(1-I$9^2*$C$11)*NORMSINV(H865))&lt;I$8,I$5+SQRT(NORMSDIST(I$9*SQRT($C$11)*NORMSINV($B865)+SQRT(1-I$9^2*$C$11)*NORMSINV(H865))*(I$7-I$5)*(I$6-I$5)),I$7-SQRT((1-NORMSDIST(I$9*SQRT($C$11)*NORMSINV($B865)+SQRT(1-I$9^2*$C$11)*NORMSINV(H865)))*(I$7-I$5)*(I$7-I$6))))</f>
        <v>189.815246685662</v>
      </c>
      <c r="J865" s="2" t="n">
        <v>0.086719592</v>
      </c>
      <c r="K865" s="2" t="n">
        <f aca="false">IF(K$7=K$5,K$6,IF(NORMSDIST(K$9*SQRT($C$11)*NORMSINV($B865)+SQRT(1-K$9^2*$C$11)*NORMSINV(J865))&lt;K$8,K$5+SQRT(NORMSDIST(K$9*SQRT($C$11)*NORMSINV($B865)+SQRT(1-K$9^2*$C$11)*NORMSINV(J865))*(K$7-K$5)*(K$6-K$5)),K$7-SQRT((1-NORMSDIST(K$9*SQRT($C$11)*NORMSINV($B865)+SQRT(1-K$9^2*$C$11)*NORMSINV(J865)))*(K$7-K$5)*(K$7-K$6))))</f>
        <v>0.0398388843286932</v>
      </c>
      <c r="L865" s="2" t="n">
        <v>0.884339508</v>
      </c>
      <c r="M865" s="2" t="n">
        <f aca="false">IF(M$7=M$5,M$6,IF(NORMSDIST(M$9*SQRT($C$11)*NORMSINV($B865)+SQRT(1-M$9^2*$C$11)*NORMSINV(L865))&lt;M$8,M$5+SQRT(NORMSDIST(M$9*SQRT($C$11)*NORMSINV($B865)+SQRT(1-M$9^2*$C$11)*NORMSINV(L865))*(M$7-M$5)*(M$6-M$5)),M$7-SQRT((1-NORMSDIST(M$9*SQRT($C$11)*NORMSINV($B865)+SQRT(1-M$9^2*$C$11)*NORMSINV(L865)))*(M$7-M$5)*(M$7-M$6))))</f>
        <v>1555.51075050713</v>
      </c>
      <c r="N865" s="2" t="n">
        <v>0.96531504</v>
      </c>
      <c r="O865" s="2" t="n">
        <f aca="false">IF(O$7=O$5,O$6,IF(NORMSDIST(O$9*SQRT($C$11)*NORMSINV($B865)+SQRT(1-O$9^2*$C$11)*NORMSINV(N865))&lt;O$8,O$5+SQRT(NORMSDIST(O$9*SQRT($C$11)*NORMSINV($B865)+SQRT(1-O$9^2*$C$11)*NORMSINV(N865))*(O$7-O$5)*(O$6-O$5)),O$7-SQRT((1-NORMSDIST(O$9*SQRT($C$11)*NORMSINV($B865)+SQRT(1-O$9^2*$C$11)*NORMSINV(N865)))*(O$7-O$5)*(O$7-O$6))))</f>
        <v>0.169084023893785</v>
      </c>
      <c r="P865" s="2" t="n">
        <v>0.460595989</v>
      </c>
      <c r="Q865" s="2" t="n">
        <f aca="false">IF(Q$7=Q$5,Q$6,IF(NORMSDIST(Q$9*SQRT($C$11)*NORMSINV($B865)+SQRT(1-Q$9^2*$C$11)*NORMSINV(P865))&lt;Q$8,Q$5+SQRT(NORMSDIST(Q$9*SQRT($C$11)*NORMSINV($B865)+SQRT(1-Q$9^2*$C$11)*NORMSINV(P865))*(Q$7-Q$5)*(Q$6-Q$5)),Q$7-SQRT((1-NORMSDIST(Q$9*SQRT($C$11)*NORMSINV($B865)+SQRT(1-Q$9^2*$C$11)*NORMSINV(P865)))*(Q$7-Q$5)*(Q$7-Q$6))))</f>
        <v>0.0783914986006017</v>
      </c>
      <c r="R865" s="2" t="n">
        <v>0.764311202</v>
      </c>
      <c r="S865" s="2" t="n">
        <f aca="false">IF(S$7=S$5,S$6,IF(NORMSDIST(S$9*SQRT($C$11)*NORMSINV($B865)+SQRT(1-S$9^2*$C$11)*NORMSINV(R865))&lt;S$8,S$5+SQRT(NORMSDIST(S$9*SQRT($C$11)*NORMSINV($B865)+SQRT(1-S$9^2*$C$11)*NORMSINV(R865))*(S$7-S$5)*(S$6-S$5)),S$7-SQRT((1-NORMSDIST(S$9*SQRT($C$11)*NORMSINV($B865)+SQRT(1-S$9^2*$C$11)*NORMSINV(R865)))*(S$7-S$5)*(S$7-S$6))))</f>
        <v>0.365120601749099</v>
      </c>
      <c r="T865" s="2" t="n">
        <v>0.061171816</v>
      </c>
      <c r="U865" s="2" t="n">
        <f aca="false">IF(U$7=U$5,U$6,IF(NORMSDIST(U$9*SQRT($C$11)*NORMSINV($B865)+SQRT(1-U$9^2*$C$11)*NORMSINV(T865))&lt;U$8,U$5+SQRT(NORMSDIST(U$9*SQRT($C$11)*NORMSINV($B865)+SQRT(1-U$9^2*$C$11)*NORMSINV(T865))*(U$7-U$5)*(U$6-U$5)),U$7-SQRT((1-NORMSDIST(U$9*SQRT($C$11)*NORMSINV($B865)+SQRT(1-U$9^2*$C$11)*NORMSINV(T865)))*(U$7-U$5)*(U$7-U$6))))</f>
        <v>0.0659939015886264</v>
      </c>
      <c r="V865" s="2" t="n">
        <v>0.382566953</v>
      </c>
      <c r="W865" s="2" t="n">
        <f aca="false">IF(W$7=W$5,W$6,IF(NORMSDIST(W$9*SQRT($C$11)*NORMSINV($B865)+SQRT(1-W$9^2*$C$11)*NORMSINV(V865))&lt;W$8,W$5+SQRT(NORMSDIST(W$9*SQRT($C$11)*NORMSINV($B865)+SQRT(1-W$9^2*$C$11)*NORMSINV(V865))*(W$7-W$5)*(W$6-W$5)),W$7-SQRT((1-NORMSDIST(W$9*SQRT($C$11)*NORMSINV($B865)+SQRT(1-W$9^2*$C$11)*NORMSINV(V865)))*(W$7-W$5)*(W$7-W$6))))</f>
        <v>8.79459774397668</v>
      </c>
      <c r="X865" s="2" t="n">
        <v>0.629119002</v>
      </c>
      <c r="Y865" s="2" t="n">
        <f aca="false">IF(Y$7=Y$5,Y$6,IF(NORMSDIST(Y$9*SQRT($C$11)*NORMSINV($B865)+SQRT(1-Y$9^2*$C$11)*NORMSINV(X865))&lt;Y$8,Y$5+SQRT(NORMSDIST(Y$9*SQRT($C$11)*NORMSINV($B865)+SQRT(1-Y$9^2*$C$11)*NORMSINV(X865))*(Y$7-Y$5)*(Y$6-Y$5)),Y$7-SQRT((1-NORMSDIST(Y$9*SQRT($C$11)*NORMSINV($B865)+SQRT(1-Y$9^2*$C$11)*NORMSINV(X865)))*(Y$7-Y$5)*(Y$7-Y$6))))</f>
        <v>0.569371971418488</v>
      </c>
      <c r="Z865" s="2" t="n">
        <v>0.212461696</v>
      </c>
      <c r="AA865" s="2" t="n">
        <f aca="false">IF(AA$7=AA$5,AA$6,IF(NORMSDIST(AA$9*SQRT($C$11)*NORMSINV($B865)+SQRT(1-AA$9^2*$C$11)*NORMSINV(Z865))&lt;AA$8,AA$5+SQRT(NORMSDIST(AA$9*SQRT($C$11)*NORMSINV($B865)+SQRT(1-AA$9^2*$C$11)*NORMSINV(Z865))*(AA$7-AA$5)*(AA$6-AA$5)),AA$7-SQRT((1-NORMSDIST(AA$9*SQRT($C$11)*NORMSINV($B865)+SQRT(1-AA$9^2*$C$11)*NORMSINV(Z865)))*(AA$7-AA$5)*(AA$7-AA$6))))</f>
        <v>0.7041032500849</v>
      </c>
      <c r="AB865" s="2" t="n">
        <v>0.649648568</v>
      </c>
      <c r="AC865" s="2" t="n">
        <f aca="false">IF(AC$7=AC$5,AC$6,IF(NORMSDIST(AC$9*SQRT($C$11)*NORMSINV($B865)+SQRT(1-AC$9^2*$C$11)*NORMSINV(AB865))&lt;AC$8,AC$5+SQRT(NORMSDIST(AC$9*SQRT($C$11)*NORMSINV($B865)+SQRT(1-AC$9^2*$C$11)*NORMSINV(AB865))*(AC$7-AC$5)*(AC$6-AC$5)),AC$7-SQRT((1-NORMSDIST(AC$9*SQRT($C$11)*NORMSINV($B865)+SQRT(1-AC$9^2*$C$11)*NORMSINV(AB865)))*(AC$7-AC$5)*(AC$7-AC$6))))</f>
        <v>8.67638869051611</v>
      </c>
      <c r="AD865" s="2" t="n">
        <f aca="false">Entrées!$C$8*(1+E865)</f>
        <v>7410.99829646417</v>
      </c>
      <c r="AE865" s="2" t="n">
        <f aca="false">I865*Hypothèses!$J$24/12/Hypothèses!$J$19</f>
        <v>94.1667363534256</v>
      </c>
      <c r="AF865" s="2" t="n">
        <f aca="false">Entrées!$C$36*S865*1000</f>
        <v>182.56030087455</v>
      </c>
      <c r="AG865" s="2" t="n">
        <f aca="false">-AF865/W865</f>
        <v>-20.7582320634941</v>
      </c>
      <c r="AH865" s="2" t="n">
        <f aca="false">AD865+AE865+AG865</f>
        <v>7484.4068007541</v>
      </c>
      <c r="AI865" s="2" t="n">
        <f aca="false">Entrées!$C$16-M865+Hypothèses!$J$22*1000-AF865+Hypothèses!$J$23</f>
        <v>22809.9289486183</v>
      </c>
      <c r="AJ865" s="2" t="n">
        <f aca="false">AI865/AH865</f>
        <v>3.04766022957492</v>
      </c>
      <c r="AK865" s="2" t="n">
        <f aca="false">AI865/(AH865+I865*(12-Hypothèses!$J$24)/12/Hypothèses!$J$19)</f>
        <v>3.02051502624939</v>
      </c>
      <c r="AL865" s="2" t="n">
        <f aca="false">(AD865+AG865+I865/Hypothèses!$J$19)*(1+G865)</f>
        <v>7883.10640978093</v>
      </c>
      <c r="AM865" s="2" t="n">
        <f aca="false">Entrées!$C$54*K865/Hypothèses!$J$19</f>
        <v>4.06572541840903</v>
      </c>
      <c r="AN865" s="2" t="n">
        <f aca="false">Y865*1000/AC865</f>
        <v>65.6231517198913</v>
      </c>
      <c r="AO865" s="2" t="n">
        <f aca="false">(Entrées!$C$36*(1-S865)+MAX(0,Entrées!$C$30-Entrées!$C$35-Entrées!$C$36)*U865)*1000</f>
        <v>409.831161349527</v>
      </c>
      <c r="AP865" s="2" t="n">
        <f aca="false">-AO865/W865</f>
        <v>-46.6003304847247</v>
      </c>
      <c r="AQ865" s="2" t="n">
        <f aca="false">AL865+AM865+AN865+AP865</f>
        <v>7906.1949564345</v>
      </c>
      <c r="AR865" s="2" t="n">
        <f aca="false">O865*AQ865-Hypothèses!$J$25/Hypothèses!$J$19</f>
        <v>1317.67609466107</v>
      </c>
      <c r="AS865" s="2" t="n">
        <f aca="false">Entrées!$C$79*(1+Q865)+Hypothèses!$J$20</f>
        <v>1480.15225696206</v>
      </c>
      <c r="AT865" s="2" t="n">
        <f aca="false">AI865-AR865+AS865+Y865*1000-AO865+Hypothèses!$J$23</f>
        <v>23131.9459209883</v>
      </c>
      <c r="AU865" s="2" t="n">
        <f aca="false">AT865/AQ865</f>
        <v>2.92580009074558</v>
      </c>
      <c r="AV865" s="2" t="n">
        <f aca="false">Hypothèses!$J$26*AQ865-AT865</f>
        <v>586.638948315234</v>
      </c>
      <c r="AW865" s="2" t="n">
        <f aca="false">IF(AC865&gt;Hypothèses!$J$26,MAX(0,AV865)/(1-Hypothèses!$J$26/AC865),0)</f>
        <v>896.680585859559</v>
      </c>
      <c r="AX865" s="2" t="n">
        <f aca="false">AQ865-Entrées!$C$17*1000</f>
        <v>-93.8050435654977</v>
      </c>
      <c r="AY865" s="2" t="n">
        <f aca="false">AI865+(Entrées!$C$244-Entrées!$C$13)</f>
        <v>28556.9289486183</v>
      </c>
      <c r="AZ865" s="2" t="n">
        <f aca="false">AA865*AH865</f>
        <v>5269.79515336849</v>
      </c>
      <c r="BA865" s="2" t="n">
        <f aca="false">AZ865/AY865</f>
        <v>0.184536480195412</v>
      </c>
      <c r="BB865" s="2" t="n">
        <f aca="false">AZ865/(Entrées!$C$151/100)-AY865</f>
        <v>719.710792317739</v>
      </c>
      <c r="BC865" s="2" t="n">
        <f aca="false">AT865+(Entrées!$C$244-Entrées!$C$13)</f>
        <v>28878.9459209883</v>
      </c>
      <c r="BD865" s="2" t="n">
        <f aca="false">AA865*AQ865</f>
        <v>5566.77756463038</v>
      </c>
      <c r="BE865" s="2" t="n">
        <f aca="false">BD865/BC865</f>
        <v>0.192762491396358</v>
      </c>
      <c r="BF865" s="2" t="n">
        <f aca="false">BD865/(Entrées!$C$151/100)-BC865</f>
        <v>2047.59610473605</v>
      </c>
      <c r="BG865" s="2" t="n">
        <f aca="false">MIN(AV865,BF865)</f>
        <v>586.638948315234</v>
      </c>
      <c r="BH865" s="2" t="n">
        <f aca="false">IF(AC865&gt;Hypothèses!$J$26,MAX(0,BG865)/(1-Hypothèses!$J$26/AC865),0)</f>
        <v>896.680585859559</v>
      </c>
    </row>
    <row r="866" customFormat="false" ht="15" hidden="false" customHeight="false" outlineLevel="0" collapsed="false">
      <c r="A866" s="2" t="n">
        <v>851</v>
      </c>
      <c r="B866" s="2" t="n">
        <v>0.250022854</v>
      </c>
      <c r="C866" s="2"/>
      <c r="D866" s="2" t="n">
        <v>0.373600264</v>
      </c>
      <c r="E866" s="2" t="n">
        <f aca="false">IF(E$7=E$5,E$6,IF(NORMSDIST(E$9*SQRT($C$11)*NORMSINV($B866)+SQRT(1-E$9^2*$C$11)*NORMSINV(D866))&lt;E$8,E$5+SQRT(NORMSDIST(E$9*SQRT($C$11)*NORMSINV($B866)+SQRT(1-E$9^2*$C$11)*NORMSINV(D866))*(E$7-E$5)*(E$6-E$5)),E$7-SQRT((1-NORMSDIST(E$9*SQRT($C$11)*NORMSINV($B866)+SQRT(1-E$9^2*$C$11)*NORMSINV(D866)))*(E$7-E$5)*(E$7-E$6))))</f>
        <v>0.0535316522812227</v>
      </c>
      <c r="F866" s="2" t="n">
        <v>0.696202704</v>
      </c>
      <c r="G866" s="2" t="n">
        <f aca="false">IF(G$7=G$5,G$6,IF(NORMSDIST(G$9*SQRT($C$11)*NORMSINV($B866)+SQRT(1-G$9^2*$C$11)*NORMSINV(F866))&lt;G$8,G$5+SQRT(NORMSDIST(G$9*SQRT($C$11)*NORMSINV($B866)+SQRT(1-G$9^2*$C$11)*NORMSINV(F866))*(G$7-G$5)*(G$6-G$5)),G$7-SQRT((1-NORMSDIST(G$9*SQRT($C$11)*NORMSINV($B866)+SQRT(1-G$9^2*$C$11)*NORMSINV(F866)))*(G$7-G$5)*(G$7-G$6))))</f>
        <v>0.0548268238983497</v>
      </c>
      <c r="H866" s="2" t="n">
        <v>0.674492054</v>
      </c>
      <c r="I866" s="2" t="n">
        <f aca="false">IF(I$7=I$5,I$6,IF(NORMSDIST(I$9*SQRT($C$11)*NORMSINV($B866)+SQRT(1-I$9^2*$C$11)*NORMSINV(H866))&lt;I$8,I$5+SQRT(NORMSDIST(I$9*SQRT($C$11)*NORMSINV($B866)+SQRT(1-I$9^2*$C$11)*NORMSINV(H866))*(I$7-I$5)*(I$6-I$5)),I$7-SQRT((1-NORMSDIST(I$9*SQRT($C$11)*NORMSINV($B866)+SQRT(1-I$9^2*$C$11)*NORMSINV(H866)))*(I$7-I$5)*(I$7-I$6))))</f>
        <v>199.383500235862</v>
      </c>
      <c r="J866" s="2" t="n">
        <v>0.897796093</v>
      </c>
      <c r="K866" s="2" t="n">
        <f aca="false">IF(K$7=K$5,K$6,IF(NORMSDIST(K$9*SQRT($C$11)*NORMSINV($B866)+SQRT(1-K$9^2*$C$11)*NORMSINV(J866))&lt;K$8,K$5+SQRT(NORMSDIST(K$9*SQRT($C$11)*NORMSINV($B866)+SQRT(1-K$9^2*$C$11)*NORMSINV(J866))*(K$7-K$5)*(K$6-K$5)),K$7-SQRT((1-NORMSDIST(K$9*SQRT($C$11)*NORMSINV($B866)+SQRT(1-K$9^2*$C$11)*NORMSINV(J866)))*(K$7-K$5)*(K$7-K$6))))</f>
        <v>0.30995530797836</v>
      </c>
      <c r="L866" s="2" t="n">
        <v>0.38268783</v>
      </c>
      <c r="M866" s="2" t="n">
        <f aca="false">IF(M$7=M$5,M$6,IF(NORMSDIST(M$9*SQRT($C$11)*NORMSINV($B866)+SQRT(1-M$9^2*$C$11)*NORMSINV(L866))&lt;M$8,M$5+SQRT(NORMSDIST(M$9*SQRT($C$11)*NORMSINV($B866)+SQRT(1-M$9^2*$C$11)*NORMSINV(L866))*(M$7-M$5)*(M$6-M$5)),M$7-SQRT((1-NORMSDIST(M$9*SQRT($C$11)*NORMSINV($B866)+SQRT(1-M$9^2*$C$11)*NORMSINV(L866)))*(M$7-M$5)*(M$7-M$6))))</f>
        <v>1504.84032034556</v>
      </c>
      <c r="N866" s="2" t="n">
        <v>0.037451909</v>
      </c>
      <c r="O866" s="2" t="n">
        <f aca="false">IF(O$7=O$5,O$6,IF(NORMSDIST(O$9*SQRT($C$11)*NORMSINV($B866)+SQRT(1-O$9^2*$C$11)*NORMSINV(N866))&lt;O$8,O$5+SQRT(NORMSDIST(O$9*SQRT($C$11)*NORMSINV($B866)+SQRT(1-O$9^2*$C$11)*NORMSINV(N866))*(O$7-O$5)*(O$6-O$5)),O$7-SQRT((1-NORMSDIST(O$9*SQRT($C$11)*NORMSINV($B866)+SQRT(1-O$9^2*$C$11)*NORMSINV(N866)))*(O$7-O$5)*(O$7-O$6))))</f>
        <v>0.14713176869638</v>
      </c>
      <c r="P866" s="2" t="n">
        <v>0.738811739</v>
      </c>
      <c r="Q866" s="2" t="n">
        <f aca="false">IF(Q$7=Q$5,Q$6,IF(NORMSDIST(Q$9*SQRT($C$11)*NORMSINV($B866)+SQRT(1-Q$9^2*$C$11)*NORMSINV(P866))&lt;Q$8,Q$5+SQRT(NORMSDIST(Q$9*SQRT($C$11)*NORMSINV($B866)+SQRT(1-Q$9^2*$C$11)*NORMSINV(P866))*(Q$7-Q$5)*(Q$6-Q$5)),Q$7-SQRT((1-NORMSDIST(Q$9*SQRT($C$11)*NORMSINV($B866)+SQRT(1-Q$9^2*$C$11)*NORMSINV(P866)))*(Q$7-Q$5)*(Q$7-Q$6))))</f>
        <v>0.0910897520730105</v>
      </c>
      <c r="R866" s="2" t="n">
        <v>0.882763127</v>
      </c>
      <c r="S866" s="2" t="n">
        <f aca="false">IF(S$7=S$5,S$6,IF(NORMSDIST(S$9*SQRT($C$11)*NORMSINV($B866)+SQRT(1-S$9^2*$C$11)*NORMSINV(R866))&lt;S$8,S$5+SQRT(NORMSDIST(S$9*SQRT($C$11)*NORMSINV($B866)+SQRT(1-S$9^2*$C$11)*NORMSINV(R866))*(S$7-S$5)*(S$6-S$5)),S$7-SQRT((1-NORMSDIST(S$9*SQRT($C$11)*NORMSINV($B866)+SQRT(1-S$9^2*$C$11)*NORMSINV(R866)))*(S$7-S$5)*(S$7-S$6))))</f>
        <v>0.605972262749729</v>
      </c>
      <c r="T866" s="2" t="n">
        <v>0.91055357</v>
      </c>
      <c r="U866" s="2" t="n">
        <f aca="false">IF(U$7=U$5,U$6,IF(NORMSDIST(U$9*SQRT($C$11)*NORMSINV($B866)+SQRT(1-U$9^2*$C$11)*NORMSINV(T866))&lt;U$8,U$5+SQRT(NORMSDIST(U$9*SQRT($C$11)*NORMSINV($B866)+SQRT(1-U$9^2*$C$11)*NORMSINV(T866))*(U$7-U$5)*(U$6-U$5)),U$7-SQRT((1-NORMSDIST(U$9*SQRT($C$11)*NORMSINV($B866)+SQRT(1-U$9^2*$C$11)*NORMSINV(T866)))*(U$7-U$5)*(U$7-U$6))))</f>
        <v>0.632990193732813</v>
      </c>
      <c r="V866" s="2" t="n">
        <v>0.320939307</v>
      </c>
      <c r="W866" s="2" t="n">
        <f aca="false">IF(W$7=W$5,W$6,IF(NORMSDIST(W$9*SQRT($C$11)*NORMSINV($B866)+SQRT(1-W$9^2*$C$11)*NORMSINV(V866))&lt;W$8,W$5+SQRT(NORMSDIST(W$9*SQRT($C$11)*NORMSINV($B866)+SQRT(1-W$9^2*$C$11)*NORMSINV(V866))*(W$7-W$5)*(W$6-W$5)),W$7-SQRT((1-NORMSDIST(W$9*SQRT($C$11)*NORMSINV($B866)+SQRT(1-W$9^2*$C$11)*NORMSINV(V866)))*(W$7-W$5)*(W$7-W$6))))</f>
        <v>9.31363370887925</v>
      </c>
      <c r="X866" s="2" t="n">
        <v>0.092387924</v>
      </c>
      <c r="Y866" s="2" t="n">
        <f aca="false">IF(Y$7=Y$5,Y$6,IF(NORMSDIST(Y$9*SQRT($C$11)*NORMSINV($B866)+SQRT(1-Y$9^2*$C$11)*NORMSINV(X866))&lt;Y$8,Y$5+SQRT(NORMSDIST(Y$9*SQRT($C$11)*NORMSINV($B866)+SQRT(1-Y$9^2*$C$11)*NORMSINV(X866))*(Y$7-Y$5)*(Y$6-Y$5)),Y$7-SQRT((1-NORMSDIST(Y$9*SQRT($C$11)*NORMSINV($B866)+SQRT(1-Y$9^2*$C$11)*NORMSINV(X866)))*(Y$7-Y$5)*(Y$7-Y$6))))</f>
        <v>0.214927806483945</v>
      </c>
      <c r="Z866" s="2" t="n">
        <v>0.944276439</v>
      </c>
      <c r="AA866" s="2" t="n">
        <f aca="false">IF(AA$7=AA$5,AA$6,IF(NORMSDIST(AA$9*SQRT($C$11)*NORMSINV($B866)+SQRT(1-AA$9^2*$C$11)*NORMSINV(Z866))&lt;AA$8,AA$5+SQRT(NORMSDIST(AA$9*SQRT($C$11)*NORMSINV($B866)+SQRT(1-AA$9^2*$C$11)*NORMSINV(Z866))*(AA$7-AA$5)*(AA$6-AA$5)),AA$7-SQRT((1-NORMSDIST(AA$9*SQRT($C$11)*NORMSINV($B866)+SQRT(1-AA$9^2*$C$11)*NORMSINV(Z866)))*(AA$7-AA$5)*(AA$7-AA$6))))</f>
        <v>0.73744069148467</v>
      </c>
      <c r="AB866" s="2" t="n">
        <v>0.487717417</v>
      </c>
      <c r="AC866" s="2" t="n">
        <f aca="false">IF(AC$7=AC$5,AC$6,IF(NORMSDIST(AC$9*SQRT($C$11)*NORMSINV($B866)+SQRT(1-AC$9^2*$C$11)*NORMSINV(AB866))&lt;AC$8,AC$5+SQRT(NORMSDIST(AC$9*SQRT($C$11)*NORMSINV($B866)+SQRT(1-AC$9^2*$C$11)*NORMSINV(AB866))*(AC$7-AC$5)*(AC$6-AC$5)),AC$7-SQRT((1-NORMSDIST(AC$9*SQRT($C$11)*NORMSINV($B866)+SQRT(1-AC$9^2*$C$11)*NORMSINV(AB866)))*(AC$7-AC$5)*(AC$7-AC$6))))</f>
        <v>9.07883606005552</v>
      </c>
      <c r="AD866" s="2" t="n">
        <f aca="false">Entrées!$C$8*(1+E866)</f>
        <v>7427.39814858262</v>
      </c>
      <c r="AE866" s="2" t="n">
        <f aca="false">I866*Hypothèses!$J$24/12/Hypothèses!$J$19</f>
        <v>98.9135163152929</v>
      </c>
      <c r="AF866" s="2" t="n">
        <f aca="false">Entrées!$C$36*S866*1000</f>
        <v>302.986131374865</v>
      </c>
      <c r="AG866" s="2" t="n">
        <f aca="false">-AF866/W866</f>
        <v>-32.5314631051047</v>
      </c>
      <c r="AH866" s="2" t="n">
        <f aca="false">AD866+AE866+AG866</f>
        <v>7493.78020179281</v>
      </c>
      <c r="AI866" s="2" t="n">
        <f aca="false">Entrées!$C$16-M866+Hypothèses!$J$22*1000-AF866+Hypothèses!$J$23</f>
        <v>22740.1735482796</v>
      </c>
      <c r="AJ866" s="2" t="n">
        <f aca="false">AI866/AH866</f>
        <v>3.03453970305124</v>
      </c>
      <c r="AK866" s="2" t="n">
        <f aca="false">AI866/(AH866+I866*(12-Hypothèses!$J$24)/12/Hypothèses!$J$19)</f>
        <v>3.0061968173577</v>
      </c>
      <c r="AL866" s="2" t="n">
        <f aca="false">(AD866+AG866+I866/Hypothèses!$J$19)*(1+G866)</f>
        <v>7979.16653371764</v>
      </c>
      <c r="AM866" s="2" t="n">
        <f aca="false">Entrées!$C$54*K866/Hypothèses!$J$19</f>
        <v>31.6322405974302</v>
      </c>
      <c r="AN866" s="2" t="n">
        <f aca="false">Y866*1000/AC866</f>
        <v>23.6734979090073</v>
      </c>
      <c r="AO866" s="2" t="n">
        <f aca="false">(Entrées!$C$36*(1-S866)+MAX(0,Entrées!$C$30-Entrées!$C$35-Entrées!$C$36)*U866)*1000</f>
        <v>1083.20013985107</v>
      </c>
      <c r="AP866" s="2" t="n">
        <f aca="false">-AO866/W866</f>
        <v>-116.302634794236</v>
      </c>
      <c r="AQ866" s="2" t="n">
        <f aca="false">AL866+AM866+AN866+AP866</f>
        <v>7918.16963742984</v>
      </c>
      <c r="AR866" s="2" t="n">
        <f aca="false">O866*AQ866-Hypothèses!$J$25/Hypothèses!$J$19</f>
        <v>1145.8791413314</v>
      </c>
      <c r="AS866" s="2" t="n">
        <f aca="false">Entrées!$C$79*(1+Q866)+Hypothèses!$J$20</f>
        <v>1494.10763752824</v>
      </c>
      <c r="AT866" s="2" t="n">
        <f aca="false">AI866-AR866+AS866+Y866*1000-AO866+Hypothèses!$J$23</f>
        <v>22220.1297111093</v>
      </c>
      <c r="AU866" s="2" t="n">
        <f aca="false">AT866/AQ866</f>
        <v>2.80622046868924</v>
      </c>
      <c r="AV866" s="2" t="n">
        <f aca="false">Hypothèses!$J$26*AQ866-AT866</f>
        <v>1534.37920118023</v>
      </c>
      <c r="AW866" s="2" t="n">
        <f aca="false">IF(AC866&gt;Hypothèses!$J$26,MAX(0,AV866)/(1-Hypothèses!$J$26/AC866),0)</f>
        <v>2291.61916588141</v>
      </c>
      <c r="AX866" s="2" t="n">
        <f aca="false">AQ866-Entrées!$C$17*1000</f>
        <v>-81.830362570161</v>
      </c>
      <c r="AY866" s="2" t="n">
        <f aca="false">AI866+(Entrées!$C$244-Entrées!$C$13)</f>
        <v>28487.1735482796</v>
      </c>
      <c r="AZ866" s="2" t="n">
        <f aca="false">AA866*AH866</f>
        <v>5526.21845384422</v>
      </c>
      <c r="BA866" s="2" t="n">
        <f aca="false">AZ866/AY866</f>
        <v>0.193989707138846</v>
      </c>
      <c r="BB866" s="2" t="n">
        <f aca="false">AZ866/(Entrées!$C$151/100)-AY866</f>
        <v>2214.04008418832</v>
      </c>
      <c r="BC866" s="2" t="n">
        <f aca="false">AT866+(Entrées!$C$244-Entrées!$C$13)</f>
        <v>27967.1297111093</v>
      </c>
      <c r="BD866" s="2" t="n">
        <f aca="false">AA866*AQ866</f>
        <v>5839.18049271918</v>
      </c>
      <c r="BE866" s="2" t="n">
        <f aca="false">BD866/BC866</f>
        <v>0.208787263942917</v>
      </c>
      <c r="BF866" s="2" t="n">
        <f aca="false">BD866/(Entrées!$C$151/100)-BC866</f>
        <v>4472.7619151084</v>
      </c>
      <c r="BG866" s="2" t="n">
        <f aca="false">MIN(AV866,BF866)</f>
        <v>1534.37920118023</v>
      </c>
      <c r="BH866" s="2" t="n">
        <f aca="false">IF(AC866&gt;Hypothèses!$J$26,MAX(0,BG866)/(1-Hypothèses!$J$26/AC866),0)</f>
        <v>2291.61916588141</v>
      </c>
    </row>
    <row r="867" customFormat="false" ht="15" hidden="false" customHeight="false" outlineLevel="0" collapsed="false">
      <c r="A867" s="2" t="n">
        <v>852</v>
      </c>
      <c r="B867" s="2" t="n">
        <v>0.752173972</v>
      </c>
      <c r="C867" s="2"/>
      <c r="D867" s="2" t="n">
        <v>0.753204628</v>
      </c>
      <c r="E867" s="2" t="n">
        <f aca="false">IF(E$7=E$5,E$6,IF(NORMSDIST(E$9*SQRT($C$11)*NORMSINV($B867)+SQRT(1-E$9^2*$C$11)*NORMSINV(D867))&lt;E$8,E$5+SQRT(NORMSDIST(E$9*SQRT($C$11)*NORMSINV($B867)+SQRT(1-E$9^2*$C$11)*NORMSINV(D867))*(E$7-E$5)*(E$6-E$5)),E$7-SQRT((1-NORMSDIST(E$9*SQRT($C$11)*NORMSINV($B867)+SQRT(1-E$9^2*$C$11)*NORMSINV(D867)))*(E$7-E$5)*(E$7-E$6))))</f>
        <v>0.0570998151246754</v>
      </c>
      <c r="F867" s="2" t="n">
        <v>0.558339377</v>
      </c>
      <c r="G867" s="2" t="n">
        <f aca="false">IF(G$7=G$5,G$6,IF(NORMSDIST(G$9*SQRT($C$11)*NORMSINV($B867)+SQRT(1-G$9^2*$C$11)*NORMSINV(F867))&lt;G$8,G$5+SQRT(NORMSDIST(G$9*SQRT($C$11)*NORMSINV($B867)+SQRT(1-G$9^2*$C$11)*NORMSINV(F867))*(G$7-G$5)*(G$6-G$5)),G$7-SQRT((1-NORMSDIST(G$9*SQRT($C$11)*NORMSINV($B867)+SQRT(1-G$9^2*$C$11)*NORMSINV(F867)))*(G$7-G$5)*(G$7-G$6))))</f>
        <v>0.0585171344449338</v>
      </c>
      <c r="H867" s="2" t="n">
        <v>0.129630707</v>
      </c>
      <c r="I867" s="2" t="n">
        <f aca="false">IF(I$7=I$5,I$6,IF(NORMSDIST(I$9*SQRT($C$11)*NORMSINV($B867)+SQRT(1-I$9^2*$C$11)*NORMSINV(H867))&lt;I$8,I$5+SQRT(NORMSDIST(I$9*SQRT($C$11)*NORMSINV($B867)+SQRT(1-I$9^2*$C$11)*NORMSINV(H867))*(I$7-I$5)*(I$6-I$5)),I$7-SQRT((1-NORMSDIST(I$9*SQRT($C$11)*NORMSINV($B867)+SQRT(1-I$9^2*$C$11)*NORMSINV(H867)))*(I$7-I$5)*(I$7-I$6))))</f>
        <v>196.221168891032</v>
      </c>
      <c r="J867" s="2" t="n">
        <v>0.831725622</v>
      </c>
      <c r="K867" s="2" t="n">
        <f aca="false">IF(K$7=K$5,K$6,IF(NORMSDIST(K$9*SQRT($C$11)*NORMSINV($B867)+SQRT(1-K$9^2*$C$11)*NORMSINV(J867))&lt;K$8,K$5+SQRT(NORMSDIST(K$9*SQRT($C$11)*NORMSINV($B867)+SQRT(1-K$9^2*$C$11)*NORMSINV(J867))*(K$7-K$5)*(K$6-K$5)),K$7-SQRT((1-NORMSDIST(K$9*SQRT($C$11)*NORMSINV($B867)+SQRT(1-K$9^2*$C$11)*NORMSINV(J867)))*(K$7-K$5)*(K$7-K$6))))</f>
        <v>0.377558936652059</v>
      </c>
      <c r="L867" s="2" t="n">
        <v>0.90227992</v>
      </c>
      <c r="M867" s="2" t="n">
        <f aca="false">IF(M$7=M$5,M$6,IF(NORMSDIST(M$9*SQRT($C$11)*NORMSINV($B867)+SQRT(1-M$9^2*$C$11)*NORMSINV(L867))&lt;M$8,M$5+SQRT(NORMSDIST(M$9*SQRT($C$11)*NORMSINV($B867)+SQRT(1-M$9^2*$C$11)*NORMSINV(L867))*(M$7-M$5)*(M$6-M$5)),M$7-SQRT((1-NORMSDIST(M$9*SQRT($C$11)*NORMSINV($B867)+SQRT(1-M$9^2*$C$11)*NORMSINV(L867)))*(M$7-M$5)*(M$7-M$6))))</f>
        <v>1714.20792374755</v>
      </c>
      <c r="N867" s="2" t="n">
        <v>0.137228601</v>
      </c>
      <c r="O867" s="2" t="n">
        <f aca="false">IF(O$7=O$5,O$6,IF(NORMSDIST(O$9*SQRT($C$11)*NORMSINV($B867)+SQRT(1-O$9^2*$C$11)*NORMSINV(N867))&lt;O$8,O$5+SQRT(NORMSDIST(O$9*SQRT($C$11)*NORMSINV($B867)+SQRT(1-O$9^2*$C$11)*NORMSINV(N867))*(O$7-O$5)*(O$6-O$5)),O$7-SQRT((1-NORMSDIST(O$9*SQRT($C$11)*NORMSINV($B867)+SQRT(1-O$9^2*$C$11)*NORMSINV(N867)))*(O$7-O$5)*(O$7-O$6))))</f>
        <v>0.16204971026433</v>
      </c>
      <c r="P867" s="2" t="n">
        <v>0.585466789</v>
      </c>
      <c r="Q867" s="2" t="n">
        <f aca="false">IF(Q$7=Q$5,Q$6,IF(NORMSDIST(Q$9*SQRT($C$11)*NORMSINV($B867)+SQRT(1-Q$9^2*$C$11)*NORMSINV(P867))&lt;Q$8,Q$5+SQRT(NORMSDIST(Q$9*SQRT($C$11)*NORMSINV($B867)+SQRT(1-Q$9^2*$C$11)*NORMSINV(P867))*(Q$7-Q$5)*(Q$6-Q$5)),Q$7-SQRT((1-NORMSDIST(Q$9*SQRT($C$11)*NORMSINV($B867)+SQRT(1-Q$9^2*$C$11)*NORMSINV(P867)))*(Q$7-Q$5)*(Q$7-Q$6))))</f>
        <v>0.0835787661494013</v>
      </c>
      <c r="R867" s="2" t="n">
        <v>0.853314591</v>
      </c>
      <c r="S867" s="2" t="n">
        <f aca="false">IF(S$7=S$5,S$6,IF(NORMSDIST(S$9*SQRT($C$11)*NORMSINV($B867)+SQRT(1-S$9^2*$C$11)*NORMSINV(R867))&lt;S$8,S$5+SQRT(NORMSDIST(S$9*SQRT($C$11)*NORMSINV($B867)+SQRT(1-S$9^2*$C$11)*NORMSINV(R867))*(S$7-S$5)*(S$6-S$5)),S$7-SQRT((1-NORMSDIST(S$9*SQRT($C$11)*NORMSINV($B867)+SQRT(1-S$9^2*$C$11)*NORMSINV(R867)))*(S$7-S$5)*(S$7-S$6))))</f>
        <v>0.769135868616656</v>
      </c>
      <c r="T867" s="2" t="n">
        <v>0.253805988</v>
      </c>
      <c r="U867" s="2" t="n">
        <f aca="false">IF(U$7=U$5,U$6,IF(NORMSDIST(U$9*SQRT($C$11)*NORMSINV($B867)+SQRT(1-U$9^2*$C$11)*NORMSINV(T867))&lt;U$8,U$5+SQRT(NORMSDIST(U$9*SQRT($C$11)*NORMSINV($B867)+SQRT(1-U$9^2*$C$11)*NORMSINV(T867))*(U$7-U$5)*(U$6-U$5)),U$7-SQRT((1-NORMSDIST(U$9*SQRT($C$11)*NORMSINV($B867)+SQRT(1-U$9^2*$C$11)*NORMSINV(T867)))*(U$7-U$5)*(U$7-U$6))))</f>
        <v>0.483324831664579</v>
      </c>
      <c r="V867" s="2" t="n">
        <v>0.579988027</v>
      </c>
      <c r="W867" s="2" t="n">
        <f aca="false">IF(W$7=W$5,W$6,IF(NORMSDIST(W$9*SQRT($C$11)*NORMSINV($B867)+SQRT(1-W$9^2*$C$11)*NORMSINV(V867))&lt;W$8,W$5+SQRT(NORMSDIST(W$9*SQRT($C$11)*NORMSINV($B867)+SQRT(1-W$9^2*$C$11)*NORMSINV(V867))*(W$7-W$5)*(W$6-W$5)),W$7-SQRT((1-NORMSDIST(W$9*SQRT($C$11)*NORMSINV($B867)+SQRT(1-W$9^2*$C$11)*NORMSINV(V867)))*(W$7-W$5)*(W$7-W$6))))</f>
        <v>10.5073338270171</v>
      </c>
      <c r="X867" s="2" t="n">
        <v>0.745591378</v>
      </c>
      <c r="Y867" s="2" t="n">
        <f aca="false">IF(Y$7=Y$5,Y$6,IF(NORMSDIST(Y$9*SQRT($C$11)*NORMSINV($B867)+SQRT(1-Y$9^2*$C$11)*NORMSINV(X867))&lt;Y$8,Y$5+SQRT(NORMSDIST(Y$9*SQRT($C$11)*NORMSINV($B867)+SQRT(1-Y$9^2*$C$11)*NORMSINV(X867))*(Y$7-Y$5)*(Y$6-Y$5)),Y$7-SQRT((1-NORMSDIST(Y$9*SQRT($C$11)*NORMSINV($B867)+SQRT(1-Y$9^2*$C$11)*NORMSINV(X867)))*(Y$7-Y$5)*(Y$7-Y$6))))</f>
        <v>0.643342866326776</v>
      </c>
      <c r="Z867" s="2" t="n">
        <v>0.975969918</v>
      </c>
      <c r="AA867" s="2" t="n">
        <f aca="false">IF(AA$7=AA$5,AA$6,IF(NORMSDIST(AA$9*SQRT($C$11)*NORMSINV($B867)+SQRT(1-AA$9^2*$C$11)*NORMSINV(Z867))&lt;AA$8,AA$5+SQRT(NORMSDIST(AA$9*SQRT($C$11)*NORMSINV($B867)+SQRT(1-AA$9^2*$C$11)*NORMSINV(Z867))*(AA$7-AA$5)*(AA$6-AA$5)),AA$7-SQRT((1-NORMSDIST(AA$9*SQRT($C$11)*NORMSINV($B867)+SQRT(1-AA$9^2*$C$11)*NORMSINV(Z867)))*(AA$7-AA$5)*(AA$7-AA$6))))</f>
        <v>0.748217573022553</v>
      </c>
      <c r="AB867" s="2" t="n">
        <v>0.870180635</v>
      </c>
      <c r="AC867" s="2" t="n">
        <f aca="false">IF(AC$7=AC$5,AC$6,IF(NORMSDIST(AC$9*SQRT($C$11)*NORMSINV($B867)+SQRT(1-AC$9^2*$C$11)*NORMSINV(AB867))&lt;AC$8,AC$5+SQRT(NORMSDIST(AC$9*SQRT($C$11)*NORMSINV($B867)+SQRT(1-AC$9^2*$C$11)*NORMSINV(AB867))*(AC$7-AC$5)*(AC$6-AC$5)),AC$7-SQRT((1-NORMSDIST(AC$9*SQRT($C$11)*NORMSINV($B867)+SQRT(1-AC$9^2*$C$11)*NORMSINV(AB867)))*(AC$7-AC$5)*(AC$7-AC$6))))</f>
        <v>10.3556677417359</v>
      </c>
      <c r="AD867" s="2" t="n">
        <f aca="false">Entrées!$C$8*(1+E867)</f>
        <v>7452.55369662896</v>
      </c>
      <c r="AE867" s="2" t="n">
        <f aca="false">I867*Hypothèses!$J$24/12/Hypothèses!$J$19</f>
        <v>97.3446938565582</v>
      </c>
      <c r="AF867" s="2" t="n">
        <f aca="false">Entrées!$C$36*S867*1000</f>
        <v>384.567934308328</v>
      </c>
      <c r="AG867" s="2" t="n">
        <f aca="false">-AF867/W867</f>
        <v>-36.5999539597289</v>
      </c>
      <c r="AH867" s="2" t="n">
        <f aca="false">AD867+AE867+AG867</f>
        <v>7513.29843652579</v>
      </c>
      <c r="AI867" s="2" t="n">
        <f aca="false">Entrées!$C$16-M867+Hypothèses!$J$22*1000-AF867+Hypothèses!$J$23</f>
        <v>22449.2241419441</v>
      </c>
      <c r="AJ867" s="2" t="n">
        <f aca="false">AI867/AH867</f>
        <v>2.98793190921414</v>
      </c>
      <c r="AK867" s="2" t="n">
        <f aca="false">AI867/(AH867+I867*(12-Hypothèses!$J$24)/12/Hypothèses!$J$19)</f>
        <v>2.96053361001801</v>
      </c>
      <c r="AL867" s="2" t="n">
        <f aca="false">(AD867+AG867+I867/Hypothèses!$J$19)*(1+G867)</f>
        <v>8026.55586439978</v>
      </c>
      <c r="AM867" s="2" t="n">
        <f aca="false">Entrées!$C$54*K867/Hypothèses!$J$19</f>
        <v>38.5314747528752</v>
      </c>
      <c r="AN867" s="2" t="n">
        <f aca="false">Y867*1000/AC867</f>
        <v>62.1247110636762</v>
      </c>
      <c r="AO867" s="2" t="n">
        <f aca="false">(Entrées!$C$36*(1-S867)+MAX(0,Entrées!$C$30-Entrées!$C$35-Entrées!$C$36)*U867)*1000</f>
        <v>792.086830022083</v>
      </c>
      <c r="AP867" s="2" t="n">
        <f aca="false">-AO867/W867</f>
        <v>-75.3841881358543</v>
      </c>
      <c r="AQ867" s="2" t="n">
        <f aca="false">AL867+AM867+AN867+AP867</f>
        <v>8051.82786208048</v>
      </c>
      <c r="AR867" s="2" t="n">
        <f aca="false">O867*AQ867-Hypothèses!$J$25/Hypothèses!$J$19</f>
        <v>1285.66120988677</v>
      </c>
      <c r="AS867" s="2" t="n">
        <f aca="false">Entrées!$C$79*(1+Q867)+Hypothèses!$J$20</f>
        <v>1485.85306399819</v>
      </c>
      <c r="AT867" s="2" t="n">
        <f aca="false">AI867-AR867+AS867+Y867*1000-AO867+Hypothèses!$J$23</f>
        <v>22500.6720323602</v>
      </c>
      <c r="AU867" s="2" t="n">
        <f aca="false">AT867/AQ867</f>
        <v>2.79448001345453</v>
      </c>
      <c r="AV867" s="2" t="n">
        <f aca="false">Hypothèses!$J$26*AQ867-AT867</f>
        <v>1654.81155388121</v>
      </c>
      <c r="AW867" s="2" t="n">
        <f aca="false">IF(AC867&gt;Hypothèses!$J$26,MAX(0,AV867)/(1-Hypothèses!$J$26/AC867),0)</f>
        <v>2329.72440149062</v>
      </c>
      <c r="AX867" s="2" t="n">
        <f aca="false">AQ867-Entrées!$C$17*1000</f>
        <v>51.8278620804813</v>
      </c>
      <c r="AY867" s="2" t="n">
        <f aca="false">AI867+(Entrées!$C$244-Entrées!$C$13)</f>
        <v>28196.2241419441</v>
      </c>
      <c r="AZ867" s="2" t="n">
        <f aca="false">AA867*AH867</f>
        <v>5621.58192157147</v>
      </c>
      <c r="BA867" s="2" t="n">
        <f aca="false">AZ867/AY867</f>
        <v>0.199373571910606</v>
      </c>
      <c r="BB867" s="2" t="n">
        <f aca="false">AZ867/(Entrées!$C$151/100)-AY867</f>
        <v>3034.78653345291</v>
      </c>
      <c r="BC867" s="2" t="n">
        <f aca="false">AT867+(Entrées!$C$244-Entrées!$C$13)</f>
        <v>28247.6720323602</v>
      </c>
      <c r="BD867" s="2" t="n">
        <f aca="false">AA867*AQ867</f>
        <v>6024.51910136123</v>
      </c>
      <c r="BE867" s="2" t="n">
        <f aca="false">BD867/BC867</f>
        <v>0.213274888438934</v>
      </c>
      <c r="BF867" s="2" t="n">
        <f aca="false">BD867/(Entrées!$C$151/100)-BC867</f>
        <v>5221.87853075769</v>
      </c>
      <c r="BG867" s="2" t="n">
        <f aca="false">MIN(AV867,BF867)</f>
        <v>1654.81155388121</v>
      </c>
      <c r="BH867" s="2" t="n">
        <f aca="false">IF(AC867&gt;Hypothèses!$J$26,MAX(0,BG867)/(1-Hypothèses!$J$26/AC867),0)</f>
        <v>2329.72440149062</v>
      </c>
    </row>
    <row r="868" customFormat="false" ht="15" hidden="false" customHeight="false" outlineLevel="0" collapsed="false">
      <c r="A868" s="2" t="n">
        <v>853</v>
      </c>
      <c r="B868" s="2" t="n">
        <v>0.078878519</v>
      </c>
      <c r="C868" s="2"/>
      <c r="D868" s="2" t="n">
        <v>0.119165116</v>
      </c>
      <c r="E868" s="2" t="n">
        <f aca="false">IF(E$7=E$5,E$6,IF(NORMSDIST(E$9*SQRT($C$11)*NORMSINV($B868)+SQRT(1-E$9^2*$C$11)*NORMSINV(D868))&lt;E$8,E$5+SQRT(NORMSDIST(E$9*SQRT($C$11)*NORMSINV($B868)+SQRT(1-E$9^2*$C$11)*NORMSINV(D868))*(E$7-E$5)*(E$6-E$5)),E$7-SQRT((1-NORMSDIST(E$9*SQRT($C$11)*NORMSINV($B868)+SQRT(1-E$9^2*$C$11)*NORMSINV(D868)))*(E$7-E$5)*(E$7-E$6))))</f>
        <v>0.0513303177371895</v>
      </c>
      <c r="F868" s="2" t="n">
        <v>0.616871713</v>
      </c>
      <c r="G868" s="2" t="n">
        <f aca="false">IF(G$7=G$5,G$6,IF(NORMSDIST(G$9*SQRT($C$11)*NORMSINV($B868)+SQRT(1-G$9^2*$C$11)*NORMSINV(F868))&lt;G$8,G$5+SQRT(NORMSDIST(G$9*SQRT($C$11)*NORMSINV($B868)+SQRT(1-G$9^2*$C$11)*NORMSINV(F868))*(G$7-G$5)*(G$6-G$5)),G$7-SQRT((1-NORMSDIST(G$9*SQRT($C$11)*NORMSINV($B868)+SQRT(1-G$9^2*$C$11)*NORMSINV(F868)))*(G$7-G$5)*(G$7-G$6))))</f>
        <v>0.0506829005074019</v>
      </c>
      <c r="H868" s="2" t="n">
        <v>0.388856652</v>
      </c>
      <c r="I868" s="2" t="n">
        <f aca="false">IF(I$7=I$5,I$6,IF(NORMSDIST(I$9*SQRT($C$11)*NORMSINV($B868)+SQRT(1-I$9^2*$C$11)*NORMSINV(H868))&lt;I$8,I$5+SQRT(NORMSDIST(I$9*SQRT($C$11)*NORMSINV($B868)+SQRT(1-I$9^2*$C$11)*NORMSINV(H868))*(I$7-I$5)*(I$6-I$5)),I$7-SQRT((1-NORMSDIST(I$9*SQRT($C$11)*NORMSINV($B868)+SQRT(1-I$9^2*$C$11)*NORMSINV(H868)))*(I$7-I$5)*(I$7-I$6))))</f>
        <v>190.316793925836</v>
      </c>
      <c r="J868" s="2" t="n">
        <v>0.642478076</v>
      </c>
      <c r="K868" s="2" t="n">
        <f aca="false">IF(K$7=K$5,K$6,IF(NORMSDIST(K$9*SQRT($C$11)*NORMSINV($B868)+SQRT(1-K$9^2*$C$11)*NORMSINV(J868))&lt;K$8,K$5+SQRT(NORMSDIST(K$9*SQRT($C$11)*NORMSINV($B868)+SQRT(1-K$9^2*$C$11)*NORMSINV(J868))*(K$7-K$5)*(K$6-K$5)),K$7-SQRT((1-NORMSDIST(K$9*SQRT($C$11)*NORMSINV($B868)+SQRT(1-K$9^2*$C$11)*NORMSINV(J868)))*(K$7-K$5)*(K$7-K$6))))</f>
        <v>0.183955726679185</v>
      </c>
      <c r="L868" s="2" t="n">
        <v>0.02637818</v>
      </c>
      <c r="M868" s="2" t="n">
        <f aca="false">IF(M$7=M$5,M$6,IF(NORMSDIST(M$9*SQRT($C$11)*NORMSINV($B868)+SQRT(1-M$9^2*$C$11)*NORMSINV(L868))&lt;M$8,M$5+SQRT(NORMSDIST(M$9*SQRT($C$11)*NORMSINV($B868)+SQRT(1-M$9^2*$C$11)*NORMSINV(L868))*(M$7-M$5)*(M$6-M$5)),M$7-SQRT((1-NORMSDIST(M$9*SQRT($C$11)*NORMSINV($B868)+SQRT(1-M$9^2*$C$11)*NORMSINV(L868)))*(M$7-M$5)*(M$7-M$6))))</f>
        <v>1339.63617779375</v>
      </c>
      <c r="N868" s="2" t="n">
        <v>0.407191442</v>
      </c>
      <c r="O868" s="2" t="n">
        <f aca="false">IF(O$7=O$5,O$6,IF(NORMSDIST(O$9*SQRT($C$11)*NORMSINV($B868)+SQRT(1-O$9^2*$C$11)*NORMSINV(N868))&lt;O$8,O$5+SQRT(NORMSDIST(O$9*SQRT($C$11)*NORMSINV($B868)+SQRT(1-O$9^2*$C$11)*NORMSINV(N868))*(O$7-O$5)*(O$6-O$5)),O$7-SQRT((1-NORMSDIST(O$9*SQRT($C$11)*NORMSINV($B868)+SQRT(1-O$9^2*$C$11)*NORMSINV(N868)))*(O$7-O$5)*(O$7-O$6))))</f>
        <v>0.154229632245885</v>
      </c>
      <c r="P868" s="2" t="n">
        <v>0.03512826</v>
      </c>
      <c r="Q868" s="2" t="n">
        <f aca="false">IF(Q$7=Q$5,Q$6,IF(NORMSDIST(Q$9*SQRT($C$11)*NORMSINV($B868)+SQRT(1-Q$9^2*$C$11)*NORMSINV(P868))&lt;Q$8,Q$5+SQRT(NORMSDIST(Q$9*SQRT($C$11)*NORMSINV($B868)+SQRT(1-Q$9^2*$C$11)*NORMSINV(P868))*(Q$7-Q$5)*(Q$6-Q$5)),Q$7-SQRT((1-NORMSDIST(Q$9*SQRT($C$11)*NORMSINV($B868)+SQRT(1-Q$9^2*$C$11)*NORMSINV(P868)))*(Q$7-Q$5)*(Q$7-Q$6))))</f>
        <v>0.0506023786010499</v>
      </c>
      <c r="R868" s="2" t="n">
        <v>0.107419784</v>
      </c>
      <c r="S868" s="2" t="n">
        <f aca="false">IF(S$7=S$5,S$6,IF(NORMSDIST(S$9*SQRT($C$11)*NORMSINV($B868)+SQRT(1-S$9^2*$C$11)*NORMSINV(R868))&lt;S$8,S$5+SQRT(NORMSDIST(S$9*SQRT($C$11)*NORMSINV($B868)+SQRT(1-S$9^2*$C$11)*NORMSINV(R868))*(S$7-S$5)*(S$6-S$5)),S$7-SQRT((1-NORMSDIST(S$9*SQRT($C$11)*NORMSINV($B868)+SQRT(1-S$9^2*$C$11)*NORMSINV(R868)))*(S$7-S$5)*(S$7-S$6))))</f>
        <v>0.126201038448194</v>
      </c>
      <c r="T868" s="2" t="n">
        <v>0.625060955</v>
      </c>
      <c r="U868" s="2" t="n">
        <f aca="false">IF(U$7=U$5,U$6,IF(NORMSDIST(U$9*SQRT($C$11)*NORMSINV($B868)+SQRT(1-U$9^2*$C$11)*NORMSINV(T868))&lt;U$8,U$5+SQRT(NORMSDIST(U$9*SQRT($C$11)*NORMSINV($B868)+SQRT(1-U$9^2*$C$11)*NORMSINV(T868))*(U$7-U$5)*(U$6-U$5)),U$7-SQRT((1-NORMSDIST(U$9*SQRT($C$11)*NORMSINV($B868)+SQRT(1-U$9^2*$C$11)*NORMSINV(T868)))*(U$7-U$5)*(U$7-U$6))))</f>
        <v>0.359845596089966</v>
      </c>
      <c r="V868" s="2" t="n">
        <v>0.187546367</v>
      </c>
      <c r="W868" s="2" t="n">
        <f aca="false">IF(W$7=W$5,W$6,IF(NORMSDIST(W$9*SQRT($C$11)*NORMSINV($B868)+SQRT(1-W$9^2*$C$11)*NORMSINV(V868))&lt;W$8,W$5+SQRT(NORMSDIST(W$9*SQRT($C$11)*NORMSINV($B868)+SQRT(1-W$9^2*$C$11)*NORMSINV(V868))*(W$7-W$5)*(W$6-W$5)),W$7-SQRT((1-NORMSDIST(W$9*SQRT($C$11)*NORMSINV($B868)+SQRT(1-W$9^2*$C$11)*NORMSINV(V868)))*(W$7-W$5)*(W$7-W$6))))</f>
        <v>8.67526259376973</v>
      </c>
      <c r="X868" s="2" t="n">
        <v>0.808376547</v>
      </c>
      <c r="Y868" s="2" t="n">
        <f aca="false">IF(Y$7=Y$5,Y$6,IF(NORMSDIST(Y$9*SQRT($C$11)*NORMSINV($B868)+SQRT(1-Y$9^2*$C$11)*NORMSINV(X868))&lt;Y$8,Y$5+SQRT(NORMSDIST(Y$9*SQRT($C$11)*NORMSINV($B868)+SQRT(1-Y$9^2*$C$11)*NORMSINV(X868))*(Y$7-Y$5)*(Y$6-Y$5)),Y$7-SQRT((1-NORMSDIST(Y$9*SQRT($C$11)*NORMSINV($B868)+SQRT(1-Y$9^2*$C$11)*NORMSINV(X868)))*(Y$7-Y$5)*(Y$7-Y$6))))</f>
        <v>0.690465306467918</v>
      </c>
      <c r="Z868" s="2" t="n">
        <v>0.35259744</v>
      </c>
      <c r="AA868" s="2" t="n">
        <f aca="false">IF(AA$7=AA$5,AA$6,IF(NORMSDIST(AA$9*SQRT($C$11)*NORMSINV($B868)+SQRT(1-AA$9^2*$C$11)*NORMSINV(Z868))&lt;AA$8,AA$5+SQRT(NORMSDIST(AA$9*SQRT($C$11)*NORMSINV($B868)+SQRT(1-AA$9^2*$C$11)*NORMSINV(Z868))*(AA$7-AA$5)*(AA$6-AA$5)),AA$7-SQRT((1-NORMSDIST(AA$9*SQRT($C$11)*NORMSINV($B868)+SQRT(1-AA$9^2*$C$11)*NORMSINV(Z868)))*(AA$7-AA$5)*(AA$7-AA$6))))</f>
        <v>0.711201222166461</v>
      </c>
      <c r="AB868" s="2" t="n">
        <v>0.400916302</v>
      </c>
      <c r="AC868" s="2" t="n">
        <f aca="false">IF(AC$7=AC$5,AC$6,IF(NORMSDIST(AC$9*SQRT($C$11)*NORMSINV($B868)+SQRT(1-AC$9^2*$C$11)*NORMSINV(AB868))&lt;AC$8,AC$5+SQRT(NORMSDIST(AC$9*SQRT($C$11)*NORMSINV($B868)+SQRT(1-AC$9^2*$C$11)*NORMSINV(AB868))*(AC$7-AC$5)*(AC$6-AC$5)),AC$7-SQRT((1-NORMSDIST(AC$9*SQRT($C$11)*NORMSINV($B868)+SQRT(1-AC$9^2*$C$11)*NORMSINV(AB868)))*(AC$7-AC$5)*(AC$7-AC$6))))</f>
        <v>8.4932440821218</v>
      </c>
      <c r="AD868" s="2" t="n">
        <f aca="false">Entrées!$C$8*(1+E868)</f>
        <v>7411.87874004719</v>
      </c>
      <c r="AE868" s="2" t="n">
        <f aca="false">I868*Hypothèses!$J$24/12/Hypothèses!$J$19</f>
        <v>94.4155523340118</v>
      </c>
      <c r="AF868" s="2" t="n">
        <f aca="false">Entrées!$C$36*S868*1000</f>
        <v>63.100519224097</v>
      </c>
      <c r="AG868" s="2" t="n">
        <f aca="false">-AF868/W868</f>
        <v>-7.27361489546306</v>
      </c>
      <c r="AH868" s="2" t="n">
        <f aca="false">AD868+AE868+AG868</f>
        <v>7499.02067748574</v>
      </c>
      <c r="AI868" s="2" t="n">
        <f aca="false">Entrées!$C$16-M868+Hypothèses!$J$22*1000-AF868+Hypothèses!$J$23</f>
        <v>23145.2633029822</v>
      </c>
      <c r="AJ868" s="2" t="n">
        <f aca="false">AI868/AH868</f>
        <v>3.0864381228433</v>
      </c>
      <c r="AK868" s="2" t="n">
        <f aca="false">AI868/(AH868+I868*(12-Hypothèses!$J$24)/12/Hypothèses!$J$19)</f>
        <v>3.05892877365756</v>
      </c>
      <c r="AL868" s="2" t="n">
        <f aca="false">(AD868+AG868+I868/Hypothèses!$J$19)*(1+G868)</f>
        <v>7949.95051522806</v>
      </c>
      <c r="AM868" s="2" t="n">
        <f aca="false">Entrées!$C$54*K868/Hypothèses!$J$19</f>
        <v>18.7734542877948</v>
      </c>
      <c r="AN868" s="2" t="n">
        <f aca="false">Y868*1000/AC868</f>
        <v>81.2958275768079</v>
      </c>
      <c r="AO868" s="2" t="n">
        <f aca="false">(Entrées!$C$36*(1-S868)+MAX(0,Entrées!$C$30-Entrées!$C$35-Entrées!$C$36)*U868)*1000</f>
        <v>940.683315301855</v>
      </c>
      <c r="AP868" s="2" t="n">
        <f aca="false">-AO868/W868</f>
        <v>-108.432834756774</v>
      </c>
      <c r="AQ868" s="2" t="n">
        <f aca="false">AL868+AM868+AN868+AP868</f>
        <v>7941.58696233589</v>
      </c>
      <c r="AR868" s="2" t="n">
        <f aca="false">O868*AQ868-Hypothèses!$J$25/Hypothèses!$J$19</f>
        <v>1205.69287438815</v>
      </c>
      <c r="AS868" s="2" t="n">
        <f aca="false">Entrées!$C$79*(1+Q868)+Hypothèses!$J$20</f>
        <v>1449.61201408255</v>
      </c>
      <c r="AT868" s="2" t="n">
        <f aca="false">AI868-AR868+AS868+Y868*1000-AO868+Hypothèses!$J$23</f>
        <v>23138.9644338426</v>
      </c>
      <c r="AU868" s="2" t="n">
        <f aca="false">AT868/AQ868</f>
        <v>2.9136449104672</v>
      </c>
      <c r="AV868" s="2" t="n">
        <f aca="false">Hypothèses!$J$26*AQ868-AT868</f>
        <v>685.79645316504</v>
      </c>
      <c r="AW868" s="2" t="n">
        <f aca="false">IF(AC868&gt;Hypothèses!$J$26,MAX(0,AV868)/(1-Hypothèses!$J$26/AC868),0)</f>
        <v>1060.3273002816</v>
      </c>
      <c r="AX868" s="2" t="n">
        <f aca="false">AQ868-Entrées!$C$17*1000</f>
        <v>-58.4130376641142</v>
      </c>
      <c r="AY868" s="2" t="n">
        <f aca="false">AI868+(Entrées!$C$244-Entrées!$C$13)</f>
        <v>28892.2633029822</v>
      </c>
      <c r="AZ868" s="2" t="n">
        <f aca="false">AA868*AH868</f>
        <v>5333.31267087942</v>
      </c>
      <c r="BA868" s="2" t="n">
        <f aca="false">AZ868/AY868</f>
        <v>0.184593107675609</v>
      </c>
      <c r="BB868" s="2" t="n">
        <f aca="false">AZ868/(Entrées!$C$151/100)-AY868</f>
        <v>737.251535236846</v>
      </c>
      <c r="BC868" s="2" t="n">
        <f aca="false">AT868+(Entrées!$C$244-Entrées!$C$13)</f>
        <v>28885.9644338426</v>
      </c>
      <c r="BD868" s="2" t="n">
        <f aca="false">AA868*AQ868</f>
        <v>5648.06635355452</v>
      </c>
      <c r="BE868" s="2" t="n">
        <f aca="false">BD868/BC868</f>
        <v>0.195529782863586</v>
      </c>
      <c r="BF868" s="2" t="n">
        <f aca="false">BD868/(Entrées!$C$151/100)-BC868</f>
        <v>2492.18197479359</v>
      </c>
      <c r="BG868" s="2" t="n">
        <f aca="false">MIN(AV868,BF868)</f>
        <v>685.79645316504</v>
      </c>
      <c r="BH868" s="2" t="n">
        <f aca="false">IF(AC868&gt;Hypothèses!$J$26,MAX(0,BG868)/(1-Hypothèses!$J$26/AC868),0)</f>
        <v>1060.3273002816</v>
      </c>
    </row>
    <row r="869" customFormat="false" ht="15" hidden="false" customHeight="false" outlineLevel="0" collapsed="false">
      <c r="A869" s="2" t="n">
        <v>854</v>
      </c>
      <c r="B869" s="2" t="n">
        <v>0.502512435</v>
      </c>
      <c r="C869" s="2"/>
      <c r="D869" s="2" t="n">
        <v>0.864306249</v>
      </c>
      <c r="E869" s="2" t="n">
        <f aca="false">IF(E$7=E$5,E$6,IF(NORMSDIST(E$9*SQRT($C$11)*NORMSINV($B869)+SQRT(1-E$9^2*$C$11)*NORMSINV(D869))&lt;E$8,E$5+SQRT(NORMSDIST(E$9*SQRT($C$11)*NORMSINV($B869)+SQRT(1-E$9^2*$C$11)*NORMSINV(D869))*(E$7-E$5)*(E$6-E$5)),E$7-SQRT((1-NORMSDIST(E$9*SQRT($C$11)*NORMSINV($B869)+SQRT(1-E$9^2*$C$11)*NORMSINV(D869)))*(E$7-E$5)*(E$7-E$6))))</f>
        <v>0.0568693832886049</v>
      </c>
      <c r="F869" s="2" t="n">
        <v>0.815313671</v>
      </c>
      <c r="G869" s="2" t="n">
        <f aca="false">IF(G$7=G$5,G$6,IF(NORMSDIST(G$9*SQRT($C$11)*NORMSINV($B869)+SQRT(1-G$9^2*$C$11)*NORMSINV(F869))&lt;G$8,G$5+SQRT(NORMSDIST(G$9*SQRT($C$11)*NORMSINV($B869)+SQRT(1-G$9^2*$C$11)*NORMSINV(F869))*(G$7-G$5)*(G$6-G$5)),G$7-SQRT((1-NORMSDIST(G$9*SQRT($C$11)*NORMSINV($B869)+SQRT(1-G$9^2*$C$11)*NORMSINV(F869)))*(G$7-G$5)*(G$7-G$6))))</f>
        <v>0.0595605479460037</v>
      </c>
      <c r="H869" s="2" t="n">
        <v>0.433518369</v>
      </c>
      <c r="I869" s="2" t="n">
        <f aca="false">IF(I$7=I$5,I$6,IF(NORMSDIST(I$9*SQRT($C$11)*NORMSINV($B869)+SQRT(1-I$9^2*$C$11)*NORMSINV(H869))&lt;I$8,I$5+SQRT(NORMSDIST(I$9*SQRT($C$11)*NORMSINV($B869)+SQRT(1-I$9^2*$C$11)*NORMSINV(H869))*(I$7-I$5)*(I$6-I$5)),I$7-SQRT((1-NORMSDIST(I$9*SQRT($C$11)*NORMSINV($B869)+SQRT(1-I$9^2*$C$11)*NORMSINV(H869)))*(I$7-I$5)*(I$7-I$6))))</f>
        <v>198.973320774487</v>
      </c>
      <c r="J869" s="2" t="n">
        <v>0.213488939</v>
      </c>
      <c r="K869" s="2" t="n">
        <f aca="false">IF(K$7=K$5,K$6,IF(NORMSDIST(K$9*SQRT($C$11)*NORMSINV($B869)+SQRT(1-K$9^2*$C$11)*NORMSINV(J869))&lt;K$8,K$5+SQRT(NORMSDIST(K$9*SQRT($C$11)*NORMSINV($B869)+SQRT(1-K$9^2*$C$11)*NORMSINV(J869))*(K$7-K$5)*(K$6-K$5)),K$7-SQRT((1-NORMSDIST(K$9*SQRT($C$11)*NORMSINV($B869)+SQRT(1-K$9^2*$C$11)*NORMSINV(J869)))*(K$7-K$5)*(K$7-K$6))))</f>
        <v>0.183877852071641</v>
      </c>
      <c r="L869" s="2" t="n">
        <v>0.267187178</v>
      </c>
      <c r="M869" s="2" t="n">
        <f aca="false">IF(M$7=M$5,M$6,IF(NORMSDIST(M$9*SQRT($C$11)*NORMSINV($B869)+SQRT(1-M$9^2*$C$11)*NORMSINV(L869))&lt;M$8,M$5+SQRT(NORMSDIST(M$9*SQRT($C$11)*NORMSINV($B869)+SQRT(1-M$9^2*$C$11)*NORMSINV(L869))*(M$7-M$5)*(M$6-M$5)),M$7-SQRT((1-NORMSDIST(M$9*SQRT($C$11)*NORMSINV($B869)+SQRT(1-M$9^2*$C$11)*NORMSINV(L869)))*(M$7-M$5)*(M$7-M$6))))</f>
        <v>1527.70854341432</v>
      </c>
      <c r="N869" s="2" t="n">
        <v>0.84459246</v>
      </c>
      <c r="O869" s="2" t="n">
        <f aca="false">IF(O$7=O$5,O$6,IF(NORMSDIST(O$9*SQRT($C$11)*NORMSINV($B869)+SQRT(1-O$9^2*$C$11)*NORMSINV(N869))&lt;O$8,O$5+SQRT(NORMSDIST(O$9*SQRT($C$11)*NORMSINV($B869)+SQRT(1-O$9^2*$C$11)*NORMSINV(N869))*(O$7-O$5)*(O$6-O$5)),O$7-SQRT((1-NORMSDIST(O$9*SQRT($C$11)*NORMSINV($B869)+SQRT(1-O$9^2*$C$11)*NORMSINV(N869)))*(O$7-O$5)*(O$7-O$6))))</f>
        <v>0.174865301676247</v>
      </c>
      <c r="P869" s="2" t="n">
        <v>0.774317259</v>
      </c>
      <c r="Q869" s="2" t="n">
        <f aca="false">IF(Q$7=Q$5,Q$6,IF(NORMSDIST(Q$9*SQRT($C$11)*NORMSINV($B869)+SQRT(1-Q$9^2*$C$11)*NORMSINV(P869))&lt;Q$8,Q$5+SQRT(NORMSDIST(Q$9*SQRT($C$11)*NORMSINV($B869)+SQRT(1-Q$9^2*$C$11)*NORMSINV(P869))*(Q$7-Q$5)*(Q$6-Q$5)),Q$7-SQRT((1-NORMSDIST(Q$9*SQRT($C$11)*NORMSINV($B869)+SQRT(1-Q$9^2*$C$11)*NORMSINV(P869)))*(Q$7-Q$5)*(Q$7-Q$6))))</f>
        <v>0.0931265042988449</v>
      </c>
      <c r="R869" s="2" t="n">
        <v>0.595444953</v>
      </c>
      <c r="S869" s="2" t="n">
        <f aca="false">IF(S$7=S$5,S$6,IF(NORMSDIST(S$9*SQRT($C$11)*NORMSINV($B869)+SQRT(1-S$9^2*$C$11)*NORMSINV(R869))&lt;S$8,S$5+SQRT(NORMSDIST(S$9*SQRT($C$11)*NORMSINV($B869)+SQRT(1-S$9^2*$C$11)*NORMSINV(R869))*(S$7-S$5)*(S$6-S$5)),S$7-SQRT((1-NORMSDIST(S$9*SQRT($C$11)*NORMSINV($B869)+SQRT(1-S$9^2*$C$11)*NORMSINV(R869)))*(S$7-S$5)*(S$7-S$6))))</f>
        <v>0.539445222089545</v>
      </c>
      <c r="T869" s="2" t="n">
        <v>0.396891564</v>
      </c>
      <c r="U869" s="2" t="n">
        <f aca="false">IF(U$7=U$5,U$6,IF(NORMSDIST(U$9*SQRT($C$11)*NORMSINV($B869)+SQRT(1-U$9^2*$C$11)*NORMSINV(T869))&lt;U$8,U$5+SQRT(NORMSDIST(U$9*SQRT($C$11)*NORMSINV($B869)+SQRT(1-U$9^2*$C$11)*NORMSINV(T869))*(U$7-U$5)*(U$6-U$5)),U$7-SQRT((1-NORMSDIST(U$9*SQRT($C$11)*NORMSINV($B869)+SQRT(1-U$9^2*$C$11)*NORMSINV(T869)))*(U$7-U$5)*(U$7-U$6))))</f>
        <v>0.458981451448466</v>
      </c>
      <c r="V869" s="2" t="n">
        <v>0.927381081</v>
      </c>
      <c r="W869" s="2" t="n">
        <f aca="false">IF(W$7=W$5,W$6,IF(NORMSDIST(W$9*SQRT($C$11)*NORMSINV($B869)+SQRT(1-W$9^2*$C$11)*NORMSINV(V869))&lt;W$8,W$5+SQRT(NORMSDIST(W$9*SQRT($C$11)*NORMSINV($B869)+SQRT(1-W$9^2*$C$11)*NORMSINV(V869))*(W$7-W$5)*(W$6-W$5)),W$7-SQRT((1-NORMSDIST(W$9*SQRT($C$11)*NORMSINV($B869)+SQRT(1-W$9^2*$C$11)*NORMSINV(V869)))*(W$7-W$5)*(W$7-W$6))))</f>
        <v>10.9850362027378</v>
      </c>
      <c r="X869" s="2" t="n">
        <v>0.944791022</v>
      </c>
      <c r="Y869" s="2" t="n">
        <f aca="false">IF(Y$7=Y$5,Y$6,IF(NORMSDIST(Y$9*SQRT($C$11)*NORMSINV($B869)+SQRT(1-Y$9^2*$C$11)*NORMSINV(X869))&lt;Y$8,Y$5+SQRT(NORMSDIST(Y$9*SQRT($C$11)*NORMSINV($B869)+SQRT(1-Y$9^2*$C$11)*NORMSINV(X869))*(Y$7-Y$5)*(Y$6-Y$5)),Y$7-SQRT((1-NORMSDIST(Y$9*SQRT($C$11)*NORMSINV($B869)+SQRT(1-Y$9^2*$C$11)*NORMSINV(X869)))*(Y$7-Y$5)*(Y$7-Y$6))))</f>
        <v>0.833854012988577</v>
      </c>
      <c r="Z869" s="2" t="n">
        <v>0.635511061</v>
      </c>
      <c r="AA869" s="2" t="n">
        <f aca="false">IF(AA$7=AA$5,AA$6,IF(NORMSDIST(AA$9*SQRT($C$11)*NORMSINV($B869)+SQRT(1-AA$9^2*$C$11)*NORMSINV(Z869))&lt;AA$8,AA$5+SQRT(NORMSDIST(AA$9*SQRT($C$11)*NORMSINV($B869)+SQRT(1-AA$9^2*$C$11)*NORMSINV(Z869))*(AA$7-AA$5)*(AA$6-AA$5)),AA$7-SQRT((1-NORMSDIST(AA$9*SQRT($C$11)*NORMSINV($B869)+SQRT(1-AA$9^2*$C$11)*NORMSINV(Z869)))*(AA$7-AA$5)*(AA$7-AA$6))))</f>
        <v>0.731393898957675</v>
      </c>
      <c r="AB869" s="2" t="n">
        <v>0.643867805</v>
      </c>
      <c r="AC869" s="2" t="n">
        <f aca="false">IF(AC$7=AC$5,AC$6,IF(NORMSDIST(AC$9*SQRT($C$11)*NORMSINV($B869)+SQRT(1-AC$9^2*$C$11)*NORMSINV(AB869))&lt;AC$8,AC$5+SQRT(NORMSDIST(AC$9*SQRT($C$11)*NORMSINV($B869)+SQRT(1-AC$9^2*$C$11)*NORMSINV(AB869))*(AC$7-AC$5)*(AC$6-AC$5)),AC$7-SQRT((1-NORMSDIST(AC$9*SQRT($C$11)*NORMSINV($B869)+SQRT(1-AC$9^2*$C$11)*NORMSINV(AB869)))*(AC$7-AC$5)*(AC$7-AC$6))))</f>
        <v>9.70318344582568</v>
      </c>
      <c r="AD869" s="2" t="n">
        <f aca="false">Entrées!$C$8*(1+E869)</f>
        <v>7450.92915218466</v>
      </c>
      <c r="AE869" s="2" t="n">
        <f aca="false">I869*Hypothèses!$J$24/12/Hypothèses!$J$19</f>
        <v>98.7100275973355</v>
      </c>
      <c r="AF869" s="2" t="n">
        <f aca="false">Entrées!$C$36*S869*1000</f>
        <v>269.722611044773</v>
      </c>
      <c r="AG869" s="2" t="n">
        <f aca="false">-AF869/W869</f>
        <v>-24.5536387925194</v>
      </c>
      <c r="AH869" s="2" t="n">
        <f aca="false">AD869+AE869+AG869</f>
        <v>7525.08554098948</v>
      </c>
      <c r="AI869" s="2" t="n">
        <f aca="false">Entrées!$C$16-M869+Hypothèses!$J$22*1000-AF869+Hypothèses!$J$23</f>
        <v>22750.5688455409</v>
      </c>
      <c r="AJ869" s="2" t="n">
        <f aca="false">AI869/AH869</f>
        <v>3.02329704049443</v>
      </c>
      <c r="AK869" s="2" t="n">
        <f aca="false">AI869/(AH869+I869*(12-Hypothèses!$J$24)/12/Hypothèses!$J$19)</f>
        <v>2.99523285850765</v>
      </c>
      <c r="AL869" s="2" t="n">
        <f aca="false">(AD869+AG869+I869/Hypothèses!$J$19)*(1+G869)</f>
        <v>8047.99036695765</v>
      </c>
      <c r="AM869" s="2" t="n">
        <f aca="false">Entrées!$C$54*K869/Hypothèses!$J$19</f>
        <v>18.7655068571206</v>
      </c>
      <c r="AN869" s="2" t="n">
        <f aca="false">Y869*1000/AC869</f>
        <v>85.9361278331084</v>
      </c>
      <c r="AO869" s="2" t="n">
        <f aca="false">(Entrées!$C$36*(1-S869)+MAX(0,Entrées!$C$30-Entrées!$C$35-Entrées!$C$36)*U869)*1000</f>
        <v>872.85142098308</v>
      </c>
      <c r="AP869" s="2" t="n">
        <f aca="false">-AO869/W869</f>
        <v>-79.4582197886194</v>
      </c>
      <c r="AQ869" s="2" t="n">
        <f aca="false">AL869+AM869+AN869+AP869</f>
        <v>8073.23378185926</v>
      </c>
      <c r="AR869" s="2" t="n">
        <f aca="false">O869*AQ869-Hypothèses!$J$25/Hypothèses!$J$19</f>
        <v>1392.59329850606</v>
      </c>
      <c r="AS869" s="2" t="n">
        <f aca="false">Entrées!$C$79*(1+Q869)+Hypothèses!$J$20</f>
        <v>1496.34602822443</v>
      </c>
      <c r="AT869" s="2" t="n">
        <f aca="false">AI869-AR869+AS869+Y869*1000-AO869+Hypothèses!$J$23</f>
        <v>22815.3241672648</v>
      </c>
      <c r="AU869" s="2" t="n">
        <f aca="false">AT869/AQ869</f>
        <v>2.82604527302694</v>
      </c>
      <c r="AV869" s="2" t="n">
        <f aca="false">Hypothèses!$J$26*AQ869-AT869</f>
        <v>1404.377178313</v>
      </c>
      <c r="AW869" s="2" t="n">
        <f aca="false">IF(AC869&gt;Hypothèses!$J$26,MAX(0,AV869)/(1-Hypothèses!$J$26/AC869),0)</f>
        <v>2032.90414150728</v>
      </c>
      <c r="AX869" s="2" t="n">
        <f aca="false">AQ869-Entrées!$C$17*1000</f>
        <v>73.2337818592569</v>
      </c>
      <c r="AY869" s="2" t="n">
        <f aca="false">AI869+(Entrées!$C$244-Entrées!$C$13)</f>
        <v>28497.5688455409</v>
      </c>
      <c r="AZ869" s="2" t="n">
        <f aca="false">AA869*AH869</f>
        <v>5503.80165381432</v>
      </c>
      <c r="BA869" s="2" t="n">
        <f aca="false">AZ869/AY869</f>
        <v>0.193132322397232</v>
      </c>
      <c r="BB869" s="2" t="n">
        <f aca="false">AZ869/(Entrées!$C$151/100)-AY869</f>
        <v>2079.10700898308</v>
      </c>
      <c r="BC869" s="2" t="n">
        <f aca="false">AT869+(Entrées!$C$244-Entrées!$C$13)</f>
        <v>28562.3241672648</v>
      </c>
      <c r="BD869" s="2" t="n">
        <f aca="false">AA869*AQ869</f>
        <v>5904.71393291085</v>
      </c>
      <c r="BE869" s="2" t="n">
        <f aca="false">BD869/BC869</f>
        <v>0.206730863298521</v>
      </c>
      <c r="BF869" s="2" t="n">
        <f aca="false">BD869/(Entrées!$C$151/100)-BC869</f>
        <v>4241.64212668441</v>
      </c>
      <c r="BG869" s="2" t="n">
        <f aca="false">MIN(AV869,BF869)</f>
        <v>1404.377178313</v>
      </c>
      <c r="BH869" s="2" t="n">
        <f aca="false">IF(AC869&gt;Hypothèses!$J$26,MAX(0,BG869)/(1-Hypothèses!$J$26/AC869),0)</f>
        <v>2032.90414150728</v>
      </c>
    </row>
    <row r="870" customFormat="false" ht="15" hidden="false" customHeight="false" outlineLevel="0" collapsed="false">
      <c r="A870" s="2" t="n">
        <v>855</v>
      </c>
      <c r="B870" s="2" t="n">
        <v>0.406328738</v>
      </c>
      <c r="C870" s="2"/>
      <c r="D870" s="2" t="n">
        <v>0.946375006</v>
      </c>
      <c r="E870" s="2" t="n">
        <f aca="false">IF(E$7=E$5,E$6,IF(NORMSDIST(E$9*SQRT($C$11)*NORMSINV($B870)+SQRT(1-E$9^2*$C$11)*NORMSINV(D870))&lt;E$8,E$5+SQRT(NORMSDIST(E$9*SQRT($C$11)*NORMSINV($B870)+SQRT(1-E$9^2*$C$11)*NORMSINV(D870))*(E$7-E$5)*(E$6-E$5)),E$7-SQRT((1-NORMSDIST(E$9*SQRT($C$11)*NORMSINV($B870)+SQRT(1-E$9^2*$C$11)*NORMSINV(D870)))*(E$7-E$5)*(E$7-E$6))))</f>
        <v>0.0573907827840278</v>
      </c>
      <c r="F870" s="2" t="n">
        <v>0.250027867</v>
      </c>
      <c r="G870" s="2" t="n">
        <f aca="false">IF(G$7=G$5,G$6,IF(NORMSDIST(G$9*SQRT($C$11)*NORMSINV($B870)+SQRT(1-G$9^2*$C$11)*NORMSINV(F870))&lt;G$8,G$5+SQRT(NORMSDIST(G$9*SQRT($C$11)*NORMSINV($B870)+SQRT(1-G$9^2*$C$11)*NORMSINV(F870))*(G$7-G$5)*(G$6-G$5)),G$7-SQRT((1-NORMSDIST(G$9*SQRT($C$11)*NORMSINV($B870)+SQRT(1-G$9^2*$C$11)*NORMSINV(F870)))*(G$7-G$5)*(G$7-G$6))))</f>
        <v>0.0506214917284537</v>
      </c>
      <c r="H870" s="2" t="n">
        <v>0.178767598</v>
      </c>
      <c r="I870" s="2" t="n">
        <f aca="false">IF(I$7=I$5,I$6,IF(NORMSDIST(I$9*SQRT($C$11)*NORMSINV($B870)+SQRT(1-I$9^2*$C$11)*NORMSINV(H870))&lt;I$8,I$5+SQRT(NORMSDIST(I$9*SQRT($C$11)*NORMSINV($B870)+SQRT(1-I$9^2*$C$11)*NORMSINV(H870))*(I$7-I$5)*(I$6-I$5)),I$7-SQRT((1-NORMSDIST(I$9*SQRT($C$11)*NORMSINV($B870)+SQRT(1-I$9^2*$C$11)*NORMSINV(H870)))*(I$7-I$5)*(I$7-I$6))))</f>
        <v>192.463877732595</v>
      </c>
      <c r="J870" s="2" t="n">
        <v>0.448615664</v>
      </c>
      <c r="K870" s="2" t="n">
        <f aca="false">IF(K$7=K$5,K$6,IF(NORMSDIST(K$9*SQRT($C$11)*NORMSINV($B870)+SQRT(1-K$9^2*$C$11)*NORMSINV(J870))&lt;K$8,K$5+SQRT(NORMSDIST(K$9*SQRT($C$11)*NORMSINV($B870)+SQRT(1-K$9^2*$C$11)*NORMSINV(J870))*(K$7-K$5)*(K$6-K$5)),K$7-SQRT((1-NORMSDIST(K$9*SQRT($C$11)*NORMSINV($B870)+SQRT(1-K$9^2*$C$11)*NORMSINV(J870)))*(K$7-K$5)*(K$7-K$6))))</f>
        <v>0.223974785266795</v>
      </c>
      <c r="L870" s="2" t="n">
        <v>0.032836966</v>
      </c>
      <c r="M870" s="2" t="n">
        <f aca="false">IF(M$7=M$5,M$6,IF(NORMSDIST(M$9*SQRT($C$11)*NORMSINV($B870)+SQRT(1-M$9^2*$C$11)*NORMSINV(L870))&lt;M$8,M$5+SQRT(NORMSDIST(M$9*SQRT($C$11)*NORMSINV($B870)+SQRT(1-M$9^2*$C$11)*NORMSINV(L870))*(M$7-M$5)*(M$6-M$5)),M$7-SQRT((1-NORMSDIST(M$9*SQRT($C$11)*NORMSINV($B870)+SQRT(1-M$9^2*$C$11)*NORMSINV(L870)))*(M$7-M$5)*(M$7-M$6))))</f>
        <v>1398.92664974807</v>
      </c>
      <c r="N870" s="2" t="n">
        <v>0.49832621</v>
      </c>
      <c r="O870" s="2" t="n">
        <f aca="false">IF(O$7=O$5,O$6,IF(NORMSDIST(O$9*SQRT($C$11)*NORMSINV($B870)+SQRT(1-O$9^2*$C$11)*NORMSINV(N870))&lt;O$8,O$5+SQRT(NORMSDIST(O$9*SQRT($C$11)*NORMSINV($B870)+SQRT(1-O$9^2*$C$11)*NORMSINV(N870))*(O$7-O$5)*(O$6-O$5)),O$7-SQRT((1-NORMSDIST(O$9*SQRT($C$11)*NORMSINV($B870)+SQRT(1-O$9^2*$C$11)*NORMSINV(N870)))*(O$7-O$5)*(O$7-O$6))))</f>
        <v>0.165101613394301</v>
      </c>
      <c r="P870" s="2" t="n">
        <v>0.468299013</v>
      </c>
      <c r="Q870" s="2" t="n">
        <f aca="false">IF(Q$7=Q$5,Q$6,IF(NORMSDIST(Q$9*SQRT($C$11)*NORMSINV($B870)+SQRT(1-Q$9^2*$C$11)*NORMSINV(P870))&lt;Q$8,Q$5+SQRT(NORMSDIST(Q$9*SQRT($C$11)*NORMSINV($B870)+SQRT(1-Q$9^2*$C$11)*NORMSINV(P870))*(Q$7-Q$5)*(Q$6-Q$5)),Q$7-SQRT((1-NORMSDIST(Q$9*SQRT($C$11)*NORMSINV($B870)+SQRT(1-Q$9^2*$C$11)*NORMSINV(P870)))*(Q$7-Q$5)*(Q$7-Q$6))))</f>
        <v>0.0787111978838165</v>
      </c>
      <c r="R870" s="2" t="n">
        <v>0.194030107</v>
      </c>
      <c r="S870" s="2" t="n">
        <f aca="false">IF(S$7=S$5,S$6,IF(NORMSDIST(S$9*SQRT($C$11)*NORMSINV($B870)+SQRT(1-S$9^2*$C$11)*NORMSINV(R870))&lt;S$8,S$5+SQRT(NORMSDIST(S$9*SQRT($C$11)*NORMSINV($B870)+SQRT(1-S$9^2*$C$11)*NORMSINV(R870))*(S$7-S$5)*(S$6-S$5)),S$7-SQRT((1-NORMSDIST(S$9*SQRT($C$11)*NORMSINV($B870)+SQRT(1-S$9^2*$C$11)*NORMSINV(R870)))*(S$7-S$5)*(S$7-S$6))))</f>
        <v>0.321358356214083</v>
      </c>
      <c r="T870" s="2" t="n">
        <v>0.203559739</v>
      </c>
      <c r="U870" s="2" t="n">
        <f aca="false">IF(U$7=U$5,U$6,IF(NORMSDIST(U$9*SQRT($C$11)*NORMSINV($B870)+SQRT(1-U$9^2*$C$11)*NORMSINV(T870))&lt;U$8,U$5+SQRT(NORMSDIST(U$9*SQRT($C$11)*NORMSINV($B870)+SQRT(1-U$9^2*$C$11)*NORMSINV(T870))*(U$7-U$5)*(U$6-U$5)),U$7-SQRT((1-NORMSDIST(U$9*SQRT($C$11)*NORMSINV($B870)+SQRT(1-U$9^2*$C$11)*NORMSINV(T870)))*(U$7-U$5)*(U$7-U$6))))</f>
        <v>0.327243801608215</v>
      </c>
      <c r="V870" s="2" t="n">
        <v>0.733231976</v>
      </c>
      <c r="W870" s="2" t="n">
        <f aca="false">IF(W$7=W$5,W$6,IF(NORMSDIST(W$9*SQRT($C$11)*NORMSINV($B870)+SQRT(1-W$9^2*$C$11)*NORMSINV(V870))&lt;W$8,W$5+SQRT(NORMSDIST(W$9*SQRT($C$11)*NORMSINV($B870)+SQRT(1-W$9^2*$C$11)*NORMSINV(V870))*(W$7-W$5)*(W$6-W$5)),W$7-SQRT((1-NORMSDIST(W$9*SQRT($C$11)*NORMSINV($B870)+SQRT(1-W$9^2*$C$11)*NORMSINV(V870)))*(W$7-W$5)*(W$7-W$6))))</f>
        <v>10.2800024385804</v>
      </c>
      <c r="X870" s="2" t="n">
        <v>0.681598475</v>
      </c>
      <c r="Y870" s="2" t="n">
        <f aca="false">IF(Y$7=Y$5,Y$6,IF(NORMSDIST(Y$9*SQRT($C$11)*NORMSINV($B870)+SQRT(1-Y$9^2*$C$11)*NORMSINV(X870))&lt;Y$8,Y$5+SQRT(NORMSDIST(Y$9*SQRT($C$11)*NORMSINV($B870)+SQRT(1-Y$9^2*$C$11)*NORMSINV(X870))*(Y$7-Y$5)*(Y$6-Y$5)),Y$7-SQRT((1-NORMSDIST(Y$9*SQRT($C$11)*NORMSINV($B870)+SQRT(1-Y$9^2*$C$11)*NORMSINV(X870)))*(Y$7-Y$5)*(Y$7-Y$6))))</f>
        <v>0.601000297619159</v>
      </c>
      <c r="Z870" s="2" t="n">
        <v>0.417732947</v>
      </c>
      <c r="AA870" s="2" t="n">
        <f aca="false">IF(AA$7=AA$5,AA$6,IF(NORMSDIST(AA$9*SQRT($C$11)*NORMSINV($B870)+SQRT(1-AA$9^2*$C$11)*NORMSINV(Z870))&lt;AA$8,AA$5+SQRT(NORMSDIST(AA$9*SQRT($C$11)*NORMSINV($B870)+SQRT(1-AA$9^2*$C$11)*NORMSINV(Z870))*(AA$7-AA$5)*(AA$6-AA$5)),AA$7-SQRT((1-NORMSDIST(AA$9*SQRT($C$11)*NORMSINV($B870)+SQRT(1-AA$9^2*$C$11)*NORMSINV(Z870)))*(AA$7-AA$5)*(AA$7-AA$6))))</f>
        <v>0.723778755762234</v>
      </c>
      <c r="AB870" s="2" t="n">
        <v>0.476867576</v>
      </c>
      <c r="AC870" s="2" t="n">
        <f aca="false">IF(AC$7=AC$5,AC$6,IF(NORMSDIST(AC$9*SQRT($C$11)*NORMSINV($B870)+SQRT(1-AC$9^2*$C$11)*NORMSINV(AB870))&lt;AC$8,AC$5+SQRT(NORMSDIST(AC$9*SQRT($C$11)*NORMSINV($B870)+SQRT(1-AC$9^2*$C$11)*NORMSINV(AB870))*(AC$7-AC$5)*(AC$6-AC$5)),AC$7-SQRT((1-NORMSDIST(AC$9*SQRT($C$11)*NORMSINV($B870)+SQRT(1-AC$9^2*$C$11)*NORMSINV(AB870)))*(AC$7-AC$5)*(AC$7-AC$6))))</f>
        <v>9.31119562220549</v>
      </c>
      <c r="AD870" s="2" t="n">
        <f aca="false">Entrées!$C$8*(1+E870)</f>
        <v>7454.6050186274</v>
      </c>
      <c r="AE870" s="2" t="n">
        <f aca="false">I870*Hypothèses!$J$24/12/Hypothèses!$J$19</f>
        <v>95.4807137385354</v>
      </c>
      <c r="AF870" s="2" t="n">
        <f aca="false">Entrées!$C$36*S870*1000</f>
        <v>160.679178107041</v>
      </c>
      <c r="AG870" s="2" t="n">
        <f aca="false">-AF870/W870</f>
        <v>-15.6302665361264</v>
      </c>
      <c r="AH870" s="2" t="n">
        <f aca="false">AD870+AE870+AG870</f>
        <v>7534.45546582981</v>
      </c>
      <c r="AI870" s="2" t="n">
        <f aca="false">Entrées!$C$16-M870+Hypothèses!$J$22*1000-AF870+Hypothèses!$J$23</f>
        <v>22988.3941721449</v>
      </c>
      <c r="AJ870" s="2" t="n">
        <f aca="false">AI870/AH870</f>
        <v>3.0511022696201</v>
      </c>
      <c r="AK870" s="2" t="n">
        <f aca="false">AI870/(AH870+I870*(12-Hypothèses!$J$24)/12/Hypothèses!$J$19)</f>
        <v>3.02373200178908</v>
      </c>
      <c r="AL870" s="2" t="n">
        <f aca="false">(AD870+AG870+I870/Hypothèses!$J$19)*(1+G870)</f>
        <v>7987.51376222834</v>
      </c>
      <c r="AM870" s="2" t="n">
        <f aca="false">Entrées!$C$54*K870/Hypothèses!$J$19</f>
        <v>22.8575672458291</v>
      </c>
      <c r="AN870" s="2" t="n">
        <f aca="false">Y870*1000/AC870</f>
        <v>64.5459855000666</v>
      </c>
      <c r="AO870" s="2" t="n">
        <f aca="false">(Entrées!$C$36*(1-S870)+MAX(0,Entrées!$C$30-Entrées!$C$35-Entrées!$C$36)*U870)*1000</f>
        <v>797.462144144459</v>
      </c>
      <c r="AP870" s="2" t="n">
        <f aca="false">-AO870/W870</f>
        <v>-77.574120133631</v>
      </c>
      <c r="AQ870" s="2" t="n">
        <f aca="false">AL870+AM870+AN870+AP870</f>
        <v>7997.3431948406</v>
      </c>
      <c r="AR870" s="2" t="n">
        <f aca="false">O870*AQ870-Hypothèses!$J$25/Hypothèses!$J$19</f>
        <v>1301.23910207449</v>
      </c>
      <c r="AS870" s="2" t="n">
        <f aca="false">Entrées!$C$79*(1+Q870)+Hypothèses!$J$20</f>
        <v>1480.50360647431</v>
      </c>
      <c r="AT870" s="2" t="n">
        <f aca="false">AI870-AR870+AS870+Y870*1000-AO870+Hypothèses!$J$23</f>
        <v>22971.1968300194</v>
      </c>
      <c r="AU870" s="2" t="n">
        <f aca="false">AT870/AQ870</f>
        <v>2.87235351420695</v>
      </c>
      <c r="AV870" s="2" t="n">
        <f aca="false">Hypothèses!$J$26*AQ870-AT870</f>
        <v>1020.83275450239</v>
      </c>
      <c r="AW870" s="2" t="n">
        <f aca="false">IF(AC870&gt;Hypothèses!$J$26,MAX(0,AV870)/(1-Hypothèses!$J$26/AC870),0)</f>
        <v>1506.08126315771</v>
      </c>
      <c r="AX870" s="2" t="n">
        <f aca="false">AQ870-Entrées!$C$17*1000</f>
        <v>-2.65680515939675</v>
      </c>
      <c r="AY870" s="2" t="n">
        <f aca="false">AI870+(Entrées!$C$244-Entrées!$C$13)</f>
        <v>28735.3941721449</v>
      </c>
      <c r="AZ870" s="2" t="n">
        <f aca="false">AA870*AH870</f>
        <v>5453.27880240426</v>
      </c>
      <c r="BA870" s="2" t="n">
        <f aca="false">AZ870/AY870</f>
        <v>0.189775674199398</v>
      </c>
      <c r="BB870" s="2" t="n">
        <f aca="false">AZ870/(Entrées!$C$151/100)-AY870</f>
        <v>1560.59917454544</v>
      </c>
      <c r="BC870" s="2" t="n">
        <f aca="false">AT870+(Entrées!$C$244-Entrées!$C$13)</f>
        <v>28718.1968300194</v>
      </c>
      <c r="BD870" s="2" t="n">
        <f aca="false">AA870*AQ870</f>
        <v>5788.3071069653</v>
      </c>
      <c r="BE870" s="2" t="n">
        <f aca="false">BD870/BC870</f>
        <v>0.201555381113438</v>
      </c>
      <c r="BF870" s="2" t="n">
        <f aca="false">BD870/(Entrées!$C$151/100)-BC870</f>
        <v>3439.06487534337</v>
      </c>
      <c r="BG870" s="2" t="n">
        <f aca="false">MIN(AV870,BF870)</f>
        <v>1020.83275450239</v>
      </c>
      <c r="BH870" s="2" t="n">
        <f aca="false">IF(AC870&gt;Hypothèses!$J$26,MAX(0,BG870)/(1-Hypothèses!$J$26/AC870),0)</f>
        <v>1506.08126315771</v>
      </c>
    </row>
    <row r="871" customFormat="false" ht="15" hidden="false" customHeight="false" outlineLevel="0" collapsed="false">
      <c r="A871" s="2" t="n">
        <v>856</v>
      </c>
      <c r="B871" s="2" t="n">
        <v>0.095010286</v>
      </c>
      <c r="C871" s="2"/>
      <c r="D871" s="2" t="n">
        <v>0.827022361</v>
      </c>
      <c r="E871" s="2" t="n">
        <f aca="false">IF(E$7=E$5,E$6,IF(NORMSDIST(E$9*SQRT($C$11)*NORMSINV($B871)+SQRT(1-E$9^2*$C$11)*NORMSINV(D871))&lt;E$8,E$5+SQRT(NORMSDIST(E$9*SQRT($C$11)*NORMSINV($B871)+SQRT(1-E$9^2*$C$11)*NORMSINV(D871))*(E$7-E$5)*(E$6-E$5)),E$7-SQRT((1-NORMSDIST(E$9*SQRT($C$11)*NORMSINV($B871)+SQRT(1-E$9^2*$C$11)*NORMSINV(D871)))*(E$7-E$5)*(E$7-E$6))))</f>
        <v>0.0547991794834334</v>
      </c>
      <c r="F871" s="2" t="n">
        <v>0.083417823</v>
      </c>
      <c r="G871" s="2" t="n">
        <f aca="false">IF(G$7=G$5,G$6,IF(NORMSDIST(G$9*SQRT($C$11)*NORMSINV($B871)+SQRT(1-G$9^2*$C$11)*NORMSINV(F871))&lt;G$8,G$5+SQRT(NORMSDIST(G$9*SQRT($C$11)*NORMSINV($B871)+SQRT(1-G$9^2*$C$11)*NORMSINV(F871))*(G$7-G$5)*(G$6-G$5)),G$7-SQRT((1-NORMSDIST(G$9*SQRT($C$11)*NORMSINV($B871)+SQRT(1-G$9^2*$C$11)*NORMSINV(F871)))*(G$7-G$5)*(G$7-G$6))))</f>
        <v>0.0435960937229905</v>
      </c>
      <c r="H871" s="2" t="n">
        <v>0.966911992</v>
      </c>
      <c r="I871" s="2" t="n">
        <f aca="false">IF(I$7=I$5,I$6,IF(NORMSDIST(I$9*SQRT($C$11)*NORMSINV($B871)+SQRT(1-I$9^2*$C$11)*NORMSINV(H871))&lt;I$8,I$5+SQRT(NORMSDIST(I$9*SQRT($C$11)*NORMSINV($B871)+SQRT(1-I$9^2*$C$11)*NORMSINV(H871))*(I$7-I$5)*(I$6-I$5)),I$7-SQRT((1-NORMSDIST(I$9*SQRT($C$11)*NORMSINV($B871)+SQRT(1-I$9^2*$C$11)*NORMSINV(H871)))*(I$7-I$5)*(I$7-I$6))))</f>
        <v>205.136174064807</v>
      </c>
      <c r="J871" s="2" t="n">
        <v>0.14419424</v>
      </c>
      <c r="K871" s="2" t="n">
        <f aca="false">IF(K$7=K$5,K$6,IF(NORMSDIST(K$9*SQRT($C$11)*NORMSINV($B871)+SQRT(1-K$9^2*$C$11)*NORMSINV(J871))&lt;K$8,K$5+SQRT(NORMSDIST(K$9*SQRT($C$11)*NORMSINV($B871)+SQRT(1-K$9^2*$C$11)*NORMSINV(J871))*(K$7-K$5)*(K$6-K$5)),K$7-SQRT((1-NORMSDIST(K$9*SQRT($C$11)*NORMSINV($B871)+SQRT(1-K$9^2*$C$11)*NORMSINV(J871)))*(K$7-K$5)*(K$7-K$6))))</f>
        <v>0.0785400437306865</v>
      </c>
      <c r="L871" s="2" t="n">
        <v>0.536049121</v>
      </c>
      <c r="M871" s="2" t="n">
        <f aca="false">IF(M$7=M$5,M$6,IF(NORMSDIST(M$9*SQRT($C$11)*NORMSINV($B871)+SQRT(1-M$9^2*$C$11)*NORMSINV(L871))&lt;M$8,M$5+SQRT(NORMSDIST(M$9*SQRT($C$11)*NORMSINV($B871)+SQRT(1-M$9^2*$C$11)*NORMSINV(L871))*(M$7-M$5)*(M$6-M$5)),M$7-SQRT((1-NORMSDIST(M$9*SQRT($C$11)*NORMSINV($B871)+SQRT(1-M$9^2*$C$11)*NORMSINV(L871)))*(M$7-M$5)*(M$7-M$6))))</f>
        <v>1492.05142709261</v>
      </c>
      <c r="N871" s="2" t="n">
        <v>0.504687909</v>
      </c>
      <c r="O871" s="2" t="n">
        <f aca="false">IF(O$7=O$5,O$6,IF(NORMSDIST(O$9*SQRT($C$11)*NORMSINV($B871)+SQRT(1-O$9^2*$C$11)*NORMSINV(N871))&lt;O$8,O$5+SQRT(NORMSDIST(O$9*SQRT($C$11)*NORMSINV($B871)+SQRT(1-O$9^2*$C$11)*NORMSINV(N871))*(O$7-O$5)*(O$6-O$5)),O$7-SQRT((1-NORMSDIST(O$9*SQRT($C$11)*NORMSINV($B871)+SQRT(1-O$9^2*$C$11)*NORMSINV(N871)))*(O$7-O$5)*(O$7-O$6))))</f>
        <v>0.157199798198575</v>
      </c>
      <c r="P871" s="2" t="n">
        <v>0.152409473</v>
      </c>
      <c r="Q871" s="2" t="n">
        <f aca="false">IF(Q$7=Q$5,Q$6,IF(NORMSDIST(Q$9*SQRT($C$11)*NORMSINV($B871)+SQRT(1-Q$9^2*$C$11)*NORMSINV(P871))&lt;Q$8,Q$5+SQRT(NORMSDIST(Q$9*SQRT($C$11)*NORMSINV($B871)+SQRT(1-Q$9^2*$C$11)*NORMSINV(P871))*(Q$7-Q$5)*(Q$6-Q$5)),Q$7-SQRT((1-NORMSDIST(Q$9*SQRT($C$11)*NORMSINV($B871)+SQRT(1-Q$9^2*$C$11)*NORMSINV(P871)))*(Q$7-Q$5)*(Q$7-Q$6))))</f>
        <v>0.062084164317447</v>
      </c>
      <c r="R871" s="2" t="n">
        <v>0.833626562</v>
      </c>
      <c r="S871" s="2" t="n">
        <f aca="false">IF(S$7=S$5,S$6,IF(NORMSDIST(S$9*SQRT($C$11)*NORMSINV($B871)+SQRT(1-S$9^2*$C$11)*NORMSINV(R871))&lt;S$8,S$5+SQRT(NORMSDIST(S$9*SQRT($C$11)*NORMSINV($B871)+SQRT(1-S$9^2*$C$11)*NORMSINV(R871))*(S$7-S$5)*(S$6-S$5)),S$7-SQRT((1-NORMSDIST(S$9*SQRT($C$11)*NORMSINV($B871)+SQRT(1-S$9^2*$C$11)*NORMSINV(R871)))*(S$7-S$5)*(S$7-S$6))))</f>
        <v>0.484089852812865</v>
      </c>
      <c r="T871" s="2" t="n">
        <v>0.586663318</v>
      </c>
      <c r="U871" s="2" t="n">
        <f aca="false">IF(U$7=U$5,U$6,IF(NORMSDIST(U$9*SQRT($C$11)*NORMSINV($B871)+SQRT(1-U$9^2*$C$11)*NORMSINV(T871))&lt;U$8,U$5+SQRT(NORMSDIST(U$9*SQRT($C$11)*NORMSINV($B871)+SQRT(1-U$9^2*$C$11)*NORMSINV(T871))*(U$7-U$5)*(U$6-U$5)),U$7-SQRT((1-NORMSDIST(U$9*SQRT($C$11)*NORMSINV($B871)+SQRT(1-U$9^2*$C$11)*NORMSINV(T871)))*(U$7-U$5)*(U$7-U$6))))</f>
        <v>0.356982989750832</v>
      </c>
      <c r="V871" s="2" t="n">
        <v>0.227528056</v>
      </c>
      <c r="W871" s="2" t="n">
        <f aca="false">IF(W$7=W$5,W$6,IF(NORMSDIST(W$9*SQRT($C$11)*NORMSINV($B871)+SQRT(1-W$9^2*$C$11)*NORMSINV(V871))&lt;W$8,W$5+SQRT(NORMSDIST(W$9*SQRT($C$11)*NORMSINV($B871)+SQRT(1-W$9^2*$C$11)*NORMSINV(V871))*(W$7-W$5)*(W$6-W$5)),W$7-SQRT((1-NORMSDIST(W$9*SQRT($C$11)*NORMSINV($B871)+SQRT(1-W$9^2*$C$11)*NORMSINV(V871)))*(W$7-W$5)*(W$7-W$6))))</f>
        <v>8.79821239761813</v>
      </c>
      <c r="X871" s="2" t="n">
        <v>0.993683808</v>
      </c>
      <c r="Y871" s="2" t="n">
        <f aca="false">IF(Y$7=Y$5,Y$6,IF(NORMSDIST(Y$9*SQRT($C$11)*NORMSINV($B871)+SQRT(1-Y$9^2*$C$11)*NORMSINV(X871))&lt;Y$8,Y$5+SQRT(NORMSDIST(Y$9*SQRT($C$11)*NORMSINV($B871)+SQRT(1-Y$9^2*$C$11)*NORMSINV(X871))*(Y$7-Y$5)*(Y$6-Y$5)),Y$7-SQRT((1-NORMSDIST(Y$9*SQRT($C$11)*NORMSINV($B871)+SQRT(1-Y$9^2*$C$11)*NORMSINV(X871)))*(Y$7-Y$5)*(Y$7-Y$6))))</f>
        <v>0.943803060581558</v>
      </c>
      <c r="Z871" s="2" t="n">
        <v>0.334023517</v>
      </c>
      <c r="AA871" s="2" t="n">
        <f aca="false">IF(AA$7=AA$5,AA$6,IF(NORMSDIST(AA$9*SQRT($C$11)*NORMSINV($B871)+SQRT(1-AA$9^2*$C$11)*NORMSINV(Z871))&lt;AA$8,AA$5+SQRT(NORMSDIST(AA$9*SQRT($C$11)*NORMSINV($B871)+SQRT(1-AA$9^2*$C$11)*NORMSINV(Z871))*(AA$7-AA$5)*(AA$6-AA$5)),AA$7-SQRT((1-NORMSDIST(AA$9*SQRT($C$11)*NORMSINV($B871)+SQRT(1-AA$9^2*$C$11)*NORMSINV(Z871)))*(AA$7-AA$5)*(AA$7-AA$6))))</f>
        <v>0.711541788360538</v>
      </c>
      <c r="AB871" s="2" t="n">
        <v>0.460733402</v>
      </c>
      <c r="AC871" s="2" t="n">
        <f aca="false">IF(AC$7=AC$5,AC$6,IF(NORMSDIST(AC$9*SQRT($C$11)*NORMSINV($B871)+SQRT(1-AC$9^2*$C$11)*NORMSINV(AB871))&lt;AC$8,AC$5+SQRT(NORMSDIST(AC$9*SQRT($C$11)*NORMSINV($B871)+SQRT(1-AC$9^2*$C$11)*NORMSINV(AB871))*(AC$7-AC$5)*(AC$6-AC$5)),AC$7-SQRT((1-NORMSDIST(AC$9*SQRT($C$11)*NORMSINV($B871)+SQRT(1-AC$9^2*$C$11)*NORMSINV(AB871)))*(AC$7-AC$5)*(AC$7-AC$6))))</f>
        <v>8.65631683770921</v>
      </c>
      <c r="AD871" s="2" t="n">
        <f aca="false">Entrées!$C$8*(1+E871)</f>
        <v>7436.33421535821</v>
      </c>
      <c r="AE871" s="2" t="n">
        <f aca="false">I871*Hypothèses!$J$24/12/Hypothèses!$J$19</f>
        <v>101.767399389684</v>
      </c>
      <c r="AF871" s="2" t="n">
        <f aca="false">Entrées!$C$36*S871*1000</f>
        <v>242.044926406433</v>
      </c>
      <c r="AG871" s="2" t="n">
        <f aca="false">-AF871/W871</f>
        <v>-27.5106937031845</v>
      </c>
      <c r="AH871" s="2" t="n">
        <f aca="false">AD871+AE871+AG871</f>
        <v>7510.59092104471</v>
      </c>
      <c r="AI871" s="2" t="n">
        <f aca="false">Entrées!$C$16-M871+Hypothèses!$J$22*1000-AF871+Hypothèses!$J$23</f>
        <v>22813.903646501</v>
      </c>
      <c r="AJ871" s="2" t="n">
        <f aca="false">AI871/AH871</f>
        <v>3.03756440556179</v>
      </c>
      <c r="AK871" s="2" t="n">
        <f aca="false">AI871/(AH871+I871*(12-Hypothèses!$J$24)/12/Hypothèses!$J$19)</f>
        <v>3.0084472508533</v>
      </c>
      <c r="AL871" s="2" t="n">
        <f aca="false">(AD871+AG871+I871/Hypothèses!$J$19)*(1+G871)</f>
        <v>7913.88338994749</v>
      </c>
      <c r="AM871" s="2" t="n">
        <f aca="false">Entrées!$C$54*K871/Hypothèses!$J$19</f>
        <v>8.01534123105006</v>
      </c>
      <c r="AN871" s="2" t="n">
        <f aca="false">Y871*1000/AC871</f>
        <v>109.030558640148</v>
      </c>
      <c r="AO871" s="2" t="n">
        <f aca="false">(Entrées!$C$36*(1-S871)+MAX(0,Entrées!$C$30-Entrées!$C$35-Entrées!$C$36)*U871)*1000</f>
        <v>757.731259244732</v>
      </c>
      <c r="AP871" s="2" t="n">
        <f aca="false">-AO871/W871</f>
        <v>-86.1233197154762</v>
      </c>
      <c r="AQ871" s="2" t="n">
        <f aca="false">AL871+AM871+AN871+AP871</f>
        <v>7944.80597010321</v>
      </c>
      <c r="AR871" s="2" t="n">
        <f aca="false">O871*AQ871-Hypothèses!$J$25/Hypothèses!$J$19</f>
        <v>1229.78673296543</v>
      </c>
      <c r="AS871" s="2" t="n">
        <f aca="false">Entrées!$C$79*(1+Q871)+Hypothèses!$J$20</f>
        <v>1462.23049658487</v>
      </c>
      <c r="AT871" s="2" t="n">
        <f aca="false">AI871-AR871+AS871+Y871*1000-AO871+Hypothèses!$J$23</f>
        <v>23232.4192114572</v>
      </c>
      <c r="AU871" s="2" t="n">
        <f aca="false">AT871/AQ871</f>
        <v>2.9242273881681</v>
      </c>
      <c r="AV871" s="2" t="n">
        <f aca="false">Hypothèses!$J$26*AQ871-AT871</f>
        <v>601.998698852396</v>
      </c>
      <c r="AW871" s="2" t="n">
        <f aca="false">IF(AC871&gt;Hypothèses!$J$26,MAX(0,AV871)/(1-Hypothèses!$J$26/AC871),0)</f>
        <v>921.287053514051</v>
      </c>
      <c r="AX871" s="2" t="n">
        <f aca="false">AQ871-Entrées!$C$17*1000</f>
        <v>-55.1940298967929</v>
      </c>
      <c r="AY871" s="2" t="n">
        <f aca="false">AI871+(Entrées!$C$244-Entrées!$C$13)</f>
        <v>28560.903646501</v>
      </c>
      <c r="AZ871" s="2" t="n">
        <f aca="false">AA871*AH871</f>
        <v>5344.09929560457</v>
      </c>
      <c r="BA871" s="2" t="n">
        <f aca="false">AZ871/AY871</f>
        <v>0.187112402385745</v>
      </c>
      <c r="BB871" s="2" t="n">
        <f aca="false">AZ871/(Entrées!$C$151/100)-AY871</f>
        <v>1128.53688463555</v>
      </c>
      <c r="BC871" s="2" t="n">
        <f aca="false">AT871+(Entrées!$C$244-Entrées!$C$13)</f>
        <v>28979.4192114572</v>
      </c>
      <c r="BD871" s="2" t="n">
        <f aca="false">AA871*AQ871</f>
        <v>5653.06144814472</v>
      </c>
      <c r="BE871" s="2" t="n">
        <f aca="false">BD871/BC871</f>
        <v>0.195071592252951</v>
      </c>
      <c r="BF871" s="2" t="n">
        <f aca="false">BD871/(Entrées!$C$151/100)-BC871</f>
        <v>2426.47772268008</v>
      </c>
      <c r="BG871" s="2" t="n">
        <f aca="false">MIN(AV871,BF871)</f>
        <v>601.998698852396</v>
      </c>
      <c r="BH871" s="2" t="n">
        <f aca="false">IF(AC871&gt;Hypothèses!$J$26,MAX(0,BG871)/(1-Hypothèses!$J$26/AC871),0)</f>
        <v>921.287053514051</v>
      </c>
    </row>
    <row r="872" customFormat="false" ht="15" hidden="false" customHeight="false" outlineLevel="0" collapsed="false">
      <c r="A872" s="2" t="n">
        <v>857</v>
      </c>
      <c r="B872" s="2" t="n">
        <v>0.554295032</v>
      </c>
      <c r="C872" s="2"/>
      <c r="D872" s="2" t="n">
        <v>0.751792924</v>
      </c>
      <c r="E872" s="2" t="n">
        <f aca="false">IF(E$7=E$5,E$6,IF(NORMSDIST(E$9*SQRT($C$11)*NORMSINV($B872)+SQRT(1-E$9^2*$C$11)*NORMSINV(D872))&lt;E$8,E$5+SQRT(NORMSDIST(E$9*SQRT($C$11)*NORMSINV($B872)+SQRT(1-E$9^2*$C$11)*NORMSINV(D872))*(E$7-E$5)*(E$6-E$5)),E$7-SQRT((1-NORMSDIST(E$9*SQRT($C$11)*NORMSINV($B872)+SQRT(1-E$9^2*$C$11)*NORMSINV(D872)))*(E$7-E$5)*(E$7-E$6))))</f>
        <v>0.0563265894260607</v>
      </c>
      <c r="F872" s="2" t="n">
        <v>0.121449277</v>
      </c>
      <c r="G872" s="2" t="n">
        <f aca="false">IF(G$7=G$5,G$6,IF(NORMSDIST(G$9*SQRT($C$11)*NORMSINV($B872)+SQRT(1-G$9^2*$C$11)*NORMSINV(F872))&lt;G$8,G$5+SQRT(NORMSDIST(G$9*SQRT($C$11)*NORMSINV($B872)+SQRT(1-G$9^2*$C$11)*NORMSINV(F872))*(G$7-G$5)*(G$6-G$5)),G$7-SQRT((1-NORMSDIST(G$9*SQRT($C$11)*NORMSINV($B872)+SQRT(1-G$9^2*$C$11)*NORMSINV(F872)))*(G$7-G$5)*(G$7-G$6))))</f>
        <v>0.0496425327907874</v>
      </c>
      <c r="H872" s="2" t="n">
        <v>0.202061362</v>
      </c>
      <c r="I872" s="2" t="n">
        <f aca="false">IF(I$7=I$5,I$6,IF(NORMSDIST(I$9*SQRT($C$11)*NORMSINV($B872)+SQRT(1-I$9^2*$C$11)*NORMSINV(H872))&lt;I$8,I$5+SQRT(NORMSDIST(I$9*SQRT($C$11)*NORMSINV($B872)+SQRT(1-I$9^2*$C$11)*NORMSINV(H872))*(I$7-I$5)*(I$6-I$5)),I$7-SQRT((1-NORMSDIST(I$9*SQRT($C$11)*NORMSINV($B872)+SQRT(1-I$9^2*$C$11)*NORMSINV(H872)))*(I$7-I$5)*(I$7-I$6))))</f>
        <v>195.173078003768</v>
      </c>
      <c r="J872" s="2" t="n">
        <v>0.730470657</v>
      </c>
      <c r="K872" s="2" t="n">
        <f aca="false">IF(K$7=K$5,K$6,IF(NORMSDIST(K$9*SQRT($C$11)*NORMSINV($B872)+SQRT(1-K$9^2*$C$11)*NORMSINV(J872))&lt;K$8,K$5+SQRT(NORMSDIST(K$9*SQRT($C$11)*NORMSINV($B872)+SQRT(1-K$9^2*$C$11)*NORMSINV(J872))*(K$7-K$5)*(K$6-K$5)),K$7-SQRT((1-NORMSDIST(K$9*SQRT($C$11)*NORMSINV($B872)+SQRT(1-K$9^2*$C$11)*NORMSINV(J872)))*(K$7-K$5)*(K$7-K$6))))</f>
        <v>0.310588393351597</v>
      </c>
      <c r="L872" s="2" t="n">
        <v>0.299364817</v>
      </c>
      <c r="M872" s="2" t="n">
        <f aca="false">IF(M$7=M$5,M$6,IF(NORMSDIST(M$9*SQRT($C$11)*NORMSINV($B872)+SQRT(1-M$9^2*$C$11)*NORMSINV(L872))&lt;M$8,M$5+SQRT(NORMSDIST(M$9*SQRT($C$11)*NORMSINV($B872)+SQRT(1-M$9^2*$C$11)*NORMSINV(L872))*(M$7-M$5)*(M$6-M$5)),M$7-SQRT((1-NORMSDIST(M$9*SQRT($C$11)*NORMSINV($B872)+SQRT(1-M$9^2*$C$11)*NORMSINV(L872)))*(M$7-M$5)*(M$7-M$6))))</f>
        <v>1547.22473015126</v>
      </c>
      <c r="N872" s="2" t="n">
        <v>0.454567048</v>
      </c>
      <c r="O872" s="2" t="n">
        <f aca="false">IF(O$7=O$5,O$6,IF(NORMSDIST(O$9*SQRT($C$11)*NORMSINV($B872)+SQRT(1-O$9^2*$C$11)*NORMSINV(N872))&lt;O$8,O$5+SQRT(NORMSDIST(O$9*SQRT($C$11)*NORMSINV($B872)+SQRT(1-O$9^2*$C$11)*NORMSINV(N872))*(O$7-O$5)*(O$6-O$5)),O$7-SQRT((1-NORMSDIST(O$9*SQRT($C$11)*NORMSINV($B872)+SQRT(1-O$9^2*$C$11)*NORMSINV(N872)))*(O$7-O$5)*(O$7-O$6))))</f>
        <v>0.166762448214157</v>
      </c>
      <c r="P872" s="2" t="n">
        <v>0.19803665</v>
      </c>
      <c r="Q872" s="2" t="n">
        <f aca="false">IF(Q$7=Q$5,Q$6,IF(NORMSDIST(Q$9*SQRT($C$11)*NORMSINV($B872)+SQRT(1-Q$9^2*$C$11)*NORMSINV(P872))&lt;Q$8,Q$5+SQRT(NORMSDIST(Q$9*SQRT($C$11)*NORMSINV($B872)+SQRT(1-Q$9^2*$C$11)*NORMSINV(P872))*(Q$7-Q$5)*(Q$6-Q$5)),Q$7-SQRT((1-NORMSDIST(Q$9*SQRT($C$11)*NORMSINV($B872)+SQRT(1-Q$9^2*$C$11)*NORMSINV(P872)))*(Q$7-Q$5)*(Q$7-Q$6))))</f>
        <v>0.0651737418752159</v>
      </c>
      <c r="R872" s="2" t="n">
        <v>0.909998838</v>
      </c>
      <c r="S872" s="2" t="n">
        <f aca="false">IF(S$7=S$5,S$6,IF(NORMSDIST(S$9*SQRT($C$11)*NORMSINV($B872)+SQRT(1-S$9^2*$C$11)*NORMSINV(R872))&lt;S$8,S$5+SQRT(NORMSDIST(S$9*SQRT($C$11)*NORMSINV($B872)+SQRT(1-S$9^2*$C$11)*NORMSINV(R872))*(S$7-S$5)*(S$6-S$5)),S$7-SQRT((1-NORMSDIST(S$9*SQRT($C$11)*NORMSINV($B872)+SQRT(1-S$9^2*$C$11)*NORMSINV(R872)))*(S$7-S$5)*(S$7-S$6))))</f>
        <v>0.744735879033283</v>
      </c>
      <c r="T872" s="2" t="n">
        <v>0.667233321</v>
      </c>
      <c r="U872" s="2" t="n">
        <f aca="false">IF(U$7=U$5,U$6,IF(NORMSDIST(U$9*SQRT($C$11)*NORMSINV($B872)+SQRT(1-U$9^2*$C$11)*NORMSINV(T872))&lt;U$8,U$5+SQRT(NORMSDIST(U$9*SQRT($C$11)*NORMSINV($B872)+SQRT(1-U$9^2*$C$11)*NORMSINV(T872))*(U$7-U$5)*(U$6-U$5)),U$7-SQRT((1-NORMSDIST(U$9*SQRT($C$11)*NORMSINV($B872)+SQRT(1-U$9^2*$C$11)*NORMSINV(T872)))*(U$7-U$5)*(U$7-U$6))))</f>
        <v>0.589629455941854</v>
      </c>
      <c r="V872" s="2" t="n">
        <v>0.345375904</v>
      </c>
      <c r="W872" s="2" t="n">
        <f aca="false">IF(W$7=W$5,W$6,IF(NORMSDIST(W$9*SQRT($C$11)*NORMSINV($B872)+SQRT(1-W$9^2*$C$11)*NORMSINV(V872))&lt;W$8,W$5+SQRT(NORMSDIST(W$9*SQRT($C$11)*NORMSINV($B872)+SQRT(1-W$9^2*$C$11)*NORMSINV(V872))*(W$7-W$5)*(W$6-W$5)),W$7-SQRT((1-NORMSDIST(W$9*SQRT($C$11)*NORMSINV($B872)+SQRT(1-W$9^2*$C$11)*NORMSINV(V872)))*(W$7-W$5)*(W$7-W$6))))</f>
        <v>9.81599017882697</v>
      </c>
      <c r="X872" s="2" t="n">
        <v>0.551399411</v>
      </c>
      <c r="Y872" s="2" t="n">
        <f aca="false">IF(Y$7=Y$5,Y$6,IF(NORMSDIST(Y$9*SQRT($C$11)*NORMSINV($B872)+SQRT(1-Y$9^2*$C$11)*NORMSINV(X872))&lt;Y$8,Y$5+SQRT(NORMSDIST(Y$9*SQRT($C$11)*NORMSINV($B872)+SQRT(1-Y$9^2*$C$11)*NORMSINV(X872))*(Y$7-Y$5)*(Y$6-Y$5)),Y$7-SQRT((1-NORMSDIST(Y$9*SQRT($C$11)*NORMSINV($B872)+SQRT(1-Y$9^2*$C$11)*NORMSINV(X872)))*(Y$7-Y$5)*(Y$7-Y$6))))</f>
        <v>0.526396479637239</v>
      </c>
      <c r="Z872" s="2" t="n">
        <v>0.206491624</v>
      </c>
      <c r="AA872" s="2" t="n">
        <f aca="false">IF(AA$7=AA$5,AA$6,IF(NORMSDIST(AA$9*SQRT($C$11)*NORMSINV($B872)+SQRT(1-AA$9^2*$C$11)*NORMSINV(Z872))&lt;AA$8,AA$5+SQRT(NORMSDIST(AA$9*SQRT($C$11)*NORMSINV($B872)+SQRT(1-AA$9^2*$C$11)*NORMSINV(Z872))*(AA$7-AA$5)*(AA$6-AA$5)),AA$7-SQRT((1-NORMSDIST(AA$9*SQRT($C$11)*NORMSINV($B872)+SQRT(1-AA$9^2*$C$11)*NORMSINV(Z872)))*(AA$7-AA$5)*(AA$7-AA$6))))</f>
        <v>0.72032965510717</v>
      </c>
      <c r="AB872" s="2" t="n">
        <v>0.13982424</v>
      </c>
      <c r="AC872" s="2" t="n">
        <f aca="false">IF(AC$7=AC$5,AC$6,IF(NORMSDIST(AC$9*SQRT($C$11)*NORMSINV($B872)+SQRT(1-AC$9^2*$C$11)*NORMSINV(AB872))&lt;AC$8,AC$5+SQRT(NORMSDIST(AC$9*SQRT($C$11)*NORMSINV($B872)+SQRT(1-AC$9^2*$C$11)*NORMSINV(AB872))*(AC$7-AC$5)*(AC$6-AC$5)),AC$7-SQRT((1-NORMSDIST(AC$9*SQRT($C$11)*NORMSINV($B872)+SQRT(1-AC$9^2*$C$11)*NORMSINV(AB872)))*(AC$7-AC$5)*(AC$7-AC$6))))</f>
        <v>8.7983024797905</v>
      </c>
      <c r="AD872" s="2" t="n">
        <f aca="false">Entrées!$C$8*(1+E872)</f>
        <v>7447.10245545373</v>
      </c>
      <c r="AE872" s="2" t="n">
        <f aca="false">I872*Hypothèses!$J$24/12/Hypothèses!$J$19</f>
        <v>96.8247393219318</v>
      </c>
      <c r="AF872" s="2" t="n">
        <f aca="false">Entrées!$C$36*S872*1000</f>
        <v>372.367939516642</v>
      </c>
      <c r="AG872" s="2" t="n">
        <f aca="false">-AF872/W872</f>
        <v>-37.9348321191108</v>
      </c>
      <c r="AH872" s="2" t="n">
        <f aca="false">AD872+AE872+AG872</f>
        <v>7505.99236265655</v>
      </c>
      <c r="AI872" s="2" t="n">
        <f aca="false">Entrées!$C$16-M872+Hypothèses!$J$22*1000-AF872+Hypothèses!$J$23</f>
        <v>22628.4073303321</v>
      </c>
      <c r="AJ872" s="2" t="n">
        <f aca="false">AI872/AH872</f>
        <v>3.01471227747471</v>
      </c>
      <c r="AK872" s="2" t="n">
        <f aca="false">AI872/(AH872+I872*(12-Hypothèses!$J$24)/12/Hypothèses!$J$19)</f>
        <v>2.98718820025172</v>
      </c>
      <c r="AL872" s="2" t="n">
        <f aca="false">(AD872+AG872+I872/Hypothèses!$J$19)*(1+G872)</f>
        <v>7951.20266651761</v>
      </c>
      <c r="AM872" s="2" t="n">
        <f aca="false">Entrées!$C$54*K872/Hypothèses!$J$19</f>
        <v>31.6968496179228</v>
      </c>
      <c r="AN872" s="2" t="n">
        <f aca="false">Y872*1000/AC872</f>
        <v>59.829322854762</v>
      </c>
      <c r="AO872" s="2" t="n">
        <f aca="false">(Entrées!$C$36*(1-S872)+MAX(0,Entrées!$C$30-Entrées!$C$35-Entrées!$C$36)*U872)*1000</f>
        <v>953.113298801954</v>
      </c>
      <c r="AP872" s="2" t="n">
        <f aca="false">-AO872/W872</f>
        <v>-97.0980289749896</v>
      </c>
      <c r="AQ872" s="2" t="n">
        <f aca="false">AL872+AM872+AN872+AP872</f>
        <v>7945.63081001531</v>
      </c>
      <c r="AR872" s="2" t="n">
        <f aca="false">O872*AQ872-Hypothèses!$J$25/Hypothèses!$J$19</f>
        <v>1305.89768422236</v>
      </c>
      <c r="AS872" s="2" t="n">
        <f aca="false">Entrées!$C$79*(1+Q872)+Hypothèses!$J$20</f>
        <v>1465.62594232086</v>
      </c>
      <c r="AT872" s="2" t="n">
        <f aca="false">AI872-AR872+AS872+Y872*1000-AO872+Hypothèses!$J$23</f>
        <v>22361.4187692659</v>
      </c>
      <c r="AU872" s="2" t="n">
        <f aca="false">AT872/AQ872</f>
        <v>2.81430377322336</v>
      </c>
      <c r="AV872" s="2" t="n">
        <f aca="false">Hypothèses!$J$26*AQ872-AT872</f>
        <v>1475.47366078004</v>
      </c>
      <c r="AW872" s="2" t="n">
        <f aca="false">IF(AC872&gt;Hypothèses!$J$26,MAX(0,AV872)/(1-Hypothèses!$J$26/AC872),0)</f>
        <v>2238.87312084064</v>
      </c>
      <c r="AX872" s="2" t="n">
        <f aca="false">AQ872-Entrées!$C$17*1000</f>
        <v>-54.3691899846926</v>
      </c>
      <c r="AY872" s="2" t="n">
        <f aca="false">AI872+(Entrées!$C$244-Entrées!$C$13)</f>
        <v>28375.4073303321</v>
      </c>
      <c r="AZ872" s="2" t="n">
        <f aca="false">AA872*AH872</f>
        <v>5406.78888982945</v>
      </c>
      <c r="BA872" s="2" t="n">
        <f aca="false">AZ872/AY872</f>
        <v>0.19054489075298</v>
      </c>
      <c r="BB872" s="2" t="n">
        <f aca="false">AZ872/(Entrées!$C$151/100)-AY872</f>
        <v>1662.30872427593</v>
      </c>
      <c r="BC872" s="2" t="n">
        <f aca="false">AT872+(Entrées!$C$244-Entrées!$C$13)</f>
        <v>28108.4187692659</v>
      </c>
      <c r="BD872" s="2" t="n">
        <f aca="false">AA872*AQ872</f>
        <v>5723.47350098723</v>
      </c>
      <c r="BE872" s="2" t="n">
        <f aca="false">BD872/BC872</f>
        <v>0.20362132597958</v>
      </c>
      <c r="BF872" s="2" t="n">
        <f aca="false">BD872/(Entrées!$C$151/100)-BC872</f>
        <v>3688.65623621873</v>
      </c>
      <c r="BG872" s="2" t="n">
        <f aca="false">MIN(AV872,BF872)</f>
        <v>1475.47366078004</v>
      </c>
      <c r="BH872" s="2" t="n">
        <f aca="false">IF(AC872&gt;Hypothèses!$J$26,MAX(0,BG872)/(1-Hypothèses!$J$26/AC872),0)</f>
        <v>2238.87312084064</v>
      </c>
    </row>
    <row r="873" customFormat="false" ht="15" hidden="false" customHeight="false" outlineLevel="0" collapsed="false">
      <c r="A873" s="2" t="n">
        <v>858</v>
      </c>
      <c r="B873" s="2" t="n">
        <v>0.007854484</v>
      </c>
      <c r="C873" s="2"/>
      <c r="D873" s="2" t="n">
        <v>0.286124165</v>
      </c>
      <c r="E873" s="2" t="n">
        <f aca="false">IF(E$7=E$5,E$6,IF(NORMSDIST(E$9*SQRT($C$11)*NORMSINV($B873)+SQRT(1-E$9^2*$C$11)*NORMSINV(D873))&lt;E$8,E$5+SQRT(NORMSDIST(E$9*SQRT($C$11)*NORMSINV($B873)+SQRT(1-E$9^2*$C$11)*NORMSINV(D873))*(E$7-E$5)*(E$6-E$5)),E$7-SQRT((1-NORMSDIST(E$9*SQRT($C$11)*NORMSINV($B873)+SQRT(1-E$9^2*$C$11)*NORMSINV(D873)))*(E$7-E$5)*(E$7-E$6))))</f>
        <v>0.0511111885642237</v>
      </c>
      <c r="F873" s="2" t="n">
        <v>0.536499705</v>
      </c>
      <c r="G873" s="2" t="n">
        <f aca="false">IF(G$7=G$5,G$6,IF(NORMSDIST(G$9*SQRT($C$11)*NORMSINV($B873)+SQRT(1-G$9^2*$C$11)*NORMSINV(F873))&lt;G$8,G$5+SQRT(NORMSDIST(G$9*SQRT($C$11)*NORMSINV($B873)+SQRT(1-G$9^2*$C$11)*NORMSINV(F873))*(G$7-G$5)*(G$6-G$5)),G$7-SQRT((1-NORMSDIST(G$9*SQRT($C$11)*NORMSINV($B873)+SQRT(1-G$9^2*$C$11)*NORMSINV(F873)))*(G$7-G$5)*(G$7-G$6))))</f>
        <v>0.0457152268533826</v>
      </c>
      <c r="H873" s="2" t="n">
        <v>0.687613017</v>
      </c>
      <c r="I873" s="2" t="n">
        <f aca="false">IF(I$7=I$5,I$6,IF(NORMSDIST(I$9*SQRT($C$11)*NORMSINV($B873)+SQRT(1-I$9^2*$C$11)*NORMSINV(H873))&lt;I$8,I$5+SQRT(NORMSDIST(I$9*SQRT($C$11)*NORMSINV($B873)+SQRT(1-I$9^2*$C$11)*NORMSINV(H873))*(I$7-I$5)*(I$6-I$5)),I$7-SQRT((1-NORMSDIST(I$9*SQRT($C$11)*NORMSINV($B873)+SQRT(1-I$9^2*$C$11)*NORMSINV(H873)))*(I$7-I$5)*(I$7-I$6))))</f>
        <v>190.011832664478</v>
      </c>
      <c r="J873" s="2" t="n">
        <v>0.419726509</v>
      </c>
      <c r="K873" s="2" t="n">
        <f aca="false">IF(K$7=K$5,K$6,IF(NORMSDIST(K$9*SQRT($C$11)*NORMSINV($B873)+SQRT(1-K$9^2*$C$11)*NORMSINV(J873))&lt;K$8,K$5+SQRT(NORMSDIST(K$9*SQRT($C$11)*NORMSINV($B873)+SQRT(1-K$9^2*$C$11)*NORMSINV(J873))*(K$7-K$5)*(K$6-K$5)),K$7-SQRT((1-NORMSDIST(K$9*SQRT($C$11)*NORMSINV($B873)+SQRT(1-K$9^2*$C$11)*NORMSINV(J873)))*(K$7-K$5)*(K$7-K$6))))</f>
        <v>0.0758484919017451</v>
      </c>
      <c r="L873" s="2" t="n">
        <v>0.367511701</v>
      </c>
      <c r="M873" s="2" t="n">
        <f aca="false">IF(M$7=M$5,M$6,IF(NORMSDIST(M$9*SQRT($C$11)*NORMSINV($B873)+SQRT(1-M$9^2*$C$11)*NORMSINV(L873))&lt;M$8,M$5+SQRT(NORMSDIST(M$9*SQRT($C$11)*NORMSINV($B873)+SQRT(1-M$9^2*$C$11)*NORMSINV(L873))*(M$7-M$5)*(M$6-M$5)),M$7-SQRT((1-NORMSDIST(M$9*SQRT($C$11)*NORMSINV($B873)+SQRT(1-M$9^2*$C$11)*NORMSINV(L873)))*(M$7-M$5)*(M$7-M$6))))</f>
        <v>1379.67572714323</v>
      </c>
      <c r="N873" s="2" t="n">
        <v>0.097675801</v>
      </c>
      <c r="O873" s="2" t="n">
        <f aca="false">IF(O$7=O$5,O$6,IF(NORMSDIST(O$9*SQRT($C$11)*NORMSINV($B873)+SQRT(1-O$9^2*$C$11)*NORMSINV(N873))&lt;O$8,O$5+SQRT(NORMSDIST(O$9*SQRT($C$11)*NORMSINV($B873)+SQRT(1-O$9^2*$C$11)*NORMSINV(N873))*(O$7-O$5)*(O$6-O$5)),O$7-SQRT((1-NORMSDIST(O$9*SQRT($C$11)*NORMSINV($B873)+SQRT(1-O$9^2*$C$11)*NORMSINV(N873)))*(O$7-O$5)*(O$7-O$6))))</f>
        <v>0.1428573387618</v>
      </c>
      <c r="P873" s="2" t="n">
        <v>0.25990339</v>
      </c>
      <c r="Q873" s="2" t="n">
        <f aca="false">IF(Q$7=Q$5,Q$6,IF(NORMSDIST(Q$9*SQRT($C$11)*NORMSINV($B873)+SQRT(1-Q$9^2*$C$11)*NORMSINV(P873))&lt;Q$8,Q$5+SQRT(NORMSDIST(Q$9*SQRT($C$11)*NORMSINV($B873)+SQRT(1-Q$9^2*$C$11)*NORMSINV(P873))*(Q$7-Q$5)*(Q$6-Q$5)),Q$7-SQRT((1-NORMSDIST(Q$9*SQRT($C$11)*NORMSINV($B873)+SQRT(1-Q$9^2*$C$11)*NORMSINV(P873)))*(Q$7-Q$5)*(Q$7-Q$6))))</f>
        <v>0.0688390507472073</v>
      </c>
      <c r="R873" s="2" t="n">
        <v>0.417025009</v>
      </c>
      <c r="S873" s="2" t="n">
        <f aca="false">IF(S$7=S$5,S$6,IF(NORMSDIST(S$9*SQRT($C$11)*NORMSINV($B873)+SQRT(1-S$9^2*$C$11)*NORMSINV(R873))&lt;S$8,S$5+SQRT(NORMSDIST(S$9*SQRT($C$11)*NORMSINV($B873)+SQRT(1-S$9^2*$C$11)*NORMSINV(R873))*(S$7-S$5)*(S$6-S$5)),S$7-SQRT((1-NORMSDIST(S$9*SQRT($C$11)*NORMSINV($B873)+SQRT(1-S$9^2*$C$11)*NORMSINV(R873)))*(S$7-S$5)*(S$7-S$6))))</f>
        <v>0.150846202442001</v>
      </c>
      <c r="T873" s="2" t="n">
        <v>0.870427232</v>
      </c>
      <c r="U873" s="2" t="n">
        <f aca="false">IF(U$7=U$5,U$6,IF(NORMSDIST(U$9*SQRT($C$11)*NORMSINV($B873)+SQRT(1-U$9^2*$C$11)*NORMSINV(T873))&lt;U$8,U$5+SQRT(NORMSDIST(U$9*SQRT($C$11)*NORMSINV($B873)+SQRT(1-U$9^2*$C$11)*NORMSINV(T873))*(U$7-U$5)*(U$6-U$5)),U$7-SQRT((1-NORMSDIST(U$9*SQRT($C$11)*NORMSINV($B873)+SQRT(1-U$9^2*$C$11)*NORMSINV(T873)))*(U$7-U$5)*(U$7-U$6))))</f>
        <v>0.358226657793729</v>
      </c>
      <c r="V873" s="2" t="n">
        <v>0.805432814</v>
      </c>
      <c r="W873" s="2" t="n">
        <f aca="false">IF(W$7=W$5,W$6,IF(NORMSDIST(W$9*SQRT($C$11)*NORMSINV($B873)+SQRT(1-W$9^2*$C$11)*NORMSINV(V873))&lt;W$8,W$5+SQRT(NORMSDIST(W$9*SQRT($C$11)*NORMSINV($B873)+SQRT(1-W$9^2*$C$11)*NORMSINV(V873))*(W$7-W$5)*(W$6-W$5)),W$7-SQRT((1-NORMSDIST(W$9*SQRT($C$11)*NORMSINV($B873)+SQRT(1-W$9^2*$C$11)*NORMSINV(V873)))*(W$7-W$5)*(W$7-W$6))))</f>
        <v>9.2480516635383</v>
      </c>
      <c r="X873" s="2" t="n">
        <v>0.087020827</v>
      </c>
      <c r="Y873" s="2" t="n">
        <f aca="false">IF(Y$7=Y$5,Y$6,IF(NORMSDIST(Y$9*SQRT($C$11)*NORMSINV($B873)+SQRT(1-Y$9^2*$C$11)*NORMSINV(X873))&lt;Y$8,Y$5+SQRT(NORMSDIST(Y$9*SQRT($C$11)*NORMSINV($B873)+SQRT(1-Y$9^2*$C$11)*NORMSINV(X873))*(Y$7-Y$5)*(Y$6-Y$5)),Y$7-SQRT((1-NORMSDIST(Y$9*SQRT($C$11)*NORMSINV($B873)+SQRT(1-Y$9^2*$C$11)*NORMSINV(X873)))*(Y$7-Y$5)*(Y$7-Y$6))))</f>
        <v>0.208591499107706</v>
      </c>
      <c r="Z873" s="2" t="n">
        <v>0.653908426</v>
      </c>
      <c r="AA873" s="2" t="n">
        <f aca="false">IF(AA$7=AA$5,AA$6,IF(NORMSDIST(AA$9*SQRT($C$11)*NORMSINV($B873)+SQRT(1-AA$9^2*$C$11)*NORMSINV(Z873))&lt;AA$8,AA$5+SQRT(NORMSDIST(AA$9*SQRT($C$11)*NORMSINV($B873)+SQRT(1-AA$9^2*$C$11)*NORMSINV(Z873))*(AA$7-AA$5)*(AA$6-AA$5)),AA$7-SQRT((1-NORMSDIST(AA$9*SQRT($C$11)*NORMSINV($B873)+SQRT(1-AA$9^2*$C$11)*NORMSINV(Z873)))*(AA$7-AA$5)*(AA$7-AA$6))))</f>
        <v>0.710743142459692</v>
      </c>
      <c r="AB873" s="2" t="n">
        <v>0.630305086</v>
      </c>
      <c r="AC873" s="2" t="n">
        <f aca="false">IF(AC$7=AC$5,AC$6,IF(NORMSDIST(AC$9*SQRT($C$11)*NORMSINV($B873)+SQRT(1-AC$9^2*$C$11)*NORMSINV(AB873))&lt;AC$8,AC$5+SQRT(NORMSDIST(AC$9*SQRT($C$11)*NORMSINV($B873)+SQRT(1-AC$9^2*$C$11)*NORMSINV(AB873))*(AC$7-AC$5)*(AC$6-AC$5)),AC$7-SQRT((1-NORMSDIST(AC$9*SQRT($C$11)*NORMSINV($B873)+SQRT(1-AC$9^2*$C$11)*NORMSINV(AB873)))*(AC$7-AC$5)*(AC$7-AC$6))))</f>
        <v>8.33888930412539</v>
      </c>
      <c r="AD873" s="2" t="n">
        <f aca="false">Entrées!$C$8*(1+E873)</f>
        <v>7410.33387937778</v>
      </c>
      <c r="AE873" s="2" t="n">
        <f aca="false">I873*Hypothèses!$J$24/12/Hypothèses!$J$19</f>
        <v>94.2642620283185</v>
      </c>
      <c r="AF873" s="2" t="n">
        <f aca="false">Entrées!$C$36*S873*1000</f>
        <v>75.4231012210007</v>
      </c>
      <c r="AG873" s="2" t="n">
        <f aca="false">-AF873/W873</f>
        <v>-8.15556659554211</v>
      </c>
      <c r="AH873" s="2" t="n">
        <f aca="false">AD873+AE873+AG873</f>
        <v>7496.44257481055</v>
      </c>
      <c r="AI873" s="2" t="n">
        <f aca="false">Entrées!$C$16-M873+Hypothèses!$J$22*1000-AF873+Hypothèses!$J$23</f>
        <v>23092.9011716358</v>
      </c>
      <c r="AJ873" s="2" t="n">
        <f aca="false">AI873/AH873</f>
        <v>3.08051464960623</v>
      </c>
      <c r="AK873" s="2" t="n">
        <f aca="false">AI873/(AH873+I873*(12-Hypothèses!$J$24)/12/Hypothèses!$J$19)</f>
        <v>3.05309235705404</v>
      </c>
      <c r="AL873" s="2" t="n">
        <f aca="false">(AD873+AG873+I873/Hypothèses!$J$19)*(1+G873)</f>
        <v>7909.5538435336</v>
      </c>
      <c r="AM873" s="2" t="n">
        <f aca="false">Entrées!$C$54*K873/Hypothèses!$J$19</f>
        <v>7.74065706581075</v>
      </c>
      <c r="AN873" s="2" t="n">
        <f aca="false">Y873*1000/AC873</f>
        <v>25.0143024448726</v>
      </c>
      <c r="AO873" s="2" t="n">
        <f aca="false">(Entrées!$C$36*(1-S873)+MAX(0,Entrées!$C$30-Entrées!$C$35-Entrées!$C$36)*U873)*1000</f>
        <v>926.09421969022</v>
      </c>
      <c r="AP873" s="2" t="n">
        <f aca="false">-AO873/W873</f>
        <v>-100.139386476556</v>
      </c>
      <c r="AQ873" s="2" t="n">
        <f aca="false">AL873+AM873+AN873+AP873</f>
        <v>7842.16941656772</v>
      </c>
      <c r="AR873" s="2" t="n">
        <f aca="false">O873*AQ873-Hypothèses!$J$25/Hypothèses!$J$19</f>
        <v>1101.17629070842</v>
      </c>
      <c r="AS873" s="2" t="n">
        <f aca="false">Entrées!$C$79*(1+Q873)+Hypothèses!$J$20</f>
        <v>1469.65411677118</v>
      </c>
      <c r="AT873" s="2" t="n">
        <f aca="false">AI873-AR873+AS873+Y873*1000-AO873+Hypothèses!$J$23</f>
        <v>22743.876277116</v>
      </c>
      <c r="AU873" s="2" t="n">
        <f aca="false">AT873/AQ873</f>
        <v>2.90020210849644</v>
      </c>
      <c r="AV873" s="2" t="n">
        <f aca="false">Hypothèses!$J$26*AQ873-AT873</f>
        <v>782.631972587151</v>
      </c>
      <c r="AW873" s="2" t="n">
        <f aca="false">IF(AC873&gt;Hypothèses!$J$26,MAX(0,AV873)/(1-Hypothèses!$J$26/AC873),0)</f>
        <v>1222.40432672591</v>
      </c>
      <c r="AX873" s="2" t="n">
        <f aca="false">AQ873-Entrées!$C$17*1000</f>
        <v>-157.830583432276</v>
      </c>
      <c r="AY873" s="2" t="n">
        <f aca="false">AI873+(Entrées!$C$244-Entrées!$C$13)</f>
        <v>28839.9011716358</v>
      </c>
      <c r="AZ873" s="2" t="n">
        <f aca="false">AA873*AH873</f>
        <v>5328.04515288948</v>
      </c>
      <c r="BA873" s="2" t="n">
        <f aca="false">AZ873/AY873</f>
        <v>0.184745610644798</v>
      </c>
      <c r="BB873" s="2" t="n">
        <f aca="false">AZ873/(Entrées!$C$151/100)-AY873</f>
        <v>760.349677750204</v>
      </c>
      <c r="BC873" s="2" t="n">
        <f aca="false">AT873+(Entrées!$C$244-Entrées!$C$13)</f>
        <v>28490.876277116</v>
      </c>
      <c r="BD873" s="2" t="n">
        <f aca="false">AA873*AQ873</f>
        <v>5573.76813483263</v>
      </c>
      <c r="BE873" s="2" t="n">
        <f aca="false">BD873/BC873</f>
        <v>0.195633440004424</v>
      </c>
      <c r="BF873" s="2" t="n">
        <f aca="false">BD873/(Entrées!$C$151/100)-BC873</f>
        <v>2474.50224973193</v>
      </c>
      <c r="BG873" s="2" t="n">
        <f aca="false">MIN(AV873,BF873)</f>
        <v>782.631972587151</v>
      </c>
      <c r="BH873" s="2" t="n">
        <f aca="false">IF(AC873&gt;Hypothèses!$J$26,MAX(0,BG873)/(1-Hypothèses!$J$26/AC873),0)</f>
        <v>1222.40432672591</v>
      </c>
    </row>
    <row r="874" customFormat="false" ht="15" hidden="false" customHeight="false" outlineLevel="0" collapsed="false">
      <c r="A874" s="2" t="n">
        <v>859</v>
      </c>
      <c r="B874" s="2" t="n">
        <v>0.701801122</v>
      </c>
      <c r="C874" s="2"/>
      <c r="D874" s="2" t="n">
        <v>0.734250889</v>
      </c>
      <c r="E874" s="2" t="n">
        <f aca="false">IF(E$7=E$5,E$6,IF(NORMSDIST(E$9*SQRT($C$11)*NORMSINV($B874)+SQRT(1-E$9^2*$C$11)*NORMSINV(D874))&lt;E$8,E$5+SQRT(NORMSDIST(E$9*SQRT($C$11)*NORMSINV($B874)+SQRT(1-E$9^2*$C$11)*NORMSINV(D874))*(E$7-E$5)*(E$6-E$5)),E$7-SQRT((1-NORMSDIST(E$9*SQRT($C$11)*NORMSINV($B874)+SQRT(1-E$9^2*$C$11)*NORMSINV(D874)))*(E$7-E$5)*(E$7-E$6))))</f>
        <v>0.0567889576084761</v>
      </c>
      <c r="F874" s="2" t="n">
        <v>0.501028515</v>
      </c>
      <c r="G874" s="2" t="n">
        <f aca="false">IF(G$7=G$5,G$6,IF(NORMSDIST(G$9*SQRT($C$11)*NORMSINV($B874)+SQRT(1-G$9^2*$C$11)*NORMSINV(F874))&lt;G$8,G$5+SQRT(NORMSDIST(G$9*SQRT($C$11)*NORMSINV($B874)+SQRT(1-G$9^2*$C$11)*NORMSINV(F874))*(G$7-G$5)*(G$6-G$5)),G$7-SQRT((1-NORMSDIST(G$9*SQRT($C$11)*NORMSINV($B874)+SQRT(1-G$9^2*$C$11)*NORMSINV(F874)))*(G$7-G$5)*(G$7-G$6))))</f>
        <v>0.0571300013556097</v>
      </c>
      <c r="H874" s="2" t="n">
        <v>0.188972447</v>
      </c>
      <c r="I874" s="2" t="n">
        <f aca="false">IF(I$7=I$5,I$6,IF(NORMSDIST(I$9*SQRT($C$11)*NORMSINV($B874)+SQRT(1-I$9^2*$C$11)*NORMSINV(H874))&lt;I$8,I$5+SQRT(NORMSDIST(I$9*SQRT($C$11)*NORMSINV($B874)+SQRT(1-I$9^2*$C$11)*NORMSINV(H874))*(I$7-I$5)*(I$6-I$5)),I$7-SQRT((1-NORMSDIST(I$9*SQRT($C$11)*NORMSINV($B874)+SQRT(1-I$9^2*$C$11)*NORMSINV(H874)))*(I$7-I$5)*(I$7-I$6))))</f>
        <v>197.062597368684</v>
      </c>
      <c r="J874" s="2" t="n">
        <v>0.959709064</v>
      </c>
      <c r="K874" s="2" t="n">
        <f aca="false">IF(K$7=K$5,K$6,IF(NORMSDIST(K$9*SQRT($C$11)*NORMSINV($B874)+SQRT(1-K$9^2*$C$11)*NORMSINV(J874))&lt;K$8,K$5+SQRT(NORMSDIST(K$9*SQRT($C$11)*NORMSINV($B874)+SQRT(1-K$9^2*$C$11)*NORMSINV(J874))*(K$7-K$5)*(K$6-K$5)),K$7-SQRT((1-NORMSDIST(K$9*SQRT($C$11)*NORMSINV($B874)+SQRT(1-K$9^2*$C$11)*NORMSINV(J874)))*(K$7-K$5)*(K$7-K$6))))</f>
        <v>0.424446720196136</v>
      </c>
      <c r="L874" s="2" t="n">
        <v>0.399581808</v>
      </c>
      <c r="M874" s="2" t="n">
        <f aca="false">IF(M$7=M$5,M$6,IF(NORMSDIST(M$9*SQRT($C$11)*NORMSINV($B874)+SQRT(1-M$9^2*$C$11)*NORMSINV(L874))&lt;M$8,M$5+SQRT(NORMSDIST(M$9*SQRT($C$11)*NORMSINV($B874)+SQRT(1-M$9^2*$C$11)*NORMSINV(L874))*(M$7-M$5)*(M$6-M$5)),M$7-SQRT((1-NORMSDIST(M$9*SQRT($C$11)*NORMSINV($B874)+SQRT(1-M$9^2*$C$11)*NORMSINV(L874)))*(M$7-M$5)*(M$7-M$6))))</f>
        <v>1600.4176288618</v>
      </c>
      <c r="N874" s="2" t="n">
        <v>0.459376278</v>
      </c>
      <c r="O874" s="2" t="n">
        <f aca="false">IF(O$7=O$5,O$6,IF(NORMSDIST(O$9*SQRT($C$11)*NORMSINV($B874)+SQRT(1-O$9^2*$C$11)*NORMSINV(N874))&lt;O$8,O$5+SQRT(NORMSDIST(O$9*SQRT($C$11)*NORMSINV($B874)+SQRT(1-O$9^2*$C$11)*NORMSINV(N874))*(O$7-O$5)*(O$6-O$5)),O$7-SQRT((1-NORMSDIST(O$9*SQRT($C$11)*NORMSINV($B874)+SQRT(1-O$9^2*$C$11)*NORMSINV(N874)))*(O$7-O$5)*(O$7-O$6))))</f>
        <v>0.169384204698012</v>
      </c>
      <c r="P874" s="2" t="n">
        <v>0.126337722</v>
      </c>
      <c r="Q874" s="2" t="n">
        <f aca="false">IF(Q$7=Q$5,Q$6,IF(NORMSDIST(Q$9*SQRT($C$11)*NORMSINV($B874)+SQRT(1-Q$9^2*$C$11)*NORMSINV(P874))&lt;Q$8,Q$5+SQRT(NORMSDIST(Q$9*SQRT($C$11)*NORMSINV($B874)+SQRT(1-Q$9^2*$C$11)*NORMSINV(P874))*(Q$7-Q$5)*(Q$6-Q$5)),Q$7-SQRT((1-NORMSDIST(Q$9*SQRT($C$11)*NORMSINV($B874)+SQRT(1-Q$9^2*$C$11)*NORMSINV(P874)))*(Q$7-Q$5)*(Q$7-Q$6))))</f>
        <v>0.0601067329618713</v>
      </c>
      <c r="R874" s="2" t="n">
        <v>0.645779857</v>
      </c>
      <c r="S874" s="2" t="n">
        <f aca="false">IF(S$7=S$5,S$6,IF(NORMSDIST(S$9*SQRT($C$11)*NORMSINV($B874)+SQRT(1-S$9^2*$C$11)*NORMSINV(R874))&lt;S$8,S$5+SQRT(NORMSDIST(S$9*SQRT($C$11)*NORMSINV($B874)+SQRT(1-S$9^2*$C$11)*NORMSINV(R874))*(S$7-S$5)*(S$6-S$5)),S$7-SQRT((1-NORMSDIST(S$9*SQRT($C$11)*NORMSINV($B874)+SQRT(1-S$9^2*$C$11)*NORMSINV(R874)))*(S$7-S$5)*(S$7-S$6))))</f>
        <v>0.635228832241028</v>
      </c>
      <c r="T874" s="2" t="n">
        <v>0.494035474</v>
      </c>
      <c r="U874" s="2" t="n">
        <f aca="false">IF(U$7=U$5,U$6,IF(NORMSDIST(U$9*SQRT($C$11)*NORMSINV($B874)+SQRT(1-U$9^2*$C$11)*NORMSINV(T874))&lt;U$8,U$5+SQRT(NORMSDIST(U$9*SQRT($C$11)*NORMSINV($B874)+SQRT(1-U$9^2*$C$11)*NORMSINV(T874))*(U$7-U$5)*(U$6-U$5)),U$7-SQRT((1-NORMSDIST(U$9*SQRT($C$11)*NORMSINV($B874)+SQRT(1-U$9^2*$C$11)*NORMSINV(T874)))*(U$7-U$5)*(U$7-U$6))))</f>
        <v>0.568021107023725</v>
      </c>
      <c r="V874" s="2" t="n">
        <v>0.121021298</v>
      </c>
      <c r="W874" s="2" t="n">
        <f aca="false">IF(W$7=W$5,W$6,IF(NORMSDIST(W$9*SQRT($C$11)*NORMSINV($B874)+SQRT(1-W$9^2*$C$11)*NORMSINV(V874))&lt;W$8,W$5+SQRT(NORMSDIST(W$9*SQRT($C$11)*NORMSINV($B874)+SQRT(1-W$9^2*$C$11)*NORMSINV(V874))*(W$7-W$5)*(W$6-W$5)),W$7-SQRT((1-NORMSDIST(W$9*SQRT($C$11)*NORMSINV($B874)+SQRT(1-W$9^2*$C$11)*NORMSINV(V874)))*(W$7-W$5)*(W$7-W$6))))</f>
        <v>9.50708364106529</v>
      </c>
      <c r="X874" s="2" t="n">
        <v>0.128067061</v>
      </c>
      <c r="Y874" s="2" t="n">
        <f aca="false">IF(Y$7=Y$5,Y$6,IF(NORMSDIST(Y$9*SQRT($C$11)*NORMSINV($B874)+SQRT(1-Y$9^2*$C$11)*NORMSINV(X874))&lt;Y$8,Y$5+SQRT(NORMSDIST(Y$9*SQRT($C$11)*NORMSINV($B874)+SQRT(1-Y$9^2*$C$11)*NORMSINV(X874))*(Y$7-Y$5)*(Y$6-Y$5)),Y$7-SQRT((1-NORMSDIST(Y$9*SQRT($C$11)*NORMSINV($B874)+SQRT(1-Y$9^2*$C$11)*NORMSINV(X874)))*(Y$7-Y$5)*(Y$7-Y$6))))</f>
        <v>0.253048474605163</v>
      </c>
      <c r="Z874" s="2" t="n">
        <v>0.191198206</v>
      </c>
      <c r="AA874" s="2" t="n">
        <f aca="false">IF(AA$7=AA$5,AA$6,IF(NORMSDIST(AA$9*SQRT($C$11)*NORMSINV($B874)+SQRT(1-AA$9^2*$C$11)*NORMSINV(Z874))&lt;AA$8,AA$5+SQRT(NORMSDIST(AA$9*SQRT($C$11)*NORMSINV($B874)+SQRT(1-AA$9^2*$C$11)*NORMSINV(Z874))*(AA$7-AA$5)*(AA$6-AA$5)),AA$7-SQRT((1-NORMSDIST(AA$9*SQRT($C$11)*NORMSINV($B874)+SQRT(1-AA$9^2*$C$11)*NORMSINV(Z874)))*(AA$7-AA$5)*(AA$7-AA$6))))</f>
        <v>0.723335448994367</v>
      </c>
      <c r="AB874" s="2" t="n">
        <v>0.384608222</v>
      </c>
      <c r="AC874" s="2" t="n">
        <f aca="false">IF(AC$7=AC$5,AC$6,IF(NORMSDIST(AC$9*SQRT($C$11)*NORMSINV($B874)+SQRT(1-AC$9^2*$C$11)*NORMSINV(AB874))&lt;AC$8,AC$5+SQRT(NORMSDIST(AC$9*SQRT($C$11)*NORMSINV($B874)+SQRT(1-AC$9^2*$C$11)*NORMSINV(AB874))*(AC$7-AC$5)*(AC$6-AC$5)),AC$7-SQRT((1-NORMSDIST(AC$9*SQRT($C$11)*NORMSINV($B874)+SQRT(1-AC$9^2*$C$11)*NORMSINV(AB874)))*(AC$7-AC$5)*(AC$7-AC$6))))</f>
        <v>9.56573815403026</v>
      </c>
      <c r="AD874" s="2" t="n">
        <f aca="false">Entrées!$C$8*(1+E874)</f>
        <v>7450.36215113976</v>
      </c>
      <c r="AE874" s="2" t="n">
        <f aca="false">I874*Hypothèses!$J$24/12/Hypothèses!$J$19</f>
        <v>97.7621238312247</v>
      </c>
      <c r="AF874" s="2" t="n">
        <f aca="false">Entrées!$C$36*S874*1000</f>
        <v>317.614416120514</v>
      </c>
      <c r="AG874" s="2" t="n">
        <f aca="false">-AF874/W874</f>
        <v>-33.4081857393783</v>
      </c>
      <c r="AH874" s="2" t="n">
        <f aca="false">AD874+AE874+AG874</f>
        <v>7514.7160892316</v>
      </c>
      <c r="AI874" s="2" t="n">
        <f aca="false">Entrées!$C$16-M874+Hypothèses!$J$22*1000-AF874+Hypothèses!$J$23</f>
        <v>22629.9679550177</v>
      </c>
      <c r="AJ874" s="2" t="n">
        <f aca="false">AI874/AH874</f>
        <v>3.01142021685235</v>
      </c>
      <c r="AK874" s="2" t="n">
        <f aca="false">AI874/(AH874+I874*(12-Hypothèses!$J$24)/12/Hypothèses!$J$19)</f>
        <v>2.9836943997528</v>
      </c>
      <c r="AL874" s="2" t="n">
        <f aca="false">(AD874+AG874+I874/Hypothèses!$J$19)*(1+G874)</f>
        <v>8017.85131109516</v>
      </c>
      <c r="AM874" s="2" t="n">
        <f aca="false">Entrées!$C$54*K874/Hypothèses!$J$19</f>
        <v>43.3165699326295</v>
      </c>
      <c r="AN874" s="2" t="n">
        <f aca="false">Y874*1000/AC874</f>
        <v>26.453627574841</v>
      </c>
      <c r="AO874" s="2" t="n">
        <f aca="false">(Entrées!$C$36*(1-S874)+MAX(0,Entrées!$C$30-Entrées!$C$35-Entrées!$C$36)*U874)*1000</f>
        <v>977.615133712701</v>
      </c>
      <c r="AP874" s="2" t="n">
        <f aca="false">-AO874/W874</f>
        <v>-102.830181222973</v>
      </c>
      <c r="AQ874" s="2" t="n">
        <f aca="false">AL874+AM874+AN874+AP874</f>
        <v>7984.79132737966</v>
      </c>
      <c r="AR874" s="2" t="n">
        <f aca="false">O874*AQ874-Hypothèses!$J$25/Hypothèses!$J$19</f>
        <v>1333.36236640616</v>
      </c>
      <c r="AS874" s="2" t="n">
        <f aca="false">Entrées!$C$79*(1+Q874)+Hypothèses!$J$20</f>
        <v>1460.0572995251</v>
      </c>
      <c r="AT874" s="2" t="n">
        <f aca="false">AI874-AR874+AS874+Y874*1000-AO874+Hypothèses!$J$23</f>
        <v>22032.0962290291</v>
      </c>
      <c r="AU874" s="2" t="n">
        <f aca="false">AT874/AQ874</f>
        <v>2.75925760933558</v>
      </c>
      <c r="AV874" s="2" t="n">
        <f aca="false">Hypothèses!$J$26*AQ874-AT874</f>
        <v>1922.2777531099</v>
      </c>
      <c r="AW874" s="2" t="n">
        <f aca="false">IF(AC874&gt;Hypothèses!$J$26,MAX(0,AV874)/(1-Hypothèses!$J$26/AC874),0)</f>
        <v>2800.59990425902</v>
      </c>
      <c r="AX874" s="2" t="n">
        <f aca="false">AQ874-Entrées!$C$17*1000</f>
        <v>-15.2086726203406</v>
      </c>
      <c r="AY874" s="2" t="n">
        <f aca="false">AI874+(Entrées!$C$244-Entrées!$C$13)</f>
        <v>28376.9679550177</v>
      </c>
      <c r="AZ874" s="2" t="n">
        <f aca="false">AA874*AH874</f>
        <v>5435.66053646954</v>
      </c>
      <c r="BA874" s="2" t="n">
        <f aca="false">AZ874/AY874</f>
        <v>0.191551843913909</v>
      </c>
      <c r="BB874" s="2" t="n">
        <f aca="false">AZ874/(Entrées!$C$151/100)-AY874</f>
        <v>1821.14613647974</v>
      </c>
      <c r="BC874" s="2" t="n">
        <f aca="false">AT874+(Entrées!$C$244-Entrées!$C$13)</f>
        <v>27779.0962290291</v>
      </c>
      <c r="BD874" s="2" t="n">
        <f aca="false">AA874*AQ874</f>
        <v>5775.6826199165</v>
      </c>
      <c r="BE874" s="2" t="n">
        <f aca="false">BD874/BC874</f>
        <v>0.207914705802449</v>
      </c>
      <c r="BF874" s="2" t="n">
        <f aca="false">BD874/(Entrées!$C$151/100)-BC874</f>
        <v>4308.02943717367</v>
      </c>
      <c r="BG874" s="2" t="n">
        <f aca="false">MIN(AV874,BF874)</f>
        <v>1922.2777531099</v>
      </c>
      <c r="BH874" s="2" t="n">
        <f aca="false">IF(AC874&gt;Hypothèses!$J$26,MAX(0,BG874)/(1-Hypothèses!$J$26/AC874),0)</f>
        <v>2800.59990425902</v>
      </c>
    </row>
    <row r="875" customFormat="false" ht="15" hidden="false" customHeight="false" outlineLevel="0" collapsed="false">
      <c r="A875" s="2" t="n">
        <v>860</v>
      </c>
      <c r="B875" s="2" t="n">
        <v>0.769335349</v>
      </c>
      <c r="C875" s="2"/>
      <c r="D875" s="2" t="n">
        <v>0.347509521</v>
      </c>
      <c r="E875" s="2" t="n">
        <f aca="false">IF(E$7=E$5,E$6,IF(NORMSDIST(E$9*SQRT($C$11)*NORMSINV($B875)+SQRT(1-E$9^2*$C$11)*NORMSINV(D875))&lt;E$8,E$5+SQRT(NORMSDIST(E$9*SQRT($C$11)*NORMSINV($B875)+SQRT(1-E$9^2*$C$11)*NORMSINV(D875))*(E$7-E$5)*(E$6-E$5)),E$7-SQRT((1-NORMSDIST(E$9*SQRT($C$11)*NORMSINV($B875)+SQRT(1-E$9^2*$C$11)*NORMSINV(D875)))*(E$7-E$5)*(E$7-E$6))))</f>
        <v>0.0553332790380936</v>
      </c>
      <c r="F875" s="2" t="n">
        <v>0.256412776</v>
      </c>
      <c r="G875" s="2" t="n">
        <f aca="false">IF(G$7=G$5,G$6,IF(NORMSDIST(G$9*SQRT($C$11)*NORMSINV($B875)+SQRT(1-G$9^2*$C$11)*NORMSINV(F875))&lt;G$8,G$5+SQRT(NORMSDIST(G$9*SQRT($C$11)*NORMSINV($B875)+SQRT(1-G$9^2*$C$11)*NORMSINV(F875))*(G$7-G$5)*(G$6-G$5)),G$7-SQRT((1-NORMSDIST(G$9*SQRT($C$11)*NORMSINV($B875)+SQRT(1-G$9^2*$C$11)*NORMSINV(F875)))*(G$7-G$5)*(G$7-G$6))))</f>
        <v>0.0547525227819604</v>
      </c>
      <c r="H875" s="2" t="n">
        <v>0.264242384</v>
      </c>
      <c r="I875" s="2" t="n">
        <f aca="false">IF(I$7=I$5,I$6,IF(NORMSDIST(I$9*SQRT($C$11)*NORMSINV($B875)+SQRT(1-I$9^2*$C$11)*NORMSINV(H875))&lt;I$8,I$5+SQRT(NORMSDIST(I$9*SQRT($C$11)*NORMSINV($B875)+SQRT(1-I$9^2*$C$11)*NORMSINV(H875))*(I$7-I$5)*(I$6-I$5)),I$7-SQRT((1-NORMSDIST(I$9*SQRT($C$11)*NORMSINV($B875)+SQRT(1-I$9^2*$C$11)*NORMSINV(H875)))*(I$7-I$5)*(I$7-I$6))))</f>
        <v>199.820967611166</v>
      </c>
      <c r="J875" s="2" t="n">
        <v>0.291374653</v>
      </c>
      <c r="K875" s="2" t="n">
        <f aca="false">IF(K$7=K$5,K$6,IF(NORMSDIST(K$9*SQRT($C$11)*NORMSINV($B875)+SQRT(1-K$9^2*$C$11)*NORMSINV(J875))&lt;K$8,K$5+SQRT(NORMSDIST(K$9*SQRT($C$11)*NORMSINV($B875)+SQRT(1-K$9^2*$C$11)*NORMSINV(J875))*(K$7-K$5)*(K$6-K$5)),K$7-SQRT((1-NORMSDIST(K$9*SQRT($C$11)*NORMSINV($B875)+SQRT(1-K$9^2*$C$11)*NORMSINV(J875)))*(K$7-K$5)*(K$7-K$6))))</f>
        <v>0.254057339128916</v>
      </c>
      <c r="L875" s="2" t="n">
        <v>0.311211505</v>
      </c>
      <c r="M875" s="2" t="n">
        <f aca="false">IF(M$7=M$5,M$6,IF(NORMSDIST(M$9*SQRT($C$11)*NORMSINV($B875)+SQRT(1-M$9^2*$C$11)*NORMSINV(L875))&lt;M$8,M$5+SQRT(NORMSDIST(M$9*SQRT($C$11)*NORMSINV($B875)+SQRT(1-M$9^2*$C$11)*NORMSINV(L875))*(M$7-M$5)*(M$6-M$5)),M$7-SQRT((1-NORMSDIST(M$9*SQRT($C$11)*NORMSINV($B875)+SQRT(1-M$9^2*$C$11)*NORMSINV(L875)))*(M$7-M$5)*(M$7-M$6))))</f>
        <v>1594.69412498541</v>
      </c>
      <c r="N875" s="2" t="n">
        <v>0.405916653</v>
      </c>
      <c r="O875" s="2" t="n">
        <f aca="false">IF(O$7=O$5,O$6,IF(NORMSDIST(O$9*SQRT($C$11)*NORMSINV($B875)+SQRT(1-O$9^2*$C$11)*NORMSINV(N875))&lt;O$8,O$5+SQRT(NORMSDIST(O$9*SQRT($C$11)*NORMSINV($B875)+SQRT(1-O$9^2*$C$11)*NORMSINV(N875))*(O$7-O$5)*(O$6-O$5)),O$7-SQRT((1-NORMSDIST(O$9*SQRT($C$11)*NORMSINV($B875)+SQRT(1-O$9^2*$C$11)*NORMSINV(N875)))*(O$7-O$5)*(O$7-O$6))))</f>
        <v>0.169640022309216</v>
      </c>
      <c r="P875" s="2" t="n">
        <v>0.492934488</v>
      </c>
      <c r="Q875" s="2" t="n">
        <f aca="false">IF(Q$7=Q$5,Q$6,IF(NORMSDIST(Q$9*SQRT($C$11)*NORMSINV($B875)+SQRT(1-Q$9^2*$C$11)*NORMSINV(P875))&lt;Q$8,Q$5+SQRT(NORMSDIST(Q$9*SQRT($C$11)*NORMSINV($B875)+SQRT(1-Q$9^2*$C$11)*NORMSINV(P875))*(Q$7-Q$5)*(Q$6-Q$5)),Q$7-SQRT((1-NORMSDIST(Q$9*SQRT($C$11)*NORMSINV($B875)+SQRT(1-Q$9^2*$C$11)*NORMSINV(P875)))*(Q$7-Q$5)*(Q$7-Q$6))))</f>
        <v>0.0797163739734634</v>
      </c>
      <c r="R875" s="2" t="n">
        <v>0.117438844</v>
      </c>
      <c r="S875" s="2" t="n">
        <f aca="false">IF(S$7=S$5,S$6,IF(NORMSDIST(S$9*SQRT($C$11)*NORMSINV($B875)+SQRT(1-S$9^2*$C$11)*NORMSINV(R875))&lt;S$8,S$5+SQRT(NORMSDIST(S$9*SQRT($C$11)*NORMSINV($B875)+SQRT(1-S$9^2*$C$11)*NORMSINV(R875))*(S$7-S$5)*(S$6-S$5)),S$7-SQRT((1-NORMSDIST(S$9*SQRT($C$11)*NORMSINV($B875)+SQRT(1-S$9^2*$C$11)*NORMSINV(R875)))*(S$7-S$5)*(S$7-S$6))))</f>
        <v>0.403008627827115</v>
      </c>
      <c r="T875" s="2" t="n">
        <v>0.735148018</v>
      </c>
      <c r="U875" s="2" t="n">
        <f aca="false">IF(U$7=U$5,U$6,IF(NORMSDIST(U$9*SQRT($C$11)*NORMSINV($B875)+SQRT(1-U$9^2*$C$11)*NORMSINV(T875))&lt;U$8,U$5+SQRT(NORMSDIST(U$9*SQRT($C$11)*NORMSINV($B875)+SQRT(1-U$9^2*$C$11)*NORMSINV(T875))*(U$7-U$5)*(U$6-U$5)),U$7-SQRT((1-NORMSDIST(U$9*SQRT($C$11)*NORMSINV($B875)+SQRT(1-U$9^2*$C$11)*NORMSINV(T875)))*(U$7-U$5)*(U$7-U$6))))</f>
        <v>0.708135706952376</v>
      </c>
      <c r="V875" s="2" t="n">
        <v>0.408439767</v>
      </c>
      <c r="W875" s="2" t="n">
        <f aca="false">IF(W$7=W$5,W$6,IF(NORMSDIST(W$9*SQRT($C$11)*NORMSINV($B875)+SQRT(1-W$9^2*$C$11)*NORMSINV(V875))&lt;W$8,W$5+SQRT(NORMSDIST(W$9*SQRT($C$11)*NORMSINV($B875)+SQRT(1-W$9^2*$C$11)*NORMSINV(V875))*(W$7-W$5)*(W$6-W$5)),W$7-SQRT((1-NORMSDIST(W$9*SQRT($C$11)*NORMSINV($B875)+SQRT(1-W$9^2*$C$11)*NORMSINV(V875)))*(W$7-W$5)*(W$7-W$6))))</f>
        <v>10.2399254811266</v>
      </c>
      <c r="X875" s="2" t="n">
        <v>0.787383038</v>
      </c>
      <c r="Y875" s="2" t="n">
        <f aca="false">IF(Y$7=Y$5,Y$6,IF(NORMSDIST(Y$9*SQRT($C$11)*NORMSINV($B875)+SQRT(1-Y$9^2*$C$11)*NORMSINV(X875))&lt;Y$8,Y$5+SQRT(NORMSDIST(Y$9*SQRT($C$11)*NORMSINV($B875)+SQRT(1-Y$9^2*$C$11)*NORMSINV(X875))*(Y$7-Y$5)*(Y$6-Y$5)),Y$7-SQRT((1-NORMSDIST(Y$9*SQRT($C$11)*NORMSINV($B875)+SQRT(1-Y$9^2*$C$11)*NORMSINV(X875)))*(Y$7-Y$5)*(Y$7-Y$6))))</f>
        <v>0.67395018632117</v>
      </c>
      <c r="Z875" s="2" t="n">
        <v>0.792851129</v>
      </c>
      <c r="AA875" s="2" t="n">
        <f aca="false">IF(AA$7=AA$5,AA$6,IF(NORMSDIST(AA$9*SQRT($C$11)*NORMSINV($B875)+SQRT(1-AA$9^2*$C$11)*NORMSINV(Z875))&lt;AA$8,AA$5+SQRT(NORMSDIST(AA$9*SQRT($C$11)*NORMSINV($B875)+SQRT(1-AA$9^2*$C$11)*NORMSINV(Z875))*(AA$7-AA$5)*(AA$6-AA$5)),AA$7-SQRT((1-NORMSDIST(AA$9*SQRT($C$11)*NORMSINV($B875)+SQRT(1-AA$9^2*$C$11)*NORMSINV(Z875)))*(AA$7-AA$5)*(AA$7-AA$6))))</f>
        <v>0.740646846056138</v>
      </c>
      <c r="AB875" s="2" t="n">
        <v>0.266620986</v>
      </c>
      <c r="AC875" s="2" t="n">
        <f aca="false">IF(AC$7=AC$5,AC$6,IF(NORMSDIST(AC$9*SQRT($C$11)*NORMSINV($B875)+SQRT(1-AC$9^2*$C$11)*NORMSINV(AB875))&lt;AC$8,AC$5+SQRT(NORMSDIST(AC$9*SQRT($C$11)*NORMSINV($B875)+SQRT(1-AC$9^2*$C$11)*NORMSINV(AB875))*(AC$7-AC$5)*(AC$6-AC$5)),AC$7-SQRT((1-NORMSDIST(AC$9*SQRT($C$11)*NORMSINV($B875)+SQRT(1-AC$9^2*$C$11)*NORMSINV(AB875)))*(AC$7-AC$5)*(AC$7-AC$6))))</f>
        <v>9.46455161492514</v>
      </c>
      <c r="AD875" s="2" t="n">
        <f aca="false">Entrées!$C$8*(1+E875)</f>
        <v>7440.09961721856</v>
      </c>
      <c r="AE875" s="2" t="n">
        <f aca="false">I875*Hypothèses!$J$24/12/Hypothèses!$J$19</f>
        <v>99.1305424800125</v>
      </c>
      <c r="AF875" s="2" t="n">
        <f aca="false">Entrées!$C$36*S875*1000</f>
        <v>201.504313913558</v>
      </c>
      <c r="AG875" s="2" t="n">
        <f aca="false">-AF875/W875</f>
        <v>-19.6782988592011</v>
      </c>
      <c r="AH875" s="2" t="n">
        <f aca="false">AD875+AE875+AG875</f>
        <v>7519.55186083937</v>
      </c>
      <c r="AI875" s="2" t="n">
        <f aca="false">Entrées!$C$16-M875+Hypothèses!$J$22*1000-AF875+Hypothèses!$J$23</f>
        <v>22751.801561101</v>
      </c>
      <c r="AJ875" s="2" t="n">
        <f aca="false">AI875/AH875</f>
        <v>3.02568583635799</v>
      </c>
      <c r="AK875" s="2" t="n">
        <f aca="false">AI875/(AH875+I875*(12-Hypothèses!$J$24)/12/Hypothèses!$J$19)</f>
        <v>2.99746038211734</v>
      </c>
      <c r="AL875" s="2" t="n">
        <f aca="false">(AD875+AG875+I875/Hypothèses!$J$19)*(1+G875)</f>
        <v>8005.95071667121</v>
      </c>
      <c r="AM875" s="2" t="n">
        <f aca="false">Entrées!$C$54*K875/Hypothèses!$J$19</f>
        <v>25.92761817594</v>
      </c>
      <c r="AN875" s="2" t="n">
        <f aca="false">Y875*1000/AC875</f>
        <v>71.2078304119957</v>
      </c>
      <c r="AO875" s="2" t="n">
        <f aca="false">(Entrées!$C$36*(1-S875)+MAX(0,Entrées!$C$30-Entrées!$C$35-Entrées!$C$36)*U875)*1000</f>
        <v>1289.88567581977</v>
      </c>
      <c r="AP875" s="2" t="n">
        <f aca="false">-AO875/W875</f>
        <v>-125.966314715589</v>
      </c>
      <c r="AQ875" s="2" t="n">
        <f aca="false">AL875+AM875+AN875+AP875</f>
        <v>7977.11985054356</v>
      </c>
      <c r="AR875" s="2" t="n">
        <f aca="false">O875*AQ875-Hypothèses!$J$25/Hypothèses!$J$19</f>
        <v>1334.10362714787</v>
      </c>
      <c r="AS875" s="2" t="n">
        <f aca="false">Entrées!$C$79*(1+Q875)+Hypothèses!$J$20</f>
        <v>1481.60829499684</v>
      </c>
      <c r="AT875" s="2" t="n">
        <f aca="false">AI875-AR875+AS875+Y875*1000-AO875+Hypothèses!$J$23</f>
        <v>22283.3707394514</v>
      </c>
      <c r="AU875" s="2" t="n">
        <f aca="false">AT875/AQ875</f>
        <v>2.79341054878761</v>
      </c>
      <c r="AV875" s="2" t="n">
        <f aca="false">Hypothèses!$J$26*AQ875-AT875</f>
        <v>1647.98881217928</v>
      </c>
      <c r="AW875" s="2" t="n">
        <f aca="false">IF(AC875&gt;Hypothèses!$J$26,MAX(0,AV875)/(1-Hypothèses!$J$26/AC875),0)</f>
        <v>2412.76984124916</v>
      </c>
      <c r="AX875" s="2" t="n">
        <f aca="false">AQ875-Entrées!$C$17*1000</f>
        <v>-22.8801494564423</v>
      </c>
      <c r="AY875" s="2" t="n">
        <f aca="false">AI875+(Entrées!$C$244-Entrées!$C$13)</f>
        <v>28498.801561101</v>
      </c>
      <c r="AZ875" s="2" t="n">
        <f aca="false">AA875*AH875</f>
        <v>5569.33236948625</v>
      </c>
      <c r="BA875" s="2" t="n">
        <f aca="false">AZ875/AY875</f>
        <v>0.195423388507958</v>
      </c>
      <c r="BB875" s="2" t="n">
        <f aca="false">AZ875/(Entrées!$C$151/100)-AY875</f>
        <v>2441.93382493367</v>
      </c>
      <c r="BC875" s="2" t="n">
        <f aca="false">AT875+(Entrées!$C$244-Entrées!$C$13)</f>
        <v>28030.3707394514</v>
      </c>
      <c r="BD875" s="2" t="n">
        <f aca="false">AA875*AQ875</f>
        <v>5908.2286579169</v>
      </c>
      <c r="BE875" s="2" t="n">
        <f aca="false">BD875/BC875</f>
        <v>0.210779540264922</v>
      </c>
      <c r="BF875" s="2" t="n">
        <f aca="false">BD875/(Entrées!$C$151/100)-BC875</f>
        <v>4793.12180453138</v>
      </c>
      <c r="BG875" s="2" t="n">
        <f aca="false">MIN(AV875,BF875)</f>
        <v>1647.98881217928</v>
      </c>
      <c r="BH875" s="2" t="n">
        <f aca="false">IF(AC875&gt;Hypothèses!$J$26,MAX(0,BG875)/(1-Hypothèses!$J$26/AC875),0)</f>
        <v>2412.76984124916</v>
      </c>
    </row>
    <row r="876" customFormat="false" ht="15" hidden="false" customHeight="false" outlineLevel="0" collapsed="false">
      <c r="A876" s="2" t="n">
        <v>861</v>
      </c>
      <c r="B876" s="2" t="n">
        <v>0.500479147</v>
      </c>
      <c r="C876" s="2"/>
      <c r="D876" s="2" t="n">
        <v>0.064470378</v>
      </c>
      <c r="E876" s="2" t="n">
        <f aca="false">IF(E$7=E$5,E$6,IF(NORMSDIST(E$9*SQRT($C$11)*NORMSINV($B876)+SQRT(1-E$9^2*$C$11)*NORMSINV(D876))&lt;E$8,E$5+SQRT(NORMSDIST(E$9*SQRT($C$11)*NORMSINV($B876)+SQRT(1-E$9^2*$C$11)*NORMSINV(D876))*(E$7-E$5)*(E$6-E$5)),E$7-SQRT((1-NORMSDIST(E$9*SQRT($C$11)*NORMSINV($B876)+SQRT(1-E$9^2*$C$11)*NORMSINV(D876)))*(E$7-E$5)*(E$7-E$6))))</f>
        <v>0.0524488411984633</v>
      </c>
      <c r="F876" s="2" t="n">
        <v>0.277006113</v>
      </c>
      <c r="G876" s="2" t="n">
        <f aca="false">IF(G$7=G$5,G$6,IF(NORMSDIST(G$9*SQRT($C$11)*NORMSINV($B876)+SQRT(1-G$9^2*$C$11)*NORMSINV(F876))&lt;G$8,G$5+SQRT(NORMSDIST(G$9*SQRT($C$11)*NORMSINV($B876)+SQRT(1-G$9^2*$C$11)*NORMSINV(F876))*(G$7-G$5)*(G$6-G$5)),G$7-SQRT((1-NORMSDIST(G$9*SQRT($C$11)*NORMSINV($B876)+SQRT(1-G$9^2*$C$11)*NORMSINV(F876)))*(G$7-G$5)*(G$7-G$6))))</f>
        <v>0.0520675844472727</v>
      </c>
      <c r="H876" s="2" t="n">
        <v>0.125926056</v>
      </c>
      <c r="I876" s="2" t="n">
        <f aca="false">IF(I$7=I$5,I$6,IF(NORMSDIST(I$9*SQRT($C$11)*NORMSINV($B876)+SQRT(1-I$9^2*$C$11)*NORMSINV(H876))&lt;I$8,I$5+SQRT(NORMSDIST(I$9*SQRT($C$11)*NORMSINV($B876)+SQRT(1-I$9^2*$C$11)*NORMSINV(H876))*(I$7-I$5)*(I$6-I$5)),I$7-SQRT((1-NORMSDIST(I$9*SQRT($C$11)*NORMSINV($B876)+SQRT(1-I$9^2*$C$11)*NORMSINV(H876)))*(I$7-I$5)*(I$7-I$6))))</f>
        <v>192.25030582589</v>
      </c>
      <c r="J876" s="2" t="n">
        <v>0.862169896</v>
      </c>
      <c r="K876" s="2" t="n">
        <f aca="false">IF(K$7=K$5,K$6,IF(NORMSDIST(K$9*SQRT($C$11)*NORMSINV($B876)+SQRT(1-K$9^2*$C$11)*NORMSINV(J876))&lt;K$8,K$5+SQRT(NORMSDIST(K$9*SQRT($C$11)*NORMSINV($B876)+SQRT(1-K$9^2*$C$11)*NORMSINV(J876))*(K$7-K$5)*(K$6-K$5)),K$7-SQRT((1-NORMSDIST(K$9*SQRT($C$11)*NORMSINV($B876)+SQRT(1-K$9^2*$C$11)*NORMSINV(J876)))*(K$7-K$5)*(K$7-K$6))))</f>
        <v>0.342277973990581</v>
      </c>
      <c r="L876" s="2" t="n">
        <v>0.337341458</v>
      </c>
      <c r="M876" s="2" t="n">
        <f aca="false">IF(M$7=M$5,M$6,IF(NORMSDIST(M$9*SQRT($C$11)*NORMSINV($B876)+SQRT(1-M$9^2*$C$11)*NORMSINV(L876))&lt;M$8,M$5+SQRT(NORMSDIST(M$9*SQRT($C$11)*NORMSINV($B876)+SQRT(1-M$9^2*$C$11)*NORMSINV(L876))*(M$7-M$5)*(M$6-M$5)),M$7-SQRT((1-NORMSDIST(M$9*SQRT($C$11)*NORMSINV($B876)+SQRT(1-M$9^2*$C$11)*NORMSINV(L876)))*(M$7-M$5)*(M$7-M$6))))</f>
        <v>1546.8426849594</v>
      </c>
      <c r="N876" s="2" t="n">
        <v>0.418592913</v>
      </c>
      <c r="O876" s="2" t="n">
        <f aca="false">IF(O$7=O$5,O$6,IF(NORMSDIST(O$9*SQRT($C$11)*NORMSINV($B876)+SQRT(1-O$9^2*$C$11)*NORMSINV(N876))&lt;O$8,O$5+SQRT(NORMSDIST(O$9*SQRT($C$11)*NORMSINV($B876)+SQRT(1-O$9^2*$C$11)*NORMSINV(N876))*(O$7-O$5)*(O$6-O$5)),O$7-SQRT((1-NORMSDIST(O$9*SQRT($C$11)*NORMSINV($B876)+SQRT(1-O$9^2*$C$11)*NORMSINV(N876)))*(O$7-O$5)*(O$7-O$6))))</f>
        <v>0.165042129978563</v>
      </c>
      <c r="P876" s="2" t="n">
        <v>0.762438178</v>
      </c>
      <c r="Q876" s="2" t="n">
        <f aca="false">IF(Q$7=Q$5,Q$6,IF(NORMSDIST(Q$9*SQRT($C$11)*NORMSINV($B876)+SQRT(1-Q$9^2*$C$11)*NORMSINV(P876))&lt;Q$8,Q$5+SQRT(NORMSDIST(Q$9*SQRT($C$11)*NORMSINV($B876)+SQRT(1-Q$9^2*$C$11)*NORMSINV(P876))*(Q$7-Q$5)*(Q$6-Q$5)),Q$7-SQRT((1-NORMSDIST(Q$9*SQRT($C$11)*NORMSINV($B876)+SQRT(1-Q$9^2*$C$11)*NORMSINV(P876)))*(Q$7-Q$5)*(Q$7-Q$6))))</f>
        <v>0.0924283146978644</v>
      </c>
      <c r="R876" s="2" t="n">
        <v>0.706462222</v>
      </c>
      <c r="S876" s="2" t="n">
        <f aca="false">IF(S$7=S$5,S$6,IF(NORMSDIST(S$9*SQRT($C$11)*NORMSINV($B876)+SQRT(1-S$9^2*$C$11)*NORMSINV(R876))&lt;S$8,S$5+SQRT(NORMSDIST(S$9*SQRT($C$11)*NORMSINV($B876)+SQRT(1-S$9^2*$C$11)*NORMSINV(R876))*(S$7-S$5)*(S$6-S$5)),S$7-SQRT((1-NORMSDIST(S$9*SQRT($C$11)*NORMSINV($B876)+SQRT(1-S$9^2*$C$11)*NORMSINV(R876)))*(S$7-S$5)*(S$7-S$6))))</f>
        <v>0.589681959213207</v>
      </c>
      <c r="T876" s="2" t="n">
        <v>0.27761855</v>
      </c>
      <c r="U876" s="2" t="n">
        <f aca="false">IF(U$7=U$5,U$6,IF(NORMSDIST(U$9*SQRT($C$11)*NORMSINV($B876)+SQRT(1-U$9^2*$C$11)*NORMSINV(T876))&lt;U$8,U$5+SQRT(NORMSDIST(U$9*SQRT($C$11)*NORMSINV($B876)+SQRT(1-U$9^2*$C$11)*NORMSINV(T876))*(U$7-U$5)*(U$6-U$5)),U$7-SQRT((1-NORMSDIST(U$9*SQRT($C$11)*NORMSINV($B876)+SQRT(1-U$9^2*$C$11)*NORMSINV(T876)))*(U$7-U$5)*(U$7-U$6))))</f>
        <v>0.402568955614681</v>
      </c>
      <c r="V876" s="2" t="n">
        <v>0.316973463</v>
      </c>
      <c r="W876" s="2" t="n">
        <f aca="false">IF(W$7=W$5,W$6,IF(NORMSDIST(W$9*SQRT($C$11)*NORMSINV($B876)+SQRT(1-W$9^2*$C$11)*NORMSINV(V876))&lt;W$8,W$5+SQRT(NORMSDIST(W$9*SQRT($C$11)*NORMSINV($B876)+SQRT(1-W$9^2*$C$11)*NORMSINV(V876))*(W$7-W$5)*(W$6-W$5)),W$7-SQRT((1-NORMSDIST(W$9*SQRT($C$11)*NORMSINV($B876)+SQRT(1-W$9^2*$C$11)*NORMSINV(V876)))*(W$7-W$5)*(W$7-W$6))))</f>
        <v>9.68855959089488</v>
      </c>
      <c r="X876" s="2" t="n">
        <v>0.675186787</v>
      </c>
      <c r="Y876" s="2" t="n">
        <f aca="false">IF(Y$7=Y$5,Y$6,IF(NORMSDIST(Y$9*SQRT($C$11)*NORMSINV($B876)+SQRT(1-Y$9^2*$C$11)*NORMSINV(X876))&lt;Y$8,Y$5+SQRT(NORMSDIST(Y$9*SQRT($C$11)*NORMSINV($B876)+SQRT(1-Y$9^2*$C$11)*NORMSINV(X876))*(Y$7-Y$5)*(Y$6-Y$5)),Y$7-SQRT((1-NORMSDIST(Y$9*SQRT($C$11)*NORMSINV($B876)+SQRT(1-Y$9^2*$C$11)*NORMSINV(X876)))*(Y$7-Y$5)*(Y$7-Y$6))))</f>
        <v>0.597002969613919</v>
      </c>
      <c r="Z876" s="2" t="n">
        <v>0.54396031</v>
      </c>
      <c r="AA876" s="2" t="n">
        <f aca="false">IF(AA$7=AA$5,AA$6,IF(NORMSDIST(AA$9*SQRT($C$11)*NORMSINV($B876)+SQRT(1-AA$9^2*$C$11)*NORMSINV(Z876))&lt;AA$8,AA$5+SQRT(NORMSDIST(AA$9*SQRT($C$11)*NORMSINV($B876)+SQRT(1-AA$9^2*$C$11)*NORMSINV(Z876))*(AA$7-AA$5)*(AA$6-AA$5)),AA$7-SQRT((1-NORMSDIST(AA$9*SQRT($C$11)*NORMSINV($B876)+SQRT(1-AA$9^2*$C$11)*NORMSINV(Z876)))*(AA$7-AA$5)*(AA$7-AA$6))))</f>
        <v>0.729158039724623</v>
      </c>
      <c r="AB876" s="2" t="n">
        <v>0.057997222</v>
      </c>
      <c r="AC876" s="2" t="n">
        <f aca="false">IF(AC$7=AC$5,AC$6,IF(NORMSDIST(AC$9*SQRT($C$11)*NORMSINV($B876)+SQRT(1-AC$9^2*$C$11)*NORMSINV(AB876))&lt;AC$8,AC$5+SQRT(NORMSDIST(AC$9*SQRT($C$11)*NORMSINV($B876)+SQRT(1-AC$9^2*$C$11)*NORMSINV(AB876))*(AC$7-AC$5)*(AC$6-AC$5)),AC$7-SQRT((1-NORMSDIST(AC$9*SQRT($C$11)*NORMSINV($B876)+SQRT(1-AC$9^2*$C$11)*NORMSINV(AB876)))*(AC$7-AC$5)*(AC$7-AC$6))))</f>
        <v>8.38303871358578</v>
      </c>
      <c r="AD876" s="2" t="n">
        <f aca="false">Entrées!$C$8*(1+E876)</f>
        <v>7419.76433044917</v>
      </c>
      <c r="AE876" s="2" t="n">
        <f aca="false">I876*Hypothèses!$J$24/12/Hypothèses!$J$19</f>
        <v>95.374761399183</v>
      </c>
      <c r="AF876" s="2" t="n">
        <f aca="false">Entrées!$C$36*S876*1000</f>
        <v>294.840979606603</v>
      </c>
      <c r="AG876" s="2" t="n">
        <f aca="false">-AF876/W876</f>
        <v>-30.4318693445091</v>
      </c>
      <c r="AH876" s="2" t="n">
        <f aca="false">AD876+AE876+AG876</f>
        <v>7484.70722250384</v>
      </c>
      <c r="AI876" s="2" t="n">
        <f aca="false">Entrées!$C$16-M876+Hypothèses!$J$22*1000-AF876+Hypothèses!$J$23</f>
        <v>22706.316335434</v>
      </c>
      <c r="AJ876" s="2" t="n">
        <f aca="false">AI876/AH876</f>
        <v>3.0336946603822</v>
      </c>
      <c r="AK876" s="2" t="n">
        <f aca="false">AI876/(AH876+I876*(12-Hypothèses!$J$24)/12/Hypothèses!$J$19)</f>
        <v>3.00633142361438</v>
      </c>
      <c r="AL876" s="2" t="n">
        <f aca="false">(AD876+AG876+I876/Hypothèses!$J$19)*(1+G876)</f>
        <v>7946.08977276215</v>
      </c>
      <c r="AM876" s="2" t="n">
        <f aca="false">Entrées!$C$54*K876/Hypothèses!$J$19</f>
        <v>34.9309043780819</v>
      </c>
      <c r="AN876" s="2" t="n">
        <f aca="false">Y876*1000/AC876</f>
        <v>71.2155806517271</v>
      </c>
      <c r="AO876" s="2" t="n">
        <f aca="false">(Entrées!$C$36*(1-S876)+MAX(0,Entrées!$C$30-Entrées!$C$35-Entrées!$C$36)*U876)*1000</f>
        <v>768.755558253951</v>
      </c>
      <c r="AP876" s="2" t="n">
        <f aca="false">-AO876/W876</f>
        <v>-79.3467337473377</v>
      </c>
      <c r="AQ876" s="2" t="n">
        <f aca="false">AL876+AM876+AN876+AP876</f>
        <v>7972.88952404462</v>
      </c>
      <c r="AR876" s="2" t="n">
        <f aca="false">O876*AQ876-Hypothèses!$J$25/Hypothèses!$J$19</f>
        <v>1296.72750687047</v>
      </c>
      <c r="AS876" s="2" t="n">
        <f aca="false">Entrées!$C$79*(1+Q876)+Hypothèses!$J$20</f>
        <v>1495.57871785295</v>
      </c>
      <c r="AT876" s="2" t="n">
        <f aca="false">AI876-AR876+AS876+Y876*1000-AO876+Hypothèses!$J$23</f>
        <v>22733.4149577765</v>
      </c>
      <c r="AU876" s="2" t="n">
        <f aca="false">AT876/AQ876</f>
        <v>2.85133951614619</v>
      </c>
      <c r="AV876" s="2" t="n">
        <f aca="false">Hypothèses!$J$26*AQ876-AT876</f>
        <v>1185.25361435742</v>
      </c>
      <c r="AW876" s="2" t="n">
        <f aca="false">IF(AC876&gt;Hypothèses!$J$26,MAX(0,AV876)/(1-Hypothèses!$J$26/AC876),0)</f>
        <v>1845.80261507298</v>
      </c>
      <c r="AX876" s="2" t="n">
        <f aca="false">AQ876-Entrées!$C$17*1000</f>
        <v>-27.1104759553764</v>
      </c>
      <c r="AY876" s="2" t="n">
        <f aca="false">AI876+(Entrées!$C$244-Entrées!$C$13)</f>
        <v>28453.316335434</v>
      </c>
      <c r="AZ876" s="2" t="n">
        <f aca="false">AA876*AH876</f>
        <v>5457.53444627362</v>
      </c>
      <c r="BA876" s="2" t="n">
        <f aca="false">AZ876/AY876</f>
        <v>0.191806620428184</v>
      </c>
      <c r="BB876" s="2" t="n">
        <f aca="false">AZ876/(Entrées!$C$151/100)-AY876</f>
        <v>1866.31947719724</v>
      </c>
      <c r="BC876" s="2" t="n">
        <f aca="false">AT876+(Entrées!$C$244-Entrées!$C$13)</f>
        <v>28480.4149577765</v>
      </c>
      <c r="BD876" s="2" t="n">
        <f aca="false">AA876*AQ876</f>
        <v>5813.49649629336</v>
      </c>
      <c r="BE876" s="2" t="n">
        <f aca="false">BD876/BC876</f>
        <v>0.204122605127493</v>
      </c>
      <c r="BF876" s="2" t="n">
        <f aca="false">BD876/(Entrées!$C$151/100)-BC876</f>
        <v>3816.78779940886</v>
      </c>
      <c r="BG876" s="2" t="n">
        <f aca="false">MIN(AV876,BF876)</f>
        <v>1185.25361435742</v>
      </c>
      <c r="BH876" s="2" t="n">
        <f aca="false">IF(AC876&gt;Hypothèses!$J$26,MAX(0,BG876)/(1-Hypothèses!$J$26/AC876),0)</f>
        <v>1845.80261507298</v>
      </c>
    </row>
    <row r="877" customFormat="false" ht="15" hidden="false" customHeight="false" outlineLevel="0" collapsed="false">
      <c r="A877" s="2" t="n">
        <v>862</v>
      </c>
      <c r="B877" s="2" t="n">
        <v>0.221015287</v>
      </c>
      <c r="C877" s="2"/>
      <c r="D877" s="2" t="n">
        <v>0.842818292</v>
      </c>
      <c r="E877" s="2" t="n">
        <f aca="false">IF(E$7=E$5,E$6,IF(NORMSDIST(E$9*SQRT($C$11)*NORMSINV($B877)+SQRT(1-E$9^2*$C$11)*NORMSINV(D877))&lt;E$8,E$5+SQRT(NORMSDIST(E$9*SQRT($C$11)*NORMSINV($B877)+SQRT(1-E$9^2*$C$11)*NORMSINV(D877))*(E$7-E$5)*(E$6-E$5)),E$7-SQRT((1-NORMSDIST(E$9*SQRT($C$11)*NORMSINV($B877)+SQRT(1-E$9^2*$C$11)*NORMSINV(D877)))*(E$7-E$5)*(E$7-E$6))))</f>
        <v>0.0556141324443775</v>
      </c>
      <c r="F877" s="2" t="n">
        <v>0.995418068</v>
      </c>
      <c r="G877" s="2" t="n">
        <f aca="false">IF(G$7=G$5,G$6,IF(NORMSDIST(G$9*SQRT($C$11)*NORMSINV($B877)+SQRT(1-G$9^2*$C$11)*NORMSINV(F877))&lt;G$8,G$5+SQRT(NORMSDIST(G$9*SQRT($C$11)*NORMSINV($B877)+SQRT(1-G$9^2*$C$11)*NORMSINV(F877))*(G$7-G$5)*(G$6-G$5)),G$7-SQRT((1-NORMSDIST(G$9*SQRT($C$11)*NORMSINV($B877)+SQRT(1-G$9^2*$C$11)*NORMSINV(F877)))*(G$7-G$5)*(G$7-G$6))))</f>
        <v>0.064687162086587</v>
      </c>
      <c r="H877" s="2" t="n">
        <v>0.918670493</v>
      </c>
      <c r="I877" s="2" t="n">
        <f aca="false">IF(I$7=I$5,I$6,IF(NORMSDIST(I$9*SQRT($C$11)*NORMSINV($B877)+SQRT(1-I$9^2*$C$11)*NORMSINV(H877))&lt;I$8,I$5+SQRT(NORMSDIST(I$9*SQRT($C$11)*NORMSINV($B877)+SQRT(1-I$9^2*$C$11)*NORMSINV(H877))*(I$7-I$5)*(I$6-I$5)),I$7-SQRT((1-NORMSDIST(I$9*SQRT($C$11)*NORMSINV($B877)+SQRT(1-I$9^2*$C$11)*NORMSINV(H877)))*(I$7-I$5)*(I$7-I$6))))</f>
        <v>205.145174395178</v>
      </c>
      <c r="J877" s="2" t="n">
        <v>0.574365174</v>
      </c>
      <c r="K877" s="2" t="n">
        <f aca="false">IF(K$7=K$5,K$6,IF(NORMSDIST(K$9*SQRT($C$11)*NORMSINV($B877)+SQRT(1-K$9^2*$C$11)*NORMSINV(J877))&lt;K$8,K$5+SQRT(NORMSDIST(K$9*SQRT($C$11)*NORMSINV($B877)+SQRT(1-K$9^2*$C$11)*NORMSINV(J877))*(K$7-K$5)*(K$6-K$5)),K$7-SQRT((1-NORMSDIST(K$9*SQRT($C$11)*NORMSINV($B877)+SQRT(1-K$9^2*$C$11)*NORMSINV(J877)))*(K$7-K$5)*(K$7-K$6))))</f>
        <v>0.214056283974121</v>
      </c>
      <c r="L877" s="2" t="n">
        <v>0.294990571</v>
      </c>
      <c r="M877" s="2" t="n">
        <f aca="false">IF(M$7=M$5,M$6,IF(NORMSDIST(M$9*SQRT($C$11)*NORMSINV($B877)+SQRT(1-M$9^2*$C$11)*NORMSINV(L877))&lt;M$8,M$5+SQRT(NORMSDIST(M$9*SQRT($C$11)*NORMSINV($B877)+SQRT(1-M$9^2*$C$11)*NORMSINV(L877))*(M$7-M$5)*(M$6-M$5)),M$7-SQRT((1-NORMSDIST(M$9*SQRT($C$11)*NORMSINV($B877)+SQRT(1-M$9^2*$C$11)*NORMSINV(L877)))*(M$7-M$5)*(M$7-M$6))))</f>
        <v>1473.94224971652</v>
      </c>
      <c r="N877" s="2" t="n">
        <v>0.09947186</v>
      </c>
      <c r="O877" s="2" t="n">
        <f aca="false">IF(O$7=O$5,O$6,IF(NORMSDIST(O$9*SQRT($C$11)*NORMSINV($B877)+SQRT(1-O$9^2*$C$11)*NORMSINV(N877))&lt;O$8,O$5+SQRT(NORMSDIST(O$9*SQRT($C$11)*NORMSINV($B877)+SQRT(1-O$9^2*$C$11)*NORMSINV(N877))*(O$7-O$5)*(O$6-O$5)),O$7-SQRT((1-NORMSDIST(O$9*SQRT($C$11)*NORMSINV($B877)+SQRT(1-O$9^2*$C$11)*NORMSINV(N877)))*(O$7-O$5)*(O$7-O$6))))</f>
        <v>0.149969605921821</v>
      </c>
      <c r="P877" s="2" t="n">
        <v>0.935771501</v>
      </c>
      <c r="Q877" s="2" t="n">
        <f aca="false">IF(Q$7=Q$5,Q$6,IF(NORMSDIST(Q$9*SQRT($C$11)*NORMSINV($B877)+SQRT(1-Q$9^2*$C$11)*NORMSINV(P877))&lt;Q$8,Q$5+SQRT(NORMSDIST(Q$9*SQRT($C$11)*NORMSINV($B877)+SQRT(1-Q$9^2*$C$11)*NORMSINV(P877))*(Q$7-Q$5)*(Q$6-Q$5)),Q$7-SQRT((1-NORMSDIST(Q$9*SQRT($C$11)*NORMSINV($B877)+SQRT(1-Q$9^2*$C$11)*NORMSINV(P877)))*(Q$7-Q$5)*(Q$7-Q$6))))</f>
        <v>0.105663640741109</v>
      </c>
      <c r="R877" s="2" t="n">
        <v>0.499860974</v>
      </c>
      <c r="S877" s="2" t="n">
        <f aca="false">IF(S$7=S$5,S$6,IF(NORMSDIST(S$9*SQRT($C$11)*NORMSINV($B877)+SQRT(1-S$9^2*$C$11)*NORMSINV(R877))&lt;S$8,S$5+SQRT(NORMSDIST(S$9*SQRT($C$11)*NORMSINV($B877)+SQRT(1-S$9^2*$C$11)*NORMSINV(R877))*(S$7-S$5)*(S$6-S$5)),S$7-SQRT((1-NORMSDIST(S$9*SQRT($C$11)*NORMSINV($B877)+SQRT(1-S$9^2*$C$11)*NORMSINV(R877)))*(S$7-S$5)*(S$7-S$6))))</f>
        <v>0.39579838701409</v>
      </c>
      <c r="T877" s="2" t="n">
        <v>0.095014841</v>
      </c>
      <c r="U877" s="2" t="n">
        <f aca="false">IF(U$7=U$5,U$6,IF(NORMSDIST(U$9*SQRT($C$11)*NORMSINV($B877)+SQRT(1-U$9^2*$C$11)*NORMSINV(T877))&lt;U$8,U$5+SQRT(NORMSDIST(U$9*SQRT($C$11)*NORMSINV($B877)+SQRT(1-U$9^2*$C$11)*NORMSINV(T877))*(U$7-U$5)*(U$6-U$5)),U$7-SQRT((1-NORMSDIST(U$9*SQRT($C$11)*NORMSINV($B877)+SQRT(1-U$9^2*$C$11)*NORMSINV(T877)))*(U$7-U$5)*(U$7-U$6))))</f>
        <v>0.182533758633085</v>
      </c>
      <c r="V877" s="2" t="n">
        <v>0.769501915</v>
      </c>
      <c r="W877" s="2" t="n">
        <f aca="false">IF(W$7=W$5,W$6,IF(NORMSDIST(W$9*SQRT($C$11)*NORMSINV($B877)+SQRT(1-W$9^2*$C$11)*NORMSINV(V877))&lt;W$8,W$5+SQRT(NORMSDIST(W$9*SQRT($C$11)*NORMSINV($B877)+SQRT(1-W$9^2*$C$11)*NORMSINV(V877))*(W$7-W$5)*(W$6-W$5)),W$7-SQRT((1-NORMSDIST(W$9*SQRT($C$11)*NORMSINV($B877)+SQRT(1-W$9^2*$C$11)*NORMSINV(V877)))*(W$7-W$5)*(W$7-W$6))))</f>
        <v>10.0687833818045</v>
      </c>
      <c r="X877" s="2" t="n">
        <v>0.239422452</v>
      </c>
      <c r="Y877" s="2" t="n">
        <f aca="false">IF(Y$7=Y$5,Y$6,IF(NORMSDIST(Y$9*SQRT($C$11)*NORMSINV($B877)+SQRT(1-Y$9^2*$C$11)*NORMSINV(X877))&lt;Y$8,Y$5+SQRT(NORMSDIST(Y$9*SQRT($C$11)*NORMSINV($B877)+SQRT(1-Y$9^2*$C$11)*NORMSINV(X877))*(Y$7-Y$5)*(Y$6-Y$5)),Y$7-SQRT((1-NORMSDIST(Y$9*SQRT($C$11)*NORMSINV($B877)+SQRT(1-Y$9^2*$C$11)*NORMSINV(X877)))*(Y$7-Y$5)*(Y$7-Y$6))))</f>
        <v>0.345993101087291</v>
      </c>
      <c r="Z877" s="2" t="n">
        <v>0.568795362</v>
      </c>
      <c r="AA877" s="2" t="n">
        <f aca="false">IF(AA$7=AA$5,AA$6,IF(NORMSDIST(AA$9*SQRT($C$11)*NORMSINV($B877)+SQRT(1-AA$9^2*$C$11)*NORMSINV(Z877))&lt;AA$8,AA$5+SQRT(NORMSDIST(AA$9*SQRT($C$11)*NORMSINV($B877)+SQRT(1-AA$9^2*$C$11)*NORMSINV(Z877))*(AA$7-AA$5)*(AA$6-AA$5)),AA$7-SQRT((1-NORMSDIST(AA$9*SQRT($C$11)*NORMSINV($B877)+SQRT(1-AA$9^2*$C$11)*NORMSINV(Z877)))*(AA$7-AA$5)*(AA$7-AA$6))))</f>
        <v>0.723186986945243</v>
      </c>
      <c r="AB877" s="2" t="n">
        <v>0.313764335</v>
      </c>
      <c r="AC877" s="2" t="n">
        <f aca="false">IF(AC$7=AC$5,AC$6,IF(NORMSDIST(AC$9*SQRT($C$11)*NORMSINV($B877)+SQRT(1-AC$9^2*$C$11)*NORMSINV(AB877))&lt;AC$8,AC$5+SQRT(NORMSDIST(AC$9*SQRT($C$11)*NORMSINV($B877)+SQRT(1-AC$9^2*$C$11)*NORMSINV(AB877))*(AC$7-AC$5)*(AC$6-AC$5)),AC$7-SQRT((1-NORMSDIST(AC$9*SQRT($C$11)*NORMSINV($B877)+SQRT(1-AC$9^2*$C$11)*NORMSINV(AB877)))*(AC$7-AC$5)*(AC$7-AC$6))))</f>
        <v>8.69576414701007</v>
      </c>
      <c r="AD877" s="2" t="n">
        <f aca="false">Entrées!$C$8*(1+E877)</f>
        <v>7442.07963373286</v>
      </c>
      <c r="AE877" s="2" t="n">
        <f aca="false">I877*Hypothèses!$J$24/12/Hypothèses!$J$19</f>
        <v>101.771864424774</v>
      </c>
      <c r="AF877" s="2" t="n">
        <f aca="false">Entrées!$C$36*S877*1000</f>
        <v>197.899193507045</v>
      </c>
      <c r="AG877" s="2" t="n">
        <f aca="false">-AF877/W877</f>
        <v>-19.6547274881961</v>
      </c>
      <c r="AH877" s="2" t="n">
        <f aca="false">AD877+AE877+AG877</f>
        <v>7524.19677066944</v>
      </c>
      <c r="AI877" s="2" t="n">
        <f aca="false">Entrées!$C$16-M877+Hypothèses!$J$22*1000-AF877+Hypothèses!$J$23</f>
        <v>22876.1585567764</v>
      </c>
      <c r="AJ877" s="2" t="n">
        <f aca="false">AI877/AH877</f>
        <v>3.04034560153337</v>
      </c>
      <c r="AK877" s="2" t="n">
        <f aca="false">AI877/(AH877+I877*(12-Hypothèses!$J$24)/12/Hypothèses!$J$19)</f>
        <v>3.01125271885549</v>
      </c>
      <c r="AL877" s="2" t="n">
        <f aca="false">(AD877+AG877+I877/Hypothèses!$J$19)*(1+G877)</f>
        <v>8088.31227639845</v>
      </c>
      <c r="AM877" s="2" t="n">
        <f aca="false">Entrées!$C$54*K877/Hypothèses!$J$19</f>
        <v>21.8453425438159</v>
      </c>
      <c r="AN877" s="2" t="n">
        <f aca="false">Y877*1000/AC877</f>
        <v>39.7886942697561</v>
      </c>
      <c r="AO877" s="2" t="n">
        <f aca="false">(Entrées!$C$36*(1-S877)+MAX(0,Entrées!$C$30-Entrées!$C$35-Entrées!$C$36)*U877)*1000</f>
        <v>557.648068579274</v>
      </c>
      <c r="AP877" s="2" t="n">
        <f aca="false">-AO877/W877</f>
        <v>-55.3838579531875</v>
      </c>
      <c r="AQ877" s="2" t="n">
        <f aca="false">AL877+AM877+AN877+AP877</f>
        <v>8094.56245525883</v>
      </c>
      <c r="AR877" s="2" t="n">
        <f aca="false">O877*AQ877-Hypothèses!$J$25/Hypothèses!$J$19</f>
        <v>1194.80317926311</v>
      </c>
      <c r="AS877" s="2" t="n">
        <f aca="false">Entrées!$C$79*(1+Q877)+Hypothèses!$J$20</f>
        <v>1510.12434117448</v>
      </c>
      <c r="AT877" s="2" t="n">
        <f aca="false">AI877-AR877+AS877+Y877*1000-AO877+Hypothèses!$J$23</f>
        <v>22979.8247511958</v>
      </c>
      <c r="AU877" s="2" t="n">
        <f aca="false">AT877/AQ877</f>
        <v>2.83892117433308</v>
      </c>
      <c r="AV877" s="2" t="n">
        <f aca="false">Hypothèses!$J$26*AQ877-AT877</f>
        <v>1303.86261458067</v>
      </c>
      <c r="AW877" s="2" t="n">
        <f aca="false">IF(AC877&gt;Hypothèses!$J$26,MAX(0,AV877)/(1-Hypothèses!$J$26/AC877),0)</f>
        <v>1990.61644475732</v>
      </c>
      <c r="AX877" s="2" t="n">
        <f aca="false">AQ877-Entrées!$C$17*1000</f>
        <v>94.5624552588297</v>
      </c>
      <c r="AY877" s="2" t="n">
        <f aca="false">AI877+(Entrées!$C$244-Entrées!$C$13)</f>
        <v>28623.1585567764</v>
      </c>
      <c r="AZ877" s="2" t="n">
        <f aca="false">AA877*AH877</f>
        <v>5441.40119176356</v>
      </c>
      <c r="BA877" s="2" t="n">
        <f aca="false">AZ877/AY877</f>
        <v>0.190104847477614</v>
      </c>
      <c r="BB877" s="2" t="n">
        <f aca="false">AZ877/(Entrées!$C$151/100)-AY877</f>
        <v>1606.84806413221</v>
      </c>
      <c r="BC877" s="2" t="n">
        <f aca="false">AT877+(Entrées!$C$244-Entrées!$C$13)</f>
        <v>28726.8247511958</v>
      </c>
      <c r="BD877" s="2" t="n">
        <f aca="false">AA877*AQ877</f>
        <v>5853.88223265872</v>
      </c>
      <c r="BE877" s="2" t="n">
        <f aca="false">BD877/BC877</f>
        <v>0.203777559245041</v>
      </c>
      <c r="BF877" s="2" t="n">
        <f aca="false">BD877/(Entrées!$C$151/100)-BC877</f>
        <v>3794.74320801928</v>
      </c>
      <c r="BG877" s="2" t="n">
        <f aca="false">MIN(AV877,BF877)</f>
        <v>1303.86261458067</v>
      </c>
      <c r="BH877" s="2" t="n">
        <f aca="false">IF(AC877&gt;Hypothèses!$J$26,MAX(0,BG877)/(1-Hypothèses!$J$26/AC877),0)</f>
        <v>1990.61644475732</v>
      </c>
    </row>
    <row r="878" customFormat="false" ht="15" hidden="false" customHeight="false" outlineLevel="0" collapsed="false">
      <c r="A878" s="2" t="n">
        <v>863</v>
      </c>
      <c r="B878" s="2" t="n">
        <v>0.784614656</v>
      </c>
      <c r="C878" s="2"/>
      <c r="D878" s="2" t="n">
        <v>0.964780304</v>
      </c>
      <c r="E878" s="2" t="n">
        <f aca="false">IF(E$7=E$5,E$6,IF(NORMSDIST(E$9*SQRT($C$11)*NORMSINV($B878)+SQRT(1-E$9^2*$C$11)*NORMSINV(D878))&lt;E$8,E$5+SQRT(NORMSDIST(E$9*SQRT($C$11)*NORMSINV($B878)+SQRT(1-E$9^2*$C$11)*NORMSINV(D878))*(E$7-E$5)*(E$6-E$5)),E$7-SQRT((1-NORMSDIST(E$9*SQRT($C$11)*NORMSINV($B878)+SQRT(1-E$9^2*$C$11)*NORMSINV(D878)))*(E$7-E$5)*(E$7-E$6))))</f>
        <v>0.0588011895153973</v>
      </c>
      <c r="F878" s="2" t="n">
        <v>0.372623439</v>
      </c>
      <c r="G878" s="2" t="n">
        <f aca="false">IF(G$7=G$5,G$6,IF(NORMSDIST(G$9*SQRT($C$11)*NORMSINV($B878)+SQRT(1-G$9^2*$C$11)*NORMSINV(F878))&lt;G$8,G$5+SQRT(NORMSDIST(G$9*SQRT($C$11)*NORMSINV($B878)+SQRT(1-G$9^2*$C$11)*NORMSINV(F878))*(G$7-G$5)*(G$6-G$5)),G$7-SQRT((1-NORMSDIST(G$9*SQRT($C$11)*NORMSINV($B878)+SQRT(1-G$9^2*$C$11)*NORMSINV(F878)))*(G$7-G$5)*(G$7-G$6))))</f>
        <v>0.0565400296660062</v>
      </c>
      <c r="H878" s="2" t="n">
        <v>0.622694408</v>
      </c>
      <c r="I878" s="2" t="n">
        <f aca="false">IF(I$7=I$5,I$6,IF(NORMSDIST(I$9*SQRT($C$11)*NORMSINV($B878)+SQRT(1-I$9^2*$C$11)*NORMSINV(H878))&lt;I$8,I$5+SQRT(NORMSDIST(I$9*SQRT($C$11)*NORMSINV($B878)+SQRT(1-I$9^2*$C$11)*NORMSINV(H878))*(I$7-I$5)*(I$6-I$5)),I$7-SQRT((1-NORMSDIST(I$9*SQRT($C$11)*NORMSINV($B878)+SQRT(1-I$9^2*$C$11)*NORMSINV(H878)))*(I$7-I$5)*(I$7-I$6))))</f>
        <v>206.449306816435</v>
      </c>
      <c r="J878" s="2" t="n">
        <v>0.632363053</v>
      </c>
      <c r="K878" s="2" t="n">
        <f aca="false">IF(K$7=K$5,K$6,IF(NORMSDIST(K$9*SQRT($C$11)*NORMSINV($B878)+SQRT(1-K$9^2*$C$11)*NORMSINV(J878))&lt;K$8,K$5+SQRT(NORMSDIST(K$9*SQRT($C$11)*NORMSINV($B878)+SQRT(1-K$9^2*$C$11)*NORMSINV(J878))*(K$7-K$5)*(K$6-K$5)),K$7-SQRT((1-NORMSDIST(K$9*SQRT($C$11)*NORMSINV($B878)+SQRT(1-K$9^2*$C$11)*NORMSINV(J878)))*(K$7-K$5)*(K$7-K$6))))</f>
        <v>0.332829654943038</v>
      </c>
      <c r="L878" s="2" t="n">
        <v>0.216236519</v>
      </c>
      <c r="M878" s="2" t="n">
        <f aca="false">IF(M$7=M$5,M$6,IF(NORMSDIST(M$9*SQRT($C$11)*NORMSINV($B878)+SQRT(1-M$9^2*$C$11)*NORMSINV(L878))&lt;M$8,M$5+SQRT(NORMSDIST(M$9*SQRT($C$11)*NORMSINV($B878)+SQRT(1-M$9^2*$C$11)*NORMSINV(L878))*(M$7-M$5)*(M$6-M$5)),M$7-SQRT((1-NORMSDIST(M$9*SQRT($C$11)*NORMSINV($B878)+SQRT(1-M$9^2*$C$11)*NORMSINV(L878)))*(M$7-M$5)*(M$7-M$6))))</f>
        <v>1572.74177586399</v>
      </c>
      <c r="N878" s="2" t="n">
        <v>0.540552053</v>
      </c>
      <c r="O878" s="2" t="n">
        <f aca="false">IF(O$7=O$5,O$6,IF(NORMSDIST(O$9*SQRT($C$11)*NORMSINV($B878)+SQRT(1-O$9^2*$C$11)*NORMSINV(N878))&lt;O$8,O$5+SQRT(NORMSDIST(O$9*SQRT($C$11)*NORMSINV($B878)+SQRT(1-O$9^2*$C$11)*NORMSINV(N878))*(O$7-O$5)*(O$6-O$5)),O$7-SQRT((1-NORMSDIST(O$9*SQRT($C$11)*NORMSINV($B878)+SQRT(1-O$9^2*$C$11)*NORMSINV(N878)))*(O$7-O$5)*(O$7-O$6))))</f>
        <v>0.172671163178065</v>
      </c>
      <c r="P878" s="2" t="n">
        <v>0.64913303</v>
      </c>
      <c r="Q878" s="2" t="n">
        <f aca="false">IF(Q$7=Q$5,Q$6,IF(NORMSDIST(Q$9*SQRT($C$11)*NORMSINV($B878)+SQRT(1-Q$9^2*$C$11)*NORMSINV(P878))&lt;Q$8,Q$5+SQRT(NORMSDIST(Q$9*SQRT($C$11)*NORMSINV($B878)+SQRT(1-Q$9^2*$C$11)*NORMSINV(P878))*(Q$7-Q$5)*(Q$6-Q$5)),Q$7-SQRT((1-NORMSDIST(Q$9*SQRT($C$11)*NORMSINV($B878)+SQRT(1-Q$9^2*$C$11)*NORMSINV(P878)))*(Q$7-Q$5)*(Q$7-Q$6))))</f>
        <v>0.0864921754809418</v>
      </c>
      <c r="R878" s="2" t="n">
        <v>0.198368268</v>
      </c>
      <c r="S878" s="2" t="n">
        <f aca="false">IF(S$7=S$5,S$6,IF(NORMSDIST(S$9*SQRT($C$11)*NORMSINV($B878)+SQRT(1-S$9^2*$C$11)*NORMSINV(R878))&lt;S$8,S$5+SQRT(NORMSDIST(S$9*SQRT($C$11)*NORMSINV($B878)+SQRT(1-S$9^2*$C$11)*NORMSINV(R878))*(S$7-S$5)*(S$6-S$5)),S$7-SQRT((1-NORMSDIST(S$9*SQRT($C$11)*NORMSINV($B878)+SQRT(1-S$9^2*$C$11)*NORMSINV(R878)))*(S$7-S$5)*(S$7-S$6))))</f>
        <v>0.46753083022857</v>
      </c>
      <c r="T878" s="2" t="n">
        <v>0.108083857</v>
      </c>
      <c r="U878" s="2" t="n">
        <f aca="false">IF(U$7=U$5,U$6,IF(NORMSDIST(U$9*SQRT($C$11)*NORMSINV($B878)+SQRT(1-U$9^2*$C$11)*NORMSINV(T878))&lt;U$8,U$5+SQRT(NORMSDIST(U$9*SQRT($C$11)*NORMSINV($B878)+SQRT(1-U$9^2*$C$11)*NORMSINV(T878))*(U$7-U$5)*(U$6-U$5)),U$7-SQRT((1-NORMSDIST(U$9*SQRT($C$11)*NORMSINV($B878)+SQRT(1-U$9^2*$C$11)*NORMSINV(T878)))*(U$7-U$5)*(U$7-U$6))))</f>
        <v>0.401784242304433</v>
      </c>
      <c r="V878" s="2" t="n">
        <v>0.827014923</v>
      </c>
      <c r="W878" s="2" t="n">
        <f aca="false">IF(W$7=W$5,W$6,IF(NORMSDIST(W$9*SQRT($C$11)*NORMSINV($B878)+SQRT(1-W$9^2*$C$11)*NORMSINV(V878))&lt;W$8,W$5+SQRT(NORMSDIST(W$9*SQRT($C$11)*NORMSINV($B878)+SQRT(1-W$9^2*$C$11)*NORMSINV(V878))*(W$7-W$5)*(W$6-W$5)),W$7-SQRT((1-NORMSDIST(W$9*SQRT($C$11)*NORMSINV($B878)+SQRT(1-W$9^2*$C$11)*NORMSINV(V878)))*(W$7-W$5)*(W$7-W$6))))</f>
        <v>11.0633384199796</v>
      </c>
      <c r="X878" s="2" t="n">
        <v>0.349452707</v>
      </c>
      <c r="Y878" s="2" t="n">
        <f aca="false">IF(Y$7=Y$5,Y$6,IF(NORMSDIST(Y$9*SQRT($C$11)*NORMSINV($B878)+SQRT(1-Y$9^2*$C$11)*NORMSINV(X878))&lt;Y$8,Y$5+SQRT(NORMSDIST(Y$9*SQRT($C$11)*NORMSINV($B878)+SQRT(1-Y$9^2*$C$11)*NORMSINV(X878))*(Y$7-Y$5)*(Y$6-Y$5)),Y$7-SQRT((1-NORMSDIST(Y$9*SQRT($C$11)*NORMSINV($B878)+SQRT(1-Y$9^2*$C$11)*NORMSINV(X878)))*(Y$7-Y$5)*(Y$7-Y$6))))</f>
        <v>0.418002815181908</v>
      </c>
      <c r="Z878" s="2" t="n">
        <v>0.665903917</v>
      </c>
      <c r="AA878" s="2" t="n">
        <f aca="false">IF(AA$7=AA$5,AA$6,IF(NORMSDIST(AA$9*SQRT($C$11)*NORMSINV($B878)+SQRT(1-AA$9^2*$C$11)*NORMSINV(Z878))&lt;AA$8,AA$5+SQRT(NORMSDIST(AA$9*SQRT($C$11)*NORMSINV($B878)+SQRT(1-AA$9^2*$C$11)*NORMSINV(Z878))*(AA$7-AA$5)*(AA$6-AA$5)),AA$7-SQRT((1-NORMSDIST(AA$9*SQRT($C$11)*NORMSINV($B878)+SQRT(1-AA$9^2*$C$11)*NORMSINV(Z878)))*(AA$7-AA$5)*(AA$7-AA$6))))</f>
        <v>0.737709847064014</v>
      </c>
      <c r="AB878" s="2" t="n">
        <v>0.407100454</v>
      </c>
      <c r="AC878" s="2" t="n">
        <f aca="false">IF(AC$7=AC$5,AC$6,IF(NORMSDIST(AC$9*SQRT($C$11)*NORMSINV($B878)+SQRT(1-AC$9^2*$C$11)*NORMSINV(AB878))&lt;AC$8,AC$5+SQRT(NORMSDIST(AC$9*SQRT($C$11)*NORMSINV($B878)+SQRT(1-AC$9^2*$C$11)*NORMSINV(AB878))*(AC$7-AC$5)*(AC$6-AC$5)),AC$7-SQRT((1-NORMSDIST(AC$9*SQRT($C$11)*NORMSINV($B878)+SQRT(1-AC$9^2*$C$11)*NORMSINV(AB878)))*(AC$7-AC$5)*(AC$7-AC$6))))</f>
        <v>9.72210930955277</v>
      </c>
      <c r="AD878" s="2" t="n">
        <f aca="false">Entrées!$C$8*(1+E878)</f>
        <v>7464.54838608355</v>
      </c>
      <c r="AE878" s="2" t="n">
        <f aca="false">I878*Hypothèses!$J$24/12/Hypothèses!$J$19</f>
        <v>102.418840344921</v>
      </c>
      <c r="AF878" s="2" t="n">
        <f aca="false">Entrées!$C$36*S878*1000</f>
        <v>233.765415114285</v>
      </c>
      <c r="AG878" s="2" t="n">
        <f aca="false">-AF878/W878</f>
        <v>-21.1297355499965</v>
      </c>
      <c r="AH878" s="2" t="n">
        <f aca="false">AD878+AE878+AG878</f>
        <v>7545.83749087848</v>
      </c>
      <c r="AI878" s="2" t="n">
        <f aca="false">Entrées!$C$16-M878+Hypothèses!$J$22*1000-AF878+Hypothèses!$J$23</f>
        <v>22741.4928090217</v>
      </c>
      <c r="AJ878" s="2" t="n">
        <f aca="false">AI878/AH878</f>
        <v>3.01377982715795</v>
      </c>
      <c r="AK878" s="2" t="n">
        <f aca="false">AI878/(AH878+I878*(12-Hypothèses!$J$24)/12/Hypothèses!$J$19)</f>
        <v>2.98484201324223</v>
      </c>
      <c r="AL878" s="2" t="n">
        <f aca="false">(AD878+AG878+I878/Hypothèses!$J$19)*(1+G878)</f>
        <v>8049.77194119359</v>
      </c>
      <c r="AM878" s="2" t="n">
        <f aca="false">Entrées!$C$54*K878/Hypothèses!$J$19</f>
        <v>33.966663748352</v>
      </c>
      <c r="AN878" s="2" t="n">
        <f aca="false">Y878*1000/AC878</f>
        <v>42.9950746152572</v>
      </c>
      <c r="AO878" s="2" t="n">
        <f aca="false">(Entrées!$C$36*(1-S878)+MAX(0,Entrées!$C$30-Entrées!$C$35-Entrées!$C$36)*U878)*1000</f>
        <v>828.732524111921</v>
      </c>
      <c r="AP878" s="2" t="n">
        <f aca="false">-AO878/W878</f>
        <v>-74.9079972655713</v>
      </c>
      <c r="AQ878" s="2" t="n">
        <f aca="false">AL878+AM878+AN878+AP878</f>
        <v>8051.82568229163</v>
      </c>
      <c r="AR878" s="2" t="n">
        <f aca="false">O878*AQ878-Hypothèses!$J$25/Hypothèses!$J$19</f>
        <v>1371.18294400668</v>
      </c>
      <c r="AS878" s="2" t="n">
        <f aca="false">Entrées!$C$79*(1+Q878)+Hypothèses!$J$20</f>
        <v>1489.05490085356</v>
      </c>
      <c r="AT878" s="2" t="n">
        <f aca="false">AI878-AR878+AS878+Y878*1000-AO878+Hypothèses!$J$23</f>
        <v>22448.6350569386</v>
      </c>
      <c r="AU878" s="2" t="n">
        <f aca="false">AT878/AQ878</f>
        <v>2.78801801513287</v>
      </c>
      <c r="AV878" s="2" t="n">
        <f aca="false">Hypothèses!$J$26*AQ878-AT878</f>
        <v>1706.84198993631</v>
      </c>
      <c r="AW878" s="2" t="n">
        <f aca="false">IF(AC878&gt;Hypothèses!$J$26,MAX(0,AV878)/(1-Hypothèses!$J$26/AC878),0)</f>
        <v>2468.58592089741</v>
      </c>
      <c r="AX878" s="2" t="n">
        <f aca="false">AQ878-Entrées!$C$17*1000</f>
        <v>51.8256822916301</v>
      </c>
      <c r="AY878" s="2" t="n">
        <f aca="false">AI878+(Entrées!$C$244-Entrées!$C$13)</f>
        <v>28488.4928090217</v>
      </c>
      <c r="AZ878" s="2" t="n">
        <f aca="false">AA878*AH878</f>
        <v>5566.63862136586</v>
      </c>
      <c r="BA878" s="2" t="n">
        <f aca="false">AZ878/AY878</f>
        <v>0.195399548115196</v>
      </c>
      <c r="BB878" s="2" t="n">
        <f aca="false">AZ878/(Entrées!$C$151/100)-AY878</f>
        <v>2437.27730967751</v>
      </c>
      <c r="BC878" s="2" t="n">
        <f aca="false">AT878+(Entrées!$C$244-Entrées!$C$13)</f>
        <v>28195.6350569386</v>
      </c>
      <c r="BD878" s="2" t="n">
        <f aca="false">AA878*AQ878</f>
        <v>5939.91109266946</v>
      </c>
      <c r="BE878" s="2" t="n">
        <f aca="false">BD878/BC878</f>
        <v>0.210667753383612</v>
      </c>
      <c r="BF878" s="2" t="n">
        <f aca="false">BD878/(Entrées!$C$151/100)-BC878</f>
        <v>4803.87101344729</v>
      </c>
      <c r="BG878" s="2" t="n">
        <f aca="false">MIN(AV878,BF878)</f>
        <v>1706.84198993631</v>
      </c>
      <c r="BH878" s="2" t="n">
        <f aca="false">IF(AC878&gt;Hypothèses!$J$26,MAX(0,BG878)/(1-Hypothèses!$J$26/AC878),0)</f>
        <v>2468.58592089741</v>
      </c>
    </row>
    <row r="879" customFormat="false" ht="15" hidden="false" customHeight="false" outlineLevel="0" collapsed="false">
      <c r="A879" s="2" t="n">
        <v>864</v>
      </c>
      <c r="B879" s="2" t="n">
        <v>0.275944413</v>
      </c>
      <c r="C879" s="2"/>
      <c r="D879" s="2" t="n">
        <v>0.9891368</v>
      </c>
      <c r="E879" s="2" t="n">
        <f aca="false">IF(E$7=E$5,E$6,IF(NORMSDIST(E$9*SQRT($C$11)*NORMSINV($B879)+SQRT(1-E$9^2*$C$11)*NORMSINV(D879))&lt;E$8,E$5+SQRT(NORMSDIST(E$9*SQRT($C$11)*NORMSINV($B879)+SQRT(1-E$9^2*$C$11)*NORMSINV(D879))*(E$7-E$5)*(E$6-E$5)),E$7-SQRT((1-NORMSDIST(E$9*SQRT($C$11)*NORMSINV($B879)+SQRT(1-E$9^2*$C$11)*NORMSINV(D879)))*(E$7-E$5)*(E$7-E$6))))</f>
        <v>0.0579933984214104</v>
      </c>
      <c r="F879" s="2" t="n">
        <v>0.944810269</v>
      </c>
      <c r="G879" s="2" t="n">
        <f aca="false">IF(G$7=G$5,G$6,IF(NORMSDIST(G$9*SQRT($C$11)*NORMSINV($B879)+SQRT(1-G$9^2*$C$11)*NORMSINV(F879))&lt;G$8,G$5+SQRT(NORMSDIST(G$9*SQRT($C$11)*NORMSINV($B879)+SQRT(1-G$9^2*$C$11)*NORMSINV(F879))*(G$7-G$5)*(G$6-G$5)),G$7-SQRT((1-NORMSDIST(G$9*SQRT($C$11)*NORMSINV($B879)+SQRT(1-G$9^2*$C$11)*NORMSINV(F879)))*(G$7-G$5)*(G$7-G$6))))</f>
        <v>0.0606374711418176</v>
      </c>
      <c r="H879" s="2" t="n">
        <v>0.921225694</v>
      </c>
      <c r="I879" s="2" t="n">
        <f aca="false">IF(I$7=I$5,I$6,IF(NORMSDIST(I$9*SQRT($C$11)*NORMSINV($B879)+SQRT(1-I$9^2*$C$11)*NORMSINV(H879))&lt;I$8,I$5+SQRT(NORMSDIST(I$9*SQRT($C$11)*NORMSINV($B879)+SQRT(1-I$9^2*$C$11)*NORMSINV(H879))*(I$7-I$5)*(I$6-I$5)),I$7-SQRT((1-NORMSDIST(I$9*SQRT($C$11)*NORMSINV($B879)+SQRT(1-I$9^2*$C$11)*NORMSINV(H879)))*(I$7-I$5)*(I$7-I$6))))</f>
        <v>206.253186488743</v>
      </c>
      <c r="J879" s="2" t="n">
        <v>0.325016676</v>
      </c>
      <c r="K879" s="2" t="n">
        <f aca="false">IF(K$7=K$5,K$6,IF(NORMSDIST(K$9*SQRT($C$11)*NORMSINV($B879)+SQRT(1-K$9^2*$C$11)*NORMSINV(J879))&lt;K$8,K$5+SQRT(NORMSDIST(K$9*SQRT($C$11)*NORMSINV($B879)+SQRT(1-K$9^2*$C$11)*NORMSINV(J879))*(K$7-K$5)*(K$6-K$5)),K$7-SQRT((1-NORMSDIST(K$9*SQRT($C$11)*NORMSINV($B879)+SQRT(1-K$9^2*$C$11)*NORMSINV(J879)))*(K$7-K$5)*(K$7-K$6))))</f>
        <v>0.17080473398868</v>
      </c>
      <c r="L879" s="2" t="n">
        <v>0.962373581</v>
      </c>
      <c r="M879" s="2" t="n">
        <f aca="false">IF(M$7=M$5,M$6,IF(NORMSDIST(M$9*SQRT($C$11)*NORMSINV($B879)+SQRT(1-M$9^2*$C$11)*NORMSINV(L879))&lt;M$8,M$5+SQRT(NORMSDIST(M$9*SQRT($C$11)*NORMSINV($B879)+SQRT(1-M$9^2*$C$11)*NORMSINV(L879))*(M$7-M$5)*(M$6-M$5)),M$7-SQRT((1-NORMSDIST(M$9*SQRT($C$11)*NORMSINV($B879)+SQRT(1-M$9^2*$C$11)*NORMSINV(L879)))*(M$7-M$5)*(M$7-M$6))))</f>
        <v>1679.65858826263</v>
      </c>
      <c r="N879" s="2" t="n">
        <v>0.434232416</v>
      </c>
      <c r="O879" s="2" t="n">
        <f aca="false">IF(O$7=O$5,O$6,IF(NORMSDIST(O$9*SQRT($C$11)*NORMSINV($B879)+SQRT(1-O$9^2*$C$11)*NORMSINV(N879))&lt;O$8,O$5+SQRT(NORMSDIST(O$9*SQRT($C$11)*NORMSINV($B879)+SQRT(1-O$9^2*$C$11)*NORMSINV(N879))*(O$7-O$5)*(O$6-O$5)),O$7-SQRT((1-NORMSDIST(O$9*SQRT($C$11)*NORMSINV($B879)+SQRT(1-O$9^2*$C$11)*NORMSINV(N879)))*(O$7-O$5)*(O$7-O$6))))</f>
        <v>0.160985719136671</v>
      </c>
      <c r="P879" s="2" t="n">
        <v>0.6113923</v>
      </c>
      <c r="Q879" s="2" t="n">
        <f aca="false">IF(Q$7=Q$5,Q$6,IF(NORMSDIST(Q$9*SQRT($C$11)*NORMSINV($B879)+SQRT(1-Q$9^2*$C$11)*NORMSINV(P879))&lt;Q$8,Q$5+SQRT(NORMSDIST(Q$9*SQRT($C$11)*NORMSINV($B879)+SQRT(1-Q$9^2*$C$11)*NORMSINV(P879))*(Q$7-Q$5)*(Q$6-Q$5)),Q$7-SQRT((1-NORMSDIST(Q$9*SQRT($C$11)*NORMSINV($B879)+SQRT(1-Q$9^2*$C$11)*NORMSINV(P879)))*(Q$7-Q$5)*(Q$7-Q$6))))</f>
        <v>0.0847360716879132</v>
      </c>
      <c r="R879" s="2" t="n">
        <v>0.108192896</v>
      </c>
      <c r="S879" s="2" t="n">
        <f aca="false">IF(S$7=S$5,S$6,IF(NORMSDIST(S$9*SQRT($C$11)*NORMSINV($B879)+SQRT(1-S$9^2*$C$11)*NORMSINV(R879))&lt;S$8,S$5+SQRT(NORMSDIST(S$9*SQRT($C$11)*NORMSINV($B879)+SQRT(1-S$9^2*$C$11)*NORMSINV(R879))*(S$7-S$5)*(S$6-S$5)),S$7-SQRT((1-NORMSDIST(S$9*SQRT($C$11)*NORMSINV($B879)+SQRT(1-S$9^2*$C$11)*NORMSINV(R879)))*(S$7-S$5)*(S$7-S$6))))</f>
        <v>0.213461024554967</v>
      </c>
      <c r="T879" s="2" t="n">
        <v>0.011511132</v>
      </c>
      <c r="U879" s="2" t="n">
        <f aca="false">IF(U$7=U$5,U$6,IF(NORMSDIST(U$9*SQRT($C$11)*NORMSINV($B879)+SQRT(1-U$9^2*$C$11)*NORMSINV(T879))&lt;U$8,U$5+SQRT(NORMSDIST(U$9*SQRT($C$11)*NORMSINV($B879)+SQRT(1-U$9^2*$C$11)*NORMSINV(T879))*(U$7-U$5)*(U$6-U$5)),U$7-SQRT((1-NORMSDIST(U$9*SQRT($C$11)*NORMSINV($B879)+SQRT(1-U$9^2*$C$11)*NORMSINV(T879)))*(U$7-U$5)*(U$7-U$6))))</f>
        <v>0.0902771939924178</v>
      </c>
      <c r="V879" s="2" t="n">
        <v>0.497553382</v>
      </c>
      <c r="W879" s="2" t="n">
        <f aca="false">IF(W$7=W$5,W$6,IF(NORMSDIST(W$9*SQRT($C$11)*NORMSINV($B879)+SQRT(1-W$9^2*$C$11)*NORMSINV(V879))&lt;W$8,W$5+SQRT(NORMSDIST(W$9*SQRT($C$11)*NORMSINV($B879)+SQRT(1-W$9^2*$C$11)*NORMSINV(V879))*(W$7-W$5)*(W$6-W$5)),W$7-SQRT((1-NORMSDIST(W$9*SQRT($C$11)*NORMSINV($B879)+SQRT(1-W$9^2*$C$11)*NORMSINV(V879)))*(W$7-W$5)*(W$7-W$6))))</f>
        <v>9.67712786010082</v>
      </c>
      <c r="X879" s="2" t="n">
        <v>0.405762585</v>
      </c>
      <c r="Y879" s="2" t="n">
        <f aca="false">IF(Y$7=Y$5,Y$6,IF(NORMSDIST(Y$9*SQRT($C$11)*NORMSINV($B879)+SQRT(1-Y$9^2*$C$11)*NORMSINV(X879))&lt;Y$8,Y$5+SQRT(NORMSDIST(Y$9*SQRT($C$11)*NORMSINV($B879)+SQRT(1-Y$9^2*$C$11)*NORMSINV(X879))*(Y$7-Y$5)*(Y$6-Y$5)),Y$7-SQRT((1-NORMSDIST(Y$9*SQRT($C$11)*NORMSINV($B879)+SQRT(1-Y$9^2*$C$11)*NORMSINV(X879)))*(Y$7-Y$5)*(Y$7-Y$6))))</f>
        <v>0.450423459091553</v>
      </c>
      <c r="Z879" s="2" t="n">
        <v>0.882176115</v>
      </c>
      <c r="AA879" s="2" t="n">
        <f aca="false">IF(AA$7=AA$5,AA$6,IF(NORMSDIST(AA$9*SQRT($C$11)*NORMSINV($B879)+SQRT(1-AA$9^2*$C$11)*NORMSINV(Z879))&lt;AA$8,AA$5+SQRT(NORMSDIST(AA$9*SQRT($C$11)*NORMSINV($B879)+SQRT(1-AA$9^2*$C$11)*NORMSINV(Z879))*(AA$7-AA$5)*(AA$6-AA$5)),AA$7-SQRT((1-NORMSDIST(AA$9*SQRT($C$11)*NORMSINV($B879)+SQRT(1-AA$9^2*$C$11)*NORMSINV(Z879)))*(AA$7-AA$5)*(AA$7-AA$6))))</f>
        <v>0.734437416344339</v>
      </c>
      <c r="AB879" s="2" t="n">
        <v>0.337101201</v>
      </c>
      <c r="AC879" s="2" t="n">
        <f aca="false">IF(AC$7=AC$5,AC$6,IF(NORMSDIST(AC$9*SQRT($C$11)*NORMSINV($B879)+SQRT(1-AC$9^2*$C$11)*NORMSINV(AB879))&lt;AC$8,AC$5+SQRT(NORMSDIST(AC$9*SQRT($C$11)*NORMSINV($B879)+SQRT(1-AC$9^2*$C$11)*NORMSINV(AB879))*(AC$7-AC$5)*(AC$6-AC$5)),AC$7-SQRT((1-NORMSDIST(AC$9*SQRT($C$11)*NORMSINV($B879)+SQRT(1-AC$9^2*$C$11)*NORMSINV(AB879)))*(AC$7-AC$5)*(AC$7-AC$6))))</f>
        <v>8.84410748074333</v>
      </c>
      <c r="AD879" s="2" t="n">
        <f aca="false">Entrées!$C$8*(1+E879)</f>
        <v>7458.85345887094</v>
      </c>
      <c r="AE879" s="2" t="n">
        <f aca="false">I879*Hypothèses!$J$24/12/Hypothèses!$J$19</f>
        <v>102.321545678061</v>
      </c>
      <c r="AF879" s="2" t="n">
        <f aca="false">Entrées!$C$36*S879*1000</f>
        <v>106.730512277483</v>
      </c>
      <c r="AG879" s="2" t="n">
        <f aca="false">-AF879/W879</f>
        <v>-11.029151812444</v>
      </c>
      <c r="AH879" s="2" t="n">
        <f aca="false">AD879+AE879+AG879</f>
        <v>7550.14585273656</v>
      </c>
      <c r="AI879" s="2" t="n">
        <f aca="false">Entrées!$C$16-M879+Hypothèses!$J$22*1000-AF879+Hypothèses!$J$23</f>
        <v>22761.6108994599</v>
      </c>
      <c r="AJ879" s="2" t="n">
        <f aca="false">AI879/AH879</f>
        <v>3.01472466140636</v>
      </c>
      <c r="AK879" s="2" t="n">
        <f aca="false">AI879/(AH879+I879*(12-Hypothèses!$J$24)/12/Hypothèses!$J$19)</f>
        <v>2.9858213544781</v>
      </c>
      <c r="AL879" s="2" t="n">
        <f aca="false">(AD879+AG879+I879/Hypothèses!$J$19)*(1+G879)</f>
        <v>8085.48622217789</v>
      </c>
      <c r="AM879" s="2" t="n">
        <f aca="false">Entrées!$C$54*K879/Hypothèses!$J$19</f>
        <v>17.4313402662787</v>
      </c>
      <c r="AN879" s="2" t="n">
        <f aca="false">Y879*1000/AC879</f>
        <v>50.9292158730861</v>
      </c>
      <c r="AO879" s="2" t="n">
        <f aca="false">(Entrées!$C$36*(1-S879)+MAX(0,Entrées!$C$30-Entrées!$C$35-Entrées!$C$36)*U879)*1000</f>
        <v>519.657559311902</v>
      </c>
      <c r="AP879" s="2" t="n">
        <f aca="false">-AO879/W879</f>
        <v>-53.6995652867697</v>
      </c>
      <c r="AQ879" s="2" t="n">
        <f aca="false">AL879+AM879+AN879+AP879</f>
        <v>8100.14721303048</v>
      </c>
      <c r="AR879" s="2" t="n">
        <f aca="false">O879*AQ879-Hypothèses!$J$25/Hypothèses!$J$19</f>
        <v>1284.87286194099</v>
      </c>
      <c r="AS879" s="2" t="n">
        <f aca="false">Entrées!$C$79*(1+Q879)+Hypothèses!$J$20</f>
        <v>1487.12494278502</v>
      </c>
      <c r="AT879" s="2" t="n">
        <f aca="false">AI879-AR879+AS879+Y879*1000-AO879+Hypothèses!$J$23</f>
        <v>22894.6288800836</v>
      </c>
      <c r="AU879" s="2" t="n">
        <f aca="false">AT879/AQ879</f>
        <v>2.82644602350604</v>
      </c>
      <c r="AV879" s="2" t="n">
        <f aca="false">Hypothèses!$J$26*AQ879-AT879</f>
        <v>1405.81275900788</v>
      </c>
      <c r="AW879" s="2" t="n">
        <f aca="false">IF(AC879&gt;Hypothèses!$J$26,MAX(0,AV879)/(1-Hypothèses!$J$26/AC879),0)</f>
        <v>2127.46928071292</v>
      </c>
      <c r="AX879" s="2" t="n">
        <f aca="false">AQ879-Entrées!$C$17*1000</f>
        <v>100.147213030482</v>
      </c>
      <c r="AY879" s="2" t="n">
        <f aca="false">AI879+(Entrées!$C$244-Entrées!$C$13)</f>
        <v>28508.6108994599</v>
      </c>
      <c r="AZ879" s="2" t="n">
        <f aca="false">AA879*AH879</f>
        <v>5545.10961310677</v>
      </c>
      <c r="BA879" s="2" t="n">
        <f aca="false">AZ879/AY879</f>
        <v>0.194506482012136</v>
      </c>
      <c r="BB879" s="2" t="n">
        <f aca="false">AZ879/(Entrées!$C$151/100)-AY879</f>
        <v>2297.55361779993</v>
      </c>
      <c r="BC879" s="2" t="n">
        <f aca="false">AT879+(Entrées!$C$244-Entrées!$C$13)</f>
        <v>28641.6288800836</v>
      </c>
      <c r="BD879" s="2" t="n">
        <f aca="false">AA879*AQ879</f>
        <v>5949.05119114691</v>
      </c>
      <c r="BE879" s="2" t="n">
        <f aca="false">BD879/BC879</f>
        <v>0.207706454687138</v>
      </c>
      <c r="BF879" s="2" t="n">
        <f aca="false">BD879/(Entrées!$C$151/100)-BC879</f>
        <v>4408.65551517703</v>
      </c>
      <c r="BG879" s="2" t="n">
        <f aca="false">MIN(AV879,BF879)</f>
        <v>1405.81275900788</v>
      </c>
      <c r="BH879" s="2" t="n">
        <f aca="false">IF(AC879&gt;Hypothèses!$J$26,MAX(0,BG879)/(1-Hypothèses!$J$26/AC879),0)</f>
        <v>2127.46928071292</v>
      </c>
    </row>
    <row r="880" customFormat="false" ht="15" hidden="false" customHeight="false" outlineLevel="0" collapsed="false">
      <c r="A880" s="2" t="n">
        <v>865</v>
      </c>
      <c r="B880" s="2" t="n">
        <v>0.337636038</v>
      </c>
      <c r="C880" s="2"/>
      <c r="D880" s="2" t="n">
        <v>0.760859327</v>
      </c>
      <c r="E880" s="2" t="n">
        <f aca="false">IF(E$7=E$5,E$6,IF(NORMSDIST(E$9*SQRT($C$11)*NORMSINV($B880)+SQRT(1-E$9^2*$C$11)*NORMSINV(D880))&lt;E$8,E$5+SQRT(NORMSDIST(E$9*SQRT($C$11)*NORMSINV($B880)+SQRT(1-E$9^2*$C$11)*NORMSINV(D880))*(E$7-E$5)*(E$6-E$5)),E$7-SQRT((1-NORMSDIST(E$9*SQRT($C$11)*NORMSINV($B880)+SQRT(1-E$9^2*$C$11)*NORMSINV(D880)))*(E$7-E$5)*(E$7-E$6))))</f>
        <v>0.0555949282249104</v>
      </c>
      <c r="F880" s="2" t="n">
        <v>0.408115461</v>
      </c>
      <c r="G880" s="2" t="n">
        <f aca="false">IF(G$7=G$5,G$6,IF(NORMSDIST(G$9*SQRT($C$11)*NORMSINV($B880)+SQRT(1-G$9^2*$C$11)*NORMSINV(F880))&lt;G$8,G$5+SQRT(NORMSDIST(G$9*SQRT($C$11)*NORMSINV($B880)+SQRT(1-G$9^2*$C$11)*NORMSINV(F880))*(G$7-G$5)*(G$6-G$5)),G$7-SQRT((1-NORMSDIST(G$9*SQRT($C$11)*NORMSINV($B880)+SQRT(1-G$9^2*$C$11)*NORMSINV(F880)))*(G$7-G$5)*(G$7-G$6))))</f>
        <v>0.0521522810738428</v>
      </c>
      <c r="H880" s="2" t="n">
        <v>0.051389384</v>
      </c>
      <c r="I880" s="2" t="n">
        <f aca="false">IF(I$7=I$5,I$6,IF(NORMSDIST(I$9*SQRT($C$11)*NORMSINV($B880)+SQRT(1-I$9^2*$C$11)*NORMSINV(H880))&lt;I$8,I$5+SQRT(NORMSDIST(I$9*SQRT($C$11)*NORMSINV($B880)+SQRT(1-I$9^2*$C$11)*NORMSINV(H880))*(I$7-I$5)*(I$6-I$5)),I$7-SQRT((1-NORMSDIST(I$9*SQRT($C$11)*NORMSINV($B880)+SQRT(1-I$9^2*$C$11)*NORMSINV(H880)))*(I$7-I$5)*(I$7-I$6))))</f>
        <v>187.108644336255</v>
      </c>
      <c r="J880" s="2" t="n">
        <v>0.416624763</v>
      </c>
      <c r="K880" s="2" t="n">
        <f aca="false">IF(K$7=K$5,K$6,IF(NORMSDIST(K$9*SQRT($C$11)*NORMSINV($B880)+SQRT(1-K$9^2*$C$11)*NORMSINV(J880))&lt;K$8,K$5+SQRT(NORMSDIST(K$9*SQRT($C$11)*NORMSINV($B880)+SQRT(1-K$9^2*$C$11)*NORMSINV(J880))*(K$7-K$5)*(K$6-K$5)),K$7-SQRT((1-NORMSDIST(K$9*SQRT($C$11)*NORMSINV($B880)+SQRT(1-K$9^2*$C$11)*NORMSINV(J880)))*(K$7-K$5)*(K$7-K$6))))</f>
        <v>0.204424300872031</v>
      </c>
      <c r="L880" s="2" t="n">
        <v>0.374537946</v>
      </c>
      <c r="M880" s="2" t="n">
        <f aca="false">IF(M$7=M$5,M$6,IF(NORMSDIST(M$9*SQRT($C$11)*NORMSINV($B880)+SQRT(1-M$9^2*$C$11)*NORMSINV(L880))&lt;M$8,M$5+SQRT(NORMSDIST(M$9*SQRT($C$11)*NORMSINV($B880)+SQRT(1-M$9^2*$C$11)*NORMSINV(L880))*(M$7-M$5)*(M$6-M$5)),M$7-SQRT((1-NORMSDIST(M$9*SQRT($C$11)*NORMSINV($B880)+SQRT(1-M$9^2*$C$11)*NORMSINV(L880)))*(M$7-M$5)*(M$7-M$6))))</f>
        <v>1523.23318928818</v>
      </c>
      <c r="N880" s="2" t="n">
        <v>0.493724254</v>
      </c>
      <c r="O880" s="2" t="n">
        <f aca="false">IF(O$7=O$5,O$6,IF(NORMSDIST(O$9*SQRT($C$11)*NORMSINV($B880)+SQRT(1-O$9^2*$C$11)*NORMSINV(N880))&lt;O$8,O$5+SQRT(NORMSDIST(O$9*SQRT($C$11)*NORMSINV($B880)+SQRT(1-O$9^2*$C$11)*NORMSINV(N880))*(O$7-O$5)*(O$6-O$5)),O$7-SQRT((1-NORMSDIST(O$9*SQRT($C$11)*NORMSINV($B880)+SQRT(1-O$9^2*$C$11)*NORMSINV(N880)))*(O$7-O$5)*(O$7-O$6))))</f>
        <v>0.163680819136849</v>
      </c>
      <c r="P880" s="2" t="n">
        <v>0.851282766</v>
      </c>
      <c r="Q880" s="2" t="n">
        <f aca="false">IF(Q$7=Q$5,Q$6,IF(NORMSDIST(Q$9*SQRT($C$11)*NORMSINV($B880)+SQRT(1-Q$9^2*$C$11)*NORMSINV(P880))&lt;Q$8,Q$5+SQRT(NORMSDIST(Q$9*SQRT($C$11)*NORMSINV($B880)+SQRT(1-Q$9^2*$C$11)*NORMSINV(P880))*(Q$7-Q$5)*(Q$6-Q$5)),Q$7-SQRT((1-NORMSDIST(Q$9*SQRT($C$11)*NORMSINV($B880)+SQRT(1-Q$9^2*$C$11)*NORMSINV(P880)))*(Q$7-Q$5)*(Q$7-Q$6))))</f>
        <v>0.0981849788265058</v>
      </c>
      <c r="R880" s="2" t="n">
        <v>0.834946419</v>
      </c>
      <c r="S880" s="2" t="n">
        <f aca="false">IF(S$7=S$5,S$6,IF(NORMSDIST(S$9*SQRT($C$11)*NORMSINV($B880)+SQRT(1-S$9^2*$C$11)*NORMSINV(R880))&lt;S$8,S$5+SQRT(NORMSDIST(S$9*SQRT($C$11)*NORMSINV($B880)+SQRT(1-S$9^2*$C$11)*NORMSINV(R880))*(S$7-S$5)*(S$6-S$5)),S$7-SQRT((1-NORMSDIST(S$9*SQRT($C$11)*NORMSINV($B880)+SQRT(1-S$9^2*$C$11)*NORMSINV(R880)))*(S$7-S$5)*(S$7-S$6))))</f>
        <v>0.604861129529687</v>
      </c>
      <c r="T880" s="2" t="n">
        <v>0.429959296</v>
      </c>
      <c r="U880" s="2" t="n">
        <f aca="false">IF(U$7=U$5,U$6,IF(NORMSDIST(U$9*SQRT($C$11)*NORMSINV($B880)+SQRT(1-U$9^2*$C$11)*NORMSINV(T880))&lt;U$8,U$5+SQRT(NORMSDIST(U$9*SQRT($C$11)*NORMSINV($B880)+SQRT(1-U$9^2*$C$11)*NORMSINV(T880))*(U$7-U$5)*(U$6-U$5)),U$7-SQRT((1-NORMSDIST(U$9*SQRT($C$11)*NORMSINV($B880)+SQRT(1-U$9^2*$C$11)*NORMSINV(T880)))*(U$7-U$5)*(U$7-U$6))))</f>
        <v>0.414711328830411</v>
      </c>
      <c r="V880" s="2" t="n">
        <v>0.314688502</v>
      </c>
      <c r="W880" s="2" t="n">
        <f aca="false">IF(W$7=W$5,W$6,IF(NORMSDIST(W$9*SQRT($C$11)*NORMSINV($B880)+SQRT(1-W$9^2*$C$11)*NORMSINV(V880))&lt;W$8,W$5+SQRT(NORMSDIST(W$9*SQRT($C$11)*NORMSINV($B880)+SQRT(1-W$9^2*$C$11)*NORMSINV(V880))*(W$7-W$5)*(W$6-W$5)),W$7-SQRT((1-NORMSDIST(W$9*SQRT($C$11)*NORMSINV($B880)+SQRT(1-W$9^2*$C$11)*NORMSINV(V880)))*(W$7-W$5)*(W$7-W$6))))</f>
        <v>9.44633339449093</v>
      </c>
      <c r="X880" s="2" t="n">
        <v>0.727062646</v>
      </c>
      <c r="Y880" s="2" t="n">
        <f aca="false">IF(Y$7=Y$5,Y$6,IF(NORMSDIST(Y$9*SQRT($C$11)*NORMSINV($B880)+SQRT(1-Y$9^2*$C$11)*NORMSINV(X880))&lt;Y$8,Y$5+SQRT(NORMSDIST(Y$9*SQRT($C$11)*NORMSINV($B880)+SQRT(1-Y$9^2*$C$11)*NORMSINV(X880))*(Y$7-Y$5)*(Y$6-Y$5)),Y$7-SQRT((1-NORMSDIST(Y$9*SQRT($C$11)*NORMSINV($B880)+SQRT(1-Y$9^2*$C$11)*NORMSINV(X880)))*(Y$7-Y$5)*(Y$7-Y$6))))</f>
        <v>0.630583328746522</v>
      </c>
      <c r="Z880" s="2" t="n">
        <v>0.307757076</v>
      </c>
      <c r="AA880" s="2" t="n">
        <f aca="false">IF(AA$7=AA$5,AA$6,IF(NORMSDIST(AA$9*SQRT($C$11)*NORMSINV($B880)+SQRT(1-AA$9^2*$C$11)*NORMSINV(Z880))&lt;AA$8,AA$5+SQRT(NORMSDIST(AA$9*SQRT($C$11)*NORMSINV($B880)+SQRT(1-AA$9^2*$C$11)*NORMSINV(Z880))*(AA$7-AA$5)*(AA$6-AA$5)),AA$7-SQRT((1-NORMSDIST(AA$9*SQRT($C$11)*NORMSINV($B880)+SQRT(1-AA$9^2*$C$11)*NORMSINV(Z880)))*(AA$7-AA$5)*(AA$7-AA$6))))</f>
        <v>0.718766328868958</v>
      </c>
      <c r="AB880" s="2" t="n">
        <v>0.75854951</v>
      </c>
      <c r="AC880" s="2" t="n">
        <f aca="false">IF(AC$7=AC$5,AC$6,IF(NORMSDIST(AC$9*SQRT($C$11)*NORMSINV($B880)+SQRT(1-AC$9^2*$C$11)*NORMSINV(AB880))&lt;AC$8,AC$5+SQRT(NORMSDIST(AC$9*SQRT($C$11)*NORMSINV($B880)+SQRT(1-AC$9^2*$C$11)*NORMSINV(AB880))*(AC$7-AC$5)*(AC$6-AC$5)),AC$7-SQRT((1-NORMSDIST(AC$9*SQRT($C$11)*NORMSINV($B880)+SQRT(1-AC$9^2*$C$11)*NORMSINV(AB880)))*(AC$7-AC$5)*(AC$7-AC$6))))</f>
        <v>9.6951732630067</v>
      </c>
      <c r="AD880" s="2" t="n">
        <f aca="false">Entrées!$C$8*(1+E880)</f>
        <v>7441.94424398562</v>
      </c>
      <c r="AE880" s="2" t="n">
        <f aca="false">I880*Hypothèses!$J$24/12/Hypothèses!$J$19</f>
        <v>92.8239995907024</v>
      </c>
      <c r="AF880" s="2" t="n">
        <f aca="false">Entrées!$C$36*S880*1000</f>
        <v>302.430564764843</v>
      </c>
      <c r="AG880" s="2" t="n">
        <f aca="false">-AF880/W880</f>
        <v>-32.0156564600208</v>
      </c>
      <c r="AH880" s="2" t="n">
        <f aca="false">AD880+AE880+AG880</f>
        <v>7502.7525871163</v>
      </c>
      <c r="AI880" s="2" t="n">
        <f aca="false">Entrées!$C$16-M880+Hypothèses!$J$22*1000-AF880+Hypothèses!$J$23</f>
        <v>22722.336245947</v>
      </c>
      <c r="AJ880" s="2" t="n">
        <f aca="false">AI880/AH880</f>
        <v>3.02853332588438</v>
      </c>
      <c r="AK880" s="2" t="n">
        <f aca="false">AI880/(AH880+I880*(12-Hypothèses!$J$24)/12/Hypothèses!$J$19)</f>
        <v>3.00200420173414</v>
      </c>
      <c r="AL880" s="2" t="n">
        <f aca="false">(AD880+AG880+I880/Hypothèses!$J$19)*(1+G880)</f>
        <v>7963.79895094406</v>
      </c>
      <c r="AM880" s="2" t="n">
        <f aca="false">Entrées!$C$54*K880/Hypothèses!$J$19</f>
        <v>20.8623582261641</v>
      </c>
      <c r="AN880" s="2" t="n">
        <f aca="false">Y880*1000/AC880</f>
        <v>65.04095508562</v>
      </c>
      <c r="AO880" s="2" t="n">
        <f aca="false">(Entrées!$C$36*(1-S880)+MAX(0,Entrées!$C$30-Entrées!$C$35-Entrées!$C$36)*U880)*1000</f>
        <v>778.165295597732</v>
      </c>
      <c r="AP880" s="2" t="n">
        <f aca="false">-AO880/W880</f>
        <v>-82.3774964423292</v>
      </c>
      <c r="AQ880" s="2" t="n">
        <f aca="false">AL880+AM880+AN880+AP880</f>
        <v>7967.32476781351</v>
      </c>
      <c r="AR880" s="2" t="n">
        <f aca="false">O880*AQ880-Hypothèses!$J$25/Hypothèses!$J$19</f>
        <v>1284.9630820634</v>
      </c>
      <c r="AS880" s="2" t="n">
        <f aca="false">Entrées!$C$79*(1+Q880)+Hypothèses!$J$20</f>
        <v>1501.90529173033</v>
      </c>
      <c r="AT880" s="2" t="n">
        <f aca="false">AI880-AR880+AS880+Y880*1000-AO880+Hypothèses!$J$23</f>
        <v>22791.6964887627</v>
      </c>
      <c r="AU880" s="2" t="n">
        <f aca="false">AT880/AQ880</f>
        <v>2.86064609551714</v>
      </c>
      <c r="AV880" s="2" t="n">
        <f aca="false">Hypothèses!$J$26*AQ880-AT880</f>
        <v>1110.27781467784</v>
      </c>
      <c r="AW880" s="2" t="n">
        <f aca="false">IF(AC880&gt;Hypothèses!$J$26,MAX(0,AV880)/(1-Hypothèses!$J$26/AC880),0)</f>
        <v>1607.77553627342</v>
      </c>
      <c r="AX880" s="2" t="n">
        <f aca="false">AQ880-Entrées!$C$17*1000</f>
        <v>-32.675232186486</v>
      </c>
      <c r="AY880" s="2" t="n">
        <f aca="false">AI880+(Entrées!$C$244-Entrées!$C$13)</f>
        <v>28469.336245947</v>
      </c>
      <c r="AZ880" s="2" t="n">
        <f aca="false">AA880*AH880</f>
        <v>5392.72593345366</v>
      </c>
      <c r="BA880" s="2" t="n">
        <f aca="false">AZ880/AY880</f>
        <v>0.189422257226717</v>
      </c>
      <c r="BB880" s="2" t="n">
        <f aca="false">AZ880/(Entrées!$C$151/100)-AY880</f>
        <v>1490.25227324002</v>
      </c>
      <c r="BC880" s="2" t="n">
        <f aca="false">AT880+(Entrées!$C$244-Entrées!$C$13)</f>
        <v>28538.6964887627</v>
      </c>
      <c r="BD880" s="2" t="n">
        <f aca="false">AA880*AQ880</f>
        <v>5726.64477426804</v>
      </c>
      <c r="BE880" s="2" t="n">
        <f aca="false">BD880/BC880</f>
        <v>0.200662450596612</v>
      </c>
      <c r="BF880" s="2" t="n">
        <f aca="false">BD880/(Entrées!$C$151/100)-BC880</f>
        <v>3275.99670161532</v>
      </c>
      <c r="BG880" s="2" t="n">
        <f aca="false">MIN(AV880,BF880)</f>
        <v>1110.27781467784</v>
      </c>
      <c r="BH880" s="2" t="n">
        <f aca="false">IF(AC880&gt;Hypothèses!$J$26,MAX(0,BG880)/(1-Hypothèses!$J$26/AC880),0)</f>
        <v>1607.77553627342</v>
      </c>
    </row>
    <row r="881" customFormat="false" ht="15" hidden="false" customHeight="false" outlineLevel="0" collapsed="false">
      <c r="A881" s="2" t="n">
        <v>866</v>
      </c>
      <c r="B881" s="2" t="n">
        <v>0.701091284</v>
      </c>
      <c r="C881" s="2"/>
      <c r="D881" s="2" t="n">
        <v>0.885856724</v>
      </c>
      <c r="E881" s="2" t="n">
        <f aca="false">IF(E$7=E$5,E$6,IF(NORMSDIST(E$9*SQRT($C$11)*NORMSINV($B881)+SQRT(1-E$9^2*$C$11)*NORMSINV(D881))&lt;E$8,E$5+SQRT(NORMSDIST(E$9*SQRT($C$11)*NORMSINV($B881)+SQRT(1-E$9^2*$C$11)*NORMSINV(D881))*(E$7-E$5)*(E$6-E$5)),E$7-SQRT((1-NORMSDIST(E$9*SQRT($C$11)*NORMSINV($B881)+SQRT(1-E$9^2*$C$11)*NORMSINV(D881)))*(E$7-E$5)*(E$7-E$6))))</f>
        <v>0.0577350372256992</v>
      </c>
      <c r="F881" s="2" t="n">
        <v>0.650587159</v>
      </c>
      <c r="G881" s="2" t="n">
        <f aca="false">IF(G$7=G$5,G$6,IF(NORMSDIST(G$9*SQRT($C$11)*NORMSINV($B881)+SQRT(1-G$9^2*$C$11)*NORMSINV(F881))&lt;G$8,G$5+SQRT(NORMSDIST(G$9*SQRT($C$11)*NORMSINV($B881)+SQRT(1-G$9^2*$C$11)*NORMSINV(F881))*(G$7-G$5)*(G$6-G$5)),G$7-SQRT((1-NORMSDIST(G$9*SQRT($C$11)*NORMSINV($B881)+SQRT(1-G$9^2*$C$11)*NORMSINV(F881)))*(G$7-G$5)*(G$7-G$6))))</f>
        <v>0.0591158514531394</v>
      </c>
      <c r="H881" s="2" t="n">
        <v>0.790834645</v>
      </c>
      <c r="I881" s="2" t="n">
        <f aca="false">IF(I$7=I$5,I$6,IF(NORMSDIST(I$9*SQRT($C$11)*NORMSINV($B881)+SQRT(1-I$9^2*$C$11)*NORMSINV(H881))&lt;I$8,I$5+SQRT(NORMSDIST(I$9*SQRT($C$11)*NORMSINV($B881)+SQRT(1-I$9^2*$C$11)*NORMSINV(H881))*(I$7-I$5)*(I$6-I$5)),I$7-SQRT((1-NORMSDIST(I$9*SQRT($C$11)*NORMSINV($B881)+SQRT(1-I$9^2*$C$11)*NORMSINV(H881)))*(I$7-I$5)*(I$7-I$6))))</f>
        <v>208.39342264459</v>
      </c>
      <c r="J881" s="2" t="n">
        <v>0.294982149</v>
      </c>
      <c r="K881" s="2" t="n">
        <f aca="false">IF(K$7=K$5,K$6,IF(NORMSDIST(K$9*SQRT($C$11)*NORMSINV($B881)+SQRT(1-K$9^2*$C$11)*NORMSINV(J881))&lt;K$8,K$5+SQRT(NORMSDIST(K$9*SQRT($C$11)*NORMSINV($B881)+SQRT(1-K$9^2*$C$11)*NORMSINV(J881))*(K$7-K$5)*(K$6-K$5)),K$7-SQRT((1-NORMSDIST(K$9*SQRT($C$11)*NORMSINV($B881)+SQRT(1-K$9^2*$C$11)*NORMSINV(J881)))*(K$7-K$5)*(K$7-K$6))))</f>
        <v>0.24151037017845</v>
      </c>
      <c r="L881" s="2" t="n">
        <v>0.397582763</v>
      </c>
      <c r="M881" s="2" t="n">
        <f aca="false">IF(M$7=M$5,M$6,IF(NORMSDIST(M$9*SQRT($C$11)*NORMSINV($B881)+SQRT(1-M$9^2*$C$11)*NORMSINV(L881))&lt;M$8,M$5+SQRT(NORMSDIST(M$9*SQRT($C$11)*NORMSINV($B881)+SQRT(1-M$9^2*$C$11)*NORMSINV(L881))*(M$7-M$5)*(M$6-M$5)),M$7-SQRT((1-NORMSDIST(M$9*SQRT($C$11)*NORMSINV($B881)+SQRT(1-M$9^2*$C$11)*NORMSINV(L881)))*(M$7-M$5)*(M$7-M$6))))</f>
        <v>1599.85530200126</v>
      </c>
      <c r="N881" s="2" t="n">
        <v>0.881934503</v>
      </c>
      <c r="O881" s="2" t="n">
        <f aca="false">IF(O$7=O$5,O$6,IF(NORMSDIST(O$9*SQRT($C$11)*NORMSINV($B881)+SQRT(1-O$9^2*$C$11)*NORMSINV(N881))&lt;O$8,O$5+SQRT(NORMSDIST(O$9*SQRT($C$11)*NORMSINV($B881)+SQRT(1-O$9^2*$C$11)*NORMSINV(N881))*(O$7-O$5)*(O$6-O$5)),O$7-SQRT((1-NORMSDIST(O$9*SQRT($C$11)*NORMSINV($B881)+SQRT(1-O$9^2*$C$11)*NORMSINV(N881)))*(O$7-O$5)*(O$7-O$6))))</f>
        <v>0.179403804749644</v>
      </c>
      <c r="P881" s="2" t="n">
        <v>0.490088289</v>
      </c>
      <c r="Q881" s="2" t="n">
        <f aca="false">IF(Q$7=Q$5,Q$6,IF(NORMSDIST(Q$9*SQRT($C$11)*NORMSINV($B881)+SQRT(1-Q$9^2*$C$11)*NORMSINV(P881))&lt;Q$8,Q$5+SQRT(NORMSDIST(Q$9*SQRT($C$11)*NORMSINV($B881)+SQRT(1-Q$9^2*$C$11)*NORMSINV(P881))*(Q$7-Q$5)*(Q$6-Q$5)),Q$7-SQRT((1-NORMSDIST(Q$9*SQRT($C$11)*NORMSINV($B881)+SQRT(1-Q$9^2*$C$11)*NORMSINV(P881)))*(Q$7-Q$5)*(Q$7-Q$6))))</f>
        <v>0.0796015470000857</v>
      </c>
      <c r="R881" s="2" t="n">
        <v>0.323953036</v>
      </c>
      <c r="S881" s="2" t="n">
        <f aca="false">IF(S$7=S$5,S$6,IF(NORMSDIST(S$9*SQRT($C$11)*NORMSINV($B881)+SQRT(1-S$9^2*$C$11)*NORMSINV(R881))&lt;S$8,S$5+SQRT(NORMSDIST(S$9*SQRT($C$11)*NORMSINV($B881)+SQRT(1-S$9^2*$C$11)*NORMSINV(R881))*(S$7-S$5)*(S$6-S$5)),S$7-SQRT((1-NORMSDIST(S$9*SQRT($C$11)*NORMSINV($B881)+SQRT(1-S$9^2*$C$11)*NORMSINV(R881)))*(S$7-S$5)*(S$7-S$6))))</f>
        <v>0.495976563226952</v>
      </c>
      <c r="T881" s="2" t="n">
        <v>0.801930927</v>
      </c>
      <c r="U881" s="2" t="n">
        <f aca="false">IF(U$7=U$5,U$6,IF(NORMSDIST(U$9*SQRT($C$11)*NORMSINV($B881)+SQRT(1-U$9^2*$C$11)*NORMSINV(T881))&lt;U$8,U$5+SQRT(NORMSDIST(U$9*SQRT($C$11)*NORMSINV($B881)+SQRT(1-U$9^2*$C$11)*NORMSINV(T881))*(U$7-U$5)*(U$6-U$5)),U$7-SQRT((1-NORMSDIST(U$9*SQRT($C$11)*NORMSINV($B881)+SQRT(1-U$9^2*$C$11)*NORMSINV(T881)))*(U$7-U$5)*(U$7-U$6))))</f>
        <v>0.716396503358473</v>
      </c>
      <c r="V881" s="2" t="n">
        <v>0.405328313</v>
      </c>
      <c r="W881" s="2" t="n">
        <f aca="false">IF(W$7=W$5,W$6,IF(NORMSDIST(W$9*SQRT($C$11)*NORMSINV($B881)+SQRT(1-W$9^2*$C$11)*NORMSINV(V881))&lt;W$8,W$5+SQRT(NORMSDIST(W$9*SQRT($C$11)*NORMSINV($B881)+SQRT(1-W$9^2*$C$11)*NORMSINV(V881))*(W$7-W$5)*(W$6-W$5)),W$7-SQRT((1-NORMSDIST(W$9*SQRT($C$11)*NORMSINV($B881)+SQRT(1-W$9^2*$C$11)*NORMSINV(V881)))*(W$7-W$5)*(W$7-W$6))))</f>
        <v>10.1213964179065</v>
      </c>
      <c r="X881" s="2" t="n">
        <v>0.046123387</v>
      </c>
      <c r="Y881" s="2" t="n">
        <f aca="false">IF(Y$7=Y$5,Y$6,IF(NORMSDIST(Y$9*SQRT($C$11)*NORMSINV($B881)+SQRT(1-Y$9^2*$C$11)*NORMSINV(X881))&lt;Y$8,Y$5+SQRT(NORMSDIST(Y$9*SQRT($C$11)*NORMSINV($B881)+SQRT(1-Y$9^2*$C$11)*NORMSINV(X881))*(Y$7-Y$5)*(Y$6-Y$5)),Y$7-SQRT((1-NORMSDIST(Y$9*SQRT($C$11)*NORMSINV($B881)+SQRT(1-Y$9^2*$C$11)*NORMSINV(X881)))*(Y$7-Y$5)*(Y$7-Y$6))))</f>
        <v>0.151860770115261</v>
      </c>
      <c r="Z881" s="2" t="n">
        <v>0.108356226</v>
      </c>
      <c r="AA881" s="2" t="n">
        <f aca="false">IF(AA$7=AA$5,AA$6,IF(NORMSDIST(AA$9*SQRT($C$11)*NORMSINV($B881)+SQRT(1-AA$9^2*$C$11)*NORMSINV(Z881))&lt;AA$8,AA$5+SQRT(NORMSDIST(AA$9*SQRT($C$11)*NORMSINV($B881)+SQRT(1-AA$9^2*$C$11)*NORMSINV(Z881))*(AA$7-AA$5)*(AA$6-AA$5)),AA$7-SQRT((1-NORMSDIST(AA$9*SQRT($C$11)*NORMSINV($B881)+SQRT(1-AA$9^2*$C$11)*NORMSINV(Z881)))*(AA$7-AA$5)*(AA$7-AA$6))))</f>
        <v>0.719218967888859</v>
      </c>
      <c r="AB881" s="2" t="n">
        <v>0.578278283</v>
      </c>
      <c r="AC881" s="2" t="n">
        <f aca="false">IF(AC$7=AC$5,AC$6,IF(NORMSDIST(AC$9*SQRT($C$11)*NORMSINV($B881)+SQRT(1-AC$9^2*$C$11)*NORMSINV(AB881))&lt;AC$8,AC$5+SQRT(NORMSDIST(AC$9*SQRT($C$11)*NORMSINV($B881)+SQRT(1-AC$9^2*$C$11)*NORMSINV(AB881))*(AC$7-AC$5)*(AC$6-AC$5)),AC$7-SQRT((1-NORMSDIST(AC$9*SQRT($C$11)*NORMSINV($B881)+SQRT(1-AC$9^2*$C$11)*NORMSINV(AB881)))*(AC$7-AC$5)*(AC$7-AC$6))))</f>
        <v>9.83668750830363</v>
      </c>
      <c r="AD881" s="2" t="n">
        <f aca="false">Entrées!$C$8*(1+E881)</f>
        <v>7457.03201244118</v>
      </c>
      <c r="AE881" s="2" t="n">
        <f aca="false">I881*Hypothèses!$J$24/12/Hypothèses!$J$19</f>
        <v>103.383309984884</v>
      </c>
      <c r="AF881" s="2" t="n">
        <f aca="false">Entrées!$C$36*S881*1000</f>
        <v>247.988281613476</v>
      </c>
      <c r="AG881" s="2" t="n">
        <f aca="false">-AF881/W881</f>
        <v>-24.5013900626146</v>
      </c>
      <c r="AH881" s="2" t="n">
        <f aca="false">AD881+AE881+AG881</f>
        <v>7535.91393236345</v>
      </c>
      <c r="AI881" s="2" t="n">
        <f aca="false">Entrées!$C$16-M881+Hypothèses!$J$22*1000-AF881+Hypothèses!$J$23</f>
        <v>22700.1564163853</v>
      </c>
      <c r="AJ881" s="2" t="n">
        <f aca="false">AI881/AH881</f>
        <v>3.01226322648114</v>
      </c>
      <c r="AK881" s="2" t="n">
        <f aca="false">AI881/(AH881+I881*(12-Hypothèses!$J$24)/12/Hypothèses!$J$19)</f>
        <v>2.98303217718865</v>
      </c>
      <c r="AL881" s="2" t="n">
        <f aca="false">(AD881+AG881+I881/Hypothèses!$J$19)*(1+G881)</f>
        <v>8059.61654551032</v>
      </c>
      <c r="AM881" s="2" t="n">
        <f aca="false">Entrées!$C$54*K881/Hypothèses!$J$19</f>
        <v>24.6471473132266</v>
      </c>
      <c r="AN881" s="2" t="n">
        <f aca="false">Y881*1000/AC881</f>
        <v>15.4382021373625</v>
      </c>
      <c r="AO881" s="2" t="n">
        <f aca="false">(Entrées!$C$36*(1-S881)+MAX(0,Entrées!$C$30-Entrées!$C$35-Entrées!$C$36)*U881)*1000</f>
        <v>1254.96682308839</v>
      </c>
      <c r="AP881" s="2" t="n">
        <f aca="false">-AO881/W881</f>
        <v>-123.991470274609</v>
      </c>
      <c r="AQ881" s="2" t="n">
        <f aca="false">AL881+AM881+AN881+AP881</f>
        <v>7975.7104246863</v>
      </c>
      <c r="AR881" s="2" t="n">
        <f aca="false">O881*AQ881-Hypothèses!$J$25/Hypothèses!$J$19</f>
        <v>1411.73763350849</v>
      </c>
      <c r="AS881" s="2" t="n">
        <f aca="false">Entrées!$C$79*(1+Q881)+Hypothèses!$J$20</f>
        <v>1481.48210015309</v>
      </c>
      <c r="AT881" s="2" t="n">
        <f aca="false">AI881-AR881+AS881+Y881*1000-AO881+Hypothèses!$J$23</f>
        <v>21666.7948300567</v>
      </c>
      <c r="AU881" s="2" t="n">
        <f aca="false">AT881/AQ881</f>
        <v>2.71659747863889</v>
      </c>
      <c r="AV881" s="2" t="n">
        <f aca="false">Hypothèses!$J$26*AQ881-AT881</f>
        <v>2260.33644400216</v>
      </c>
      <c r="AW881" s="2" t="n">
        <f aca="false">IF(AC881&gt;Hypothèses!$J$26,MAX(0,AV881)/(1-Hypothèses!$J$26/AC881),0)</f>
        <v>3252.19241573854</v>
      </c>
      <c r="AX881" s="2" t="n">
        <f aca="false">AQ881-Entrées!$C$17*1000</f>
        <v>-24.2895753136972</v>
      </c>
      <c r="AY881" s="2" t="n">
        <f aca="false">AI881+(Entrées!$C$244-Entrées!$C$13)</f>
        <v>28447.1564163853</v>
      </c>
      <c r="AZ881" s="2" t="n">
        <f aca="false">AA881*AH881</f>
        <v>5419.97224053371</v>
      </c>
      <c r="BA881" s="2" t="n">
        <f aca="false">AZ881/AY881</f>
        <v>0.190527733640606</v>
      </c>
      <c r="BB881" s="2" t="n">
        <f aca="false">AZ881/(Entrées!$C$151/100)-AY881</f>
        <v>1663.80047546868</v>
      </c>
      <c r="BC881" s="2" t="n">
        <f aca="false">AT881+(Entrées!$C$244-Entrées!$C$13)</f>
        <v>27413.7948300567</v>
      </c>
      <c r="BD881" s="2" t="n">
        <f aca="false">AA881*AQ881</f>
        <v>5736.28221982329</v>
      </c>
      <c r="BE881" s="2" t="n">
        <f aca="false">BD881/BC881</f>
        <v>0.209248017481111</v>
      </c>
      <c r="BF881" s="2" t="n">
        <f aca="false">BD881/(Entrées!$C$151/100)-BC881</f>
        <v>4454.43972451711</v>
      </c>
      <c r="BG881" s="2" t="n">
        <f aca="false">MIN(AV881,BF881)</f>
        <v>2260.33644400216</v>
      </c>
      <c r="BH881" s="2" t="n">
        <f aca="false">IF(AC881&gt;Hypothèses!$J$26,MAX(0,BG881)/(1-Hypothèses!$J$26/AC881),0)</f>
        <v>3252.19241573854</v>
      </c>
    </row>
    <row r="882" customFormat="false" ht="15" hidden="false" customHeight="false" outlineLevel="0" collapsed="false">
      <c r="A882" s="2" t="n">
        <v>867</v>
      </c>
      <c r="B882" s="2" t="n">
        <v>0.139686942</v>
      </c>
      <c r="C882" s="2"/>
      <c r="D882" s="2" t="n">
        <v>0.264165457</v>
      </c>
      <c r="E882" s="2" t="n">
        <f aca="false">IF(E$7=E$5,E$6,IF(NORMSDIST(E$9*SQRT($C$11)*NORMSINV($B882)+SQRT(1-E$9^2*$C$11)*NORMSINV(D882))&lt;E$8,E$5+SQRT(NORMSDIST(E$9*SQRT($C$11)*NORMSINV($B882)+SQRT(1-E$9^2*$C$11)*NORMSINV(D882))*(E$7-E$5)*(E$6-E$5)),E$7-SQRT((1-NORMSDIST(E$9*SQRT($C$11)*NORMSINV($B882)+SQRT(1-E$9^2*$C$11)*NORMSINV(D882)))*(E$7-E$5)*(E$7-E$6))))</f>
        <v>0.052454424575663</v>
      </c>
      <c r="F882" s="2" t="n">
        <v>0.872251712</v>
      </c>
      <c r="G882" s="2" t="n">
        <f aca="false">IF(G$7=G$5,G$6,IF(NORMSDIST(G$9*SQRT($C$11)*NORMSINV($B882)+SQRT(1-G$9^2*$C$11)*NORMSINV(F882))&lt;G$8,G$5+SQRT(NORMSDIST(G$9*SQRT($C$11)*NORMSINV($B882)+SQRT(1-G$9^2*$C$11)*NORMSINV(F882))*(G$7-G$5)*(G$6-G$5)),G$7-SQRT((1-NORMSDIST(G$9*SQRT($C$11)*NORMSINV($B882)+SQRT(1-G$9^2*$C$11)*NORMSINV(F882)))*(G$7-G$5)*(G$7-G$6))))</f>
        <v>0.0562187479452958</v>
      </c>
      <c r="H882" s="2" t="n">
        <v>0.994067342</v>
      </c>
      <c r="I882" s="2" t="n">
        <f aca="false">IF(I$7=I$5,I$6,IF(NORMSDIST(I$9*SQRT($C$11)*NORMSINV($B882)+SQRT(1-I$9^2*$C$11)*NORMSINV(H882))&lt;I$8,I$5+SQRT(NORMSDIST(I$9*SQRT($C$11)*NORMSINV($B882)+SQRT(1-I$9^2*$C$11)*NORMSINV(H882))*(I$7-I$5)*(I$6-I$5)),I$7-SQRT((1-NORMSDIST(I$9*SQRT($C$11)*NORMSINV($B882)+SQRT(1-I$9^2*$C$11)*NORMSINV(H882)))*(I$7-I$5)*(I$7-I$6))))</f>
        <v>210.924108621734</v>
      </c>
      <c r="J882" s="2" t="n">
        <v>0.364595922</v>
      </c>
      <c r="K882" s="2" t="n">
        <f aca="false">IF(K$7=K$5,K$6,IF(NORMSDIST(K$9*SQRT($C$11)*NORMSINV($B882)+SQRT(1-K$9^2*$C$11)*NORMSINV(J882))&lt;K$8,K$5+SQRT(NORMSDIST(K$9*SQRT($C$11)*NORMSINV($B882)+SQRT(1-K$9^2*$C$11)*NORMSINV(J882))*(K$7-K$5)*(K$6-K$5)),K$7-SQRT((1-NORMSDIST(K$9*SQRT($C$11)*NORMSINV($B882)+SQRT(1-K$9^2*$C$11)*NORMSINV(J882)))*(K$7-K$5)*(K$7-K$6))))</f>
        <v>0.145975109023724</v>
      </c>
      <c r="L882" s="2" t="n">
        <v>0.869345016</v>
      </c>
      <c r="M882" s="2" t="n">
        <f aca="false">IF(M$7=M$5,M$6,IF(NORMSDIST(M$9*SQRT($C$11)*NORMSINV($B882)+SQRT(1-M$9^2*$C$11)*NORMSINV(L882))&lt;M$8,M$5+SQRT(NORMSDIST(M$9*SQRT($C$11)*NORMSINV($B882)+SQRT(1-M$9^2*$C$11)*NORMSINV(L882))*(M$7-M$5)*(M$6-M$5)),M$7-SQRT((1-NORMSDIST(M$9*SQRT($C$11)*NORMSINV($B882)+SQRT(1-M$9^2*$C$11)*NORMSINV(L882)))*(M$7-M$5)*(M$7-M$6))))</f>
        <v>1605.44745384009</v>
      </c>
      <c r="N882" s="2" t="n">
        <v>0.9281319</v>
      </c>
      <c r="O882" s="2" t="n">
        <f aca="false">IF(O$7=O$5,O$6,IF(NORMSDIST(O$9*SQRT($C$11)*NORMSINV($B882)+SQRT(1-O$9^2*$C$11)*NORMSINV(N882))&lt;O$8,O$5+SQRT(NORMSDIST(O$9*SQRT($C$11)*NORMSINV($B882)+SQRT(1-O$9^2*$C$11)*NORMSINV(N882))*(O$7-O$5)*(O$6-O$5)),O$7-SQRT((1-NORMSDIST(O$9*SQRT($C$11)*NORMSINV($B882)+SQRT(1-O$9^2*$C$11)*NORMSINV(N882)))*(O$7-O$5)*(O$7-O$6))))</f>
        <v>0.17133803121504</v>
      </c>
      <c r="P882" s="2" t="n">
        <v>0.424303577</v>
      </c>
      <c r="Q882" s="2" t="n">
        <f aca="false">IF(Q$7=Q$5,Q$6,IF(NORMSDIST(Q$9*SQRT($C$11)*NORMSINV($B882)+SQRT(1-Q$9^2*$C$11)*NORMSINV(P882))&lt;Q$8,Q$5+SQRT(NORMSDIST(Q$9*SQRT($C$11)*NORMSINV($B882)+SQRT(1-Q$9^2*$C$11)*NORMSINV(P882))*(Q$7-Q$5)*(Q$6-Q$5)),Q$7-SQRT((1-NORMSDIST(Q$9*SQRT($C$11)*NORMSINV($B882)+SQRT(1-Q$9^2*$C$11)*NORMSINV(P882)))*(Q$7-Q$5)*(Q$7-Q$6))))</f>
        <v>0.0768479503690504</v>
      </c>
      <c r="R882" s="2" t="n">
        <v>0.892155812</v>
      </c>
      <c r="S882" s="2" t="n">
        <f aca="false">IF(S$7=S$5,S$6,IF(NORMSDIST(S$9*SQRT($C$11)*NORMSINV($B882)+SQRT(1-S$9^2*$C$11)*NORMSINV(R882))&lt;S$8,S$5+SQRT(NORMSDIST(S$9*SQRT($C$11)*NORMSINV($B882)+SQRT(1-S$9^2*$C$11)*NORMSINV(R882))*(S$7-S$5)*(S$6-S$5)),S$7-SQRT((1-NORMSDIST(S$9*SQRT($C$11)*NORMSINV($B882)+SQRT(1-S$9^2*$C$11)*NORMSINV(R882)))*(S$7-S$5)*(S$7-S$6))))</f>
        <v>0.557444786031141</v>
      </c>
      <c r="T882" s="2" t="n">
        <v>0.488552935</v>
      </c>
      <c r="U882" s="2" t="n">
        <f aca="false">IF(U$7=U$5,U$6,IF(NORMSDIST(U$9*SQRT($C$11)*NORMSINV($B882)+SQRT(1-U$9^2*$C$11)*NORMSINV(T882))&lt;U$8,U$5+SQRT(NORMSDIST(U$9*SQRT($C$11)*NORMSINV($B882)+SQRT(1-U$9^2*$C$11)*NORMSINV(T882))*(U$7-U$5)*(U$6-U$5)),U$7-SQRT((1-NORMSDIST(U$9*SQRT($C$11)*NORMSINV($B882)+SQRT(1-U$9^2*$C$11)*NORMSINV(T882)))*(U$7-U$5)*(U$7-U$6))))</f>
        <v>0.346394325371544</v>
      </c>
      <c r="V882" s="2" t="n">
        <v>0.059746429</v>
      </c>
      <c r="W882" s="2" t="n">
        <f aca="false">IF(W$7=W$5,W$6,IF(NORMSDIST(W$9*SQRT($C$11)*NORMSINV($B882)+SQRT(1-W$9^2*$C$11)*NORMSINV(V882))&lt;W$8,W$5+SQRT(NORMSDIST(W$9*SQRT($C$11)*NORMSINV($B882)+SQRT(1-W$9^2*$C$11)*NORMSINV(V882))*(W$7-W$5)*(W$6-W$5)),W$7-SQRT((1-NORMSDIST(W$9*SQRT($C$11)*NORMSINV($B882)+SQRT(1-W$9^2*$C$11)*NORMSINV(V882)))*(W$7-W$5)*(W$7-W$6))))</f>
        <v>8.48473560811027</v>
      </c>
      <c r="X882" s="2" t="n">
        <v>0.81121939</v>
      </c>
      <c r="Y882" s="2" t="n">
        <f aca="false">IF(Y$7=Y$5,Y$6,IF(NORMSDIST(Y$9*SQRT($C$11)*NORMSINV($B882)+SQRT(1-Y$9^2*$C$11)*NORMSINV(X882))&lt;Y$8,Y$5+SQRT(NORMSDIST(Y$9*SQRT($C$11)*NORMSINV($B882)+SQRT(1-Y$9^2*$C$11)*NORMSINV(X882))*(Y$7-Y$5)*(Y$6-Y$5)),Y$7-SQRT((1-NORMSDIST(Y$9*SQRT($C$11)*NORMSINV($B882)+SQRT(1-Y$9^2*$C$11)*NORMSINV(X882)))*(Y$7-Y$5)*(Y$7-Y$6))))</f>
        <v>0.692769947759012</v>
      </c>
      <c r="Z882" s="2" t="n">
        <v>0.110204339</v>
      </c>
      <c r="AA882" s="2" t="n">
        <f aca="false">IF(AA$7=AA$5,AA$6,IF(NORMSDIST(AA$9*SQRT($C$11)*NORMSINV($B882)+SQRT(1-AA$9^2*$C$11)*NORMSINV(Z882))&lt;AA$8,AA$5+SQRT(NORMSDIST(AA$9*SQRT($C$11)*NORMSINV($B882)+SQRT(1-AA$9^2*$C$11)*NORMSINV(Z882))*(AA$7-AA$5)*(AA$6-AA$5)),AA$7-SQRT((1-NORMSDIST(AA$9*SQRT($C$11)*NORMSINV($B882)+SQRT(1-AA$9^2*$C$11)*NORMSINV(Z882)))*(AA$7-AA$5)*(AA$7-AA$6))))</f>
        <v>0.705793038331234</v>
      </c>
      <c r="AB882" s="2" t="n">
        <v>0.182792044</v>
      </c>
      <c r="AC882" s="2" t="n">
        <f aca="false">IF(AC$7=AC$5,AC$6,IF(NORMSDIST(AC$9*SQRT($C$11)*NORMSINV($B882)+SQRT(1-AC$9^2*$C$11)*NORMSINV(AB882))&lt;AC$8,AC$5+SQRT(NORMSDIST(AC$9*SQRT($C$11)*NORMSINV($B882)+SQRT(1-AC$9^2*$C$11)*NORMSINV(AB882))*(AC$7-AC$5)*(AC$6-AC$5)),AC$7-SQRT((1-NORMSDIST(AC$9*SQRT($C$11)*NORMSINV($B882)+SQRT(1-AC$9^2*$C$11)*NORMSINV(AB882)))*(AC$7-AC$5)*(AC$7-AC$6))))</f>
        <v>8.2469783050017</v>
      </c>
      <c r="AD882" s="2" t="n">
        <f aca="false">Entrées!$C$8*(1+E882)</f>
        <v>7419.80369325843</v>
      </c>
      <c r="AE882" s="2" t="n">
        <f aca="false">I882*Hypothèses!$J$24/12/Hypothèses!$J$19</f>
        <v>104.63877519837</v>
      </c>
      <c r="AF882" s="2" t="n">
        <f aca="false">Entrées!$C$36*S882*1000</f>
        <v>278.722393015571</v>
      </c>
      <c r="AG882" s="2" t="n">
        <f aca="false">-AF882/W882</f>
        <v>-32.8498619036696</v>
      </c>
      <c r="AH882" s="2" t="n">
        <f aca="false">AD882+AE882+AG882</f>
        <v>7491.59260655313</v>
      </c>
      <c r="AI882" s="2" t="n">
        <f aca="false">Entrées!$C$16-M882+Hypothèses!$J$22*1000-AF882+Hypothèses!$J$23</f>
        <v>22663.8301531443</v>
      </c>
      <c r="AJ882" s="2" t="n">
        <f aca="false">AI882/AH882</f>
        <v>3.02523526617286</v>
      </c>
      <c r="AK882" s="2" t="n">
        <f aca="false">AI882/(AH882+I882*(12-Hypothèses!$J$24)/12/Hypothèses!$J$19)</f>
        <v>2.99535130082397</v>
      </c>
      <c r="AL882" s="2" t="n">
        <f aca="false">(AD882+AG882+I882/Hypothèses!$J$19)*(1+G882)</f>
        <v>7991.70444595731</v>
      </c>
      <c r="AM882" s="2" t="n">
        <f aca="false">Entrées!$C$54*K882/Hypothèses!$J$19</f>
        <v>14.8973727857466</v>
      </c>
      <c r="AN882" s="2" t="n">
        <f aca="false">Y882*1000/AC882</f>
        <v>84.002882284637</v>
      </c>
      <c r="AO882" s="2" t="n">
        <f aca="false">(Entrées!$C$36*(1-S882)+MAX(0,Entrées!$C$30-Entrées!$C$35-Entrées!$C$36)*U882)*1000</f>
        <v>706.22966250459</v>
      </c>
      <c r="AP882" s="2" t="n">
        <f aca="false">-AO882/W882</f>
        <v>-83.2353175306405</v>
      </c>
      <c r="AQ882" s="2" t="n">
        <f aca="false">AL882+AM882+AN882+AP882</f>
        <v>8007.36938349706</v>
      </c>
      <c r="AR882" s="2" t="n">
        <f aca="false">O882*AQ882-Hypothèses!$J$25/Hypothèses!$J$19</f>
        <v>1352.83174311835</v>
      </c>
      <c r="AS882" s="2" t="n">
        <f aca="false">Entrées!$C$79*(1+Q882)+Hypothèses!$J$20</f>
        <v>1478.45589745559</v>
      </c>
      <c r="AT882" s="2" t="n">
        <f aca="false">AI882-AR882+AS882+Y882*1000-AO882+Hypothèses!$J$23</f>
        <v>22775.994592736</v>
      </c>
      <c r="AU882" s="2" t="n">
        <f aca="false">AT882/AQ882</f>
        <v>2.8443791589878</v>
      </c>
      <c r="AV882" s="2" t="n">
        <f aca="false">Hypothèses!$J$26*AQ882-AT882</f>
        <v>1246.11355775516</v>
      </c>
      <c r="AW882" s="2" t="n">
        <f aca="false">IF(AC882&gt;Hypothèses!$J$26,MAX(0,AV882)/(1-Hypothèses!$J$26/AC882),0)</f>
        <v>1958.58852066893</v>
      </c>
      <c r="AX882" s="2" t="n">
        <f aca="false">AQ882-Entrées!$C$17*1000</f>
        <v>7.36938349705542</v>
      </c>
      <c r="AY882" s="2" t="n">
        <f aca="false">AI882+(Entrées!$C$244-Entrées!$C$13)</f>
        <v>28410.8301531443</v>
      </c>
      <c r="AZ882" s="2" t="n">
        <f aca="false">AA882*AH882</f>
        <v>5287.51390771894</v>
      </c>
      <c r="BA882" s="2" t="n">
        <f aca="false">AZ882/AY882</f>
        <v>0.18610909569405</v>
      </c>
      <c r="BB882" s="2" t="n">
        <f aca="false">AZ882/(Entrées!$C$151/100)-AY882</f>
        <v>964.247111960878</v>
      </c>
      <c r="BC882" s="2" t="n">
        <f aca="false">AT882+(Entrées!$C$244-Entrées!$C$13)</f>
        <v>28522.994592736</v>
      </c>
      <c r="BD882" s="2" t="n">
        <f aca="false">AA882*AQ882</f>
        <v>5651.54556621889</v>
      </c>
      <c r="BE882" s="2" t="n">
        <f aca="false">BD882/BC882</f>
        <v>0.198139979581884</v>
      </c>
      <c r="BF882" s="2" t="n">
        <f aca="false">BD882/(Entrées!$C$151/100)-BC882</f>
        <v>2874.4807751467</v>
      </c>
      <c r="BG882" s="2" t="n">
        <f aca="false">MIN(AV882,BF882)</f>
        <v>1246.11355775516</v>
      </c>
      <c r="BH882" s="2" t="n">
        <f aca="false">IF(AC882&gt;Hypothèses!$J$26,MAX(0,BG882)/(1-Hypothèses!$J$26/AC882),0)</f>
        <v>1958.58852066893</v>
      </c>
    </row>
    <row r="883" customFormat="false" ht="15" hidden="false" customHeight="false" outlineLevel="0" collapsed="false">
      <c r="A883" s="2" t="n">
        <v>868</v>
      </c>
      <c r="B883" s="2" t="n">
        <v>0.662168986</v>
      </c>
      <c r="C883" s="2"/>
      <c r="D883" s="2" t="n">
        <v>0.146936682</v>
      </c>
      <c r="E883" s="2" t="n">
        <f aca="false">IF(E$7=E$5,E$6,IF(NORMSDIST(E$9*SQRT($C$11)*NORMSINV($B883)+SQRT(1-E$9^2*$C$11)*NORMSINV(D883))&lt;E$8,E$5+SQRT(NORMSDIST(E$9*SQRT($C$11)*NORMSINV($B883)+SQRT(1-E$9^2*$C$11)*NORMSINV(D883))*(E$7-E$5)*(E$6-E$5)),E$7-SQRT((1-NORMSDIST(E$9*SQRT($C$11)*NORMSINV($B883)+SQRT(1-E$9^2*$C$11)*NORMSINV(D883)))*(E$7-E$5)*(E$7-E$6))))</f>
        <v>0.0538189711251817</v>
      </c>
      <c r="F883" s="2" t="n">
        <v>0.817423035</v>
      </c>
      <c r="G883" s="2" t="n">
        <f aca="false">IF(G$7=G$5,G$6,IF(NORMSDIST(G$9*SQRT($C$11)*NORMSINV($B883)+SQRT(1-G$9^2*$C$11)*NORMSINV(F883))&lt;G$8,G$5+SQRT(NORMSDIST(G$9*SQRT($C$11)*NORMSINV($B883)+SQRT(1-G$9^2*$C$11)*NORMSINV(F883))*(G$7-G$5)*(G$6-G$5)),G$7-SQRT((1-NORMSDIST(G$9*SQRT($C$11)*NORMSINV($B883)+SQRT(1-G$9^2*$C$11)*NORMSINV(F883)))*(G$7-G$5)*(G$7-G$6))))</f>
        <v>0.0613310266743592</v>
      </c>
      <c r="H883" s="2" t="n">
        <v>0.987786444</v>
      </c>
      <c r="I883" s="2" t="n">
        <f aca="false">IF(I$7=I$5,I$6,IF(NORMSDIST(I$9*SQRT($C$11)*NORMSINV($B883)+SQRT(1-I$9^2*$C$11)*NORMSINV(H883))&lt;I$8,I$5+SQRT(NORMSDIST(I$9*SQRT($C$11)*NORMSINV($B883)+SQRT(1-I$9^2*$C$11)*NORMSINV(H883))*(I$7-I$5)*(I$6-I$5)),I$7-SQRT((1-NORMSDIST(I$9*SQRT($C$11)*NORMSINV($B883)+SQRT(1-I$9^2*$C$11)*NORMSINV(H883)))*(I$7-I$5)*(I$7-I$6))))</f>
        <v>215.772810197616</v>
      </c>
      <c r="J883" s="2" t="n">
        <v>0.083210141</v>
      </c>
      <c r="K883" s="2" t="n">
        <f aca="false">IF(K$7=K$5,K$6,IF(NORMSDIST(K$9*SQRT($C$11)*NORMSINV($B883)+SQRT(1-K$9^2*$C$11)*NORMSINV(J883))&lt;K$8,K$5+SQRT(NORMSDIST(K$9*SQRT($C$11)*NORMSINV($B883)+SQRT(1-K$9^2*$C$11)*NORMSINV(J883))*(K$7-K$5)*(K$6-K$5)),K$7-SQRT((1-NORMSDIST(K$9*SQRT($C$11)*NORMSINV($B883)+SQRT(1-K$9^2*$C$11)*NORMSINV(J883)))*(K$7-K$5)*(K$7-K$6))))</f>
        <v>0.16192389850558</v>
      </c>
      <c r="L883" s="2" t="n">
        <v>0.823403169</v>
      </c>
      <c r="M883" s="2" t="n">
        <f aca="false">IF(M$7=M$5,M$6,IF(NORMSDIST(M$9*SQRT($C$11)*NORMSINV($B883)+SQRT(1-M$9^2*$C$11)*NORMSINV(L883))&lt;M$8,M$5+SQRT(NORMSDIST(M$9*SQRT($C$11)*NORMSINV($B883)+SQRT(1-M$9^2*$C$11)*NORMSINV(L883))*(M$7-M$5)*(M$6-M$5)),M$7-SQRT((1-NORMSDIST(M$9*SQRT($C$11)*NORMSINV($B883)+SQRT(1-M$9^2*$C$11)*NORMSINV(L883)))*(M$7-M$5)*(M$7-M$6))))</f>
        <v>1678.12025653876</v>
      </c>
      <c r="N883" s="2" t="n">
        <v>0.965404309</v>
      </c>
      <c r="O883" s="2" t="n">
        <f aca="false">IF(O$7=O$5,O$6,IF(NORMSDIST(O$9*SQRT($C$11)*NORMSINV($B883)+SQRT(1-O$9^2*$C$11)*NORMSINV(N883))&lt;O$8,O$5+SQRT(NORMSDIST(O$9*SQRT($C$11)*NORMSINV($B883)+SQRT(1-O$9^2*$C$11)*NORMSINV(N883))*(O$7-O$5)*(O$6-O$5)),O$7-SQRT((1-NORMSDIST(O$9*SQRT($C$11)*NORMSINV($B883)+SQRT(1-O$9^2*$C$11)*NORMSINV(N883)))*(O$7-O$5)*(O$7-O$6))))</f>
        <v>0.182906106378104</v>
      </c>
      <c r="P883" s="2" t="n">
        <v>0.974888249</v>
      </c>
      <c r="Q883" s="2" t="n">
        <f aca="false">IF(Q$7=Q$5,Q$6,IF(NORMSDIST(Q$9*SQRT($C$11)*NORMSINV($B883)+SQRT(1-Q$9^2*$C$11)*NORMSINV(P883))&lt;Q$8,Q$5+SQRT(NORMSDIST(Q$9*SQRT($C$11)*NORMSINV($B883)+SQRT(1-Q$9^2*$C$11)*NORMSINV(P883))*(Q$7-Q$5)*(Q$6-Q$5)),Q$7-SQRT((1-NORMSDIST(Q$9*SQRT($C$11)*NORMSINV($B883)+SQRT(1-Q$9^2*$C$11)*NORMSINV(P883)))*(Q$7-Q$5)*(Q$7-Q$6))))</f>
        <v>0.111035759753331</v>
      </c>
      <c r="R883" s="2" t="n">
        <v>0.593698607</v>
      </c>
      <c r="S883" s="2" t="n">
        <f aca="false">IF(S$7=S$5,S$6,IF(NORMSDIST(S$9*SQRT($C$11)*NORMSINV($B883)+SQRT(1-S$9^2*$C$11)*NORMSINV(R883))&lt;S$8,S$5+SQRT(NORMSDIST(S$9*SQRT($C$11)*NORMSINV($B883)+SQRT(1-S$9^2*$C$11)*NORMSINV(R883))*(S$7-S$5)*(S$6-S$5)),S$7-SQRT((1-NORMSDIST(S$9*SQRT($C$11)*NORMSINV($B883)+SQRT(1-S$9^2*$C$11)*NORMSINV(R883)))*(S$7-S$5)*(S$7-S$6))))</f>
        <v>0.595656273422983</v>
      </c>
      <c r="T883" s="2" t="n">
        <v>0.032444109</v>
      </c>
      <c r="U883" s="2" t="n">
        <f aca="false">IF(U$7=U$5,U$6,IF(NORMSDIST(U$9*SQRT($C$11)*NORMSINV($B883)+SQRT(1-U$9^2*$C$11)*NORMSINV(T883))&lt;U$8,U$5+SQRT(NORMSDIST(U$9*SQRT($C$11)*NORMSINV($B883)+SQRT(1-U$9^2*$C$11)*NORMSINV(T883))*(U$7-U$5)*(U$6-U$5)),U$7-SQRT((1-NORMSDIST(U$9*SQRT($C$11)*NORMSINV($B883)+SQRT(1-U$9^2*$C$11)*NORMSINV(T883)))*(U$7-U$5)*(U$7-U$6))))</f>
        <v>0.246927136695654</v>
      </c>
      <c r="V883" s="2" t="n">
        <v>0.481337797</v>
      </c>
      <c r="W883" s="2" t="n">
        <f aca="false">IF(W$7=W$5,W$6,IF(NORMSDIST(W$9*SQRT($C$11)*NORMSINV($B883)+SQRT(1-W$9^2*$C$11)*NORMSINV(V883))&lt;W$8,W$5+SQRT(NORMSDIST(W$9*SQRT($C$11)*NORMSINV($B883)+SQRT(1-W$9^2*$C$11)*NORMSINV(V883))*(W$7-W$5)*(W$6-W$5)),W$7-SQRT((1-NORMSDIST(W$9*SQRT($C$11)*NORMSINV($B883)+SQRT(1-W$9^2*$C$11)*NORMSINV(V883)))*(W$7-W$5)*(W$7-W$6))))</f>
        <v>10.1896269427006</v>
      </c>
      <c r="X883" s="2" t="n">
        <v>0.411520512</v>
      </c>
      <c r="Y883" s="2" t="n">
        <f aca="false">IF(Y$7=Y$5,Y$6,IF(NORMSDIST(Y$9*SQRT($C$11)*NORMSINV($B883)+SQRT(1-Y$9^2*$C$11)*NORMSINV(X883))&lt;Y$8,Y$5+SQRT(NORMSDIST(Y$9*SQRT($C$11)*NORMSINV($B883)+SQRT(1-Y$9^2*$C$11)*NORMSINV(X883))*(Y$7-Y$5)*(Y$6-Y$5)),Y$7-SQRT((1-NORMSDIST(Y$9*SQRT($C$11)*NORMSINV($B883)+SQRT(1-Y$9^2*$C$11)*NORMSINV(X883)))*(Y$7-Y$5)*(Y$7-Y$6))))</f>
        <v>0.453608042256748</v>
      </c>
      <c r="Z883" s="2" t="n">
        <v>0.338740261</v>
      </c>
      <c r="AA883" s="2" t="n">
        <f aca="false">IF(AA$7=AA$5,AA$6,IF(NORMSDIST(AA$9*SQRT($C$11)*NORMSINV($B883)+SQRT(1-AA$9^2*$C$11)*NORMSINV(Z883))&lt;AA$8,AA$5+SQRT(NORMSDIST(AA$9*SQRT($C$11)*NORMSINV($B883)+SQRT(1-AA$9^2*$C$11)*NORMSINV(Z883))*(AA$7-AA$5)*(AA$6-AA$5)),AA$7-SQRT((1-NORMSDIST(AA$9*SQRT($C$11)*NORMSINV($B883)+SQRT(1-AA$9^2*$C$11)*NORMSINV(Z883)))*(AA$7-AA$5)*(AA$7-AA$6))))</f>
        <v>0.72729154129252</v>
      </c>
      <c r="AB883" s="2" t="n">
        <v>0.909406093</v>
      </c>
      <c r="AC883" s="2" t="n">
        <f aca="false">IF(AC$7=AC$5,AC$6,IF(NORMSDIST(AC$9*SQRT($C$11)*NORMSINV($B883)+SQRT(1-AC$9^2*$C$11)*NORMSINV(AB883))&lt;AC$8,AC$5+SQRT(NORMSDIST(AC$9*SQRT($C$11)*NORMSINV($B883)+SQRT(1-AC$9^2*$C$11)*NORMSINV(AB883))*(AC$7-AC$5)*(AC$6-AC$5)),AC$7-SQRT((1-NORMSDIST(AC$9*SQRT($C$11)*NORMSINV($B883)+SQRT(1-AC$9^2*$C$11)*NORMSINV(AB883)))*(AC$7-AC$5)*(AC$7-AC$6))))</f>
        <v>10.3535227893679</v>
      </c>
      <c r="AD883" s="2" t="n">
        <f aca="false">Entrées!$C$8*(1+E883)</f>
        <v>7429.42374643253</v>
      </c>
      <c r="AE883" s="2" t="n">
        <f aca="false">I883*Hypothèses!$J$24/12/Hypothèses!$J$19</f>
        <v>107.044200531292</v>
      </c>
      <c r="AF883" s="2" t="n">
        <f aca="false">Entrées!$C$36*S883*1000</f>
        <v>297.828136711491</v>
      </c>
      <c r="AG883" s="2" t="n">
        <f aca="false">-AF883/W883</f>
        <v>-29.2285613974163</v>
      </c>
      <c r="AH883" s="2" t="n">
        <f aca="false">AD883+AE883+AG883</f>
        <v>7507.23938556641</v>
      </c>
      <c r="AI883" s="2" t="n">
        <f aca="false">Entrées!$C$16-M883+Hypothèses!$J$22*1000-AF883+Hypothèses!$J$23</f>
        <v>22572.0516067498</v>
      </c>
      <c r="AJ883" s="2" t="n">
        <f aca="false">AI883/AH883</f>
        <v>3.00670465499572</v>
      </c>
      <c r="AK883" s="2" t="n">
        <f aca="false">AI883/(AH883+I883*(12-Hypothèses!$J$24)/12/Hypothèses!$J$19)</f>
        <v>2.97639054936455</v>
      </c>
      <c r="AL883" s="2" t="n">
        <f aca="false">(AD883+AG883+I883/Hypothèses!$J$19)*(1+G883)</f>
        <v>8048.81560689439</v>
      </c>
      <c r="AM883" s="2" t="n">
        <f aca="false">Entrées!$C$54*K883/Hypothèses!$J$19</f>
        <v>16.5250137170097</v>
      </c>
      <c r="AN883" s="2" t="n">
        <f aca="false">Y883*1000/AC883</f>
        <v>43.8119518819781</v>
      </c>
      <c r="AO883" s="2" t="n">
        <f aca="false">(Entrées!$C$36*(1-S883)+MAX(0,Entrées!$C$30-Entrées!$C$35-Entrées!$C$36)*U883)*1000</f>
        <v>547.869854662424</v>
      </c>
      <c r="AP883" s="2" t="n">
        <f aca="false">-AO883/W883</f>
        <v>-53.7674104992523</v>
      </c>
      <c r="AQ883" s="2" t="n">
        <f aca="false">AL883+AM883+AN883+AP883</f>
        <v>8055.38516199413</v>
      </c>
      <c r="AR883" s="2" t="n">
        <f aca="false">O883*AQ883-Hypothèses!$J$25/Hypothèses!$J$19</f>
        <v>1454.24397309467</v>
      </c>
      <c r="AS883" s="2" t="n">
        <f aca="false">Entrées!$C$79*(1+Q883)+Hypothèses!$J$20</f>
        <v>1516.02829996891</v>
      </c>
      <c r="AT883" s="2" t="n">
        <f aca="false">AI883-AR883+AS883+Y883*1000-AO883+Hypothèses!$J$23</f>
        <v>22539.5741212183</v>
      </c>
      <c r="AU883" s="2" t="n">
        <f aca="false">AT883/AQ883</f>
        <v>2.79807528354592</v>
      </c>
      <c r="AV883" s="2" t="n">
        <f aca="false">Hypothèses!$J$26*AQ883-AT883</f>
        <v>1626.58136476406</v>
      </c>
      <c r="AW883" s="2" t="n">
        <f aca="false">IF(AC883&gt;Hypothèses!$J$26,MAX(0,AV883)/(1-Hypothèses!$J$26/AC883),0)</f>
        <v>2290.17407183333</v>
      </c>
      <c r="AX883" s="2" t="n">
        <f aca="false">AQ883-Entrées!$C$17*1000</f>
        <v>55.3851619941252</v>
      </c>
      <c r="AY883" s="2" t="n">
        <f aca="false">AI883+(Entrées!$C$244-Entrées!$C$13)</f>
        <v>28319.0516067498</v>
      </c>
      <c r="AZ883" s="2" t="n">
        <f aca="false">AA883*AH883</f>
        <v>5459.95170358051</v>
      </c>
      <c r="BA883" s="2" t="n">
        <f aca="false">AZ883/AY883</f>
        <v>0.192801361408556</v>
      </c>
      <c r="BB883" s="2" t="n">
        <f aca="false">AZ883/(Entrées!$C$151/100)-AY883</f>
        <v>2014.01341314194</v>
      </c>
      <c r="BC883" s="2" t="n">
        <f aca="false">AT883+(Entrées!$C$244-Entrées!$C$13)</f>
        <v>28286.5741212183</v>
      </c>
      <c r="BD883" s="2" t="n">
        <f aca="false">AA883*AQ883</f>
        <v>5858.61349017161</v>
      </c>
      <c r="BE883" s="2" t="n">
        <f aca="false">BD883/BC883</f>
        <v>0.207116403176479</v>
      </c>
      <c r="BF883" s="2" t="n">
        <f aca="false">BD883/(Entrées!$C$151/100)-BC883</f>
        <v>4261.27860195727</v>
      </c>
      <c r="BG883" s="2" t="n">
        <f aca="false">MIN(AV883,BF883)</f>
        <v>1626.58136476406</v>
      </c>
      <c r="BH883" s="2" t="n">
        <f aca="false">IF(AC883&gt;Hypothèses!$J$26,MAX(0,BG883)/(1-Hypothèses!$J$26/AC883),0)</f>
        <v>2290.17407183333</v>
      </c>
    </row>
    <row r="884" customFormat="false" ht="15" hidden="false" customHeight="false" outlineLevel="0" collapsed="false">
      <c r="A884" s="2" t="n">
        <v>869</v>
      </c>
      <c r="B884" s="2" t="n">
        <v>0.114628538</v>
      </c>
      <c r="C884" s="2"/>
      <c r="D884" s="2" t="n">
        <v>0.631449061</v>
      </c>
      <c r="E884" s="2" t="n">
        <f aca="false">IF(E$7=E$5,E$6,IF(NORMSDIST(E$9*SQRT($C$11)*NORMSINV($B884)+SQRT(1-E$9^2*$C$11)*NORMSINV(D884))&lt;E$8,E$5+SQRT(NORMSDIST(E$9*SQRT($C$11)*NORMSINV($B884)+SQRT(1-E$9^2*$C$11)*NORMSINV(D884))*(E$7-E$5)*(E$6-E$5)),E$7-SQRT((1-NORMSDIST(E$9*SQRT($C$11)*NORMSINV($B884)+SQRT(1-E$9^2*$C$11)*NORMSINV(D884)))*(E$7-E$5)*(E$7-E$6))))</f>
        <v>0.0539269037291958</v>
      </c>
      <c r="F884" s="2" t="n">
        <v>0.560707999</v>
      </c>
      <c r="G884" s="2" t="n">
        <f aca="false">IF(G$7=G$5,G$6,IF(NORMSDIST(G$9*SQRT($C$11)*NORMSINV($B884)+SQRT(1-G$9^2*$C$11)*NORMSINV(F884))&lt;G$8,G$5+SQRT(NORMSDIST(G$9*SQRT($C$11)*NORMSINV($B884)+SQRT(1-G$9^2*$C$11)*NORMSINV(F884))*(G$7-G$5)*(G$6-G$5)),G$7-SQRT((1-NORMSDIST(G$9*SQRT($C$11)*NORMSINV($B884)+SQRT(1-G$9^2*$C$11)*NORMSINV(F884)))*(G$7-G$5)*(G$7-G$6))))</f>
        <v>0.0508253640384022</v>
      </c>
      <c r="H884" s="2" t="n">
        <v>0.791727087</v>
      </c>
      <c r="I884" s="2" t="n">
        <f aca="false">IF(I$7=I$5,I$6,IF(NORMSDIST(I$9*SQRT($C$11)*NORMSINV($B884)+SQRT(1-I$9^2*$C$11)*NORMSINV(H884))&lt;I$8,I$5+SQRT(NORMSDIST(I$9*SQRT($C$11)*NORMSINV($B884)+SQRT(1-I$9^2*$C$11)*NORMSINV(H884))*(I$7-I$5)*(I$6-I$5)),I$7-SQRT((1-NORMSDIST(I$9*SQRT($C$11)*NORMSINV($B884)+SQRT(1-I$9^2*$C$11)*NORMSINV(H884)))*(I$7-I$5)*(I$7-I$6))))</f>
        <v>198.928404572644</v>
      </c>
      <c r="J884" s="2" t="n">
        <v>0.420891649</v>
      </c>
      <c r="K884" s="2" t="n">
        <f aca="false">IF(K$7=K$5,K$6,IF(NORMSDIST(K$9*SQRT($C$11)*NORMSINV($B884)+SQRT(1-K$9^2*$C$11)*NORMSINV(J884))&lt;K$8,K$5+SQRT(NORMSDIST(K$9*SQRT($C$11)*NORMSINV($B884)+SQRT(1-K$9^2*$C$11)*NORMSINV(J884))*(K$7-K$5)*(K$6-K$5)),K$7-SQRT((1-NORMSDIST(K$9*SQRT($C$11)*NORMSINV($B884)+SQRT(1-K$9^2*$C$11)*NORMSINV(J884)))*(K$7-K$5)*(K$7-K$6))))</f>
        <v>0.150039384355688</v>
      </c>
      <c r="L884" s="2" t="n">
        <v>0.263781599</v>
      </c>
      <c r="M884" s="2" t="n">
        <f aca="false">IF(M$7=M$5,M$6,IF(NORMSDIST(M$9*SQRT($C$11)*NORMSINV($B884)+SQRT(1-M$9^2*$C$11)*NORMSINV(L884))&lt;M$8,M$5+SQRT(NORMSDIST(M$9*SQRT($C$11)*NORMSINV($B884)+SQRT(1-M$9^2*$C$11)*NORMSINV(L884))*(M$7-M$5)*(M$6-M$5)),M$7-SQRT((1-NORMSDIST(M$9*SQRT($C$11)*NORMSINV($B884)+SQRT(1-M$9^2*$C$11)*NORMSINV(L884)))*(M$7-M$5)*(M$7-M$6))))</f>
        <v>1432.92854818814</v>
      </c>
      <c r="N884" s="2" t="n">
        <v>0.024963901</v>
      </c>
      <c r="O884" s="2" t="n">
        <f aca="false">IF(O$7=O$5,O$6,IF(NORMSDIST(O$9*SQRT($C$11)*NORMSINV($B884)+SQRT(1-O$9^2*$C$11)*NORMSINV(N884))&lt;O$8,O$5+SQRT(NORMSDIST(O$9*SQRT($C$11)*NORMSINV($B884)+SQRT(1-O$9^2*$C$11)*NORMSINV(N884))*(O$7-O$5)*(O$6-O$5)),O$7-SQRT((1-NORMSDIST(O$9*SQRT($C$11)*NORMSINV($B884)+SQRT(1-O$9^2*$C$11)*NORMSINV(N884)))*(O$7-O$5)*(O$7-O$6))))</f>
        <v>0.144032320985268</v>
      </c>
      <c r="P884" s="2" t="n">
        <v>0.52241387</v>
      </c>
      <c r="Q884" s="2" t="n">
        <f aca="false">IF(Q$7=Q$5,Q$6,IF(NORMSDIST(Q$9*SQRT($C$11)*NORMSINV($B884)+SQRT(1-Q$9^2*$C$11)*NORMSINV(P884))&lt;Q$8,Q$5+SQRT(NORMSDIST(Q$9*SQRT($C$11)*NORMSINV($B884)+SQRT(1-Q$9^2*$C$11)*NORMSINV(P884))*(Q$7-Q$5)*(Q$6-Q$5)),Q$7-SQRT((1-NORMSDIST(Q$9*SQRT($C$11)*NORMSINV($B884)+SQRT(1-Q$9^2*$C$11)*NORMSINV(P884)))*(Q$7-Q$5)*(Q$7-Q$6))))</f>
        <v>0.080906834152246</v>
      </c>
      <c r="R884" s="2" t="n">
        <v>0.138920628</v>
      </c>
      <c r="S884" s="2" t="n">
        <f aca="false">IF(S$7=S$5,S$6,IF(NORMSDIST(S$9*SQRT($C$11)*NORMSINV($B884)+SQRT(1-S$9^2*$C$11)*NORMSINV(R884))&lt;S$8,S$5+SQRT(NORMSDIST(S$9*SQRT($C$11)*NORMSINV($B884)+SQRT(1-S$9^2*$C$11)*NORMSINV(R884))*(S$7-S$5)*(S$6-S$5)),S$7-SQRT((1-NORMSDIST(S$9*SQRT($C$11)*NORMSINV($B884)+SQRT(1-S$9^2*$C$11)*NORMSINV(R884)))*(S$7-S$5)*(S$7-S$6))))</f>
        <v>0.16536704211964</v>
      </c>
      <c r="T884" s="2" t="n">
        <v>0.394161834</v>
      </c>
      <c r="U884" s="2" t="n">
        <f aca="false">IF(U$7=U$5,U$6,IF(NORMSDIST(U$9*SQRT($C$11)*NORMSINV($B884)+SQRT(1-U$9^2*$C$11)*NORMSINV(T884))&lt;U$8,U$5+SQRT(NORMSDIST(U$9*SQRT($C$11)*NORMSINV($B884)+SQRT(1-U$9^2*$C$11)*NORMSINV(T884))*(U$7-U$5)*(U$6-U$5)),U$7-SQRT((1-NORMSDIST(U$9*SQRT($C$11)*NORMSINV($B884)+SQRT(1-U$9^2*$C$11)*NORMSINV(T884)))*(U$7-U$5)*(U$7-U$6))))</f>
        <v>0.288473115655187</v>
      </c>
      <c r="V884" s="2" t="n">
        <v>0.417104532</v>
      </c>
      <c r="W884" s="2" t="n">
        <f aca="false">IF(W$7=W$5,W$6,IF(NORMSDIST(W$9*SQRT($C$11)*NORMSINV($B884)+SQRT(1-W$9^2*$C$11)*NORMSINV(V884))&lt;W$8,W$5+SQRT(NORMSDIST(W$9*SQRT($C$11)*NORMSINV($B884)+SQRT(1-W$9^2*$C$11)*NORMSINV(V884))*(W$7-W$5)*(W$6-W$5)),W$7-SQRT((1-NORMSDIST(W$9*SQRT($C$11)*NORMSINV($B884)+SQRT(1-W$9^2*$C$11)*NORMSINV(V884)))*(W$7-W$5)*(W$7-W$6))))</f>
        <v>9.19375182215206</v>
      </c>
      <c r="X884" s="2" t="n">
        <v>0.320492578</v>
      </c>
      <c r="Y884" s="2" t="n">
        <f aca="false">IF(Y$7=Y$5,Y$6,IF(NORMSDIST(Y$9*SQRT($C$11)*NORMSINV($B884)+SQRT(1-Y$9^2*$C$11)*NORMSINV(X884))&lt;Y$8,Y$5+SQRT(NORMSDIST(Y$9*SQRT($C$11)*NORMSINV($B884)+SQRT(1-Y$9^2*$C$11)*NORMSINV(X884))*(Y$7-Y$5)*(Y$6-Y$5)),Y$7-SQRT((1-NORMSDIST(Y$9*SQRT($C$11)*NORMSINV($B884)+SQRT(1-Y$9^2*$C$11)*NORMSINV(X884)))*(Y$7-Y$5)*(Y$7-Y$6))))</f>
        <v>0.400307742867909</v>
      </c>
      <c r="Z884" s="2" t="n">
        <v>0.589332013</v>
      </c>
      <c r="AA884" s="2" t="n">
        <f aca="false">IF(AA$7=AA$5,AA$6,IF(NORMSDIST(AA$9*SQRT($C$11)*NORMSINV($B884)+SQRT(1-AA$9^2*$C$11)*NORMSINV(Z884))&lt;AA$8,AA$5+SQRT(NORMSDIST(AA$9*SQRT($C$11)*NORMSINV($B884)+SQRT(1-AA$9^2*$C$11)*NORMSINV(Z884))*(AA$7-AA$5)*(AA$6-AA$5)),AA$7-SQRT((1-NORMSDIST(AA$9*SQRT($C$11)*NORMSINV($B884)+SQRT(1-AA$9^2*$C$11)*NORMSINV(Z884)))*(AA$7-AA$5)*(AA$7-AA$6))))</f>
        <v>0.719775143284628</v>
      </c>
      <c r="AB884" s="2" t="n">
        <v>0.820774653</v>
      </c>
      <c r="AC884" s="2" t="n">
        <f aca="false">IF(AC$7=AC$5,AC$6,IF(NORMSDIST(AC$9*SQRT($C$11)*NORMSINV($B884)+SQRT(1-AC$9^2*$C$11)*NORMSINV(AB884))&lt;AC$8,AC$5+SQRT(NORMSDIST(AC$9*SQRT($C$11)*NORMSINV($B884)+SQRT(1-AC$9^2*$C$11)*NORMSINV(AB884))*(AC$7-AC$5)*(AC$6-AC$5)),AC$7-SQRT((1-NORMSDIST(AC$9*SQRT($C$11)*NORMSINV($B884)+SQRT(1-AC$9^2*$C$11)*NORMSINV(AB884)))*(AC$7-AC$5)*(AC$7-AC$6))))</f>
        <v>9.43739440913738</v>
      </c>
      <c r="AD884" s="2" t="n">
        <f aca="false">Entrées!$C$8*(1+E884)</f>
        <v>7430.18467129083</v>
      </c>
      <c r="AE884" s="2" t="n">
        <f aca="false">I884*Hypothèses!$J$24/12/Hypothèses!$J$19</f>
        <v>98.687744813361</v>
      </c>
      <c r="AF884" s="2" t="n">
        <f aca="false">Entrées!$C$36*S884*1000</f>
        <v>82.6835210598199</v>
      </c>
      <c r="AG884" s="2" t="n">
        <f aca="false">-AF884/W884</f>
        <v>-8.99344714315613</v>
      </c>
      <c r="AH884" s="2" t="n">
        <f aca="false">AD884+AE884+AG884</f>
        <v>7519.87896896104</v>
      </c>
      <c r="AI884" s="2" t="n">
        <f aca="false">Entrées!$C$16-M884+Hypothèses!$J$22*1000-AF884+Hypothèses!$J$23</f>
        <v>23032.387930752</v>
      </c>
      <c r="AJ884" s="2" t="n">
        <f aca="false">AI884/AH884</f>
        <v>3.06286683945583</v>
      </c>
      <c r="AK884" s="2" t="n">
        <f aca="false">AI884/(AH884+I884*(12-Hypothèses!$J$24)/12/Hypothèses!$J$19)</f>
        <v>3.03442220571244</v>
      </c>
      <c r="AL884" s="2" t="n">
        <f aca="false">(AD884+AG884+I884/Hypothèses!$J$19)*(1+G884)</f>
        <v>7976.15354463294</v>
      </c>
      <c r="AM884" s="2" t="n">
        <f aca="false">Entrées!$C$54*K884/Hypothèses!$J$19</f>
        <v>15.312149148163</v>
      </c>
      <c r="AN884" s="2" t="n">
        <f aca="false">Y884*1000/AC884</f>
        <v>42.4171890580653</v>
      </c>
      <c r="AO884" s="2" t="n">
        <f aca="false">(Entrées!$C$36*(1-S884)+MAX(0,Entrées!$C$30-Entrées!$C$35-Entrées!$C$36)*U884)*1000</f>
        <v>821.178840857442</v>
      </c>
      <c r="AP884" s="2" t="n">
        <f aca="false">-AO884/W884</f>
        <v>-89.3192307931172</v>
      </c>
      <c r="AQ884" s="2" t="n">
        <f aca="false">AL884+AM884+AN884+AP884</f>
        <v>7944.56365204605</v>
      </c>
      <c r="AR884" s="2" t="n">
        <f aca="false">O884*AQ884-Hypothèses!$J$25/Hypothèses!$J$19</f>
        <v>1125.13877975776</v>
      </c>
      <c r="AS884" s="2" t="n">
        <f aca="false">Entrées!$C$79*(1+Q884)+Hypothèses!$J$20</f>
        <v>1482.91661073332</v>
      </c>
      <c r="AT884" s="2" t="n">
        <f aca="false">AI884-AR884+AS884+Y884*1000-AO884+Hypothèses!$J$23</f>
        <v>22969.2946637381</v>
      </c>
      <c r="AU884" s="2" t="n">
        <f aca="false">AT884/AQ884</f>
        <v>2.89119650489836</v>
      </c>
      <c r="AV884" s="2" t="n">
        <f aca="false">Hypothèses!$J$26*AQ884-AT884</f>
        <v>864.396292400099</v>
      </c>
      <c r="AW884" s="2" t="n">
        <f aca="false">IF(AC884&gt;Hypothèses!$J$26,MAX(0,AV884)/(1-Hypothèses!$J$26/AC884),0)</f>
        <v>1267.22835649104</v>
      </c>
      <c r="AX884" s="2" t="n">
        <f aca="false">AQ884-Entrées!$C$17*1000</f>
        <v>-55.4363479539488</v>
      </c>
      <c r="AY884" s="2" t="n">
        <f aca="false">AI884+(Entrées!$C$244-Entrées!$C$13)</f>
        <v>28779.387930752</v>
      </c>
      <c r="AZ884" s="2" t="n">
        <f aca="false">AA884*AH884</f>
        <v>5412.62196236699</v>
      </c>
      <c r="BA884" s="2" t="n">
        <f aca="false">AZ884/AY884</f>
        <v>0.188072865739558</v>
      </c>
      <c r="BB884" s="2" t="n">
        <f aca="false">AZ884/(Entrées!$C$151/100)-AY884</f>
        <v>1290.73408239791</v>
      </c>
      <c r="BC884" s="2" t="n">
        <f aca="false">AT884+(Entrées!$C$244-Entrées!$C$13)</f>
        <v>28716.2946637381</v>
      </c>
      <c r="BD884" s="2" t="n">
        <f aca="false">AA884*AQ884</f>
        <v>5718.29944098529</v>
      </c>
      <c r="BE884" s="2" t="n">
        <f aca="false">BD884/BC884</f>
        <v>0.199130824778942</v>
      </c>
      <c r="BF884" s="2" t="n">
        <f aca="false">BD884/(Entrées!$C$151/100)-BC884</f>
        <v>3052.03556395802</v>
      </c>
      <c r="BG884" s="2" t="n">
        <f aca="false">MIN(AV884,BF884)</f>
        <v>864.396292400099</v>
      </c>
      <c r="BH884" s="2" t="n">
        <f aca="false">IF(AC884&gt;Hypothèses!$J$26,MAX(0,BG884)/(1-Hypothèses!$J$26/AC884),0)</f>
        <v>1267.22835649104</v>
      </c>
    </row>
    <row r="885" customFormat="false" ht="15" hidden="false" customHeight="false" outlineLevel="0" collapsed="false">
      <c r="A885" s="2" t="n">
        <v>870</v>
      </c>
      <c r="B885" s="2" t="n">
        <v>0.778370831</v>
      </c>
      <c r="C885" s="2"/>
      <c r="D885" s="2" t="n">
        <v>0.712364979</v>
      </c>
      <c r="E885" s="2" t="n">
        <f aca="false">IF(E$7=E$5,E$6,IF(NORMSDIST(E$9*SQRT($C$11)*NORMSINV($B885)+SQRT(1-E$9^2*$C$11)*NORMSINV(D885))&lt;E$8,E$5+SQRT(NORMSDIST(E$9*SQRT($C$11)*NORMSINV($B885)+SQRT(1-E$9^2*$C$11)*NORMSINV(D885))*(E$7-E$5)*(E$6-E$5)),E$7-SQRT((1-NORMSDIST(E$9*SQRT($C$11)*NORMSINV($B885)+SQRT(1-E$9^2*$C$11)*NORMSINV(D885)))*(E$7-E$5)*(E$7-E$6))))</f>
        <v>0.0570077648582511</v>
      </c>
      <c r="F885" s="2" t="n">
        <v>0.603286388</v>
      </c>
      <c r="G885" s="2" t="n">
        <f aca="false">IF(G$7=G$5,G$6,IF(NORMSDIST(G$9*SQRT($C$11)*NORMSINV($B885)+SQRT(1-G$9^2*$C$11)*NORMSINV(F885))&lt;G$8,G$5+SQRT(NORMSDIST(G$9*SQRT($C$11)*NORMSINV($B885)+SQRT(1-G$9^2*$C$11)*NORMSINV(F885))*(G$7-G$5)*(G$6-G$5)),G$7-SQRT((1-NORMSDIST(G$9*SQRT($C$11)*NORMSINV($B885)+SQRT(1-G$9^2*$C$11)*NORMSINV(F885)))*(G$7-G$5)*(G$7-G$6))))</f>
        <v>0.0594827170483448</v>
      </c>
      <c r="H885" s="2" t="n">
        <v>0.943842761</v>
      </c>
      <c r="I885" s="2" t="n">
        <f aca="false">IF(I$7=I$5,I$6,IF(NORMSDIST(I$9*SQRT($C$11)*NORMSINV($B885)+SQRT(1-I$9^2*$C$11)*NORMSINV(H885))&lt;I$8,I$5+SQRT(NORMSDIST(I$9*SQRT($C$11)*NORMSINV($B885)+SQRT(1-I$9^2*$C$11)*NORMSINV(H885))*(I$7-I$5)*(I$6-I$5)),I$7-SQRT((1-NORMSDIST(I$9*SQRT($C$11)*NORMSINV($B885)+SQRT(1-I$9^2*$C$11)*NORMSINV(H885)))*(I$7-I$5)*(I$7-I$6))))</f>
        <v>214.122267514492</v>
      </c>
      <c r="J885" s="2" t="n">
        <v>0.966980375</v>
      </c>
      <c r="K885" s="2" t="n">
        <f aca="false">IF(K$7=K$5,K$6,IF(NORMSDIST(K$9*SQRT($C$11)*NORMSINV($B885)+SQRT(1-K$9^2*$C$11)*NORMSINV(J885))&lt;K$8,K$5+SQRT(NORMSDIST(K$9*SQRT($C$11)*NORMSINV($B885)+SQRT(1-K$9^2*$C$11)*NORMSINV(J885))*(K$7-K$5)*(K$6-K$5)),K$7-SQRT((1-NORMSDIST(K$9*SQRT($C$11)*NORMSINV($B885)+SQRT(1-K$9^2*$C$11)*NORMSINV(J885)))*(K$7-K$5)*(K$7-K$6))))</f>
        <v>0.440682954319479</v>
      </c>
      <c r="L885" s="2" t="n">
        <v>0.794827758</v>
      </c>
      <c r="M885" s="2" t="n">
        <f aca="false">IF(M$7=M$5,M$6,IF(NORMSDIST(M$9*SQRT($C$11)*NORMSINV($B885)+SQRT(1-M$9^2*$C$11)*NORMSINV(L885))&lt;M$8,M$5+SQRT(NORMSDIST(M$9*SQRT($C$11)*NORMSINV($B885)+SQRT(1-M$9^2*$C$11)*NORMSINV(L885))*(M$7-M$5)*(M$6-M$5)),M$7-SQRT((1-NORMSDIST(M$9*SQRT($C$11)*NORMSINV($B885)+SQRT(1-M$9^2*$C$11)*NORMSINV(L885)))*(M$7-M$5)*(M$7-M$6))))</f>
        <v>1689.85674863452</v>
      </c>
      <c r="N885" s="2" t="n">
        <v>0.22399098</v>
      </c>
      <c r="O885" s="2" t="n">
        <f aca="false">IF(O$7=O$5,O$6,IF(NORMSDIST(O$9*SQRT($C$11)*NORMSINV($B885)+SQRT(1-O$9^2*$C$11)*NORMSINV(N885))&lt;O$8,O$5+SQRT(NORMSDIST(O$9*SQRT($C$11)*NORMSINV($B885)+SQRT(1-O$9^2*$C$11)*NORMSINV(N885))*(O$7-O$5)*(O$6-O$5)),O$7-SQRT((1-NORMSDIST(O$9*SQRT($C$11)*NORMSINV($B885)+SQRT(1-O$9^2*$C$11)*NORMSINV(N885)))*(O$7-O$5)*(O$7-O$6))))</f>
        <v>0.165664034825541</v>
      </c>
      <c r="P885" s="2" t="n">
        <v>0.446229463</v>
      </c>
      <c r="Q885" s="2" t="n">
        <f aca="false">IF(Q$7=Q$5,Q$6,IF(NORMSDIST(Q$9*SQRT($C$11)*NORMSINV($B885)+SQRT(1-Q$9^2*$C$11)*NORMSINV(P885))&lt;Q$8,Q$5+SQRT(NORMSDIST(Q$9*SQRT($C$11)*NORMSINV($B885)+SQRT(1-Q$9^2*$C$11)*NORMSINV(P885))*(Q$7-Q$5)*(Q$6-Q$5)),Q$7-SQRT((1-NORMSDIST(Q$9*SQRT($C$11)*NORMSINV($B885)+SQRT(1-Q$9^2*$C$11)*NORMSINV(P885)))*(Q$7-Q$5)*(Q$7-Q$6))))</f>
        <v>0.0777880176987362</v>
      </c>
      <c r="R885" s="2" t="n">
        <v>0.661795373</v>
      </c>
      <c r="S885" s="2" t="n">
        <f aca="false">IF(S$7=S$5,S$6,IF(NORMSDIST(S$9*SQRT($C$11)*NORMSINV($B885)+SQRT(1-S$9^2*$C$11)*NORMSINV(R885))&lt;S$8,S$5+SQRT(NORMSDIST(S$9*SQRT($C$11)*NORMSINV($B885)+SQRT(1-S$9^2*$C$11)*NORMSINV(R885))*(S$7-S$5)*(S$6-S$5)),S$7-SQRT((1-NORMSDIST(S$9*SQRT($C$11)*NORMSINV($B885)+SQRT(1-S$9^2*$C$11)*NORMSINV(R885)))*(S$7-S$5)*(S$7-S$6))))</f>
        <v>0.676357806952568</v>
      </c>
      <c r="T885" s="2" t="n">
        <v>0.857828314</v>
      </c>
      <c r="U885" s="2" t="n">
        <f aca="false">IF(U$7=U$5,U$6,IF(NORMSDIST(U$9*SQRT($C$11)*NORMSINV($B885)+SQRT(1-U$9^2*$C$11)*NORMSINV(T885))&lt;U$8,U$5+SQRT(NORMSDIST(U$9*SQRT($C$11)*NORMSINV($B885)+SQRT(1-U$9^2*$C$11)*NORMSINV(T885))*(U$7-U$5)*(U$6-U$5)),U$7-SQRT((1-NORMSDIST(U$9*SQRT($C$11)*NORMSINV($B885)+SQRT(1-U$9^2*$C$11)*NORMSINV(T885)))*(U$7-U$5)*(U$7-U$6))))</f>
        <v>0.782756286414662</v>
      </c>
      <c r="V885" s="2" t="n">
        <v>0.775618358</v>
      </c>
      <c r="W885" s="2" t="n">
        <f aca="false">IF(W$7=W$5,W$6,IF(NORMSDIST(W$9*SQRT($C$11)*NORMSINV($B885)+SQRT(1-W$9^2*$C$11)*NORMSINV(V885))&lt;W$8,W$5+SQRT(NORMSDIST(W$9*SQRT($C$11)*NORMSINV($B885)+SQRT(1-W$9^2*$C$11)*NORMSINV(V885))*(W$7-W$5)*(W$6-W$5)),W$7-SQRT((1-NORMSDIST(W$9*SQRT($C$11)*NORMSINV($B885)+SQRT(1-W$9^2*$C$11)*NORMSINV(V885)))*(W$7-W$5)*(W$7-W$6))))</f>
        <v>10.9343936037128</v>
      </c>
      <c r="X885" s="2" t="n">
        <v>0.428972925</v>
      </c>
      <c r="Y885" s="2" t="n">
        <f aca="false">IF(Y$7=Y$5,Y$6,IF(NORMSDIST(Y$9*SQRT($C$11)*NORMSINV($B885)+SQRT(1-Y$9^2*$C$11)*NORMSINV(X885))&lt;Y$8,Y$5+SQRT(NORMSDIST(Y$9*SQRT($C$11)*NORMSINV($B885)+SQRT(1-Y$9^2*$C$11)*NORMSINV(X885))*(Y$7-Y$5)*(Y$6-Y$5)),Y$7-SQRT((1-NORMSDIST(Y$9*SQRT($C$11)*NORMSINV($B885)+SQRT(1-Y$9^2*$C$11)*NORMSINV(X885)))*(Y$7-Y$5)*(Y$7-Y$6))))</f>
        <v>0.463126831980182</v>
      </c>
      <c r="Z885" s="2" t="n">
        <v>0.382589724</v>
      </c>
      <c r="AA885" s="2" t="n">
        <f aca="false">IF(AA$7=AA$5,AA$6,IF(NORMSDIST(AA$9*SQRT($C$11)*NORMSINV($B885)+SQRT(1-AA$9^2*$C$11)*NORMSINV(Z885))&lt;AA$8,AA$5+SQRT(NORMSDIST(AA$9*SQRT($C$11)*NORMSINV($B885)+SQRT(1-AA$9^2*$C$11)*NORMSINV(Z885))*(AA$7-AA$5)*(AA$6-AA$5)),AA$7-SQRT((1-NORMSDIST(AA$9*SQRT($C$11)*NORMSINV($B885)+SQRT(1-AA$9^2*$C$11)*NORMSINV(Z885)))*(AA$7-AA$5)*(AA$7-AA$6))))</f>
        <v>0.731177781654679</v>
      </c>
      <c r="AB885" s="2" t="n">
        <v>0.988312053</v>
      </c>
      <c r="AC885" s="2" t="n">
        <f aca="false">IF(AC$7=AC$5,AC$6,IF(NORMSDIST(AC$9*SQRT($C$11)*NORMSINV($B885)+SQRT(1-AC$9^2*$C$11)*NORMSINV(AB885))&lt;AC$8,AC$5+SQRT(NORMSDIST(AC$9*SQRT($C$11)*NORMSINV($B885)+SQRT(1-AC$9^2*$C$11)*NORMSINV(AB885))*(AC$7-AC$5)*(AC$6-AC$5)),AC$7-SQRT((1-NORMSDIST(AC$9*SQRT($C$11)*NORMSINV($B885)+SQRT(1-AC$9^2*$C$11)*NORMSINV(AB885)))*(AC$7-AC$5)*(AC$7-AC$6))))</f>
        <v>10.7675292542704</v>
      </c>
      <c r="AD885" s="2" t="n">
        <f aca="false">Entrées!$C$8*(1+E885)</f>
        <v>7451.90474225067</v>
      </c>
      <c r="AE885" s="2" t="n">
        <f aca="false">I885*Hypothèses!$J$24/12/Hypothèses!$J$19</f>
        <v>106.225371588962</v>
      </c>
      <c r="AF885" s="2" t="n">
        <f aca="false">Entrées!$C$36*S885*1000</f>
        <v>338.178903476284</v>
      </c>
      <c r="AG885" s="2" t="n">
        <f aca="false">-AF885/W885</f>
        <v>-30.9279979972052</v>
      </c>
      <c r="AH885" s="2" t="n">
        <f aca="false">AD885+AE885+AG885</f>
        <v>7527.20211584243</v>
      </c>
      <c r="AI885" s="2" t="n">
        <f aca="false">Entrées!$C$16-M885+Hypothèses!$J$22*1000-AF885+Hypothèses!$J$23</f>
        <v>22519.9643478892</v>
      </c>
      <c r="AJ885" s="2" t="n">
        <f aca="false">AI885/AH885</f>
        <v>2.99181076863761</v>
      </c>
      <c r="AK885" s="2" t="n">
        <f aca="false">AI885/(AH885+I885*(12-Hypothèses!$J$24)/12/Hypothèses!$J$19)</f>
        <v>2.96195385349977</v>
      </c>
      <c r="AL885" s="2" t="n">
        <f aca="false">(AD885+AG885+I885/Hypothèses!$J$19)*(1+G885)</f>
        <v>8055.32908182946</v>
      </c>
      <c r="AM885" s="2" t="n">
        <f aca="false">Entrées!$C$54*K885/Hypothèses!$J$19</f>
        <v>44.9735457964583</v>
      </c>
      <c r="AN885" s="2" t="n">
        <f aca="false">Y885*1000/AC885</f>
        <v>43.0114301102556</v>
      </c>
      <c r="AO885" s="2" t="n">
        <f aca="false">(Entrées!$C$36*(1-S885)+MAX(0,Entrées!$C$30-Entrées!$C$35-Entrées!$C$36)*U885)*1000</f>
        <v>1257.67989750424</v>
      </c>
      <c r="AP885" s="2" t="n">
        <f aca="false">-AO885/W885</f>
        <v>-115.02054371604</v>
      </c>
      <c r="AQ885" s="2" t="n">
        <f aca="false">AL885+AM885+AN885+AP885</f>
        <v>8028.29351402013</v>
      </c>
      <c r="AR885" s="2" t="n">
        <f aca="false">O885*AQ885-Hypothèses!$J$25/Hypothèses!$J$19</f>
        <v>1310.86433403467</v>
      </c>
      <c r="AS885" s="2" t="n">
        <f aca="false">Entrées!$C$79*(1+Q885)+Hypothèses!$J$20</f>
        <v>1479.48903145091</v>
      </c>
      <c r="AT885" s="2" t="n">
        <f aca="false">AI885-AR885+AS885+Y885*1000-AO885+Hypothèses!$J$23</f>
        <v>21894.0359797814</v>
      </c>
      <c r="AU885" s="2" t="n">
        <f aca="false">AT885/AQ885</f>
        <v>2.72710955840702</v>
      </c>
      <c r="AV885" s="2" t="n">
        <f aca="false">Hypothèses!$J$26*AQ885-AT885</f>
        <v>2190.84456227901</v>
      </c>
      <c r="AW885" s="2" t="n">
        <f aca="false">IF(AC885&gt;Hypothèses!$J$26,MAX(0,AV885)/(1-Hypothèses!$J$26/AC885),0)</f>
        <v>3036.9995585056</v>
      </c>
      <c r="AX885" s="2" t="n">
        <f aca="false">AQ885-Entrées!$C$17*1000</f>
        <v>28.2935140201298</v>
      </c>
      <c r="AY885" s="2" t="n">
        <f aca="false">AI885+(Entrées!$C$244-Entrées!$C$13)</f>
        <v>28266.9643478892</v>
      </c>
      <c r="AZ885" s="2" t="n">
        <f aca="false">AA885*AH885</f>
        <v>5503.72294512807</v>
      </c>
      <c r="BA885" s="2" t="n">
        <f aca="false">AZ885/AY885</f>
        <v>0.194705129188697</v>
      </c>
      <c r="BB885" s="2" t="n">
        <f aca="false">AZ885/(Entrées!$C$151/100)-AY885</f>
        <v>2309.27423615564</v>
      </c>
      <c r="BC885" s="2" t="n">
        <f aca="false">AT885+(Entrées!$C$244-Entrées!$C$13)</f>
        <v>27641.0359797814</v>
      </c>
      <c r="BD885" s="2" t="n">
        <f aca="false">AA885*AQ885</f>
        <v>5870.10984205389</v>
      </c>
      <c r="BE885" s="2" t="n">
        <f aca="false">BD885/BC885</f>
        <v>0.212369386094924</v>
      </c>
      <c r="BF885" s="2" t="n">
        <f aca="false">BD885/(Entrées!$C$151/100)-BC885</f>
        <v>4970.68536496243</v>
      </c>
      <c r="BG885" s="2" t="n">
        <f aca="false">MIN(AV885,BF885)</f>
        <v>2190.84456227901</v>
      </c>
      <c r="BH885" s="2" t="n">
        <f aca="false">IF(AC885&gt;Hypothèses!$J$26,MAX(0,BG885)/(1-Hypothèses!$J$26/AC885),0)</f>
        <v>3036.9995585056</v>
      </c>
    </row>
    <row r="886" customFormat="false" ht="15" hidden="false" customHeight="false" outlineLevel="0" collapsed="false">
      <c r="A886" s="2" t="n">
        <v>871</v>
      </c>
      <c r="B886" s="2" t="n">
        <v>0.964528903</v>
      </c>
      <c r="C886" s="2"/>
      <c r="D886" s="2" t="n">
        <v>0.908877069</v>
      </c>
      <c r="E886" s="2" t="n">
        <f aca="false">IF(E$7=E$5,E$6,IF(NORMSDIST(E$9*SQRT($C$11)*NORMSINV($B886)+SQRT(1-E$9^2*$C$11)*NORMSINV(D886))&lt;E$8,E$5+SQRT(NORMSDIST(E$9*SQRT($C$11)*NORMSINV($B886)+SQRT(1-E$9^2*$C$11)*NORMSINV(D886))*(E$7-E$5)*(E$6-E$5)),E$7-SQRT((1-NORMSDIST(E$9*SQRT($C$11)*NORMSINV($B886)+SQRT(1-E$9^2*$C$11)*NORMSINV(D886)))*(E$7-E$5)*(E$7-E$6))))</f>
        <v>0.0591396899412539</v>
      </c>
      <c r="F886" s="2" t="n">
        <v>0.293712297</v>
      </c>
      <c r="G886" s="2" t="n">
        <f aca="false">IF(G$7=G$5,G$6,IF(NORMSDIST(G$9*SQRT($C$11)*NORMSINV($B886)+SQRT(1-G$9^2*$C$11)*NORMSINV(F886))&lt;G$8,G$5+SQRT(NORMSDIST(G$9*SQRT($C$11)*NORMSINV($B886)+SQRT(1-G$9^2*$C$11)*NORMSINV(F886))*(G$7-G$5)*(G$6-G$5)),G$7-SQRT((1-NORMSDIST(G$9*SQRT($C$11)*NORMSINV($B886)+SQRT(1-G$9^2*$C$11)*NORMSINV(F886)))*(G$7-G$5)*(G$7-G$6))))</f>
        <v>0.0597122463439086</v>
      </c>
      <c r="H886" s="2" t="n">
        <v>0.641502063</v>
      </c>
      <c r="I886" s="2" t="n">
        <f aca="false">IF(I$7=I$5,I$6,IF(NORMSDIST(I$9*SQRT($C$11)*NORMSINV($B886)+SQRT(1-I$9^2*$C$11)*NORMSINV(H886))&lt;I$8,I$5+SQRT(NORMSDIST(I$9*SQRT($C$11)*NORMSINV($B886)+SQRT(1-I$9^2*$C$11)*NORMSINV(H886))*(I$7-I$5)*(I$6-I$5)),I$7-SQRT((1-NORMSDIST(I$9*SQRT($C$11)*NORMSINV($B886)+SQRT(1-I$9^2*$C$11)*NORMSINV(H886)))*(I$7-I$5)*(I$7-I$6))))</f>
        <v>212.131895702457</v>
      </c>
      <c r="J886" s="2" t="n">
        <v>0.083805343</v>
      </c>
      <c r="K886" s="2" t="n">
        <f aca="false">IF(K$7=K$5,K$6,IF(NORMSDIST(K$9*SQRT($C$11)*NORMSINV($B886)+SQRT(1-K$9^2*$C$11)*NORMSINV(J886))&lt;K$8,K$5+SQRT(NORMSDIST(K$9*SQRT($C$11)*NORMSINV($B886)+SQRT(1-K$9^2*$C$11)*NORMSINV(J886))*(K$7-K$5)*(K$6-K$5)),K$7-SQRT((1-NORMSDIST(K$9*SQRT($C$11)*NORMSINV($B886)+SQRT(1-K$9^2*$C$11)*NORMSINV(J886)))*(K$7-K$5)*(K$7-K$6))))</f>
        <v>0.257407368038453</v>
      </c>
      <c r="L886" s="2" t="n">
        <v>0.093178739</v>
      </c>
      <c r="M886" s="2" t="n">
        <f aca="false">IF(M$7=M$5,M$6,IF(NORMSDIST(M$9*SQRT($C$11)*NORMSINV($B886)+SQRT(1-M$9^2*$C$11)*NORMSINV(L886))&lt;M$8,M$5+SQRT(NORMSDIST(M$9*SQRT($C$11)*NORMSINV($B886)+SQRT(1-M$9^2*$C$11)*NORMSINV(L886))*(M$7-M$5)*(M$6-M$5)),M$7-SQRT((1-NORMSDIST(M$9*SQRT($C$11)*NORMSINV($B886)+SQRT(1-M$9^2*$C$11)*NORMSINV(L886)))*(M$7-M$5)*(M$7-M$6))))</f>
        <v>1598.36312630612</v>
      </c>
      <c r="N886" s="2" t="n">
        <v>0.823581039</v>
      </c>
      <c r="O886" s="2" t="n">
        <f aca="false">IF(O$7=O$5,O$6,IF(NORMSDIST(O$9*SQRT($C$11)*NORMSINV($B886)+SQRT(1-O$9^2*$C$11)*NORMSINV(N886))&lt;O$8,O$5+SQRT(NORMSDIST(O$9*SQRT($C$11)*NORMSINV($B886)+SQRT(1-O$9^2*$C$11)*NORMSINV(N886))*(O$7-O$5)*(O$6-O$5)),O$7-SQRT((1-NORMSDIST(O$9*SQRT($C$11)*NORMSINV($B886)+SQRT(1-O$9^2*$C$11)*NORMSINV(N886)))*(O$7-O$5)*(O$7-O$6))))</f>
        <v>0.184224427692047</v>
      </c>
      <c r="P886" s="2" t="n">
        <v>0.590301996</v>
      </c>
      <c r="Q886" s="2" t="n">
        <f aca="false">IF(Q$7=Q$5,Q$6,IF(NORMSDIST(Q$9*SQRT($C$11)*NORMSINV($B886)+SQRT(1-Q$9^2*$C$11)*NORMSINV(P886))&lt;Q$8,Q$5+SQRT(NORMSDIST(Q$9*SQRT($C$11)*NORMSINV($B886)+SQRT(1-Q$9^2*$C$11)*NORMSINV(P886))*(Q$7-Q$5)*(Q$6-Q$5)),Q$7-SQRT((1-NORMSDIST(Q$9*SQRT($C$11)*NORMSINV($B886)+SQRT(1-Q$9^2*$C$11)*NORMSINV(P886)))*(Q$7-Q$5)*(Q$7-Q$6))))</f>
        <v>0.0837918018564856</v>
      </c>
      <c r="R886" s="2" t="n">
        <v>0.167233374</v>
      </c>
      <c r="S886" s="2" t="n">
        <f aca="false">IF(S$7=S$5,S$6,IF(NORMSDIST(S$9*SQRT($C$11)*NORMSINV($B886)+SQRT(1-S$9^2*$C$11)*NORMSINV(R886))&lt;S$8,S$5+SQRT(NORMSDIST(S$9*SQRT($C$11)*NORMSINV($B886)+SQRT(1-S$9^2*$C$11)*NORMSINV(R886))*(S$7-S$5)*(S$6-S$5)),S$7-SQRT((1-NORMSDIST(S$9*SQRT($C$11)*NORMSINV($B886)+SQRT(1-S$9^2*$C$11)*NORMSINV(R886)))*(S$7-S$5)*(S$7-S$6))))</f>
        <v>0.583705823322398</v>
      </c>
      <c r="T886" s="2" t="n">
        <v>0.880082002</v>
      </c>
      <c r="U886" s="2" t="n">
        <f aca="false">IF(U$7=U$5,U$6,IF(NORMSDIST(U$9*SQRT($C$11)*NORMSINV($B886)+SQRT(1-U$9^2*$C$11)*NORMSINV(T886))&lt;U$8,U$5+SQRT(NORMSDIST(U$9*SQRT($C$11)*NORMSINV($B886)+SQRT(1-U$9^2*$C$11)*NORMSINV(T886))*(U$7-U$5)*(U$6-U$5)),U$7-SQRT((1-NORMSDIST(U$9*SQRT($C$11)*NORMSINV($B886)+SQRT(1-U$9^2*$C$11)*NORMSINV(T886)))*(U$7-U$5)*(U$7-U$6))))</f>
        <v>0.899858024483323</v>
      </c>
      <c r="V886" s="2" t="n">
        <v>0.932997699</v>
      </c>
      <c r="W886" s="2" t="n">
        <f aca="false">IF(W$7=W$5,W$6,IF(NORMSDIST(W$9*SQRT($C$11)*NORMSINV($B886)+SQRT(1-W$9^2*$C$11)*NORMSINV(V886))&lt;W$8,W$5+SQRT(NORMSDIST(W$9*SQRT($C$11)*NORMSINV($B886)+SQRT(1-W$9^2*$C$11)*NORMSINV(V886))*(W$7-W$5)*(W$6-W$5)),W$7-SQRT((1-NORMSDIST(W$9*SQRT($C$11)*NORMSINV($B886)+SQRT(1-W$9^2*$C$11)*NORMSINV(V886)))*(W$7-W$5)*(W$7-W$6))))</f>
        <v>11.7081958313083</v>
      </c>
      <c r="X886" s="2" t="n">
        <v>0.805644103</v>
      </c>
      <c r="Y886" s="2" t="n">
        <f aca="false">IF(Y$7=Y$5,Y$6,IF(NORMSDIST(Y$9*SQRT($C$11)*NORMSINV($B886)+SQRT(1-Y$9^2*$C$11)*NORMSINV(X886))&lt;Y$8,Y$5+SQRT(NORMSDIST(Y$9*SQRT($C$11)*NORMSINV($B886)+SQRT(1-Y$9^2*$C$11)*NORMSINV(X886))*(Y$7-Y$5)*(Y$6-Y$5)),Y$7-SQRT((1-NORMSDIST(Y$9*SQRT($C$11)*NORMSINV($B886)+SQRT(1-Y$9^2*$C$11)*NORMSINV(X886)))*(Y$7-Y$5)*(Y$7-Y$6))))</f>
        <v>0.68826622175324</v>
      </c>
      <c r="Z886" s="2" t="n">
        <v>0.380585176</v>
      </c>
      <c r="AA886" s="2" t="n">
        <f aca="false">IF(AA$7=AA$5,AA$6,IF(NORMSDIST(AA$9*SQRT($C$11)*NORMSINV($B886)+SQRT(1-AA$9^2*$C$11)*NORMSINV(Z886))&lt;AA$8,AA$5+SQRT(NORMSDIST(AA$9*SQRT($C$11)*NORMSINV($B886)+SQRT(1-AA$9^2*$C$11)*NORMSINV(Z886))*(AA$7-AA$5)*(AA$6-AA$5)),AA$7-SQRT((1-NORMSDIST(AA$9*SQRT($C$11)*NORMSINV($B886)+SQRT(1-AA$9^2*$C$11)*NORMSINV(Z886)))*(AA$7-AA$5)*(AA$7-AA$6))))</f>
        <v>0.738563438465429</v>
      </c>
      <c r="AB886" s="2" t="n">
        <v>0.852701944</v>
      </c>
      <c r="AC886" s="2" t="n">
        <f aca="false">IF(AC$7=AC$5,AC$6,IF(NORMSDIST(AC$9*SQRT($C$11)*NORMSINV($B886)+SQRT(1-AC$9^2*$C$11)*NORMSINV(AB886))&lt;AC$8,AC$5+SQRT(NORMSDIST(AC$9*SQRT($C$11)*NORMSINV($B886)+SQRT(1-AC$9^2*$C$11)*NORMSINV(AB886))*(AC$7-AC$5)*(AC$6-AC$5)),AC$7-SQRT((1-NORMSDIST(AC$9*SQRT($C$11)*NORMSINV($B886)+SQRT(1-AC$9^2*$C$11)*NORMSINV(AB886)))*(AC$7-AC$5)*(AC$7-AC$6))))</f>
        <v>10.6690572691827</v>
      </c>
      <c r="AD886" s="2" t="n">
        <f aca="false">Entrées!$C$8*(1+E886)</f>
        <v>7466.93481408584</v>
      </c>
      <c r="AE886" s="2" t="n">
        <f aca="false">I886*Hypothèses!$J$24/12/Hypothèses!$J$19</f>
        <v>105.237954503444</v>
      </c>
      <c r="AF886" s="2" t="n">
        <f aca="false">Entrées!$C$36*S886*1000</f>
        <v>291.852911661199</v>
      </c>
      <c r="AG886" s="2" t="n">
        <f aca="false">-AF886/W886</f>
        <v>-24.9272318183104</v>
      </c>
      <c r="AH886" s="2" t="n">
        <f aca="false">AD886+AE886+AG886</f>
        <v>7547.24553677097</v>
      </c>
      <c r="AI886" s="2" t="n">
        <f aca="false">Entrées!$C$16-M886+Hypothèses!$J$22*1000-AF886+Hypothèses!$J$23</f>
        <v>22657.7839620327</v>
      </c>
      <c r="AJ886" s="2" t="n">
        <f aca="false">AI886/AH886</f>
        <v>3.00212625276885</v>
      </c>
      <c r="AK886" s="2" t="n">
        <f aca="false">AI886/(AH886+I886*(12-Hypothèses!$J$24)/12/Hypothèses!$J$19)</f>
        <v>2.97252018724639</v>
      </c>
      <c r="AL886" s="2" t="n">
        <f aca="false">(AD886+AG886+I886/Hypothèses!$J$19)*(1+G886)</f>
        <v>8077.56705660024</v>
      </c>
      <c r="AM886" s="2" t="n">
        <f aca="false">Entrées!$C$54*K886/Hypothèses!$J$19</f>
        <v>26.2695026920207</v>
      </c>
      <c r="AN886" s="2" t="n">
        <f aca="false">Y886*1000/AC886</f>
        <v>64.5105002614695</v>
      </c>
      <c r="AO886" s="2" t="n">
        <f aca="false">(Entrées!$C$36*(1-S886)+MAX(0,Entrées!$C$30-Entrées!$C$35-Entrées!$C$36)*U886)*1000</f>
        <v>1467.94832261545</v>
      </c>
      <c r="AP886" s="2" t="n">
        <f aca="false">-AO886/W886</f>
        <v>-125.377841621856</v>
      </c>
      <c r="AQ886" s="2" t="n">
        <f aca="false">AL886+AM886+AN886+AP886</f>
        <v>8042.96921793187</v>
      </c>
      <c r="AR886" s="2" t="n">
        <f aca="false">O886*AQ886-Hypothèses!$J$25/Hypothèses!$J$19</f>
        <v>1462.57623885662</v>
      </c>
      <c r="AS886" s="2" t="n">
        <f aca="false">Entrées!$C$79*(1+Q886)+Hypothèses!$J$20</f>
        <v>1486.08719024028</v>
      </c>
      <c r="AT886" s="2" t="n">
        <f aca="false">AI886-AR886+AS886+Y886*1000-AO886+Hypothèses!$J$23</f>
        <v>21901.6128125541</v>
      </c>
      <c r="AU886" s="2" t="n">
        <f aca="false">AT886/AQ886</f>
        <v>2.72307554823464</v>
      </c>
      <c r="AV886" s="2" t="n">
        <f aca="false">Hypothèses!$J$26*AQ886-AT886</f>
        <v>2227.29484124148</v>
      </c>
      <c r="AW886" s="2" t="n">
        <f aca="false">IF(AC886&gt;Hypothèses!$J$26,MAX(0,AV886)/(1-Hypothèses!$J$26/AC886),0)</f>
        <v>3098.57331644272</v>
      </c>
      <c r="AX886" s="2" t="n">
        <f aca="false">AQ886-Entrées!$C$17*1000</f>
        <v>42.9692179318699</v>
      </c>
      <c r="AY886" s="2" t="n">
        <f aca="false">AI886+(Entrées!$C$244-Entrées!$C$13)</f>
        <v>28404.7839620327</v>
      </c>
      <c r="AZ886" s="2" t="n">
        <f aca="false">AA886*AH886</f>
        <v>5574.11961458043</v>
      </c>
      <c r="BA886" s="2" t="n">
        <f aca="false">AZ886/AY886</f>
        <v>0.196238761119644</v>
      </c>
      <c r="BB886" s="2" t="n">
        <f aca="false">AZ886/(Entrées!$C$151/100)-AY886</f>
        <v>2562.54723008083</v>
      </c>
      <c r="BC886" s="2" t="n">
        <f aca="false">AT886+(Entrées!$C$244-Entrées!$C$13)</f>
        <v>27648.6128125541</v>
      </c>
      <c r="BD886" s="2" t="n">
        <f aca="false">AA886*AQ886</f>
        <v>5940.24300106736</v>
      </c>
      <c r="BE886" s="2" t="n">
        <f aca="false">BD886/BC886</f>
        <v>0.214847777041825</v>
      </c>
      <c r="BF886" s="2" t="n">
        <f aca="false">BD886/(Entrées!$C$151/100)-BC886</f>
        <v>5352.73719337567</v>
      </c>
      <c r="BG886" s="2" t="n">
        <f aca="false">MIN(AV886,BF886)</f>
        <v>2227.29484124148</v>
      </c>
      <c r="BH886" s="2" t="n">
        <f aca="false">IF(AC886&gt;Hypothèses!$J$26,MAX(0,BG886)/(1-Hypothèses!$J$26/AC886),0)</f>
        <v>3098.57331644272</v>
      </c>
    </row>
    <row r="887" customFormat="false" ht="15" hidden="false" customHeight="false" outlineLevel="0" collapsed="false">
      <c r="A887" s="2" t="n">
        <v>872</v>
      </c>
      <c r="B887" s="2" t="n">
        <v>0.075094495</v>
      </c>
      <c r="C887" s="2"/>
      <c r="D887" s="2" t="n">
        <v>0.635286303</v>
      </c>
      <c r="E887" s="2" t="n">
        <f aca="false">IF(E$7=E$5,E$6,IF(NORMSDIST(E$9*SQRT($C$11)*NORMSINV($B887)+SQRT(1-E$9^2*$C$11)*NORMSINV(D887))&lt;E$8,E$5+SQRT(NORMSDIST(E$9*SQRT($C$11)*NORMSINV($B887)+SQRT(1-E$9^2*$C$11)*NORMSINV(D887))*(E$7-E$5)*(E$6-E$5)),E$7-SQRT((1-NORMSDIST(E$9*SQRT($C$11)*NORMSINV($B887)+SQRT(1-E$9^2*$C$11)*NORMSINV(D887)))*(E$7-E$5)*(E$7-E$6))))</f>
        <v>0.0536083647251992</v>
      </c>
      <c r="F887" s="2" t="n">
        <v>0.347585337</v>
      </c>
      <c r="G887" s="2" t="n">
        <f aca="false">IF(G$7=G$5,G$6,IF(NORMSDIST(G$9*SQRT($C$11)*NORMSINV($B887)+SQRT(1-G$9^2*$C$11)*NORMSINV(F887))&lt;G$8,G$5+SQRT(NORMSDIST(G$9*SQRT($C$11)*NORMSINV($B887)+SQRT(1-G$9^2*$C$11)*NORMSINV(F887))*(G$7-G$5)*(G$6-G$5)),G$7-SQRT((1-NORMSDIST(G$9*SQRT($C$11)*NORMSINV($B887)+SQRT(1-G$9^2*$C$11)*NORMSINV(F887)))*(G$7-G$5)*(G$7-G$6))))</f>
        <v>0.0471139039879113</v>
      </c>
      <c r="H887" s="2" t="n">
        <v>0.030469038</v>
      </c>
      <c r="I887" s="2" t="n">
        <f aca="false">IF(I$7=I$5,I$6,IF(NORMSDIST(I$9*SQRT($C$11)*NORMSINV($B887)+SQRT(1-I$9^2*$C$11)*NORMSINV(H887))&lt;I$8,I$5+SQRT(NORMSDIST(I$9*SQRT($C$11)*NORMSINV($B887)+SQRT(1-I$9^2*$C$11)*NORMSINV(H887))*(I$7-I$5)*(I$6-I$5)),I$7-SQRT((1-NORMSDIST(I$9*SQRT($C$11)*NORMSINV($B887)+SQRT(1-I$9^2*$C$11)*NORMSINV(H887)))*(I$7-I$5)*(I$7-I$6))))</f>
        <v>182.697984005264</v>
      </c>
      <c r="J887" s="2" t="n">
        <v>0.229457917</v>
      </c>
      <c r="K887" s="2" t="n">
        <f aca="false">IF(K$7=K$5,K$6,IF(NORMSDIST(K$9*SQRT($C$11)*NORMSINV($B887)+SQRT(1-K$9^2*$C$11)*NORMSINV(J887))&lt;K$8,K$5+SQRT(NORMSDIST(K$9*SQRT($C$11)*NORMSINV($B887)+SQRT(1-K$9^2*$C$11)*NORMSINV(J887))*(K$7-K$5)*(K$6-K$5)),K$7-SQRT((1-NORMSDIST(K$9*SQRT($C$11)*NORMSINV($B887)+SQRT(1-K$9^2*$C$11)*NORMSINV(J887)))*(K$7-K$5)*(K$7-K$6))))</f>
        <v>0.0928324934133485</v>
      </c>
      <c r="L887" s="2" t="n">
        <v>0.818810618</v>
      </c>
      <c r="M887" s="2" t="n">
        <f aca="false">IF(M$7=M$5,M$6,IF(NORMSDIST(M$9*SQRT($C$11)*NORMSINV($B887)+SQRT(1-M$9^2*$C$11)*NORMSINV(L887))&lt;M$8,M$5+SQRT(NORMSDIST(M$9*SQRT($C$11)*NORMSINV($B887)+SQRT(1-M$9^2*$C$11)*NORMSINV(L887))*(M$7-M$5)*(M$6-M$5)),M$7-SQRT((1-NORMSDIST(M$9*SQRT($C$11)*NORMSINV($B887)+SQRT(1-M$9^2*$C$11)*NORMSINV(L887)))*(M$7-M$5)*(M$7-M$6))))</f>
        <v>1561.48405038137</v>
      </c>
      <c r="N887" s="2" t="n">
        <v>0.496717318</v>
      </c>
      <c r="O887" s="2" t="n">
        <f aca="false">IF(O$7=O$5,O$6,IF(NORMSDIST(O$9*SQRT($C$11)*NORMSINV($B887)+SQRT(1-O$9^2*$C$11)*NORMSINV(N887))&lt;O$8,O$5+SQRT(NORMSDIST(O$9*SQRT($C$11)*NORMSINV($B887)+SQRT(1-O$9^2*$C$11)*NORMSINV(N887))*(O$7-O$5)*(O$6-O$5)),O$7-SQRT((1-NORMSDIST(O$9*SQRT($C$11)*NORMSINV($B887)+SQRT(1-O$9^2*$C$11)*NORMSINV(N887)))*(O$7-O$5)*(O$7-O$6))))</f>
        <v>0.156058674764448</v>
      </c>
      <c r="P887" s="2" t="n">
        <v>0.198498429</v>
      </c>
      <c r="Q887" s="2" t="n">
        <f aca="false">IF(Q$7=Q$5,Q$6,IF(NORMSDIST(Q$9*SQRT($C$11)*NORMSINV($B887)+SQRT(1-Q$9^2*$C$11)*NORMSINV(P887))&lt;Q$8,Q$5+SQRT(NORMSDIST(Q$9*SQRT($C$11)*NORMSINV($B887)+SQRT(1-Q$9^2*$C$11)*NORMSINV(P887))*(Q$7-Q$5)*(Q$6-Q$5)),Q$7-SQRT((1-NORMSDIST(Q$9*SQRT($C$11)*NORMSINV($B887)+SQRT(1-Q$9^2*$C$11)*NORMSINV(P887)))*(Q$7-Q$5)*(Q$7-Q$6))))</f>
        <v>0.0652030746695716</v>
      </c>
      <c r="R887" s="2" t="n">
        <v>0.619477171</v>
      </c>
      <c r="S887" s="2" t="n">
        <f aca="false">IF(S$7=S$5,S$6,IF(NORMSDIST(S$9*SQRT($C$11)*NORMSINV($B887)+SQRT(1-S$9^2*$C$11)*NORMSINV(R887))&lt;S$8,S$5+SQRT(NORMSDIST(S$9*SQRT($C$11)*NORMSINV($B887)+SQRT(1-S$9^2*$C$11)*NORMSINV(R887))*(S$7-S$5)*(S$6-S$5)),S$7-SQRT((1-NORMSDIST(S$9*SQRT($C$11)*NORMSINV($B887)+SQRT(1-S$9^2*$C$11)*NORMSINV(R887)))*(S$7-S$5)*(S$7-S$6))))</f>
        <v>0.353560827500218</v>
      </c>
      <c r="T887" s="2" t="n">
        <v>0.402893738</v>
      </c>
      <c r="U887" s="2" t="n">
        <f aca="false">IF(U$7=U$5,U$6,IF(NORMSDIST(U$9*SQRT($C$11)*NORMSINV($B887)+SQRT(1-U$9^2*$C$11)*NORMSINV(T887))&lt;U$8,U$5+SQRT(NORMSDIST(U$9*SQRT($C$11)*NORMSINV($B887)+SQRT(1-U$9^2*$C$11)*NORMSINV(T887))*(U$7-U$5)*(U$6-U$5)),U$7-SQRT((1-NORMSDIST(U$9*SQRT($C$11)*NORMSINV($B887)+SQRT(1-U$9^2*$C$11)*NORMSINV(T887)))*(U$7-U$5)*(U$7-U$6))))</f>
        <v>0.260350911622694</v>
      </c>
      <c r="V887" s="2" t="n">
        <v>0.772076374</v>
      </c>
      <c r="W887" s="2" t="n">
        <f aca="false">IF(W$7=W$5,W$6,IF(NORMSDIST(W$9*SQRT($C$11)*NORMSINV($B887)+SQRT(1-W$9^2*$C$11)*NORMSINV(V887))&lt;W$8,W$5+SQRT(NORMSDIST(W$9*SQRT($C$11)*NORMSINV($B887)+SQRT(1-W$9^2*$C$11)*NORMSINV(V887))*(W$7-W$5)*(W$6-W$5)),W$7-SQRT((1-NORMSDIST(W$9*SQRT($C$11)*NORMSINV($B887)+SQRT(1-W$9^2*$C$11)*NORMSINV(V887)))*(W$7-W$5)*(W$7-W$6))))</f>
        <v>9.71998594192142</v>
      </c>
      <c r="X887" s="2" t="n">
        <v>0.444057334</v>
      </c>
      <c r="Y887" s="2" t="n">
        <f aca="false">IF(Y$7=Y$5,Y$6,IF(NORMSDIST(Y$9*SQRT($C$11)*NORMSINV($B887)+SQRT(1-Y$9^2*$C$11)*NORMSINV(X887))&lt;Y$8,Y$5+SQRT(NORMSDIST(Y$9*SQRT($C$11)*NORMSINV($B887)+SQRT(1-Y$9^2*$C$11)*NORMSINV(X887))*(Y$7-Y$5)*(Y$6-Y$5)),Y$7-SQRT((1-NORMSDIST(Y$9*SQRT($C$11)*NORMSINV($B887)+SQRT(1-Y$9^2*$C$11)*NORMSINV(X887)))*(Y$7-Y$5)*(Y$7-Y$6))))</f>
        <v>0.471199179753106</v>
      </c>
      <c r="Z887" s="2" t="n">
        <v>0.004751231</v>
      </c>
      <c r="AA887" s="2" t="n">
        <f aca="false">IF(AA$7=AA$5,AA$6,IF(NORMSDIST(AA$9*SQRT($C$11)*NORMSINV($B887)+SQRT(1-AA$9^2*$C$11)*NORMSINV(Z887))&lt;AA$8,AA$5+SQRT(NORMSDIST(AA$9*SQRT($C$11)*NORMSINV($B887)+SQRT(1-AA$9^2*$C$11)*NORMSINV(Z887))*(AA$7-AA$5)*(AA$6-AA$5)),AA$7-SQRT((1-NORMSDIST(AA$9*SQRT($C$11)*NORMSINV($B887)+SQRT(1-AA$9^2*$C$11)*NORMSINV(Z887)))*(AA$7-AA$5)*(AA$7-AA$6))))</f>
        <v>0.697259189794113</v>
      </c>
      <c r="AB887" s="2" t="n">
        <v>0.616268622</v>
      </c>
      <c r="AC887" s="2" t="n">
        <f aca="false">IF(AC$7=AC$5,AC$6,IF(NORMSDIST(AC$9*SQRT($C$11)*NORMSINV($B887)+SQRT(1-AC$9^2*$C$11)*NORMSINV(AB887))&lt;AC$8,AC$5+SQRT(NORMSDIST(AC$9*SQRT($C$11)*NORMSINV($B887)+SQRT(1-AC$9^2*$C$11)*NORMSINV(AB887))*(AC$7-AC$5)*(AC$6-AC$5)),AC$7-SQRT((1-NORMSDIST(AC$9*SQRT($C$11)*NORMSINV($B887)+SQRT(1-AC$9^2*$C$11)*NORMSINV(AB887)))*(AC$7-AC$5)*(AC$7-AC$6))))</f>
        <v>8.86363881320035</v>
      </c>
      <c r="AD887" s="2" t="n">
        <f aca="false">Entrées!$C$8*(1+E887)</f>
        <v>7427.93897131266</v>
      </c>
      <c r="AE887" s="2" t="n">
        <f aca="false">I887*Hypothèses!$J$24/12/Hypothèses!$J$19</f>
        <v>90.6358851173654</v>
      </c>
      <c r="AF887" s="2" t="n">
        <f aca="false">Entrées!$C$36*S887*1000</f>
        <v>176.780413750109</v>
      </c>
      <c r="AG887" s="2" t="n">
        <f aca="false">-AF887/W887</f>
        <v>-18.1873116696261</v>
      </c>
      <c r="AH887" s="2" t="n">
        <f aca="false">AD887+AE887+AG887</f>
        <v>7500.38754476039</v>
      </c>
      <c r="AI887" s="2" t="n">
        <f aca="false">Entrées!$C$16-M887+Hypothèses!$J$22*1000-AF887+Hypothèses!$J$23</f>
        <v>22809.7355358685</v>
      </c>
      <c r="AJ887" s="2" t="n">
        <f aca="false">AI887/AH887</f>
        <v>3.04114092768485</v>
      </c>
      <c r="AK887" s="2" t="n">
        <f aca="false">AI887/(AH887+I887*(12-Hypothèses!$J$24)/12/Hypothèses!$J$19)</f>
        <v>3.01511582565241</v>
      </c>
      <c r="AL887" s="2" t="n">
        <f aca="false">(AD887+AG887+I887/Hypothèses!$J$19)*(1+G887)</f>
        <v>7921.55015163539</v>
      </c>
      <c r="AM887" s="2" t="n">
        <f aca="false">Entrées!$C$54*K887/Hypothèses!$J$19</f>
        <v>9.47394573128399</v>
      </c>
      <c r="AN887" s="2" t="n">
        <f aca="false">Y887*1000/AC887</f>
        <v>53.1609184087424</v>
      </c>
      <c r="AO887" s="2" t="n">
        <f aca="false">(Entrées!$C$36*(1-S887)+MAX(0,Entrées!$C$30-Entrées!$C$35-Entrées!$C$36)*U887)*1000</f>
        <v>687.710862521662</v>
      </c>
      <c r="AP887" s="2" t="n">
        <f aca="false">-AO887/W887</f>
        <v>-70.7522486792525</v>
      </c>
      <c r="AQ887" s="2" t="n">
        <f aca="false">AL887+AM887+AN887+AP887</f>
        <v>7913.43276709617</v>
      </c>
      <c r="AR887" s="2" t="n">
        <f aca="false">O887*AQ887-Hypothèses!$J$25/Hypothèses!$J$19</f>
        <v>1215.82466820896</v>
      </c>
      <c r="AS887" s="2" t="n">
        <f aca="false">Entrées!$C$79*(1+Q887)+Hypothèses!$J$20</f>
        <v>1465.65817906186</v>
      </c>
      <c r="AT887" s="2" t="n">
        <f aca="false">AI887-AR887+AS887+Y887*1000-AO887+Hypothèses!$J$23</f>
        <v>22843.0573639529</v>
      </c>
      <c r="AU887" s="2" t="n">
        <f aca="false">AT887/AQ887</f>
        <v>2.8866179869416</v>
      </c>
      <c r="AV887" s="2" t="n">
        <f aca="false">Hypothèses!$J$26*AQ887-AT887</f>
        <v>897.240937335635</v>
      </c>
      <c r="AW887" s="2" t="n">
        <f aca="false">IF(AC887&gt;Hypothèses!$J$26,MAX(0,AV887)/(1-Hypothèses!$J$26/AC887),0)</f>
        <v>1356.29424838666</v>
      </c>
      <c r="AX887" s="2" t="n">
        <f aca="false">AQ887-Entrées!$C$17*1000</f>
        <v>-86.5672329038325</v>
      </c>
      <c r="AY887" s="2" t="n">
        <f aca="false">AI887+(Entrées!$C$244-Entrées!$C$13)</f>
        <v>28556.7355358685</v>
      </c>
      <c r="AZ887" s="2" t="n">
        <f aca="false">AA887*AH887</f>
        <v>5229.71414260149</v>
      </c>
      <c r="BA887" s="2" t="n">
        <f aca="false">AZ887/AY887</f>
        <v>0.183134172883057</v>
      </c>
      <c r="BB887" s="2" t="n">
        <f aca="false">AZ887/(Entrées!$C$151/100)-AY887</f>
        <v>497.231923028652</v>
      </c>
      <c r="BC887" s="2" t="n">
        <f aca="false">AT887+(Entrées!$C$244-Entrées!$C$13)</f>
        <v>28590.0573639529</v>
      </c>
      <c r="BD887" s="2" t="n">
        <f aca="false">AA887*AQ887</f>
        <v>5517.71371967566</v>
      </c>
      <c r="BE887" s="2" t="n">
        <f aca="false">BD887/BC887</f>
        <v>0.192994146511666</v>
      </c>
      <c r="BF887" s="2" t="n">
        <f aca="false">BD887/(Entrées!$C$151/100)-BC887</f>
        <v>2063.90774535637</v>
      </c>
      <c r="BG887" s="2" t="n">
        <f aca="false">MIN(AV887,BF887)</f>
        <v>897.240937335635</v>
      </c>
      <c r="BH887" s="2" t="n">
        <f aca="false">IF(AC887&gt;Hypothèses!$J$26,MAX(0,BG887)/(1-Hypothèses!$J$26/AC887),0)</f>
        <v>1356.29424838666</v>
      </c>
    </row>
    <row r="888" customFormat="false" ht="15" hidden="false" customHeight="false" outlineLevel="0" collapsed="false">
      <c r="A888" s="2" t="n">
        <v>873</v>
      </c>
      <c r="B888" s="2" t="n">
        <v>0.694040306</v>
      </c>
      <c r="C888" s="2"/>
      <c r="D888" s="2" t="n">
        <v>0.673242829</v>
      </c>
      <c r="E888" s="2" t="n">
        <f aca="false">IF(E$7=E$5,E$6,IF(NORMSDIST(E$9*SQRT($C$11)*NORMSINV($B888)+SQRT(1-E$9^2*$C$11)*NORMSINV(D888))&lt;E$8,E$5+SQRT(NORMSDIST(E$9*SQRT($C$11)*NORMSINV($B888)+SQRT(1-E$9^2*$C$11)*NORMSINV(D888))*(E$7-E$5)*(E$6-E$5)),E$7-SQRT((1-NORMSDIST(E$9*SQRT($C$11)*NORMSINV($B888)+SQRT(1-E$9^2*$C$11)*NORMSINV(D888)))*(E$7-E$5)*(E$7-E$6))))</f>
        <v>0.0564511679975655</v>
      </c>
      <c r="F888" s="2" t="n">
        <v>0.658465859</v>
      </c>
      <c r="G888" s="2" t="n">
        <f aca="false">IF(G$7=G$5,G$6,IF(NORMSDIST(G$9*SQRT($C$11)*NORMSINV($B888)+SQRT(1-G$9^2*$C$11)*NORMSINV(F888))&lt;G$8,G$5+SQRT(NORMSDIST(G$9*SQRT($C$11)*NORMSINV($B888)+SQRT(1-G$9^2*$C$11)*NORMSINV(F888))*(G$7-G$5)*(G$6-G$5)),G$7-SQRT((1-NORMSDIST(G$9*SQRT($C$11)*NORMSINV($B888)+SQRT(1-G$9^2*$C$11)*NORMSINV(F888)))*(G$7-G$5)*(G$7-G$6))))</f>
        <v>0.0591413352688533</v>
      </c>
      <c r="H888" s="2" t="n">
        <v>0.24024955</v>
      </c>
      <c r="I888" s="2" t="n">
        <f aca="false">IF(I$7=I$5,I$6,IF(NORMSDIST(I$9*SQRT($C$11)*NORMSINV($B888)+SQRT(1-I$9^2*$C$11)*NORMSINV(H888))&lt;I$8,I$5+SQRT(NORMSDIST(I$9*SQRT($C$11)*NORMSINV($B888)+SQRT(1-I$9^2*$C$11)*NORMSINV(H888))*(I$7-I$5)*(I$6-I$5)),I$7-SQRT((1-NORMSDIST(I$9*SQRT($C$11)*NORMSINV($B888)+SQRT(1-I$9^2*$C$11)*NORMSINV(H888)))*(I$7-I$5)*(I$7-I$6))))</f>
        <v>198.127373073485</v>
      </c>
      <c r="J888" s="2" t="n">
        <v>0.68566116</v>
      </c>
      <c r="K888" s="2" t="n">
        <f aca="false">IF(K$7=K$5,K$6,IF(NORMSDIST(K$9*SQRT($C$11)*NORMSINV($B888)+SQRT(1-K$9^2*$C$11)*NORMSINV(J888))&lt;K$8,K$5+SQRT(NORMSDIST(K$9*SQRT($C$11)*NORMSINV($B888)+SQRT(1-K$9^2*$C$11)*NORMSINV(J888))*(K$7-K$5)*(K$6-K$5)),K$7-SQRT((1-NORMSDIST(K$9*SQRT($C$11)*NORMSINV($B888)+SQRT(1-K$9^2*$C$11)*NORMSINV(J888)))*(K$7-K$5)*(K$7-K$6))))</f>
        <v>0.325577535536799</v>
      </c>
      <c r="L888" s="2" t="n">
        <v>0.214619537</v>
      </c>
      <c r="M888" s="2" t="n">
        <f aca="false">IF(M$7=M$5,M$6,IF(NORMSDIST(M$9*SQRT($C$11)*NORMSINV($B888)+SQRT(1-M$9^2*$C$11)*NORMSINV(L888))&lt;M$8,M$5+SQRT(NORMSDIST(M$9*SQRT($C$11)*NORMSINV($B888)+SQRT(1-M$9^2*$C$11)*NORMSINV(L888))*(M$7-M$5)*(M$6-M$5)),M$7-SQRT((1-NORMSDIST(M$9*SQRT($C$11)*NORMSINV($B888)+SQRT(1-M$9^2*$C$11)*NORMSINV(L888)))*(M$7-M$5)*(M$7-M$6))))</f>
        <v>1550.90058036419</v>
      </c>
      <c r="N888" s="2" t="n">
        <v>0.59212888</v>
      </c>
      <c r="O888" s="2" t="n">
        <f aca="false">IF(O$7=O$5,O$6,IF(NORMSDIST(O$9*SQRT($C$11)*NORMSINV($B888)+SQRT(1-O$9^2*$C$11)*NORMSINV(N888))&lt;O$8,O$5+SQRT(NORMSDIST(O$9*SQRT($C$11)*NORMSINV($B888)+SQRT(1-O$9^2*$C$11)*NORMSINV(N888))*(O$7-O$5)*(O$6-O$5)),O$7-SQRT((1-NORMSDIST(O$9*SQRT($C$11)*NORMSINV($B888)+SQRT(1-O$9^2*$C$11)*NORMSINV(N888)))*(O$7-O$5)*(O$7-O$6))))</f>
        <v>0.171885476191563</v>
      </c>
      <c r="P888" s="2" t="n">
        <v>0.116594346</v>
      </c>
      <c r="Q888" s="2" t="n">
        <f aca="false">IF(Q$7=Q$5,Q$6,IF(NORMSDIST(Q$9*SQRT($C$11)*NORMSINV($B888)+SQRT(1-Q$9^2*$C$11)*NORMSINV(P888))&lt;Q$8,Q$5+SQRT(NORMSDIST(Q$9*SQRT($C$11)*NORMSINV($B888)+SQRT(1-Q$9^2*$C$11)*NORMSINV(P888))*(Q$7-Q$5)*(Q$6-Q$5)),Q$7-SQRT((1-NORMSDIST(Q$9*SQRT($C$11)*NORMSINV($B888)+SQRT(1-Q$9^2*$C$11)*NORMSINV(P888)))*(Q$7-Q$5)*(Q$7-Q$6))))</f>
        <v>0.0593158460130536</v>
      </c>
      <c r="R888" s="2" t="n">
        <v>0.382700302</v>
      </c>
      <c r="S888" s="2" t="n">
        <f aca="false">IF(S$7=S$5,S$6,IF(NORMSDIST(S$9*SQRT($C$11)*NORMSINV($B888)+SQRT(1-S$9^2*$C$11)*NORMSINV(R888))&lt;S$8,S$5+SQRT(NORMSDIST(S$9*SQRT($C$11)*NORMSINV($B888)+SQRT(1-S$9^2*$C$11)*NORMSINV(R888))*(S$7-S$5)*(S$6-S$5)),S$7-SQRT((1-NORMSDIST(S$9*SQRT($C$11)*NORMSINV($B888)+SQRT(1-S$9^2*$C$11)*NORMSINV(R888)))*(S$7-S$5)*(S$7-S$6))))</f>
        <v>0.518206075829136</v>
      </c>
      <c r="T888" s="2" t="n">
        <v>0.252072579</v>
      </c>
      <c r="U888" s="2" t="n">
        <f aca="false">IF(U$7=U$5,U$6,IF(NORMSDIST(U$9*SQRT($C$11)*NORMSINV($B888)+SQRT(1-U$9^2*$C$11)*NORMSINV(T888))&lt;U$8,U$5+SQRT(NORMSDIST(U$9*SQRT($C$11)*NORMSINV($B888)+SQRT(1-U$9^2*$C$11)*NORMSINV(T888))*(U$7-U$5)*(U$6-U$5)),U$7-SQRT((1-NORMSDIST(U$9*SQRT($C$11)*NORMSINV($B888)+SQRT(1-U$9^2*$C$11)*NORMSINV(T888)))*(U$7-U$5)*(U$7-U$6))))</f>
        <v>0.459396399011082</v>
      </c>
      <c r="V888" s="2" t="n">
        <v>0.3041947</v>
      </c>
      <c r="W888" s="2" t="n">
        <f aca="false">IF(W$7=W$5,W$6,IF(NORMSDIST(W$9*SQRT($C$11)*NORMSINV($B888)+SQRT(1-W$9^2*$C$11)*NORMSINV(V888))&lt;W$8,W$5+SQRT(NORMSDIST(W$9*SQRT($C$11)*NORMSINV($B888)+SQRT(1-W$9^2*$C$11)*NORMSINV(V888))*(W$7-W$5)*(W$6-W$5)),W$7-SQRT((1-NORMSDIST(W$9*SQRT($C$11)*NORMSINV($B888)+SQRT(1-W$9^2*$C$11)*NORMSINV(V888)))*(W$7-W$5)*(W$7-W$6))))</f>
        <v>9.93845966069392</v>
      </c>
      <c r="X888" s="2" t="n">
        <v>0.229982436</v>
      </c>
      <c r="Y888" s="2" t="n">
        <f aca="false">IF(Y$7=Y$5,Y$6,IF(NORMSDIST(Y$9*SQRT($C$11)*NORMSINV($B888)+SQRT(1-Y$9^2*$C$11)*NORMSINV(X888))&lt;Y$8,Y$5+SQRT(NORMSDIST(Y$9*SQRT($C$11)*NORMSINV($B888)+SQRT(1-Y$9^2*$C$11)*NORMSINV(X888))*(Y$7-Y$5)*(Y$6-Y$5)),Y$7-SQRT((1-NORMSDIST(Y$9*SQRT($C$11)*NORMSINV($B888)+SQRT(1-Y$9^2*$C$11)*NORMSINV(X888)))*(Y$7-Y$5)*(Y$7-Y$6))))</f>
        <v>0.339103550556464</v>
      </c>
      <c r="Z888" s="2" t="n">
        <v>0.649442421</v>
      </c>
      <c r="AA888" s="2" t="n">
        <f aca="false">IF(AA$7=AA$5,AA$6,IF(NORMSDIST(AA$9*SQRT($C$11)*NORMSINV($B888)+SQRT(1-AA$9^2*$C$11)*NORMSINV(Z888))&lt;AA$8,AA$5+SQRT(NORMSDIST(AA$9*SQRT($C$11)*NORMSINV($B888)+SQRT(1-AA$9^2*$C$11)*NORMSINV(Z888))*(AA$7-AA$5)*(AA$6-AA$5)),AA$7-SQRT((1-NORMSDIST(AA$9*SQRT($C$11)*NORMSINV($B888)+SQRT(1-AA$9^2*$C$11)*NORMSINV(Z888)))*(AA$7-AA$5)*(AA$7-AA$6))))</f>
        <v>0.735301936087493</v>
      </c>
      <c r="AB888" s="2" t="n">
        <v>0.925675001</v>
      </c>
      <c r="AC888" s="2" t="n">
        <f aca="false">IF(AC$7=AC$5,AC$6,IF(NORMSDIST(AC$9*SQRT($C$11)*NORMSINV($B888)+SQRT(1-AC$9^2*$C$11)*NORMSINV(AB888))&lt;AC$8,AC$5+SQRT(NORMSDIST(AC$9*SQRT($C$11)*NORMSINV($B888)+SQRT(1-AC$9^2*$C$11)*NORMSINV(AB888))*(AC$7-AC$5)*(AC$6-AC$5)),AC$7-SQRT((1-NORMSDIST(AC$9*SQRT($C$11)*NORMSINV($B888)+SQRT(1-AC$9^2*$C$11)*NORMSINV(AB888)))*(AC$7-AC$5)*(AC$7-AC$6))))</f>
        <v>10.4308428648639</v>
      </c>
      <c r="AD888" s="2" t="n">
        <f aca="false">Entrées!$C$8*(1+E888)</f>
        <v>7447.98073438284</v>
      </c>
      <c r="AE888" s="2" t="n">
        <f aca="false">I888*Hypothèses!$J$24/12/Hypothèses!$J$19</f>
        <v>98.2903556504291</v>
      </c>
      <c r="AF888" s="2" t="n">
        <f aca="false">Entrées!$C$36*S888*1000</f>
        <v>259.103037914568</v>
      </c>
      <c r="AG888" s="2" t="n">
        <f aca="false">-AF888/W888</f>
        <v>-26.0707440348434</v>
      </c>
      <c r="AH888" s="2" t="n">
        <f aca="false">AD888+AE888+AG888</f>
        <v>7520.20034599842</v>
      </c>
      <c r="AI888" s="2" t="n">
        <f aca="false">Entrées!$C$16-M888+Hypothèses!$J$22*1000-AF888+Hypothèses!$J$23</f>
        <v>22737.9963817213</v>
      </c>
      <c r="AJ888" s="2" t="n">
        <f aca="false">AI888/AH888</f>
        <v>3.02358917788944</v>
      </c>
      <c r="AK888" s="2" t="n">
        <f aca="false">AI888/(AH888+I888*(12-Hypothèses!$J$24)/12/Hypothèses!$J$19)</f>
        <v>2.9956225214667</v>
      </c>
      <c r="AL888" s="2" t="n">
        <f aca="false">(AD888+AG888+I888/Hypothèses!$J$19)*(1+G888)</f>
        <v>8039.31459204124</v>
      </c>
      <c r="AM888" s="2" t="n">
        <f aca="false">Entrées!$C$54*K888/Hypothèses!$J$19</f>
        <v>33.2265545132637</v>
      </c>
      <c r="AN888" s="2" t="n">
        <f aca="false">Y888*1000/AC888</f>
        <v>32.5096979170043</v>
      </c>
      <c r="AO888" s="2" t="n">
        <f aca="false">(Entrées!$C$36*(1-S888)+MAX(0,Entrées!$C$30-Entrées!$C$35-Entrées!$C$36)*U888)*1000</f>
        <v>884.051920700947</v>
      </c>
      <c r="AP888" s="2" t="n">
        <f aca="false">-AO888/W888</f>
        <v>-88.9526094468467</v>
      </c>
      <c r="AQ888" s="2" t="n">
        <f aca="false">AL888+AM888+AN888+AP888</f>
        <v>8016.09823502466</v>
      </c>
      <c r="AR888" s="2" t="n">
        <f aca="false">O888*AQ888-Hypothèses!$J$25/Hypothèses!$J$19</f>
        <v>1358.71570006394</v>
      </c>
      <c r="AS888" s="2" t="n">
        <f aca="false">Entrées!$C$79*(1+Q888)+Hypothèses!$J$20</f>
        <v>1459.18811476835</v>
      </c>
      <c r="AT888" s="2" t="n">
        <f aca="false">AI888-AR888+AS888+Y888*1000-AO888+Hypothèses!$J$23</f>
        <v>22293.5204262812</v>
      </c>
      <c r="AU888" s="2" t="n">
        <f aca="false">AT888/AQ888</f>
        <v>2.78109371575242</v>
      </c>
      <c r="AV888" s="2" t="n">
        <f aca="false">Hypothèses!$J$26*AQ888-AT888</f>
        <v>1754.7742787928</v>
      </c>
      <c r="AW888" s="2" t="n">
        <f aca="false">IF(AC888&gt;Hypothèses!$J$26,MAX(0,AV888)/(1-Hypothèses!$J$26/AC888),0)</f>
        <v>2463.2165015816</v>
      </c>
      <c r="AX888" s="2" t="n">
        <f aca="false">AQ888-Entrées!$C$17*1000</f>
        <v>16.0982350246595</v>
      </c>
      <c r="AY888" s="2" t="n">
        <f aca="false">AI888+(Entrées!$C$244-Entrées!$C$13)</f>
        <v>28484.9963817213</v>
      </c>
      <c r="AZ888" s="2" t="n">
        <f aca="false">AA888*AH888</f>
        <v>5529.61787417848</v>
      </c>
      <c r="BA888" s="2" t="n">
        <f aca="false">AZ888/AY888</f>
        <v>0.194123874901624</v>
      </c>
      <c r="BB888" s="2" t="n">
        <f aca="false">AZ888/(Entrées!$C$151/100)-AY888</f>
        <v>2235.10291927028</v>
      </c>
      <c r="BC888" s="2" t="n">
        <f aca="false">AT888+(Entrées!$C$244-Entrées!$C$13)</f>
        <v>28040.5204262812</v>
      </c>
      <c r="BD888" s="2" t="n">
        <f aca="false">AA888*AQ888</f>
        <v>5894.25255208117</v>
      </c>
      <c r="BE888" s="2" t="n">
        <f aca="false">BD888/BC888</f>
        <v>0.210204820112994</v>
      </c>
      <c r="BF888" s="2" t="n">
        <f aca="false">BD888/(Entrées!$C$151/100)-BC888</f>
        <v>4705.32708528088</v>
      </c>
      <c r="BG888" s="2" t="n">
        <f aca="false">MIN(AV888,BF888)</f>
        <v>1754.7742787928</v>
      </c>
      <c r="BH888" s="2" t="n">
        <f aca="false">IF(AC888&gt;Hypothèses!$J$26,MAX(0,BG888)/(1-Hypothèses!$J$26/AC888),0)</f>
        <v>2463.2165015816</v>
      </c>
    </row>
    <row r="889" customFormat="false" ht="15" hidden="false" customHeight="false" outlineLevel="0" collapsed="false">
      <c r="A889" s="2" t="n">
        <v>874</v>
      </c>
      <c r="B889" s="2" t="n">
        <v>0.292685835</v>
      </c>
      <c r="C889" s="2"/>
      <c r="D889" s="2" t="n">
        <v>0.224624981</v>
      </c>
      <c r="E889" s="2" t="n">
        <f aca="false">IF(E$7=E$5,E$6,IF(NORMSDIST(E$9*SQRT($C$11)*NORMSINV($B889)+SQRT(1-E$9^2*$C$11)*NORMSINV(D889))&lt;E$8,E$5+SQRT(NORMSDIST(E$9*SQRT($C$11)*NORMSINV($B889)+SQRT(1-E$9^2*$C$11)*NORMSINV(D889))*(E$7-E$5)*(E$6-E$5)),E$7-SQRT((1-NORMSDIST(E$9*SQRT($C$11)*NORMSINV($B889)+SQRT(1-E$9^2*$C$11)*NORMSINV(D889)))*(E$7-E$5)*(E$7-E$6))))</f>
        <v>0.0529655342785981</v>
      </c>
      <c r="F889" s="2" t="n">
        <v>0.731357432</v>
      </c>
      <c r="G889" s="2" t="n">
        <f aca="false">IF(G$7=G$5,G$6,IF(NORMSDIST(G$9*SQRT($C$11)*NORMSINV($B889)+SQRT(1-G$9^2*$C$11)*NORMSINV(F889))&lt;G$8,G$5+SQRT(NORMSDIST(G$9*SQRT($C$11)*NORMSINV($B889)+SQRT(1-G$9^2*$C$11)*NORMSINV(F889))*(G$7-G$5)*(G$6-G$5)),G$7-SQRT((1-NORMSDIST(G$9*SQRT($C$11)*NORMSINV($B889)+SQRT(1-G$9^2*$C$11)*NORMSINV(F889)))*(G$7-G$5)*(G$7-G$6))))</f>
        <v>0.0558146481211455</v>
      </c>
      <c r="H889" s="2" t="n">
        <v>0.449261682</v>
      </c>
      <c r="I889" s="2" t="n">
        <f aca="false">IF(I$7=I$5,I$6,IF(NORMSDIST(I$9*SQRT($C$11)*NORMSINV($B889)+SQRT(1-I$9^2*$C$11)*NORMSINV(H889))&lt;I$8,I$5+SQRT(NORMSDIST(I$9*SQRT($C$11)*NORMSINV($B889)+SQRT(1-I$9^2*$C$11)*NORMSINV(H889))*(I$7-I$5)*(I$6-I$5)),I$7-SQRT((1-NORMSDIST(I$9*SQRT($C$11)*NORMSINV($B889)+SQRT(1-I$9^2*$C$11)*NORMSINV(H889)))*(I$7-I$5)*(I$7-I$6))))</f>
        <v>196.213225760775</v>
      </c>
      <c r="J889" s="2" t="n">
        <v>0.805370524</v>
      </c>
      <c r="K889" s="2" t="n">
        <f aca="false">IF(K$7=K$5,K$6,IF(NORMSDIST(K$9*SQRT($C$11)*NORMSINV($B889)+SQRT(1-K$9^2*$C$11)*NORMSINV(J889))&lt;K$8,K$5+SQRT(NORMSDIST(K$9*SQRT($C$11)*NORMSINV($B889)+SQRT(1-K$9^2*$C$11)*NORMSINV(J889))*(K$7-K$5)*(K$6-K$5)),K$7-SQRT((1-NORMSDIST(K$9*SQRT($C$11)*NORMSINV($B889)+SQRT(1-K$9^2*$C$11)*NORMSINV(J889)))*(K$7-K$5)*(K$7-K$6))))</f>
        <v>0.283846175493802</v>
      </c>
      <c r="L889" s="2" t="n">
        <v>0.161919147</v>
      </c>
      <c r="M889" s="2" t="n">
        <f aca="false">IF(M$7=M$5,M$6,IF(NORMSDIST(M$9*SQRT($C$11)*NORMSINV($B889)+SQRT(1-M$9^2*$C$11)*NORMSINV(L889))&lt;M$8,M$5+SQRT(NORMSDIST(M$9*SQRT($C$11)*NORMSINV($B889)+SQRT(1-M$9^2*$C$11)*NORMSINV(L889))*(M$7-M$5)*(M$6-M$5)),M$7-SQRT((1-NORMSDIST(M$9*SQRT($C$11)*NORMSINV($B889)+SQRT(1-M$9^2*$C$11)*NORMSINV(L889)))*(M$7-M$5)*(M$7-M$6))))</f>
        <v>1449.08034917716</v>
      </c>
      <c r="N889" s="2" t="n">
        <v>0.658697135</v>
      </c>
      <c r="O889" s="2" t="n">
        <f aca="false">IF(O$7=O$5,O$6,IF(NORMSDIST(O$9*SQRT($C$11)*NORMSINV($B889)+SQRT(1-O$9^2*$C$11)*NORMSINV(N889))&lt;O$8,O$5+SQRT(NORMSDIST(O$9*SQRT($C$11)*NORMSINV($B889)+SQRT(1-O$9^2*$C$11)*NORMSINV(N889))*(O$7-O$5)*(O$6-O$5)),O$7-SQRT((1-NORMSDIST(O$9*SQRT($C$11)*NORMSINV($B889)+SQRT(1-O$9^2*$C$11)*NORMSINV(N889)))*(O$7-O$5)*(O$7-O$6))))</f>
        <v>0.16648041851768</v>
      </c>
      <c r="P889" s="2" t="n">
        <v>0.30640977</v>
      </c>
      <c r="Q889" s="2" t="n">
        <f aca="false">IF(Q$7=Q$5,Q$6,IF(NORMSDIST(Q$9*SQRT($C$11)*NORMSINV($B889)+SQRT(1-Q$9^2*$C$11)*NORMSINV(P889))&lt;Q$8,Q$5+SQRT(NORMSDIST(Q$9*SQRT($C$11)*NORMSINV($B889)+SQRT(1-Q$9^2*$C$11)*NORMSINV(P889))*(Q$7-Q$5)*(Q$6-Q$5)),Q$7-SQRT((1-NORMSDIST(Q$9*SQRT($C$11)*NORMSINV($B889)+SQRT(1-Q$9^2*$C$11)*NORMSINV(P889)))*(Q$7-Q$5)*(Q$7-Q$6))))</f>
        <v>0.0713131164849492</v>
      </c>
      <c r="R889" s="2" t="n">
        <v>0.895112347</v>
      </c>
      <c r="S889" s="2" t="n">
        <f aca="false">IF(S$7=S$5,S$6,IF(NORMSDIST(S$9*SQRT($C$11)*NORMSINV($B889)+SQRT(1-S$9^2*$C$11)*NORMSINV(R889))&lt;S$8,S$5+SQRT(NORMSDIST(S$9*SQRT($C$11)*NORMSINV($B889)+SQRT(1-S$9^2*$C$11)*NORMSINV(R889))*(S$7-S$5)*(S$6-S$5)),S$7-SQRT((1-NORMSDIST(S$9*SQRT($C$11)*NORMSINV($B889)+SQRT(1-S$9^2*$C$11)*NORMSINV(R889)))*(S$7-S$5)*(S$7-S$6))))</f>
        <v>0.635643773778445</v>
      </c>
      <c r="T889" s="2" t="n">
        <v>0.564942003</v>
      </c>
      <c r="U889" s="2" t="n">
        <f aca="false">IF(U$7=U$5,U$6,IF(NORMSDIST(U$9*SQRT($C$11)*NORMSINV($B889)+SQRT(1-U$9^2*$C$11)*NORMSINV(T889))&lt;U$8,U$5+SQRT(NORMSDIST(U$9*SQRT($C$11)*NORMSINV($B889)+SQRT(1-U$9^2*$C$11)*NORMSINV(T889))*(U$7-U$5)*(U$6-U$5)),U$7-SQRT((1-NORMSDIST(U$9*SQRT($C$11)*NORMSINV($B889)+SQRT(1-U$9^2*$C$11)*NORMSINV(T889)))*(U$7-U$5)*(U$7-U$6))))</f>
        <v>0.454733362991528</v>
      </c>
      <c r="V889" s="2" t="n">
        <v>0.602174963</v>
      </c>
      <c r="W889" s="2" t="n">
        <f aca="false">IF(W$7=W$5,W$6,IF(NORMSDIST(W$9*SQRT($C$11)*NORMSINV($B889)+SQRT(1-W$9^2*$C$11)*NORMSINV(V889))&lt;W$8,W$5+SQRT(NORMSDIST(W$9*SQRT($C$11)*NORMSINV($B889)+SQRT(1-W$9^2*$C$11)*NORMSINV(V889))*(W$7-W$5)*(W$6-W$5)),W$7-SQRT((1-NORMSDIST(W$9*SQRT($C$11)*NORMSINV($B889)+SQRT(1-W$9^2*$C$11)*NORMSINV(V889)))*(W$7-W$5)*(W$7-W$6))))</f>
        <v>9.88165663135019</v>
      </c>
      <c r="X889" s="2" t="n">
        <v>0.306696932</v>
      </c>
      <c r="Y889" s="2" t="n">
        <f aca="false">IF(Y$7=Y$5,Y$6,IF(NORMSDIST(Y$9*SQRT($C$11)*NORMSINV($B889)+SQRT(1-Y$9^2*$C$11)*NORMSINV(X889))&lt;Y$8,Y$5+SQRT(NORMSDIST(Y$9*SQRT($C$11)*NORMSINV($B889)+SQRT(1-Y$9^2*$C$11)*NORMSINV(X889))*(Y$7-Y$5)*(Y$6-Y$5)),Y$7-SQRT((1-NORMSDIST(Y$9*SQRT($C$11)*NORMSINV($B889)+SQRT(1-Y$9^2*$C$11)*NORMSINV(X889)))*(Y$7-Y$5)*(Y$7-Y$6))))</f>
        <v>0.391597326344295</v>
      </c>
      <c r="Z889" s="2" t="n">
        <v>0.700831993</v>
      </c>
      <c r="AA889" s="2" t="n">
        <f aca="false">IF(AA$7=AA$5,AA$6,IF(NORMSDIST(AA$9*SQRT($C$11)*NORMSINV($B889)+SQRT(1-AA$9^2*$C$11)*NORMSINV(Z889))&lt;AA$8,AA$5+SQRT(NORMSDIST(AA$9*SQRT($C$11)*NORMSINV($B889)+SQRT(1-AA$9^2*$C$11)*NORMSINV(Z889))*(AA$7-AA$5)*(AA$6-AA$5)),AA$7-SQRT((1-NORMSDIST(AA$9*SQRT($C$11)*NORMSINV($B889)+SQRT(1-AA$9^2*$C$11)*NORMSINV(Z889)))*(AA$7-AA$5)*(AA$7-AA$6))))</f>
        <v>0.728863611770609</v>
      </c>
      <c r="AB889" s="2" t="n">
        <v>0.630341601</v>
      </c>
      <c r="AC889" s="2" t="n">
        <f aca="false">IF(AC$7=AC$5,AC$6,IF(NORMSDIST(AC$9*SQRT($C$11)*NORMSINV($B889)+SQRT(1-AC$9^2*$C$11)*NORMSINV(AB889))&lt;AC$8,AC$5+SQRT(NORMSDIST(AC$9*SQRT($C$11)*NORMSINV($B889)+SQRT(1-AC$9^2*$C$11)*NORMSINV(AB889))*(AC$7-AC$5)*(AC$6-AC$5)),AC$7-SQRT((1-NORMSDIST(AC$9*SQRT($C$11)*NORMSINV($B889)+SQRT(1-AC$9^2*$C$11)*NORMSINV(AB889)))*(AC$7-AC$5)*(AC$7-AC$6))))</f>
        <v>9.40487373754327</v>
      </c>
      <c r="AD889" s="2" t="n">
        <f aca="false">Entrées!$C$8*(1+E889)</f>
        <v>7423.40701666412</v>
      </c>
      <c r="AE889" s="2" t="n">
        <f aca="false">I889*Hypothèses!$J$24/12/Hypothèses!$J$19</f>
        <v>97.3407532950604</v>
      </c>
      <c r="AF889" s="2" t="n">
        <f aca="false">Entrées!$C$36*S889*1000</f>
        <v>317.821886889222</v>
      </c>
      <c r="AG889" s="2" t="n">
        <f aca="false">-AF889/W889</f>
        <v>-32.1628142674895</v>
      </c>
      <c r="AH889" s="2" t="n">
        <f aca="false">AD889+AE889+AG889</f>
        <v>7488.58495569169</v>
      </c>
      <c r="AI889" s="2" t="n">
        <f aca="false">Entrées!$C$16-M889+Hypothèses!$J$22*1000-AF889+Hypothèses!$J$23</f>
        <v>22781.0977639336</v>
      </c>
      <c r="AJ889" s="2" t="n">
        <f aca="false">AI889/AH889</f>
        <v>3.0421098109622</v>
      </c>
      <c r="AK889" s="2" t="n">
        <f aca="false">AI889/(AH889+I889*(12-Hypothèses!$J$24)/12/Hypothèses!$J$19)</f>
        <v>3.01412463048961</v>
      </c>
      <c r="AL889" s="2" t="n">
        <f aca="false">(AD889+AG889+I889/Hypothèses!$J$19)*(1+G889)</f>
        <v>7979.96754219612</v>
      </c>
      <c r="AM889" s="2" t="n">
        <f aca="false">Entrées!$C$54*K889/Hypothèses!$J$19</f>
        <v>28.9676940022179</v>
      </c>
      <c r="AN889" s="2" t="n">
        <f aca="false">Y889*1000/AC889</f>
        <v>41.6377016079524</v>
      </c>
      <c r="AO889" s="2" t="n">
        <f aca="false">(Entrées!$C$36*(1-S889)+MAX(0,Entrées!$C$30-Entrées!$C$35-Entrées!$C$36)*U889)*1000</f>
        <v>818.804821298916</v>
      </c>
      <c r="AP889" s="2" t="n">
        <f aca="false">-AO889/W889</f>
        <v>-82.8610881601781</v>
      </c>
      <c r="AQ889" s="2" t="n">
        <f aca="false">AL889+AM889+AN889+AP889</f>
        <v>7967.71184964611</v>
      </c>
      <c r="AR889" s="2" t="n">
        <f aca="false">O889*AQ889-Hypothèses!$J$25/Hypothèses!$J$19</f>
        <v>1307.33284109574</v>
      </c>
      <c r="AS889" s="2" t="n">
        <f aca="false">Entrées!$C$79*(1+Q889)+Hypothèses!$J$20</f>
        <v>1472.37311501696</v>
      </c>
      <c r="AT889" s="2" t="n">
        <f aca="false">AI889-AR889+AS889+Y889*1000-AO889+Hypothèses!$J$23</f>
        <v>22518.9305429002</v>
      </c>
      <c r="AU889" s="2" t="n">
        <f aca="false">AT889/AQ889</f>
        <v>2.82627320965434</v>
      </c>
      <c r="AV889" s="2" t="n">
        <f aca="false">Hypothèses!$J$26*AQ889-AT889</f>
        <v>1384.20500603811</v>
      </c>
      <c r="AW889" s="2" t="n">
        <f aca="false">IF(AC889&gt;Hypothèses!$J$26,MAX(0,AV889)/(1-Hypothèses!$J$26/AC889),0)</f>
        <v>2032.55736836074</v>
      </c>
      <c r="AX889" s="2" t="n">
        <f aca="false">AQ889-Entrées!$C$17*1000</f>
        <v>-32.288150353892</v>
      </c>
      <c r="AY889" s="2" t="n">
        <f aca="false">AI889+(Entrées!$C$244-Entrées!$C$13)</f>
        <v>28528.0977639336</v>
      </c>
      <c r="AZ889" s="2" t="n">
        <f aca="false">AA889*AH889</f>
        <v>5458.15707785649</v>
      </c>
      <c r="BA889" s="2" t="n">
        <f aca="false">AZ889/AY889</f>
        <v>0.191325658059014</v>
      </c>
      <c r="BB889" s="2" t="n">
        <f aca="false">AZ889/(Entrées!$C$151/100)-AY889</f>
        <v>1794.99711304688</v>
      </c>
      <c r="BC889" s="2" t="n">
        <f aca="false">AT889+(Entrées!$C$244-Entrées!$C$13)</f>
        <v>28265.9305429002</v>
      </c>
      <c r="BD889" s="2" t="n">
        <f aca="false">AA889*AQ889</f>
        <v>5807.37523628054</v>
      </c>
      <c r="BE889" s="2" t="n">
        <f aca="false">BD889/BC889</f>
        <v>0.205454946104339</v>
      </c>
      <c r="BF889" s="2" t="n">
        <f aca="false">BD889/(Entrées!$C$151/100)-BC889</f>
        <v>3997.26521421391</v>
      </c>
      <c r="BG889" s="2" t="n">
        <f aca="false">MIN(AV889,BF889)</f>
        <v>1384.20500603811</v>
      </c>
      <c r="BH889" s="2" t="n">
        <f aca="false">IF(AC889&gt;Hypothèses!$J$26,MAX(0,BG889)/(1-Hypothèses!$J$26/AC889),0)</f>
        <v>2032.55736836074</v>
      </c>
    </row>
    <row r="890" customFormat="false" ht="15" hidden="false" customHeight="false" outlineLevel="0" collapsed="false">
      <c r="A890" s="2" t="n">
        <v>875</v>
      </c>
      <c r="B890" s="2" t="n">
        <v>0.004705274</v>
      </c>
      <c r="C890" s="2"/>
      <c r="D890" s="2" t="n">
        <v>0.32828068</v>
      </c>
      <c r="E890" s="2" t="n">
        <f aca="false">IF(E$7=E$5,E$6,IF(NORMSDIST(E$9*SQRT($C$11)*NORMSINV($B890)+SQRT(1-E$9^2*$C$11)*NORMSINV(D890))&lt;E$8,E$5+SQRT(NORMSDIST(E$9*SQRT($C$11)*NORMSINV($B890)+SQRT(1-E$9^2*$C$11)*NORMSINV(D890))*(E$7-E$5)*(E$6-E$5)),E$7-SQRT((1-NORMSDIST(E$9*SQRT($C$11)*NORMSINV($B890)+SQRT(1-E$9^2*$C$11)*NORMSINV(D890)))*(E$7-E$5)*(E$7-E$6))))</f>
        <v>0.0510833643781869</v>
      </c>
      <c r="F890" s="2" t="n">
        <v>0.775241215</v>
      </c>
      <c r="G890" s="2" t="n">
        <f aca="false">IF(G$7=G$5,G$6,IF(NORMSDIST(G$9*SQRT($C$11)*NORMSINV($B890)+SQRT(1-G$9^2*$C$11)*NORMSINV(F890))&lt;G$8,G$5+SQRT(NORMSDIST(G$9*SQRT($C$11)*NORMSINV($B890)+SQRT(1-G$9^2*$C$11)*NORMSINV(F890))*(G$7-G$5)*(G$6-G$5)),G$7-SQRT((1-NORMSDIST(G$9*SQRT($C$11)*NORMSINV($B890)+SQRT(1-G$9^2*$C$11)*NORMSINV(F890)))*(G$7-G$5)*(G$7-G$6))))</f>
        <v>0.0480875675647973</v>
      </c>
      <c r="H890" s="2" t="n">
        <v>0.834968078</v>
      </c>
      <c r="I890" s="2" t="n">
        <f aca="false">IF(I$7=I$5,I$6,IF(NORMSDIST(I$9*SQRT($C$11)*NORMSINV($B890)+SQRT(1-I$9^2*$C$11)*NORMSINV(H890))&lt;I$8,I$5+SQRT(NORMSDIST(I$9*SQRT($C$11)*NORMSINV($B890)+SQRT(1-I$9^2*$C$11)*NORMSINV(H890))*(I$7-I$5)*(I$6-I$5)),I$7-SQRT((1-NORMSDIST(I$9*SQRT($C$11)*NORMSINV($B890)+SQRT(1-I$9^2*$C$11)*NORMSINV(H890)))*(I$7-I$5)*(I$7-I$6))))</f>
        <v>192.240874349483</v>
      </c>
      <c r="J890" s="2" t="n">
        <v>0.138073641</v>
      </c>
      <c r="K890" s="2" t="n">
        <f aca="false">IF(K$7=K$5,K$6,IF(NORMSDIST(K$9*SQRT($C$11)*NORMSINV($B890)+SQRT(1-K$9^2*$C$11)*NORMSINV(J890))&lt;K$8,K$5+SQRT(NORMSDIST(K$9*SQRT($C$11)*NORMSINV($B890)+SQRT(1-K$9^2*$C$11)*NORMSINV(J890))*(K$7-K$5)*(K$6-K$5)),K$7-SQRT((1-NORMSDIST(K$9*SQRT($C$11)*NORMSINV($B890)+SQRT(1-K$9^2*$C$11)*NORMSINV(J890)))*(K$7-K$5)*(K$7-K$6))))</f>
        <v>0.0284197079985553</v>
      </c>
      <c r="L890" s="2" t="n">
        <v>0.007823271</v>
      </c>
      <c r="M890" s="2" t="n">
        <f aca="false">IF(M$7=M$5,M$6,IF(NORMSDIST(M$9*SQRT($C$11)*NORMSINV($B890)+SQRT(1-M$9^2*$C$11)*NORMSINV(L890))&lt;M$8,M$5+SQRT(NORMSDIST(M$9*SQRT($C$11)*NORMSINV($B890)+SQRT(1-M$9^2*$C$11)*NORMSINV(L890))*(M$7-M$5)*(M$6-M$5)),M$7-SQRT((1-NORMSDIST(M$9*SQRT($C$11)*NORMSINV($B890)+SQRT(1-M$9^2*$C$11)*NORMSINV(L890)))*(M$7-M$5)*(M$7-M$6))))</f>
        <v>1309.12142087292</v>
      </c>
      <c r="N890" s="2" t="n">
        <v>0.84396142</v>
      </c>
      <c r="O890" s="2" t="n">
        <f aca="false">IF(O$7=O$5,O$6,IF(NORMSDIST(O$9*SQRT($C$11)*NORMSINV($B890)+SQRT(1-O$9^2*$C$11)*NORMSINV(N890))&lt;O$8,O$5+SQRT(NORMSDIST(O$9*SQRT($C$11)*NORMSINV($B890)+SQRT(1-O$9^2*$C$11)*NORMSINV(N890))*(O$7-O$5)*(O$6-O$5)),O$7-SQRT((1-NORMSDIST(O$9*SQRT($C$11)*NORMSINV($B890)+SQRT(1-O$9^2*$C$11)*NORMSINV(N890)))*(O$7-O$5)*(O$7-O$6))))</f>
        <v>0.156730412208106</v>
      </c>
      <c r="P890" s="2" t="n">
        <v>0.951291103</v>
      </c>
      <c r="Q890" s="2" t="n">
        <f aca="false">IF(Q$7=Q$5,Q$6,IF(NORMSDIST(Q$9*SQRT($C$11)*NORMSINV($B890)+SQRT(1-Q$9^2*$C$11)*NORMSINV(P890))&lt;Q$8,Q$5+SQRT(NORMSDIST(Q$9*SQRT($C$11)*NORMSINV($B890)+SQRT(1-Q$9^2*$C$11)*NORMSINV(P890))*(Q$7-Q$5)*(Q$6-Q$5)),Q$7-SQRT((1-NORMSDIST(Q$9*SQRT($C$11)*NORMSINV($B890)+SQRT(1-Q$9^2*$C$11)*NORMSINV(P890)))*(Q$7-Q$5)*(Q$7-Q$6))))</f>
        <v>0.107515270511541</v>
      </c>
      <c r="R890" s="2" t="n">
        <v>0.556792993</v>
      </c>
      <c r="S890" s="2" t="n">
        <f aca="false">IF(S$7=S$5,S$6,IF(NORMSDIST(S$9*SQRT($C$11)*NORMSINV($B890)+SQRT(1-S$9^2*$C$11)*NORMSINV(R890))&lt;S$8,S$5+SQRT(NORMSDIST(S$9*SQRT($C$11)*NORMSINV($B890)+SQRT(1-S$9^2*$C$11)*NORMSINV(R890))*(S$7-S$5)*(S$6-S$5)),S$7-SQRT((1-NORMSDIST(S$9*SQRT($C$11)*NORMSINV($B890)+SQRT(1-S$9^2*$C$11)*NORMSINV(R890)))*(S$7-S$5)*(S$7-S$6))))</f>
        <v>0.17719895005945</v>
      </c>
      <c r="T890" s="2" t="n">
        <v>0.967643939</v>
      </c>
      <c r="U890" s="2" t="n">
        <f aca="false">IF(U$7=U$5,U$6,IF(NORMSDIST(U$9*SQRT($C$11)*NORMSINV($B890)+SQRT(1-U$9^2*$C$11)*NORMSINV(T890))&lt;U$8,U$5+SQRT(NORMSDIST(U$9*SQRT($C$11)*NORMSINV($B890)+SQRT(1-U$9^2*$C$11)*NORMSINV(T890))*(U$7-U$5)*(U$6-U$5)),U$7-SQRT((1-NORMSDIST(U$9*SQRT($C$11)*NORMSINV($B890)+SQRT(1-U$9^2*$C$11)*NORMSINV(T890)))*(U$7-U$5)*(U$7-U$6))))</f>
        <v>0.456212176955716</v>
      </c>
      <c r="V890" s="2" t="n">
        <v>0.0952157</v>
      </c>
      <c r="W890" s="2" t="n">
        <f aca="false">IF(W$7=W$5,W$6,IF(NORMSDIST(W$9*SQRT($C$11)*NORMSINV($B890)+SQRT(1-W$9^2*$C$11)*NORMSINV(V890))&lt;W$8,W$5+SQRT(NORMSDIST(W$9*SQRT($C$11)*NORMSINV($B890)+SQRT(1-W$9^2*$C$11)*NORMSINV(V890))*(W$7-W$5)*(W$6-W$5)),W$7-SQRT((1-NORMSDIST(W$9*SQRT($C$11)*NORMSINV($B890)+SQRT(1-W$9^2*$C$11)*NORMSINV(V890)))*(W$7-W$5)*(W$7-W$6))))</f>
        <v>8.1777088895378</v>
      </c>
      <c r="X890" s="2" t="n">
        <v>0.374457577</v>
      </c>
      <c r="Y890" s="2" t="n">
        <f aca="false">IF(Y$7=Y$5,Y$6,IF(NORMSDIST(Y$9*SQRT($C$11)*NORMSINV($B890)+SQRT(1-Y$9^2*$C$11)*NORMSINV(X890))&lt;Y$8,Y$5+SQRT(NORMSDIST(Y$9*SQRT($C$11)*NORMSINV($B890)+SQRT(1-Y$9^2*$C$11)*NORMSINV(X890))*(Y$7-Y$5)*(Y$6-Y$5)),Y$7-SQRT((1-NORMSDIST(Y$9*SQRT($C$11)*NORMSINV($B890)+SQRT(1-Y$9^2*$C$11)*NORMSINV(X890)))*(Y$7-Y$5)*(Y$7-Y$6))))</f>
        <v>0.432699420498803</v>
      </c>
      <c r="Z890" s="2" t="n">
        <v>0.83562109</v>
      </c>
      <c r="AA890" s="2" t="n">
        <f aca="false">IF(AA$7=AA$5,AA$6,IF(NORMSDIST(AA$9*SQRT($C$11)*NORMSINV($B890)+SQRT(1-AA$9^2*$C$11)*NORMSINV(Z890))&lt;AA$8,AA$5+SQRT(NORMSDIST(AA$9*SQRT($C$11)*NORMSINV($B890)+SQRT(1-AA$9^2*$C$11)*NORMSINV(Z890))*(AA$7-AA$5)*(AA$6-AA$5)),AA$7-SQRT((1-NORMSDIST(AA$9*SQRT($C$11)*NORMSINV($B890)+SQRT(1-AA$9^2*$C$11)*NORMSINV(Z890)))*(AA$7-AA$5)*(AA$7-AA$6))))</f>
        <v>0.715382055543671</v>
      </c>
      <c r="AB890" s="2" t="n">
        <v>0.605222624</v>
      </c>
      <c r="AC890" s="2" t="n">
        <f aca="false">IF(AC$7=AC$5,AC$6,IF(NORMSDIST(AC$9*SQRT($C$11)*NORMSINV($B890)+SQRT(1-AC$9^2*$C$11)*NORMSINV(AB890))&lt;AC$8,AC$5+SQRT(NORMSDIST(AC$9*SQRT($C$11)*NORMSINV($B890)+SQRT(1-AC$9^2*$C$11)*NORMSINV(AB890))*(AC$7-AC$5)*(AC$6-AC$5)),AC$7-SQRT((1-NORMSDIST(AC$9*SQRT($C$11)*NORMSINV($B890)+SQRT(1-AC$9^2*$C$11)*NORMSINV(AB890)))*(AC$7-AC$5)*(AC$7-AC$6))))</f>
        <v>8.20796710466653</v>
      </c>
      <c r="AD890" s="2" t="n">
        <f aca="false">Entrées!$C$8*(1+E890)</f>
        <v>7410.13771886622</v>
      </c>
      <c r="AE890" s="2" t="n">
        <f aca="false">I890*Hypothèses!$J$24/12/Hypothèses!$J$19</f>
        <v>95.3700824739236</v>
      </c>
      <c r="AF890" s="2" t="n">
        <f aca="false">Entrées!$C$36*S890*1000</f>
        <v>88.599475029725</v>
      </c>
      <c r="AG890" s="2" t="n">
        <f aca="false">-AF890/W890</f>
        <v>-10.8342662017567</v>
      </c>
      <c r="AH890" s="2" t="n">
        <f aca="false">AD890+AE890+AG890</f>
        <v>7494.67353513839</v>
      </c>
      <c r="AI890" s="2" t="n">
        <f aca="false">Entrées!$C$16-M890+Hypothèses!$J$22*1000-AF890+Hypothèses!$J$23</f>
        <v>23150.2791040974</v>
      </c>
      <c r="AJ890" s="2" t="n">
        <f aca="false">AI890/AH890</f>
        <v>3.0888976011508</v>
      </c>
      <c r="AK890" s="2" t="n">
        <f aca="false">AI890/(AH890+I890*(12-Hypothèses!$J$24)/12/Hypothèses!$J$19)</f>
        <v>3.0610745147603</v>
      </c>
      <c r="AL890" s="2" t="n">
        <f aca="false">(AD890+AG890+I890/Hypothèses!$J$19)*(1+G890)</f>
        <v>7926.4714392487</v>
      </c>
      <c r="AM890" s="2" t="n">
        <f aca="false">Entrées!$C$54*K890/Hypothèses!$J$19</f>
        <v>2.90035052789538</v>
      </c>
      <c r="AN890" s="2" t="n">
        <f aca="false">Y890*1000/AC890</f>
        <v>52.7170022712198</v>
      </c>
      <c r="AO890" s="2" t="n">
        <f aca="false">(Entrées!$C$36*(1-S890)+MAX(0,Entrées!$C$30-Entrées!$C$35-Entrées!$C$36)*U890)*1000</f>
        <v>1050.09757270828</v>
      </c>
      <c r="AP890" s="2" t="n">
        <f aca="false">-AO890/W890</f>
        <v>-128.409752278138</v>
      </c>
      <c r="AQ890" s="2" t="n">
        <f aca="false">AL890+AM890+AN890+AP890</f>
        <v>7853.67903976968</v>
      </c>
      <c r="AR890" s="2" t="n">
        <f aca="false">O890*AQ890-Hypothèses!$J$25/Hypothèses!$J$19</f>
        <v>1211.77519099164</v>
      </c>
      <c r="AS890" s="2" t="n">
        <f aca="false">Entrées!$C$79*(1+Q890)+Hypothèses!$J$20</f>
        <v>1512.15928229218</v>
      </c>
      <c r="AT890" s="2" t="n">
        <f aca="false">AI890-AR890+AS890+Y890*1000-AO890+Hypothèses!$J$23</f>
        <v>22833.2650431884</v>
      </c>
      <c r="AU890" s="2" t="n">
        <f aca="false">AT890/AQ890</f>
        <v>2.90733361110948</v>
      </c>
      <c r="AV890" s="2" t="n">
        <f aca="false">Hypothèses!$J$26*AQ890-AT890</f>
        <v>727.772076120597</v>
      </c>
      <c r="AW890" s="2" t="n">
        <f aca="false">IF(AC890&gt;Hypothèses!$J$26,MAX(0,AV890)/(1-Hypothèses!$J$26/AC890),0)</f>
        <v>1146.99827023489</v>
      </c>
      <c r="AX890" s="2" t="n">
        <f aca="false">AQ890-Entrées!$C$17*1000</f>
        <v>-146.320960230323</v>
      </c>
      <c r="AY890" s="2" t="n">
        <f aca="false">AI890+(Entrées!$C$244-Entrées!$C$13)</f>
        <v>28897.2791040974</v>
      </c>
      <c r="AZ890" s="2" t="n">
        <f aca="false">AA890*AH890</f>
        <v>5361.55495919605</v>
      </c>
      <c r="BA890" s="2" t="n">
        <f aca="false">AZ890/AY890</f>
        <v>0.185538401033606</v>
      </c>
      <c r="BB890" s="2" t="n">
        <f aca="false">AZ890/(Entrées!$C$151/100)-AY890</f>
        <v>889.1373358807</v>
      </c>
      <c r="BC890" s="2" t="n">
        <f aca="false">AT890+(Entrées!$C$244-Entrées!$C$13)</f>
        <v>28580.2650431884</v>
      </c>
      <c r="BD890" s="2" t="n">
        <f aca="false">AA890*AQ890</f>
        <v>5618.38105505068</v>
      </c>
      <c r="BE890" s="2" t="n">
        <f aca="false">BD890/BC890</f>
        <v>0.196582538565006</v>
      </c>
      <c r="BF890" s="2" t="n">
        <f aca="false">BD890/(Entrées!$C$151/100)-BC890</f>
        <v>2632.96304042644</v>
      </c>
      <c r="BG890" s="2" t="n">
        <f aca="false">MIN(AV890,BF890)</f>
        <v>727.772076120597</v>
      </c>
      <c r="BH890" s="2" t="n">
        <f aca="false">IF(AC890&gt;Hypothèses!$J$26,MAX(0,BG890)/(1-Hypothèses!$J$26/AC890),0)</f>
        <v>1146.99827023489</v>
      </c>
    </row>
    <row r="891" customFormat="false" ht="15" hidden="false" customHeight="false" outlineLevel="0" collapsed="false">
      <c r="A891" s="2" t="n">
        <v>876</v>
      </c>
      <c r="B891" s="2" t="n">
        <v>0.49904765</v>
      </c>
      <c r="C891" s="2"/>
      <c r="D891" s="2" t="n">
        <v>0.232871272</v>
      </c>
      <c r="E891" s="2" t="n">
        <f aca="false">IF(E$7=E$5,E$6,IF(NORMSDIST(E$9*SQRT($C$11)*NORMSINV($B891)+SQRT(1-E$9^2*$C$11)*NORMSINV(D891))&lt;E$8,E$5+SQRT(NORMSDIST(E$9*SQRT($C$11)*NORMSINV($B891)+SQRT(1-E$9^2*$C$11)*NORMSINV(D891))*(E$7-E$5)*(E$6-E$5)),E$7-SQRT((1-NORMSDIST(E$9*SQRT($C$11)*NORMSINV($B891)+SQRT(1-E$9^2*$C$11)*NORMSINV(D891)))*(E$7-E$5)*(E$7-E$6))))</f>
        <v>0.0537783629538052</v>
      </c>
      <c r="F891" s="2" t="n">
        <v>0.039245983</v>
      </c>
      <c r="G891" s="2" t="n">
        <f aca="false">IF(G$7=G$5,G$6,IF(NORMSDIST(G$9*SQRT($C$11)*NORMSINV($B891)+SQRT(1-G$9^2*$C$11)*NORMSINV(F891))&lt;G$8,G$5+SQRT(NORMSDIST(G$9*SQRT($C$11)*NORMSINV($B891)+SQRT(1-G$9^2*$C$11)*NORMSINV(F891))*(G$7-G$5)*(G$6-G$5)),G$7-SQRT((1-NORMSDIST(G$9*SQRT($C$11)*NORMSINV($B891)+SQRT(1-G$9^2*$C$11)*NORMSINV(F891)))*(G$7-G$5)*(G$7-G$6))))</f>
        <v>0.0462288264526565</v>
      </c>
      <c r="H891" s="2" t="n">
        <v>0.497264058</v>
      </c>
      <c r="I891" s="2" t="n">
        <f aca="false">IF(I$7=I$5,I$6,IF(NORMSDIST(I$9*SQRT($C$11)*NORMSINV($B891)+SQRT(1-I$9^2*$C$11)*NORMSINV(H891))&lt;I$8,I$5+SQRT(NORMSDIST(I$9*SQRT($C$11)*NORMSINV($B891)+SQRT(1-I$9^2*$C$11)*NORMSINV(H891))*(I$7-I$5)*(I$6-I$5)),I$7-SQRT((1-NORMSDIST(I$9*SQRT($C$11)*NORMSINV($B891)+SQRT(1-I$9^2*$C$11)*NORMSINV(H891)))*(I$7-I$5)*(I$7-I$6))))</f>
        <v>199.945494395264</v>
      </c>
      <c r="J891" s="2" t="n">
        <v>0.983828409</v>
      </c>
      <c r="K891" s="2" t="n">
        <f aca="false">IF(K$7=K$5,K$6,IF(NORMSDIST(K$9*SQRT($C$11)*NORMSINV($B891)+SQRT(1-K$9^2*$C$11)*NORMSINV(J891))&lt;K$8,K$5+SQRT(NORMSDIST(K$9*SQRT($C$11)*NORMSINV($B891)+SQRT(1-K$9^2*$C$11)*NORMSINV(J891))*(K$7-K$5)*(K$6-K$5)),K$7-SQRT((1-NORMSDIST(K$9*SQRT($C$11)*NORMSINV($B891)+SQRT(1-K$9^2*$C$11)*NORMSINV(J891)))*(K$7-K$5)*(K$7-K$6))))</f>
        <v>0.42186805902001</v>
      </c>
      <c r="L891" s="2" t="n">
        <v>0.203428491</v>
      </c>
      <c r="M891" s="2" t="n">
        <f aca="false">IF(M$7=M$5,M$6,IF(NORMSDIST(M$9*SQRT($C$11)*NORMSINV($B891)+SQRT(1-M$9^2*$C$11)*NORMSINV(L891))&lt;M$8,M$5+SQRT(NORMSDIST(M$9*SQRT($C$11)*NORMSINV($B891)+SQRT(1-M$9^2*$C$11)*NORMSINV(L891))*(M$7-M$5)*(M$6-M$5)),M$7-SQRT((1-NORMSDIST(M$9*SQRT($C$11)*NORMSINV($B891)+SQRT(1-M$9^2*$C$11)*NORMSINV(L891)))*(M$7-M$5)*(M$7-M$6))))</f>
        <v>1506.58032924355</v>
      </c>
      <c r="N891" s="2" t="n">
        <v>0.089312786</v>
      </c>
      <c r="O891" s="2" t="n">
        <f aca="false">IF(O$7=O$5,O$6,IF(NORMSDIST(O$9*SQRT($C$11)*NORMSINV($B891)+SQRT(1-O$9^2*$C$11)*NORMSINV(N891))&lt;O$8,O$5+SQRT(NORMSDIST(O$9*SQRT($C$11)*NORMSINV($B891)+SQRT(1-O$9^2*$C$11)*NORMSINV(N891))*(O$7-O$5)*(O$6-O$5)),O$7-SQRT((1-NORMSDIST(O$9*SQRT($C$11)*NORMSINV($B891)+SQRT(1-O$9^2*$C$11)*NORMSINV(N891)))*(O$7-O$5)*(O$7-O$6))))</f>
        <v>0.154591777211622</v>
      </c>
      <c r="P891" s="2" t="n">
        <v>0.564842494</v>
      </c>
      <c r="Q891" s="2" t="n">
        <f aca="false">IF(Q$7=Q$5,Q$6,IF(NORMSDIST(Q$9*SQRT($C$11)*NORMSINV($B891)+SQRT(1-Q$9^2*$C$11)*NORMSINV(P891))&lt;Q$8,Q$5+SQRT(NORMSDIST(Q$9*SQRT($C$11)*NORMSINV($B891)+SQRT(1-Q$9^2*$C$11)*NORMSINV(P891))*(Q$7-Q$5)*(Q$6-Q$5)),Q$7-SQRT((1-NORMSDIST(Q$9*SQRT($C$11)*NORMSINV($B891)+SQRT(1-Q$9^2*$C$11)*NORMSINV(P891)))*(Q$7-Q$5)*(Q$7-Q$6))))</f>
        <v>0.0826837298326856</v>
      </c>
      <c r="R891" s="2" t="n">
        <v>0.700720946</v>
      </c>
      <c r="S891" s="2" t="n">
        <f aca="false">IF(S$7=S$5,S$6,IF(NORMSDIST(S$9*SQRT($C$11)*NORMSINV($B891)+SQRT(1-S$9^2*$C$11)*NORMSINV(R891))&lt;S$8,S$5+SQRT(NORMSDIST(S$9*SQRT($C$11)*NORMSINV($B891)+SQRT(1-S$9^2*$C$11)*NORMSINV(R891))*(S$7-S$5)*(S$6-S$5)),S$7-SQRT((1-NORMSDIST(S$9*SQRT($C$11)*NORMSINV($B891)+SQRT(1-S$9^2*$C$11)*NORMSINV(R891)))*(S$7-S$5)*(S$7-S$6))))</f>
        <v>0.5863198573845</v>
      </c>
      <c r="T891" s="2" t="n">
        <v>0.44739672</v>
      </c>
      <c r="U891" s="2" t="n">
        <f aca="false">IF(U$7=U$5,U$6,IF(NORMSDIST(U$9*SQRT($C$11)*NORMSINV($B891)+SQRT(1-U$9^2*$C$11)*NORMSINV(T891))&lt;U$8,U$5+SQRT(NORMSDIST(U$9*SQRT($C$11)*NORMSINV($B891)+SQRT(1-U$9^2*$C$11)*NORMSINV(T891))*(U$7-U$5)*(U$6-U$5)),U$7-SQRT((1-NORMSDIST(U$9*SQRT($C$11)*NORMSINV($B891)+SQRT(1-U$9^2*$C$11)*NORMSINV(T891)))*(U$7-U$5)*(U$7-U$6))))</f>
        <v>0.478856507731724</v>
      </c>
      <c r="V891" s="2" t="n">
        <v>0.671109299</v>
      </c>
      <c r="W891" s="2" t="n">
        <f aca="false">IF(W$7=W$5,W$6,IF(NORMSDIST(W$9*SQRT($C$11)*NORMSINV($B891)+SQRT(1-W$9^2*$C$11)*NORMSINV(V891))&lt;W$8,W$5+SQRT(NORMSDIST(W$9*SQRT($C$11)*NORMSINV($B891)+SQRT(1-W$9^2*$C$11)*NORMSINV(V891))*(W$7-W$5)*(W$6-W$5)),W$7-SQRT((1-NORMSDIST(W$9*SQRT($C$11)*NORMSINV($B891)+SQRT(1-W$9^2*$C$11)*NORMSINV(V891)))*(W$7-W$5)*(W$7-W$6))))</f>
        <v>10.288115578272</v>
      </c>
      <c r="X891" s="2" t="n">
        <v>0.901568458</v>
      </c>
      <c r="Y891" s="2" t="n">
        <f aca="false">IF(Y$7=Y$5,Y$6,IF(NORMSDIST(Y$9*SQRT($C$11)*NORMSINV($B891)+SQRT(1-Y$9^2*$C$11)*NORMSINV(X891))&lt;Y$8,Y$5+SQRT(NORMSDIST(Y$9*SQRT($C$11)*NORMSINV($B891)+SQRT(1-Y$9^2*$C$11)*NORMSINV(X891))*(Y$7-Y$5)*(Y$6-Y$5)),Y$7-SQRT((1-NORMSDIST(Y$9*SQRT($C$11)*NORMSINV($B891)+SQRT(1-Y$9^2*$C$11)*NORMSINV(X891)))*(Y$7-Y$5)*(Y$7-Y$6))))</f>
        <v>0.778153722140758</v>
      </c>
      <c r="Z891" s="2" t="n">
        <v>0.654688963</v>
      </c>
      <c r="AA891" s="2" t="n">
        <f aca="false">IF(AA$7=AA$5,AA$6,IF(NORMSDIST(AA$9*SQRT($C$11)*NORMSINV($B891)+SQRT(1-AA$9^2*$C$11)*NORMSINV(Z891))&lt;AA$8,AA$5+SQRT(NORMSDIST(AA$9*SQRT($C$11)*NORMSINV($B891)+SQRT(1-AA$9^2*$C$11)*NORMSINV(Z891))*(AA$7-AA$5)*(AA$6-AA$5)),AA$7-SQRT((1-NORMSDIST(AA$9*SQRT($C$11)*NORMSINV($B891)+SQRT(1-AA$9^2*$C$11)*NORMSINV(Z891)))*(AA$7-AA$5)*(AA$7-AA$6))))</f>
        <v>0.731782843577633</v>
      </c>
      <c r="AB891" s="2" t="n">
        <v>0.534018266</v>
      </c>
      <c r="AC891" s="2" t="n">
        <f aca="false">IF(AC$7=AC$5,AC$6,IF(NORMSDIST(AC$9*SQRT($C$11)*NORMSINV($B891)+SQRT(1-AC$9^2*$C$11)*NORMSINV(AB891))&lt;AC$8,AC$5+SQRT(NORMSDIST(AC$9*SQRT($C$11)*NORMSINV($B891)+SQRT(1-AC$9^2*$C$11)*NORMSINV(AB891))*(AC$7-AC$5)*(AC$6-AC$5)),AC$7-SQRT((1-NORMSDIST(AC$9*SQRT($C$11)*NORMSINV($B891)+SQRT(1-AC$9^2*$C$11)*NORMSINV(AB891)))*(AC$7-AC$5)*(AC$7-AC$6))))</f>
        <v>9.5313341834051</v>
      </c>
      <c r="AD891" s="2" t="n">
        <f aca="false">Entrées!$C$8*(1+E891)</f>
        <v>7429.13745882433</v>
      </c>
      <c r="AE891" s="2" t="n">
        <f aca="false">I891*Hypothèses!$J$24/12/Hypothèses!$J$19</f>
        <v>99.1923198190401</v>
      </c>
      <c r="AF891" s="2" t="n">
        <f aca="false">Entrées!$C$36*S891*1000</f>
        <v>293.15992869225</v>
      </c>
      <c r="AG891" s="2" t="n">
        <f aca="false">-AF891/W891</f>
        <v>-28.4950073180933</v>
      </c>
      <c r="AH891" s="2" t="n">
        <f aca="false">AD891+AE891+AG891</f>
        <v>7499.83477132527</v>
      </c>
      <c r="AI891" s="2" t="n">
        <f aca="false">Entrées!$C$16-M891+Hypothèses!$J$22*1000-AF891+Hypothèses!$J$23</f>
        <v>22748.2597420642</v>
      </c>
      <c r="AJ891" s="2" t="n">
        <f aca="false">AI891/AH891</f>
        <v>3.03316812112174</v>
      </c>
      <c r="AK891" s="2" t="n">
        <f aca="false">AI891/(AH891+I891*(12-Hypothèses!$J$24)/12/Hypothèses!$J$19)</f>
        <v>3.00478166113341</v>
      </c>
      <c r="AL891" s="2" t="n">
        <f aca="false">(AD891+AG891+I891/Hypothèses!$J$19)*(1+G891)</f>
        <v>7920.67037736203</v>
      </c>
      <c r="AM891" s="2" t="n">
        <f aca="false">Entrées!$C$54*K891/Hypothèses!$J$19</f>
        <v>43.0534067325071</v>
      </c>
      <c r="AN891" s="2" t="n">
        <f aca="false">Y891*1000/AC891</f>
        <v>81.641636644699</v>
      </c>
      <c r="AO891" s="2" t="n">
        <f aca="false">(Entrées!$C$36*(1-S891)+MAX(0,Entrées!$C$30-Entrées!$C$35-Entrées!$C$36)*U891)*1000</f>
        <v>877.239182132164</v>
      </c>
      <c r="AP891" s="2" t="n">
        <f aca="false">-AO891/W891</f>
        <v>-85.2672363036873</v>
      </c>
      <c r="AQ891" s="2" t="n">
        <f aca="false">AL891+AM891+AN891+AP891</f>
        <v>7960.09818443555</v>
      </c>
      <c r="AR891" s="2" t="n">
        <f aca="false">O891*AQ891-Hypothèses!$J$25/Hypothèses!$J$19</f>
        <v>1211.43056284927</v>
      </c>
      <c r="AS891" s="2" t="n">
        <f aca="false">Entrées!$C$79*(1+Q891)+Hypothèses!$J$20</f>
        <v>1484.86941908612</v>
      </c>
      <c r="AT891" s="2" t="n">
        <f aca="false">AI891-AR891+AS891+Y891*1000-AO891+Hypothèses!$J$23</f>
        <v>22922.6131383096</v>
      </c>
      <c r="AU891" s="2" t="n">
        <f aca="false">AT891/AQ891</f>
        <v>2.87968974844185</v>
      </c>
      <c r="AV891" s="2" t="n">
        <f aca="false">Hypothèses!$J$26*AQ891-AT891</f>
        <v>957.681414997012</v>
      </c>
      <c r="AW891" s="2" t="n">
        <f aca="false">IF(AC891&gt;Hypothèses!$J$26,MAX(0,AV891)/(1-Hypothèses!$J$26/AC891),0)</f>
        <v>1397.56768697662</v>
      </c>
      <c r="AX891" s="2" t="n">
        <f aca="false">AQ891-Entrées!$C$17*1000</f>
        <v>-39.901815564448</v>
      </c>
      <c r="AY891" s="2" t="n">
        <f aca="false">AI891+(Entrées!$C$244-Entrées!$C$13)</f>
        <v>28495.2597420642</v>
      </c>
      <c r="AZ891" s="2" t="n">
        <f aca="false">AA891*AH891</f>
        <v>5488.25041532281</v>
      </c>
      <c r="BA891" s="2" t="n">
        <f aca="false">AZ891/AY891</f>
        <v>0.192602224545479</v>
      </c>
      <c r="BB891" s="2" t="n">
        <f aca="false">AZ891/(Entrées!$C$151/100)-AY891</f>
        <v>1995.02034306253</v>
      </c>
      <c r="BC891" s="2" t="n">
        <f aca="false">AT891+(Entrées!$C$244-Entrées!$C$13)</f>
        <v>28669.6131383096</v>
      </c>
      <c r="BD891" s="2" t="n">
        <f aca="false">AA891*AQ891</f>
        <v>5825.0632845634</v>
      </c>
      <c r="BE891" s="2" t="n">
        <f aca="false">BD891/BC891</f>
        <v>0.203178998490903</v>
      </c>
      <c r="BF891" s="2" t="n">
        <f aca="false">BD891/(Entrées!$C$151/100)-BC891</f>
        <v>3691.84955370924</v>
      </c>
      <c r="BG891" s="2" t="n">
        <f aca="false">MIN(AV891,BF891)</f>
        <v>957.681414997012</v>
      </c>
      <c r="BH891" s="2" t="n">
        <f aca="false">IF(AC891&gt;Hypothèses!$J$26,MAX(0,BG891)/(1-Hypothèses!$J$26/AC891),0)</f>
        <v>1397.56768697662</v>
      </c>
    </row>
    <row r="892" customFormat="false" ht="15" hidden="false" customHeight="false" outlineLevel="0" collapsed="false">
      <c r="A892" s="2" t="n">
        <v>877</v>
      </c>
      <c r="B892" s="2" t="n">
        <v>0.391459115</v>
      </c>
      <c r="C892" s="2"/>
      <c r="D892" s="2" t="n">
        <v>0.462350946</v>
      </c>
      <c r="E892" s="2" t="n">
        <f aca="false">IF(E$7=E$5,E$6,IF(NORMSDIST(E$9*SQRT($C$11)*NORMSINV($B892)+SQRT(1-E$9^2*$C$11)*NORMSINV(D892))&lt;E$8,E$5+SQRT(NORMSDIST(E$9*SQRT($C$11)*NORMSINV($B892)+SQRT(1-E$9^2*$C$11)*NORMSINV(D892))*(E$7-E$5)*(E$6-E$5)),E$7-SQRT((1-NORMSDIST(E$9*SQRT($C$11)*NORMSINV($B892)+SQRT(1-E$9^2*$C$11)*NORMSINV(D892)))*(E$7-E$5)*(E$7-E$6))))</f>
        <v>0.054484837146115</v>
      </c>
      <c r="F892" s="2" t="n">
        <v>0.364079627</v>
      </c>
      <c r="G892" s="2" t="n">
        <f aca="false">IF(G$7=G$5,G$6,IF(NORMSDIST(G$9*SQRT($C$11)*NORMSINV($B892)+SQRT(1-G$9^2*$C$11)*NORMSINV(F892))&lt;G$8,G$5+SQRT(NORMSDIST(G$9*SQRT($C$11)*NORMSINV($B892)+SQRT(1-G$9^2*$C$11)*NORMSINV(F892))*(G$7-G$5)*(G$6-G$5)),G$7-SQRT((1-NORMSDIST(G$9*SQRT($C$11)*NORMSINV($B892)+SQRT(1-G$9^2*$C$11)*NORMSINV(F892)))*(G$7-G$5)*(G$7-G$6))))</f>
        <v>0.0521621794792143</v>
      </c>
      <c r="H892" s="2" t="n">
        <v>0.946390557</v>
      </c>
      <c r="I892" s="2" t="n">
        <f aca="false">IF(I$7=I$5,I$6,IF(NORMSDIST(I$9*SQRT($C$11)*NORMSINV($B892)+SQRT(1-I$9^2*$C$11)*NORMSINV(H892))&lt;I$8,I$5+SQRT(NORMSDIST(I$9*SQRT($C$11)*NORMSINV($B892)+SQRT(1-I$9^2*$C$11)*NORMSINV(H892))*(I$7-I$5)*(I$6-I$5)),I$7-SQRT((1-NORMSDIST(I$9*SQRT($C$11)*NORMSINV($B892)+SQRT(1-I$9^2*$C$11)*NORMSINV(H892)))*(I$7-I$5)*(I$7-I$6))))</f>
        <v>209.359428531404</v>
      </c>
      <c r="J892" s="2" t="n">
        <v>0.617155101</v>
      </c>
      <c r="K892" s="2" t="n">
        <f aca="false">IF(K$7=K$5,K$6,IF(NORMSDIST(K$9*SQRT($C$11)*NORMSINV($B892)+SQRT(1-K$9^2*$C$11)*NORMSINV(J892))&lt;K$8,K$5+SQRT(NORMSDIST(K$9*SQRT($C$11)*NORMSINV($B892)+SQRT(1-K$9^2*$C$11)*NORMSINV(J892))*(K$7-K$5)*(K$6-K$5)),K$7-SQRT((1-NORMSDIST(K$9*SQRT($C$11)*NORMSINV($B892)+SQRT(1-K$9^2*$C$11)*NORMSINV(J892)))*(K$7-K$5)*(K$7-K$6))))</f>
        <v>0.255706189150957</v>
      </c>
      <c r="L892" s="2" t="n">
        <v>0.27395444</v>
      </c>
      <c r="M892" s="2" t="n">
        <f aca="false">IF(M$7=M$5,M$6,IF(NORMSDIST(M$9*SQRT($C$11)*NORMSINV($B892)+SQRT(1-M$9^2*$C$11)*NORMSINV(L892))&lt;M$8,M$5+SQRT(NORMSDIST(M$9*SQRT($C$11)*NORMSINV($B892)+SQRT(1-M$9^2*$C$11)*NORMSINV(L892))*(M$7-M$5)*(M$6-M$5)),M$7-SQRT((1-NORMSDIST(M$9*SQRT($C$11)*NORMSINV($B892)+SQRT(1-M$9^2*$C$11)*NORMSINV(L892)))*(M$7-M$5)*(M$7-M$6))))</f>
        <v>1507.12402090877</v>
      </c>
      <c r="N892" s="2" t="n">
        <v>0.559315009</v>
      </c>
      <c r="O892" s="2" t="n">
        <f aca="false">IF(O$7=O$5,O$6,IF(NORMSDIST(O$9*SQRT($C$11)*NORMSINV($B892)+SQRT(1-O$9^2*$C$11)*NORMSINV(N892))&lt;O$8,O$5+SQRT(NORMSDIST(O$9*SQRT($C$11)*NORMSINV($B892)+SQRT(1-O$9^2*$C$11)*NORMSINV(N892))*(O$7-O$5)*(O$6-O$5)),O$7-SQRT((1-NORMSDIST(O$9*SQRT($C$11)*NORMSINV($B892)+SQRT(1-O$9^2*$C$11)*NORMSINV(N892)))*(O$7-O$5)*(O$7-O$6))))</f>
        <v>0.166150565817109</v>
      </c>
      <c r="P892" s="2" t="n">
        <v>0.826266169</v>
      </c>
      <c r="Q892" s="2" t="n">
        <f aca="false">IF(Q$7=Q$5,Q$6,IF(NORMSDIST(Q$9*SQRT($C$11)*NORMSINV($B892)+SQRT(1-Q$9^2*$C$11)*NORMSINV(P892))&lt;Q$8,Q$5+SQRT(NORMSDIST(Q$9*SQRT($C$11)*NORMSINV($B892)+SQRT(1-Q$9^2*$C$11)*NORMSINV(P892))*(Q$7-Q$5)*(Q$6-Q$5)),Q$7-SQRT((1-NORMSDIST(Q$9*SQRT($C$11)*NORMSINV($B892)+SQRT(1-Q$9^2*$C$11)*NORMSINV(P892)))*(Q$7-Q$5)*(Q$7-Q$6))))</f>
        <v>0.0964214449297672</v>
      </c>
      <c r="R892" s="2" t="n">
        <v>0.641259831</v>
      </c>
      <c r="S892" s="2" t="n">
        <f aca="false">IF(S$7=S$5,S$6,IF(NORMSDIST(S$9*SQRT($C$11)*NORMSINV($B892)+SQRT(1-S$9^2*$C$11)*NORMSINV(R892))&lt;S$8,S$5+SQRT(NORMSDIST(S$9*SQRT($C$11)*NORMSINV($B892)+SQRT(1-S$9^2*$C$11)*NORMSINV(R892))*(S$7-S$5)*(S$6-S$5)),S$7-SQRT((1-NORMSDIST(S$9*SQRT($C$11)*NORMSINV($B892)+SQRT(1-S$9^2*$C$11)*NORMSINV(R892)))*(S$7-S$5)*(S$7-S$6))))</f>
        <v>0.521573406265947</v>
      </c>
      <c r="T892" s="2" t="n">
        <v>0.861982783</v>
      </c>
      <c r="U892" s="2" t="n">
        <f aca="false">IF(U$7=U$5,U$6,IF(NORMSDIST(U$9*SQRT($C$11)*NORMSINV($B892)+SQRT(1-U$9^2*$C$11)*NORMSINV(T892))&lt;U$8,U$5+SQRT(NORMSDIST(U$9*SQRT($C$11)*NORMSINV($B892)+SQRT(1-U$9^2*$C$11)*NORMSINV(T892))*(U$7-U$5)*(U$6-U$5)),U$7-SQRT((1-NORMSDIST(U$9*SQRT($C$11)*NORMSINV($B892)+SQRT(1-U$9^2*$C$11)*NORMSINV(T892)))*(U$7-U$5)*(U$7-U$6))))</f>
        <v>0.645323652469746</v>
      </c>
      <c r="V892" s="2" t="n">
        <v>0.865498801</v>
      </c>
      <c r="W892" s="2" t="n">
        <f aca="false">IF(W$7=W$5,W$6,IF(NORMSDIST(W$9*SQRT($C$11)*NORMSINV($B892)+SQRT(1-W$9^2*$C$11)*NORMSINV(V892))&lt;W$8,W$5+SQRT(NORMSDIST(W$9*SQRT($C$11)*NORMSINV($B892)+SQRT(1-W$9^2*$C$11)*NORMSINV(V892))*(W$7-W$5)*(W$6-W$5)),W$7-SQRT((1-NORMSDIST(W$9*SQRT($C$11)*NORMSINV($B892)+SQRT(1-W$9^2*$C$11)*NORMSINV(V892)))*(W$7-W$5)*(W$7-W$6))))</f>
        <v>10.5924974377018</v>
      </c>
      <c r="X892" s="2" t="n">
        <v>0.721831208</v>
      </c>
      <c r="Y892" s="2" t="n">
        <f aca="false">IF(Y$7=Y$5,Y$6,IF(NORMSDIST(Y$9*SQRT($C$11)*NORMSINV($B892)+SQRT(1-Y$9^2*$C$11)*NORMSINV(X892))&lt;Y$8,Y$5+SQRT(NORMSDIST(Y$9*SQRT($C$11)*NORMSINV($B892)+SQRT(1-Y$9^2*$C$11)*NORMSINV(X892))*(Y$7-Y$5)*(Y$6-Y$5)),Y$7-SQRT((1-NORMSDIST(Y$9*SQRT($C$11)*NORMSINV($B892)+SQRT(1-Y$9^2*$C$11)*NORMSINV(X892)))*(Y$7-Y$5)*(Y$7-Y$6))))</f>
        <v>0.627059795677645</v>
      </c>
      <c r="Z892" s="2" t="n">
        <v>0.037461851</v>
      </c>
      <c r="AA892" s="2" t="n">
        <f aca="false">IF(AA$7=AA$5,AA$6,IF(NORMSDIST(AA$9*SQRT($C$11)*NORMSINV($B892)+SQRT(1-AA$9^2*$C$11)*NORMSINV(Z892))&lt;AA$8,AA$5+SQRT(NORMSDIST(AA$9*SQRT($C$11)*NORMSINV($B892)+SQRT(1-AA$9^2*$C$11)*NORMSINV(Z892))*(AA$7-AA$5)*(AA$6-AA$5)),AA$7-SQRT((1-NORMSDIST(AA$9*SQRT($C$11)*NORMSINV($B892)+SQRT(1-AA$9^2*$C$11)*NORMSINV(Z892)))*(AA$7-AA$5)*(AA$7-AA$6))))</f>
        <v>0.706669379974503</v>
      </c>
      <c r="AB892" s="2" t="n">
        <v>0.600453786</v>
      </c>
      <c r="AC892" s="2" t="n">
        <f aca="false">IF(AC$7=AC$5,AC$6,IF(NORMSDIST(AC$9*SQRT($C$11)*NORMSINV($B892)+SQRT(1-AC$9^2*$C$11)*NORMSINV(AB892))&lt;AC$8,AC$5+SQRT(NORMSDIST(AC$9*SQRT($C$11)*NORMSINV($B892)+SQRT(1-AC$9^2*$C$11)*NORMSINV(AB892))*(AC$7-AC$5)*(AC$6-AC$5)),AC$7-SQRT((1-NORMSDIST(AC$9*SQRT($C$11)*NORMSINV($B892)+SQRT(1-AC$9^2*$C$11)*NORMSINV(AB892)))*(AC$7-AC$5)*(AC$7-AC$6))))</f>
        <v>9.49736077295371</v>
      </c>
      <c r="AD892" s="2" t="n">
        <f aca="false">Entrées!$C$8*(1+E892)</f>
        <v>7434.11810188011</v>
      </c>
      <c r="AE892" s="2" t="n">
        <f aca="false">I892*Hypothèses!$J$24/12/Hypothèses!$J$19</f>
        <v>103.862542413511</v>
      </c>
      <c r="AF892" s="2" t="n">
        <f aca="false">Entrées!$C$36*S892*1000</f>
        <v>260.786703132974</v>
      </c>
      <c r="AG892" s="2" t="n">
        <f aca="false">-AF892/W892</f>
        <v>-24.6199448871007</v>
      </c>
      <c r="AH892" s="2" t="n">
        <f aca="false">AD892+AE892+AG892</f>
        <v>7513.36069940652</v>
      </c>
      <c r="AI892" s="2" t="n">
        <f aca="false">Entrées!$C$16-M892+Hypothèses!$J$22*1000-AF892+Hypothèses!$J$23</f>
        <v>22780.0892759583</v>
      </c>
      <c r="AJ892" s="2" t="n">
        <f aca="false">AI892/AH892</f>
        <v>3.03194405104997</v>
      </c>
      <c r="AK892" s="2" t="n">
        <f aca="false">AI892/(AH892+I892*(12-Hypothèses!$J$24)/12/Hypothèses!$J$19)</f>
        <v>3.00229910721151</v>
      </c>
      <c r="AL892" s="2" t="n">
        <f aca="false">(AD892+AG892+I892/Hypothèses!$J$19)*(1+G892)</f>
        <v>7983.33128226679</v>
      </c>
      <c r="AM892" s="2" t="n">
        <f aca="false">Entrées!$C$54*K892/Hypothèses!$J$19</f>
        <v>26.0958902437632</v>
      </c>
      <c r="AN892" s="2" t="n">
        <f aca="false">Y892*1000/AC892</f>
        <v>66.0246368089298</v>
      </c>
      <c r="AO892" s="2" t="n">
        <f aca="false">(Entrées!$C$36*(1-S892)+MAX(0,Entrées!$C$30-Entrées!$C$35-Entrées!$C$36)*U892)*1000</f>
        <v>1142.66641032467</v>
      </c>
      <c r="AP892" s="2" t="n">
        <f aca="false">-AO892/W892</f>
        <v>-107.875070732383</v>
      </c>
      <c r="AQ892" s="2" t="n">
        <f aca="false">AL892+AM892+AN892+AP892</f>
        <v>7967.5767385871</v>
      </c>
      <c r="AR892" s="2" t="n">
        <f aca="false">O892*AQ892-Hypothèses!$J$25/Hypothèses!$J$19</f>
        <v>1304.68222104586</v>
      </c>
      <c r="AS892" s="2" t="n">
        <f aca="false">Entrées!$C$79*(1+Q892)+Hypothèses!$J$20</f>
        <v>1499.96716797781</v>
      </c>
      <c r="AT892" s="2" t="n">
        <f aca="false">AI892-AR892+AS892+Y892*1000-AO892+Hypothèses!$J$23</f>
        <v>22459.7676082432</v>
      </c>
      <c r="AU892" s="2" t="n">
        <f aca="false">AT892/AQ892</f>
        <v>2.81889567495098</v>
      </c>
      <c r="AV892" s="2" t="n">
        <f aca="false">Hypothèses!$J$26*AQ892-AT892</f>
        <v>1442.9626075181</v>
      </c>
      <c r="AW892" s="2" t="n">
        <f aca="false">IF(AC892&gt;Hypothèses!$J$26,MAX(0,AV892)/(1-Hypothèses!$J$26/AC892),0)</f>
        <v>2109.21587154709</v>
      </c>
      <c r="AX892" s="2" t="n">
        <f aca="false">AQ892-Entrées!$C$17*1000</f>
        <v>-32.4232614129005</v>
      </c>
      <c r="AY892" s="2" t="n">
        <f aca="false">AI892+(Entrées!$C$244-Entrées!$C$13)</f>
        <v>28527.0892759583</v>
      </c>
      <c r="AZ892" s="2" t="n">
        <f aca="false">AA892*AH892</f>
        <v>5309.4619469744</v>
      </c>
      <c r="BA892" s="2" t="n">
        <f aca="false">AZ892/AY892</f>
        <v>0.186120003187604</v>
      </c>
      <c r="BB892" s="2" t="n">
        <f aca="false">AZ892/(Entrées!$C$151/100)-AY892</f>
        <v>969.921540566196</v>
      </c>
      <c r="BC892" s="2" t="n">
        <f aca="false">AT892+(Entrées!$C$244-Entrées!$C$13)</f>
        <v>28206.7676082432</v>
      </c>
      <c r="BD892" s="2" t="n">
        <f aca="false">AA892*AQ892</f>
        <v>5630.44251375662</v>
      </c>
      <c r="BE892" s="2" t="n">
        <f aca="false">BD892/BC892</f>
        <v>0.199613177658512</v>
      </c>
      <c r="BF892" s="2" t="n">
        <f aca="false">BD892/(Entrées!$C$151/100)-BC892</f>
        <v>3073.46857929356</v>
      </c>
      <c r="BG892" s="2" t="n">
        <f aca="false">MIN(AV892,BF892)</f>
        <v>1442.9626075181</v>
      </c>
      <c r="BH892" s="2" t="n">
        <f aca="false">IF(AC892&gt;Hypothèses!$J$26,MAX(0,BG892)/(1-Hypothèses!$J$26/AC892),0)</f>
        <v>2109.21587154709</v>
      </c>
    </row>
    <row r="893" customFormat="false" ht="15" hidden="false" customHeight="false" outlineLevel="0" collapsed="false">
      <c r="A893" s="2" t="n">
        <v>878</v>
      </c>
      <c r="B893" s="2" t="n">
        <v>0.212824311</v>
      </c>
      <c r="C893" s="2"/>
      <c r="D893" s="2" t="n">
        <v>0.757621187</v>
      </c>
      <c r="E893" s="2" t="n">
        <f aca="false">IF(E$7=E$5,E$6,IF(NORMSDIST(E$9*SQRT($C$11)*NORMSINV($B893)+SQRT(1-E$9^2*$C$11)*NORMSINV(D893))&lt;E$8,E$5+SQRT(NORMSDIST(E$9*SQRT($C$11)*NORMSINV($B893)+SQRT(1-E$9^2*$C$11)*NORMSINV(D893))*(E$7-E$5)*(E$6-E$5)),E$7-SQRT((1-NORMSDIST(E$9*SQRT($C$11)*NORMSINV($B893)+SQRT(1-E$9^2*$C$11)*NORMSINV(D893)))*(E$7-E$5)*(E$7-E$6))))</f>
        <v>0.0550750207737952</v>
      </c>
      <c r="F893" s="2" t="n">
        <v>0.990800601</v>
      </c>
      <c r="G893" s="2" t="n">
        <f aca="false">IF(G$7=G$5,G$6,IF(NORMSDIST(G$9*SQRT($C$11)*NORMSINV($B893)+SQRT(1-G$9^2*$C$11)*NORMSINV(F893))&lt;G$8,G$5+SQRT(NORMSDIST(G$9*SQRT($C$11)*NORMSINV($B893)+SQRT(1-G$9^2*$C$11)*NORMSINV(F893))*(G$7-G$5)*(G$6-G$5)),G$7-SQRT((1-NORMSDIST(G$9*SQRT($C$11)*NORMSINV($B893)+SQRT(1-G$9^2*$C$11)*NORMSINV(F893)))*(G$7-G$5)*(G$7-G$6))))</f>
        <v>0.0635293911914218</v>
      </c>
      <c r="H893" s="2" t="n">
        <v>0.413318494</v>
      </c>
      <c r="I893" s="2" t="n">
        <f aca="false">IF(I$7=I$5,I$6,IF(NORMSDIST(I$9*SQRT($C$11)*NORMSINV($B893)+SQRT(1-I$9^2*$C$11)*NORMSINV(H893))&lt;I$8,I$5+SQRT(NORMSDIST(I$9*SQRT($C$11)*NORMSINV($B893)+SQRT(1-I$9^2*$C$11)*NORMSINV(H893))*(I$7-I$5)*(I$6-I$5)),I$7-SQRT((1-NORMSDIST(I$9*SQRT($C$11)*NORMSINV($B893)+SQRT(1-I$9^2*$C$11)*NORMSINV(H893)))*(I$7-I$5)*(I$7-I$6))))</f>
        <v>194.15101762752</v>
      </c>
      <c r="J893" s="2" t="n">
        <v>0.836888679</v>
      </c>
      <c r="K893" s="2" t="n">
        <f aca="false">IF(K$7=K$5,K$6,IF(NORMSDIST(K$9*SQRT($C$11)*NORMSINV($B893)+SQRT(1-K$9^2*$C$11)*NORMSINV(J893))&lt;K$8,K$5+SQRT(NORMSDIST(K$9*SQRT($C$11)*NORMSINV($B893)+SQRT(1-K$9^2*$C$11)*NORMSINV(J893))*(K$7-K$5)*(K$6-K$5)),K$7-SQRT((1-NORMSDIST(K$9*SQRT($C$11)*NORMSINV($B893)+SQRT(1-K$9^2*$C$11)*NORMSINV(J893)))*(K$7-K$5)*(K$7-K$6))))</f>
        <v>0.27674556978359</v>
      </c>
      <c r="L893" s="2" t="n">
        <v>0.046645003</v>
      </c>
      <c r="M893" s="2" t="n">
        <f aca="false">IF(M$7=M$5,M$6,IF(NORMSDIST(M$9*SQRT($C$11)*NORMSINV($B893)+SQRT(1-M$9^2*$C$11)*NORMSINV(L893))&lt;M$8,M$5+SQRT(NORMSDIST(M$9*SQRT($C$11)*NORMSINV($B893)+SQRT(1-M$9^2*$C$11)*NORMSINV(L893))*(M$7-M$5)*(M$6-M$5)),M$7-SQRT((1-NORMSDIST(M$9*SQRT($C$11)*NORMSINV($B893)+SQRT(1-M$9^2*$C$11)*NORMSINV(L893)))*(M$7-M$5)*(M$7-M$6))))</f>
        <v>1378.51613594635</v>
      </c>
      <c r="N893" s="2" t="n">
        <v>0.480432163</v>
      </c>
      <c r="O893" s="2" t="n">
        <f aca="false">IF(O$7=O$5,O$6,IF(NORMSDIST(O$9*SQRT($C$11)*NORMSINV($B893)+SQRT(1-O$9^2*$C$11)*NORMSINV(N893))&lt;O$8,O$5+SQRT(NORMSDIST(O$9*SQRT($C$11)*NORMSINV($B893)+SQRT(1-O$9^2*$C$11)*NORMSINV(N893))*(O$7-O$5)*(O$6-O$5)),O$7-SQRT((1-NORMSDIST(O$9*SQRT($C$11)*NORMSINV($B893)+SQRT(1-O$9^2*$C$11)*NORMSINV(N893)))*(O$7-O$5)*(O$7-O$6))))</f>
        <v>0.160537167722852</v>
      </c>
      <c r="P893" s="2" t="n">
        <v>0.228781933</v>
      </c>
      <c r="Q893" s="2" t="n">
        <f aca="false">IF(Q$7=Q$5,Q$6,IF(NORMSDIST(Q$9*SQRT($C$11)*NORMSINV($B893)+SQRT(1-Q$9^2*$C$11)*NORMSINV(P893))&lt;Q$8,Q$5+SQRT(NORMSDIST(Q$9*SQRT($C$11)*NORMSINV($B893)+SQRT(1-Q$9^2*$C$11)*NORMSINV(P893))*(Q$7-Q$5)*(Q$6-Q$5)),Q$7-SQRT((1-NORMSDIST(Q$9*SQRT($C$11)*NORMSINV($B893)+SQRT(1-Q$9^2*$C$11)*NORMSINV(P893)))*(Q$7-Q$5)*(Q$7-Q$6))))</f>
        <v>0.0670573868952639</v>
      </c>
      <c r="R893" s="2" t="n">
        <v>0.57561662</v>
      </c>
      <c r="S893" s="2" t="n">
        <f aca="false">IF(S$7=S$5,S$6,IF(NORMSDIST(S$9*SQRT($C$11)*NORMSINV($B893)+SQRT(1-S$9^2*$C$11)*NORMSINV(R893))&lt;S$8,S$5+SQRT(NORMSDIST(S$9*SQRT($C$11)*NORMSINV($B893)+SQRT(1-S$9^2*$C$11)*NORMSINV(R893))*(S$7-S$5)*(S$6-S$5)),S$7-SQRT((1-NORMSDIST(S$9*SQRT($C$11)*NORMSINV($B893)+SQRT(1-S$9^2*$C$11)*NORMSINV(R893)))*(S$7-S$5)*(S$7-S$6))))</f>
        <v>0.424774628451565</v>
      </c>
      <c r="T893" s="2" t="n">
        <v>0.440002642</v>
      </c>
      <c r="U893" s="2" t="n">
        <f aca="false">IF(U$7=U$5,U$6,IF(NORMSDIST(U$9*SQRT($C$11)*NORMSINV($B893)+SQRT(1-U$9^2*$C$11)*NORMSINV(T893))&lt;U$8,U$5+SQRT(NORMSDIST(U$9*SQRT($C$11)*NORMSINV($B893)+SQRT(1-U$9^2*$C$11)*NORMSINV(T893))*(U$7-U$5)*(U$6-U$5)),U$7-SQRT((1-NORMSDIST(U$9*SQRT($C$11)*NORMSINV($B893)+SQRT(1-U$9^2*$C$11)*NORMSINV(T893)))*(U$7-U$5)*(U$7-U$6))))</f>
        <v>0.365629523235039</v>
      </c>
      <c r="V893" s="2" t="n">
        <v>0.325455174</v>
      </c>
      <c r="W893" s="2" t="n">
        <f aca="false">IF(W$7=W$5,W$6,IF(NORMSDIST(W$9*SQRT($C$11)*NORMSINV($B893)+SQRT(1-W$9^2*$C$11)*NORMSINV(V893))&lt;W$8,W$5+SQRT(NORMSDIST(W$9*SQRT($C$11)*NORMSINV($B893)+SQRT(1-W$9^2*$C$11)*NORMSINV(V893))*(W$7-W$5)*(W$6-W$5)),W$7-SQRT((1-NORMSDIST(W$9*SQRT($C$11)*NORMSINV($B893)+SQRT(1-W$9^2*$C$11)*NORMSINV(V893)))*(W$7-W$5)*(W$7-W$6))))</f>
        <v>9.25364775713524</v>
      </c>
      <c r="X893" s="2" t="n">
        <v>0.883402247</v>
      </c>
      <c r="Y893" s="2" t="n">
        <f aca="false">IF(Y$7=Y$5,Y$6,IF(NORMSDIST(Y$9*SQRT($C$11)*NORMSINV($B893)+SQRT(1-Y$9^2*$C$11)*NORMSINV(X893))&lt;Y$8,Y$5+SQRT(NORMSDIST(Y$9*SQRT($C$11)*NORMSINV($B893)+SQRT(1-Y$9^2*$C$11)*NORMSINV(X893))*(Y$7-Y$5)*(Y$6-Y$5)),Y$7-SQRT((1-NORMSDIST(Y$9*SQRT($C$11)*NORMSINV($B893)+SQRT(1-Y$9^2*$C$11)*NORMSINV(X893)))*(Y$7-Y$5)*(Y$7-Y$6))))</f>
        <v>0.758548397189002</v>
      </c>
      <c r="Z893" s="2" t="n">
        <v>0.24150707</v>
      </c>
      <c r="AA893" s="2" t="n">
        <f aca="false">IF(AA$7=AA$5,AA$6,IF(NORMSDIST(AA$9*SQRT($C$11)*NORMSINV($B893)+SQRT(1-AA$9^2*$C$11)*NORMSINV(Z893))&lt;AA$8,AA$5+SQRT(NORMSDIST(AA$9*SQRT($C$11)*NORMSINV($B893)+SQRT(1-AA$9^2*$C$11)*NORMSINV(Z893))*(AA$7-AA$5)*(AA$6-AA$5)),AA$7-SQRT((1-NORMSDIST(AA$9*SQRT($C$11)*NORMSINV($B893)+SQRT(1-AA$9^2*$C$11)*NORMSINV(Z893)))*(AA$7-AA$5)*(AA$7-AA$6))))</f>
        <v>0.713097482505041</v>
      </c>
      <c r="AB893" s="2" t="n">
        <v>0.409296629</v>
      </c>
      <c r="AC893" s="2" t="n">
        <f aca="false">IF(AC$7=AC$5,AC$6,IF(NORMSDIST(AC$9*SQRT($C$11)*NORMSINV($B893)+SQRT(1-AC$9^2*$C$11)*NORMSINV(AB893))&lt;AC$8,AC$5+SQRT(NORMSDIST(AC$9*SQRT($C$11)*NORMSINV($B893)+SQRT(1-AC$9^2*$C$11)*NORMSINV(AB893))*(AC$7-AC$5)*(AC$6-AC$5)),AC$7-SQRT((1-NORMSDIST(AC$9*SQRT($C$11)*NORMSINV($B893)+SQRT(1-AC$9^2*$C$11)*NORMSINV(AB893)))*(AC$7-AC$5)*(AC$7-AC$6))))</f>
        <v>8.86313804874536</v>
      </c>
      <c r="AD893" s="2" t="n">
        <f aca="false">Entrées!$C$8*(1+E893)</f>
        <v>7438.27889645526</v>
      </c>
      <c r="AE893" s="2" t="n">
        <f aca="false">I893*Hypothèses!$J$24/12/Hypothèses!$J$19</f>
        <v>96.3176984405065</v>
      </c>
      <c r="AF893" s="2" t="n">
        <f aca="false">Entrées!$C$36*S893*1000</f>
        <v>212.387314225783</v>
      </c>
      <c r="AG893" s="2" t="n">
        <f aca="false">-AF893/W893</f>
        <v>-22.9517396598564</v>
      </c>
      <c r="AH893" s="2" t="n">
        <f aca="false">AD893+AE893+AG893</f>
        <v>7511.64485523591</v>
      </c>
      <c r="AI893" s="2" t="n">
        <f aca="false">Entrées!$C$16-M893+Hypothèses!$J$22*1000-AF893+Hypothèses!$J$23</f>
        <v>22957.0965498279</v>
      </c>
      <c r="AJ893" s="2" t="n">
        <f aca="false">AI893/AH893</f>
        <v>3.05620100420827</v>
      </c>
      <c r="AK893" s="2" t="n">
        <f aca="false">AI893/(AH893+I893*(12-Hypothèses!$J$24)/12/Hypothèses!$J$19)</f>
        <v>3.02846362805182</v>
      </c>
      <c r="AL893" s="2" t="n">
        <f aca="false">(AD893+AG893+I893/Hypothèses!$J$19)*(1+G893)</f>
        <v>8062.02415343764</v>
      </c>
      <c r="AM893" s="2" t="n">
        <f aca="false">Entrées!$C$54*K893/Hypothèses!$J$19</f>
        <v>28.243047375974</v>
      </c>
      <c r="AN893" s="2" t="n">
        <f aca="false">Y893*1000/AC893</f>
        <v>85.5846307500965</v>
      </c>
      <c r="AO893" s="2" t="n">
        <f aca="false">(Entrées!$C$36*(1-S893)+MAX(0,Entrées!$C$30-Entrées!$C$35-Entrées!$C$36)*U893)*1000</f>
        <v>799.494018303273</v>
      </c>
      <c r="AP893" s="2" t="n">
        <f aca="false">-AO893/W893</f>
        <v>-86.3977146403486</v>
      </c>
      <c r="AQ893" s="2" t="n">
        <f aca="false">AL893+AM893+AN893+AP893</f>
        <v>8089.45411692336</v>
      </c>
      <c r="AR893" s="2" t="n">
        <f aca="false">O893*AQ893-Hypothèses!$J$25/Hypothèses!$J$19</f>
        <v>1279.52289009322</v>
      </c>
      <c r="AS893" s="2" t="n">
        <f aca="false">Entrées!$C$79*(1+Q893)+Hypothèses!$J$20</f>
        <v>1467.6960681979</v>
      </c>
      <c r="AT893" s="2" t="n">
        <f aca="false">AI893-AR893+AS893+Y893*1000-AO893+Hypothèses!$J$23</f>
        <v>23104.3241068183</v>
      </c>
      <c r="AU893" s="2" t="n">
        <f aca="false">AT893/AQ893</f>
        <v>2.85610422815594</v>
      </c>
      <c r="AV893" s="2" t="n">
        <f aca="false">Hypothèses!$J$26*AQ893-AT893</f>
        <v>1164.03824395182</v>
      </c>
      <c r="AW893" s="2" t="n">
        <f aca="false">IF(AC893&gt;Hypothèses!$J$26,MAX(0,AV893)/(1-Hypothèses!$J$26/AC893),0)</f>
        <v>1759.64331120803</v>
      </c>
      <c r="AX893" s="2" t="n">
        <f aca="false">AQ893-Entrées!$C$17*1000</f>
        <v>89.4541169233644</v>
      </c>
      <c r="AY893" s="2" t="n">
        <f aca="false">AI893+(Entrées!$C$244-Entrées!$C$13)</f>
        <v>28704.0965498279</v>
      </c>
      <c r="AZ893" s="2" t="n">
        <f aca="false">AA893*AH893</f>
        <v>5356.53503574067</v>
      </c>
      <c r="BA893" s="2" t="n">
        <f aca="false">AZ893/AY893</f>
        <v>0.186612214965281</v>
      </c>
      <c r="BB893" s="2" t="n">
        <f aca="false">AZ893/(Entrées!$C$151/100)-AY893</f>
        <v>1054.43142650919</v>
      </c>
      <c r="BC893" s="2" t="n">
        <f aca="false">AT893+(Entrées!$C$244-Entrées!$C$13)</f>
        <v>28851.3241068183</v>
      </c>
      <c r="BD893" s="2" t="n">
        <f aca="false">AA893*AQ893</f>
        <v>5768.56936561809</v>
      </c>
      <c r="BE893" s="2" t="n">
        <f aca="false">BD893/BC893</f>
        <v>0.199941234733654</v>
      </c>
      <c r="BF893" s="2" t="n">
        <f aca="false">BD893/(Entrées!$C$151/100)-BC893</f>
        <v>3196.2834799489</v>
      </c>
      <c r="BG893" s="2" t="n">
        <f aca="false">MIN(AV893,BF893)</f>
        <v>1164.03824395182</v>
      </c>
      <c r="BH893" s="2" t="n">
        <f aca="false">IF(AC893&gt;Hypothèses!$J$26,MAX(0,BG893)/(1-Hypothèses!$J$26/AC893),0)</f>
        <v>1759.64331120803</v>
      </c>
    </row>
    <row r="894" customFormat="false" ht="15" hidden="false" customHeight="false" outlineLevel="0" collapsed="false">
      <c r="A894" s="2" t="n">
        <v>879</v>
      </c>
      <c r="B894" s="2" t="n">
        <v>0.161913209</v>
      </c>
      <c r="C894" s="2"/>
      <c r="D894" s="2" t="n">
        <v>0.146122596</v>
      </c>
      <c r="E894" s="2" t="n">
        <f aca="false">IF(E$7=E$5,E$6,IF(NORMSDIST(E$9*SQRT($C$11)*NORMSINV($B894)+SQRT(1-E$9^2*$C$11)*NORMSINV(D894))&lt;E$8,E$5+SQRT(NORMSDIST(E$9*SQRT($C$11)*NORMSINV($B894)+SQRT(1-E$9^2*$C$11)*NORMSINV(D894))*(E$7-E$5)*(E$6-E$5)),E$7-SQRT((1-NORMSDIST(E$9*SQRT($C$11)*NORMSINV($B894)+SQRT(1-E$9^2*$C$11)*NORMSINV(D894)))*(E$7-E$5)*(E$7-E$6))))</f>
        <v>0.0519359849348633</v>
      </c>
      <c r="F894" s="2" t="n">
        <v>0.634156855</v>
      </c>
      <c r="G894" s="2" t="n">
        <f aca="false">IF(G$7=G$5,G$6,IF(NORMSDIST(G$9*SQRT($C$11)*NORMSINV($B894)+SQRT(1-G$9^2*$C$11)*NORMSINV(F894))&lt;G$8,G$5+SQRT(NORMSDIST(G$9*SQRT($C$11)*NORMSINV($B894)+SQRT(1-G$9^2*$C$11)*NORMSINV(F894))*(G$7-G$5)*(G$6-G$5)),G$7-SQRT((1-NORMSDIST(G$9*SQRT($C$11)*NORMSINV($B894)+SQRT(1-G$9^2*$C$11)*NORMSINV(F894)))*(G$7-G$5)*(G$7-G$6))))</f>
        <v>0.0527283087025618</v>
      </c>
      <c r="H894" s="2" t="n">
        <v>0.623036338</v>
      </c>
      <c r="I894" s="2" t="n">
        <f aca="false">IF(I$7=I$5,I$6,IF(NORMSDIST(I$9*SQRT($C$11)*NORMSINV($B894)+SQRT(1-I$9^2*$C$11)*NORMSINV(H894))&lt;I$8,I$5+SQRT(NORMSDIST(I$9*SQRT($C$11)*NORMSINV($B894)+SQRT(1-I$9^2*$C$11)*NORMSINV(H894))*(I$7-I$5)*(I$6-I$5)),I$7-SQRT((1-NORMSDIST(I$9*SQRT($C$11)*NORMSINV($B894)+SQRT(1-I$9^2*$C$11)*NORMSINV(H894)))*(I$7-I$5)*(I$7-I$6))))</f>
        <v>196.769783581608</v>
      </c>
      <c r="J894" s="2" t="n">
        <v>0.587248441</v>
      </c>
      <c r="K894" s="2" t="n">
        <f aca="false">IF(K$7=K$5,K$6,IF(NORMSDIST(K$9*SQRT($C$11)*NORMSINV($B894)+SQRT(1-K$9^2*$C$11)*NORMSINV(J894))&lt;K$8,K$5+SQRT(NORMSDIST(K$9*SQRT($C$11)*NORMSINV($B894)+SQRT(1-K$9^2*$C$11)*NORMSINV(J894))*(K$7-K$5)*(K$6-K$5)),K$7-SQRT((1-NORMSDIST(K$9*SQRT($C$11)*NORMSINV($B894)+SQRT(1-K$9^2*$C$11)*NORMSINV(J894)))*(K$7-K$5)*(K$7-K$6))))</f>
        <v>0.201617039616334</v>
      </c>
      <c r="L894" s="2" t="n">
        <v>0.994841819</v>
      </c>
      <c r="M894" s="2" t="n">
        <f aca="false">IF(M$7=M$5,M$6,IF(NORMSDIST(M$9*SQRT($C$11)*NORMSINV($B894)+SQRT(1-M$9^2*$C$11)*NORMSINV(L894))&lt;M$8,M$5+SQRT(NORMSDIST(M$9*SQRT($C$11)*NORMSINV($B894)+SQRT(1-M$9^2*$C$11)*NORMSINV(L894))*(M$7-M$5)*(M$6-M$5)),M$7-SQRT((1-NORMSDIST(M$9*SQRT($C$11)*NORMSINV($B894)+SQRT(1-M$9^2*$C$11)*NORMSINV(L894)))*(M$7-M$5)*(M$7-M$6))))</f>
        <v>1708.93565851809</v>
      </c>
      <c r="N894" s="2" t="n">
        <v>0.08089329</v>
      </c>
      <c r="O894" s="2" t="n">
        <f aca="false">IF(O$7=O$5,O$6,IF(NORMSDIST(O$9*SQRT($C$11)*NORMSINV($B894)+SQRT(1-O$9^2*$C$11)*NORMSINV(N894))&lt;O$8,O$5+SQRT(NORMSDIST(O$9*SQRT($C$11)*NORMSINV($B894)+SQRT(1-O$9^2*$C$11)*NORMSINV(N894))*(O$7-O$5)*(O$6-O$5)),O$7-SQRT((1-NORMSDIST(O$9*SQRT($C$11)*NORMSINV($B894)+SQRT(1-O$9^2*$C$11)*NORMSINV(N894)))*(O$7-O$5)*(O$7-O$6))))</f>
        <v>0.147931434874807</v>
      </c>
      <c r="P894" s="2" t="n">
        <v>0.59545749</v>
      </c>
      <c r="Q894" s="2" t="n">
        <f aca="false">IF(Q$7=Q$5,Q$6,IF(NORMSDIST(Q$9*SQRT($C$11)*NORMSINV($B894)+SQRT(1-Q$9^2*$C$11)*NORMSINV(P894))&lt;Q$8,Q$5+SQRT(NORMSDIST(Q$9*SQRT($C$11)*NORMSINV($B894)+SQRT(1-Q$9^2*$C$11)*NORMSINV(P894))*(Q$7-Q$5)*(Q$6-Q$5)),Q$7-SQRT((1-NORMSDIST(Q$9*SQRT($C$11)*NORMSINV($B894)+SQRT(1-Q$9^2*$C$11)*NORMSINV(P894)))*(Q$7-Q$5)*(Q$7-Q$6))))</f>
        <v>0.0840203386341672</v>
      </c>
      <c r="R894" s="2" t="n">
        <v>0.233653891</v>
      </c>
      <c r="S894" s="2" t="n">
        <f aca="false">IF(S$7=S$5,S$6,IF(NORMSDIST(S$9*SQRT($C$11)*NORMSINV($B894)+SQRT(1-S$9^2*$C$11)*NORMSINV(R894))&lt;S$8,S$5+SQRT(NORMSDIST(S$9*SQRT($C$11)*NORMSINV($B894)+SQRT(1-S$9^2*$C$11)*NORMSINV(R894))*(S$7-S$5)*(S$6-S$5)),S$7-SQRT((1-NORMSDIST(S$9*SQRT($C$11)*NORMSINV($B894)+SQRT(1-S$9^2*$C$11)*NORMSINV(R894)))*(S$7-S$5)*(S$7-S$6))))</f>
        <v>0.242496293112023</v>
      </c>
      <c r="T894" s="2" t="n">
        <v>0.491304885</v>
      </c>
      <c r="U894" s="2" t="n">
        <f aca="false">IF(U$7=U$5,U$6,IF(NORMSDIST(U$9*SQRT($C$11)*NORMSINV($B894)+SQRT(1-U$9^2*$C$11)*NORMSINV(T894))&lt;U$8,U$5+SQRT(NORMSDIST(U$9*SQRT($C$11)*NORMSINV($B894)+SQRT(1-U$9^2*$C$11)*NORMSINV(T894))*(U$7-U$5)*(U$6-U$5)),U$7-SQRT((1-NORMSDIST(U$9*SQRT($C$11)*NORMSINV($B894)+SQRT(1-U$9^2*$C$11)*NORMSINV(T894)))*(U$7-U$5)*(U$7-U$6))))</f>
        <v>0.36110950218708</v>
      </c>
      <c r="V894" s="2" t="n">
        <v>0.912057896</v>
      </c>
      <c r="W894" s="2" t="n">
        <f aca="false">IF(W$7=W$5,W$6,IF(NORMSDIST(W$9*SQRT($C$11)*NORMSINV($B894)+SQRT(1-W$9^2*$C$11)*NORMSINV(V894))&lt;W$8,W$5+SQRT(NORMSDIST(W$9*SQRT($C$11)*NORMSINV($B894)+SQRT(1-W$9^2*$C$11)*NORMSINV(V894))*(W$7-W$5)*(W$6-W$5)),W$7-SQRT((1-NORMSDIST(W$9*SQRT($C$11)*NORMSINV($B894)+SQRT(1-W$9^2*$C$11)*NORMSINV(V894)))*(W$7-W$5)*(W$7-W$6))))</f>
        <v>10.3614167844325</v>
      </c>
      <c r="X894" s="2" t="n">
        <v>0.332362945</v>
      </c>
      <c r="Y894" s="2" t="n">
        <f aca="false">IF(Y$7=Y$5,Y$6,IF(NORMSDIST(Y$9*SQRT($C$11)*NORMSINV($B894)+SQRT(1-Y$9^2*$C$11)*NORMSINV(X894))&lt;Y$8,Y$5+SQRT(NORMSDIST(Y$9*SQRT($C$11)*NORMSINV($B894)+SQRT(1-Y$9^2*$C$11)*NORMSINV(X894))*(Y$7-Y$5)*(Y$6-Y$5)),Y$7-SQRT((1-NORMSDIST(Y$9*SQRT($C$11)*NORMSINV($B894)+SQRT(1-Y$9^2*$C$11)*NORMSINV(X894)))*(Y$7-Y$5)*(Y$7-Y$6))))</f>
        <v>0.407653618283954</v>
      </c>
      <c r="Z894" s="2" t="n">
        <v>0.95543481</v>
      </c>
      <c r="AA894" s="2" t="n">
        <f aca="false">IF(AA$7=AA$5,AA$6,IF(NORMSDIST(AA$9*SQRT($C$11)*NORMSINV($B894)+SQRT(1-AA$9^2*$C$11)*NORMSINV(Z894))&lt;AA$8,AA$5+SQRT(NORMSDIST(AA$9*SQRT($C$11)*NORMSINV($B894)+SQRT(1-AA$9^2*$C$11)*NORMSINV(Z894))*(AA$7-AA$5)*(AA$6-AA$5)),AA$7-SQRT((1-NORMSDIST(AA$9*SQRT($C$11)*NORMSINV($B894)+SQRT(1-AA$9^2*$C$11)*NORMSINV(Z894)))*(AA$7-AA$5)*(AA$7-AA$6))))</f>
        <v>0.736152939287107</v>
      </c>
      <c r="AB894" s="2" t="n">
        <v>0.656771668</v>
      </c>
      <c r="AC894" s="2" t="n">
        <f aca="false">IF(AC$7=AC$5,AC$6,IF(NORMSDIST(AC$9*SQRT($C$11)*NORMSINV($B894)+SQRT(1-AC$9^2*$C$11)*NORMSINV(AB894))&lt;AC$8,AC$5+SQRT(NORMSDIST(AC$9*SQRT($C$11)*NORMSINV($B894)+SQRT(1-AC$9^2*$C$11)*NORMSINV(AB894))*(AC$7-AC$5)*(AC$6-AC$5)),AC$7-SQRT((1-NORMSDIST(AC$9*SQRT($C$11)*NORMSINV($B894)+SQRT(1-AC$9^2*$C$11)*NORMSINV(AB894)))*(AC$7-AC$5)*(AC$7-AC$6))))</f>
        <v>9.20665975711601</v>
      </c>
      <c r="AD894" s="2" t="n">
        <f aca="false">Entrées!$C$8*(1+E894)</f>
        <v>7416.14869379079</v>
      </c>
      <c r="AE894" s="2" t="n">
        <f aca="false">I894*Hypothèses!$J$24/12/Hypothèses!$J$19</f>
        <v>97.6168598486432</v>
      </c>
      <c r="AF894" s="2" t="n">
        <f aca="false">Entrées!$C$36*S894*1000</f>
        <v>121.248146556012</v>
      </c>
      <c r="AG894" s="2" t="n">
        <f aca="false">-AF894/W894</f>
        <v>-11.7018887550379</v>
      </c>
      <c r="AH894" s="2" t="n">
        <f aca="false">AD894+AE894+AG894</f>
        <v>7502.06366488439</v>
      </c>
      <c r="AI894" s="2" t="n">
        <f aca="false">Entrées!$C$16-M894+Hypothèses!$J$22*1000-AF894+Hypothèses!$J$23</f>
        <v>22717.8161949259</v>
      </c>
      <c r="AJ894" s="2" t="n">
        <f aca="false">AI894/AH894</f>
        <v>3.02820893153217</v>
      </c>
      <c r="AK894" s="2" t="n">
        <f aca="false">AI894/(AH894+I894*(12-Hypothèses!$J$24)/12/Hypothèses!$J$19)</f>
        <v>3.0003230695628</v>
      </c>
      <c r="AL894" s="2" t="n">
        <f aca="false">(AD894+AG894+I894/Hypothèses!$J$19)*(1+G894)</f>
        <v>7971.03767354792</v>
      </c>
      <c r="AM894" s="2" t="n">
        <f aca="false">Entrées!$C$54*K894/Hypothèses!$J$19</f>
        <v>20.5758654280919</v>
      </c>
      <c r="AN894" s="2" t="n">
        <f aca="false">Y894*1000/AC894</f>
        <v>44.2781235582069</v>
      </c>
      <c r="AO894" s="2" t="n">
        <f aca="false">(Entrées!$C$36*(1-S894)+MAX(0,Entrées!$C$30-Entrées!$C$35-Entrées!$C$36)*U894)*1000</f>
        <v>884.3051565059</v>
      </c>
      <c r="AP894" s="2" t="n">
        <f aca="false">-AO894/W894</f>
        <v>-85.3459690796846</v>
      </c>
      <c r="AQ894" s="2" t="n">
        <f aca="false">AL894+AM894+AN894+AP894</f>
        <v>7950.54569345453</v>
      </c>
      <c r="AR894" s="2" t="n">
        <f aca="false">O894*AQ894-Hypothèses!$J$25/Hypothèses!$J$19</f>
        <v>1157.00047020882</v>
      </c>
      <c r="AS894" s="2" t="n">
        <f aca="false">Entrées!$C$79*(1+Q894)+Hypothèses!$J$20</f>
        <v>1486.33835215895</v>
      </c>
      <c r="AT894" s="2" t="n">
        <f aca="false">AI894-AR894+AS894+Y894*1000-AO894+Hypothèses!$J$23</f>
        <v>22570.5025386541</v>
      </c>
      <c r="AU894" s="2" t="n">
        <f aca="false">AT894/AQ894</f>
        <v>2.83886206166148</v>
      </c>
      <c r="AV894" s="2" t="n">
        <f aca="false">Hypothèses!$J$26*AQ894-AT894</f>
        <v>1281.1345417095</v>
      </c>
      <c r="AW894" s="2" t="n">
        <f aca="false">IF(AC894&gt;Hypothèses!$J$26,MAX(0,AV894)/(1-Hypothèses!$J$26/AC894),0)</f>
        <v>1900.37319430714</v>
      </c>
      <c r="AX894" s="2" t="n">
        <f aca="false">AQ894-Entrées!$C$17*1000</f>
        <v>-49.45430654547</v>
      </c>
      <c r="AY894" s="2" t="n">
        <f aca="false">AI894+(Entrées!$C$244-Entrées!$C$13)</f>
        <v>28464.8161949259</v>
      </c>
      <c r="AZ894" s="2" t="n">
        <f aca="false">AA894*AH894</f>
        <v>5522.66621762365</v>
      </c>
      <c r="BA894" s="2" t="n">
        <f aca="false">AZ894/AY894</f>
        <v>0.194017280132942</v>
      </c>
      <c r="BB894" s="2" t="n">
        <f aca="false">AZ894/(Entrées!$C$151/100)-AY894</f>
        <v>2216.66279187215</v>
      </c>
      <c r="BC894" s="2" t="n">
        <f aca="false">AT894+(Entrées!$C$244-Entrées!$C$13)</f>
        <v>28317.5025386541</v>
      </c>
      <c r="BD894" s="2" t="n">
        <f aca="false">AA894*AQ894</f>
        <v>5852.817581173</v>
      </c>
      <c r="BE894" s="2" t="n">
        <f aca="false">BD894/BC894</f>
        <v>0.206685514486447</v>
      </c>
      <c r="BF894" s="2" t="n">
        <f aca="false">BD894/(Entrées!$C$151/100)-BC894</f>
        <v>4198.15069008481</v>
      </c>
      <c r="BG894" s="2" t="n">
        <f aca="false">MIN(AV894,BF894)</f>
        <v>1281.1345417095</v>
      </c>
      <c r="BH894" s="2" t="n">
        <f aca="false">IF(AC894&gt;Hypothèses!$J$26,MAX(0,BG894)/(1-Hypothèses!$J$26/AC894),0)</f>
        <v>1900.37319430714</v>
      </c>
    </row>
    <row r="895" customFormat="false" ht="15" hidden="false" customHeight="false" outlineLevel="0" collapsed="false">
      <c r="A895" s="2" t="n">
        <v>880</v>
      </c>
      <c r="B895" s="2" t="n">
        <v>0.128154653</v>
      </c>
      <c r="C895" s="2"/>
      <c r="D895" s="2" t="n">
        <v>0.030297917</v>
      </c>
      <c r="E895" s="2" t="n">
        <f aca="false">IF(E$7=E$5,E$6,IF(NORMSDIST(E$9*SQRT($C$11)*NORMSINV($B895)+SQRT(1-E$9^2*$C$11)*NORMSINV(D895))&lt;E$8,E$5+SQRT(NORMSDIST(E$9*SQRT($C$11)*NORMSINV($B895)+SQRT(1-E$9^2*$C$11)*NORMSINV(D895))*(E$7-E$5)*(E$6-E$5)),E$7-SQRT((1-NORMSDIST(E$9*SQRT($C$11)*NORMSINV($B895)+SQRT(1-E$9^2*$C$11)*NORMSINV(D895)))*(E$7-E$5)*(E$7-E$6))))</f>
        <v>0.0508645776120242</v>
      </c>
      <c r="F895" s="2" t="n">
        <v>0.090723377</v>
      </c>
      <c r="G895" s="2" t="n">
        <f aca="false">IF(G$7=G$5,G$6,IF(NORMSDIST(G$9*SQRT($C$11)*NORMSINV($B895)+SQRT(1-G$9^2*$C$11)*NORMSINV(F895))&lt;G$8,G$5+SQRT(NORMSDIST(G$9*SQRT($C$11)*NORMSINV($B895)+SQRT(1-G$9^2*$C$11)*NORMSINV(F895))*(G$7-G$5)*(G$6-G$5)),G$7-SQRT((1-NORMSDIST(G$9*SQRT($C$11)*NORMSINV($B895)+SQRT(1-G$9^2*$C$11)*NORMSINV(F895)))*(G$7-G$5)*(G$7-G$6))))</f>
        <v>0.0442318878102391</v>
      </c>
      <c r="H895" s="2" t="n">
        <v>0.908656473</v>
      </c>
      <c r="I895" s="2" t="n">
        <f aca="false">IF(I$7=I$5,I$6,IF(NORMSDIST(I$9*SQRT($C$11)*NORMSINV($B895)+SQRT(1-I$9^2*$C$11)*NORMSINV(H895))&lt;I$8,I$5+SQRT(NORMSDIST(I$9*SQRT($C$11)*NORMSINV($B895)+SQRT(1-I$9^2*$C$11)*NORMSINV(H895))*(I$7-I$5)*(I$6-I$5)),I$7-SQRT((1-NORMSDIST(I$9*SQRT($C$11)*NORMSINV($B895)+SQRT(1-I$9^2*$C$11)*NORMSINV(H895)))*(I$7-I$5)*(I$7-I$6))))</f>
        <v>202.640932517352</v>
      </c>
      <c r="J895" s="2" t="n">
        <v>0.94894891</v>
      </c>
      <c r="K895" s="2" t="n">
        <f aca="false">IF(K$7=K$5,K$6,IF(NORMSDIST(K$9*SQRT($C$11)*NORMSINV($B895)+SQRT(1-K$9^2*$C$11)*NORMSINV(J895))&lt;K$8,K$5+SQRT(NORMSDIST(K$9*SQRT($C$11)*NORMSINV($B895)+SQRT(1-K$9^2*$C$11)*NORMSINV(J895))*(K$7-K$5)*(K$6-K$5)),K$7-SQRT((1-NORMSDIST(K$9*SQRT($C$11)*NORMSINV($B895)+SQRT(1-K$9^2*$C$11)*NORMSINV(J895)))*(K$7-K$5)*(K$7-K$6))))</f>
        <v>0.309038034619614</v>
      </c>
      <c r="L895" s="2" t="n">
        <v>0.721474668</v>
      </c>
      <c r="M895" s="2" t="n">
        <f aca="false">IF(M$7=M$5,M$6,IF(NORMSDIST(M$9*SQRT($C$11)*NORMSINV($B895)+SQRT(1-M$9^2*$C$11)*NORMSINV(L895))&lt;M$8,M$5+SQRT(NORMSDIST(M$9*SQRT($C$11)*NORMSINV($B895)+SQRT(1-M$9^2*$C$11)*NORMSINV(L895))*(M$7-M$5)*(M$6-M$5)),M$7-SQRT((1-NORMSDIST(M$9*SQRT($C$11)*NORMSINV($B895)+SQRT(1-M$9^2*$C$11)*NORMSINV(L895)))*(M$7-M$5)*(M$7-M$6))))</f>
        <v>1554.37708640301</v>
      </c>
      <c r="N895" s="2" t="n">
        <v>0.117204779</v>
      </c>
      <c r="O895" s="2" t="n">
        <f aca="false">IF(O$7=O$5,O$6,IF(NORMSDIST(O$9*SQRT($C$11)*NORMSINV($B895)+SQRT(1-O$9^2*$C$11)*NORMSINV(N895))&lt;O$8,O$5+SQRT(NORMSDIST(O$9*SQRT($C$11)*NORMSINV($B895)+SQRT(1-O$9^2*$C$11)*NORMSINV(N895))*(O$7-O$5)*(O$6-O$5)),O$7-SQRT((1-NORMSDIST(O$9*SQRT($C$11)*NORMSINV($B895)+SQRT(1-O$9^2*$C$11)*NORMSINV(N895)))*(O$7-O$5)*(O$7-O$6))))</f>
        <v>0.148521302772755</v>
      </c>
      <c r="P895" s="2" t="n">
        <v>0.60028418</v>
      </c>
      <c r="Q895" s="2" t="n">
        <f aca="false">IF(Q$7=Q$5,Q$6,IF(NORMSDIST(Q$9*SQRT($C$11)*NORMSINV($B895)+SQRT(1-Q$9^2*$C$11)*NORMSINV(P895))&lt;Q$8,Q$5+SQRT(NORMSDIST(Q$9*SQRT($C$11)*NORMSINV($B895)+SQRT(1-Q$9^2*$C$11)*NORMSINV(P895))*(Q$7-Q$5)*(Q$6-Q$5)),Q$7-SQRT((1-NORMSDIST(Q$9*SQRT($C$11)*NORMSINV($B895)+SQRT(1-Q$9^2*$C$11)*NORMSINV(P895)))*(Q$7-Q$5)*(Q$7-Q$6))))</f>
        <v>0.0842356235340248</v>
      </c>
      <c r="R895" s="2" t="n">
        <v>0.564539896</v>
      </c>
      <c r="S895" s="2" t="n">
        <f aca="false">IF(S$7=S$5,S$6,IF(NORMSDIST(S$9*SQRT($C$11)*NORMSINV($B895)+SQRT(1-S$9^2*$C$11)*NORMSINV(R895))&lt;S$8,S$5+SQRT(NORMSDIST(S$9*SQRT($C$11)*NORMSINV($B895)+SQRT(1-S$9^2*$C$11)*NORMSINV(R895))*(S$7-S$5)*(S$6-S$5)),S$7-SQRT((1-NORMSDIST(S$9*SQRT($C$11)*NORMSINV($B895)+SQRT(1-S$9^2*$C$11)*NORMSINV(R895)))*(S$7-S$5)*(S$7-S$6))))</f>
        <v>0.372089346305187</v>
      </c>
      <c r="T895" s="2" t="n">
        <v>0.222971597</v>
      </c>
      <c r="U895" s="2" t="n">
        <f aca="false">IF(U$7=U$5,U$6,IF(NORMSDIST(U$9*SQRT($C$11)*NORMSINV($B895)+SQRT(1-U$9^2*$C$11)*NORMSINV(T895))&lt;U$8,U$5+SQRT(NORMSDIST(U$9*SQRT($C$11)*NORMSINV($B895)+SQRT(1-U$9^2*$C$11)*NORMSINV(T895))*(U$7-U$5)*(U$6-U$5)),U$7-SQRT((1-NORMSDIST(U$9*SQRT($C$11)*NORMSINV($B895)+SQRT(1-U$9^2*$C$11)*NORMSINV(T895)))*(U$7-U$5)*(U$7-U$6))))</f>
        <v>0.218381020227054</v>
      </c>
      <c r="V895" s="2" t="n">
        <v>0.869038103</v>
      </c>
      <c r="W895" s="2" t="n">
        <f aca="false">IF(W$7=W$5,W$6,IF(NORMSDIST(W$9*SQRT($C$11)*NORMSINV($B895)+SQRT(1-W$9^2*$C$11)*NORMSINV(V895))&lt;W$8,W$5+SQRT(NORMSDIST(W$9*SQRT($C$11)*NORMSINV($B895)+SQRT(1-W$9^2*$C$11)*NORMSINV(V895))*(W$7-W$5)*(W$6-W$5)),W$7-SQRT((1-NORMSDIST(W$9*SQRT($C$11)*NORMSINV($B895)+SQRT(1-W$9^2*$C$11)*NORMSINV(V895)))*(W$7-W$5)*(W$7-W$6))))</f>
        <v>10.1239008019846</v>
      </c>
      <c r="X895" s="2" t="n">
        <v>0.823900991</v>
      </c>
      <c r="Y895" s="2" t="n">
        <f aca="false">IF(Y$7=Y$5,Y$6,IF(NORMSDIST(Y$9*SQRT($C$11)*NORMSINV($B895)+SQRT(1-Y$9^2*$C$11)*NORMSINV(X895))&lt;Y$8,Y$5+SQRT(NORMSDIST(Y$9*SQRT($C$11)*NORMSINV($B895)+SQRT(1-Y$9^2*$C$11)*NORMSINV(X895))*(Y$7-Y$5)*(Y$6-Y$5)),Y$7-SQRT((1-NORMSDIST(Y$9*SQRT($C$11)*NORMSINV($B895)+SQRT(1-Y$9^2*$C$11)*NORMSINV(X895)))*(Y$7-Y$5)*(Y$7-Y$6))))</f>
        <v>0.703268632429937</v>
      </c>
      <c r="Z895" s="2" t="n">
        <v>0.87449491</v>
      </c>
      <c r="AA895" s="2" t="n">
        <f aca="false">IF(AA$7=AA$5,AA$6,IF(NORMSDIST(AA$9*SQRT($C$11)*NORMSINV($B895)+SQRT(1-AA$9^2*$C$11)*NORMSINV(Z895))&lt;AA$8,AA$5+SQRT(NORMSDIST(AA$9*SQRT($C$11)*NORMSINV($B895)+SQRT(1-AA$9^2*$C$11)*NORMSINV(Z895))*(AA$7-AA$5)*(AA$6-AA$5)),AA$7-SQRT((1-NORMSDIST(AA$9*SQRT($C$11)*NORMSINV($B895)+SQRT(1-AA$9^2*$C$11)*NORMSINV(Z895)))*(AA$7-AA$5)*(AA$7-AA$6))))</f>
        <v>0.730205486077859</v>
      </c>
      <c r="AB895" s="2" t="n">
        <v>0.936962267</v>
      </c>
      <c r="AC895" s="2" t="n">
        <f aca="false">IF(AC$7=AC$5,AC$6,IF(NORMSDIST(AC$9*SQRT($C$11)*NORMSINV($B895)+SQRT(1-AC$9^2*$C$11)*NORMSINV(AB895))&lt;AC$8,AC$5+SQRT(NORMSDIST(AC$9*SQRT($C$11)*NORMSINV($B895)+SQRT(1-AC$9^2*$C$11)*NORMSINV(AB895))*(AC$7-AC$5)*(AC$6-AC$5)),AC$7-SQRT((1-NORMSDIST(AC$9*SQRT($C$11)*NORMSINV($B895)+SQRT(1-AC$9^2*$C$11)*NORMSINV(AB895)))*(AC$7-AC$5)*(AC$7-AC$6))))</f>
        <v>9.82379402218611</v>
      </c>
      <c r="AD895" s="2" t="n">
        <f aca="false">Entrées!$C$8*(1+E895)</f>
        <v>7408.59527216477</v>
      </c>
      <c r="AE895" s="2" t="n">
        <f aca="false">I895*Hypothèses!$J$24/12/Hypothèses!$J$19</f>
        <v>100.529518044322</v>
      </c>
      <c r="AF895" s="2" t="n">
        <f aca="false">Entrées!$C$36*S895*1000</f>
        <v>186.044673152594</v>
      </c>
      <c r="AG895" s="2" t="n">
        <f aca="false">-AF895/W895</f>
        <v>-18.3767775674098</v>
      </c>
      <c r="AH895" s="2" t="n">
        <f aca="false">AD895+AE895+AG895</f>
        <v>7490.74801264168</v>
      </c>
      <c r="AI895" s="2" t="n">
        <f aca="false">Entrées!$C$16-M895+Hypothèses!$J$22*1000-AF895+Hypothèses!$J$23</f>
        <v>22807.5782404444</v>
      </c>
      <c r="AJ895" s="2" t="n">
        <f aca="false">AI895/AH895</f>
        <v>3.04476645082086</v>
      </c>
      <c r="AK895" s="2" t="n">
        <f aca="false">AI895/(AH895+I895*(12-Hypothèses!$J$24)/12/Hypothèses!$J$19)</f>
        <v>3.01585625621275</v>
      </c>
      <c r="AL895" s="2" t="n">
        <f aca="false">(AD895+AG895+I895/Hypothèses!$J$19)*(1+G895)</f>
        <v>7897.06088721453</v>
      </c>
      <c r="AM895" s="2" t="n">
        <f aca="false">Entrées!$C$54*K895/Hypothèses!$J$19</f>
        <v>31.5386289997882</v>
      </c>
      <c r="AN895" s="2" t="n">
        <f aca="false">Y895*1000/AC895</f>
        <v>71.5882917375579</v>
      </c>
      <c r="AO895" s="2" t="n">
        <f aca="false">(Entrées!$C$36*(1-S895)+MAX(0,Entrées!$C$30-Entrées!$C$35-Entrées!$C$36)*U895)*1000</f>
        <v>619.688755165282</v>
      </c>
      <c r="AP895" s="2" t="n">
        <f aca="false">-AO895/W895</f>
        <v>-61.210472848944</v>
      </c>
      <c r="AQ895" s="2" t="n">
        <f aca="false">AL895+AM895+AN895+AP895</f>
        <v>7938.97733510294</v>
      </c>
      <c r="AR895" s="2" t="n">
        <f aca="false">O895*AQ895-Hypothèses!$J$25/Hypothèses!$J$19</f>
        <v>1159.97209423123</v>
      </c>
      <c r="AS895" s="2" t="n">
        <f aca="false">Entrées!$C$79*(1+Q895)+Hypothèses!$J$20</f>
        <v>1486.57495026389</v>
      </c>
      <c r="AT895" s="2" t="n">
        <f aca="false">AI895-AR895+AS895+Y895*1000-AO895+Hypothèses!$J$23</f>
        <v>23217.7609737417</v>
      </c>
      <c r="AU895" s="2" t="n">
        <f aca="false">AT895/AQ895</f>
        <v>2.92452793272028</v>
      </c>
      <c r="AV895" s="2" t="n">
        <f aca="false">Hypothèses!$J$26*AQ895-AT895</f>
        <v>599.17103156709</v>
      </c>
      <c r="AW895" s="2" t="n">
        <f aca="false">IF(AC895&gt;Hypothèses!$J$26,MAX(0,AV895)/(1-Hypothèses!$J$26/AC895),0)</f>
        <v>862.589459622954</v>
      </c>
      <c r="AX895" s="2" t="n">
        <f aca="false">AQ895-Entrées!$C$17*1000</f>
        <v>-61.0226648970647</v>
      </c>
      <c r="AY895" s="2" t="n">
        <f aca="false">AI895+(Entrées!$C$244-Entrées!$C$13)</f>
        <v>28554.5782404444</v>
      </c>
      <c r="AZ895" s="2" t="n">
        <f aca="false">AA895*AH895</f>
        <v>5469.78529365778</v>
      </c>
      <c r="BA895" s="2" t="n">
        <f aca="false">AZ895/AY895</f>
        <v>0.191555457328045</v>
      </c>
      <c r="BB895" s="2" t="n">
        <f aca="false">AZ895/(Entrées!$C$151/100)-AY895</f>
        <v>1833.11783543213</v>
      </c>
      <c r="BC895" s="2" t="n">
        <f aca="false">AT895+(Entrées!$C$244-Entrées!$C$13)</f>
        <v>28964.7609737417</v>
      </c>
      <c r="BD895" s="2" t="n">
        <f aca="false">AA895*AQ895</f>
        <v>5797.08480393994</v>
      </c>
      <c r="BE895" s="2" t="n">
        <f aca="false">BD895/BC895</f>
        <v>0.200142677137759</v>
      </c>
      <c r="BF895" s="2" t="n">
        <f aca="false">BD895/(Entrées!$C$151/100)-BC895</f>
        <v>3241.26571481353</v>
      </c>
      <c r="BG895" s="2" t="n">
        <f aca="false">MIN(AV895,BF895)</f>
        <v>599.17103156709</v>
      </c>
      <c r="BH895" s="2" t="n">
        <f aca="false">IF(AC895&gt;Hypothèses!$J$26,MAX(0,BG895)/(1-Hypothèses!$J$26/AC895),0)</f>
        <v>862.589459622954</v>
      </c>
    </row>
    <row r="896" customFormat="false" ht="15" hidden="false" customHeight="false" outlineLevel="0" collapsed="false">
      <c r="A896" s="2" t="n">
        <v>881</v>
      </c>
      <c r="B896" s="2" t="n">
        <v>0.028876776</v>
      </c>
      <c r="C896" s="2"/>
      <c r="D896" s="2" t="n">
        <v>0.308354077</v>
      </c>
      <c r="E896" s="2" t="n">
        <f aca="false">IF(E$7=E$5,E$6,IF(NORMSDIST(E$9*SQRT($C$11)*NORMSINV($B896)+SQRT(1-E$9^2*$C$11)*NORMSINV(D896))&lt;E$8,E$5+SQRT(NORMSDIST(E$9*SQRT($C$11)*NORMSINV($B896)+SQRT(1-E$9^2*$C$11)*NORMSINV(D896))*(E$7-E$5)*(E$6-E$5)),E$7-SQRT((1-NORMSDIST(E$9*SQRT($C$11)*NORMSINV($B896)+SQRT(1-E$9^2*$C$11)*NORMSINV(D896)))*(E$7-E$5)*(E$7-E$6))))</f>
        <v>0.0516757498614754</v>
      </c>
      <c r="F896" s="2" t="n">
        <v>0.425262384</v>
      </c>
      <c r="G896" s="2" t="n">
        <f aca="false">IF(G$7=G$5,G$6,IF(NORMSDIST(G$9*SQRT($C$11)*NORMSINV($B896)+SQRT(1-G$9^2*$C$11)*NORMSINV(F896))&lt;G$8,G$5+SQRT(NORMSDIST(G$9*SQRT($C$11)*NORMSINV($B896)+SQRT(1-G$9^2*$C$11)*NORMSINV(F896))*(G$7-G$5)*(G$6-G$5)),G$7-SQRT((1-NORMSDIST(G$9*SQRT($C$11)*NORMSINV($B896)+SQRT(1-G$9^2*$C$11)*NORMSINV(F896)))*(G$7-G$5)*(G$7-G$6))))</f>
        <v>0.0463333285792401</v>
      </c>
      <c r="H896" s="2" t="n">
        <v>0.467730257</v>
      </c>
      <c r="I896" s="2" t="n">
        <f aca="false">IF(I$7=I$5,I$6,IF(NORMSDIST(I$9*SQRT($C$11)*NORMSINV($B896)+SQRT(1-I$9^2*$C$11)*NORMSINV(H896))&lt;I$8,I$5+SQRT(NORMSDIST(I$9*SQRT($C$11)*NORMSINV($B896)+SQRT(1-I$9^2*$C$11)*NORMSINV(H896))*(I$7-I$5)*(I$6-I$5)),I$7-SQRT((1-NORMSDIST(I$9*SQRT($C$11)*NORMSINV($B896)+SQRT(1-I$9^2*$C$11)*NORMSINV(H896)))*(I$7-I$5)*(I$7-I$6))))</f>
        <v>189.091610086696</v>
      </c>
      <c r="J896" s="2" t="n">
        <v>0.601744096</v>
      </c>
      <c r="K896" s="2" t="n">
        <f aca="false">IF(K$7=K$5,K$6,IF(NORMSDIST(K$9*SQRT($C$11)*NORMSINV($B896)+SQRT(1-K$9^2*$C$11)*NORMSINV(J896))&lt;K$8,K$5+SQRT(NORMSDIST(K$9*SQRT($C$11)*NORMSINV($B896)+SQRT(1-K$9^2*$C$11)*NORMSINV(J896))*(K$7-K$5)*(K$6-K$5)),K$7-SQRT((1-NORMSDIST(K$9*SQRT($C$11)*NORMSINV($B896)+SQRT(1-K$9^2*$C$11)*NORMSINV(J896)))*(K$7-K$5)*(K$7-K$6))))</f>
        <v>0.140784552538265</v>
      </c>
      <c r="L896" s="2" t="n">
        <v>0.672569384</v>
      </c>
      <c r="M896" s="2" t="n">
        <f aca="false">IF(M$7=M$5,M$6,IF(NORMSDIST(M$9*SQRT($C$11)*NORMSINV($B896)+SQRT(1-M$9^2*$C$11)*NORMSINV(L896))&lt;M$8,M$5+SQRT(NORMSDIST(M$9*SQRT($C$11)*NORMSINV($B896)+SQRT(1-M$9^2*$C$11)*NORMSINV(L896))*(M$7-M$5)*(M$6-M$5)),M$7-SQRT((1-NORMSDIST(M$9*SQRT($C$11)*NORMSINV($B896)+SQRT(1-M$9^2*$C$11)*NORMSINV(L896)))*(M$7-M$5)*(M$7-M$6))))</f>
        <v>1480.12012244622</v>
      </c>
      <c r="N896" s="2" t="n">
        <v>0.771868231</v>
      </c>
      <c r="O896" s="2" t="n">
        <f aca="false">IF(O$7=O$5,O$6,IF(NORMSDIST(O$9*SQRT($C$11)*NORMSINV($B896)+SQRT(1-O$9^2*$C$11)*NORMSINV(N896))&lt;O$8,O$5+SQRT(NORMSDIST(O$9*SQRT($C$11)*NORMSINV($B896)+SQRT(1-O$9^2*$C$11)*NORMSINV(N896))*(O$7-O$5)*(O$6-O$5)),O$7-SQRT((1-NORMSDIST(O$9*SQRT($C$11)*NORMSINV($B896)+SQRT(1-O$9^2*$C$11)*NORMSINV(N896)))*(O$7-O$5)*(O$7-O$6))))</f>
        <v>0.159559253969779</v>
      </c>
      <c r="P896" s="2" t="n">
        <v>0.37400926</v>
      </c>
      <c r="Q896" s="2" t="n">
        <f aca="false">IF(Q$7=Q$5,Q$6,IF(NORMSDIST(Q$9*SQRT($C$11)*NORMSINV($B896)+SQRT(1-Q$9^2*$C$11)*NORMSINV(P896))&lt;Q$8,Q$5+SQRT(NORMSDIST(Q$9*SQRT($C$11)*NORMSINV($B896)+SQRT(1-Q$9^2*$C$11)*NORMSINV(P896))*(Q$7-Q$5)*(Q$6-Q$5)),Q$7-SQRT((1-NORMSDIST(Q$9*SQRT($C$11)*NORMSINV($B896)+SQRT(1-Q$9^2*$C$11)*NORMSINV(P896)))*(Q$7-Q$5)*(Q$7-Q$6))))</f>
        <v>0.0745952255665431</v>
      </c>
      <c r="R896" s="2" t="n">
        <v>0.452491202</v>
      </c>
      <c r="S896" s="2" t="n">
        <f aca="false">IF(S$7=S$5,S$6,IF(NORMSDIST(S$9*SQRT($C$11)*NORMSINV($B896)+SQRT(1-S$9^2*$C$11)*NORMSINV(R896))&lt;S$8,S$5+SQRT(NORMSDIST(S$9*SQRT($C$11)*NORMSINV($B896)+SQRT(1-S$9^2*$C$11)*NORMSINV(R896))*(S$7-S$5)*(S$6-S$5)),S$7-SQRT((1-NORMSDIST(S$9*SQRT($C$11)*NORMSINV($B896)+SQRT(1-S$9^2*$C$11)*NORMSINV(R896)))*(S$7-S$5)*(S$7-S$6))))</f>
        <v>0.221446107351922</v>
      </c>
      <c r="T896" s="2" t="n">
        <v>0.35393088</v>
      </c>
      <c r="U896" s="2" t="n">
        <f aca="false">IF(U$7=U$5,U$6,IF(NORMSDIST(U$9*SQRT($C$11)*NORMSINV($B896)+SQRT(1-U$9^2*$C$11)*NORMSINV(T896))&lt;U$8,U$5+SQRT(NORMSDIST(U$9*SQRT($C$11)*NORMSINV($B896)+SQRT(1-U$9^2*$C$11)*NORMSINV(T896))*(U$7-U$5)*(U$6-U$5)),U$7-SQRT((1-NORMSDIST(U$9*SQRT($C$11)*NORMSINV($B896)+SQRT(1-U$9^2*$C$11)*NORMSINV(T896)))*(U$7-U$5)*(U$7-U$6))))</f>
        <v>0.184473581264661</v>
      </c>
      <c r="V896" s="2" t="n">
        <v>0.494898697</v>
      </c>
      <c r="W896" s="2" t="n">
        <f aca="false">IF(W$7=W$5,W$6,IF(NORMSDIST(W$9*SQRT($C$11)*NORMSINV($B896)+SQRT(1-W$9^2*$C$11)*NORMSINV(V896))&lt;W$8,W$5+SQRT(NORMSDIST(W$9*SQRT($C$11)*NORMSINV($B896)+SQRT(1-W$9^2*$C$11)*NORMSINV(V896))*(W$7-W$5)*(W$6-W$5)),W$7-SQRT((1-NORMSDIST(W$9*SQRT($C$11)*NORMSINV($B896)+SQRT(1-W$9^2*$C$11)*NORMSINV(V896)))*(W$7-W$5)*(W$7-W$6))))</f>
        <v>8.95135151272382</v>
      </c>
      <c r="X896" s="2" t="n">
        <v>0.793245418</v>
      </c>
      <c r="Y896" s="2" t="n">
        <f aca="false">IF(Y$7=Y$5,Y$6,IF(NORMSDIST(Y$9*SQRT($C$11)*NORMSINV($B896)+SQRT(1-Y$9^2*$C$11)*NORMSINV(X896))&lt;Y$8,Y$5+SQRT(NORMSDIST(Y$9*SQRT($C$11)*NORMSINV($B896)+SQRT(1-Y$9^2*$C$11)*NORMSINV(X896))*(Y$7-Y$5)*(Y$6-Y$5)),Y$7-SQRT((1-NORMSDIST(Y$9*SQRT($C$11)*NORMSINV($B896)+SQRT(1-Y$9^2*$C$11)*NORMSINV(X896)))*(Y$7-Y$5)*(Y$7-Y$6))))</f>
        <v>0.678476608938012</v>
      </c>
      <c r="Z896" s="2" t="n">
        <v>0.478584169</v>
      </c>
      <c r="AA896" s="2" t="n">
        <f aca="false">IF(AA$7=AA$5,AA$6,IF(NORMSDIST(AA$9*SQRT($C$11)*NORMSINV($B896)+SQRT(1-AA$9^2*$C$11)*NORMSINV(Z896))&lt;AA$8,AA$5+SQRT(NORMSDIST(AA$9*SQRT($C$11)*NORMSINV($B896)+SQRT(1-AA$9^2*$C$11)*NORMSINV(Z896))*(AA$7-AA$5)*(AA$6-AA$5)),AA$7-SQRT((1-NORMSDIST(AA$9*SQRT($C$11)*NORMSINV($B896)+SQRT(1-AA$9^2*$C$11)*NORMSINV(Z896)))*(AA$7-AA$5)*(AA$7-AA$6))))</f>
        <v>0.710473059510043</v>
      </c>
      <c r="AB896" s="2" t="n">
        <v>0.175381852</v>
      </c>
      <c r="AC896" s="2" t="n">
        <f aca="false">IF(AC$7=AC$5,AC$6,IF(NORMSDIST(AC$9*SQRT($C$11)*NORMSINV($B896)+SQRT(1-AC$9^2*$C$11)*NORMSINV(AB896))&lt;AC$8,AC$5+SQRT(NORMSDIST(AC$9*SQRT($C$11)*NORMSINV($B896)+SQRT(1-AC$9^2*$C$11)*NORMSINV(AB896))*(AC$7-AC$5)*(AC$6-AC$5)),AC$7-SQRT((1-NORMSDIST(AC$9*SQRT($C$11)*NORMSINV($B896)+SQRT(1-AC$9^2*$C$11)*NORMSINV(AB896)))*(AC$7-AC$5)*(AC$7-AC$6))))</f>
        <v>7.8851842815441</v>
      </c>
      <c r="AD896" s="2" t="n">
        <f aca="false">Entrées!$C$8*(1+E896)</f>
        <v>7414.3140365234</v>
      </c>
      <c r="AE896" s="2" t="n">
        <f aca="false">I896*Hypothèses!$J$24/12/Hypothèses!$J$19</f>
        <v>93.8077425527678</v>
      </c>
      <c r="AF896" s="2" t="n">
        <f aca="false">Entrées!$C$36*S896*1000</f>
        <v>110.723053675961</v>
      </c>
      <c r="AG896" s="2" t="n">
        <f aca="false">-AF896/W896</f>
        <v>-12.3694230439476</v>
      </c>
      <c r="AH896" s="2" t="n">
        <f aca="false">AD896+AE896+AG896</f>
        <v>7495.75235603222</v>
      </c>
      <c r="AI896" s="2" t="n">
        <f aca="false">Entrées!$C$16-M896+Hypothèses!$J$22*1000-AF896+Hypothèses!$J$23</f>
        <v>22957.1568238778</v>
      </c>
      <c r="AJ896" s="2" t="n">
        <f aca="false">AI896/AH896</f>
        <v>3.06268880473392</v>
      </c>
      <c r="AK896" s="2" t="n">
        <f aca="false">AI896/(AH896+I896*(12-Hypothèses!$J$24)/12/Hypothèses!$J$19)</f>
        <v>3.03555358622272</v>
      </c>
      <c r="AL896" s="2" t="n">
        <f aca="false">(AD896+AG896+I896/Hypothèses!$J$19)*(1+G896)</f>
        <v>7913.16563254412</v>
      </c>
      <c r="AM896" s="2" t="n">
        <f aca="false">Entrées!$C$54*K896/Hypothèses!$J$19</f>
        <v>14.3676547026672</v>
      </c>
      <c r="AN896" s="2" t="n">
        <f aca="false">Y896*1000/AC896</f>
        <v>86.044483516516</v>
      </c>
      <c r="AO896" s="2" t="n">
        <f aca="false">(Entrées!$C$36*(1-S896)+MAX(0,Entrées!$C$30-Entrées!$C$35-Entrées!$C$36)*U896)*1000</f>
        <v>647.539960094565</v>
      </c>
      <c r="AP896" s="2" t="n">
        <f aca="false">-AO896/W896</f>
        <v>-72.3399096967787</v>
      </c>
      <c r="AQ896" s="2" t="n">
        <f aca="false">AL896+AM896+AN896+AP896</f>
        <v>7941.23786106653</v>
      </c>
      <c r="AR896" s="2" t="n">
        <f aca="false">O896*AQ896-Hypothèses!$J$25/Hypothèses!$J$19</f>
        <v>1247.96282644671</v>
      </c>
      <c r="AS896" s="2" t="n">
        <f aca="false">Entrées!$C$79*(1+Q896)+Hypothèses!$J$20</f>
        <v>1475.98015289763</v>
      </c>
      <c r="AT896" s="2" t="n">
        <f aca="false">AI896-AR896+AS896+Y896*1000-AO896+Hypothèses!$J$23</f>
        <v>23216.1107991722</v>
      </c>
      <c r="AU896" s="2" t="n">
        <f aca="false">AT896/AQ896</f>
        <v>2.92348764831661</v>
      </c>
      <c r="AV896" s="2" t="n">
        <f aca="false">Hypothèses!$J$26*AQ896-AT896</f>
        <v>607.602784027389</v>
      </c>
      <c r="AW896" s="2" t="n">
        <f aca="false">IF(AC896&gt;Hypothèses!$J$26,MAX(0,AV896)/(1-Hypothèses!$J$26/AC896),0)</f>
        <v>980.732690092267</v>
      </c>
      <c r="AX896" s="2" t="n">
        <f aca="false">AQ896-Entrées!$C$17*1000</f>
        <v>-58.7621389334736</v>
      </c>
      <c r="AY896" s="2" t="n">
        <f aca="false">AI896+(Entrées!$C$244-Entrées!$C$13)</f>
        <v>28704.1568238778</v>
      </c>
      <c r="AZ896" s="2" t="n">
        <f aca="false">AA896*AH896</f>
        <v>5325.53010971983</v>
      </c>
      <c r="BA896" s="2" t="n">
        <f aca="false">AZ896/AY896</f>
        <v>0.185531668545294</v>
      </c>
      <c r="BB896" s="2" t="n">
        <f aca="false">AZ896/(Entrées!$C$151/100)-AY896</f>
        <v>882.121563454555</v>
      </c>
      <c r="BC896" s="2" t="n">
        <f aca="false">AT896+(Entrées!$C$244-Entrées!$C$13)</f>
        <v>28963.1107991722</v>
      </c>
      <c r="BD896" s="2" t="n">
        <f aca="false">AA896*AQ896</f>
        <v>5642.03555944893</v>
      </c>
      <c r="BE896" s="2" t="n">
        <f aca="false">BD896/BC896</f>
        <v>0.194800744939669</v>
      </c>
      <c r="BF896" s="2" t="n">
        <f aca="false">BD896/(Entrées!$C$151/100)-BC896</f>
        <v>2381.53119776629</v>
      </c>
      <c r="BG896" s="2" t="n">
        <f aca="false">MIN(AV896,BF896)</f>
        <v>607.602784027389</v>
      </c>
      <c r="BH896" s="2" t="n">
        <f aca="false">IF(AC896&gt;Hypothèses!$J$26,MAX(0,BG896)/(1-Hypothèses!$J$26/AC896),0)</f>
        <v>980.732690092267</v>
      </c>
    </row>
    <row r="897" customFormat="false" ht="15" hidden="false" customHeight="false" outlineLevel="0" collapsed="false">
      <c r="A897" s="2" t="n">
        <v>882</v>
      </c>
      <c r="B897" s="2" t="n">
        <v>0.56610327</v>
      </c>
      <c r="C897" s="2"/>
      <c r="D897" s="2" t="n">
        <v>0.47036926</v>
      </c>
      <c r="E897" s="2" t="n">
        <f aca="false">IF(E$7=E$5,E$6,IF(NORMSDIST(E$9*SQRT($C$11)*NORMSINV($B897)+SQRT(1-E$9^2*$C$11)*NORMSINV(D897))&lt;E$8,E$5+SQRT(NORMSDIST(E$9*SQRT($C$11)*NORMSINV($B897)+SQRT(1-E$9^2*$C$11)*NORMSINV(D897))*(E$7-E$5)*(E$6-E$5)),E$7-SQRT((1-NORMSDIST(E$9*SQRT($C$11)*NORMSINV($B897)+SQRT(1-E$9^2*$C$11)*NORMSINV(D897)))*(E$7-E$5)*(E$7-E$6))))</f>
        <v>0.0550960236410878</v>
      </c>
      <c r="F897" s="2" t="n">
        <v>0.198585677</v>
      </c>
      <c r="G897" s="2" t="n">
        <f aca="false">IF(G$7=G$5,G$6,IF(NORMSDIST(G$9*SQRT($C$11)*NORMSINV($B897)+SQRT(1-G$9^2*$C$11)*NORMSINV(F897))&lt;G$8,G$5+SQRT(NORMSDIST(G$9*SQRT($C$11)*NORMSINV($B897)+SQRT(1-G$9^2*$C$11)*NORMSINV(F897))*(G$7-G$5)*(G$6-G$5)),G$7-SQRT((1-NORMSDIST(G$9*SQRT($C$11)*NORMSINV($B897)+SQRT(1-G$9^2*$C$11)*NORMSINV(F897)))*(G$7-G$5)*(G$7-G$6))))</f>
        <v>0.0514427113672196</v>
      </c>
      <c r="H897" s="2" t="n">
        <v>0.962833662</v>
      </c>
      <c r="I897" s="2" t="n">
        <f aca="false">IF(I$7=I$5,I$6,IF(NORMSDIST(I$9*SQRT($C$11)*NORMSINV($B897)+SQRT(1-I$9^2*$C$11)*NORMSINV(H897))&lt;I$8,I$5+SQRT(NORMSDIST(I$9*SQRT($C$11)*NORMSINV($B897)+SQRT(1-I$9^2*$C$11)*NORMSINV(H897))*(I$7-I$5)*(I$6-I$5)),I$7-SQRT((1-NORMSDIST(I$9*SQRT($C$11)*NORMSINV($B897)+SQRT(1-I$9^2*$C$11)*NORMSINV(H897)))*(I$7-I$5)*(I$7-I$6))))</f>
        <v>212.601136511611</v>
      </c>
      <c r="J897" s="2" t="n">
        <v>0.095480715</v>
      </c>
      <c r="K897" s="2" t="n">
        <f aca="false">IF(K$7=K$5,K$6,IF(NORMSDIST(K$9*SQRT($C$11)*NORMSINV($B897)+SQRT(1-K$9^2*$C$11)*NORMSINV(J897))&lt;K$8,K$5+SQRT(NORMSDIST(K$9*SQRT($C$11)*NORMSINV($B897)+SQRT(1-K$9^2*$C$11)*NORMSINV(J897))*(K$7-K$5)*(K$6-K$5)),K$7-SQRT((1-NORMSDIST(K$9*SQRT($C$11)*NORMSINV($B897)+SQRT(1-K$9^2*$C$11)*NORMSINV(J897)))*(K$7-K$5)*(K$7-K$6))))</f>
        <v>0.15083957668054</v>
      </c>
      <c r="L897" s="2" t="n">
        <v>0.644498275</v>
      </c>
      <c r="M897" s="2" t="n">
        <f aca="false">IF(M$7=M$5,M$6,IF(NORMSDIST(M$9*SQRT($C$11)*NORMSINV($B897)+SQRT(1-M$9^2*$C$11)*NORMSINV(L897))&lt;M$8,M$5+SQRT(NORMSDIST(M$9*SQRT($C$11)*NORMSINV($B897)+SQRT(1-M$9^2*$C$11)*NORMSINV(L897))*(M$7-M$5)*(M$6-M$5)),M$7-SQRT((1-NORMSDIST(M$9*SQRT($C$11)*NORMSINV($B897)+SQRT(1-M$9^2*$C$11)*NORMSINV(L897)))*(M$7-M$5)*(M$7-M$6))))</f>
        <v>1625.53765308341</v>
      </c>
      <c r="N897" s="2" t="n">
        <v>0.625493823</v>
      </c>
      <c r="O897" s="2" t="n">
        <f aca="false">IF(O$7=O$5,O$6,IF(NORMSDIST(O$9*SQRT($C$11)*NORMSINV($B897)+SQRT(1-O$9^2*$C$11)*NORMSINV(N897))&lt;O$8,O$5+SQRT(NORMSDIST(O$9*SQRT($C$11)*NORMSINV($B897)+SQRT(1-O$9^2*$C$11)*NORMSINV(N897))*(O$7-O$5)*(O$6-O$5)),O$7-SQRT((1-NORMSDIST(O$9*SQRT($C$11)*NORMSINV($B897)+SQRT(1-O$9^2*$C$11)*NORMSINV(N897)))*(O$7-O$5)*(O$7-O$6))))</f>
        <v>0.170363281806077</v>
      </c>
      <c r="P897" s="2" t="n">
        <v>0.32356241</v>
      </c>
      <c r="Q897" s="2" t="n">
        <f aca="false">IF(Q$7=Q$5,Q$6,IF(NORMSDIST(Q$9*SQRT($C$11)*NORMSINV($B897)+SQRT(1-Q$9^2*$C$11)*NORMSINV(P897))&lt;Q$8,Q$5+SQRT(NORMSDIST(Q$9*SQRT($C$11)*NORMSINV($B897)+SQRT(1-Q$9^2*$C$11)*NORMSINV(P897))*(Q$7-Q$5)*(Q$6-Q$5)),Q$7-SQRT((1-NORMSDIST(Q$9*SQRT($C$11)*NORMSINV($B897)+SQRT(1-Q$9^2*$C$11)*NORMSINV(P897)))*(Q$7-Q$5)*(Q$7-Q$6))))</f>
        <v>0.0721776275073225</v>
      </c>
      <c r="R897" s="2" t="n">
        <v>0.960770276</v>
      </c>
      <c r="S897" s="2" t="n">
        <f aca="false">IF(S$7=S$5,S$6,IF(NORMSDIST(S$9*SQRT($C$11)*NORMSINV($B897)+SQRT(1-S$9^2*$C$11)*NORMSINV(R897))&lt;S$8,S$5+SQRT(NORMSDIST(S$9*SQRT($C$11)*NORMSINV($B897)+SQRT(1-S$9^2*$C$11)*NORMSINV(R897))*(S$7-S$5)*(S$6-S$5)),S$7-SQRT((1-NORMSDIST(S$9*SQRT($C$11)*NORMSINV($B897)+SQRT(1-S$9^2*$C$11)*NORMSINV(R897)))*(S$7-S$5)*(S$7-S$6))))</f>
        <v>0.811576599693235</v>
      </c>
      <c r="T897" s="2" t="n">
        <v>0.60458565</v>
      </c>
      <c r="U897" s="2" t="n">
        <f aca="false">IF(U$7=U$5,U$6,IF(NORMSDIST(U$9*SQRT($C$11)*NORMSINV($B897)+SQRT(1-U$9^2*$C$11)*NORMSINV(T897))&lt;U$8,U$5+SQRT(NORMSDIST(U$9*SQRT($C$11)*NORMSINV($B897)+SQRT(1-U$9^2*$C$11)*NORMSINV(T897))*(U$7-U$5)*(U$6-U$5)),U$7-SQRT((1-NORMSDIST(U$9*SQRT($C$11)*NORMSINV($B897)+SQRT(1-U$9^2*$C$11)*NORMSINV(T897)))*(U$7-U$5)*(U$7-U$6))))</f>
        <v>0.565256924224301</v>
      </c>
      <c r="V897" s="2" t="n">
        <v>0.224871876</v>
      </c>
      <c r="W897" s="2" t="n">
        <f aca="false">IF(W$7=W$5,W$6,IF(NORMSDIST(W$9*SQRT($C$11)*NORMSINV($B897)+SQRT(1-W$9^2*$C$11)*NORMSINV(V897))&lt;W$8,W$5+SQRT(NORMSDIST(W$9*SQRT($C$11)*NORMSINV($B897)+SQRT(1-W$9^2*$C$11)*NORMSINV(V897))*(W$7-W$5)*(W$6-W$5)),W$7-SQRT((1-NORMSDIST(W$9*SQRT($C$11)*NORMSINV($B897)+SQRT(1-W$9^2*$C$11)*NORMSINV(V897)))*(W$7-W$5)*(W$7-W$6))))</f>
        <v>9.58882351362325</v>
      </c>
      <c r="X897" s="2" t="n">
        <v>0.549077689</v>
      </c>
      <c r="Y897" s="2" t="n">
        <f aca="false">IF(Y$7=Y$5,Y$6,IF(NORMSDIST(Y$9*SQRT($C$11)*NORMSINV($B897)+SQRT(1-Y$9^2*$C$11)*NORMSINV(X897))&lt;Y$8,Y$5+SQRT(NORMSDIST(Y$9*SQRT($C$11)*NORMSINV($B897)+SQRT(1-Y$9^2*$C$11)*NORMSINV(X897))*(Y$7-Y$5)*(Y$6-Y$5)),Y$7-SQRT((1-NORMSDIST(Y$9*SQRT($C$11)*NORMSINV($B897)+SQRT(1-Y$9^2*$C$11)*NORMSINV(X897)))*(Y$7-Y$5)*(Y$7-Y$6))))</f>
        <v>0.525172499216821</v>
      </c>
      <c r="Z897" s="2" t="n">
        <v>0.34119669</v>
      </c>
      <c r="AA897" s="2" t="n">
        <f aca="false">IF(AA$7=AA$5,AA$6,IF(NORMSDIST(AA$9*SQRT($C$11)*NORMSINV($B897)+SQRT(1-AA$9^2*$C$11)*NORMSINV(Z897))&lt;AA$8,AA$5+SQRT(NORMSDIST(AA$9*SQRT($C$11)*NORMSINV($B897)+SQRT(1-AA$9^2*$C$11)*NORMSINV(Z897))*(AA$7-AA$5)*(AA$6-AA$5)),AA$7-SQRT((1-NORMSDIST(AA$9*SQRT($C$11)*NORMSINV($B897)+SQRT(1-AA$9^2*$C$11)*NORMSINV(Z897)))*(AA$7-AA$5)*(AA$7-AA$6))))</f>
        <v>0.725181869150966</v>
      </c>
      <c r="AB897" s="2" t="n">
        <v>0.898588085</v>
      </c>
      <c r="AC897" s="2" t="n">
        <f aca="false">IF(AC$7=AC$5,AC$6,IF(NORMSDIST(AC$9*SQRT($C$11)*NORMSINV($B897)+SQRT(1-AC$9^2*$C$11)*NORMSINV(AB897))&lt;AC$8,AC$5+SQRT(NORMSDIST(AC$9*SQRT($C$11)*NORMSINV($B897)+SQRT(1-AC$9^2*$C$11)*NORMSINV(AB897))*(AC$7-AC$5)*(AC$6-AC$5)),AC$7-SQRT((1-NORMSDIST(AC$9*SQRT($C$11)*NORMSINV($B897)+SQRT(1-AC$9^2*$C$11)*NORMSINV(AB897)))*(AC$7-AC$5)*(AC$7-AC$6))))</f>
        <v>10.2293754106893</v>
      </c>
      <c r="AD897" s="2" t="n">
        <f aca="false">Entrées!$C$8*(1+E897)</f>
        <v>7438.42696666967</v>
      </c>
      <c r="AE897" s="2" t="n">
        <f aca="false">I897*Hypothèses!$J$24/12/Hypothèses!$J$19</f>
        <v>105.470743367001</v>
      </c>
      <c r="AF897" s="2" t="n">
        <f aca="false">Entrées!$C$36*S897*1000</f>
        <v>405.788299846618</v>
      </c>
      <c r="AG897" s="2" t="n">
        <f aca="false">-AF897/W897</f>
        <v>-42.3188829443046</v>
      </c>
      <c r="AH897" s="2" t="n">
        <f aca="false">AD897+AE897+AG897</f>
        <v>7501.57882709237</v>
      </c>
      <c r="AI897" s="2" t="n">
        <f aca="false">Entrées!$C$16-M897+Hypothèses!$J$22*1000-AF897+Hypothèses!$J$23</f>
        <v>22516.67404707</v>
      </c>
      <c r="AJ897" s="2" t="n">
        <f aca="false">AI897/AH897</f>
        <v>3.00159134044553</v>
      </c>
      <c r="AK897" s="2" t="n">
        <f aca="false">AI897/(AH897+I897*(12-Hypothèses!$J$24)/12/Hypothèses!$J$19)</f>
        <v>2.97174692233589</v>
      </c>
      <c r="AL897" s="2" t="n">
        <f aca="false">(AD897+AG897+I897/Hypothèses!$J$19)*(1+G897)</f>
        <v>7966.69212747558</v>
      </c>
      <c r="AM897" s="2" t="n">
        <f aca="false">Entrées!$C$54*K897/Hypothèses!$J$19</f>
        <v>15.3938121347045</v>
      </c>
      <c r="AN897" s="2" t="n">
        <f aca="false">Y897*1000/AC897</f>
        <v>51.3396447126218</v>
      </c>
      <c r="AO897" s="2" t="n">
        <f aca="false">(Entrées!$C$36*(1-S897)+MAX(0,Entrées!$C$30-Entrées!$C$35-Entrées!$C$36)*U897)*1000</f>
        <v>885.571394067404</v>
      </c>
      <c r="AP897" s="2" t="n">
        <f aca="false">-AO897/W897</f>
        <v>-92.3545409725432</v>
      </c>
      <c r="AQ897" s="2" t="n">
        <f aca="false">AL897+AM897+AN897+AP897</f>
        <v>7941.07104335036</v>
      </c>
      <c r="AR897" s="2" t="n">
        <f aca="false">O897*AQ897-Hypothèses!$J$25/Hypothèses!$J$19</f>
        <v>1333.73176173875</v>
      </c>
      <c r="AS897" s="2" t="n">
        <f aca="false">Entrées!$C$79*(1+Q897)+Hypothèses!$J$20</f>
        <v>1473.32321263055</v>
      </c>
      <c r="AT897" s="2" t="n">
        <f aca="false">AI897-AR897+AS897+Y897*1000-AO897+Hypothèses!$J$23</f>
        <v>22295.8666031112</v>
      </c>
      <c r="AU897" s="2" t="n">
        <f aca="false">AT897/AQ897</f>
        <v>2.8076649209405</v>
      </c>
      <c r="AV897" s="2" t="n">
        <f aca="false">Hypothèses!$J$26*AQ897-AT897</f>
        <v>1527.3465269399</v>
      </c>
      <c r="AW897" s="2" t="n">
        <f aca="false">IF(AC897&gt;Hypothèses!$J$26,MAX(0,AV897)/(1-Hypothèses!$J$26/AC897),0)</f>
        <v>2161.15502636361</v>
      </c>
      <c r="AX897" s="2" t="n">
        <f aca="false">AQ897-Entrées!$C$17*1000</f>
        <v>-58.9289566496382</v>
      </c>
      <c r="AY897" s="2" t="n">
        <f aca="false">AI897+(Entrées!$C$244-Entrées!$C$13)</f>
        <v>28263.67404707</v>
      </c>
      <c r="AZ897" s="2" t="n">
        <f aca="false">AA897*AH897</f>
        <v>5440.00895541416</v>
      </c>
      <c r="BA897" s="2" t="n">
        <f aca="false">AZ897/AY897</f>
        <v>0.192473524367513</v>
      </c>
      <c r="BB897" s="2" t="n">
        <f aca="false">AZ897/(Entrées!$C$151/100)-AY897</f>
        <v>1958.59792745312</v>
      </c>
      <c r="BC897" s="2" t="n">
        <f aca="false">AT897+(Entrées!$C$244-Entrées!$C$13)</f>
        <v>28042.8666031112</v>
      </c>
      <c r="BD897" s="2" t="n">
        <f aca="false">AA897*AQ897</f>
        <v>5758.72074227743</v>
      </c>
      <c r="BE897" s="2" t="n">
        <f aca="false">BD897/BC897</f>
        <v>0.205354210886505</v>
      </c>
      <c r="BF897" s="2" t="n">
        <f aca="false">BD897/(Entrées!$C$151/100)-BC897</f>
        <v>3950.0264095412</v>
      </c>
      <c r="BG897" s="2" t="n">
        <f aca="false">MIN(AV897,BF897)</f>
        <v>1527.3465269399</v>
      </c>
      <c r="BH897" s="2" t="n">
        <f aca="false">IF(AC897&gt;Hypothèses!$J$26,MAX(0,BG897)/(1-Hypothèses!$J$26/AC897),0)</f>
        <v>2161.15502636361</v>
      </c>
    </row>
    <row r="898" customFormat="false" ht="15" hidden="false" customHeight="false" outlineLevel="0" collapsed="false">
      <c r="A898" s="2" t="n">
        <v>883</v>
      </c>
      <c r="B898" s="2" t="n">
        <v>0.522158108</v>
      </c>
      <c r="C898" s="2"/>
      <c r="D898" s="2" t="n">
        <v>0.262910755</v>
      </c>
      <c r="E898" s="2" t="n">
        <f aca="false">IF(E$7=E$5,E$6,IF(NORMSDIST(E$9*SQRT($C$11)*NORMSINV($B898)+SQRT(1-E$9^2*$C$11)*NORMSINV(D898))&lt;E$8,E$5+SQRT(NORMSDIST(E$9*SQRT($C$11)*NORMSINV($B898)+SQRT(1-E$9^2*$C$11)*NORMSINV(D898))*(E$7-E$5)*(E$6-E$5)),E$7-SQRT((1-NORMSDIST(E$9*SQRT($C$11)*NORMSINV($B898)+SQRT(1-E$9^2*$C$11)*NORMSINV(D898)))*(E$7-E$5)*(E$7-E$6))))</f>
        <v>0.0540255615532653</v>
      </c>
      <c r="F898" s="2" t="n">
        <v>0.060398872</v>
      </c>
      <c r="G898" s="2" t="n">
        <f aca="false">IF(G$7=G$5,G$6,IF(NORMSDIST(G$9*SQRT($C$11)*NORMSINV($B898)+SQRT(1-G$9^2*$C$11)*NORMSINV(F898))&lt;G$8,G$5+SQRT(NORMSDIST(G$9*SQRT($C$11)*NORMSINV($B898)+SQRT(1-G$9^2*$C$11)*NORMSINV(F898))*(G$7-G$5)*(G$6-G$5)),G$7-SQRT((1-NORMSDIST(G$9*SQRT($C$11)*NORMSINV($B898)+SQRT(1-G$9^2*$C$11)*NORMSINV(F898)))*(G$7-G$5)*(G$7-G$6))))</f>
        <v>0.0473999758404493</v>
      </c>
      <c r="H898" s="2" t="n">
        <v>0.052326616</v>
      </c>
      <c r="I898" s="2" t="n">
        <f aca="false">IF(I$7=I$5,I$6,IF(NORMSDIST(I$9*SQRT($C$11)*NORMSINV($B898)+SQRT(1-I$9^2*$C$11)*NORMSINV(H898))&lt;I$8,I$5+SQRT(NORMSDIST(I$9*SQRT($C$11)*NORMSINV($B898)+SQRT(1-I$9^2*$C$11)*NORMSINV(H898))*(I$7-I$5)*(I$6-I$5)),I$7-SQRT((1-NORMSDIST(I$9*SQRT($C$11)*NORMSINV($B898)+SQRT(1-I$9^2*$C$11)*NORMSINV(H898)))*(I$7-I$5)*(I$7-I$6))))</f>
        <v>189.41882915817</v>
      </c>
      <c r="J898" s="2" t="n">
        <v>0.411999727</v>
      </c>
      <c r="K898" s="2" t="n">
        <f aca="false">IF(K$7=K$5,K$6,IF(NORMSDIST(K$9*SQRT($C$11)*NORMSINV($B898)+SQRT(1-K$9^2*$C$11)*NORMSINV(J898))&lt;K$8,K$5+SQRT(NORMSDIST(K$9*SQRT($C$11)*NORMSINV($B898)+SQRT(1-K$9^2*$C$11)*NORMSINV(J898))*(K$7-K$5)*(K$6-K$5)),K$7-SQRT((1-NORMSDIST(K$9*SQRT($C$11)*NORMSINV($B898)+SQRT(1-K$9^2*$C$11)*NORMSINV(J898)))*(K$7-K$5)*(K$7-K$6))))</f>
        <v>0.23597274102688</v>
      </c>
      <c r="L898" s="2" t="n">
        <v>0.930786385</v>
      </c>
      <c r="M898" s="2" t="n">
        <f aca="false">IF(M$7=M$5,M$6,IF(NORMSDIST(M$9*SQRT($C$11)*NORMSINV($B898)+SQRT(1-M$9^2*$C$11)*NORMSINV(L898))&lt;M$8,M$5+SQRT(NORMSDIST(M$9*SQRT($C$11)*NORMSINV($B898)+SQRT(1-M$9^2*$C$11)*NORMSINV(L898))*(M$7-M$5)*(M$6-M$5)),M$7-SQRT((1-NORMSDIST(M$9*SQRT($C$11)*NORMSINV($B898)+SQRT(1-M$9^2*$C$11)*NORMSINV(L898)))*(M$7-M$5)*(M$7-M$6))))</f>
        <v>1694.79933970129</v>
      </c>
      <c r="N898" s="2" t="n">
        <v>0.817471604</v>
      </c>
      <c r="O898" s="2" t="n">
        <f aca="false">IF(O$7=O$5,O$6,IF(NORMSDIST(O$9*SQRT($C$11)*NORMSINV($B898)+SQRT(1-O$9^2*$C$11)*NORMSINV(N898))&lt;O$8,O$5+SQRT(NORMSDIST(O$9*SQRT($C$11)*NORMSINV($B898)+SQRT(1-O$9^2*$C$11)*NORMSINV(N898))*(O$7-O$5)*(O$6-O$5)),O$7-SQRT((1-NORMSDIST(O$9*SQRT($C$11)*NORMSINV($B898)+SQRT(1-O$9^2*$C$11)*NORMSINV(N898)))*(O$7-O$5)*(O$7-O$6))))</f>
        <v>0.174326156665</v>
      </c>
      <c r="P898" s="2" t="n">
        <v>0.556836955</v>
      </c>
      <c r="Q898" s="2" t="n">
        <f aca="false">IF(Q$7=Q$5,Q$6,IF(NORMSDIST(Q$9*SQRT($C$11)*NORMSINV($B898)+SQRT(1-Q$9^2*$C$11)*NORMSINV(P898))&lt;Q$8,Q$5+SQRT(NORMSDIST(Q$9*SQRT($C$11)*NORMSINV($B898)+SQRT(1-Q$9^2*$C$11)*NORMSINV(P898))*(Q$7-Q$5)*(Q$6-Q$5)),Q$7-SQRT((1-NORMSDIST(Q$9*SQRT($C$11)*NORMSINV($B898)+SQRT(1-Q$9^2*$C$11)*NORMSINV(P898)))*(Q$7-Q$5)*(Q$7-Q$6))))</f>
        <v>0.0823420427532241</v>
      </c>
      <c r="R898" s="2" t="n">
        <v>0.772423855</v>
      </c>
      <c r="S898" s="2" t="n">
        <f aca="false">IF(S$7=S$5,S$6,IF(NORMSDIST(S$9*SQRT($C$11)*NORMSINV($B898)+SQRT(1-S$9^2*$C$11)*NORMSINV(R898))&lt;S$8,S$5+SQRT(NORMSDIST(S$9*SQRT($C$11)*NORMSINV($B898)+SQRT(1-S$9^2*$C$11)*NORMSINV(R898))*(S$7-S$5)*(S$6-S$5)),S$7-SQRT((1-NORMSDIST(S$9*SQRT($C$11)*NORMSINV($B898)+SQRT(1-S$9^2*$C$11)*NORMSINV(R898)))*(S$7-S$5)*(S$7-S$6))))</f>
        <v>0.632766166421693</v>
      </c>
      <c r="T898" s="2" t="n">
        <v>0.55382825</v>
      </c>
      <c r="U898" s="2" t="n">
        <f aca="false">IF(U$7=U$5,U$6,IF(NORMSDIST(U$9*SQRT($C$11)*NORMSINV($B898)+SQRT(1-U$9^2*$C$11)*NORMSINV(T898))&lt;U$8,U$5+SQRT(NORMSDIST(U$9*SQRT($C$11)*NORMSINV($B898)+SQRT(1-U$9^2*$C$11)*NORMSINV(T898))*(U$7-U$5)*(U$6-U$5)),U$7-SQRT((1-NORMSDIST(U$9*SQRT($C$11)*NORMSINV($B898)+SQRT(1-U$9^2*$C$11)*NORMSINV(T898)))*(U$7-U$5)*(U$7-U$6))))</f>
        <v>0.528651882946976</v>
      </c>
      <c r="V898" s="2" t="n">
        <v>0.939231827</v>
      </c>
      <c r="W898" s="2" t="n">
        <f aca="false">IF(W$7=W$5,W$6,IF(NORMSDIST(W$9*SQRT($C$11)*NORMSINV($B898)+SQRT(1-W$9^2*$C$11)*NORMSINV(V898))&lt;W$8,W$5+SQRT(NORMSDIST(W$9*SQRT($C$11)*NORMSINV($B898)+SQRT(1-W$9^2*$C$11)*NORMSINV(V898))*(W$7-W$5)*(W$6-W$5)),W$7-SQRT((1-NORMSDIST(W$9*SQRT($C$11)*NORMSINV($B898)+SQRT(1-W$9^2*$C$11)*NORMSINV(V898)))*(W$7-W$5)*(W$7-W$6))))</f>
        <v>11.0682976985161</v>
      </c>
      <c r="X898" s="2" t="n">
        <v>0.773157743</v>
      </c>
      <c r="Y898" s="2" t="n">
        <f aca="false">IF(Y$7=Y$5,Y$6,IF(NORMSDIST(Y$9*SQRT($C$11)*NORMSINV($B898)+SQRT(1-Y$9^2*$C$11)*NORMSINV(X898))&lt;Y$8,Y$5+SQRT(NORMSDIST(Y$9*SQRT($C$11)*NORMSINV($B898)+SQRT(1-Y$9^2*$C$11)*NORMSINV(X898))*(Y$7-Y$5)*(Y$6-Y$5)),Y$7-SQRT((1-NORMSDIST(Y$9*SQRT($C$11)*NORMSINV($B898)+SQRT(1-Y$9^2*$C$11)*NORMSINV(X898)))*(Y$7-Y$5)*(Y$7-Y$6))))</f>
        <v>0.663219465378416</v>
      </c>
      <c r="Z898" s="2" t="n">
        <v>0.364148575</v>
      </c>
      <c r="AA898" s="2" t="n">
        <f aca="false">IF(AA$7=AA$5,AA$6,IF(NORMSDIST(AA$9*SQRT($C$11)*NORMSINV($B898)+SQRT(1-AA$9^2*$C$11)*NORMSINV(Z898))&lt;AA$8,AA$5+SQRT(NORMSDIST(AA$9*SQRT($C$11)*NORMSINV($B898)+SQRT(1-AA$9^2*$C$11)*NORMSINV(Z898))*(AA$7-AA$5)*(AA$6-AA$5)),AA$7-SQRT((1-NORMSDIST(AA$9*SQRT($C$11)*NORMSINV($B898)+SQRT(1-AA$9^2*$C$11)*NORMSINV(Z898)))*(AA$7-AA$5)*(AA$7-AA$6))))</f>
        <v>0.724869477100088</v>
      </c>
      <c r="AB898" s="2" t="n">
        <v>0.500333905</v>
      </c>
      <c r="AC898" s="2" t="n">
        <f aca="false">IF(AC$7=AC$5,AC$6,IF(NORMSDIST(AC$9*SQRT($C$11)*NORMSINV($B898)+SQRT(1-AC$9^2*$C$11)*NORMSINV(AB898))&lt;AC$8,AC$5+SQRT(NORMSDIST(AC$9*SQRT($C$11)*NORMSINV($B898)+SQRT(1-AC$9^2*$C$11)*NORMSINV(AB898))*(AC$7-AC$5)*(AC$6-AC$5)),AC$7-SQRT((1-NORMSDIST(AC$9*SQRT($C$11)*NORMSINV($B898)+SQRT(1-AC$9^2*$C$11)*NORMSINV(AB898)))*(AC$7-AC$5)*(AC$7-AC$6))))</f>
        <v>9.50792593814696</v>
      </c>
      <c r="AD898" s="2" t="n">
        <f aca="false">Entrées!$C$8*(1+E898)</f>
        <v>7430.88020895052</v>
      </c>
      <c r="AE898" s="2" t="n">
        <f aca="false">I898*Hypothèses!$J$24/12/Hypothèses!$J$19</f>
        <v>93.9700748868203</v>
      </c>
      <c r="AF898" s="2" t="n">
        <f aca="false">Entrées!$C$36*S898*1000</f>
        <v>316.383083210847</v>
      </c>
      <c r="AG898" s="2" t="n">
        <f aca="false">-AF898/W898</f>
        <v>-28.5846199504791</v>
      </c>
      <c r="AH898" s="2" t="n">
        <f aca="false">AD898+AE898+AG898</f>
        <v>7496.26566388686</v>
      </c>
      <c r="AI898" s="2" t="n">
        <f aca="false">Entrées!$C$16-M898+Hypothèses!$J$22*1000-AF898+Hypothèses!$J$23</f>
        <v>22536.8175770879</v>
      </c>
      <c r="AJ898" s="2" t="n">
        <f aca="false">AI898/AH898</f>
        <v>3.00640593431188</v>
      </c>
      <c r="AK898" s="2" t="n">
        <f aca="false">AI898/(AH898+I898*(12-Hypothèses!$J$24)/12/Hypothèses!$J$19)</f>
        <v>2.97972550422189</v>
      </c>
      <c r="AL898" s="2" t="n">
        <f aca="false">(AD898+AG898+I898/Hypothèses!$J$19)*(1+G898)</f>
        <v>7921.89151393882</v>
      </c>
      <c r="AM898" s="2" t="n">
        <f aca="false">Entrées!$C$54*K898/Hypothèses!$J$19</f>
        <v>24.0820090073066</v>
      </c>
      <c r="AN898" s="2" t="n">
        <f aca="false">Y898*1000/AC898</f>
        <v>69.7543785777189</v>
      </c>
      <c r="AO898" s="2" t="n">
        <f aca="false">(Entrées!$C$36*(1-S898)+MAX(0,Entrées!$C$30-Entrées!$C$35-Entrées!$C$36)*U898)*1000</f>
        <v>923.72955291492</v>
      </c>
      <c r="AP898" s="2" t="n">
        <f aca="false">-AO898/W898</f>
        <v>-83.4572377863273</v>
      </c>
      <c r="AQ898" s="2" t="n">
        <f aca="false">AL898+AM898+AN898+AP898</f>
        <v>7932.27066373752</v>
      </c>
      <c r="AR898" s="2" t="n">
        <f aca="false">O898*AQ898-Hypothèses!$J$25/Hypothèses!$J$19</f>
        <v>1363.66709617427</v>
      </c>
      <c r="AS898" s="2" t="n">
        <f aca="false">Entrées!$C$79*(1+Q898)+Hypothèses!$J$20</f>
        <v>1484.49390498579</v>
      </c>
      <c r="AT898" s="2" t="n">
        <f aca="false">AI898-AR898+AS898+Y898*1000-AO898+Hypothèses!$J$23</f>
        <v>22397.1342983629</v>
      </c>
      <c r="AU898" s="2" t="n">
        <f aca="false">AT898/AQ898</f>
        <v>2.82354640276607</v>
      </c>
      <c r="AV898" s="2" t="n">
        <f aca="false">Hypothèses!$J$26*AQ898-AT898</f>
        <v>1399.67769284967</v>
      </c>
      <c r="AW898" s="2" t="n">
        <f aca="false">IF(AC898&gt;Hypothèses!$J$26,MAX(0,AV898)/(1-Hypothèses!$J$26/AC898),0)</f>
        <v>2044.89601869691</v>
      </c>
      <c r="AX898" s="2" t="n">
        <f aca="false">AQ898-Entrées!$C$17*1000</f>
        <v>-67.7293362624823</v>
      </c>
      <c r="AY898" s="2" t="n">
        <f aca="false">AI898+(Entrées!$C$244-Entrées!$C$13)</f>
        <v>28283.8175770879</v>
      </c>
      <c r="AZ898" s="2" t="n">
        <f aca="false">AA898*AH898</f>
        <v>5433.81417198501</v>
      </c>
      <c r="BA898" s="2" t="n">
        <f aca="false">AZ898/AY898</f>
        <v>0.192117423935969</v>
      </c>
      <c r="BB898" s="2" t="n">
        <f aca="false">AZ898/(Entrées!$C$151/100)-AY898</f>
        <v>1904.03893393999</v>
      </c>
      <c r="BC898" s="2" t="n">
        <f aca="false">AT898+(Entrées!$C$244-Entrées!$C$13)</f>
        <v>28144.1342983629</v>
      </c>
      <c r="BD898" s="2" t="n">
        <f aca="false">AA898*AQ898</f>
        <v>5749.86088823978</v>
      </c>
      <c r="BE898" s="2" t="n">
        <f aca="false">BD898/BC898</f>
        <v>0.204300506360725</v>
      </c>
      <c r="BF898" s="2" t="n">
        <f aca="false">BD898/(Entrées!$C$151/100)-BC898</f>
        <v>3799.53730296924</v>
      </c>
      <c r="BG898" s="2" t="n">
        <f aca="false">MIN(AV898,BF898)</f>
        <v>1399.67769284967</v>
      </c>
      <c r="BH898" s="2" t="n">
        <f aca="false">IF(AC898&gt;Hypothèses!$J$26,MAX(0,BG898)/(1-Hypothèses!$J$26/AC898),0)</f>
        <v>2044.89601869691</v>
      </c>
    </row>
    <row r="899" customFormat="false" ht="15" hidden="false" customHeight="false" outlineLevel="0" collapsed="false">
      <c r="A899" s="2" t="n">
        <v>884</v>
      </c>
      <c r="B899" s="2" t="n">
        <v>0.691761528</v>
      </c>
      <c r="C899" s="2"/>
      <c r="D899" s="2" t="n">
        <v>0.88414014</v>
      </c>
      <c r="E899" s="2" t="n">
        <f aca="false">IF(E$7=E$5,E$6,IF(NORMSDIST(E$9*SQRT($C$11)*NORMSINV($B899)+SQRT(1-E$9^2*$C$11)*NORMSINV(D899))&lt;E$8,E$5+SQRT(NORMSDIST(E$9*SQRT($C$11)*NORMSINV($B899)+SQRT(1-E$9^2*$C$11)*NORMSINV(D899))*(E$7-E$5)*(E$6-E$5)),E$7-SQRT((1-NORMSDIST(E$9*SQRT($C$11)*NORMSINV($B899)+SQRT(1-E$9^2*$C$11)*NORMSINV(D899)))*(E$7-E$5)*(E$7-E$6))))</f>
        <v>0.0576879801209598</v>
      </c>
      <c r="F899" s="2" t="n">
        <v>0.528168397</v>
      </c>
      <c r="G899" s="2" t="n">
        <f aca="false">IF(G$7=G$5,G$6,IF(NORMSDIST(G$9*SQRT($C$11)*NORMSINV($B899)+SQRT(1-G$9^2*$C$11)*NORMSINV(F899))&lt;G$8,G$5+SQRT(NORMSDIST(G$9*SQRT($C$11)*NORMSINV($B899)+SQRT(1-G$9^2*$C$11)*NORMSINV(F899))*(G$7-G$5)*(G$6-G$5)),G$7-SQRT((1-NORMSDIST(G$9*SQRT($C$11)*NORMSINV($B899)+SQRT(1-G$9^2*$C$11)*NORMSINV(F899)))*(G$7-G$5)*(G$7-G$6))))</f>
        <v>0.0573584362639641</v>
      </c>
      <c r="H899" s="2" t="n">
        <v>0.576440159</v>
      </c>
      <c r="I899" s="2" t="n">
        <f aca="false">IF(I$7=I$5,I$6,IF(NORMSDIST(I$9*SQRT($C$11)*NORMSINV($B899)+SQRT(1-I$9^2*$C$11)*NORMSINV(H899))&lt;I$8,I$5+SQRT(NORMSDIST(I$9*SQRT($C$11)*NORMSINV($B899)+SQRT(1-I$9^2*$C$11)*NORMSINV(H899))*(I$7-I$5)*(I$6-I$5)),I$7-SQRT((1-NORMSDIST(I$9*SQRT($C$11)*NORMSINV($B899)+SQRT(1-I$9^2*$C$11)*NORMSINV(H899)))*(I$7-I$5)*(I$7-I$6))))</f>
        <v>203.985737130203</v>
      </c>
      <c r="J899" s="2" t="n">
        <v>0.590116394</v>
      </c>
      <c r="K899" s="2" t="n">
        <f aca="false">IF(K$7=K$5,K$6,IF(NORMSDIST(K$9*SQRT($C$11)*NORMSINV($B899)+SQRT(1-K$9^2*$C$11)*NORMSINV(J899))&lt;K$8,K$5+SQRT(NORMSDIST(K$9*SQRT($C$11)*NORMSINV($B899)+SQRT(1-K$9^2*$C$11)*NORMSINV(J899))*(K$7-K$5)*(K$6-K$5)),K$7-SQRT((1-NORMSDIST(K$9*SQRT($C$11)*NORMSINV($B899)+SQRT(1-K$9^2*$C$11)*NORMSINV(J899)))*(K$7-K$5)*(K$7-K$6))))</f>
        <v>0.302858856219171</v>
      </c>
      <c r="L899" s="2" t="n">
        <v>0.208747246</v>
      </c>
      <c r="M899" s="2" t="n">
        <f aca="false">IF(M$7=M$5,M$6,IF(NORMSDIST(M$9*SQRT($C$11)*NORMSINV($B899)+SQRT(1-M$9^2*$C$11)*NORMSINV(L899))&lt;M$8,M$5+SQRT(NORMSDIST(M$9*SQRT($C$11)*NORMSINV($B899)+SQRT(1-M$9^2*$C$11)*NORMSINV(L899))*(M$7-M$5)*(M$6-M$5)),M$7-SQRT((1-NORMSDIST(M$9*SQRT($C$11)*NORMSINV($B899)+SQRT(1-M$9^2*$C$11)*NORMSINV(L899)))*(M$7-M$5)*(M$7-M$6))))</f>
        <v>1548.46114593589</v>
      </c>
      <c r="N899" s="2" t="n">
        <v>0.240584391</v>
      </c>
      <c r="O899" s="2" t="n">
        <f aca="false">IF(O$7=O$5,O$6,IF(NORMSDIST(O$9*SQRT($C$11)*NORMSINV($B899)+SQRT(1-O$9^2*$C$11)*NORMSINV(N899))&lt;O$8,O$5+SQRT(NORMSDIST(O$9*SQRT($C$11)*NORMSINV($B899)+SQRT(1-O$9^2*$C$11)*NORMSINV(N899))*(O$7-O$5)*(O$6-O$5)),O$7-SQRT((1-NORMSDIST(O$9*SQRT($C$11)*NORMSINV($B899)+SQRT(1-O$9^2*$C$11)*NORMSINV(N899)))*(O$7-O$5)*(O$7-O$6))))</f>
        <v>0.164239045063605</v>
      </c>
      <c r="P899" s="2" t="n">
        <v>0.227750159</v>
      </c>
      <c r="Q899" s="2" t="n">
        <f aca="false">IF(Q$7=Q$5,Q$6,IF(NORMSDIST(Q$9*SQRT($C$11)*NORMSINV($B899)+SQRT(1-Q$9^2*$C$11)*NORMSINV(P899))&lt;Q$8,Q$5+SQRT(NORMSDIST(Q$9*SQRT($C$11)*NORMSINV($B899)+SQRT(1-Q$9^2*$C$11)*NORMSINV(P899))*(Q$7-Q$5)*(Q$6-Q$5)),Q$7-SQRT((1-NORMSDIST(Q$9*SQRT($C$11)*NORMSINV($B899)+SQRT(1-Q$9^2*$C$11)*NORMSINV(P899)))*(Q$7-Q$5)*(Q$7-Q$6))))</f>
        <v>0.0669963054657485</v>
      </c>
      <c r="R899" s="2" t="n">
        <v>0.777205184</v>
      </c>
      <c r="S899" s="2" t="n">
        <f aca="false">IF(S$7=S$5,S$6,IF(NORMSDIST(S$9*SQRT($C$11)*NORMSINV($B899)+SQRT(1-S$9^2*$C$11)*NORMSINV(R899))&lt;S$8,S$5+SQRT(NORMSDIST(S$9*SQRT($C$11)*NORMSINV($B899)+SQRT(1-S$9^2*$C$11)*NORMSINV(R899))*(S$7-S$5)*(S$6-S$5)),S$7-SQRT((1-NORMSDIST(S$9*SQRT($C$11)*NORMSINV($B899)+SQRT(1-S$9^2*$C$11)*NORMSINV(R899)))*(S$7-S$5)*(S$7-S$6))))</f>
        <v>0.698304852604684</v>
      </c>
      <c r="T899" s="2" t="n">
        <v>0.338112674</v>
      </c>
      <c r="U899" s="2" t="n">
        <f aca="false">IF(U$7=U$5,U$6,IF(NORMSDIST(U$9*SQRT($C$11)*NORMSINV($B899)+SQRT(1-U$9^2*$C$11)*NORMSINV(T899))&lt;U$8,U$5+SQRT(NORMSDIST(U$9*SQRT($C$11)*NORMSINV($B899)+SQRT(1-U$9^2*$C$11)*NORMSINV(T899))*(U$7-U$5)*(U$6-U$5)),U$7-SQRT((1-NORMSDIST(U$9*SQRT($C$11)*NORMSINV($B899)+SQRT(1-U$9^2*$C$11)*NORMSINV(T899)))*(U$7-U$5)*(U$7-U$6))))</f>
        <v>0.498657455599083</v>
      </c>
      <c r="V899" s="2" t="n">
        <v>0.544758837</v>
      </c>
      <c r="W899" s="2" t="n">
        <f aca="false">IF(W$7=W$5,W$6,IF(NORMSDIST(W$9*SQRT($C$11)*NORMSINV($B899)+SQRT(1-W$9^2*$C$11)*NORMSINV(V899))&lt;W$8,W$5+SQRT(NORMSDIST(W$9*SQRT($C$11)*NORMSINV($B899)+SQRT(1-W$9^2*$C$11)*NORMSINV(V899))*(W$7-W$5)*(W$6-W$5)),W$7-SQRT((1-NORMSDIST(W$9*SQRT($C$11)*NORMSINV($B899)+SQRT(1-W$9^2*$C$11)*NORMSINV(V899)))*(W$7-W$5)*(W$7-W$6))))</f>
        <v>10.3431105126243</v>
      </c>
      <c r="X899" s="2" t="n">
        <v>0.047978573</v>
      </c>
      <c r="Y899" s="2" t="n">
        <f aca="false">IF(Y$7=Y$5,Y$6,IF(NORMSDIST(Y$9*SQRT($C$11)*NORMSINV($B899)+SQRT(1-Y$9^2*$C$11)*NORMSINV(X899))&lt;Y$8,Y$5+SQRT(NORMSDIST(Y$9*SQRT($C$11)*NORMSINV($B899)+SQRT(1-Y$9^2*$C$11)*NORMSINV(X899))*(Y$7-Y$5)*(Y$6-Y$5)),Y$7-SQRT((1-NORMSDIST(Y$9*SQRT($C$11)*NORMSINV($B899)+SQRT(1-Y$9^2*$C$11)*NORMSINV(X899)))*(Y$7-Y$5)*(Y$7-Y$6))))</f>
        <v>0.154884752316037</v>
      </c>
      <c r="Z899" s="2" t="n">
        <v>0.575546583</v>
      </c>
      <c r="AA899" s="2" t="n">
        <f aca="false">IF(AA$7=AA$5,AA$6,IF(NORMSDIST(AA$9*SQRT($C$11)*NORMSINV($B899)+SQRT(1-AA$9^2*$C$11)*NORMSINV(Z899))&lt;AA$8,AA$5+SQRT(NORMSDIST(AA$9*SQRT($C$11)*NORMSINV($B899)+SQRT(1-AA$9^2*$C$11)*NORMSINV(Z899))*(AA$7-AA$5)*(AA$6-AA$5)),AA$7-SQRT((1-NORMSDIST(AA$9*SQRT($C$11)*NORMSINV($B899)+SQRT(1-AA$9^2*$C$11)*NORMSINV(Z899)))*(AA$7-AA$5)*(AA$7-AA$6))))</f>
        <v>0.733550814875212</v>
      </c>
      <c r="AB899" s="2" t="n">
        <v>0.572616665</v>
      </c>
      <c r="AC899" s="2" t="n">
        <f aca="false">IF(AC$7=AC$5,AC$6,IF(NORMSDIST(AC$9*SQRT($C$11)*NORMSINV($B899)+SQRT(1-AC$9^2*$C$11)*NORMSINV(AB899))&lt;AC$8,AC$5+SQRT(NORMSDIST(AC$9*SQRT($C$11)*NORMSINV($B899)+SQRT(1-AC$9^2*$C$11)*NORMSINV(AB899))*(AC$7-AC$5)*(AC$6-AC$5)),AC$7-SQRT((1-NORMSDIST(AC$9*SQRT($C$11)*NORMSINV($B899)+SQRT(1-AC$9^2*$C$11)*NORMSINV(AB899)))*(AC$7-AC$5)*(AC$7-AC$6))))</f>
        <v>9.81823516922255</v>
      </c>
      <c r="AD899" s="2" t="n">
        <f aca="false">Entrées!$C$8*(1+E899)</f>
        <v>7456.70025985277</v>
      </c>
      <c r="AE899" s="2" t="n">
        <f aca="false">I899*Hypothèses!$J$24/12/Hypothèses!$J$19</f>
        <v>101.196671308544</v>
      </c>
      <c r="AF899" s="2" t="n">
        <f aca="false">Entrées!$C$36*S899*1000</f>
        <v>349.152426302342</v>
      </c>
      <c r="AG899" s="2" t="n">
        <f aca="false">-AF899/W899</f>
        <v>-33.7570043243939</v>
      </c>
      <c r="AH899" s="2" t="n">
        <f aca="false">AD899+AE899+AG899</f>
        <v>7524.13992683692</v>
      </c>
      <c r="AI899" s="2" t="n">
        <f aca="false">Entrées!$C$16-M899+Hypothèses!$J$22*1000-AF899+Hypothèses!$J$23</f>
        <v>22650.3864277618</v>
      </c>
      <c r="AJ899" s="2" t="n">
        <f aca="false">AI899/AH899</f>
        <v>3.01036220059823</v>
      </c>
      <c r="AK899" s="2" t="n">
        <f aca="false">AI899/(AH899+I899*(12-Hypothèses!$J$24)/12/Hypothèses!$J$19)</f>
        <v>2.98171726905168</v>
      </c>
      <c r="AL899" s="2" t="n">
        <f aca="false">(AD899+AG899+I899/Hypothèses!$J$19)*(1+G899)</f>
        <v>8032.14222307862</v>
      </c>
      <c r="AM899" s="2" t="n">
        <f aca="false">Entrées!$C$54*K899/Hypothèses!$J$19</f>
        <v>30.9080178993296</v>
      </c>
      <c r="AN899" s="2" t="n">
        <f aca="false">Y899*1000/AC899</f>
        <v>15.7752131260369</v>
      </c>
      <c r="AO899" s="2" t="n">
        <f aca="false">(Entrées!$C$36*(1-S899)+MAX(0,Entrées!$C$30-Entrées!$C$35-Entrées!$C$36)*U899)*1000</f>
        <v>848.968011536374</v>
      </c>
      <c r="AP899" s="2" t="n">
        <f aca="false">-AO899/W899</f>
        <v>-82.0805318187565</v>
      </c>
      <c r="AQ899" s="2" t="n">
        <f aca="false">AL899+AM899+AN899+AP899</f>
        <v>7996.74492228523</v>
      </c>
      <c r="AR899" s="2" t="n">
        <f aca="false">O899*AQ899-Hypothèses!$J$25/Hypothèses!$J$19</f>
        <v>1294.24258739173</v>
      </c>
      <c r="AS899" s="2" t="n">
        <f aca="false">Entrées!$C$79*(1+Q899)+Hypothèses!$J$20</f>
        <v>1467.62893970686</v>
      </c>
      <c r="AT899" s="2" t="n">
        <f aca="false">AI899-AR899+AS899+Y899*1000-AO899+Hypothèses!$J$23</f>
        <v>22129.6895208566</v>
      </c>
      <c r="AU899" s="2" t="n">
        <f aca="false">AT899/AQ899</f>
        <v>2.76733717730396</v>
      </c>
      <c r="AV899" s="2" t="n">
        <f aca="false">Hypothèses!$J$26*AQ899-AT899</f>
        <v>1860.54524599914</v>
      </c>
      <c r="AW899" s="2" t="n">
        <f aca="false">IF(AC899&gt;Hypothèses!$J$26,MAX(0,AV899)/(1-Hypothèses!$J$26/AC899),0)</f>
        <v>2679.17874857953</v>
      </c>
      <c r="AX899" s="2" t="n">
        <f aca="false">AQ899-Entrées!$C$17*1000</f>
        <v>-3.25507771476623</v>
      </c>
      <c r="AY899" s="2" t="n">
        <f aca="false">AI899+(Entrées!$C$244-Entrées!$C$13)</f>
        <v>28397.3864277618</v>
      </c>
      <c r="AZ899" s="2" t="n">
        <f aca="false">AA899*AH899</f>
        <v>5519.33897456634</v>
      </c>
      <c r="BA899" s="2" t="n">
        <f aca="false">AZ899/AY899</f>
        <v>0.194360808118966</v>
      </c>
      <c r="BB899" s="2" t="n">
        <f aca="false">AZ899/(Entrées!$C$151/100)-AY899</f>
        <v>2265.60787538457</v>
      </c>
      <c r="BC899" s="2" t="n">
        <f aca="false">AT899+(Entrées!$C$244-Entrées!$C$13)</f>
        <v>27876.6895208566</v>
      </c>
      <c r="BD899" s="2" t="n">
        <f aca="false">AA899*AQ899</f>
        <v>5866.01875409155</v>
      </c>
      <c r="BE899" s="2" t="n">
        <f aca="false">BD899/BC899</f>
        <v>0.210427380543259</v>
      </c>
      <c r="BF899" s="2" t="n">
        <f aca="false">BD899/(Entrées!$C$151/100)-BC899</f>
        <v>4712.30355742983</v>
      </c>
      <c r="BG899" s="2" t="n">
        <f aca="false">MIN(AV899,BF899)</f>
        <v>1860.54524599914</v>
      </c>
      <c r="BH899" s="2" t="n">
        <f aca="false">IF(AC899&gt;Hypothèses!$J$26,MAX(0,BG899)/(1-Hypothèses!$J$26/AC899),0)</f>
        <v>2679.17874857953</v>
      </c>
    </row>
    <row r="900" customFormat="false" ht="15" hidden="false" customHeight="false" outlineLevel="0" collapsed="false">
      <c r="A900" s="2" t="n">
        <v>885</v>
      </c>
      <c r="B900" s="2" t="n">
        <v>0.623088019</v>
      </c>
      <c r="C900" s="2"/>
      <c r="D900" s="2" t="n">
        <v>0.81896016</v>
      </c>
      <c r="E900" s="2" t="n">
        <f aca="false">IF(E$7=E$5,E$6,IF(NORMSDIST(E$9*SQRT($C$11)*NORMSINV($B900)+SQRT(1-E$9^2*$C$11)*NORMSINV(D900))&lt;E$8,E$5+SQRT(NORMSDIST(E$9*SQRT($C$11)*NORMSINV($B900)+SQRT(1-E$9^2*$C$11)*NORMSINV(D900))*(E$7-E$5)*(E$6-E$5)),E$7-SQRT((1-NORMSDIST(E$9*SQRT($C$11)*NORMSINV($B900)+SQRT(1-E$9^2*$C$11)*NORMSINV(D900)))*(E$7-E$5)*(E$7-E$6))))</f>
        <v>0.0569758092849888</v>
      </c>
      <c r="F900" s="2" t="n">
        <v>0.21872184</v>
      </c>
      <c r="G900" s="2" t="n">
        <f aca="false">IF(G$7=G$5,G$6,IF(NORMSDIST(G$9*SQRT($C$11)*NORMSINV($B900)+SQRT(1-G$9^2*$C$11)*NORMSINV(F900))&lt;G$8,G$5+SQRT(NORMSDIST(G$9*SQRT($C$11)*NORMSINV($B900)+SQRT(1-G$9^2*$C$11)*NORMSINV(F900))*(G$7-G$5)*(G$6-G$5)),G$7-SQRT((1-NORMSDIST(G$9*SQRT($C$11)*NORMSINV($B900)+SQRT(1-G$9^2*$C$11)*NORMSINV(F900)))*(G$7-G$5)*(G$7-G$6))))</f>
        <v>0.0524313602712786</v>
      </c>
      <c r="H900" s="2" t="n">
        <v>0.001567209</v>
      </c>
      <c r="I900" s="2" t="n">
        <f aca="false">IF(I$7=I$5,I$6,IF(NORMSDIST(I$9*SQRT($C$11)*NORMSINV($B900)+SQRT(1-I$9^2*$C$11)*NORMSINV(H900))&lt;I$8,I$5+SQRT(NORMSDIST(I$9*SQRT($C$11)*NORMSINV($B900)+SQRT(1-I$9^2*$C$11)*NORMSINV(H900))*(I$7-I$5)*(I$6-I$5)),I$7-SQRT((1-NORMSDIST(I$9*SQRT($C$11)*NORMSINV($B900)+SQRT(1-I$9^2*$C$11)*NORMSINV(H900)))*(I$7-I$5)*(I$7-I$6))))</f>
        <v>183.827134938934</v>
      </c>
      <c r="J900" s="2" t="n">
        <v>0.271602089</v>
      </c>
      <c r="K900" s="2" t="n">
        <f aca="false">IF(K$7=K$5,K$6,IF(NORMSDIST(K$9*SQRT($C$11)*NORMSINV($B900)+SQRT(1-K$9^2*$C$11)*NORMSINV(J900))&lt;K$8,K$5+SQRT(NORMSDIST(K$9*SQRT($C$11)*NORMSINV($B900)+SQRT(1-K$9^2*$C$11)*NORMSINV(J900))*(K$7-K$5)*(K$6-K$5)),K$7-SQRT((1-NORMSDIST(K$9*SQRT($C$11)*NORMSINV($B900)+SQRT(1-K$9^2*$C$11)*NORMSINV(J900)))*(K$7-K$5)*(K$7-K$6))))</f>
        <v>0.221523620393244</v>
      </c>
      <c r="L900" s="2" t="n">
        <v>0.508423707</v>
      </c>
      <c r="M900" s="2" t="n">
        <f aca="false">IF(M$7=M$5,M$6,IF(NORMSDIST(M$9*SQRT($C$11)*NORMSINV($B900)+SQRT(1-M$9^2*$C$11)*NORMSINV(L900))&lt;M$8,M$5+SQRT(NORMSDIST(M$9*SQRT($C$11)*NORMSINV($B900)+SQRT(1-M$9^2*$C$11)*NORMSINV(L900))*(M$7-M$5)*(M$6-M$5)),M$7-SQRT((1-NORMSDIST(M$9*SQRT($C$11)*NORMSINV($B900)+SQRT(1-M$9^2*$C$11)*NORMSINV(L900)))*(M$7-M$5)*(M$7-M$6))))</f>
        <v>1608.39245600714</v>
      </c>
      <c r="N900" s="2" t="n">
        <v>0.554775241</v>
      </c>
      <c r="O900" s="2" t="n">
        <f aca="false">IF(O$7=O$5,O$6,IF(NORMSDIST(O$9*SQRT($C$11)*NORMSINV($B900)+SQRT(1-O$9^2*$C$11)*NORMSINV(N900))&lt;O$8,O$5+SQRT(NORMSDIST(O$9*SQRT($C$11)*NORMSINV($B900)+SQRT(1-O$9^2*$C$11)*NORMSINV(N900))*(O$7-O$5)*(O$6-O$5)),O$7-SQRT((1-NORMSDIST(O$9*SQRT($C$11)*NORMSINV($B900)+SQRT(1-O$9^2*$C$11)*NORMSINV(N900)))*(O$7-O$5)*(O$7-O$6))))</f>
        <v>0.169876564829669</v>
      </c>
      <c r="P900" s="2" t="n">
        <v>0.773272334</v>
      </c>
      <c r="Q900" s="2" t="n">
        <f aca="false">IF(Q$7=Q$5,Q$6,IF(NORMSDIST(Q$9*SQRT($C$11)*NORMSINV($B900)+SQRT(1-Q$9^2*$C$11)*NORMSINV(P900))&lt;Q$8,Q$5+SQRT(NORMSDIST(Q$9*SQRT($C$11)*NORMSINV($B900)+SQRT(1-Q$9^2*$C$11)*NORMSINV(P900))*(Q$7-Q$5)*(Q$6-Q$5)),Q$7-SQRT((1-NORMSDIST(Q$9*SQRT($C$11)*NORMSINV($B900)+SQRT(1-Q$9^2*$C$11)*NORMSINV(P900)))*(Q$7-Q$5)*(Q$7-Q$6))))</f>
        <v>0.0930643631744115</v>
      </c>
      <c r="R900" s="2" t="n">
        <v>0.068003856</v>
      </c>
      <c r="S900" s="2" t="n">
        <f aca="false">IF(S$7=S$5,S$6,IF(NORMSDIST(S$9*SQRT($C$11)*NORMSINV($B900)+SQRT(1-S$9^2*$C$11)*NORMSINV(R900))&lt;S$8,S$5+SQRT(NORMSDIST(S$9*SQRT($C$11)*NORMSINV($B900)+SQRT(1-S$9^2*$C$11)*NORMSINV(R900))*(S$7-S$5)*(S$6-S$5)),S$7-SQRT((1-NORMSDIST(S$9*SQRT($C$11)*NORMSINV($B900)+SQRT(1-S$9^2*$C$11)*NORMSINV(R900)))*(S$7-S$5)*(S$7-S$6))))</f>
        <v>0.291052269648921</v>
      </c>
      <c r="T900" s="2" t="n">
        <v>0.079610413</v>
      </c>
      <c r="U900" s="2" t="n">
        <f aca="false">IF(U$7=U$5,U$6,IF(NORMSDIST(U$9*SQRT($C$11)*NORMSINV($B900)+SQRT(1-U$9^2*$C$11)*NORMSINV(T900))&lt;U$8,U$5+SQRT(NORMSDIST(U$9*SQRT($C$11)*NORMSINV($B900)+SQRT(1-U$9^2*$C$11)*NORMSINV(T900))*(U$7-U$5)*(U$6-U$5)),U$7-SQRT((1-NORMSDIST(U$9*SQRT($C$11)*NORMSINV($B900)+SQRT(1-U$9^2*$C$11)*NORMSINV(T900)))*(U$7-U$5)*(U$7-U$6))))</f>
        <v>0.305107170711367</v>
      </c>
      <c r="V900" s="2" t="n">
        <v>0.276917195</v>
      </c>
      <c r="W900" s="2" t="n">
        <f aca="false">IF(W$7=W$5,W$6,IF(NORMSDIST(W$9*SQRT($C$11)*NORMSINV($B900)+SQRT(1-W$9^2*$C$11)*NORMSINV(V900))&lt;W$8,W$5+SQRT(NORMSDIST(W$9*SQRT($C$11)*NORMSINV($B900)+SQRT(1-W$9^2*$C$11)*NORMSINV(V900))*(W$7-W$5)*(W$6-W$5)),W$7-SQRT((1-NORMSDIST(W$9*SQRT($C$11)*NORMSINV($B900)+SQRT(1-W$9^2*$C$11)*NORMSINV(V900)))*(W$7-W$5)*(W$7-W$6))))</f>
        <v>9.7828940000522</v>
      </c>
      <c r="X900" s="2" t="n">
        <v>0.135640046</v>
      </c>
      <c r="Y900" s="2" t="n">
        <f aca="false">IF(Y$7=Y$5,Y$6,IF(NORMSDIST(Y$9*SQRT($C$11)*NORMSINV($B900)+SQRT(1-Y$9^2*$C$11)*NORMSINV(X900))&lt;Y$8,Y$5+SQRT(NORMSDIST(Y$9*SQRT($C$11)*NORMSINV($B900)+SQRT(1-Y$9^2*$C$11)*NORMSINV(X900))*(Y$7-Y$5)*(Y$6-Y$5)),Y$7-SQRT((1-NORMSDIST(Y$9*SQRT($C$11)*NORMSINV($B900)+SQRT(1-Y$9^2*$C$11)*NORMSINV(X900)))*(Y$7-Y$5)*(Y$7-Y$6))))</f>
        <v>0.260422777421638</v>
      </c>
      <c r="Z900" s="2" t="n">
        <v>0.649922315</v>
      </c>
      <c r="AA900" s="2" t="n">
        <f aca="false">IF(AA$7=AA$5,AA$6,IF(NORMSDIST(AA$9*SQRT($C$11)*NORMSINV($B900)+SQRT(1-AA$9^2*$C$11)*NORMSINV(Z900))&lt;AA$8,AA$5+SQRT(NORMSDIST(AA$9*SQRT($C$11)*NORMSINV($B900)+SQRT(1-AA$9^2*$C$11)*NORMSINV(Z900))*(AA$7-AA$5)*(AA$6-AA$5)),AA$7-SQRT((1-NORMSDIST(AA$9*SQRT($C$11)*NORMSINV($B900)+SQRT(1-AA$9^2*$C$11)*NORMSINV(Z900)))*(AA$7-AA$5)*(AA$7-AA$6))))</f>
        <v>0.733917383326801</v>
      </c>
      <c r="AB900" s="2" t="n">
        <v>0.37381677</v>
      </c>
      <c r="AC900" s="2" t="n">
        <f aca="false">IF(AC$7=AC$5,AC$6,IF(NORMSDIST(AC$9*SQRT($C$11)*NORMSINV($B900)+SQRT(1-AC$9^2*$C$11)*NORMSINV(AB900))&lt;AC$8,AC$5+SQRT(NORMSDIST(AC$9*SQRT($C$11)*NORMSINV($B900)+SQRT(1-AC$9^2*$C$11)*NORMSINV(AB900))*(AC$7-AC$5)*(AC$6-AC$5)),AC$7-SQRT((1-NORMSDIST(AC$9*SQRT($C$11)*NORMSINV($B900)+SQRT(1-AC$9^2*$C$11)*NORMSINV(AB900)))*(AC$7-AC$5)*(AC$7-AC$6))))</f>
        <v>9.43583958099708</v>
      </c>
      <c r="AD900" s="2" t="n">
        <f aca="false">Entrées!$C$8*(1+E900)</f>
        <v>7451.67945545917</v>
      </c>
      <c r="AE900" s="2" t="n">
        <f aca="false">I900*Hypothèses!$J$24/12/Hypothèses!$J$19</f>
        <v>91.1960532815712</v>
      </c>
      <c r="AF900" s="2" t="n">
        <f aca="false">Entrées!$C$36*S900*1000</f>
        <v>145.526134824461</v>
      </c>
      <c r="AG900" s="2" t="n">
        <f aca="false">-AF900/W900</f>
        <v>-14.8755710553221</v>
      </c>
      <c r="AH900" s="2" t="n">
        <f aca="false">AD900+AE900+AG900</f>
        <v>7527.99993768542</v>
      </c>
      <c r="AI900" s="2" t="n">
        <f aca="false">Entrées!$C$16-M900+Hypothèses!$J$22*1000-AF900+Hypothèses!$J$23</f>
        <v>22794.0814091684</v>
      </c>
      <c r="AJ900" s="2" t="n">
        <f aca="false">AI900/AH900</f>
        <v>3.02790669471986</v>
      </c>
      <c r="AK900" s="2" t="n">
        <f aca="false">AI900/(AH900+I900*(12-Hypothèses!$J$24)/12/Hypothèses!$J$19)</f>
        <v>3.00193088524434</v>
      </c>
      <c r="AL900" s="2" t="n">
        <f aca="false">(AD900+AG900+I900/Hypothèses!$J$19)*(1+G900)</f>
        <v>7991.25863340215</v>
      </c>
      <c r="AM900" s="2" t="n">
        <f aca="false">Entrées!$C$54*K900/Hypothèses!$J$19</f>
        <v>22.607415578707</v>
      </c>
      <c r="AN900" s="2" t="n">
        <f aca="false">Y900*1000/AC900</f>
        <v>27.5993222633952</v>
      </c>
      <c r="AO900" s="2" t="n">
        <f aca="false">(Entrées!$C$36*(1-S900)+MAX(0,Entrées!$C$30-Entrées!$C$35-Entrées!$C$36)*U900)*1000</f>
        <v>781.623904171453</v>
      </c>
      <c r="AP900" s="2" t="n">
        <f aca="false">-AO900/W900</f>
        <v>-79.8970022743047</v>
      </c>
      <c r="AQ900" s="2" t="n">
        <f aca="false">AL900+AM900+AN900+AP900</f>
        <v>7961.56836896995</v>
      </c>
      <c r="AR900" s="2" t="n">
        <f aca="false">O900*AQ900-Hypothèses!$J$25/Hypothèses!$J$19</f>
        <v>1333.34872291554</v>
      </c>
      <c r="AS900" s="2" t="n">
        <f aca="false">Entrées!$C$79*(1+Q900)+Hypothèses!$J$20</f>
        <v>1496.27773512868</v>
      </c>
      <c r="AT900" s="2" t="n">
        <f aca="false">AI900-AR900+AS900+Y900*1000-AO900+Hypothèses!$J$23</f>
        <v>22435.8092946317</v>
      </c>
      <c r="AU900" s="2" t="n">
        <f aca="false">AT900/AQ900</f>
        <v>2.81801377000979</v>
      </c>
      <c r="AV900" s="2" t="n">
        <f aca="false">Hypothèses!$J$26*AQ900-AT900</f>
        <v>1448.89581227812</v>
      </c>
      <c r="AW900" s="2" t="n">
        <f aca="false">IF(AC900&gt;Hypothèses!$J$26,MAX(0,AV900)/(1-Hypothèses!$J$26/AC900),0)</f>
        <v>2124.28359690666</v>
      </c>
      <c r="AX900" s="2" t="n">
        <f aca="false">AQ900-Entrées!$C$17*1000</f>
        <v>-38.4316310300519</v>
      </c>
      <c r="AY900" s="2" t="n">
        <f aca="false">AI900+(Entrées!$C$244-Entrées!$C$13)</f>
        <v>28541.0814091684</v>
      </c>
      <c r="AZ900" s="2" t="n">
        <f aca="false">AA900*AH900</f>
        <v>5524.9300159504</v>
      </c>
      <c r="BA900" s="2" t="n">
        <f aca="false">AZ900/AY900</f>
        <v>0.193578159732084</v>
      </c>
      <c r="BB900" s="2" t="n">
        <f aca="false">AZ900/(Entrées!$C$151/100)-AY900</f>
        <v>2152.97423500049</v>
      </c>
      <c r="BC900" s="2" t="n">
        <f aca="false">AT900+(Entrées!$C$244-Entrées!$C$13)</f>
        <v>28182.8092946317</v>
      </c>
      <c r="BD900" s="2" t="n">
        <f aca="false">AA900*AQ900</f>
        <v>5843.13342453185</v>
      </c>
      <c r="BE900" s="2" t="n">
        <f aca="false">BD900/BC900</f>
        <v>0.20732970100482</v>
      </c>
      <c r="BF900" s="2" t="n">
        <f aca="false">BD900/(Entrées!$C$151/100)-BC900</f>
        <v>4279.04306387853</v>
      </c>
      <c r="BG900" s="2" t="n">
        <f aca="false">MIN(AV900,BF900)</f>
        <v>1448.89581227812</v>
      </c>
      <c r="BH900" s="2" t="n">
        <f aca="false">IF(AC900&gt;Hypothèses!$J$26,MAX(0,BG900)/(1-Hypothèses!$J$26/AC900),0)</f>
        <v>2124.28359690666</v>
      </c>
    </row>
    <row r="901" customFormat="false" ht="15" hidden="false" customHeight="false" outlineLevel="0" collapsed="false">
      <c r="A901" s="2" t="n">
        <v>886</v>
      </c>
      <c r="B901" s="2" t="n">
        <v>0.433378453</v>
      </c>
      <c r="C901" s="2"/>
      <c r="D901" s="2" t="n">
        <v>0.392297962</v>
      </c>
      <c r="E901" s="2" t="n">
        <f aca="false">IF(E$7=E$5,E$6,IF(NORMSDIST(E$9*SQRT($C$11)*NORMSINV($B901)+SQRT(1-E$9^2*$C$11)*NORMSINV(D901))&lt;E$8,E$5+SQRT(NORMSDIST(E$9*SQRT($C$11)*NORMSINV($B901)+SQRT(1-E$9^2*$C$11)*NORMSINV(D901))*(E$7-E$5)*(E$6-E$5)),E$7-SQRT((1-NORMSDIST(E$9*SQRT($C$11)*NORMSINV($B901)+SQRT(1-E$9^2*$C$11)*NORMSINV(D901)))*(E$7-E$5)*(E$7-E$6))))</f>
        <v>0.0543318832361537</v>
      </c>
      <c r="F901" s="2" t="n">
        <v>0.554617539</v>
      </c>
      <c r="G901" s="2" t="n">
        <f aca="false">IF(G$7=G$5,G$6,IF(NORMSDIST(G$9*SQRT($C$11)*NORMSINV($B901)+SQRT(1-G$9^2*$C$11)*NORMSINV(F901))&lt;G$8,G$5+SQRT(NORMSDIST(G$9*SQRT($C$11)*NORMSINV($B901)+SQRT(1-G$9^2*$C$11)*NORMSINV(F901))*(G$7-G$5)*(G$6-G$5)),G$7-SQRT((1-NORMSDIST(G$9*SQRT($C$11)*NORMSINV($B901)+SQRT(1-G$9^2*$C$11)*NORMSINV(F901)))*(G$7-G$5)*(G$7-G$6))))</f>
        <v>0.0550015999345543</v>
      </c>
      <c r="H901" s="2" t="n">
        <v>0.804403694</v>
      </c>
      <c r="I901" s="2" t="n">
        <f aca="false">IF(I$7=I$5,I$6,IF(NORMSDIST(I$9*SQRT($C$11)*NORMSINV($B901)+SQRT(1-I$9^2*$C$11)*NORMSINV(H901))&lt;I$8,I$5+SQRT(NORMSDIST(I$9*SQRT($C$11)*NORMSINV($B901)+SQRT(1-I$9^2*$C$11)*NORMSINV(H901))*(I$7-I$5)*(I$6-I$5)),I$7-SQRT((1-NORMSDIST(I$9*SQRT($C$11)*NORMSINV($B901)+SQRT(1-I$9^2*$C$11)*NORMSINV(H901)))*(I$7-I$5)*(I$7-I$6))))</f>
        <v>204.81057535712</v>
      </c>
      <c r="J901" s="2" t="n">
        <v>0.653434739</v>
      </c>
      <c r="K901" s="2" t="n">
        <f aca="false">IF(K$7=K$5,K$6,IF(NORMSDIST(K$9*SQRT($C$11)*NORMSINV($B901)+SQRT(1-K$9^2*$C$11)*NORMSINV(J901))&lt;K$8,K$5+SQRT(NORMSDIST(K$9*SQRT($C$11)*NORMSINV($B901)+SQRT(1-K$9^2*$C$11)*NORMSINV(J901))*(K$7-K$5)*(K$6-K$5)),K$7-SQRT((1-NORMSDIST(K$9*SQRT($C$11)*NORMSINV($B901)+SQRT(1-K$9^2*$C$11)*NORMSINV(J901)))*(K$7-K$5)*(K$7-K$6))))</f>
        <v>0.270621511028343</v>
      </c>
      <c r="L901" s="2" t="n">
        <v>0.840421442</v>
      </c>
      <c r="M901" s="2" t="n">
        <f aca="false">IF(M$7=M$5,M$6,IF(NORMSDIST(M$9*SQRT($C$11)*NORMSINV($B901)+SQRT(1-M$9^2*$C$11)*NORMSINV(L901))&lt;M$8,M$5+SQRT(NORMSDIST(M$9*SQRT($C$11)*NORMSINV($B901)+SQRT(1-M$9^2*$C$11)*NORMSINV(L901))*(M$7-M$5)*(M$6-M$5)),M$7-SQRT((1-NORMSDIST(M$9*SQRT($C$11)*NORMSINV($B901)+SQRT(1-M$9^2*$C$11)*NORMSINV(L901)))*(M$7-M$5)*(M$7-M$6))))</f>
        <v>1650.02131616545</v>
      </c>
      <c r="N901" s="2" t="n">
        <v>0.57388619</v>
      </c>
      <c r="O901" s="2" t="n">
        <f aca="false">IF(O$7=O$5,O$6,IF(NORMSDIST(O$9*SQRT($C$11)*NORMSINV($B901)+SQRT(1-O$9^2*$C$11)*NORMSINV(N901))&lt;O$8,O$5+SQRT(NORMSDIST(O$9*SQRT($C$11)*NORMSINV($B901)+SQRT(1-O$9^2*$C$11)*NORMSINV(N901))*(O$7-O$5)*(O$6-O$5)),O$7-SQRT((1-NORMSDIST(O$9*SQRT($C$11)*NORMSINV($B901)+SQRT(1-O$9^2*$C$11)*NORMSINV(N901)))*(O$7-O$5)*(O$7-O$6))))</f>
        <v>0.167189270184168</v>
      </c>
      <c r="P901" s="2" t="n">
        <v>0.018108951</v>
      </c>
      <c r="Q901" s="2" t="n">
        <f aca="false">IF(Q$7=Q$5,Q$6,IF(NORMSDIST(Q$9*SQRT($C$11)*NORMSINV($B901)+SQRT(1-Q$9^2*$C$11)*NORMSINV(P901))&lt;Q$8,Q$5+SQRT(NORMSDIST(Q$9*SQRT($C$11)*NORMSINV($B901)+SQRT(1-Q$9^2*$C$11)*NORMSINV(P901))*(Q$7-Q$5)*(Q$6-Q$5)),Q$7-SQRT((1-NORMSDIST(Q$9*SQRT($C$11)*NORMSINV($B901)+SQRT(1-Q$9^2*$C$11)*NORMSINV(P901)))*(Q$7-Q$5)*(Q$7-Q$6))))</f>
        <v>0.047612400620041</v>
      </c>
      <c r="R901" s="2" t="n">
        <v>0.744432689</v>
      </c>
      <c r="S901" s="2" t="n">
        <f aca="false">IF(S$7=S$5,S$6,IF(NORMSDIST(S$9*SQRT($C$11)*NORMSINV($B901)+SQRT(1-S$9^2*$C$11)*NORMSINV(R901))&lt;S$8,S$5+SQRT(NORMSDIST(S$9*SQRT($C$11)*NORMSINV($B901)+SQRT(1-S$9^2*$C$11)*NORMSINV(R901))*(S$7-S$5)*(S$6-S$5)),S$7-SQRT((1-NORMSDIST(S$9*SQRT($C$11)*NORMSINV($B901)+SQRT(1-S$9^2*$C$11)*NORMSINV(R901)))*(S$7-S$5)*(S$7-S$6))))</f>
        <v>0.58555564590967</v>
      </c>
      <c r="T901" s="2" t="n">
        <v>0.47175515</v>
      </c>
      <c r="U901" s="2" t="n">
        <f aca="false">IF(U$7=U$5,U$6,IF(NORMSDIST(U$9*SQRT($C$11)*NORMSINV($B901)+SQRT(1-U$9^2*$C$11)*NORMSINV(T901))&lt;U$8,U$5+SQRT(NORMSDIST(U$9*SQRT($C$11)*NORMSINV($B901)+SQRT(1-U$9^2*$C$11)*NORMSINV(T901))*(U$7-U$5)*(U$6-U$5)),U$7-SQRT((1-NORMSDIST(U$9*SQRT($C$11)*NORMSINV($B901)+SQRT(1-U$9^2*$C$11)*NORMSINV(T901)))*(U$7-U$5)*(U$7-U$6))))</f>
        <v>0.466929752907066</v>
      </c>
      <c r="V901" s="2" t="n">
        <v>0.352226291</v>
      </c>
      <c r="W901" s="2" t="n">
        <f aca="false">IF(W$7=W$5,W$6,IF(NORMSDIST(W$9*SQRT($C$11)*NORMSINV($B901)+SQRT(1-W$9^2*$C$11)*NORMSINV(V901))&lt;W$8,W$5+SQRT(NORMSDIST(W$9*SQRT($C$11)*NORMSINV($B901)+SQRT(1-W$9^2*$C$11)*NORMSINV(V901))*(W$7-W$5)*(W$6-W$5)),W$7-SQRT((1-NORMSDIST(W$9*SQRT($C$11)*NORMSINV($B901)+SQRT(1-W$9^2*$C$11)*NORMSINV(V901)))*(W$7-W$5)*(W$7-W$6))))</f>
        <v>9.66037066932034</v>
      </c>
      <c r="X901" s="2" t="n">
        <v>0.720704569</v>
      </c>
      <c r="Y901" s="2" t="n">
        <f aca="false">IF(Y$7=Y$5,Y$6,IF(NORMSDIST(Y$9*SQRT($C$11)*NORMSINV($B901)+SQRT(1-Y$9^2*$C$11)*NORMSINV(X901))&lt;Y$8,Y$5+SQRT(NORMSDIST(Y$9*SQRT($C$11)*NORMSINV($B901)+SQRT(1-Y$9^2*$C$11)*NORMSINV(X901))*(Y$7-Y$5)*(Y$6-Y$5)),Y$7-SQRT((1-NORMSDIST(Y$9*SQRT($C$11)*NORMSINV($B901)+SQRT(1-Y$9^2*$C$11)*NORMSINV(X901)))*(Y$7-Y$5)*(Y$7-Y$6))))</f>
        <v>0.6263053178061</v>
      </c>
      <c r="Z901" s="2" t="n">
        <v>0.196244671</v>
      </c>
      <c r="AA901" s="2" t="n">
        <f aca="false">IF(AA$7=AA$5,AA$6,IF(NORMSDIST(AA$9*SQRT($C$11)*NORMSINV($B901)+SQRT(1-AA$9^2*$C$11)*NORMSINV(Z901))&lt;AA$8,AA$5+SQRT(NORMSDIST(AA$9*SQRT($C$11)*NORMSINV($B901)+SQRT(1-AA$9^2*$C$11)*NORMSINV(Z901))*(AA$7-AA$5)*(AA$6-AA$5)),AA$7-SQRT((1-NORMSDIST(AA$9*SQRT($C$11)*NORMSINV($B901)+SQRT(1-AA$9^2*$C$11)*NORMSINV(Z901)))*(AA$7-AA$5)*(AA$7-AA$6))))</f>
        <v>0.717085523034539</v>
      </c>
      <c r="AB901" s="2" t="n">
        <v>0.793447224</v>
      </c>
      <c r="AC901" s="2" t="n">
        <f aca="false">IF(AC$7=AC$5,AC$6,IF(NORMSDIST(AC$9*SQRT($C$11)*NORMSINV($B901)+SQRT(1-AC$9^2*$C$11)*NORMSINV(AB901))&lt;AC$8,AC$5+SQRT(NORMSDIST(AC$9*SQRT($C$11)*NORMSINV($B901)+SQRT(1-AC$9^2*$C$11)*NORMSINV(AB901))*(AC$7-AC$5)*(AC$6-AC$5)),AC$7-SQRT((1-NORMSDIST(AC$9*SQRT($C$11)*NORMSINV($B901)+SQRT(1-AC$9^2*$C$11)*NORMSINV(AB901)))*(AC$7-AC$5)*(AC$7-AC$6))))</f>
        <v>9.86385492263867</v>
      </c>
      <c r="AD901" s="2" t="n">
        <f aca="false">Entrées!$C$8*(1+E901)</f>
        <v>7433.03977681488</v>
      </c>
      <c r="AE901" s="2" t="n">
        <f aca="false">I901*Hypothèses!$J$24/12/Hypothèses!$J$19</f>
        <v>101.605870912919</v>
      </c>
      <c r="AF901" s="2" t="n">
        <f aca="false">Entrées!$C$36*S901*1000</f>
        <v>292.777822954835</v>
      </c>
      <c r="AG901" s="2" t="n">
        <f aca="false">-AF901/W901</f>
        <v>-30.3071003149648</v>
      </c>
      <c r="AH901" s="2" t="n">
        <f aca="false">AD901+AE901+AG901</f>
        <v>7504.33854741284</v>
      </c>
      <c r="AI901" s="2" t="n">
        <f aca="false">Entrées!$C$16-M901+Hypothèses!$J$22*1000-AF901+Hypothèses!$J$23</f>
        <v>22605.2008608797</v>
      </c>
      <c r="AJ901" s="2" t="n">
        <f aca="false">AI901/AH901</f>
        <v>3.012284256375</v>
      </c>
      <c r="AK901" s="2" t="n">
        <f aca="false">AI901/(AH901+I901*(12-Hypothèses!$J$24)/12/Hypothèses!$J$19)</f>
        <v>2.98343103210721</v>
      </c>
      <c r="AL901" s="2" t="n">
        <f aca="false">(AD901+AG901+I901/Hypothèses!$J$19)*(1+G901)</f>
        <v>7993.65657138243</v>
      </c>
      <c r="AM901" s="2" t="n">
        <f aca="false">Entrées!$C$54*K901/Hypothèses!$J$19</f>
        <v>27.6180614667399</v>
      </c>
      <c r="AN901" s="2" t="n">
        <f aca="false">Y901*1000/AC901</f>
        <v>63.4949847415799</v>
      </c>
      <c r="AO901" s="2" t="n">
        <f aca="false">(Entrées!$C$36*(1-S901)+MAX(0,Entrées!$C$30-Entrées!$C$35-Entrées!$C$36)*U901)*1000</f>
        <v>860.923831115058</v>
      </c>
      <c r="AP901" s="2" t="n">
        <f aca="false">-AO901/W901</f>
        <v>-89.119130164353</v>
      </c>
      <c r="AQ901" s="2" t="n">
        <f aca="false">AL901+AM901+AN901+AP901</f>
        <v>7995.6504874264</v>
      </c>
      <c r="AR901" s="2" t="n">
        <f aca="false">O901*AQ901-Hypothèses!$J$25/Hypothèses!$J$19</f>
        <v>1317.65180737888</v>
      </c>
      <c r="AS901" s="2" t="n">
        <f aca="false">Entrées!$C$79*(1+Q901)+Hypothèses!$J$20</f>
        <v>1446.32602828143</v>
      </c>
      <c r="AT901" s="2" t="n">
        <f aca="false">AI901-AR901+AS901+Y901*1000-AO901+Hypothèses!$J$23</f>
        <v>22499.2565684733</v>
      </c>
      <c r="AU901" s="2" t="n">
        <f aca="false">AT901/AQ901</f>
        <v>2.81393697784247</v>
      </c>
      <c r="AV901" s="2" t="n">
        <f aca="false">Hypothèses!$J$26*AQ901-AT901</f>
        <v>1487.6948938059</v>
      </c>
      <c r="AW901" s="2" t="n">
        <f aca="false">IF(AC901&gt;Hypothèses!$J$26,MAX(0,AV901)/(1-Hypothèses!$J$26/AC901),0)</f>
        <v>2137.92493679492</v>
      </c>
      <c r="AX901" s="2" t="n">
        <f aca="false">AQ901-Entrées!$C$17*1000</f>
        <v>-4.34951257360081</v>
      </c>
      <c r="AY901" s="2" t="n">
        <f aca="false">AI901+(Entrées!$C$244-Entrées!$C$13)</f>
        <v>28352.2008608797</v>
      </c>
      <c r="AZ901" s="2" t="n">
        <f aca="false">AA901*AH901</f>
        <v>5381.25253229979</v>
      </c>
      <c r="BA901" s="2" t="n">
        <f aca="false">AZ901/AY901</f>
        <v>0.189800169613105</v>
      </c>
      <c r="BB901" s="2" t="n">
        <f aca="false">AZ901/(Entrées!$C$151/100)-AY901</f>
        <v>1543.64654078579</v>
      </c>
      <c r="BC901" s="2" t="n">
        <f aca="false">AT901+(Entrées!$C$244-Entrées!$C$13)</f>
        <v>28246.2565684733</v>
      </c>
      <c r="BD901" s="2" t="n">
        <f aca="false">AA901*AQ901</f>
        <v>5733.56521177753</v>
      </c>
      <c r="BE901" s="2" t="n">
        <f aca="false">BD901/BC901</f>
        <v>0.202984958303359</v>
      </c>
      <c r="BF901" s="2" t="n">
        <f aca="false">BD901/(Entrées!$C$151/100)-BC901</f>
        <v>3606.88349695743</v>
      </c>
      <c r="BG901" s="2" t="n">
        <f aca="false">MIN(AV901,BF901)</f>
        <v>1487.6948938059</v>
      </c>
      <c r="BH901" s="2" t="n">
        <f aca="false">IF(AC901&gt;Hypothèses!$J$26,MAX(0,BG901)/(1-Hypothèses!$J$26/AC901),0)</f>
        <v>2137.92493679492</v>
      </c>
    </row>
    <row r="902" customFormat="false" ht="15" hidden="false" customHeight="false" outlineLevel="0" collapsed="false">
      <c r="A902" s="2" t="n">
        <v>887</v>
      </c>
      <c r="B902" s="2" t="n">
        <v>0.857396857</v>
      </c>
      <c r="C902" s="2"/>
      <c r="D902" s="2" t="n">
        <v>0.843401361</v>
      </c>
      <c r="E902" s="2" t="n">
        <f aca="false">IF(E$7=E$5,E$6,IF(NORMSDIST(E$9*SQRT($C$11)*NORMSINV($B902)+SQRT(1-E$9^2*$C$11)*NORMSINV(D902))&lt;E$8,E$5+SQRT(NORMSDIST(E$9*SQRT($C$11)*NORMSINV($B902)+SQRT(1-E$9^2*$C$11)*NORMSINV(D902))*(E$7-E$5)*(E$6-E$5)),E$7-SQRT((1-NORMSDIST(E$9*SQRT($C$11)*NORMSINV($B902)+SQRT(1-E$9^2*$C$11)*NORMSINV(D902)))*(E$7-E$5)*(E$7-E$6))))</f>
        <v>0.0580954952672965</v>
      </c>
      <c r="F902" s="2" t="n">
        <v>0.749874502</v>
      </c>
      <c r="G902" s="2" t="n">
        <f aca="false">IF(G$7=G$5,G$6,IF(NORMSDIST(G$9*SQRT($C$11)*NORMSINV($B902)+SQRT(1-G$9^2*$C$11)*NORMSINV(F902))&lt;G$8,G$5+SQRT(NORMSDIST(G$9*SQRT($C$11)*NORMSINV($B902)+SQRT(1-G$9^2*$C$11)*NORMSINV(F902))*(G$7-G$5)*(G$6-G$5)),G$7-SQRT((1-NORMSDIST(G$9*SQRT($C$11)*NORMSINV($B902)+SQRT(1-G$9^2*$C$11)*NORMSINV(F902)))*(G$7-G$5)*(G$7-G$6))))</f>
        <v>0.0627922596444126</v>
      </c>
      <c r="H902" s="2" t="n">
        <v>0.158549863</v>
      </c>
      <c r="I902" s="2" t="n">
        <f aca="false">IF(I$7=I$5,I$6,IF(NORMSDIST(I$9*SQRT($C$11)*NORMSINV($B902)+SQRT(1-I$9^2*$C$11)*NORMSINV(H902))&lt;I$8,I$5+SQRT(NORMSDIST(I$9*SQRT($C$11)*NORMSINV($B902)+SQRT(1-I$9^2*$C$11)*NORMSINV(H902))*(I$7-I$5)*(I$6-I$5)),I$7-SQRT((1-NORMSDIST(I$9*SQRT($C$11)*NORMSINV($B902)+SQRT(1-I$9^2*$C$11)*NORMSINV(H902)))*(I$7-I$5)*(I$7-I$6))))</f>
        <v>199.194934265944</v>
      </c>
      <c r="J902" s="2" t="n">
        <v>0.822225</v>
      </c>
      <c r="K902" s="2" t="n">
        <f aca="false">IF(K$7=K$5,K$6,IF(NORMSDIST(K$9*SQRT($C$11)*NORMSINV($B902)+SQRT(1-K$9^2*$C$11)*NORMSINV(J902))&lt;K$8,K$5+SQRT(NORMSDIST(K$9*SQRT($C$11)*NORMSINV($B902)+SQRT(1-K$9^2*$C$11)*NORMSINV(J902))*(K$7-K$5)*(K$6-K$5)),K$7-SQRT((1-NORMSDIST(K$9*SQRT($C$11)*NORMSINV($B902)+SQRT(1-K$9^2*$C$11)*NORMSINV(J902)))*(K$7-K$5)*(K$7-K$6))))</f>
        <v>0.398738270967869</v>
      </c>
      <c r="L902" s="2" t="n">
        <v>0.505499687</v>
      </c>
      <c r="M902" s="2" t="n">
        <f aca="false">IF(M$7=M$5,M$6,IF(NORMSDIST(M$9*SQRT($C$11)*NORMSINV($B902)+SQRT(1-M$9^2*$C$11)*NORMSINV(L902))&lt;M$8,M$5+SQRT(NORMSDIST(M$9*SQRT($C$11)*NORMSINV($B902)+SQRT(1-M$9^2*$C$11)*NORMSINV(L902))*(M$7-M$5)*(M$6-M$5)),M$7-SQRT((1-NORMSDIST(M$9*SQRT($C$11)*NORMSINV($B902)+SQRT(1-M$9^2*$C$11)*NORMSINV(L902)))*(M$7-M$5)*(M$7-M$6))))</f>
        <v>1651.90838579233</v>
      </c>
      <c r="N902" s="2" t="n">
        <v>0.928171922</v>
      </c>
      <c r="O902" s="2" t="n">
        <f aca="false">IF(O$7=O$5,O$6,IF(NORMSDIST(O$9*SQRT($C$11)*NORMSINV($B902)+SQRT(1-O$9^2*$C$11)*NORMSINV(N902))&lt;O$8,O$5+SQRT(NORMSDIST(O$9*SQRT($C$11)*NORMSINV($B902)+SQRT(1-O$9^2*$C$11)*NORMSINV(N902))*(O$7-O$5)*(O$6-O$5)),O$7-SQRT((1-NORMSDIST(O$9*SQRT($C$11)*NORMSINV($B902)+SQRT(1-O$9^2*$C$11)*NORMSINV(N902)))*(O$7-O$5)*(O$7-O$6))))</f>
        <v>0.183871840736118</v>
      </c>
      <c r="P902" s="2" t="n">
        <v>0.235357814</v>
      </c>
      <c r="Q902" s="2" t="n">
        <f aca="false">IF(Q$7=Q$5,Q$6,IF(NORMSDIST(Q$9*SQRT($C$11)*NORMSINV($B902)+SQRT(1-Q$9^2*$C$11)*NORMSINV(P902))&lt;Q$8,Q$5+SQRT(NORMSDIST(Q$9*SQRT($C$11)*NORMSINV($B902)+SQRT(1-Q$9^2*$C$11)*NORMSINV(P902))*(Q$7-Q$5)*(Q$6-Q$5)),Q$7-SQRT((1-NORMSDIST(Q$9*SQRT($C$11)*NORMSINV($B902)+SQRT(1-Q$9^2*$C$11)*NORMSINV(P902)))*(Q$7-Q$5)*(Q$7-Q$6))))</f>
        <v>0.0674434874751734</v>
      </c>
      <c r="R902" s="2" t="n">
        <v>0.196386076</v>
      </c>
      <c r="S902" s="2" t="n">
        <f aca="false">IF(S$7=S$5,S$6,IF(NORMSDIST(S$9*SQRT($C$11)*NORMSINV($B902)+SQRT(1-S$9^2*$C$11)*NORMSINV(R902))&lt;S$8,S$5+SQRT(NORMSDIST(S$9*SQRT($C$11)*NORMSINV($B902)+SQRT(1-S$9^2*$C$11)*NORMSINV(R902))*(S$7-S$5)*(S$6-S$5)),S$7-SQRT((1-NORMSDIST(S$9*SQRT($C$11)*NORMSINV($B902)+SQRT(1-S$9^2*$C$11)*NORMSINV(R902)))*(S$7-S$5)*(S$7-S$6))))</f>
        <v>0.502786760645075</v>
      </c>
      <c r="T902" s="2" t="n">
        <v>0.969581646</v>
      </c>
      <c r="U902" s="2" t="n">
        <f aca="false">IF(U$7=U$5,U$6,IF(NORMSDIST(U$9*SQRT($C$11)*NORMSINV($B902)+SQRT(1-U$9^2*$C$11)*NORMSINV(T902))&lt;U$8,U$5+SQRT(NORMSDIST(U$9*SQRT($C$11)*NORMSINV($B902)+SQRT(1-U$9^2*$C$11)*NORMSINV(T902))*(U$7-U$5)*(U$6-U$5)),U$7-SQRT((1-NORMSDIST(U$9*SQRT($C$11)*NORMSINV($B902)+SQRT(1-U$9^2*$C$11)*NORMSINV(T902)))*(U$7-U$5)*(U$7-U$6))))</f>
        <v>0.908710544081659</v>
      </c>
      <c r="V902" s="2" t="n">
        <v>0.442147511</v>
      </c>
      <c r="W902" s="2" t="n">
        <f aca="false">IF(W$7=W$5,W$6,IF(NORMSDIST(W$9*SQRT($C$11)*NORMSINV($B902)+SQRT(1-W$9^2*$C$11)*NORMSINV(V902))&lt;W$8,W$5+SQRT(NORMSDIST(W$9*SQRT($C$11)*NORMSINV($B902)+SQRT(1-W$9^2*$C$11)*NORMSINV(V902))*(W$7-W$5)*(W$6-W$5)),W$7-SQRT((1-NORMSDIST(W$9*SQRT($C$11)*NORMSINV($B902)+SQRT(1-W$9^2*$C$11)*NORMSINV(V902)))*(W$7-W$5)*(W$7-W$6))))</f>
        <v>10.4856510516569</v>
      </c>
      <c r="X902" s="2" t="n">
        <v>0.685059432</v>
      </c>
      <c r="Y902" s="2" t="n">
        <f aca="false">IF(Y$7=Y$5,Y$6,IF(NORMSDIST(Y$9*SQRT($C$11)*NORMSINV($B902)+SQRT(1-Y$9^2*$C$11)*NORMSINV(X902))&lt;Y$8,Y$5+SQRT(NORMSDIST(Y$9*SQRT($C$11)*NORMSINV($B902)+SQRT(1-Y$9^2*$C$11)*NORMSINV(X902))*(Y$7-Y$5)*(Y$6-Y$5)),Y$7-SQRT((1-NORMSDIST(Y$9*SQRT($C$11)*NORMSINV($B902)+SQRT(1-Y$9^2*$C$11)*NORMSINV(X902)))*(Y$7-Y$5)*(Y$7-Y$6))))</f>
        <v>0.603174743747327</v>
      </c>
      <c r="Z902" s="2" t="n">
        <v>0.283561967</v>
      </c>
      <c r="AA902" s="2" t="n">
        <f aca="false">IF(AA$7=AA$5,AA$6,IF(NORMSDIST(AA$9*SQRT($C$11)*NORMSINV($B902)+SQRT(1-AA$9^2*$C$11)*NORMSINV(Z902))&lt;AA$8,AA$5+SQRT(NORMSDIST(AA$9*SQRT($C$11)*NORMSINV($B902)+SQRT(1-AA$9^2*$C$11)*NORMSINV(Z902))*(AA$7-AA$5)*(AA$6-AA$5)),AA$7-SQRT((1-NORMSDIST(AA$9*SQRT($C$11)*NORMSINV($B902)+SQRT(1-AA$9^2*$C$11)*NORMSINV(Z902)))*(AA$7-AA$5)*(AA$7-AA$6))))</f>
        <v>0.730934669068627</v>
      </c>
      <c r="AB902" s="2" t="n">
        <v>0.847713294</v>
      </c>
      <c r="AC902" s="2" t="n">
        <f aca="false">IF(AC$7=AC$5,AC$6,IF(NORMSDIST(AC$9*SQRT($C$11)*NORMSINV($B902)+SQRT(1-AC$9^2*$C$11)*NORMSINV(AB902))&lt;AC$8,AC$5+SQRT(NORMSDIST(AC$9*SQRT($C$11)*NORMSINV($B902)+SQRT(1-AC$9^2*$C$11)*NORMSINV(AB902))*(AC$7-AC$5)*(AC$6-AC$5)),AC$7-SQRT((1-NORMSDIST(AC$9*SQRT($C$11)*NORMSINV($B902)+SQRT(1-AC$9^2*$C$11)*NORMSINV(AB902)))*(AC$7-AC$5)*(AC$7-AC$6))))</f>
        <v>10.4476469234234</v>
      </c>
      <c r="AD902" s="2" t="n">
        <f aca="false">Entrées!$C$8*(1+E902)</f>
        <v>7459.57324163444</v>
      </c>
      <c r="AE902" s="2" t="n">
        <f aca="false">I902*Hypothèses!$J$24/12/Hypothèses!$J$19</f>
        <v>98.8199693411453</v>
      </c>
      <c r="AF902" s="2" t="n">
        <f aca="false">Entrées!$C$36*S902*1000</f>
        <v>251.393380322537</v>
      </c>
      <c r="AG902" s="2" t="n">
        <f aca="false">-AF902/W902</f>
        <v>-23.9749901159274</v>
      </c>
      <c r="AH902" s="2" t="n">
        <f aca="false">AD902+AE902+AG902</f>
        <v>7534.41822085966</v>
      </c>
      <c r="AI902" s="2" t="n">
        <f aca="false">Entrées!$C$16-M902+Hypothèses!$J$22*1000-AF902+Hypothèses!$J$23</f>
        <v>22644.6982338851</v>
      </c>
      <c r="AJ902" s="2" t="n">
        <f aca="false">AI902/AH902</f>
        <v>3.0055005668774</v>
      </c>
      <c r="AK902" s="2" t="n">
        <f aca="false">AI902/(AH902+I902*(12-Hypothèses!$J$24)/12/Hypothèses!$J$19)</f>
        <v>2.97760507321281</v>
      </c>
      <c r="AL902" s="2" t="n">
        <f aca="false">(AD902+AG902+I902/Hypothèses!$J$19)*(1+G902)</f>
        <v>8082.53929356352</v>
      </c>
      <c r="AM902" s="2" t="n">
        <f aca="false">Entrées!$C$54*K902/Hypothèses!$J$19</f>
        <v>40.6929147460819</v>
      </c>
      <c r="AN902" s="2" t="n">
        <f aca="false">Y902*1000/AC902</f>
        <v>57.733071204294</v>
      </c>
      <c r="AO902" s="2" t="n">
        <f aca="false">(Entrées!$C$36*(1-S902)+MAX(0,Entrées!$C$30-Entrées!$C$35-Entrées!$C$36)*U902)*1000</f>
        <v>1520.80138139178</v>
      </c>
      <c r="AP902" s="2" t="n">
        <f aca="false">-AO902/W902</f>
        <v>-145.03642872528</v>
      </c>
      <c r="AQ902" s="2" t="n">
        <f aca="false">AL902+AM902+AN902+AP902</f>
        <v>8035.92885078862</v>
      </c>
      <c r="AR902" s="2" t="n">
        <f aca="false">O902*AQ902-Hypothèses!$J$25/Hypothèses!$J$19</f>
        <v>1458.44586755735</v>
      </c>
      <c r="AS902" s="2" t="n">
        <f aca="false">Entrées!$C$79*(1+Q902)+Hypothèses!$J$20</f>
        <v>1468.12039273522</v>
      </c>
      <c r="AT902" s="2" t="n">
        <f aca="false">AI902-AR902+AS902+Y902*1000-AO902+Hypothèses!$J$23</f>
        <v>21736.7461214185</v>
      </c>
      <c r="AU902" s="2" t="n">
        <f aca="false">AT902/AQ902</f>
        <v>2.70494506920446</v>
      </c>
      <c r="AV902" s="2" t="n">
        <f aca="false">Hypothèses!$J$26*AQ902-AT902</f>
        <v>2371.04043094731</v>
      </c>
      <c r="AW902" s="2" t="n">
        <f aca="false">IF(AC902&gt;Hypothèses!$J$26,MAX(0,AV902)/(1-Hypothèses!$J$26/AC902),0)</f>
        <v>3326.12347475684</v>
      </c>
      <c r="AX902" s="2" t="n">
        <f aca="false">AQ902-Entrées!$C$17*1000</f>
        <v>35.9288507886158</v>
      </c>
      <c r="AY902" s="2" t="n">
        <f aca="false">AI902+(Entrées!$C$244-Entrées!$C$13)</f>
        <v>28391.6982338851</v>
      </c>
      <c r="AZ902" s="2" t="n">
        <f aca="false">AA902*AH902</f>
        <v>5507.16748888869</v>
      </c>
      <c r="BA902" s="2" t="n">
        <f aca="false">AZ902/AY902</f>
        <v>0.193971048984874</v>
      </c>
      <c r="BB902" s="2" t="n">
        <f aca="false">AZ902/(Entrées!$C$151/100)-AY902</f>
        <v>2203.67670438535</v>
      </c>
      <c r="BC902" s="2" t="n">
        <f aca="false">AT902+(Entrées!$C$244-Entrées!$C$13)</f>
        <v>27483.7461214185</v>
      </c>
      <c r="BD902" s="2" t="n">
        <f aca="false">AA902*AQ902</f>
        <v>5873.73899521021</v>
      </c>
      <c r="BE902" s="2" t="n">
        <f aca="false">BD902/BC902</f>
        <v>0.213716826274738</v>
      </c>
      <c r="BF902" s="2" t="n">
        <f aca="false">BD902/(Entrées!$C$151/100)-BC902</f>
        <v>5148.13718530484</v>
      </c>
      <c r="BG902" s="2" t="n">
        <f aca="false">MIN(AV902,BF902)</f>
        <v>2371.04043094731</v>
      </c>
      <c r="BH902" s="2" t="n">
        <f aca="false">IF(AC902&gt;Hypothèses!$J$26,MAX(0,BG902)/(1-Hypothèses!$J$26/AC902),0)</f>
        <v>3326.12347475684</v>
      </c>
    </row>
    <row r="903" customFormat="false" ht="15" hidden="false" customHeight="false" outlineLevel="0" collapsed="false">
      <c r="A903" s="2" t="n">
        <v>888</v>
      </c>
      <c r="B903" s="2" t="n">
        <v>0.808782772</v>
      </c>
      <c r="C903" s="2"/>
      <c r="D903" s="2" t="n">
        <v>0.002330023</v>
      </c>
      <c r="E903" s="2" t="n">
        <f aca="false">IF(E$7=E$5,E$6,IF(NORMSDIST(E$9*SQRT($C$11)*NORMSINV($B903)+SQRT(1-E$9^2*$C$11)*NORMSINV(D903))&lt;E$8,E$5+SQRT(NORMSDIST(E$9*SQRT($C$11)*NORMSINV($B903)+SQRT(1-E$9^2*$C$11)*NORMSINV(D903))*(E$7-E$5)*(E$6-E$5)),E$7-SQRT((1-NORMSDIST(E$9*SQRT($C$11)*NORMSINV($B903)+SQRT(1-E$9^2*$C$11)*NORMSINV(D903)))*(E$7-E$5)*(E$7-E$6))))</f>
        <v>0.0515899972370053</v>
      </c>
      <c r="F903" s="2" t="n">
        <v>0.987607116</v>
      </c>
      <c r="G903" s="2" t="n">
        <f aca="false">IF(G$7=G$5,G$6,IF(NORMSDIST(G$9*SQRT($C$11)*NORMSINV($B903)+SQRT(1-G$9^2*$C$11)*NORMSINV(F903))&lt;G$8,G$5+SQRT(NORMSDIST(G$9*SQRT($C$11)*NORMSINV($B903)+SQRT(1-G$9^2*$C$11)*NORMSINV(F903))*(G$7-G$5)*(G$6-G$5)),G$7-SQRT((1-NORMSDIST(G$9*SQRT($C$11)*NORMSINV($B903)+SQRT(1-G$9^2*$C$11)*NORMSINV(F903)))*(G$7-G$5)*(G$7-G$6))))</f>
        <v>0.0677774472105969</v>
      </c>
      <c r="H903" s="2" t="n">
        <v>0.778261037</v>
      </c>
      <c r="I903" s="2" t="n">
        <f aca="false">IF(I$7=I$5,I$6,IF(NORMSDIST(I$9*SQRT($C$11)*NORMSINV($B903)+SQRT(1-I$9^2*$C$11)*NORMSINV(H903))&lt;I$8,I$5+SQRT(NORMSDIST(I$9*SQRT($C$11)*NORMSINV($B903)+SQRT(1-I$9^2*$C$11)*NORMSINV(H903))*(I$7-I$5)*(I$6-I$5)),I$7-SQRT((1-NORMSDIST(I$9*SQRT($C$11)*NORMSINV($B903)+SQRT(1-I$9^2*$C$11)*NORMSINV(H903)))*(I$7-I$5)*(I$7-I$6))))</f>
        <v>209.96414746101</v>
      </c>
      <c r="J903" s="2" t="n">
        <v>0.540749072</v>
      </c>
      <c r="K903" s="2" t="n">
        <f aca="false">IF(K$7=K$5,K$6,IF(NORMSDIST(K$9*SQRT($C$11)*NORMSINV($B903)+SQRT(1-K$9^2*$C$11)*NORMSINV(J903))&lt;K$8,K$5+SQRT(NORMSDIST(K$9*SQRT($C$11)*NORMSINV($B903)+SQRT(1-K$9^2*$C$11)*NORMSINV(J903))*(K$7-K$5)*(K$6-K$5)),K$7-SQRT((1-NORMSDIST(K$9*SQRT($C$11)*NORMSINV($B903)+SQRT(1-K$9^2*$C$11)*NORMSINV(J903)))*(K$7-K$5)*(K$7-K$6))))</f>
        <v>0.318407852128795</v>
      </c>
      <c r="L903" s="2" t="n">
        <v>0.858716002</v>
      </c>
      <c r="M903" s="2" t="n">
        <f aca="false">IF(M$7=M$5,M$6,IF(NORMSDIST(M$9*SQRT($C$11)*NORMSINV($B903)+SQRT(1-M$9^2*$C$11)*NORMSINV(L903))&lt;M$8,M$5+SQRT(NORMSDIST(M$9*SQRT($C$11)*NORMSINV($B903)+SQRT(1-M$9^2*$C$11)*NORMSINV(L903))*(M$7-M$5)*(M$6-M$5)),M$7-SQRT((1-NORMSDIST(M$9*SQRT($C$11)*NORMSINV($B903)+SQRT(1-M$9^2*$C$11)*NORMSINV(L903)))*(M$7-M$5)*(M$7-M$6))))</f>
        <v>1710.58196213765</v>
      </c>
      <c r="N903" s="2" t="n">
        <v>0.816071346</v>
      </c>
      <c r="O903" s="2" t="n">
        <f aca="false">IF(O$7=O$5,O$6,IF(NORMSDIST(O$9*SQRT($C$11)*NORMSINV($B903)+SQRT(1-O$9^2*$C$11)*NORMSINV(N903))&lt;O$8,O$5+SQRT(NORMSDIST(O$9*SQRT($C$11)*NORMSINV($B903)+SQRT(1-O$9^2*$C$11)*NORMSINV(N903))*(O$7-O$5)*(O$6-O$5)),O$7-SQRT((1-NORMSDIST(O$9*SQRT($C$11)*NORMSINV($B903)+SQRT(1-O$9^2*$C$11)*NORMSINV(N903)))*(O$7-O$5)*(O$7-O$6))))</f>
        <v>0.179390946849028</v>
      </c>
      <c r="P903" s="2" t="n">
        <v>0.248555723</v>
      </c>
      <c r="Q903" s="2" t="n">
        <f aca="false">IF(Q$7=Q$5,Q$6,IF(NORMSDIST(Q$9*SQRT($C$11)*NORMSINV($B903)+SQRT(1-Q$9^2*$C$11)*NORMSINV(P903))&lt;Q$8,Q$5+SQRT(NORMSDIST(Q$9*SQRT($C$11)*NORMSINV($B903)+SQRT(1-Q$9^2*$C$11)*NORMSINV(P903))*(Q$7-Q$5)*(Q$6-Q$5)),Q$7-SQRT((1-NORMSDIST(Q$9*SQRT($C$11)*NORMSINV($B903)+SQRT(1-Q$9^2*$C$11)*NORMSINV(P903)))*(Q$7-Q$5)*(Q$7-Q$6))))</f>
        <v>0.0682024522621704</v>
      </c>
      <c r="R903" s="2" t="n">
        <v>0.719848587</v>
      </c>
      <c r="S903" s="2" t="n">
        <f aca="false">IF(S$7=S$5,S$6,IF(NORMSDIST(S$9*SQRT($C$11)*NORMSINV($B903)+SQRT(1-S$9^2*$C$11)*NORMSINV(R903))&lt;S$8,S$5+SQRT(NORMSDIST(S$9*SQRT($C$11)*NORMSINV($B903)+SQRT(1-S$9^2*$C$11)*NORMSINV(R903))*(S$7-S$5)*(S$6-S$5)),S$7-SQRT((1-NORMSDIST(S$9*SQRT($C$11)*NORMSINV($B903)+SQRT(1-S$9^2*$C$11)*NORMSINV(R903)))*(S$7-S$5)*(S$7-S$6))))</f>
        <v>0.719103610191578</v>
      </c>
      <c r="T903" s="2" t="n">
        <v>0.267247819</v>
      </c>
      <c r="U903" s="2" t="n">
        <f aca="false">IF(U$7=U$5,U$6,IF(NORMSDIST(U$9*SQRT($C$11)*NORMSINV($B903)+SQRT(1-U$9^2*$C$11)*NORMSINV(T903))&lt;U$8,U$5+SQRT(NORMSDIST(U$9*SQRT($C$11)*NORMSINV($B903)+SQRT(1-U$9^2*$C$11)*NORMSINV(T903))*(U$7-U$5)*(U$6-U$5)),U$7-SQRT((1-NORMSDIST(U$9*SQRT($C$11)*NORMSINV($B903)+SQRT(1-U$9^2*$C$11)*NORMSINV(T903)))*(U$7-U$5)*(U$7-U$6))))</f>
        <v>0.514408310210037</v>
      </c>
      <c r="V903" s="2" t="n">
        <v>0.945976127</v>
      </c>
      <c r="W903" s="2" t="n">
        <f aca="false">IF(W$7=W$5,W$6,IF(NORMSDIST(W$9*SQRT($C$11)*NORMSINV($B903)+SQRT(1-W$9^2*$C$11)*NORMSINV(V903))&lt;W$8,W$5+SQRT(NORMSDIST(W$9*SQRT($C$11)*NORMSINV($B903)+SQRT(1-W$9^2*$C$11)*NORMSINV(V903))*(W$7-W$5)*(W$6-W$5)),W$7-SQRT((1-NORMSDIST(W$9*SQRT($C$11)*NORMSINV($B903)+SQRT(1-W$9^2*$C$11)*NORMSINV(V903)))*(W$7-W$5)*(W$7-W$6))))</f>
        <v>11.4622119541806</v>
      </c>
      <c r="X903" s="2" t="n">
        <v>0.618339967</v>
      </c>
      <c r="Y903" s="2" t="n">
        <f aca="false">IF(Y$7=Y$5,Y$6,IF(NORMSDIST(Y$9*SQRT($C$11)*NORMSINV($B903)+SQRT(1-Y$9^2*$C$11)*NORMSINV(X903))&lt;Y$8,Y$5+SQRT(NORMSDIST(Y$9*SQRT($C$11)*NORMSINV($B903)+SQRT(1-Y$9^2*$C$11)*NORMSINV(X903))*(Y$7-Y$5)*(Y$6-Y$5)),Y$7-SQRT((1-NORMSDIST(Y$9*SQRT($C$11)*NORMSINV($B903)+SQRT(1-Y$9^2*$C$11)*NORMSINV(X903)))*(Y$7-Y$5)*(Y$7-Y$6))))</f>
        <v>0.563159048966331</v>
      </c>
      <c r="Z903" s="2" t="n">
        <v>0.705375386</v>
      </c>
      <c r="AA903" s="2" t="n">
        <f aca="false">IF(AA$7=AA$5,AA$6,IF(NORMSDIST(AA$9*SQRT($C$11)*NORMSINV($B903)+SQRT(1-AA$9^2*$C$11)*NORMSINV(Z903))&lt;AA$8,AA$5+SQRT(NORMSDIST(AA$9*SQRT($C$11)*NORMSINV($B903)+SQRT(1-AA$9^2*$C$11)*NORMSINV(Z903))*(AA$7-AA$5)*(AA$6-AA$5)),AA$7-SQRT((1-NORMSDIST(AA$9*SQRT($C$11)*NORMSINV($B903)+SQRT(1-AA$9^2*$C$11)*NORMSINV(Z903)))*(AA$7-AA$5)*(AA$7-AA$6))))</f>
        <v>0.739269152398504</v>
      </c>
      <c r="AB903" s="2" t="n">
        <v>0.583844564</v>
      </c>
      <c r="AC903" s="2" t="n">
        <f aca="false">IF(AC$7=AC$5,AC$6,IF(NORMSDIST(AC$9*SQRT($C$11)*NORMSINV($B903)+SQRT(1-AC$9^2*$C$11)*NORMSINV(AB903))&lt;AC$8,AC$5+SQRT(NORMSDIST(AC$9*SQRT($C$11)*NORMSINV($B903)+SQRT(1-AC$9^2*$C$11)*NORMSINV(AB903))*(AC$7-AC$5)*(AC$6-AC$5)),AC$7-SQRT((1-NORMSDIST(AC$9*SQRT($C$11)*NORMSINV($B903)+SQRT(1-AC$9^2*$C$11)*NORMSINV(AB903)))*(AC$7-AC$5)*(AC$7-AC$6))))</f>
        <v>9.98843039495272</v>
      </c>
      <c r="AD903" s="2" t="n">
        <f aca="false">Entrées!$C$8*(1+E903)</f>
        <v>7413.70948052089</v>
      </c>
      <c r="AE903" s="2" t="n">
        <f aca="false">I903*Hypothèses!$J$24/12/Hypothèses!$J$19</f>
        <v>104.16254153901</v>
      </c>
      <c r="AF903" s="2" t="n">
        <f aca="false">Entrées!$C$36*S903*1000</f>
        <v>359.551805095789</v>
      </c>
      <c r="AG903" s="2" t="n">
        <f aca="false">-AF903/W903</f>
        <v>-31.3684484751348</v>
      </c>
      <c r="AH903" s="2" t="n">
        <f aca="false">AD903+AE903+AG903</f>
        <v>7486.50357358476</v>
      </c>
      <c r="AI903" s="2" t="n">
        <f aca="false">Entrées!$C$16-M903+Hypothèses!$J$22*1000-AF903+Hypothèses!$J$23</f>
        <v>22477.8662327666</v>
      </c>
      <c r="AJ903" s="2" t="n">
        <f aca="false">AI903/AH903</f>
        <v>3.00245181369806</v>
      </c>
      <c r="AK903" s="2" t="n">
        <f aca="false">AI903/(AH903+I903*(12-Hypothèses!$J$24)/12/Hypothèses!$J$19)</f>
        <v>2.97290669257129</v>
      </c>
      <c r="AL903" s="2" t="n">
        <f aca="false">(AD903+AG903+I903/Hypothèses!$J$19)*(1+G903)</f>
        <v>8073.36425483499</v>
      </c>
      <c r="AM903" s="2" t="n">
        <f aca="false">Entrées!$C$54*K903/Hypothèses!$J$19</f>
        <v>32.4948582179216</v>
      </c>
      <c r="AN903" s="2" t="n">
        <f aca="false">Y903*1000/AC903</f>
        <v>56.3811356437847</v>
      </c>
      <c r="AO903" s="2" t="n">
        <f aca="false">(Entrées!$C$36*(1-S903)+MAX(0,Entrées!$C$30-Entrées!$C$35-Entrées!$C$36)*U903)*1000</f>
        <v>860.619829198263</v>
      </c>
      <c r="AP903" s="2" t="n">
        <f aca="false">-AO903/W903</f>
        <v>-75.083224131479</v>
      </c>
      <c r="AQ903" s="2" t="n">
        <f aca="false">AL903+AM903+AN903+AP903</f>
        <v>8087.15702456521</v>
      </c>
      <c r="AR903" s="2" t="n">
        <f aca="false">O903*AQ903-Hypothèses!$J$25/Hypothèses!$J$19</f>
        <v>1431.62759369189</v>
      </c>
      <c r="AS903" s="2" t="n">
        <f aca="false">Entrées!$C$79*(1+Q903)+Hypothèses!$J$20</f>
        <v>1468.95449503613</v>
      </c>
      <c r="AT903" s="2" t="n">
        <f aca="false">AI903-AR903+AS903+Y903*1000-AO903+Hypothèses!$J$23</f>
        <v>22217.7323538789</v>
      </c>
      <c r="AU903" s="2" t="n">
        <f aca="false">AT903/AQ903</f>
        <v>2.74728588629987</v>
      </c>
      <c r="AV903" s="2" t="n">
        <f aca="false">Hypothèses!$J$26*AQ903-AT903</f>
        <v>2043.73871981677</v>
      </c>
      <c r="AW903" s="2" t="n">
        <f aca="false">IF(AC903&gt;Hypothèses!$J$26,MAX(0,AV903)/(1-Hypothèses!$J$26/AC903),0)</f>
        <v>2921.07680761951</v>
      </c>
      <c r="AX903" s="2" t="n">
        <f aca="false">AQ903-Entrées!$C$17*1000</f>
        <v>87.1570245652129</v>
      </c>
      <c r="AY903" s="2" t="n">
        <f aca="false">AI903+(Entrées!$C$244-Entrées!$C$13)</f>
        <v>28224.8662327666</v>
      </c>
      <c r="AZ903" s="2" t="n">
        <f aca="false">AA903*AH903</f>
        <v>5534.54115127238</v>
      </c>
      <c r="BA903" s="2" t="n">
        <f aca="false">AZ903/AY903</f>
        <v>0.196087418293847</v>
      </c>
      <c r="BB903" s="2" t="n">
        <f aca="false">AZ903/(Entrées!$C$151/100)-AY903</f>
        <v>2522.58460763556</v>
      </c>
      <c r="BC903" s="2" t="n">
        <f aca="false">AT903+(Entrées!$C$244-Entrées!$C$13)</f>
        <v>27964.7323538789</v>
      </c>
      <c r="BD903" s="2" t="n">
        <f aca="false">AA903*AQ903</f>
        <v>5978.58571886394</v>
      </c>
      <c r="BE903" s="2" t="n">
        <f aca="false">BD903/BC903</f>
        <v>0.213790199856308</v>
      </c>
      <c r="BF903" s="2" t="n">
        <f aca="false">BD903/(Entrées!$C$151/100)-BC903</f>
        <v>5249.63275092078</v>
      </c>
      <c r="BG903" s="2" t="n">
        <f aca="false">MIN(AV903,BF903)</f>
        <v>2043.73871981677</v>
      </c>
      <c r="BH903" s="2" t="n">
        <f aca="false">IF(AC903&gt;Hypothèses!$J$26,MAX(0,BG903)/(1-Hypothèses!$J$26/AC903),0)</f>
        <v>2921.07680761951</v>
      </c>
    </row>
    <row r="904" customFormat="false" ht="15" hidden="false" customHeight="false" outlineLevel="0" collapsed="false">
      <c r="A904" s="2" t="n">
        <v>889</v>
      </c>
      <c r="B904" s="2" t="n">
        <v>0.982078244</v>
      </c>
      <c r="C904" s="2"/>
      <c r="D904" s="2" t="n">
        <v>0.715095065</v>
      </c>
      <c r="E904" s="2" t="n">
        <f aca="false">IF(E$7=E$5,E$6,IF(NORMSDIST(E$9*SQRT($C$11)*NORMSINV($B904)+SQRT(1-E$9^2*$C$11)*NORMSINV(D904))&lt;E$8,E$5+SQRT(NORMSDIST(E$9*SQRT($C$11)*NORMSINV($B904)+SQRT(1-E$9^2*$C$11)*NORMSINV(D904))*(E$7-E$5)*(E$6-E$5)),E$7-SQRT((1-NORMSDIST(E$9*SQRT($C$11)*NORMSINV($B904)+SQRT(1-E$9^2*$C$11)*NORMSINV(D904)))*(E$7-E$5)*(E$7-E$6))))</f>
        <v>0.0586113466873614</v>
      </c>
      <c r="F904" s="2" t="n">
        <v>0.017421083</v>
      </c>
      <c r="G904" s="2" t="n">
        <f aca="false">IF(G$7=G$5,G$6,IF(NORMSDIST(G$9*SQRT($C$11)*NORMSINV($B904)+SQRT(1-G$9^2*$C$11)*NORMSINV(F904))&lt;G$8,G$5+SQRT(NORMSDIST(G$9*SQRT($C$11)*NORMSINV($B904)+SQRT(1-G$9^2*$C$11)*NORMSINV(F904))*(G$7-G$5)*(G$6-G$5)),G$7-SQRT((1-NORMSDIST(G$9*SQRT($C$11)*NORMSINV($B904)+SQRT(1-G$9^2*$C$11)*NORMSINV(F904)))*(G$7-G$5)*(G$7-G$6))))</f>
        <v>0.0530653577513708</v>
      </c>
      <c r="H904" s="2" t="n">
        <v>0.462161765</v>
      </c>
      <c r="I904" s="2" t="n">
        <f aca="false">IF(I$7=I$5,I$6,IF(NORMSDIST(I$9*SQRT($C$11)*NORMSINV($B904)+SQRT(1-I$9^2*$C$11)*NORMSINV(H904))&lt;I$8,I$5+SQRT(NORMSDIST(I$9*SQRT($C$11)*NORMSINV($B904)+SQRT(1-I$9^2*$C$11)*NORMSINV(H904))*(I$7-I$5)*(I$6-I$5)),I$7-SQRT((1-NORMSDIST(I$9*SQRT($C$11)*NORMSINV($B904)+SQRT(1-I$9^2*$C$11)*NORMSINV(H904)))*(I$7-I$5)*(I$7-I$6))))</f>
        <v>210.836353707573</v>
      </c>
      <c r="J904" s="2" t="n">
        <v>0.988611063</v>
      </c>
      <c r="K904" s="2" t="n">
        <f aca="false">IF(K$7=K$5,K$6,IF(NORMSDIST(K$9*SQRT($C$11)*NORMSINV($B904)+SQRT(1-K$9^2*$C$11)*NORMSINV(J904))&lt;K$8,K$5+SQRT(NORMSDIST(K$9*SQRT($C$11)*NORMSINV($B904)+SQRT(1-K$9^2*$C$11)*NORMSINV(J904))*(K$7-K$5)*(K$6-K$5)),K$7-SQRT((1-NORMSDIST(K$9*SQRT($C$11)*NORMSINV($B904)+SQRT(1-K$9^2*$C$11)*NORMSINV(J904)))*(K$7-K$5)*(K$7-K$6))))</f>
        <v>0.488837829569681</v>
      </c>
      <c r="L904" s="2" t="n">
        <v>0.687784513</v>
      </c>
      <c r="M904" s="2" t="n">
        <f aca="false">IF(M$7=M$5,M$6,IF(NORMSDIST(M$9*SQRT($C$11)*NORMSINV($B904)+SQRT(1-M$9^2*$C$11)*NORMSINV(L904))&lt;M$8,M$5+SQRT(NORMSDIST(M$9*SQRT($C$11)*NORMSINV($B904)+SQRT(1-M$9^2*$C$11)*NORMSINV(L904))*(M$7-M$5)*(M$6-M$5)),M$7-SQRT((1-NORMSDIST(M$9*SQRT($C$11)*NORMSINV($B904)+SQRT(1-M$9^2*$C$11)*NORMSINV(L904)))*(M$7-M$5)*(M$7-M$6))))</f>
        <v>1732.74785922231</v>
      </c>
      <c r="N904" s="2" t="n">
        <v>0.8332276</v>
      </c>
      <c r="O904" s="2" t="n">
        <f aca="false">IF(O$7=O$5,O$6,IF(NORMSDIST(O$9*SQRT($C$11)*NORMSINV($B904)+SQRT(1-O$9^2*$C$11)*NORMSINV(N904))&lt;O$8,O$5+SQRT(NORMSDIST(O$9*SQRT($C$11)*NORMSINV($B904)+SQRT(1-O$9^2*$C$11)*NORMSINV(N904))*(O$7-O$5)*(O$6-O$5)),O$7-SQRT((1-NORMSDIST(O$9*SQRT($C$11)*NORMSINV($B904)+SQRT(1-O$9^2*$C$11)*NORMSINV(N904)))*(O$7-O$5)*(O$7-O$6))))</f>
        <v>0.185509577101516</v>
      </c>
      <c r="P904" s="2" t="n">
        <v>0.123915426</v>
      </c>
      <c r="Q904" s="2" t="n">
        <f aca="false">IF(Q$7=Q$5,Q$6,IF(NORMSDIST(Q$9*SQRT($C$11)*NORMSINV($B904)+SQRT(1-Q$9^2*$C$11)*NORMSINV(P904))&lt;Q$8,Q$5+SQRT(NORMSDIST(Q$9*SQRT($C$11)*NORMSINV($B904)+SQRT(1-Q$9^2*$C$11)*NORMSINV(P904))*(Q$7-Q$5)*(Q$6-Q$5)),Q$7-SQRT((1-NORMSDIST(Q$9*SQRT($C$11)*NORMSINV($B904)+SQRT(1-Q$9^2*$C$11)*NORMSINV(P904)))*(Q$7-Q$5)*(Q$7-Q$6))))</f>
        <v>0.0599130450509208</v>
      </c>
      <c r="R904" s="2" t="n">
        <v>0.046381908</v>
      </c>
      <c r="S904" s="2" t="n">
        <f aca="false">IF(S$7=S$5,S$6,IF(NORMSDIST(S$9*SQRT($C$11)*NORMSINV($B904)+SQRT(1-S$9^2*$C$11)*NORMSINV(R904))&lt;S$8,S$5+SQRT(NORMSDIST(S$9*SQRT($C$11)*NORMSINV($B904)+SQRT(1-S$9^2*$C$11)*NORMSINV(R904))*(S$7-S$5)*(S$6-S$5)),S$7-SQRT((1-NORMSDIST(S$9*SQRT($C$11)*NORMSINV($B904)+SQRT(1-S$9^2*$C$11)*NORMSINV(R904)))*(S$7-S$5)*(S$7-S$6))))</f>
        <v>0.505059695838229</v>
      </c>
      <c r="T904" s="2" t="n">
        <v>0.716966404</v>
      </c>
      <c r="U904" s="2" t="n">
        <f aca="false">IF(U$7=U$5,U$6,IF(NORMSDIST(U$9*SQRT($C$11)*NORMSINV($B904)+SQRT(1-U$9^2*$C$11)*NORMSINV(T904))&lt;U$8,U$5+SQRT(NORMSDIST(U$9*SQRT($C$11)*NORMSINV($B904)+SQRT(1-U$9^2*$C$11)*NORMSINV(T904))*(U$7-U$5)*(U$6-U$5)),U$7-SQRT((1-NORMSDIST(U$9*SQRT($C$11)*NORMSINV($B904)+SQRT(1-U$9^2*$C$11)*NORMSINV(T904)))*(U$7-U$5)*(U$7-U$6))))</f>
        <v>0.861777851573622</v>
      </c>
      <c r="V904" s="2" t="n">
        <v>0.33386483</v>
      </c>
      <c r="W904" s="2" t="n">
        <f aca="false">IF(W$7=W$5,W$6,IF(NORMSDIST(W$9*SQRT($C$11)*NORMSINV($B904)+SQRT(1-W$9^2*$C$11)*NORMSINV(V904))&lt;W$8,W$5+SQRT(NORMSDIST(W$9*SQRT($C$11)*NORMSINV($B904)+SQRT(1-W$9^2*$C$11)*NORMSINV(V904))*(W$7-W$5)*(W$6-W$5)),W$7-SQRT((1-NORMSDIST(W$9*SQRT($C$11)*NORMSINV($B904)+SQRT(1-W$9^2*$C$11)*NORMSINV(V904)))*(W$7-W$5)*(W$7-W$6))))</f>
        <v>10.8689451903797</v>
      </c>
      <c r="X904" s="2" t="n">
        <v>0.467347151</v>
      </c>
      <c r="Y904" s="2" t="n">
        <f aca="false">IF(Y$7=Y$5,Y$6,IF(NORMSDIST(Y$9*SQRT($C$11)*NORMSINV($B904)+SQRT(1-Y$9^2*$C$11)*NORMSINV(X904))&lt;Y$8,Y$5+SQRT(NORMSDIST(Y$9*SQRT($C$11)*NORMSINV($B904)+SQRT(1-Y$9^2*$C$11)*NORMSINV(X904))*(Y$7-Y$5)*(Y$6-Y$5)),Y$7-SQRT((1-NORMSDIST(Y$9*SQRT($C$11)*NORMSINV($B904)+SQRT(1-Y$9^2*$C$11)*NORMSINV(X904)))*(Y$7-Y$5)*(Y$7-Y$6))))</f>
        <v>0.483397947347731</v>
      </c>
      <c r="Z904" s="2" t="n">
        <v>0.967764908</v>
      </c>
      <c r="AA904" s="2" t="n">
        <f aca="false">IF(AA$7=AA$5,AA$6,IF(NORMSDIST(AA$9*SQRT($C$11)*NORMSINV($B904)+SQRT(1-AA$9^2*$C$11)*NORMSINV(Z904))&lt;AA$8,AA$5+SQRT(NORMSDIST(AA$9*SQRT($C$11)*NORMSINV($B904)+SQRT(1-AA$9^2*$C$11)*NORMSINV(Z904))*(AA$7-AA$5)*(AA$6-AA$5)),AA$7-SQRT((1-NORMSDIST(AA$9*SQRT($C$11)*NORMSINV($B904)+SQRT(1-AA$9^2*$C$11)*NORMSINV(Z904)))*(AA$7-AA$5)*(AA$7-AA$6))))</f>
        <v>0.751943238839807</v>
      </c>
      <c r="AB904" s="2" t="n">
        <v>0.12968695</v>
      </c>
      <c r="AC904" s="2" t="n">
        <f aca="false">IF(AC$7=AC$5,AC$6,IF(NORMSDIST(AC$9*SQRT($C$11)*NORMSINV($B904)+SQRT(1-AC$9^2*$C$11)*NORMSINV(AB904))&lt;AC$8,AC$5+SQRT(NORMSDIST(AC$9*SQRT($C$11)*NORMSINV($B904)+SQRT(1-AC$9^2*$C$11)*NORMSINV(AB904))*(AC$7-AC$5)*(AC$6-AC$5)),AC$7-SQRT((1-NORMSDIST(AC$9*SQRT($C$11)*NORMSINV($B904)+SQRT(1-AC$9^2*$C$11)*NORMSINV(AB904)))*(AC$7-AC$5)*(AC$7-AC$6))))</f>
        <v>9.81504577578226</v>
      </c>
      <c r="AD904" s="2" t="n">
        <f aca="false">Entrées!$C$8*(1+E904)</f>
        <v>7463.2099941459</v>
      </c>
      <c r="AE904" s="2" t="n">
        <f aca="false">I904*Hypothèses!$J$24/12/Hypothèses!$J$19</f>
        <v>104.595240266325</v>
      </c>
      <c r="AF904" s="2" t="n">
        <f aca="false">Entrées!$C$36*S904*1000</f>
        <v>252.529847919114</v>
      </c>
      <c r="AG904" s="2" t="n">
        <f aca="false">-AF904/W904</f>
        <v>-23.2340713377259</v>
      </c>
      <c r="AH904" s="2" t="n">
        <f aca="false">AD904+AE904+AG904</f>
        <v>7544.5711630745</v>
      </c>
      <c r="AI904" s="2" t="n">
        <f aca="false">Entrées!$C$16-M904+Hypothèses!$J$22*1000-AF904+Hypothèses!$J$23</f>
        <v>22562.7222928586</v>
      </c>
      <c r="AJ904" s="2" t="n">
        <f aca="false">AI904/AH904</f>
        <v>2.99059042656893</v>
      </c>
      <c r="AK904" s="2" t="n">
        <f aca="false">AI904/(AH904+I904*(12-Hypothèses!$J$24)/12/Hypothèses!$J$19)</f>
        <v>2.96126618595016</v>
      </c>
      <c r="AL904" s="2" t="n">
        <f aca="false">(AD904+AG904+I904/Hypothèses!$J$19)*(1+G904)</f>
        <v>8023.60197671669</v>
      </c>
      <c r="AM904" s="2" t="n">
        <f aca="false">Entrées!$C$54*K904/Hypothèses!$J$19</f>
        <v>49.8879530049968</v>
      </c>
      <c r="AN904" s="2" t="n">
        <f aca="false">Y904*1000/AC904</f>
        <v>49.250707372193</v>
      </c>
      <c r="AO904" s="2" t="n">
        <f aca="false">(Entrées!$C$36*(1-S904)+MAX(0,Entrées!$C$30-Entrées!$C$35-Entrées!$C$36)*U904)*1000</f>
        <v>1453.95914428396</v>
      </c>
      <c r="AP904" s="2" t="n">
        <f aca="false">-AO904/W904</f>
        <v>-133.771871954133</v>
      </c>
      <c r="AQ904" s="2" t="n">
        <f aca="false">AL904+AM904+AN904+AP904</f>
        <v>7988.96876513974</v>
      </c>
      <c r="AR904" s="2" t="n">
        <f aca="false">O904*AQ904-Hypothèses!$J$25/Hypothèses!$J$19</f>
        <v>1462.89505483667</v>
      </c>
      <c r="AS904" s="2" t="n">
        <f aca="false">Entrées!$C$79*(1+Q904)+Hypothèses!$J$20</f>
        <v>1459.84443651096</v>
      </c>
      <c r="AT904" s="2" t="n">
        <f aca="false">AI904-AR904+AS904+Y904*1000-AO904+Hypothèses!$J$23</f>
        <v>21589.1104775966</v>
      </c>
      <c r="AU904" s="2" t="n">
        <f aca="false">AT904/AQ904</f>
        <v>2.70236511272917</v>
      </c>
      <c r="AV904" s="2" t="n">
        <f aca="false">Hypothèses!$J$26*AQ904-AT904</f>
        <v>2377.79581782258</v>
      </c>
      <c r="AW904" s="2" t="n">
        <f aca="false">IF(AC904&gt;Hypothèses!$J$26,MAX(0,AV904)/(1-Hypothèses!$J$26/AC904),0)</f>
        <v>3424.507415684</v>
      </c>
      <c r="AX904" s="2" t="n">
        <f aca="false">AQ904-Entrées!$C$17*1000</f>
        <v>-11.0312348602574</v>
      </c>
      <c r="AY904" s="2" t="n">
        <f aca="false">AI904+(Entrées!$C$244-Entrées!$C$13)</f>
        <v>28309.7222928586</v>
      </c>
      <c r="AZ904" s="2" t="n">
        <f aca="false">AA904*AH904</f>
        <v>5673.08927601965</v>
      </c>
      <c r="BA904" s="2" t="n">
        <f aca="false">AZ904/AY904</f>
        <v>0.200393674559314</v>
      </c>
      <c r="BB904" s="2" t="n">
        <f aca="false">AZ904/(Entrées!$C$151/100)-AY904</f>
        <v>3207.440351695</v>
      </c>
      <c r="BC904" s="2" t="n">
        <f aca="false">AT904+(Entrées!$C$244-Entrées!$C$13)</f>
        <v>27336.1104775966</v>
      </c>
      <c r="BD904" s="2" t="n">
        <f aca="false">AA904*AQ904</f>
        <v>6007.25104824923</v>
      </c>
      <c r="BE904" s="2" t="n">
        <f aca="false">BD904/BC904</f>
        <v>0.219755149627906</v>
      </c>
      <c r="BF904" s="2" t="n">
        <f aca="false">BD904/(Entrées!$C$151/100)-BC904</f>
        <v>6037.50645712129</v>
      </c>
      <c r="BG904" s="2" t="n">
        <f aca="false">MIN(AV904,BF904)</f>
        <v>2377.79581782258</v>
      </c>
      <c r="BH904" s="2" t="n">
        <f aca="false">IF(AC904&gt;Hypothèses!$J$26,MAX(0,BG904)/(1-Hypothèses!$J$26/AC904),0)</f>
        <v>3424.507415684</v>
      </c>
    </row>
    <row r="905" customFormat="false" ht="15" hidden="false" customHeight="false" outlineLevel="0" collapsed="false">
      <c r="A905" s="2" t="n">
        <v>890</v>
      </c>
      <c r="B905" s="2" t="n">
        <v>0.210162737</v>
      </c>
      <c r="C905" s="2"/>
      <c r="D905" s="2" t="n">
        <v>0.809363708</v>
      </c>
      <c r="E905" s="2" t="n">
        <f aca="false">IF(E$7=E$5,E$6,IF(NORMSDIST(E$9*SQRT($C$11)*NORMSINV($B905)+SQRT(1-E$9^2*$C$11)*NORMSINV(D905))&lt;E$8,E$5+SQRT(NORMSDIST(E$9*SQRT($C$11)*NORMSINV($B905)+SQRT(1-E$9^2*$C$11)*NORMSINV(D905))*(E$7-E$5)*(E$6-E$5)),E$7-SQRT((1-NORMSDIST(E$9*SQRT($C$11)*NORMSINV($B905)+SQRT(1-E$9^2*$C$11)*NORMSINV(D905)))*(E$7-E$5)*(E$7-E$6))))</f>
        <v>0.0553466026230885</v>
      </c>
      <c r="F905" s="2" t="n">
        <v>0.259473319</v>
      </c>
      <c r="G905" s="2" t="n">
        <f aca="false">IF(G$7=G$5,G$6,IF(NORMSDIST(G$9*SQRT($C$11)*NORMSINV($B905)+SQRT(1-G$9^2*$C$11)*NORMSINV(F905))&lt;G$8,G$5+SQRT(NORMSDIST(G$9*SQRT($C$11)*NORMSINV($B905)+SQRT(1-G$9^2*$C$11)*NORMSINV(F905))*(G$7-G$5)*(G$6-G$5)),G$7-SQRT((1-NORMSDIST(G$9*SQRT($C$11)*NORMSINV($B905)+SQRT(1-G$9^2*$C$11)*NORMSINV(F905)))*(G$7-G$5)*(G$7-G$6))))</f>
        <v>0.0483899479109299</v>
      </c>
      <c r="H905" s="2" t="n">
        <v>0.77113051</v>
      </c>
      <c r="I905" s="2" t="n">
        <f aca="false">IF(I$7=I$5,I$6,IF(NORMSDIST(I$9*SQRT($C$11)*NORMSINV($B905)+SQRT(1-I$9^2*$C$11)*NORMSINV(H905))&lt;I$8,I$5+SQRT(NORMSDIST(I$9*SQRT($C$11)*NORMSINV($B905)+SQRT(1-I$9^2*$C$11)*NORMSINV(H905))*(I$7-I$5)*(I$6-I$5)),I$7-SQRT((1-NORMSDIST(I$9*SQRT($C$11)*NORMSINV($B905)+SQRT(1-I$9^2*$C$11)*NORMSINV(H905)))*(I$7-I$5)*(I$7-I$6))))</f>
        <v>200.529469522263</v>
      </c>
      <c r="J905" s="2" t="n">
        <v>0.246251934</v>
      </c>
      <c r="K905" s="2" t="n">
        <f aca="false">IF(K$7=K$5,K$6,IF(NORMSDIST(K$9*SQRT($C$11)*NORMSINV($B905)+SQRT(1-K$9^2*$C$11)*NORMSINV(J905))&lt;K$8,K$5+SQRT(NORMSDIST(K$9*SQRT($C$11)*NORMSINV($B905)+SQRT(1-K$9^2*$C$11)*NORMSINV(J905))*(K$7-K$5)*(K$6-K$5)),K$7-SQRT((1-NORMSDIST(K$9*SQRT($C$11)*NORMSINV($B905)+SQRT(1-K$9^2*$C$11)*NORMSINV(J905)))*(K$7-K$5)*(K$7-K$6))))</f>
        <v>0.136413169868401</v>
      </c>
      <c r="L905" s="2" t="n">
        <v>0.707534565</v>
      </c>
      <c r="M905" s="2" t="n">
        <f aca="false">IF(M$7=M$5,M$6,IF(NORMSDIST(M$9*SQRT($C$11)*NORMSINV($B905)+SQRT(1-M$9^2*$C$11)*NORMSINV(L905))&lt;M$8,M$5+SQRT(NORMSDIST(M$9*SQRT($C$11)*NORMSINV($B905)+SQRT(1-M$9^2*$C$11)*NORMSINV(L905))*(M$7-M$5)*(M$6-M$5)),M$7-SQRT((1-NORMSDIST(M$9*SQRT($C$11)*NORMSINV($B905)+SQRT(1-M$9^2*$C$11)*NORMSINV(L905)))*(M$7-M$5)*(M$7-M$6))))</f>
        <v>1575.44291739801</v>
      </c>
      <c r="N905" s="2" t="n">
        <v>0.323640313</v>
      </c>
      <c r="O905" s="2" t="n">
        <f aca="false">IF(O$7=O$5,O$6,IF(NORMSDIST(O$9*SQRT($C$11)*NORMSINV($B905)+SQRT(1-O$9^2*$C$11)*NORMSINV(N905))&lt;O$8,O$5+SQRT(NORMSDIST(O$9*SQRT($C$11)*NORMSINV($B905)+SQRT(1-O$9^2*$C$11)*NORMSINV(N905))*(O$7-O$5)*(O$6-O$5)),O$7-SQRT((1-NORMSDIST(O$9*SQRT($C$11)*NORMSINV($B905)+SQRT(1-O$9^2*$C$11)*NORMSINV(N905)))*(O$7-O$5)*(O$7-O$6))))</f>
        <v>0.156674158258607</v>
      </c>
      <c r="P905" s="2" t="n">
        <v>0.690022272</v>
      </c>
      <c r="Q905" s="2" t="n">
        <f aca="false">IF(Q$7=Q$5,Q$6,IF(NORMSDIST(Q$9*SQRT($C$11)*NORMSINV($B905)+SQRT(1-Q$9^2*$C$11)*NORMSINV(P905))&lt;Q$8,Q$5+SQRT(NORMSDIST(Q$9*SQRT($C$11)*NORMSINV($B905)+SQRT(1-Q$9^2*$C$11)*NORMSINV(P905))*(Q$7-Q$5)*(Q$6-Q$5)),Q$7-SQRT((1-NORMSDIST(Q$9*SQRT($C$11)*NORMSINV($B905)+SQRT(1-Q$9^2*$C$11)*NORMSINV(P905)))*(Q$7-Q$5)*(Q$7-Q$6))))</f>
        <v>0.0885050999430067</v>
      </c>
      <c r="R905" s="2" t="n">
        <v>0.944473607</v>
      </c>
      <c r="S905" s="2" t="n">
        <f aca="false">IF(S$7=S$5,S$6,IF(NORMSDIST(S$9*SQRT($C$11)*NORMSINV($B905)+SQRT(1-S$9^2*$C$11)*NORMSINV(R905))&lt;S$8,S$5+SQRT(NORMSDIST(S$9*SQRT($C$11)*NORMSINV($B905)+SQRT(1-S$9^2*$C$11)*NORMSINV(R905))*(S$7-S$5)*(S$6-S$5)),S$7-SQRT((1-NORMSDIST(S$9*SQRT($C$11)*NORMSINV($B905)+SQRT(1-S$9^2*$C$11)*NORMSINV(R905)))*(S$7-S$5)*(S$7-S$6))))</f>
        <v>0.657700420488869</v>
      </c>
      <c r="T905" s="2" t="n">
        <v>0.523101387</v>
      </c>
      <c r="U905" s="2" t="n">
        <f aca="false">IF(U$7=U$5,U$6,IF(NORMSDIST(U$9*SQRT($C$11)*NORMSINV($B905)+SQRT(1-U$9^2*$C$11)*NORMSINV(T905))&lt;U$8,U$5+SQRT(NORMSDIST(U$9*SQRT($C$11)*NORMSINV($B905)+SQRT(1-U$9^2*$C$11)*NORMSINV(T905))*(U$7-U$5)*(U$6-U$5)),U$7-SQRT((1-NORMSDIST(U$9*SQRT($C$11)*NORMSINV($B905)+SQRT(1-U$9^2*$C$11)*NORMSINV(T905)))*(U$7-U$5)*(U$7-U$6))))</f>
        <v>0.400650231583621</v>
      </c>
      <c r="V905" s="2" t="n">
        <v>0.123453197</v>
      </c>
      <c r="W905" s="2" t="n">
        <f aca="false">IF(W$7=W$5,W$6,IF(NORMSDIST(W$9*SQRT($C$11)*NORMSINV($B905)+SQRT(1-W$9^2*$C$11)*NORMSINV(V905))&lt;W$8,W$5+SQRT(NORMSDIST(W$9*SQRT($C$11)*NORMSINV($B905)+SQRT(1-W$9^2*$C$11)*NORMSINV(V905))*(W$7-W$5)*(W$6-W$5)),W$7-SQRT((1-NORMSDIST(W$9*SQRT($C$11)*NORMSINV($B905)+SQRT(1-W$9^2*$C$11)*NORMSINV(V905)))*(W$7-W$5)*(W$7-W$6))))</f>
        <v>8.79888575576341</v>
      </c>
      <c r="X905" s="2" t="n">
        <v>0.664671018</v>
      </c>
      <c r="Y905" s="2" t="n">
        <f aca="false">IF(Y$7=Y$5,Y$6,IF(NORMSDIST(Y$9*SQRT($C$11)*NORMSINV($B905)+SQRT(1-Y$9^2*$C$11)*NORMSINV(X905))&lt;Y$8,Y$5+SQRT(NORMSDIST(Y$9*SQRT($C$11)*NORMSINV($B905)+SQRT(1-Y$9^2*$C$11)*NORMSINV(X905))*(Y$7-Y$5)*(Y$6-Y$5)),Y$7-SQRT((1-NORMSDIST(Y$9*SQRT($C$11)*NORMSINV($B905)+SQRT(1-Y$9^2*$C$11)*NORMSINV(X905)))*(Y$7-Y$5)*(Y$7-Y$6))))</f>
        <v>0.590531452978376</v>
      </c>
      <c r="Z905" s="2" t="n">
        <v>0.84911447</v>
      </c>
      <c r="AA905" s="2" t="n">
        <f aca="false">IF(AA$7=AA$5,AA$6,IF(NORMSDIST(AA$9*SQRT($C$11)*NORMSINV($B905)+SQRT(1-AA$9^2*$C$11)*NORMSINV(Z905))&lt;AA$8,AA$5+SQRT(NORMSDIST(AA$9*SQRT($C$11)*NORMSINV($B905)+SQRT(1-AA$9^2*$C$11)*NORMSINV(Z905))*(AA$7-AA$5)*(AA$6-AA$5)),AA$7-SQRT((1-NORMSDIST(AA$9*SQRT($C$11)*NORMSINV($B905)+SQRT(1-AA$9^2*$C$11)*NORMSINV(Z905)))*(AA$7-AA$5)*(AA$7-AA$6))))</f>
        <v>0.73159654373219</v>
      </c>
      <c r="AB905" s="2" t="n">
        <v>0.726484426</v>
      </c>
      <c r="AC905" s="2" t="n">
        <f aca="false">IF(AC$7=AC$5,AC$6,IF(NORMSDIST(AC$9*SQRT($C$11)*NORMSINV($B905)+SQRT(1-AC$9^2*$C$11)*NORMSINV(AB905))&lt;AC$8,AC$5+SQRT(NORMSDIST(AC$9*SQRT($C$11)*NORMSINV($B905)+SQRT(1-AC$9^2*$C$11)*NORMSINV(AB905))*(AC$7-AC$5)*(AC$6-AC$5)),AC$7-SQRT((1-NORMSDIST(AC$9*SQRT($C$11)*NORMSINV($B905)+SQRT(1-AC$9^2*$C$11)*NORMSINV(AB905)))*(AC$7-AC$5)*(AC$7-AC$6))))</f>
        <v>9.4423416292676</v>
      </c>
      <c r="AD905" s="2" t="n">
        <f aca="false">Entrées!$C$8*(1+E905)</f>
        <v>7440.19354849277</v>
      </c>
      <c r="AE905" s="2" t="n">
        <f aca="false">I905*Hypothèses!$J$24/12/Hypothèses!$J$19</f>
        <v>99.482028010459</v>
      </c>
      <c r="AF905" s="2" t="n">
        <f aca="false">Entrées!$C$36*S905*1000</f>
        <v>328.850210244434</v>
      </c>
      <c r="AG905" s="2" t="n">
        <f aca="false">-AF905/W905</f>
        <v>-37.3740743285628</v>
      </c>
      <c r="AH905" s="2" t="n">
        <f aca="false">AD905+AE905+AG905</f>
        <v>7502.30150217467</v>
      </c>
      <c r="AI905" s="2" t="n">
        <f aca="false">Entrées!$C$16-M905+Hypothèses!$J$22*1000-AF905+Hypothèses!$J$23</f>
        <v>22643.7068723576</v>
      </c>
      <c r="AJ905" s="2" t="n">
        <f aca="false">AI905/AH905</f>
        <v>3.0182347198115</v>
      </c>
      <c r="AK905" s="2" t="n">
        <f aca="false">AI905/(AH905+I905*(12-Hypothèses!$J$24)/12/Hypothèses!$J$19)</f>
        <v>2.98991551866931</v>
      </c>
      <c r="AL905" s="2" t="n">
        <f aca="false">(AD905+AG905+I905/Hypothèses!$J$19)*(1+G905)</f>
        <v>7939.83459405125</v>
      </c>
      <c r="AM905" s="2" t="n">
        <f aca="false">Entrées!$C$54*K905/Hypothèses!$J$19</f>
        <v>13.9215367469579</v>
      </c>
      <c r="AN905" s="2" t="n">
        <f aca="false">Y905*1000/AC905</f>
        <v>62.5407844965021</v>
      </c>
      <c r="AO905" s="2" t="n">
        <f aca="false">(Entrées!$C$36*(1-S905)+MAX(0,Entrées!$C$30-Entrées!$C$35-Entrées!$C$36)*U905)*1000</f>
        <v>732.060113972636</v>
      </c>
      <c r="AP905" s="2" t="n">
        <f aca="false">-AO905/W905</f>
        <v>-83.1991838845191</v>
      </c>
      <c r="AQ905" s="2" t="n">
        <f aca="false">AL905+AM905+AN905+AP905</f>
        <v>7933.09773141019</v>
      </c>
      <c r="AR905" s="2" t="n">
        <f aca="false">O905*AQ905-Hypothèses!$J$25/Hypothèses!$J$19</f>
        <v>1223.77624719033</v>
      </c>
      <c r="AS905" s="2" t="n">
        <f aca="false">Entrées!$C$79*(1+Q905)+Hypothèses!$J$20</f>
        <v>1491.26710483736</v>
      </c>
      <c r="AT905" s="2" t="n">
        <f aca="false">AI905-AR905+AS905+Y905*1000-AO905+Hypothèses!$J$23</f>
        <v>22769.6690690103</v>
      </c>
      <c r="AU905" s="2" t="n">
        <f aca="false">AT905/AQ905</f>
        <v>2.87021159198083</v>
      </c>
      <c r="AV905" s="2" t="n">
        <f aca="false">Hypothèses!$J$26*AQ905-AT905</f>
        <v>1029.62412522024</v>
      </c>
      <c r="AW905" s="2" t="n">
        <f aca="false">IF(AC905&gt;Hypothèses!$J$26,MAX(0,AV905)/(1-Hypothèses!$J$26/AC905),0)</f>
        <v>1509.08835630478</v>
      </c>
      <c r="AX905" s="2" t="n">
        <f aca="false">AQ905-Entrées!$C$17*1000</f>
        <v>-66.9022685898099</v>
      </c>
      <c r="AY905" s="2" t="n">
        <f aca="false">AI905+(Entrées!$C$244-Entrées!$C$13)</f>
        <v>28390.7068723576</v>
      </c>
      <c r="AZ905" s="2" t="n">
        <f aca="false">AA905*AH905</f>
        <v>5488.65784902781</v>
      </c>
      <c r="BA905" s="2" t="n">
        <f aca="false">AZ905/AY905</f>
        <v>0.193325860948246</v>
      </c>
      <c r="BB905" s="2" t="n">
        <f aca="false">AZ905/(Entrées!$C$151/100)-AY905</f>
        <v>2101.83673335248</v>
      </c>
      <c r="BC905" s="2" t="n">
        <f aca="false">AT905+(Entrées!$C$244-Entrées!$C$13)</f>
        <v>28516.6690690103</v>
      </c>
      <c r="BD905" s="2" t="n">
        <f aca="false">AA905*AQ905</f>
        <v>5803.82688138937</v>
      </c>
      <c r="BE905" s="2" t="n">
        <f aca="false">BD905/BC905</f>
        <v>0.20352401142448</v>
      </c>
      <c r="BF905" s="2" t="n">
        <f aca="false">BD905/(Entrées!$C$151/100)-BC905</f>
        <v>3726.81360537508</v>
      </c>
      <c r="BG905" s="2" t="n">
        <f aca="false">MIN(AV905,BF905)</f>
        <v>1029.62412522024</v>
      </c>
      <c r="BH905" s="2" t="n">
        <f aca="false">IF(AC905&gt;Hypothèses!$J$26,MAX(0,BG905)/(1-Hypothèses!$J$26/AC905),0)</f>
        <v>1509.08835630478</v>
      </c>
    </row>
    <row r="906" customFormat="false" ht="15" hidden="false" customHeight="false" outlineLevel="0" collapsed="false">
      <c r="A906" s="2" t="n">
        <v>891</v>
      </c>
      <c r="B906" s="2" t="n">
        <v>0.562631989</v>
      </c>
      <c r="C906" s="2"/>
      <c r="D906" s="2" t="n">
        <v>0.673823343</v>
      </c>
      <c r="E906" s="2" t="n">
        <f aca="false">IF(E$7=E$5,E$6,IF(NORMSDIST(E$9*SQRT($C$11)*NORMSINV($B906)+SQRT(1-E$9^2*$C$11)*NORMSINV(D906))&lt;E$8,E$5+SQRT(NORMSDIST(E$9*SQRT($C$11)*NORMSINV($B906)+SQRT(1-E$9^2*$C$11)*NORMSINV(D906))*(E$7-E$5)*(E$6-E$5)),E$7-SQRT((1-NORMSDIST(E$9*SQRT($C$11)*NORMSINV($B906)+SQRT(1-E$9^2*$C$11)*NORMSINV(D906)))*(E$7-E$5)*(E$7-E$6))))</f>
        <v>0.055957476693834</v>
      </c>
      <c r="F906" s="2" t="n">
        <v>0.377477598</v>
      </c>
      <c r="G906" s="2" t="n">
        <f aca="false">IF(G$7=G$5,G$6,IF(NORMSDIST(G$9*SQRT($C$11)*NORMSINV($B906)+SQRT(1-G$9^2*$C$11)*NORMSINV(F906))&lt;G$8,G$5+SQRT(NORMSDIST(G$9*SQRT($C$11)*NORMSINV($B906)+SQRT(1-G$9^2*$C$11)*NORMSINV(F906))*(G$7-G$5)*(G$6-G$5)),G$7-SQRT((1-NORMSDIST(G$9*SQRT($C$11)*NORMSINV($B906)+SQRT(1-G$9^2*$C$11)*NORMSINV(F906)))*(G$7-G$5)*(G$7-G$6))))</f>
        <v>0.054127378550328</v>
      </c>
      <c r="H906" s="2" t="n">
        <v>0.67019862</v>
      </c>
      <c r="I906" s="2" t="n">
        <f aca="false">IF(I$7=I$5,I$6,IF(NORMSDIST(I$9*SQRT($C$11)*NORMSINV($B906)+SQRT(1-I$9^2*$C$11)*NORMSINV(H906))&lt;I$8,I$5+SQRT(NORMSDIST(I$9*SQRT($C$11)*NORMSINV($B906)+SQRT(1-I$9^2*$C$11)*NORMSINV(H906))*(I$7-I$5)*(I$6-I$5)),I$7-SQRT((1-NORMSDIST(I$9*SQRT($C$11)*NORMSINV($B906)+SQRT(1-I$9^2*$C$11)*NORMSINV(H906)))*(I$7-I$5)*(I$7-I$6))))</f>
        <v>203.760579288133</v>
      </c>
      <c r="J906" s="2" t="n">
        <v>0.966078375</v>
      </c>
      <c r="K906" s="2" t="n">
        <f aca="false">IF(K$7=K$5,K$6,IF(NORMSDIST(K$9*SQRT($C$11)*NORMSINV($B906)+SQRT(1-K$9^2*$C$11)*NORMSINV(J906))&lt;K$8,K$5+SQRT(NORMSDIST(K$9*SQRT($C$11)*NORMSINV($B906)+SQRT(1-K$9^2*$C$11)*NORMSINV(J906))*(K$7-K$5)*(K$6-K$5)),K$7-SQRT((1-NORMSDIST(K$9*SQRT($C$11)*NORMSINV($B906)+SQRT(1-K$9^2*$C$11)*NORMSINV(J906)))*(K$7-K$5)*(K$7-K$6))))</f>
        <v>0.40986575092665</v>
      </c>
      <c r="L906" s="2" t="n">
        <v>0.843224658</v>
      </c>
      <c r="M906" s="2" t="n">
        <f aca="false">IF(M$7=M$5,M$6,IF(NORMSDIST(M$9*SQRT($C$11)*NORMSINV($B906)+SQRT(1-M$9^2*$C$11)*NORMSINV(L906))&lt;M$8,M$5+SQRT(NORMSDIST(M$9*SQRT($C$11)*NORMSINV($B906)+SQRT(1-M$9^2*$C$11)*NORMSINV(L906))*(M$7-M$5)*(M$6-M$5)),M$7-SQRT((1-NORMSDIST(M$9*SQRT($C$11)*NORMSINV($B906)+SQRT(1-M$9^2*$C$11)*NORMSINV(L906)))*(M$7-M$5)*(M$7-M$6))))</f>
        <v>1669.12795984472</v>
      </c>
      <c r="N906" s="2" t="n">
        <v>0.954242314</v>
      </c>
      <c r="O906" s="2" t="n">
        <f aca="false">IF(O$7=O$5,O$6,IF(NORMSDIST(O$9*SQRT($C$11)*NORMSINV($B906)+SQRT(1-O$9^2*$C$11)*NORMSINV(N906))&lt;O$8,O$5+SQRT(NORMSDIST(O$9*SQRT($C$11)*NORMSINV($B906)+SQRT(1-O$9^2*$C$11)*NORMSINV(N906))*(O$7-O$5)*(O$6-O$5)),O$7-SQRT((1-NORMSDIST(O$9*SQRT($C$11)*NORMSINV($B906)+SQRT(1-O$9^2*$C$11)*NORMSINV(N906)))*(O$7-O$5)*(O$7-O$6))))</f>
        <v>0.180783672635258</v>
      </c>
      <c r="P906" s="2" t="n">
        <v>0.443205787</v>
      </c>
      <c r="Q906" s="2" t="n">
        <f aca="false">IF(Q$7=Q$5,Q$6,IF(NORMSDIST(Q$9*SQRT($C$11)*NORMSINV($B906)+SQRT(1-Q$9^2*$C$11)*NORMSINV(P906))&lt;Q$8,Q$5+SQRT(NORMSDIST(Q$9*SQRT($C$11)*NORMSINV($B906)+SQRT(1-Q$9^2*$C$11)*NORMSINV(P906))*(Q$7-Q$5)*(Q$6-Q$5)),Q$7-SQRT((1-NORMSDIST(Q$9*SQRT($C$11)*NORMSINV($B906)+SQRT(1-Q$9^2*$C$11)*NORMSINV(P906)))*(Q$7-Q$5)*(Q$7-Q$6))))</f>
        <v>0.0776597732122752</v>
      </c>
      <c r="R906" s="2" t="n">
        <v>0.197488191</v>
      </c>
      <c r="S906" s="2" t="n">
        <f aca="false">IF(S$7=S$5,S$6,IF(NORMSDIST(S$9*SQRT($C$11)*NORMSINV($B906)+SQRT(1-S$9^2*$C$11)*NORMSINV(R906))&lt;S$8,S$5+SQRT(NORMSDIST(S$9*SQRT($C$11)*NORMSINV($B906)+SQRT(1-S$9^2*$C$11)*NORMSINV(R906))*(S$7-S$5)*(S$6-S$5)),S$7-SQRT((1-NORMSDIST(S$9*SQRT($C$11)*NORMSINV($B906)+SQRT(1-S$9^2*$C$11)*NORMSINV(R906)))*(S$7-S$5)*(S$7-S$6))))</f>
        <v>0.379484046111059</v>
      </c>
      <c r="T906" s="2" t="n">
        <v>0.730540685</v>
      </c>
      <c r="U906" s="2" t="n">
        <f aca="false">IF(U$7=U$5,U$6,IF(NORMSDIST(U$9*SQRT($C$11)*NORMSINV($B906)+SQRT(1-U$9^2*$C$11)*NORMSINV(T906))&lt;U$8,U$5+SQRT(NORMSDIST(U$9*SQRT($C$11)*NORMSINV($B906)+SQRT(1-U$9^2*$C$11)*NORMSINV(T906))*(U$7-U$5)*(U$6-U$5)),U$7-SQRT((1-NORMSDIST(U$9*SQRT($C$11)*NORMSINV($B906)+SQRT(1-U$9^2*$C$11)*NORMSINV(T906)))*(U$7-U$5)*(U$7-U$6))))</f>
        <v>0.624217804579224</v>
      </c>
      <c r="V906" s="2" t="n">
        <v>0.959568201</v>
      </c>
      <c r="W906" s="2" t="n">
        <f aca="false">IF(W$7=W$5,W$6,IF(NORMSDIST(W$9*SQRT($C$11)*NORMSINV($B906)+SQRT(1-W$9^2*$C$11)*NORMSINV(V906))&lt;W$8,W$5+SQRT(NORMSDIST(W$9*SQRT($C$11)*NORMSINV($B906)+SQRT(1-W$9^2*$C$11)*NORMSINV(V906))*(W$7-W$5)*(W$6-W$5)),W$7-SQRT((1-NORMSDIST(W$9*SQRT($C$11)*NORMSINV($B906)+SQRT(1-W$9^2*$C$11)*NORMSINV(V906)))*(W$7-W$5)*(W$7-W$6))))</f>
        <v>11.2344277131957</v>
      </c>
      <c r="X906" s="2" t="n">
        <v>0.341478059</v>
      </c>
      <c r="Y906" s="2" t="n">
        <f aca="false">IF(Y$7=Y$5,Y$6,IF(NORMSDIST(Y$9*SQRT($C$11)*NORMSINV($B906)+SQRT(1-Y$9^2*$C$11)*NORMSINV(X906))&lt;Y$8,Y$5+SQRT(NORMSDIST(Y$9*SQRT($C$11)*NORMSINV($B906)+SQRT(1-Y$9^2*$C$11)*NORMSINV(X906))*(Y$7-Y$5)*(Y$6-Y$5)),Y$7-SQRT((1-NORMSDIST(Y$9*SQRT($C$11)*NORMSINV($B906)+SQRT(1-Y$9^2*$C$11)*NORMSINV(X906)))*(Y$7-Y$5)*(Y$7-Y$6))))</f>
        <v>0.41320579557891</v>
      </c>
      <c r="Z906" s="2" t="n">
        <v>0.824656263</v>
      </c>
      <c r="AA906" s="2" t="n">
        <f aca="false">IF(AA$7=AA$5,AA$6,IF(NORMSDIST(AA$9*SQRT($C$11)*NORMSINV($B906)+SQRT(1-AA$9^2*$C$11)*NORMSINV(Z906))&lt;AA$8,AA$5+SQRT(NORMSDIST(AA$9*SQRT($C$11)*NORMSINV($B906)+SQRT(1-AA$9^2*$C$11)*NORMSINV(Z906))*(AA$7-AA$5)*(AA$6-AA$5)),AA$7-SQRT((1-NORMSDIST(AA$9*SQRT($C$11)*NORMSINV($B906)+SQRT(1-AA$9^2*$C$11)*NORMSINV(Z906)))*(AA$7-AA$5)*(AA$7-AA$6))))</f>
        <v>0.737623142876207</v>
      </c>
      <c r="AB906" s="2" t="n">
        <v>0.681956449</v>
      </c>
      <c r="AC906" s="2" t="n">
        <f aca="false">IF(AC$7=AC$5,AC$6,IF(NORMSDIST(AC$9*SQRT($C$11)*NORMSINV($B906)+SQRT(1-AC$9^2*$C$11)*NORMSINV(AB906))&lt;AC$8,AC$5+SQRT(NORMSDIST(AC$9*SQRT($C$11)*NORMSINV($B906)+SQRT(1-AC$9^2*$C$11)*NORMSINV(AB906))*(AC$7-AC$5)*(AC$6-AC$5)),AC$7-SQRT((1-NORMSDIST(AC$9*SQRT($C$11)*NORMSINV($B906)+SQRT(1-AC$9^2*$C$11)*NORMSINV(AB906)))*(AC$7-AC$5)*(AC$7-AC$6))))</f>
        <v>9.82327673183644</v>
      </c>
      <c r="AD906" s="2" t="n">
        <f aca="false">Entrées!$C$8*(1+E906)</f>
        <v>7444.50021069153</v>
      </c>
      <c r="AE906" s="2" t="n">
        <f aca="false">I906*Hypothèses!$J$24/12/Hypothèses!$J$19</f>
        <v>101.084971223738</v>
      </c>
      <c r="AF906" s="2" t="n">
        <f aca="false">Entrées!$C$36*S906*1000</f>
        <v>189.74202305553</v>
      </c>
      <c r="AG906" s="2" t="n">
        <f aca="false">-AF906/W906</f>
        <v>-16.8893358789129</v>
      </c>
      <c r="AH906" s="2" t="n">
        <f aca="false">AD906+AE906+AG906</f>
        <v>7528.69584603636</v>
      </c>
      <c r="AI906" s="2" t="n">
        <f aca="false">Entrées!$C$16-M906+Hypothèses!$J$22*1000-AF906+Hypothèses!$J$23</f>
        <v>22689.1300170998</v>
      </c>
      <c r="AJ906" s="2" t="n">
        <f aca="false">AI906/AH906</f>
        <v>3.01368663060614</v>
      </c>
      <c r="AK906" s="2" t="n">
        <f aca="false">AI906/(AH906+I906*(12-Hypothèses!$J$24)/12/Hypothèses!$J$19)</f>
        <v>2.98505858745114</v>
      </c>
      <c r="AL906" s="2" t="n">
        <f aca="false">(AD906+AG906+I906/Hypothèses!$J$19)*(1+G906)</f>
        <v>8012.31615588999</v>
      </c>
      <c r="AM906" s="2" t="n">
        <f aca="false">Entrées!$C$54*K906/Hypothèses!$J$19</f>
        <v>41.8285207971447</v>
      </c>
      <c r="AN906" s="2" t="n">
        <f aca="false">Y906*1000/AC906</f>
        <v>42.0639473832335</v>
      </c>
      <c r="AO906" s="2" t="n">
        <f aca="false">(Entrées!$C$36*(1-S906)+MAX(0,Entrées!$C$30-Entrées!$C$35-Entrées!$C$36)*U906)*1000</f>
        <v>1184.16290335538</v>
      </c>
      <c r="AP906" s="2" t="n">
        <f aca="false">-AO906/W906</f>
        <v>-105.404826448301</v>
      </c>
      <c r="AQ906" s="2" t="n">
        <f aca="false">AL906+AM906+AN906+AP906</f>
        <v>7990.80379762206</v>
      </c>
      <c r="AR906" s="2" t="n">
        <f aca="false">O906*AQ906-Hypothèses!$J$25/Hypothèses!$J$19</f>
        <v>1425.47169558026</v>
      </c>
      <c r="AS906" s="2" t="n">
        <f aca="false">Entrées!$C$79*(1+Q906)+Hypothèses!$J$20</f>
        <v>1479.34809076029</v>
      </c>
      <c r="AT906" s="2" t="n">
        <f aca="false">AI906-AR906+AS906+Y906*1000-AO906+Hypothèses!$J$23</f>
        <v>21972.0493045033</v>
      </c>
      <c r="AU906" s="2" t="n">
        <f aca="false">AT906/AQ906</f>
        <v>2.74966697480945</v>
      </c>
      <c r="AV906" s="2" t="n">
        <f aca="false">Hypothèses!$J$26*AQ906-AT906</f>
        <v>2000.36208836288</v>
      </c>
      <c r="AW906" s="2" t="n">
        <f aca="false">IF(AC906&gt;Hypothèses!$J$26,MAX(0,AV906)/(1-Hypothèses!$J$26/AC906),0)</f>
        <v>2879.86419577243</v>
      </c>
      <c r="AX906" s="2" t="n">
        <f aca="false">AQ906-Entrées!$C$17*1000</f>
        <v>-9.19620237793697</v>
      </c>
      <c r="AY906" s="2" t="n">
        <f aca="false">AI906+(Entrées!$C$244-Entrées!$C$13)</f>
        <v>28436.1300170998</v>
      </c>
      <c r="AZ906" s="2" t="n">
        <f aca="false">AA906*AH906</f>
        <v>5553.34029171238</v>
      </c>
      <c r="BA906" s="2" t="n">
        <f aca="false">AZ906/AY906</f>
        <v>0.195291704193677</v>
      </c>
      <c r="BB906" s="2" t="n">
        <f aca="false">AZ906/(Entrées!$C$151/100)-AY906</f>
        <v>2415.76049241346</v>
      </c>
      <c r="BC906" s="2" t="n">
        <f aca="false">AT906+(Entrées!$C$244-Entrées!$C$13)</f>
        <v>27719.0493045033</v>
      </c>
      <c r="BD906" s="2" t="n">
        <f aca="false">AA906*AQ906</f>
        <v>5894.20181130911</v>
      </c>
      <c r="BE906" s="2" t="n">
        <f aca="false">BD906/BC906</f>
        <v>0.212640835786223</v>
      </c>
      <c r="BF906" s="2" t="n">
        <f aca="false">BD906/(Entrées!$C$151/100)-BC906</f>
        <v>5026.51631388065</v>
      </c>
      <c r="BG906" s="2" t="n">
        <f aca="false">MIN(AV906,BF906)</f>
        <v>2000.36208836288</v>
      </c>
      <c r="BH906" s="2" t="n">
        <f aca="false">IF(AC906&gt;Hypothèses!$J$26,MAX(0,BG906)/(1-Hypothèses!$J$26/AC906),0)</f>
        <v>2879.86419577243</v>
      </c>
    </row>
    <row r="907" customFormat="false" ht="15" hidden="false" customHeight="false" outlineLevel="0" collapsed="false">
      <c r="A907" s="2" t="n">
        <v>892</v>
      </c>
      <c r="B907" s="2" t="n">
        <v>0.313260926</v>
      </c>
      <c r="C907" s="2"/>
      <c r="D907" s="2" t="n">
        <v>0.103444377</v>
      </c>
      <c r="E907" s="2" t="n">
        <f aca="false">IF(E$7=E$5,E$6,IF(NORMSDIST(E$9*SQRT($C$11)*NORMSINV($B907)+SQRT(1-E$9^2*$C$11)*NORMSINV(D907))&lt;E$8,E$5+SQRT(NORMSDIST(E$9*SQRT($C$11)*NORMSINV($B907)+SQRT(1-E$9^2*$C$11)*NORMSINV(D907))*(E$7-E$5)*(E$6-E$5)),E$7-SQRT((1-NORMSDIST(E$9*SQRT($C$11)*NORMSINV($B907)+SQRT(1-E$9^2*$C$11)*NORMSINV(D907)))*(E$7-E$5)*(E$7-E$6))))</f>
        <v>0.0522284425563471</v>
      </c>
      <c r="F907" s="2" t="n">
        <v>0.554712924</v>
      </c>
      <c r="G907" s="2" t="n">
        <f aca="false">IF(G$7=G$5,G$6,IF(NORMSDIST(G$9*SQRT($C$11)*NORMSINV($B907)+SQRT(1-G$9^2*$C$11)*NORMSINV(F907))&lt;G$8,G$5+SQRT(NORMSDIST(G$9*SQRT($C$11)*NORMSINV($B907)+SQRT(1-G$9^2*$C$11)*NORMSINV(F907))*(G$7-G$5)*(G$6-G$5)),G$7-SQRT((1-NORMSDIST(G$9*SQRT($C$11)*NORMSINV($B907)+SQRT(1-G$9^2*$C$11)*NORMSINV(F907)))*(G$7-G$5)*(G$7-G$6))))</f>
        <v>0.0537521413003561</v>
      </c>
      <c r="H907" s="2" t="n">
        <v>0.662194037</v>
      </c>
      <c r="I907" s="2" t="n">
        <f aca="false">IF(I$7=I$5,I$6,IF(NORMSDIST(I$9*SQRT($C$11)*NORMSINV($B907)+SQRT(1-I$9^2*$C$11)*NORMSINV(H907))&lt;I$8,I$5+SQRT(NORMSDIST(I$9*SQRT($C$11)*NORMSINV($B907)+SQRT(1-I$9^2*$C$11)*NORMSINV(H907))*(I$7-I$5)*(I$6-I$5)),I$7-SQRT((1-NORMSDIST(I$9*SQRT($C$11)*NORMSINV($B907)+SQRT(1-I$9^2*$C$11)*NORMSINV(H907)))*(I$7-I$5)*(I$7-I$6))))</f>
        <v>200.131004007172</v>
      </c>
      <c r="J907" s="2" t="n">
        <v>0.685115319</v>
      </c>
      <c r="K907" s="2" t="n">
        <f aca="false">IF(K$7=K$5,K$6,IF(NORMSDIST(K$9*SQRT($C$11)*NORMSINV($B907)+SQRT(1-K$9^2*$C$11)*NORMSINV(J907))&lt;K$8,K$5+SQRT(NORMSDIST(K$9*SQRT($C$11)*NORMSINV($B907)+SQRT(1-K$9^2*$C$11)*NORMSINV(J907))*(K$7-K$5)*(K$6-K$5)),K$7-SQRT((1-NORMSDIST(K$9*SQRT($C$11)*NORMSINV($B907)+SQRT(1-K$9^2*$C$11)*NORMSINV(J907)))*(K$7-K$5)*(K$7-K$6))))</f>
        <v>0.256628301130665</v>
      </c>
      <c r="L907" s="2" t="n">
        <v>0.440180065</v>
      </c>
      <c r="M907" s="2" t="n">
        <f aca="false">IF(M$7=M$5,M$6,IF(NORMSDIST(M$9*SQRT($C$11)*NORMSINV($B907)+SQRT(1-M$9^2*$C$11)*NORMSINV(L907))&lt;M$8,M$5+SQRT(NORMSDIST(M$9*SQRT($C$11)*NORMSINV($B907)+SQRT(1-M$9^2*$C$11)*NORMSINV(L907))*(M$7-M$5)*(M$6-M$5)),M$7-SQRT((1-NORMSDIST(M$9*SQRT($C$11)*NORMSINV($B907)+SQRT(1-M$9^2*$C$11)*NORMSINV(L907)))*(M$7-M$5)*(M$7-M$6))))</f>
        <v>1534.37546019194</v>
      </c>
      <c r="N907" s="2" t="n">
        <v>0.23474529</v>
      </c>
      <c r="O907" s="2" t="n">
        <f aca="false">IF(O$7=O$5,O$6,IF(NORMSDIST(O$9*SQRT($C$11)*NORMSINV($B907)+SQRT(1-O$9^2*$C$11)*NORMSINV(N907))&lt;O$8,O$5+SQRT(NORMSDIST(O$9*SQRT($C$11)*NORMSINV($B907)+SQRT(1-O$9^2*$C$11)*NORMSINV(N907))*(O$7-O$5)*(O$6-O$5)),O$7-SQRT((1-NORMSDIST(O$9*SQRT($C$11)*NORMSINV($B907)+SQRT(1-O$9^2*$C$11)*NORMSINV(N907)))*(O$7-O$5)*(O$7-O$6))))</f>
        <v>0.156627345152415</v>
      </c>
      <c r="P907" s="2" t="n">
        <v>0.959354919</v>
      </c>
      <c r="Q907" s="2" t="n">
        <f aca="false">IF(Q$7=Q$5,Q$6,IF(NORMSDIST(Q$9*SQRT($C$11)*NORMSINV($B907)+SQRT(1-Q$9^2*$C$11)*NORMSINV(P907))&lt;Q$8,Q$5+SQRT(NORMSDIST(Q$9*SQRT($C$11)*NORMSINV($B907)+SQRT(1-Q$9^2*$C$11)*NORMSINV(P907))*(Q$7-Q$5)*(Q$6-Q$5)),Q$7-SQRT((1-NORMSDIST(Q$9*SQRT($C$11)*NORMSINV($B907)+SQRT(1-Q$9^2*$C$11)*NORMSINV(P907)))*(Q$7-Q$5)*(Q$7-Q$6))))</f>
        <v>0.108595428144818</v>
      </c>
      <c r="R907" s="2" t="n">
        <v>0.750624341</v>
      </c>
      <c r="S907" s="2" t="n">
        <f aca="false">IF(S$7=S$5,S$6,IF(NORMSDIST(S$9*SQRT($C$11)*NORMSINV($B907)+SQRT(1-S$9^2*$C$11)*NORMSINV(R907))&lt;S$8,S$5+SQRT(NORMSDIST(S$9*SQRT($C$11)*NORMSINV($B907)+SQRT(1-S$9^2*$C$11)*NORMSINV(R907))*(S$7-S$5)*(S$6-S$5)),S$7-SQRT((1-NORMSDIST(S$9*SQRT($C$11)*NORMSINV($B907)+SQRT(1-S$9^2*$C$11)*NORMSINV(R907)))*(S$7-S$5)*(S$7-S$6))))</f>
        <v>0.544801062987796</v>
      </c>
      <c r="T907" s="2" t="n">
        <v>0.535747569</v>
      </c>
      <c r="U907" s="2" t="n">
        <f aca="false">IF(U$7=U$5,U$6,IF(NORMSDIST(U$9*SQRT($C$11)*NORMSINV($B907)+SQRT(1-U$9^2*$C$11)*NORMSINV(T907))&lt;U$8,U$5+SQRT(NORMSDIST(U$9*SQRT($C$11)*NORMSINV($B907)+SQRT(1-U$9^2*$C$11)*NORMSINV(T907))*(U$7-U$5)*(U$6-U$5)),U$7-SQRT((1-NORMSDIST(U$9*SQRT($C$11)*NORMSINV($B907)+SQRT(1-U$9^2*$C$11)*NORMSINV(T907)))*(U$7-U$5)*(U$7-U$6))))</f>
        <v>0.450464305259915</v>
      </c>
      <c r="V907" s="2" t="n">
        <v>0.012596415</v>
      </c>
      <c r="W907" s="2" t="n">
        <f aca="false">IF(W$7=W$5,W$6,IF(NORMSDIST(W$9*SQRT($C$11)*NORMSINV($B907)+SQRT(1-W$9^2*$C$11)*NORMSINV(V907))&lt;W$8,W$5+SQRT(NORMSDIST(W$9*SQRT($C$11)*NORMSINV($B907)+SQRT(1-W$9^2*$C$11)*NORMSINV(V907))*(W$7-W$5)*(W$6-W$5)),W$7-SQRT((1-NORMSDIST(W$9*SQRT($C$11)*NORMSINV($B907)+SQRT(1-W$9^2*$C$11)*NORMSINV(V907)))*(W$7-W$5)*(W$7-W$6))))</f>
        <v>8.4058862847334</v>
      </c>
      <c r="X907" s="2" t="n">
        <v>0.60362451</v>
      </c>
      <c r="Y907" s="2" t="n">
        <f aca="false">IF(Y$7=Y$5,Y$6,IF(NORMSDIST(Y$9*SQRT($C$11)*NORMSINV($B907)+SQRT(1-Y$9^2*$C$11)*NORMSINV(X907))&lt;Y$8,Y$5+SQRT(NORMSDIST(Y$9*SQRT($C$11)*NORMSINV($B907)+SQRT(1-Y$9^2*$C$11)*NORMSINV(X907))*(Y$7-Y$5)*(Y$6-Y$5)),Y$7-SQRT((1-NORMSDIST(Y$9*SQRT($C$11)*NORMSINV($B907)+SQRT(1-Y$9^2*$C$11)*NORMSINV(X907)))*(Y$7-Y$5)*(Y$7-Y$6))))</f>
        <v>0.554817178004362</v>
      </c>
      <c r="Z907" s="2" t="n">
        <v>0.454835904</v>
      </c>
      <c r="AA907" s="2" t="n">
        <f aca="false">IF(AA$7=AA$5,AA$6,IF(NORMSDIST(AA$9*SQRT($C$11)*NORMSINV($B907)+SQRT(1-AA$9^2*$C$11)*NORMSINV(Z907))&lt;AA$8,AA$5+SQRT(NORMSDIST(AA$9*SQRT($C$11)*NORMSINV($B907)+SQRT(1-AA$9^2*$C$11)*NORMSINV(Z907))*(AA$7-AA$5)*(AA$6-AA$5)),AA$7-SQRT((1-NORMSDIST(AA$9*SQRT($C$11)*NORMSINV($B907)+SQRT(1-AA$9^2*$C$11)*NORMSINV(Z907)))*(AA$7-AA$5)*(AA$7-AA$6))))</f>
        <v>0.722555093475882</v>
      </c>
      <c r="AB907" s="2" t="n">
        <v>0.519624423</v>
      </c>
      <c r="AC907" s="2" t="n">
        <f aca="false">IF(AC$7=AC$5,AC$6,IF(NORMSDIST(AC$9*SQRT($C$11)*NORMSINV($B907)+SQRT(1-AC$9^2*$C$11)*NORMSINV(AB907))&lt;AC$8,AC$5+SQRT(NORMSDIST(AC$9*SQRT($C$11)*NORMSINV($B907)+SQRT(1-AC$9^2*$C$11)*NORMSINV(AB907))*(AC$7-AC$5)*(AC$6-AC$5)),AC$7-SQRT((1-NORMSDIST(AC$9*SQRT($C$11)*NORMSINV($B907)+SQRT(1-AC$9^2*$C$11)*NORMSINV(AB907)))*(AC$7-AC$5)*(AC$7-AC$6))))</f>
        <v>9.24436679517562</v>
      </c>
      <c r="AD907" s="2" t="n">
        <f aca="false">Entrées!$C$8*(1+E907)</f>
        <v>7418.21052002225</v>
      </c>
      <c r="AE907" s="2" t="n">
        <f aca="false">I907*Hypothèses!$J$24/12/Hypothèses!$J$19</f>
        <v>99.2843505437612</v>
      </c>
      <c r="AF907" s="2" t="n">
        <f aca="false">Entrées!$C$36*S907*1000</f>
        <v>272.400531493898</v>
      </c>
      <c r="AG907" s="2" t="n">
        <f aca="false">-AF907/W907</f>
        <v>-32.4059263076906</v>
      </c>
      <c r="AH907" s="2" t="n">
        <f aca="false">AD907+AE907+AG907</f>
        <v>7485.08894425832</v>
      </c>
      <c r="AI907" s="2" t="n">
        <f aca="false">Entrées!$C$16-M907+Hypothèses!$J$22*1000-AF907+Hypothèses!$J$23</f>
        <v>22741.2240083142</v>
      </c>
      <c r="AJ907" s="2" t="n">
        <f aca="false">AI907/AH907</f>
        <v>3.03820357749504</v>
      </c>
      <c r="AK907" s="2" t="n">
        <f aca="false">AI907/(AH907+I907*(12-Hypothèses!$J$24)/12/Hypothèses!$J$19)</f>
        <v>3.00968831847576</v>
      </c>
      <c r="AL907" s="2" t="n">
        <f aca="false">(AD907+AG907+I907/Hypothèses!$J$19)*(1+G907)</f>
        <v>7962.15785782376</v>
      </c>
      <c r="AM907" s="2" t="n">
        <f aca="false">Entrées!$C$54*K907/Hypothèses!$J$19</f>
        <v>26.1899956429903</v>
      </c>
      <c r="AN907" s="2" t="n">
        <f aca="false">Y907*1000/AC907</f>
        <v>60.0167853891199</v>
      </c>
      <c r="AO907" s="2" t="n">
        <f aca="false">(Entrées!$C$36*(1-S907)+MAX(0,Entrées!$C$30-Entrées!$C$35-Entrées!$C$36)*U907)*1000</f>
        <v>858.249495869983</v>
      </c>
      <c r="AP907" s="2" t="n">
        <f aca="false">-AO907/W907</f>
        <v>-102.101011933592</v>
      </c>
      <c r="AQ907" s="2" t="n">
        <f aca="false">AL907+AM907+AN907+AP907</f>
        <v>7946.26362692227</v>
      </c>
      <c r="AR907" s="2" t="n">
        <f aca="false">O907*AQ907-Hypothèses!$J$25/Hypothèses!$J$19</f>
        <v>1225.46701350441</v>
      </c>
      <c r="AS907" s="2" t="n">
        <f aca="false">Entrées!$C$79*(1+Q907)+Hypothèses!$J$20</f>
        <v>1513.34637553116</v>
      </c>
      <c r="AT907" s="2" t="n">
        <f aca="false">AI907-AR907+AS907+Y907*1000-AO907+Hypothèses!$J$23</f>
        <v>22725.6710524753</v>
      </c>
      <c r="AU907" s="2" t="n">
        <f aca="false">AT907/AQ907</f>
        <v>2.85991909146832</v>
      </c>
      <c r="AV907" s="2" t="n">
        <f aca="false">Hypothèses!$J$26*AQ907-AT907</f>
        <v>1113.11982829152</v>
      </c>
      <c r="AW907" s="2" t="n">
        <f aca="false">IF(AC907&gt;Hypothèses!$J$26,MAX(0,AV907)/(1-Hypothèses!$J$26/AC907),0)</f>
        <v>1647.89934948406</v>
      </c>
      <c r="AX907" s="2" t="n">
        <f aca="false">AQ907-Entrées!$C$17*1000</f>
        <v>-53.736373077727</v>
      </c>
      <c r="AY907" s="2" t="n">
        <f aca="false">AI907+(Entrées!$C$244-Entrées!$C$13)</f>
        <v>28488.2240083142</v>
      </c>
      <c r="AZ907" s="2" t="n">
        <f aca="false">AA907*AH907</f>
        <v>5408.38914179386</v>
      </c>
      <c r="BA907" s="2" t="n">
        <f aca="false">AZ907/AY907</f>
        <v>0.189846483242179</v>
      </c>
      <c r="BB907" s="2" t="n">
        <f aca="false">AZ907/(Entrées!$C$151/100)-AY907</f>
        <v>1558.38233498507</v>
      </c>
      <c r="BC907" s="2" t="n">
        <f aca="false">AT907+(Entrées!$C$244-Entrées!$C$13)</f>
        <v>28472.6710524753</v>
      </c>
      <c r="BD907" s="2" t="n">
        <f aca="false">AA907*AQ907</f>
        <v>5741.61325773483</v>
      </c>
      <c r="BE907" s="2" t="n">
        <f aca="false">BD907/BC907</f>
        <v>0.201653481935467</v>
      </c>
      <c r="BF907" s="2" t="n">
        <f aca="false">BD907/(Entrées!$C$151/100)-BC907</f>
        <v>3425.18037938485</v>
      </c>
      <c r="BG907" s="2" t="n">
        <f aca="false">MIN(AV907,BF907)</f>
        <v>1113.11982829152</v>
      </c>
      <c r="BH907" s="2" t="n">
        <f aca="false">IF(AC907&gt;Hypothèses!$J$26,MAX(0,BG907)/(1-Hypothèses!$J$26/AC907),0)</f>
        <v>1647.89934948406</v>
      </c>
    </row>
    <row r="908" customFormat="false" ht="15" hidden="false" customHeight="false" outlineLevel="0" collapsed="false">
      <c r="A908" s="2" t="n">
        <v>893</v>
      </c>
      <c r="B908" s="2" t="n">
        <v>0.000255287</v>
      </c>
      <c r="C908" s="2"/>
      <c r="D908" s="2" t="n">
        <v>0.501761302</v>
      </c>
      <c r="E908" s="2" t="n">
        <f aca="false">IF(E$7=E$5,E$6,IF(NORMSDIST(E$9*SQRT($C$11)*NORMSINV($B908)+SQRT(1-E$9^2*$C$11)*NORMSINV(D908))&lt;E$8,E$5+SQRT(NORMSDIST(E$9*SQRT($C$11)*NORMSINV($B908)+SQRT(1-E$9^2*$C$11)*NORMSINV(D908))*(E$7-E$5)*(E$6-E$5)),E$7-SQRT((1-NORMSDIST(E$9*SQRT($C$11)*NORMSINV($B908)+SQRT(1-E$9^2*$C$11)*NORMSINV(D908)))*(E$7-E$5)*(E$7-E$6))))</f>
        <v>0.0508396821702235</v>
      </c>
      <c r="F908" s="2" t="n">
        <v>0.004001091</v>
      </c>
      <c r="G908" s="2" t="n">
        <f aca="false">IF(G$7=G$5,G$6,IF(NORMSDIST(G$9*SQRT($C$11)*NORMSINV($B908)+SQRT(1-G$9^2*$C$11)*NORMSINV(F908))&lt;G$8,G$5+SQRT(NORMSDIST(G$9*SQRT($C$11)*NORMSINV($B908)+SQRT(1-G$9^2*$C$11)*NORMSINV(F908))*(G$7-G$5)*(G$6-G$5)),G$7-SQRT((1-NORMSDIST(G$9*SQRT($C$11)*NORMSINV($B908)+SQRT(1-G$9^2*$C$11)*NORMSINV(F908)))*(G$7-G$5)*(G$7-G$6))))</f>
        <v>0.0400690302807471</v>
      </c>
      <c r="H908" s="2" t="n">
        <v>0.563543772</v>
      </c>
      <c r="I908" s="2" t="n">
        <f aca="false">IF(I$7=I$5,I$6,IF(NORMSDIST(I$9*SQRT($C$11)*NORMSINV($B908)+SQRT(1-I$9^2*$C$11)*NORMSINV(H908))&lt;I$8,I$5+SQRT(NORMSDIST(I$9*SQRT($C$11)*NORMSINV($B908)+SQRT(1-I$9^2*$C$11)*NORMSINV(H908))*(I$7-I$5)*(I$6-I$5)),I$7-SQRT((1-NORMSDIST(I$9*SQRT($C$11)*NORMSINV($B908)+SQRT(1-I$9^2*$C$11)*NORMSINV(H908)))*(I$7-I$5)*(I$7-I$6))))</f>
        <v>183.902921422961</v>
      </c>
      <c r="J908" s="2" t="n">
        <v>0.344744426</v>
      </c>
      <c r="K908" s="2" t="n">
        <f aca="false">IF(K$7=K$5,K$6,IF(NORMSDIST(K$9*SQRT($C$11)*NORMSINV($B908)+SQRT(1-K$9^2*$C$11)*NORMSINV(J908))&lt;K$8,K$5+SQRT(NORMSDIST(K$9*SQRT($C$11)*NORMSINV($B908)+SQRT(1-K$9^2*$C$11)*NORMSINV(J908))*(K$7-K$5)*(K$6-K$5)),K$7-SQRT((1-NORMSDIST(K$9*SQRT($C$11)*NORMSINV($B908)+SQRT(1-K$9^2*$C$11)*NORMSINV(J908)))*(K$7-K$5)*(K$7-K$6))))</f>
        <v>0.0275720700665967</v>
      </c>
      <c r="L908" s="2" t="n">
        <v>0.499648339</v>
      </c>
      <c r="M908" s="2" t="n">
        <f aca="false">IF(M$7=M$5,M$6,IF(NORMSDIST(M$9*SQRT($C$11)*NORMSINV($B908)+SQRT(1-M$9^2*$C$11)*NORMSINV(L908))&lt;M$8,M$5+SQRT(NORMSDIST(M$9*SQRT($C$11)*NORMSINV($B908)+SQRT(1-M$9^2*$C$11)*NORMSINV(L908))*(M$7-M$5)*(M$6-M$5)),M$7-SQRT((1-NORMSDIST(M$9*SQRT($C$11)*NORMSINV($B908)+SQRT(1-M$9^2*$C$11)*NORMSINV(L908)))*(M$7-M$5)*(M$7-M$6))))</f>
        <v>1350.33639721409</v>
      </c>
      <c r="N908" s="2" t="n">
        <v>0.872653033</v>
      </c>
      <c r="O908" s="2" t="n">
        <f aca="false">IF(O$7=O$5,O$6,IF(NORMSDIST(O$9*SQRT($C$11)*NORMSINV($B908)+SQRT(1-O$9^2*$C$11)*NORMSINV(N908))&lt;O$8,O$5+SQRT(NORMSDIST(O$9*SQRT($C$11)*NORMSINV($B908)+SQRT(1-O$9^2*$C$11)*NORMSINV(N908))*(O$7-O$5)*(O$6-O$5)),O$7-SQRT((1-NORMSDIST(O$9*SQRT($C$11)*NORMSINV($B908)+SQRT(1-O$9^2*$C$11)*NORMSINV(N908)))*(O$7-O$5)*(O$7-O$6))))</f>
        <v>0.151623071475706</v>
      </c>
      <c r="P908" s="2" t="n">
        <v>0.018108237</v>
      </c>
      <c r="Q908" s="2" t="n">
        <f aca="false">IF(Q$7=Q$5,Q$6,IF(NORMSDIST(Q$9*SQRT($C$11)*NORMSINV($B908)+SQRT(1-Q$9^2*$C$11)*NORMSINV(P908))&lt;Q$8,Q$5+SQRT(NORMSDIST(Q$9*SQRT($C$11)*NORMSINV($B908)+SQRT(1-Q$9^2*$C$11)*NORMSINV(P908))*(Q$7-Q$5)*(Q$6-Q$5)),Q$7-SQRT((1-NORMSDIST(Q$9*SQRT($C$11)*NORMSINV($B908)+SQRT(1-Q$9^2*$C$11)*NORMSINV(P908)))*(Q$7-Q$5)*(Q$7-Q$6))))</f>
        <v>0.047612250547637</v>
      </c>
      <c r="R908" s="2" t="n">
        <v>0.705487692</v>
      </c>
      <c r="S908" s="2" t="n">
        <f aca="false">IF(S$7=S$5,S$6,IF(NORMSDIST(S$9*SQRT($C$11)*NORMSINV($B908)+SQRT(1-S$9^2*$C$11)*NORMSINV(R908))&lt;S$8,S$5+SQRT(NORMSDIST(S$9*SQRT($C$11)*NORMSINV($B908)+SQRT(1-S$9^2*$C$11)*NORMSINV(R908))*(S$7-S$5)*(S$6-S$5)),S$7-SQRT((1-NORMSDIST(S$9*SQRT($C$11)*NORMSINV($B908)+SQRT(1-S$9^2*$C$11)*NORMSINV(R908)))*(S$7-S$5)*(S$7-S$6))))</f>
        <v>0.137089590096006</v>
      </c>
      <c r="T908" s="2" t="n">
        <v>0.216778631</v>
      </c>
      <c r="U908" s="2" t="n">
        <f aca="false">IF(U$7=U$5,U$6,IF(NORMSDIST(U$9*SQRT($C$11)*NORMSINV($B908)+SQRT(1-U$9^2*$C$11)*NORMSINV(T908))&lt;U$8,U$5+SQRT(NORMSDIST(U$9*SQRT($C$11)*NORMSINV($B908)+SQRT(1-U$9^2*$C$11)*NORMSINV(T908))*(U$7-U$5)*(U$6-U$5)),U$7-SQRT((1-NORMSDIST(U$9*SQRT($C$11)*NORMSINV($B908)+SQRT(1-U$9^2*$C$11)*NORMSINV(T908)))*(U$7-U$5)*(U$7-U$6))))</f>
        <v>0.0354958683466929</v>
      </c>
      <c r="V908" s="2" t="n">
        <v>0.434812042</v>
      </c>
      <c r="W908" s="2" t="n">
        <f aca="false">IF(W$7=W$5,W$6,IF(NORMSDIST(W$9*SQRT($C$11)*NORMSINV($B908)+SQRT(1-W$9^2*$C$11)*NORMSINV(V908))&lt;W$8,W$5+SQRT(NORMSDIST(W$9*SQRT($C$11)*NORMSINV($B908)+SQRT(1-W$9^2*$C$11)*NORMSINV(V908))*(W$7-W$5)*(W$6-W$5)),W$7-SQRT((1-NORMSDIST(W$9*SQRT($C$11)*NORMSINV($B908)+SQRT(1-W$9^2*$C$11)*NORMSINV(V908)))*(W$7-W$5)*(W$7-W$6))))</f>
        <v>8.28334544138384</v>
      </c>
      <c r="X908" s="2" t="n">
        <v>0.152911851</v>
      </c>
      <c r="Y908" s="2" t="n">
        <f aca="false">IF(Y$7=Y$5,Y$6,IF(NORMSDIST(Y$9*SQRT($C$11)*NORMSINV($B908)+SQRT(1-Y$9^2*$C$11)*NORMSINV(X908))&lt;Y$8,Y$5+SQRT(NORMSDIST(Y$9*SQRT($C$11)*NORMSINV($B908)+SQRT(1-Y$9^2*$C$11)*NORMSINV(X908))*(Y$7-Y$5)*(Y$6-Y$5)),Y$7-SQRT((1-NORMSDIST(Y$9*SQRT($C$11)*NORMSINV($B908)+SQRT(1-Y$9^2*$C$11)*NORMSINV(X908)))*(Y$7-Y$5)*(Y$7-Y$6))))</f>
        <v>0.276506646393898</v>
      </c>
      <c r="Z908" s="2" t="n">
        <v>0.248687312</v>
      </c>
      <c r="AA908" s="2" t="n">
        <f aca="false">IF(AA$7=AA$5,AA$6,IF(NORMSDIST(AA$9*SQRT($C$11)*NORMSINV($B908)+SQRT(1-AA$9^2*$C$11)*NORMSINV(Z908))&lt;AA$8,AA$5+SQRT(NORMSDIST(AA$9*SQRT($C$11)*NORMSINV($B908)+SQRT(1-AA$9^2*$C$11)*NORMSINV(Z908))*(AA$7-AA$5)*(AA$6-AA$5)),AA$7-SQRT((1-NORMSDIST(AA$9*SQRT($C$11)*NORMSINV($B908)+SQRT(1-AA$9^2*$C$11)*NORMSINV(Z908)))*(AA$7-AA$5)*(AA$7-AA$6))))</f>
        <v>0.697949706084895</v>
      </c>
      <c r="AB908" s="2" t="n">
        <v>0.79587271</v>
      </c>
      <c r="AC908" s="2" t="n">
        <f aca="false">IF(AC$7=AC$5,AC$6,IF(NORMSDIST(AC$9*SQRT($C$11)*NORMSINV($B908)+SQRT(1-AC$9^2*$C$11)*NORMSINV(AB908))&lt;AC$8,AC$5+SQRT(NORMSDIST(AC$9*SQRT($C$11)*NORMSINV($B908)+SQRT(1-AC$9^2*$C$11)*NORMSINV(AB908))*(AC$7-AC$5)*(AC$6-AC$5)),AC$7-SQRT((1-NORMSDIST(AC$9*SQRT($C$11)*NORMSINV($B908)+SQRT(1-AC$9^2*$C$11)*NORMSINV(AB908)))*(AC$7-AC$5)*(AC$7-AC$6))))</f>
        <v>8.11818966450542</v>
      </c>
      <c r="AD908" s="2" t="n">
        <f aca="false">Entrées!$C$8*(1+E908)</f>
        <v>7408.41975930008</v>
      </c>
      <c r="AE908" s="2" t="n">
        <f aca="false">I908*Hypothèses!$J$24/12/Hypothèses!$J$19</f>
        <v>91.2336507137328</v>
      </c>
      <c r="AF908" s="2" t="n">
        <f aca="false">Entrées!$C$36*S908*1000</f>
        <v>68.5447950480032</v>
      </c>
      <c r="AG908" s="2" t="n">
        <f aca="false">-AF908/W908</f>
        <v>-8.27501346322603</v>
      </c>
      <c r="AH908" s="2" t="n">
        <f aca="false">AD908+AE908+AG908</f>
        <v>7491.37839655058</v>
      </c>
      <c r="AI908" s="2" t="n">
        <f aca="false">Entrées!$C$16-M908+Hypothèses!$J$22*1000-AF908+Hypothèses!$J$23</f>
        <v>23129.1188077379</v>
      </c>
      <c r="AJ908" s="2" t="n">
        <f aca="false">AI908/AH908</f>
        <v>3.08743165588695</v>
      </c>
      <c r="AK908" s="2" t="n">
        <f aca="false">AI908/(AH908+I908*(12-Hypothèses!$J$24)/12/Hypothèses!$J$19)</f>
        <v>3.06080595303232</v>
      </c>
      <c r="AL908" s="2" t="n">
        <f aca="false">(AD908+AG908+I908/Hypothèses!$J$19)*(1+G908)</f>
        <v>7859.32873195708</v>
      </c>
      <c r="AM908" s="2" t="n">
        <f aca="false">Entrées!$C$54*K908/Hypothèses!$J$19</f>
        <v>2.81384551793733</v>
      </c>
      <c r="AN908" s="2" t="n">
        <f aca="false">Y908*1000/AC908</f>
        <v>34.0601362891099</v>
      </c>
      <c r="AO908" s="2" t="n">
        <f aca="false">(Entrées!$C$36*(1-S908)+MAX(0,Entrées!$C$30-Entrées!$C$35-Entrées!$C$36)*U908)*1000</f>
        <v>481.149420637367</v>
      </c>
      <c r="AP908" s="2" t="n">
        <f aca="false">-AO908/W908</f>
        <v>-58.0863642645555</v>
      </c>
      <c r="AQ908" s="2" t="n">
        <f aca="false">AL908+AM908+AN908+AP908</f>
        <v>7838.11634949957</v>
      </c>
      <c r="AR908" s="2" t="n">
        <f aca="false">O908*AQ908-Hypothèses!$J$25/Hypothèses!$J$19</f>
        <v>1169.30411323344</v>
      </c>
      <c r="AS908" s="2" t="n">
        <f aca="false">Entrées!$C$79*(1+Q908)+Hypothèses!$J$20</f>
        <v>1446.32586335185</v>
      </c>
      <c r="AT908" s="2" t="n">
        <f aca="false">AI908-AR908+AS908+Y908*1000-AO908+Hypothèses!$J$23</f>
        <v>23201.4977836128</v>
      </c>
      <c r="AU908" s="2" t="n">
        <f aca="false">AT908/AQ908</f>
        <v>2.96008591210746</v>
      </c>
      <c r="AV908" s="2" t="n">
        <f aca="false">Hypothèses!$J$26*AQ908-AT908</f>
        <v>312.851264885867</v>
      </c>
      <c r="AW908" s="2" t="n">
        <f aca="false">IF(AC908&gt;Hypothèses!$J$26,MAX(0,AV908)/(1-Hypothèses!$J$26/AC908),0)</f>
        <v>496.227391246807</v>
      </c>
      <c r="AX908" s="2" t="n">
        <f aca="false">AQ908-Entrées!$C$17*1000</f>
        <v>-161.883650500431</v>
      </c>
      <c r="AY908" s="2" t="n">
        <f aca="false">AI908+(Entrées!$C$244-Entrées!$C$13)</f>
        <v>28876.1188077379</v>
      </c>
      <c r="AZ908" s="2" t="n">
        <f aca="false">AA908*AH908</f>
        <v>5228.60535004321</v>
      </c>
      <c r="BA908" s="2" t="n">
        <f aca="false">AZ908/AY908</f>
        <v>0.181070225706445</v>
      </c>
      <c r="BB908" s="2" t="n">
        <f aca="false">AZ908/(Entrées!$C$151/100)-AY908</f>
        <v>171.68869250215</v>
      </c>
      <c r="BC908" s="2" t="n">
        <f aca="false">AT908+(Entrées!$C$244-Entrées!$C$13)</f>
        <v>28948.4977836128</v>
      </c>
      <c r="BD908" s="2" t="n">
        <f aca="false">AA908*AQ908</f>
        <v>5470.61100239243</v>
      </c>
      <c r="BE908" s="2" t="n">
        <f aca="false">BD908/BC908</f>
        <v>0.188977370891046</v>
      </c>
      <c r="BF908" s="2" t="n">
        <f aca="false">BD908/(Entrées!$C$151/100)-BC908</f>
        <v>1443.78556301179</v>
      </c>
      <c r="BG908" s="2" t="n">
        <f aca="false">MIN(AV908,BF908)</f>
        <v>312.851264885867</v>
      </c>
      <c r="BH908" s="2" t="n">
        <f aca="false">IF(AC908&gt;Hypothèses!$J$26,MAX(0,BG908)/(1-Hypothèses!$J$26/AC908),0)</f>
        <v>496.227391246807</v>
      </c>
    </row>
    <row r="909" customFormat="false" ht="15" hidden="false" customHeight="false" outlineLevel="0" collapsed="false">
      <c r="A909" s="2" t="n">
        <v>894</v>
      </c>
      <c r="B909" s="2" t="n">
        <v>0.013354226</v>
      </c>
      <c r="C909" s="2"/>
      <c r="D909" s="2" t="n">
        <v>0.384515347</v>
      </c>
      <c r="E909" s="2" t="n">
        <f aca="false">IF(E$7=E$5,E$6,IF(NORMSDIST(E$9*SQRT($C$11)*NORMSINV($B909)+SQRT(1-E$9^2*$C$11)*NORMSINV(D909))&lt;E$8,E$5+SQRT(NORMSDIST(E$9*SQRT($C$11)*NORMSINV($B909)+SQRT(1-E$9^2*$C$11)*NORMSINV(D909))*(E$7-E$5)*(E$6-E$5)),E$7-SQRT((1-NORMSDIST(E$9*SQRT($C$11)*NORMSINV($B909)+SQRT(1-E$9^2*$C$11)*NORMSINV(D909)))*(E$7-E$5)*(E$7-E$6))))</f>
        <v>0.051607413714562</v>
      </c>
      <c r="F909" s="2" t="n">
        <v>0.423538941</v>
      </c>
      <c r="G909" s="2" t="n">
        <f aca="false">IF(G$7=G$5,G$6,IF(NORMSDIST(G$9*SQRT($C$11)*NORMSINV($B909)+SQRT(1-G$9^2*$C$11)*NORMSINV(F909))&lt;G$8,G$5+SQRT(NORMSDIST(G$9*SQRT($C$11)*NORMSINV($B909)+SQRT(1-G$9^2*$C$11)*NORMSINV(F909))*(G$7-G$5)*(G$6-G$5)),G$7-SQRT((1-NORMSDIST(G$9*SQRT($C$11)*NORMSINV($B909)+SQRT(1-G$9^2*$C$11)*NORMSINV(F909)))*(G$7-G$5)*(G$7-G$6))))</f>
        <v>0.0452169586177515</v>
      </c>
      <c r="H909" s="2" t="n">
        <v>0.349525933</v>
      </c>
      <c r="I909" s="2" t="n">
        <f aca="false">IF(I$7=I$5,I$6,IF(NORMSDIST(I$9*SQRT($C$11)*NORMSINV($B909)+SQRT(1-I$9^2*$C$11)*NORMSINV(H909))&lt;I$8,I$5+SQRT(NORMSDIST(I$9*SQRT($C$11)*NORMSINV($B909)+SQRT(1-I$9^2*$C$11)*NORMSINV(H909))*(I$7-I$5)*(I$6-I$5)),I$7-SQRT((1-NORMSDIST(I$9*SQRT($C$11)*NORMSINV($B909)+SQRT(1-I$9^2*$C$11)*NORMSINV(H909)))*(I$7-I$5)*(I$7-I$6))))</f>
        <v>185.965766866556</v>
      </c>
      <c r="J909" s="2" t="n">
        <v>0.417128791</v>
      </c>
      <c r="K909" s="2" t="n">
        <f aca="false">IF(K$7=K$5,K$6,IF(NORMSDIST(K$9*SQRT($C$11)*NORMSINV($B909)+SQRT(1-K$9^2*$C$11)*NORMSINV(J909))&lt;K$8,K$5+SQRT(NORMSDIST(K$9*SQRT($C$11)*NORMSINV($B909)+SQRT(1-K$9^2*$C$11)*NORMSINV(J909))*(K$7-K$5)*(K$6-K$5)),K$7-SQRT((1-NORMSDIST(K$9*SQRT($C$11)*NORMSINV($B909)+SQRT(1-K$9^2*$C$11)*NORMSINV(J909)))*(K$7-K$5)*(K$7-K$6))))</f>
        <v>0.0858588941220184</v>
      </c>
      <c r="L909" s="2" t="n">
        <v>0.395519953</v>
      </c>
      <c r="M909" s="2" t="n">
        <f aca="false">IF(M$7=M$5,M$6,IF(NORMSDIST(M$9*SQRT($C$11)*NORMSINV($B909)+SQRT(1-M$9^2*$C$11)*NORMSINV(L909))&lt;M$8,M$5+SQRT(NORMSDIST(M$9*SQRT($C$11)*NORMSINV($B909)+SQRT(1-M$9^2*$C$11)*NORMSINV(L909))*(M$7-M$5)*(M$6-M$5)),M$7-SQRT((1-NORMSDIST(M$9*SQRT($C$11)*NORMSINV($B909)+SQRT(1-M$9^2*$C$11)*NORMSINV(L909)))*(M$7-M$5)*(M$7-M$6))))</f>
        <v>1395.98507079632</v>
      </c>
      <c r="N909" s="2" t="n">
        <v>0.872124609</v>
      </c>
      <c r="O909" s="2" t="n">
        <f aca="false">IF(O$7=O$5,O$6,IF(NORMSDIST(O$9*SQRT($C$11)*NORMSINV($B909)+SQRT(1-O$9^2*$C$11)*NORMSINV(N909))&lt;O$8,O$5+SQRT(NORMSDIST(O$9*SQRT($C$11)*NORMSINV($B909)+SQRT(1-O$9^2*$C$11)*NORMSINV(N909))*(O$7-O$5)*(O$6-O$5)),O$7-SQRT((1-NORMSDIST(O$9*SQRT($C$11)*NORMSINV($B909)+SQRT(1-O$9^2*$C$11)*NORMSINV(N909)))*(O$7-O$5)*(O$7-O$6))))</f>
        <v>0.160787552222011</v>
      </c>
      <c r="P909" s="2" t="n">
        <v>0.875337554</v>
      </c>
      <c r="Q909" s="2" t="n">
        <f aca="false">IF(Q$7=Q$5,Q$6,IF(NORMSDIST(Q$9*SQRT($C$11)*NORMSINV($B909)+SQRT(1-Q$9^2*$C$11)*NORMSINV(P909))&lt;Q$8,Q$5+SQRT(NORMSDIST(Q$9*SQRT($C$11)*NORMSINV($B909)+SQRT(1-Q$9^2*$C$11)*NORMSINV(P909))*(Q$7-Q$5)*(Q$6-Q$5)),Q$7-SQRT((1-NORMSDIST(Q$9*SQRT($C$11)*NORMSINV($B909)+SQRT(1-Q$9^2*$C$11)*NORMSINV(P909)))*(Q$7-Q$5)*(Q$7-Q$6))))</f>
        <v>0.10002702257549</v>
      </c>
      <c r="R909" s="2" t="n">
        <v>0.398378853</v>
      </c>
      <c r="S909" s="2" t="n">
        <f aca="false">IF(S$7=S$5,S$6,IF(NORMSDIST(S$9*SQRT($C$11)*NORMSINV($B909)+SQRT(1-S$9^2*$C$11)*NORMSINV(R909))&lt;S$8,S$5+SQRT(NORMSDIST(S$9*SQRT($C$11)*NORMSINV($B909)+SQRT(1-S$9^2*$C$11)*NORMSINV(R909))*(S$7-S$5)*(S$6-S$5)),S$7-SQRT((1-NORMSDIST(S$9*SQRT($C$11)*NORMSINV($B909)+SQRT(1-S$9^2*$C$11)*NORMSINV(R909)))*(S$7-S$5)*(S$7-S$6))))</f>
        <v>0.165384540927773</v>
      </c>
      <c r="T909" s="2" t="n">
        <v>0.552957109</v>
      </c>
      <c r="U909" s="2" t="n">
        <f aca="false">IF(U$7=U$5,U$6,IF(NORMSDIST(U$9*SQRT($C$11)*NORMSINV($B909)+SQRT(1-U$9^2*$C$11)*NORMSINV(T909))&lt;U$8,U$5+SQRT(NORMSDIST(U$9*SQRT($C$11)*NORMSINV($B909)+SQRT(1-U$9^2*$C$11)*NORMSINV(T909))*(U$7-U$5)*(U$6-U$5)),U$7-SQRT((1-NORMSDIST(U$9*SQRT($C$11)*NORMSINV($B909)+SQRT(1-U$9^2*$C$11)*NORMSINV(T909)))*(U$7-U$5)*(U$7-U$6))))</f>
        <v>0.220343756936622</v>
      </c>
      <c r="V909" s="2" t="n">
        <v>0.624445255</v>
      </c>
      <c r="W909" s="2" t="n">
        <f aca="false">IF(W$7=W$5,W$6,IF(NORMSDIST(W$9*SQRT($C$11)*NORMSINV($B909)+SQRT(1-W$9^2*$C$11)*NORMSINV(V909))&lt;W$8,W$5+SQRT(NORMSDIST(W$9*SQRT($C$11)*NORMSINV($B909)+SQRT(1-W$9^2*$C$11)*NORMSINV(V909))*(W$7-W$5)*(W$6-W$5)),W$7-SQRT((1-NORMSDIST(W$9*SQRT($C$11)*NORMSINV($B909)+SQRT(1-W$9^2*$C$11)*NORMSINV(V909)))*(W$7-W$5)*(W$7-W$6))))</f>
        <v>8.99561377164904</v>
      </c>
      <c r="X909" s="2" t="n">
        <v>0.888032905</v>
      </c>
      <c r="Y909" s="2" t="n">
        <f aca="false">IF(Y$7=Y$5,Y$6,IF(NORMSDIST(Y$9*SQRT($C$11)*NORMSINV($B909)+SQRT(1-Y$9^2*$C$11)*NORMSINV(X909))&lt;Y$8,Y$5+SQRT(NORMSDIST(Y$9*SQRT($C$11)*NORMSINV($B909)+SQRT(1-Y$9^2*$C$11)*NORMSINV(X909))*(Y$7-Y$5)*(Y$6-Y$5)),Y$7-SQRT((1-NORMSDIST(Y$9*SQRT($C$11)*NORMSINV($B909)+SQRT(1-Y$9^2*$C$11)*NORMSINV(X909)))*(Y$7-Y$5)*(Y$7-Y$6))))</f>
        <v>0.763391573480571</v>
      </c>
      <c r="Z909" s="2" t="n">
        <v>0.122163636</v>
      </c>
      <c r="AA909" s="2" t="n">
        <f aca="false">IF(AA$7=AA$5,AA$6,IF(NORMSDIST(AA$9*SQRT($C$11)*NORMSINV($B909)+SQRT(1-AA$9^2*$C$11)*NORMSINV(Z909))&lt;AA$8,AA$5+SQRT(NORMSDIST(AA$9*SQRT($C$11)*NORMSINV($B909)+SQRT(1-AA$9^2*$C$11)*NORMSINV(Z909))*(AA$7-AA$5)*(AA$6-AA$5)),AA$7-SQRT((1-NORMSDIST(AA$9*SQRT($C$11)*NORMSINV($B909)+SQRT(1-AA$9^2*$C$11)*NORMSINV(Z909)))*(AA$7-AA$5)*(AA$7-AA$6))))</f>
        <v>0.700092748537393</v>
      </c>
      <c r="AB909" s="2" t="n">
        <v>0.297702224</v>
      </c>
      <c r="AC909" s="2" t="n">
        <f aca="false">IF(AC$7=AC$5,AC$6,IF(NORMSDIST(AC$9*SQRT($C$11)*NORMSINV($B909)+SQRT(1-AC$9^2*$C$11)*NORMSINV(AB909))&lt;AC$8,AC$5+SQRT(NORMSDIST(AC$9*SQRT($C$11)*NORMSINV($B909)+SQRT(1-AC$9^2*$C$11)*NORMSINV(AB909))*(AC$7-AC$5)*(AC$6-AC$5)),AC$7-SQRT((1-NORMSDIST(AC$9*SQRT($C$11)*NORMSINV($B909)+SQRT(1-AC$9^2*$C$11)*NORMSINV(AB909)))*(AC$7-AC$5)*(AC$7-AC$6))))</f>
        <v>7.9494350384443</v>
      </c>
      <c r="AD909" s="2" t="n">
        <f aca="false">Entrées!$C$8*(1+E909)</f>
        <v>7413.83226668766</v>
      </c>
      <c r="AE909" s="2" t="n">
        <f aca="false">I909*Hypothèses!$J$24/12/Hypothèses!$J$19</f>
        <v>92.2570217359066</v>
      </c>
      <c r="AF909" s="2" t="n">
        <f aca="false">Entrées!$C$36*S909*1000</f>
        <v>82.6922704638863</v>
      </c>
      <c r="AG909" s="2" t="n">
        <f aca="false">-AF909/W909</f>
        <v>-9.19251010136771</v>
      </c>
      <c r="AH909" s="2" t="n">
        <f aca="false">AD909+AE909+AG909</f>
        <v>7496.8967783222</v>
      </c>
      <c r="AI909" s="2" t="n">
        <f aca="false">Entrées!$C$16-M909+Hypothèses!$J$22*1000-AF909+Hypothèses!$J$23</f>
        <v>23069.3226587398</v>
      </c>
      <c r="AJ909" s="2" t="n">
        <f aca="false">AI909/AH909</f>
        <v>3.07718291192782</v>
      </c>
      <c r="AK909" s="2" t="n">
        <f aca="false">AI909/(AH909+I909*(12-Hypothèses!$J$24)/12/Hypothèses!$J$19)</f>
        <v>3.05037009774129</v>
      </c>
      <c r="AL909" s="2" t="n">
        <f aca="false">(AD909+AG909+I909/Hypothèses!$J$19)*(1+G909)</f>
        <v>7904.76122375911</v>
      </c>
      <c r="AM909" s="2" t="n">
        <f aca="false">Entrées!$C$54*K909/Hypothèses!$J$19</f>
        <v>8.76226064335246</v>
      </c>
      <c r="AN909" s="2" t="n">
        <f aca="false">Y909*1000/AC909</f>
        <v>96.0309216678581</v>
      </c>
      <c r="AO909" s="2" t="n">
        <f aca="false">(Entrées!$C$36*(1-S909)+MAX(0,Entrées!$C$30-Entrées!$C$35-Entrées!$C$36)*U909)*1000</f>
        <v>725.788989247385</v>
      </c>
      <c r="AP909" s="2" t="n">
        <f aca="false">-AO909/W909</f>
        <v>-80.6825423669046</v>
      </c>
      <c r="AQ909" s="2" t="n">
        <f aca="false">AL909+AM909+AN909+AP909</f>
        <v>7928.87186370341</v>
      </c>
      <c r="AR909" s="2" t="n">
        <f aca="false">O909*AQ909-Hypothèses!$J$25/Hypothèses!$J$19</f>
        <v>1255.72873658522</v>
      </c>
      <c r="AS909" s="2" t="n">
        <f aca="false">Entrées!$C$79*(1+Q909)+Hypothèses!$J$20</f>
        <v>1503.92969781046</v>
      </c>
      <c r="AT909" s="2" t="n">
        <f aca="false">AI909-AR909+AS909+Y909*1000-AO909+Hypothèses!$J$23</f>
        <v>23355.1262041982</v>
      </c>
      <c r="AU909" s="2" t="n">
        <f aca="false">AT909/AQ909</f>
        <v>2.9455799772869</v>
      </c>
      <c r="AV909" s="2" t="n">
        <f aca="false">Hypothèses!$J$26*AQ909-AT909</f>
        <v>431.489386912021</v>
      </c>
      <c r="AW909" s="2" t="n">
        <f aca="false">IF(AC909&gt;Hypothèses!$J$26,MAX(0,AV909)/(1-Hypothèses!$J$26/AC909),0)</f>
        <v>693.02795660359</v>
      </c>
      <c r="AX909" s="2" t="n">
        <f aca="false">AQ909-Entrées!$C$17*1000</f>
        <v>-71.1281362965874</v>
      </c>
      <c r="AY909" s="2" t="n">
        <f aca="false">AI909+(Entrées!$C$244-Entrées!$C$13)</f>
        <v>28816.3226587398</v>
      </c>
      <c r="AZ909" s="2" t="n">
        <f aca="false">AA909*AH909</f>
        <v>5248.52307103672</v>
      </c>
      <c r="BA909" s="2" t="n">
        <f aca="false">AZ909/AY909</f>
        <v>0.182137156541203</v>
      </c>
      <c r="BB909" s="2" t="n">
        <f aca="false">AZ909/(Entrées!$C$151/100)-AY909</f>
        <v>342.138847019753</v>
      </c>
      <c r="BC909" s="2" t="n">
        <f aca="false">AT909+(Entrées!$C$244-Entrées!$C$13)</f>
        <v>29102.1262041982</v>
      </c>
      <c r="BD909" s="2" t="n">
        <f aca="false">AA909*AQ909</f>
        <v>5550.94569586093</v>
      </c>
      <c r="BE909" s="2" t="n">
        <f aca="false">BD909/BC909</f>
        <v>0.19074021110733</v>
      </c>
      <c r="BF909" s="2" t="n">
        <f aca="false">BD909/(Entrées!$C$151/100)-BC909</f>
        <v>1736.46099502915</v>
      </c>
      <c r="BG909" s="2" t="n">
        <f aca="false">MIN(AV909,BF909)</f>
        <v>431.489386912021</v>
      </c>
      <c r="BH909" s="2" t="n">
        <f aca="false">IF(AC909&gt;Hypothèses!$J$26,MAX(0,BG909)/(1-Hypothèses!$J$26/AC909),0)</f>
        <v>693.02795660359</v>
      </c>
    </row>
    <row r="910" customFormat="false" ht="15" hidden="false" customHeight="false" outlineLevel="0" collapsed="false">
      <c r="A910" s="2" t="n">
        <v>895</v>
      </c>
      <c r="B910" s="2" t="n">
        <v>0.240289927</v>
      </c>
      <c r="C910" s="2"/>
      <c r="D910" s="2" t="n">
        <v>0.477474434</v>
      </c>
      <c r="E910" s="2" t="n">
        <f aca="false">IF(E$7=E$5,E$6,IF(NORMSDIST(E$9*SQRT($C$11)*NORMSINV($B910)+SQRT(1-E$9^2*$C$11)*NORMSINV(D910))&lt;E$8,E$5+SQRT(NORMSDIST(E$9*SQRT($C$11)*NORMSINV($B910)+SQRT(1-E$9^2*$C$11)*NORMSINV(D910))*(E$7-E$5)*(E$6-E$5)),E$7-SQRT((1-NORMSDIST(E$9*SQRT($C$11)*NORMSINV($B910)+SQRT(1-E$9^2*$C$11)*NORMSINV(D910)))*(E$7-E$5)*(E$7-E$6))))</f>
        <v>0.0539503876192681</v>
      </c>
      <c r="F910" s="2" t="n">
        <v>0.102166373</v>
      </c>
      <c r="G910" s="2" t="n">
        <f aca="false">IF(G$7=G$5,G$6,IF(NORMSDIST(G$9*SQRT($C$11)*NORMSINV($B910)+SQRT(1-G$9^2*$C$11)*NORMSINV(F910))&lt;G$8,G$5+SQRT(NORMSDIST(G$9*SQRT($C$11)*NORMSINV($B910)+SQRT(1-G$9^2*$C$11)*NORMSINV(F910))*(G$7-G$5)*(G$6-G$5)),G$7-SQRT((1-NORMSDIST(G$9*SQRT($C$11)*NORMSINV($B910)+SQRT(1-G$9^2*$C$11)*NORMSINV(F910)))*(G$7-G$5)*(G$7-G$6))))</f>
        <v>0.0458656342448101</v>
      </c>
      <c r="H910" s="2" t="n">
        <v>0.989973895</v>
      </c>
      <c r="I910" s="2" t="n">
        <f aca="false">IF(I$7=I$5,I$6,IF(NORMSDIST(I$9*SQRT($C$11)*NORMSINV($B910)+SQRT(1-I$9^2*$C$11)*NORMSINV(H910))&lt;I$8,I$5+SQRT(NORMSDIST(I$9*SQRT($C$11)*NORMSINV($B910)+SQRT(1-I$9^2*$C$11)*NORMSINV(H910))*(I$7-I$5)*(I$6-I$5)),I$7-SQRT((1-NORMSDIST(I$9*SQRT($C$11)*NORMSINV($B910)+SQRT(1-I$9^2*$C$11)*NORMSINV(H910)))*(I$7-I$5)*(I$7-I$6))))</f>
        <v>211.624246970708</v>
      </c>
      <c r="J910" s="2" t="n">
        <v>0.534695882</v>
      </c>
      <c r="K910" s="2" t="n">
        <f aca="false">IF(K$7=K$5,K$6,IF(NORMSDIST(K$9*SQRT($C$11)*NORMSINV($B910)+SQRT(1-K$9^2*$C$11)*NORMSINV(J910))&lt;K$8,K$5+SQRT(NORMSDIST(K$9*SQRT($C$11)*NORMSINV($B910)+SQRT(1-K$9^2*$C$11)*NORMSINV(J910))*(K$7-K$5)*(K$6-K$5)),K$7-SQRT((1-NORMSDIST(K$9*SQRT($C$11)*NORMSINV($B910)+SQRT(1-K$9^2*$C$11)*NORMSINV(J910)))*(K$7-K$5)*(K$7-K$6))))</f>
        <v>0.209901402543209</v>
      </c>
      <c r="L910" s="2" t="n">
        <v>0.408586278</v>
      </c>
      <c r="M910" s="2" t="n">
        <f aca="false">IF(M$7=M$5,M$6,IF(NORMSDIST(M$9*SQRT($C$11)*NORMSINV($B910)+SQRT(1-M$9^2*$C$11)*NORMSINV(L910))&lt;M$8,M$5+SQRT(NORMSDIST(M$9*SQRT($C$11)*NORMSINV($B910)+SQRT(1-M$9^2*$C$11)*NORMSINV(L910))*(M$7-M$5)*(M$6-M$5)),M$7-SQRT((1-NORMSDIST(M$9*SQRT($C$11)*NORMSINV($B910)+SQRT(1-M$9^2*$C$11)*NORMSINV(L910)))*(M$7-M$5)*(M$7-M$6))))</f>
        <v>1508.96669545265</v>
      </c>
      <c r="N910" s="2" t="n">
        <v>0.866371989</v>
      </c>
      <c r="O910" s="2" t="n">
        <f aca="false">IF(O$7=O$5,O$6,IF(NORMSDIST(O$9*SQRT($C$11)*NORMSINV($B910)+SQRT(1-O$9^2*$C$11)*NORMSINV(N910))&lt;O$8,O$5+SQRT(NORMSDIST(O$9*SQRT($C$11)*NORMSINV($B910)+SQRT(1-O$9^2*$C$11)*NORMSINV(N910))*(O$7-O$5)*(O$6-O$5)),O$7-SQRT((1-NORMSDIST(O$9*SQRT($C$11)*NORMSINV($B910)+SQRT(1-O$9^2*$C$11)*NORMSINV(N910)))*(O$7-O$5)*(O$7-O$6))))</f>
        <v>0.170977265469814</v>
      </c>
      <c r="P910" s="2" t="n">
        <v>0.534873558</v>
      </c>
      <c r="Q910" s="2" t="n">
        <f aca="false">IF(Q$7=Q$5,Q$6,IF(NORMSDIST(Q$9*SQRT($C$11)*NORMSINV($B910)+SQRT(1-Q$9^2*$C$11)*NORMSINV(P910))&lt;Q$8,Q$5+SQRT(NORMSDIST(Q$9*SQRT($C$11)*NORMSINV($B910)+SQRT(1-Q$9^2*$C$11)*NORMSINV(P910))*(Q$7-Q$5)*(Q$6-Q$5)),Q$7-SQRT((1-NORMSDIST(Q$9*SQRT($C$11)*NORMSINV($B910)+SQRT(1-Q$9^2*$C$11)*NORMSINV(P910)))*(Q$7-Q$5)*(Q$7-Q$6))))</f>
        <v>0.0814201527426559</v>
      </c>
      <c r="R910" s="2" t="n">
        <v>0.606119986</v>
      </c>
      <c r="S910" s="2" t="n">
        <f aca="false">IF(S$7=S$5,S$6,IF(NORMSDIST(S$9*SQRT($C$11)*NORMSINV($B910)+SQRT(1-S$9^2*$C$11)*NORMSINV(R910))&lt;S$8,S$5+SQRT(NORMSDIST(S$9*SQRT($C$11)*NORMSINV($B910)+SQRT(1-S$9^2*$C$11)*NORMSINV(R910))*(S$7-S$5)*(S$6-S$5)),S$7-SQRT((1-NORMSDIST(S$9*SQRT($C$11)*NORMSINV($B910)+SQRT(1-S$9^2*$C$11)*NORMSINV(R910)))*(S$7-S$5)*(S$7-S$6))))</f>
        <v>0.450613023540855</v>
      </c>
      <c r="T910" s="2" t="n">
        <v>0.883393689</v>
      </c>
      <c r="U910" s="2" t="n">
        <f aca="false">IF(U$7=U$5,U$6,IF(NORMSDIST(U$9*SQRT($C$11)*NORMSINV($B910)+SQRT(1-U$9^2*$C$11)*NORMSINV(T910))&lt;U$8,U$5+SQRT(NORMSDIST(U$9*SQRT($C$11)*NORMSINV($B910)+SQRT(1-U$9^2*$C$11)*NORMSINV(T910))*(U$7-U$5)*(U$6-U$5)),U$7-SQRT((1-NORMSDIST(U$9*SQRT($C$11)*NORMSINV($B910)+SQRT(1-U$9^2*$C$11)*NORMSINV(T910)))*(U$7-U$5)*(U$7-U$6))))</f>
        <v>0.60214684602775</v>
      </c>
      <c r="V910" s="2" t="n">
        <v>0.562371357</v>
      </c>
      <c r="W910" s="2" t="n">
        <f aca="false">IF(W$7=W$5,W$6,IF(NORMSDIST(W$9*SQRT($C$11)*NORMSINV($B910)+SQRT(1-W$9^2*$C$11)*NORMSINV(V910))&lt;W$8,W$5+SQRT(NORMSDIST(W$9*SQRT($C$11)*NORMSINV($B910)+SQRT(1-W$9^2*$C$11)*NORMSINV(V910))*(W$7-W$5)*(W$6-W$5)),W$7-SQRT((1-NORMSDIST(W$9*SQRT($C$11)*NORMSINV($B910)+SQRT(1-W$9^2*$C$11)*NORMSINV(V910)))*(W$7-W$5)*(W$7-W$6))))</f>
        <v>9.7269018668578</v>
      </c>
      <c r="X910" s="2" t="n">
        <v>0.555724138</v>
      </c>
      <c r="Y910" s="2" t="n">
        <f aca="false">IF(Y$7=Y$5,Y$6,IF(NORMSDIST(Y$9*SQRT($C$11)*NORMSINV($B910)+SQRT(1-Y$9^2*$C$11)*NORMSINV(X910))&lt;Y$8,Y$5+SQRT(NORMSDIST(Y$9*SQRT($C$11)*NORMSINV($B910)+SQRT(1-Y$9^2*$C$11)*NORMSINV(X910))*(Y$7-Y$5)*(Y$6-Y$5)),Y$7-SQRT((1-NORMSDIST(Y$9*SQRT($C$11)*NORMSINV($B910)+SQRT(1-Y$9^2*$C$11)*NORMSINV(X910)))*(Y$7-Y$5)*(Y$7-Y$6))))</f>
        <v>0.52868489203082</v>
      </c>
      <c r="Z910" s="2" t="n">
        <v>0.43449827</v>
      </c>
      <c r="AA910" s="2" t="n">
        <f aca="false">IF(AA$7=AA$5,AA$6,IF(NORMSDIST(AA$9*SQRT($C$11)*NORMSINV($B910)+SQRT(1-AA$9^2*$C$11)*NORMSINV(Z910))&lt;AA$8,AA$5+SQRT(NORMSDIST(AA$9*SQRT($C$11)*NORMSINV($B910)+SQRT(1-AA$9^2*$C$11)*NORMSINV(Z910))*(AA$7-AA$5)*(AA$6-AA$5)),AA$7-SQRT((1-NORMSDIST(AA$9*SQRT($C$11)*NORMSINV($B910)+SQRT(1-AA$9^2*$C$11)*NORMSINV(Z910)))*(AA$7-AA$5)*(AA$7-AA$6))))</f>
        <v>0.719945760762923</v>
      </c>
      <c r="AB910" s="2" t="n">
        <v>0.834665994</v>
      </c>
      <c r="AC910" s="2" t="n">
        <f aca="false">IF(AC$7=AC$5,AC$6,IF(NORMSDIST(AC$9*SQRT($C$11)*NORMSINV($B910)+SQRT(1-AC$9^2*$C$11)*NORMSINV(AB910))&lt;AC$8,AC$5+SQRT(NORMSDIST(AC$9*SQRT($C$11)*NORMSINV($B910)+SQRT(1-AC$9^2*$C$11)*NORMSINV(AB910))*(AC$7-AC$5)*(AC$6-AC$5)),AC$7-SQRT((1-NORMSDIST(AC$9*SQRT($C$11)*NORMSINV($B910)+SQRT(1-AC$9^2*$C$11)*NORMSINV(AB910)))*(AC$7-AC$5)*(AC$7-AC$6))))</f>
        <v>9.71583116189151</v>
      </c>
      <c r="AD910" s="2" t="n">
        <f aca="false">Entrées!$C$8*(1+E910)</f>
        <v>7430.35023271584</v>
      </c>
      <c r="AE910" s="2" t="n">
        <f aca="false">I910*Hypothèses!$J$24/12/Hypothèses!$J$19</f>
        <v>104.986111592416</v>
      </c>
      <c r="AF910" s="2" t="n">
        <f aca="false">Entrées!$C$36*S910*1000</f>
        <v>225.306511770427</v>
      </c>
      <c r="AG910" s="2" t="n">
        <f aca="false">-AF910/W910</f>
        <v>-23.163234795049</v>
      </c>
      <c r="AH910" s="2" t="n">
        <f aca="false">AD910+AE910+AG910</f>
        <v>7512.17310951321</v>
      </c>
      <c r="AI910" s="2" t="n">
        <f aca="false">Entrées!$C$16-M910+Hypothèses!$J$22*1000-AF910+Hypothèses!$J$23</f>
        <v>22813.7267927769</v>
      </c>
      <c r="AJ910" s="2" t="n">
        <f aca="false">AI910/AH910</f>
        <v>3.03690110174461</v>
      </c>
      <c r="AK910" s="2" t="n">
        <f aca="false">AI910/(AH910+I910*(12-Hypothèses!$J$24)/12/Hypothèses!$J$19)</f>
        <v>3.00688494814306</v>
      </c>
      <c r="AL910" s="2" t="n">
        <f aca="false">(AD910+AG910+I910/Hypothèses!$J$19)*(1+G910)</f>
        <v>7935.15324101462</v>
      </c>
      <c r="AM910" s="2" t="n">
        <f aca="false">Entrées!$C$54*K910/Hypothèses!$J$19</f>
        <v>21.4213194485716</v>
      </c>
      <c r="AN910" s="2" t="n">
        <f aca="false">Y910*1000/AC910</f>
        <v>54.4147879086748</v>
      </c>
      <c r="AO910" s="2" t="n">
        <f aca="false">(Entrées!$C$36*(1-S910)+MAX(0,Entrées!$C$30-Entrées!$C$35-Entrées!$C$36)*U910)*1000</f>
        <v>1117.69907266842</v>
      </c>
      <c r="AP910" s="2" t="n">
        <f aca="false">-AO910/W910</f>
        <v>-114.908023949201</v>
      </c>
      <c r="AQ910" s="2" t="n">
        <f aca="false">AL910+AM910+AN910+AP910</f>
        <v>7896.08132442267</v>
      </c>
      <c r="AR910" s="2" t="n">
        <f aca="false">O910*AQ910-Hypothèses!$J$25/Hypothèses!$J$19</f>
        <v>1330.91523051543</v>
      </c>
      <c r="AS910" s="2" t="n">
        <f aca="false">Entrées!$C$79*(1+Q910)+Hypothèses!$J$20</f>
        <v>1483.48074786418</v>
      </c>
      <c r="AT910" s="2" t="n">
        <f aca="false">AI910-AR910+AS910+Y910*1000-AO910+Hypothèses!$J$23</f>
        <v>22377.2781294881</v>
      </c>
      <c r="AU910" s="2" t="n">
        <f aca="false">AT910/AQ910</f>
        <v>2.83397260110213</v>
      </c>
      <c r="AV910" s="2" t="n">
        <f aca="false">Hypothèses!$J$26*AQ910-AT910</f>
        <v>1310.96584377994</v>
      </c>
      <c r="AW910" s="2" t="n">
        <f aca="false">IF(AC910&gt;Hypothèses!$J$26,MAX(0,AV910)/(1-Hypothèses!$J$26/AC910),0)</f>
        <v>1896.58174693975</v>
      </c>
      <c r="AX910" s="2" t="n">
        <f aca="false">AQ910-Entrées!$C$17*1000</f>
        <v>-103.918675577332</v>
      </c>
      <c r="AY910" s="2" t="n">
        <f aca="false">AI910+(Entrées!$C$244-Entrées!$C$13)</f>
        <v>28560.7267927769</v>
      </c>
      <c r="AZ910" s="2" t="n">
        <f aca="false">AA910*AH910</f>
        <v>5408.35718431126</v>
      </c>
      <c r="BA910" s="2" t="n">
        <f aca="false">AZ910/AY910</f>
        <v>0.189363429843776</v>
      </c>
      <c r="BB910" s="2" t="n">
        <f aca="false">AZ910/(Entrées!$C$151/100)-AY910</f>
        <v>1485.7020089523</v>
      </c>
      <c r="BC910" s="2" t="n">
        <f aca="false">AT910+(Entrées!$C$244-Entrées!$C$13)</f>
        <v>28124.2781294881</v>
      </c>
      <c r="BD910" s="2" t="n">
        <f aca="false">AA910*AQ910</f>
        <v>5684.75027615739</v>
      </c>
      <c r="BE910" s="2" t="n">
        <f aca="false">BD910/BC910</f>
        <v>0.202129642225269</v>
      </c>
      <c r="BF910" s="2" t="n">
        <f aca="false">BD910/(Entrées!$C$151/100)-BC910</f>
        <v>3457.66784916409</v>
      </c>
      <c r="BG910" s="2" t="n">
        <f aca="false">MIN(AV910,BF910)</f>
        <v>1310.96584377994</v>
      </c>
      <c r="BH910" s="2" t="n">
        <f aca="false">IF(AC910&gt;Hypothèses!$J$26,MAX(0,BG910)/(1-Hypothèses!$J$26/AC910),0)</f>
        <v>1896.58174693975</v>
      </c>
    </row>
    <row r="911" customFormat="false" ht="15" hidden="false" customHeight="false" outlineLevel="0" collapsed="false">
      <c r="A911" s="2" t="n">
        <v>896</v>
      </c>
      <c r="B911" s="2" t="n">
        <v>0.858175677</v>
      </c>
      <c r="C911" s="2"/>
      <c r="D911" s="2" t="n">
        <v>0.252958753</v>
      </c>
      <c r="E911" s="2" t="n">
        <f aca="false">IF(E$7=E$5,E$6,IF(NORMSDIST(E$9*SQRT($C$11)*NORMSINV($B911)+SQRT(1-E$9^2*$C$11)*NORMSINV(D911))&lt;E$8,E$5+SQRT(NORMSDIST(E$9*SQRT($C$11)*NORMSINV($B911)+SQRT(1-E$9^2*$C$11)*NORMSINV(D911))*(E$7-E$5)*(E$6-E$5)),E$7-SQRT((1-NORMSDIST(E$9*SQRT($C$11)*NORMSINV($B911)+SQRT(1-E$9^2*$C$11)*NORMSINV(D911)))*(E$7-E$5)*(E$7-E$6))))</f>
        <v>0.0553345519547369</v>
      </c>
      <c r="F911" s="2" t="n">
        <v>0.199219494</v>
      </c>
      <c r="G911" s="2" t="n">
        <f aca="false">IF(G$7=G$5,G$6,IF(NORMSDIST(G$9*SQRT($C$11)*NORMSINV($B911)+SQRT(1-G$9^2*$C$11)*NORMSINV(F911))&lt;G$8,G$5+SQRT(NORMSDIST(G$9*SQRT($C$11)*NORMSINV($B911)+SQRT(1-G$9^2*$C$11)*NORMSINV(F911))*(G$7-G$5)*(G$6-G$5)),G$7-SQRT((1-NORMSDIST(G$9*SQRT($C$11)*NORMSINV($B911)+SQRT(1-G$9^2*$C$11)*NORMSINV(F911)))*(G$7-G$5)*(G$7-G$6))))</f>
        <v>0.0551443829590952</v>
      </c>
      <c r="H911" s="2" t="n">
        <v>0.116511099</v>
      </c>
      <c r="I911" s="2" t="n">
        <f aca="false">IF(I$7=I$5,I$6,IF(NORMSDIST(I$9*SQRT($C$11)*NORMSINV($B911)+SQRT(1-I$9^2*$C$11)*NORMSINV(H911))&lt;I$8,I$5+SQRT(NORMSDIST(I$9*SQRT($C$11)*NORMSINV($B911)+SQRT(1-I$9^2*$C$11)*NORMSINV(H911))*(I$7-I$5)*(I$6-I$5)),I$7-SQRT((1-NORMSDIST(I$9*SQRT($C$11)*NORMSINV($B911)+SQRT(1-I$9^2*$C$11)*NORMSINV(H911)))*(I$7-I$5)*(I$7-I$6))))</f>
        <v>197.954558409555</v>
      </c>
      <c r="J911" s="2" t="n">
        <v>0.003126161</v>
      </c>
      <c r="K911" s="2" t="n">
        <f aca="false">IF(K$7=K$5,K$6,IF(NORMSDIST(K$9*SQRT($C$11)*NORMSINV($B911)+SQRT(1-K$9^2*$C$11)*NORMSINV(J911))&lt;K$8,K$5+SQRT(NORMSDIST(K$9*SQRT($C$11)*NORMSINV($B911)+SQRT(1-K$9^2*$C$11)*NORMSINV(J911))*(K$7-K$5)*(K$6-K$5)),K$7-SQRT((1-NORMSDIST(K$9*SQRT($C$11)*NORMSINV($B911)+SQRT(1-K$9^2*$C$11)*NORMSINV(J911)))*(K$7-K$5)*(K$7-K$6))))</f>
        <v>0.0967959040159821</v>
      </c>
      <c r="L911" s="2" t="n">
        <v>0.39262645</v>
      </c>
      <c r="M911" s="2" t="n">
        <f aca="false">IF(M$7=M$5,M$6,IF(NORMSDIST(M$9*SQRT($C$11)*NORMSINV($B911)+SQRT(1-M$9^2*$C$11)*NORMSINV(L911))&lt;M$8,M$5+SQRT(NORMSDIST(M$9*SQRT($C$11)*NORMSINV($B911)+SQRT(1-M$9^2*$C$11)*NORMSINV(L911))*(M$7-M$5)*(M$6-M$5)),M$7-SQRT((1-NORMSDIST(M$9*SQRT($C$11)*NORMSINV($B911)+SQRT(1-M$9^2*$C$11)*NORMSINV(L911)))*(M$7-M$5)*(M$7-M$6))))</f>
        <v>1632.2316653684</v>
      </c>
      <c r="N911" s="2" t="n">
        <v>0.722728594</v>
      </c>
      <c r="O911" s="2" t="n">
        <f aca="false">IF(O$7=O$5,O$6,IF(NORMSDIST(O$9*SQRT($C$11)*NORMSINV($B911)+SQRT(1-O$9^2*$C$11)*NORMSINV(N911))&lt;O$8,O$5+SQRT(NORMSDIST(O$9*SQRT($C$11)*NORMSINV($B911)+SQRT(1-O$9^2*$C$11)*NORMSINV(N911))*(O$7-O$5)*(O$6-O$5)),O$7-SQRT((1-NORMSDIST(O$9*SQRT($C$11)*NORMSINV($B911)+SQRT(1-O$9^2*$C$11)*NORMSINV(N911)))*(O$7-O$5)*(O$7-O$6))))</f>
        <v>0.178322981197537</v>
      </c>
      <c r="P911" s="2" t="n">
        <v>0.360278861</v>
      </c>
      <c r="Q911" s="2" t="n">
        <f aca="false">IF(Q$7=Q$5,Q$6,IF(NORMSDIST(Q$9*SQRT($C$11)*NORMSINV($B911)+SQRT(1-Q$9^2*$C$11)*NORMSINV(P911))&lt;Q$8,Q$5+SQRT(NORMSDIST(Q$9*SQRT($C$11)*NORMSINV($B911)+SQRT(1-Q$9^2*$C$11)*NORMSINV(P911))*(Q$7-Q$5)*(Q$6-Q$5)),Q$7-SQRT((1-NORMSDIST(Q$9*SQRT($C$11)*NORMSINV($B911)+SQRT(1-Q$9^2*$C$11)*NORMSINV(P911)))*(Q$7-Q$5)*(Q$7-Q$6))))</f>
        <v>0.0739542685858494</v>
      </c>
      <c r="R911" s="2" t="n">
        <v>0.499793493</v>
      </c>
      <c r="S911" s="2" t="n">
        <f aca="false">IF(S$7=S$5,S$6,IF(NORMSDIST(S$9*SQRT($C$11)*NORMSINV($B911)+SQRT(1-S$9^2*$C$11)*NORMSINV(R911))&lt;S$8,S$5+SQRT(NORMSDIST(S$9*SQRT($C$11)*NORMSINV($B911)+SQRT(1-S$9^2*$C$11)*NORMSINV(R911))*(S$7-S$5)*(S$6-S$5)),S$7-SQRT((1-NORMSDIST(S$9*SQRT($C$11)*NORMSINV($B911)+SQRT(1-S$9^2*$C$11)*NORMSINV(R911)))*(S$7-S$5)*(S$7-S$6))))</f>
        <v>0.647166092715902</v>
      </c>
      <c r="T911" s="2" t="n">
        <v>0.011992918</v>
      </c>
      <c r="U911" s="2" t="n">
        <f aca="false">IF(U$7=U$5,U$6,IF(NORMSDIST(U$9*SQRT($C$11)*NORMSINV($B911)+SQRT(1-U$9^2*$C$11)*NORMSINV(T911))&lt;U$8,U$5+SQRT(NORMSDIST(U$9*SQRT($C$11)*NORMSINV($B911)+SQRT(1-U$9^2*$C$11)*NORMSINV(T911))*(U$7-U$5)*(U$6-U$5)),U$7-SQRT((1-NORMSDIST(U$9*SQRT($C$11)*NORMSINV($B911)+SQRT(1-U$9^2*$C$11)*NORMSINV(T911)))*(U$7-U$5)*(U$7-U$6))))</f>
        <v>0.26665421253231</v>
      </c>
      <c r="V911" s="2" t="n">
        <v>0.959041527</v>
      </c>
      <c r="W911" s="2" t="n">
        <f aca="false">IF(W$7=W$5,W$6,IF(NORMSDIST(W$9*SQRT($C$11)*NORMSINV($B911)+SQRT(1-W$9^2*$C$11)*NORMSINV(V911))&lt;W$8,W$5+SQRT(NORMSDIST(W$9*SQRT($C$11)*NORMSINV($B911)+SQRT(1-W$9^2*$C$11)*NORMSINV(V911))*(W$7-W$5)*(W$6-W$5)),W$7-SQRT((1-NORMSDIST(W$9*SQRT($C$11)*NORMSINV($B911)+SQRT(1-W$9^2*$C$11)*NORMSINV(V911)))*(W$7-W$5)*(W$7-W$6))))</f>
        <v>11.5862264333777</v>
      </c>
      <c r="X911" s="2" t="n">
        <v>0.650913676</v>
      </c>
      <c r="Y911" s="2" t="n">
        <f aca="false">IF(Y$7=Y$5,Y$6,IF(NORMSDIST(Y$9*SQRT($C$11)*NORMSINV($B911)+SQRT(1-Y$9^2*$C$11)*NORMSINV(X911))&lt;Y$8,Y$5+SQRT(NORMSDIST(Y$9*SQRT($C$11)*NORMSINV($B911)+SQRT(1-Y$9^2*$C$11)*NORMSINV(X911))*(Y$7-Y$5)*(Y$6-Y$5)),Y$7-SQRT((1-NORMSDIST(Y$9*SQRT($C$11)*NORMSINV($B911)+SQRT(1-Y$9^2*$C$11)*NORMSINV(X911)))*(Y$7-Y$5)*(Y$7-Y$6))))</f>
        <v>0.582216369396789</v>
      </c>
      <c r="Z911" s="2" t="n">
        <v>0.885034936</v>
      </c>
      <c r="AA911" s="2" t="n">
        <f aca="false">IF(AA$7=AA$5,AA$6,IF(NORMSDIST(AA$9*SQRT($C$11)*NORMSINV($B911)+SQRT(1-AA$9^2*$C$11)*NORMSINV(Z911))&lt;AA$8,AA$5+SQRT(NORMSDIST(AA$9*SQRT($C$11)*NORMSINV($B911)+SQRT(1-AA$9^2*$C$11)*NORMSINV(Z911))*(AA$7-AA$5)*(AA$6-AA$5)),AA$7-SQRT((1-NORMSDIST(AA$9*SQRT($C$11)*NORMSINV($B911)+SQRT(1-AA$9^2*$C$11)*NORMSINV(Z911)))*(AA$7-AA$5)*(AA$7-AA$6))))</f>
        <v>0.745546657714034</v>
      </c>
      <c r="AB911" s="2" t="n">
        <v>0.491263915</v>
      </c>
      <c r="AC911" s="2" t="n">
        <f aca="false">IF(AC$7=AC$5,AC$6,IF(NORMSDIST(AC$9*SQRT($C$11)*NORMSINV($B911)+SQRT(1-AC$9^2*$C$11)*NORMSINV(AB911))&lt;AC$8,AC$5+SQRT(NORMSDIST(AC$9*SQRT($C$11)*NORMSINV($B911)+SQRT(1-AC$9^2*$C$11)*NORMSINV(AB911))*(AC$7-AC$5)*(AC$6-AC$5)),AC$7-SQRT((1-NORMSDIST(AC$9*SQRT($C$11)*NORMSINV($B911)+SQRT(1-AC$9^2*$C$11)*NORMSINV(AB911)))*(AC$7-AC$5)*(AC$7-AC$6))))</f>
        <v>9.95194298492912</v>
      </c>
      <c r="AD911" s="2" t="n">
        <f aca="false">Entrées!$C$8*(1+E911)</f>
        <v>7440.1085912809</v>
      </c>
      <c r="AE911" s="2" t="n">
        <f aca="false">I911*Hypothèses!$J$24/12/Hypothèses!$J$19</f>
        <v>98.2046228487685</v>
      </c>
      <c r="AF911" s="2" t="n">
        <f aca="false">Entrées!$C$36*S911*1000</f>
        <v>323.583046357951</v>
      </c>
      <c r="AG911" s="2" t="n">
        <f aca="false">-AF911/W911</f>
        <v>-27.928251550977</v>
      </c>
      <c r="AH911" s="2" t="n">
        <f aca="false">AD911+AE911+AG911</f>
        <v>7510.38496257869</v>
      </c>
      <c r="AI911" s="2" t="n">
        <f aca="false">Entrées!$C$16-M911+Hypothèses!$J$22*1000-AF911+Hypothèses!$J$23</f>
        <v>22592.1852882736</v>
      </c>
      <c r="AJ911" s="2" t="n">
        <f aca="false">AI911/AH911</f>
        <v>3.00812613479092</v>
      </c>
      <c r="AK911" s="2" t="n">
        <f aca="false">AI911/(AH911+I911*(12-Hypothèses!$J$24)/12/Hypothèses!$J$19)</f>
        <v>2.98029055291829</v>
      </c>
      <c r="AL911" s="2" t="n">
        <f aca="false">(AD911+AG911+I911/Hypothèses!$J$19)*(1+G911)</f>
        <v>7998.55483296785</v>
      </c>
      <c r="AM911" s="2" t="n">
        <f aca="false">Entrées!$C$54*K911/Hypothèses!$J$19</f>
        <v>9.87842842456847</v>
      </c>
      <c r="AN911" s="2" t="n">
        <f aca="false">Y911*1000/AC911</f>
        <v>58.5027838562257</v>
      </c>
      <c r="AO911" s="2" t="n">
        <f aca="false">(Entrées!$C$36*(1-S911)+MAX(0,Entrées!$C$30-Entrées!$C$35-Entrées!$C$36)*U911)*1000</f>
        <v>549.732851187284</v>
      </c>
      <c r="AP911" s="2" t="n">
        <f aca="false">-AO911/W911</f>
        <v>-47.4471006024541</v>
      </c>
      <c r="AQ911" s="2" t="n">
        <f aca="false">AL911+AM911+AN911+AP911</f>
        <v>8019.48894464619</v>
      </c>
      <c r="AR911" s="2" t="n">
        <f aca="false">O911*AQ911-Hypothèses!$J$25/Hypothèses!$J$19</f>
        <v>1410.92401402837</v>
      </c>
      <c r="AS911" s="2" t="n">
        <f aca="false">Entrées!$C$79*(1+Q911)+Hypothèses!$J$20</f>
        <v>1475.27574117585</v>
      </c>
      <c r="AT911" s="2" t="n">
        <f aca="false">AI911-AR911+AS911+Y911*1000-AO911+Hypothèses!$J$23</f>
        <v>22689.0205336306</v>
      </c>
      <c r="AU911" s="2" t="n">
        <f aca="false">AT911/AQ911</f>
        <v>2.82923521564024</v>
      </c>
      <c r="AV911" s="2" t="n">
        <f aca="false">Hypothèses!$J$26*AQ911-AT911</f>
        <v>1369.44630030795</v>
      </c>
      <c r="AW911" s="2" t="n">
        <f aca="false">IF(AC911&gt;Hypothèses!$J$26,MAX(0,AV911)/(1-Hypothèses!$J$26/AC911),0)</f>
        <v>1960.4089865426</v>
      </c>
      <c r="AX911" s="2" t="n">
        <f aca="false">AQ911-Entrées!$C$17*1000</f>
        <v>19.4889446461912</v>
      </c>
      <c r="AY911" s="2" t="n">
        <f aca="false">AI911+(Entrées!$C$244-Entrées!$C$13)</f>
        <v>28339.1852882736</v>
      </c>
      <c r="AZ911" s="2" t="n">
        <f aca="false">AA911*AH911</f>
        <v>5599.34240699628</v>
      </c>
      <c r="BA911" s="2" t="n">
        <f aca="false">AZ911/AY911</f>
        <v>0.197583040939191</v>
      </c>
      <c r="BB911" s="2" t="n">
        <f aca="false">AZ911/(Entrées!$C$151/100)-AY911</f>
        <v>2768.27252837234</v>
      </c>
      <c r="BC911" s="2" t="n">
        <f aca="false">AT911+(Entrées!$C$244-Entrées!$C$13)</f>
        <v>28436.0205336306</v>
      </c>
      <c r="BD911" s="2" t="n">
        <f aca="false">AA911*AQ911</f>
        <v>5978.90317925561</v>
      </c>
      <c r="BE911" s="2" t="n">
        <f aca="false">BD911/BC911</f>
        <v>0.210258083481987</v>
      </c>
      <c r="BF911" s="2" t="n">
        <f aca="false">BD911/(Entrées!$C$151/100)-BC911</f>
        <v>4780.10824001165</v>
      </c>
      <c r="BG911" s="2" t="n">
        <f aca="false">MIN(AV911,BF911)</f>
        <v>1369.44630030795</v>
      </c>
      <c r="BH911" s="2" t="n">
        <f aca="false">IF(AC911&gt;Hypothèses!$J$26,MAX(0,BG911)/(1-Hypothèses!$J$26/AC911),0)</f>
        <v>1960.4089865426</v>
      </c>
    </row>
    <row r="912" customFormat="false" ht="15" hidden="false" customHeight="false" outlineLevel="0" collapsed="false">
      <c r="A912" s="2" t="n">
        <v>897</v>
      </c>
      <c r="B912" s="2" t="n">
        <v>0.909442232</v>
      </c>
      <c r="C912" s="2"/>
      <c r="D912" s="2" t="n">
        <v>0.431498705</v>
      </c>
      <c r="E912" s="2" t="n">
        <f aca="false">IF(E$7=E$5,E$6,IF(NORMSDIST(E$9*SQRT($C$11)*NORMSINV($B912)+SQRT(1-E$9^2*$C$11)*NORMSINV(D912))&lt;E$8,E$5+SQRT(NORMSDIST(E$9*SQRT($C$11)*NORMSINV($B912)+SQRT(1-E$9^2*$C$11)*NORMSINV(D912))*(E$7-E$5)*(E$6-E$5)),E$7-SQRT((1-NORMSDIST(E$9*SQRT($C$11)*NORMSINV($B912)+SQRT(1-E$9^2*$C$11)*NORMSINV(D912)))*(E$7-E$5)*(E$7-E$6))))</f>
        <v>0.0565489843281905</v>
      </c>
      <c r="F912" s="2" t="n">
        <v>0.88643313</v>
      </c>
      <c r="G912" s="2" t="n">
        <f aca="false">IF(G$7=G$5,G$6,IF(NORMSDIST(G$9*SQRT($C$11)*NORMSINV($B912)+SQRT(1-G$9^2*$C$11)*NORMSINV(F912))&lt;G$8,G$5+SQRT(NORMSDIST(G$9*SQRT($C$11)*NORMSINV($B912)+SQRT(1-G$9^2*$C$11)*NORMSINV(F912))*(G$7-G$5)*(G$6-G$5)),G$7-SQRT((1-NORMSDIST(G$9*SQRT($C$11)*NORMSINV($B912)+SQRT(1-G$9^2*$C$11)*NORMSINV(F912)))*(G$7-G$5)*(G$7-G$6))))</f>
        <v>0.0658959976846424</v>
      </c>
      <c r="H912" s="2" t="n">
        <v>0.028865287</v>
      </c>
      <c r="I912" s="2" t="n">
        <f aca="false">IF(I$7=I$5,I$6,IF(NORMSDIST(I$9*SQRT($C$11)*NORMSINV($B912)+SQRT(1-I$9^2*$C$11)*NORMSINV(H912))&lt;I$8,I$5+SQRT(NORMSDIST(I$9*SQRT($C$11)*NORMSINV($B912)+SQRT(1-I$9^2*$C$11)*NORMSINV(H912))*(I$7-I$5)*(I$6-I$5)),I$7-SQRT((1-NORMSDIST(I$9*SQRT($C$11)*NORMSINV($B912)+SQRT(1-I$9^2*$C$11)*NORMSINV(H912)))*(I$7-I$5)*(I$7-I$6))))</f>
        <v>194.59463811967</v>
      </c>
      <c r="J912" s="2" t="n">
        <v>0.353726991</v>
      </c>
      <c r="K912" s="2" t="n">
        <f aca="false">IF(K$7=K$5,K$6,IF(NORMSDIST(K$9*SQRT($C$11)*NORMSINV($B912)+SQRT(1-K$9^2*$C$11)*NORMSINV(J912))&lt;K$8,K$5+SQRT(NORMSDIST(K$9*SQRT($C$11)*NORMSINV($B912)+SQRT(1-K$9^2*$C$11)*NORMSINV(J912))*(K$7-K$5)*(K$6-K$5)),K$7-SQRT((1-NORMSDIST(K$9*SQRT($C$11)*NORMSINV($B912)+SQRT(1-K$9^2*$C$11)*NORMSINV(J912)))*(K$7-K$5)*(K$7-K$6))))</f>
        <v>0.309799743210404</v>
      </c>
      <c r="L912" s="2" t="n">
        <v>0.781933428</v>
      </c>
      <c r="M912" s="2" t="n">
        <f aca="false">IF(M$7=M$5,M$6,IF(NORMSDIST(M$9*SQRT($C$11)*NORMSINV($B912)+SQRT(1-M$9^2*$C$11)*NORMSINV(L912))&lt;M$8,M$5+SQRT(NORMSDIST(M$9*SQRT($C$11)*NORMSINV($B912)+SQRT(1-M$9^2*$C$11)*NORMSINV(L912))*(M$7-M$5)*(M$6-M$5)),M$7-SQRT((1-NORMSDIST(M$9*SQRT($C$11)*NORMSINV($B912)+SQRT(1-M$9^2*$C$11)*NORMSINV(L912)))*(M$7-M$5)*(M$7-M$6))))</f>
        <v>1715.31927041715</v>
      </c>
      <c r="N912" s="2" t="n">
        <v>0.731983736</v>
      </c>
      <c r="O912" s="2" t="n">
        <f aca="false">IF(O$7=O$5,O$6,IF(NORMSDIST(O$9*SQRT($C$11)*NORMSINV($B912)+SQRT(1-O$9^2*$C$11)*NORMSINV(N912))&lt;O$8,O$5+SQRT(NORMSDIST(O$9*SQRT($C$11)*NORMSINV($B912)+SQRT(1-O$9^2*$C$11)*NORMSINV(N912))*(O$7-O$5)*(O$6-O$5)),O$7-SQRT((1-NORMSDIST(O$9*SQRT($C$11)*NORMSINV($B912)+SQRT(1-O$9^2*$C$11)*NORMSINV(N912)))*(O$7-O$5)*(O$7-O$6))))</f>
        <v>0.18007045554982</v>
      </c>
      <c r="P912" s="2" t="n">
        <v>0.334908327</v>
      </c>
      <c r="Q912" s="2" t="n">
        <f aca="false">IF(Q$7=Q$5,Q$6,IF(NORMSDIST(Q$9*SQRT($C$11)*NORMSINV($B912)+SQRT(1-Q$9^2*$C$11)*NORMSINV(P912))&lt;Q$8,Q$5+SQRT(NORMSDIST(Q$9*SQRT($C$11)*NORMSINV($B912)+SQRT(1-Q$9^2*$C$11)*NORMSINV(P912))*(Q$7-Q$5)*(Q$6-Q$5)),Q$7-SQRT((1-NORMSDIST(Q$9*SQRT($C$11)*NORMSINV($B912)+SQRT(1-Q$9^2*$C$11)*NORMSINV(P912)))*(Q$7-Q$5)*(Q$7-Q$6))))</f>
        <v>0.0727369309251799</v>
      </c>
      <c r="R912" s="2" t="n">
        <v>0.35267783</v>
      </c>
      <c r="S912" s="2" t="n">
        <f aca="false">IF(S$7=S$5,S$6,IF(NORMSDIST(S$9*SQRT($C$11)*NORMSINV($B912)+SQRT(1-S$9^2*$C$11)*NORMSINV(R912))&lt;S$8,S$5+SQRT(NORMSDIST(S$9*SQRT($C$11)*NORMSINV($B912)+SQRT(1-S$9^2*$C$11)*NORMSINV(R912))*(S$7-S$5)*(S$6-S$5)),S$7-SQRT((1-NORMSDIST(S$9*SQRT($C$11)*NORMSINV($B912)+SQRT(1-S$9^2*$C$11)*NORMSINV(R912)))*(S$7-S$5)*(S$7-S$6))))</f>
        <v>0.619108015341509</v>
      </c>
      <c r="T912" s="2" t="n">
        <v>0.172561911</v>
      </c>
      <c r="U912" s="2" t="n">
        <f aca="false">IF(U$7=U$5,U$6,IF(NORMSDIST(U$9*SQRT($C$11)*NORMSINV($B912)+SQRT(1-U$9^2*$C$11)*NORMSINV(T912))&lt;U$8,U$5+SQRT(NORMSDIST(U$9*SQRT($C$11)*NORMSINV($B912)+SQRT(1-U$9^2*$C$11)*NORMSINV(T912))*(U$7-U$5)*(U$6-U$5)),U$7-SQRT((1-NORMSDIST(U$9*SQRT($C$11)*NORMSINV($B912)+SQRT(1-U$9^2*$C$11)*NORMSINV(T912)))*(U$7-U$5)*(U$7-U$6))))</f>
        <v>0.523336589846923</v>
      </c>
      <c r="V912" s="2" t="n">
        <v>0.746745279</v>
      </c>
      <c r="W912" s="2" t="n">
        <f aca="false">IF(W$7=W$5,W$6,IF(NORMSDIST(W$9*SQRT($C$11)*NORMSINV($B912)+SQRT(1-W$9^2*$C$11)*NORMSINV(V912))&lt;W$8,W$5+SQRT(NORMSDIST(W$9*SQRT($C$11)*NORMSINV($B912)+SQRT(1-W$9^2*$C$11)*NORMSINV(V912))*(W$7-W$5)*(W$6-W$5)),W$7-SQRT((1-NORMSDIST(W$9*SQRT($C$11)*NORMSINV($B912)+SQRT(1-W$9^2*$C$11)*NORMSINV(V912)))*(W$7-W$5)*(W$7-W$6))))</f>
        <v>11.1664086099503</v>
      </c>
      <c r="X912" s="2" t="n">
        <v>0.668701276</v>
      </c>
      <c r="Y912" s="2" t="n">
        <f aca="false">IF(Y$7=Y$5,Y$6,IF(NORMSDIST(Y$9*SQRT($C$11)*NORMSINV($B912)+SQRT(1-Y$9^2*$C$11)*NORMSINV(X912))&lt;Y$8,Y$5+SQRT(NORMSDIST(Y$9*SQRT($C$11)*NORMSINV($B912)+SQRT(1-Y$9^2*$C$11)*NORMSINV(X912))*(Y$7-Y$5)*(Y$6-Y$5)),Y$7-SQRT((1-NORMSDIST(Y$9*SQRT($C$11)*NORMSINV($B912)+SQRT(1-Y$9^2*$C$11)*NORMSINV(X912)))*(Y$7-Y$5)*(Y$7-Y$6))))</f>
        <v>0.592999555282798</v>
      </c>
      <c r="Z912" s="2" t="n">
        <v>0.568603459</v>
      </c>
      <c r="AA912" s="2" t="n">
        <f aca="false">IF(AA$7=AA$5,AA$6,IF(NORMSDIST(AA$9*SQRT($C$11)*NORMSINV($B912)+SQRT(1-AA$9^2*$C$11)*NORMSINV(Z912))&lt;AA$8,AA$5+SQRT(NORMSDIST(AA$9*SQRT($C$11)*NORMSINV($B912)+SQRT(1-AA$9^2*$C$11)*NORMSINV(Z912))*(AA$7-AA$5)*(AA$6-AA$5)),AA$7-SQRT((1-NORMSDIST(AA$9*SQRT($C$11)*NORMSINV($B912)+SQRT(1-AA$9^2*$C$11)*NORMSINV(Z912)))*(AA$7-AA$5)*(AA$7-AA$6))))</f>
        <v>0.739368212216529</v>
      </c>
      <c r="AB912" s="2" t="n">
        <v>0.229661313</v>
      </c>
      <c r="AC912" s="2" t="n">
        <f aca="false">IF(AC$7=AC$5,AC$6,IF(NORMSDIST(AC$9*SQRT($C$11)*NORMSINV($B912)+SQRT(1-AC$9^2*$C$11)*NORMSINV(AB912))&lt;AC$8,AC$5+SQRT(NORMSDIST(AC$9*SQRT($C$11)*NORMSINV($B912)+SQRT(1-AC$9^2*$C$11)*NORMSINV(AB912))*(AC$7-AC$5)*(AC$6-AC$5)),AC$7-SQRT((1-NORMSDIST(AC$9*SQRT($C$11)*NORMSINV($B912)+SQRT(1-AC$9^2*$C$11)*NORMSINV(AB912)))*(AC$7-AC$5)*(AC$7-AC$6))))</f>
        <v>9.69089471360795</v>
      </c>
      <c r="AD912" s="2" t="n">
        <f aca="false">Entrées!$C$8*(1+E912)</f>
        <v>7448.67033951374</v>
      </c>
      <c r="AE912" s="2" t="n">
        <f aca="false">I912*Hypothèses!$J$24/12/Hypothèses!$J$19</f>
        <v>96.5377771467998</v>
      </c>
      <c r="AF912" s="2" t="n">
        <f aca="false">Entrées!$C$36*S912*1000</f>
        <v>309.554007670755</v>
      </c>
      <c r="AG912" s="2" t="n">
        <f aca="false">-AF912/W912</f>
        <v>-27.7218950589818</v>
      </c>
      <c r="AH912" s="2" t="n">
        <f aca="false">AD912+AE912+AG912</f>
        <v>7517.48622160156</v>
      </c>
      <c r="AI912" s="2" t="n">
        <f aca="false">Entrées!$C$16-M912+Hypothèses!$J$22*1000-AF912+Hypothèses!$J$23</f>
        <v>22523.1267219121</v>
      </c>
      <c r="AJ912" s="2" t="n">
        <f aca="false">AI912/AH912</f>
        <v>2.99609817137964</v>
      </c>
      <c r="AK912" s="2" t="n">
        <f aca="false">AI912/(AH912+I912*(12-Hypothèses!$J$24)/12/Hypothèses!$J$19)</f>
        <v>2.96886569288222</v>
      </c>
      <c r="AL912" s="2" t="n">
        <f aca="false">(AD912+AG912+I912/Hypothèses!$J$19)*(1+G912)</f>
        <v>8086.35792645894</v>
      </c>
      <c r="AM912" s="2" t="n">
        <f aca="false">Entrées!$C$54*K912/Hypothèses!$J$19</f>
        <v>31.6163645596861</v>
      </c>
      <c r="AN912" s="2" t="n">
        <f aca="false">Y912*1000/AC912</f>
        <v>61.1914144986127</v>
      </c>
      <c r="AO912" s="2" t="n">
        <f aca="false">(Entrées!$C$36*(1-S912)+MAX(0,Entrées!$C$30-Entrées!$C$35-Entrées!$C$36)*U912)*1000</f>
        <v>923.117218114937</v>
      </c>
      <c r="AP912" s="2" t="n">
        <f aca="false">-AO912/W912</f>
        <v>-82.6691240093391</v>
      </c>
      <c r="AQ912" s="2" t="n">
        <f aca="false">AL912+AM912+AN912+AP912</f>
        <v>8096.4965815079</v>
      </c>
      <c r="AR912" s="2" t="n">
        <f aca="false">O912*AQ912-Hypothèses!$J$25/Hypothèses!$J$19</f>
        <v>1438.80466552807</v>
      </c>
      <c r="AS912" s="2" t="n">
        <f aca="false">Entrées!$C$79*(1+Q912)+Hypothèses!$J$20</f>
        <v>1473.93788708677</v>
      </c>
      <c r="AT912" s="2" t="n">
        <f aca="false">AI912-AR912+AS912+Y912*1000-AO912+Hypothèses!$J$23</f>
        <v>22228.1422806387</v>
      </c>
      <c r="AU912" s="2" t="n">
        <f aca="false">AT912/AQ912</f>
        <v>2.7454025400822</v>
      </c>
      <c r="AV912" s="2" t="n">
        <f aca="false">Hypothèses!$J$26*AQ912-AT912</f>
        <v>2061.34746388504</v>
      </c>
      <c r="AW912" s="2" t="n">
        <f aca="false">IF(AC912&gt;Hypothèses!$J$26,MAX(0,AV912)/(1-Hypothèses!$J$26/AC912),0)</f>
        <v>2985.5949160349</v>
      </c>
      <c r="AX912" s="2" t="n">
        <f aca="false">AQ912-Entrées!$C$17*1000</f>
        <v>96.4965815079004</v>
      </c>
      <c r="AY912" s="2" t="n">
        <f aca="false">AI912+(Entrées!$C$244-Entrées!$C$13)</f>
        <v>28270.1267219121</v>
      </c>
      <c r="AZ912" s="2" t="n">
        <f aca="false">AA912*AH912</f>
        <v>5558.19034802793</v>
      </c>
      <c r="BA912" s="2" t="n">
        <f aca="false">AZ912/AY912</f>
        <v>0.196610025936665</v>
      </c>
      <c r="BB912" s="2" t="n">
        <f aca="false">AZ912/(Entrées!$C$151/100)-AY912</f>
        <v>2608.70854490976</v>
      </c>
      <c r="BC912" s="2" t="n">
        <f aca="false">AT912+(Entrées!$C$244-Entrées!$C$13)</f>
        <v>27975.1422806387</v>
      </c>
      <c r="BD912" s="2" t="n">
        <f aca="false">AA912*AQ912</f>
        <v>5986.29220268673</v>
      </c>
      <c r="BE912" s="2" t="n">
        <f aca="false">BD912/BC912</f>
        <v>0.213986121773178</v>
      </c>
      <c r="BF912" s="2" t="n">
        <f aca="false">BD912/(Entrées!$C$151/100)-BC912</f>
        <v>5282.03662317652</v>
      </c>
      <c r="BG912" s="2" t="n">
        <f aca="false">MIN(AV912,BF912)</f>
        <v>2061.34746388504</v>
      </c>
      <c r="BH912" s="2" t="n">
        <f aca="false">IF(AC912&gt;Hypothèses!$J$26,MAX(0,BG912)/(1-Hypothèses!$J$26/AC912),0)</f>
        <v>2985.5949160349</v>
      </c>
    </row>
    <row r="913" customFormat="false" ht="15" hidden="false" customHeight="false" outlineLevel="0" collapsed="false">
      <c r="A913" s="2" t="n">
        <v>898</v>
      </c>
      <c r="B913" s="2" t="n">
        <v>0.32772139</v>
      </c>
      <c r="C913" s="2"/>
      <c r="D913" s="2" t="n">
        <v>0.61577069</v>
      </c>
      <c r="E913" s="2" t="n">
        <f aca="false">IF(E$7=E$5,E$6,IF(NORMSDIST(E$9*SQRT($C$11)*NORMSINV($B913)+SQRT(1-E$9^2*$C$11)*NORMSINV(D913))&lt;E$8,E$5+SQRT(NORMSDIST(E$9*SQRT($C$11)*NORMSINV($B913)+SQRT(1-E$9^2*$C$11)*NORMSINV(D913))*(E$7-E$5)*(E$6-E$5)),E$7-SQRT((1-NORMSDIST(E$9*SQRT($C$11)*NORMSINV($B913)+SQRT(1-E$9^2*$C$11)*NORMSINV(D913)))*(E$7-E$5)*(E$7-E$6))))</f>
        <v>0.0548907955935927</v>
      </c>
      <c r="F913" s="2" t="n">
        <v>0.615094187</v>
      </c>
      <c r="G913" s="2" t="n">
        <f aca="false">IF(G$7=G$5,G$6,IF(NORMSDIST(G$9*SQRT($C$11)*NORMSINV($B913)+SQRT(1-G$9^2*$C$11)*NORMSINV(F913))&lt;G$8,G$5+SQRT(NORMSDIST(G$9*SQRT($C$11)*NORMSINV($B913)+SQRT(1-G$9^2*$C$11)*NORMSINV(F913))*(G$7-G$5)*(G$6-G$5)),G$7-SQRT((1-NORMSDIST(G$9*SQRT($C$11)*NORMSINV($B913)+SQRT(1-G$9^2*$C$11)*NORMSINV(F913)))*(G$7-G$5)*(G$7-G$6))))</f>
        <v>0.0546640075535413</v>
      </c>
      <c r="H913" s="2" t="n">
        <v>0.373626714</v>
      </c>
      <c r="I913" s="2" t="n">
        <f aca="false">IF(I$7=I$5,I$6,IF(NORMSDIST(I$9*SQRT($C$11)*NORMSINV($B913)+SQRT(1-I$9^2*$C$11)*NORMSINV(H913))&lt;I$8,I$5+SQRT(NORMSDIST(I$9*SQRT($C$11)*NORMSINV($B913)+SQRT(1-I$9^2*$C$11)*NORMSINV(H913))*(I$7-I$5)*(I$6-I$5)),I$7-SQRT((1-NORMSDIST(I$9*SQRT($C$11)*NORMSINV($B913)+SQRT(1-I$9^2*$C$11)*NORMSINV(H913)))*(I$7-I$5)*(I$7-I$6))))</f>
        <v>195.42518416285</v>
      </c>
      <c r="J913" s="2" t="n">
        <v>0.269324286</v>
      </c>
      <c r="K913" s="2" t="n">
        <f aca="false">IF(K$7=K$5,K$6,IF(NORMSDIST(K$9*SQRT($C$11)*NORMSINV($B913)+SQRT(1-K$9^2*$C$11)*NORMSINV(J913))&lt;K$8,K$5+SQRT(NORMSDIST(K$9*SQRT($C$11)*NORMSINV($B913)+SQRT(1-K$9^2*$C$11)*NORMSINV(J913))*(K$7-K$5)*(K$6-K$5)),K$7-SQRT((1-NORMSDIST(K$9*SQRT($C$11)*NORMSINV($B913)+SQRT(1-K$9^2*$C$11)*NORMSINV(J913)))*(K$7-K$5)*(K$7-K$6))))</f>
        <v>0.167362873169354</v>
      </c>
      <c r="L913" s="2" t="n">
        <v>0.867840116</v>
      </c>
      <c r="M913" s="2" t="n">
        <f aca="false">IF(M$7=M$5,M$6,IF(NORMSDIST(M$9*SQRT($C$11)*NORMSINV($B913)+SQRT(1-M$9^2*$C$11)*NORMSINV(L913))&lt;M$8,M$5+SQRT(NORMSDIST(M$9*SQRT($C$11)*NORMSINV($B913)+SQRT(1-M$9^2*$C$11)*NORMSINV(L913))*(M$7-M$5)*(M$6-M$5)),M$7-SQRT((1-NORMSDIST(M$9*SQRT($C$11)*NORMSINV($B913)+SQRT(1-M$9^2*$C$11)*NORMSINV(L913)))*(M$7-M$5)*(M$7-M$6))))</f>
        <v>1642.56228002143</v>
      </c>
      <c r="N913" s="2" t="n">
        <v>0.71261717</v>
      </c>
      <c r="O913" s="2" t="n">
        <f aca="false">IF(O$7=O$5,O$6,IF(NORMSDIST(O$9*SQRT($C$11)*NORMSINV($B913)+SQRT(1-O$9^2*$C$11)*NORMSINV(N913))&lt;O$8,O$5+SQRT(NORMSDIST(O$9*SQRT($C$11)*NORMSINV($B913)+SQRT(1-O$9^2*$C$11)*NORMSINV(N913))*(O$7-O$5)*(O$6-O$5)),O$7-SQRT((1-NORMSDIST(O$9*SQRT($C$11)*NORMSINV($B913)+SQRT(1-O$9^2*$C$11)*NORMSINV(N913)))*(O$7-O$5)*(O$7-O$6))))</f>
        <v>0.16836006741848</v>
      </c>
      <c r="P913" s="2" t="n">
        <v>0.496028998</v>
      </c>
      <c r="Q913" s="2" t="n">
        <f aca="false">IF(Q$7=Q$5,Q$6,IF(NORMSDIST(Q$9*SQRT($C$11)*NORMSINV($B913)+SQRT(1-Q$9^2*$C$11)*NORMSINV(P913))&lt;Q$8,Q$5+SQRT(NORMSDIST(Q$9*SQRT($C$11)*NORMSINV($B913)+SQRT(1-Q$9^2*$C$11)*NORMSINV(P913))*(Q$7-Q$5)*(Q$6-Q$5)),Q$7-SQRT((1-NORMSDIST(Q$9*SQRT($C$11)*NORMSINV($B913)+SQRT(1-Q$9^2*$C$11)*NORMSINV(P913)))*(Q$7-Q$5)*(Q$7-Q$6))))</f>
        <v>0.0798408432842479</v>
      </c>
      <c r="R913" s="2" t="n">
        <v>0.09964292</v>
      </c>
      <c r="S913" s="2" t="n">
        <f aca="false">IF(S$7=S$5,S$6,IF(NORMSDIST(S$9*SQRT($C$11)*NORMSINV($B913)+SQRT(1-S$9^2*$C$11)*NORMSINV(R913))&lt;S$8,S$5+SQRT(NORMSDIST(S$9*SQRT($C$11)*NORMSINV($B913)+SQRT(1-S$9^2*$C$11)*NORMSINV(R913))*(S$7-S$5)*(S$6-S$5)),S$7-SQRT((1-NORMSDIST(S$9*SQRT($C$11)*NORMSINV($B913)+SQRT(1-S$9^2*$C$11)*NORMSINV(R913)))*(S$7-S$5)*(S$7-S$6))))</f>
        <v>0.224604084294302</v>
      </c>
      <c r="T913" s="2" t="n">
        <v>0.266605151</v>
      </c>
      <c r="U913" s="2" t="n">
        <f aca="false">IF(U$7=U$5,U$6,IF(NORMSDIST(U$9*SQRT($C$11)*NORMSINV($B913)+SQRT(1-U$9^2*$C$11)*NORMSINV(T913))&lt;U$8,U$5+SQRT(NORMSDIST(U$9*SQRT($C$11)*NORMSINV($B913)+SQRT(1-U$9^2*$C$11)*NORMSINV(T913))*(U$7-U$5)*(U$6-U$5)),U$7-SQRT((1-NORMSDIST(U$9*SQRT($C$11)*NORMSINV($B913)+SQRT(1-U$9^2*$C$11)*NORMSINV(T913)))*(U$7-U$5)*(U$7-U$6))))</f>
        <v>0.333297160322067</v>
      </c>
      <c r="V913" s="2" t="n">
        <v>4.5516E-005</v>
      </c>
      <c r="W913" s="2" t="n">
        <f aca="false">IF(W$7=W$5,W$6,IF(NORMSDIST(W$9*SQRT($C$11)*NORMSINV($B913)+SQRT(1-W$9^2*$C$11)*NORMSINV(V913))&lt;W$8,W$5+SQRT(NORMSDIST(W$9*SQRT($C$11)*NORMSINV($B913)+SQRT(1-W$9^2*$C$11)*NORMSINV(V913))*(W$7-W$5)*(W$6-W$5)),W$7-SQRT((1-NORMSDIST(W$9*SQRT($C$11)*NORMSINV($B913)+SQRT(1-W$9^2*$C$11)*NORMSINV(V913)))*(W$7-W$5)*(W$7-W$6))))</f>
        <v>8.06071189916514</v>
      </c>
      <c r="X913" s="2" t="n">
        <v>0.829789468</v>
      </c>
      <c r="Y913" s="2" t="n">
        <f aca="false">IF(Y$7=Y$5,Y$6,IF(NORMSDIST(Y$9*SQRT($C$11)*NORMSINV($B913)+SQRT(1-Y$9^2*$C$11)*NORMSINV(X913))&lt;Y$8,Y$5+SQRT(NORMSDIST(Y$9*SQRT($C$11)*NORMSINV($B913)+SQRT(1-Y$9^2*$C$11)*NORMSINV(X913))*(Y$7-Y$5)*(Y$6-Y$5)),Y$7-SQRT((1-NORMSDIST(Y$9*SQRT($C$11)*NORMSINV($B913)+SQRT(1-Y$9^2*$C$11)*NORMSINV(X913)))*(Y$7-Y$5)*(Y$7-Y$6))))</f>
        <v>0.708271931415573</v>
      </c>
      <c r="Z913" s="2" t="n">
        <v>0.896807563</v>
      </c>
      <c r="AA913" s="2" t="n">
        <f aca="false">IF(AA$7=AA$5,AA$6,IF(NORMSDIST(AA$9*SQRT($C$11)*NORMSINV($B913)+SQRT(1-AA$9^2*$C$11)*NORMSINV(Z913))&lt;AA$8,AA$5+SQRT(NORMSDIST(AA$9*SQRT($C$11)*NORMSINV($B913)+SQRT(1-AA$9^2*$C$11)*NORMSINV(Z913))*(AA$7-AA$5)*(AA$6-AA$5)),AA$7-SQRT((1-NORMSDIST(AA$9*SQRT($C$11)*NORMSINV($B913)+SQRT(1-AA$9^2*$C$11)*NORMSINV(Z913)))*(AA$7-AA$5)*(AA$7-AA$6))))</f>
        <v>0.73619535189874</v>
      </c>
      <c r="AB913" s="2" t="n">
        <v>0.425672725</v>
      </c>
      <c r="AC913" s="2" t="n">
        <f aca="false">IF(AC$7=AC$5,AC$6,IF(NORMSDIST(AC$9*SQRT($C$11)*NORMSINV($B913)+SQRT(1-AC$9^2*$C$11)*NORMSINV(AB913))&lt;AC$8,AC$5+SQRT(NORMSDIST(AC$9*SQRT($C$11)*NORMSINV($B913)+SQRT(1-AC$9^2*$C$11)*NORMSINV(AB913))*(AC$7-AC$5)*(AC$6-AC$5)),AC$7-SQRT((1-NORMSDIST(AC$9*SQRT($C$11)*NORMSINV($B913)+SQRT(1-AC$9^2*$C$11)*NORMSINV(AB913)))*(AC$7-AC$5)*(AC$7-AC$6))))</f>
        <v>9.10016181851942</v>
      </c>
      <c r="AD913" s="2" t="n">
        <f aca="false">Entrées!$C$8*(1+E913)</f>
        <v>7436.98010893483</v>
      </c>
      <c r="AE913" s="2" t="n">
        <f aca="false">I913*Hypothèses!$J$24/12/Hypothèses!$J$19</f>
        <v>96.9498083805552</v>
      </c>
      <c r="AF913" s="2" t="n">
        <f aca="false">Entrées!$C$36*S913*1000</f>
        <v>112.302042147151</v>
      </c>
      <c r="AG913" s="2" t="n">
        <f aca="false">-AF913/W913</f>
        <v>-13.9320253039663</v>
      </c>
      <c r="AH913" s="2" t="n">
        <f aca="false">AD913+AE913+AG913</f>
        <v>7519.99789201142</v>
      </c>
      <c r="AI913" s="2" t="n">
        <f aca="false">Entrées!$C$16-M913+Hypothèses!$J$22*1000-AF913+Hypothèses!$J$23</f>
        <v>22793.1356778314</v>
      </c>
      <c r="AJ913" s="2" t="n">
        <f aca="false">AI913/AH913</f>
        <v>3.03100293446157</v>
      </c>
      <c r="AK913" s="2" t="n">
        <f aca="false">AI913/(AH913+I913*(12-Hypothèses!$J$24)/12/Hypothèses!$J$19)</f>
        <v>3.00334584048769</v>
      </c>
      <c r="AL913" s="2" t="n">
        <f aca="false">(AD913+AG913+I913/Hypothèses!$J$19)*(1+G913)</f>
        <v>8004.10645175308</v>
      </c>
      <c r="AM913" s="2" t="n">
        <f aca="false">Entrées!$C$54*K913/Hypothèses!$J$19</f>
        <v>17.0800839182267</v>
      </c>
      <c r="AN913" s="2" t="n">
        <f aca="false">Y913*1000/AC913</f>
        <v>77.8306963700573</v>
      </c>
      <c r="AO913" s="2" t="n">
        <f aca="false">(Entrées!$C$36*(1-S913)+MAX(0,Entrées!$C$30-Entrées!$C$35-Entrées!$C$36)*U913)*1000</f>
        <v>854.313982303743</v>
      </c>
      <c r="AP913" s="2" t="n">
        <f aca="false">-AO913/W913</f>
        <v>-105.984929493911</v>
      </c>
      <c r="AQ913" s="2" t="n">
        <f aca="false">AL913+AM913+AN913+AP913</f>
        <v>7993.03230254745</v>
      </c>
      <c r="AR913" s="2" t="n">
        <f aca="false">O913*AQ913-Hypothèses!$J$25/Hypothèses!$J$19</f>
        <v>1326.57229507335</v>
      </c>
      <c r="AS913" s="2" t="n">
        <f aca="false">Entrées!$C$79*(1+Q913)+Hypothèses!$J$20</f>
        <v>1481.74508676939</v>
      </c>
      <c r="AT913" s="2" t="n">
        <f aca="false">AI913-AR913+AS913+Y913*1000-AO913+Hypothèses!$J$23</f>
        <v>22802.2664186393</v>
      </c>
      <c r="AU913" s="2" t="n">
        <f aca="false">AT913/AQ913</f>
        <v>2.8527679553318</v>
      </c>
      <c r="AV913" s="2" t="n">
        <f aca="false">Hypothèses!$J$26*AQ913-AT913</f>
        <v>1176.83048900307</v>
      </c>
      <c r="AW913" s="2" t="n">
        <f aca="false">IF(AC913&gt;Hypothèses!$J$26,MAX(0,AV913)/(1-Hypothèses!$J$26/AC913),0)</f>
        <v>1755.58422899256</v>
      </c>
      <c r="AX913" s="2" t="n">
        <f aca="false">AQ913-Entrées!$C$17*1000</f>
        <v>-6.96769745255006</v>
      </c>
      <c r="AY913" s="2" t="n">
        <f aca="false">AI913+(Entrées!$C$244-Entrées!$C$13)</f>
        <v>28540.1356778314</v>
      </c>
      <c r="AZ913" s="2" t="n">
        <f aca="false">AA913*AH913</f>
        <v>5536.18749438713</v>
      </c>
      <c r="BA913" s="2" t="n">
        <f aca="false">AZ913/AY913</f>
        <v>0.193979018070589</v>
      </c>
      <c r="BB913" s="2" t="n">
        <f aca="false">AZ913/(Entrées!$C$151/100)-AY913</f>
        <v>2216.46151320819</v>
      </c>
      <c r="BC913" s="2" t="n">
        <f aca="false">AT913+(Entrées!$C$244-Entrées!$C$13)</f>
        <v>28549.2664186393</v>
      </c>
      <c r="BD913" s="2" t="n">
        <f aca="false">AA913*AQ913</f>
        <v>5884.43322871192</v>
      </c>
      <c r="BE913" s="2" t="n">
        <f aca="false">BD913/BC913</f>
        <v>0.206115041361276</v>
      </c>
      <c r="BF913" s="2" t="n">
        <f aca="false">BD913/(Entrées!$C$151/100)-BC913</f>
        <v>4142.02929642692</v>
      </c>
      <c r="BG913" s="2" t="n">
        <f aca="false">MIN(AV913,BF913)</f>
        <v>1176.83048900307</v>
      </c>
      <c r="BH913" s="2" t="n">
        <f aca="false">IF(AC913&gt;Hypothèses!$J$26,MAX(0,BG913)/(1-Hypothèses!$J$26/AC913),0)</f>
        <v>1755.58422899256</v>
      </c>
    </row>
    <row r="914" customFormat="false" ht="15" hidden="false" customHeight="false" outlineLevel="0" collapsed="false">
      <c r="A914" s="2" t="n">
        <v>899</v>
      </c>
      <c r="B914" s="2" t="n">
        <v>0.938151719</v>
      </c>
      <c r="C914" s="2"/>
      <c r="D914" s="2" t="n">
        <v>0.042060843</v>
      </c>
      <c r="E914" s="2" t="n">
        <f aca="false">IF(E$7=E$5,E$6,IF(NORMSDIST(E$9*SQRT($C$11)*NORMSINV($B914)+SQRT(1-E$9^2*$C$11)*NORMSINV(D914))&lt;E$8,E$5+SQRT(NORMSDIST(E$9*SQRT($C$11)*NORMSINV($B914)+SQRT(1-E$9^2*$C$11)*NORMSINV(D914))*(E$7-E$5)*(E$6-E$5)),E$7-SQRT((1-NORMSDIST(E$9*SQRT($C$11)*NORMSINV($B914)+SQRT(1-E$9^2*$C$11)*NORMSINV(D914)))*(E$7-E$5)*(E$7-E$6))))</f>
        <v>0.0542297609092802</v>
      </c>
      <c r="F914" s="2" t="n">
        <v>0.986365296</v>
      </c>
      <c r="G914" s="2" t="n">
        <f aca="false">IF(G$7=G$5,G$6,IF(NORMSDIST(G$9*SQRT($C$11)*NORMSINV($B914)+SQRT(1-G$9^2*$C$11)*NORMSINV(F914))&lt;G$8,G$5+SQRT(NORMSDIST(G$9*SQRT($C$11)*NORMSINV($B914)+SQRT(1-G$9^2*$C$11)*NORMSINV(F914))*(G$7-G$5)*(G$6-G$5)),G$7-SQRT((1-NORMSDIST(G$9*SQRT($C$11)*NORMSINV($B914)+SQRT(1-G$9^2*$C$11)*NORMSINV(F914)))*(G$7-G$5)*(G$7-G$6))))</f>
        <v>0.0687199677860343</v>
      </c>
      <c r="H914" s="2" t="n">
        <v>0.495245067</v>
      </c>
      <c r="I914" s="2" t="n">
        <f aca="false">IF(I$7=I$5,I$6,IF(NORMSDIST(I$9*SQRT($C$11)*NORMSINV($B914)+SQRT(1-I$9^2*$C$11)*NORMSINV(H914))&lt;I$8,I$5+SQRT(NORMSDIST(I$9*SQRT($C$11)*NORMSINV($B914)+SQRT(1-I$9^2*$C$11)*NORMSINV(H914))*(I$7-I$5)*(I$6-I$5)),I$7-SQRT((1-NORMSDIST(I$9*SQRT($C$11)*NORMSINV($B914)+SQRT(1-I$9^2*$C$11)*NORMSINV(H914)))*(I$7-I$5)*(I$7-I$6))))</f>
        <v>208.426797207247</v>
      </c>
      <c r="J914" s="2" t="n">
        <v>0.75037183</v>
      </c>
      <c r="K914" s="2" t="n">
        <f aca="false">IF(K$7=K$5,K$6,IF(NORMSDIST(K$9*SQRT($C$11)*NORMSINV($B914)+SQRT(1-K$9^2*$C$11)*NORMSINV(J914))&lt;K$8,K$5+SQRT(NORMSDIST(K$9*SQRT($C$11)*NORMSINV($B914)+SQRT(1-K$9^2*$C$11)*NORMSINV(J914))*(K$7-K$5)*(K$6-K$5)),K$7-SQRT((1-NORMSDIST(K$9*SQRT($C$11)*NORMSINV($B914)+SQRT(1-K$9^2*$C$11)*NORMSINV(J914)))*(K$7-K$5)*(K$7-K$6))))</f>
        <v>0.408350118271699</v>
      </c>
      <c r="L914" s="2" t="n">
        <v>0.906884401</v>
      </c>
      <c r="M914" s="2" t="n">
        <f aca="false">IF(M$7=M$5,M$6,IF(NORMSDIST(M$9*SQRT($C$11)*NORMSINV($B914)+SQRT(1-M$9^2*$C$11)*NORMSINV(L914))&lt;M$8,M$5+SQRT(NORMSDIST(M$9*SQRT($C$11)*NORMSINV($B914)+SQRT(1-M$9^2*$C$11)*NORMSINV(L914))*(M$7-M$5)*(M$6-M$5)),M$7-SQRT((1-NORMSDIST(M$9*SQRT($C$11)*NORMSINV($B914)+SQRT(1-M$9^2*$C$11)*NORMSINV(L914)))*(M$7-M$5)*(M$7-M$6))))</f>
        <v>1749.21628330883</v>
      </c>
      <c r="N914" s="2" t="n">
        <v>0.835461933</v>
      </c>
      <c r="O914" s="2" t="n">
        <f aca="false">IF(O$7=O$5,O$6,IF(NORMSDIST(O$9*SQRT($C$11)*NORMSINV($B914)+SQRT(1-O$9^2*$C$11)*NORMSINV(N914))&lt;O$8,O$5+SQRT(NORMSDIST(O$9*SQRT($C$11)*NORMSINV($B914)+SQRT(1-O$9^2*$C$11)*NORMSINV(N914))*(O$7-O$5)*(O$6-O$5)),O$7-SQRT((1-NORMSDIST(O$9*SQRT($C$11)*NORMSINV($B914)+SQRT(1-O$9^2*$C$11)*NORMSINV(N914)))*(O$7-O$5)*(O$7-O$6))))</f>
        <v>0.183323381143682</v>
      </c>
      <c r="P914" s="2" t="n">
        <v>0.764438093</v>
      </c>
      <c r="Q914" s="2" t="n">
        <f aca="false">IF(Q$7=Q$5,Q$6,IF(NORMSDIST(Q$9*SQRT($C$11)*NORMSINV($B914)+SQRT(1-Q$9^2*$C$11)*NORMSINV(P914))&lt;Q$8,Q$5+SQRT(NORMSDIST(Q$9*SQRT($C$11)*NORMSINV($B914)+SQRT(1-Q$9^2*$C$11)*NORMSINV(P914))*(Q$7-Q$5)*(Q$6-Q$5)),Q$7-SQRT((1-NORMSDIST(Q$9*SQRT($C$11)*NORMSINV($B914)+SQRT(1-Q$9^2*$C$11)*NORMSINV(P914)))*(Q$7-Q$5)*(Q$7-Q$6))))</f>
        <v>0.0925446161491047</v>
      </c>
      <c r="R914" s="2" t="n">
        <v>0.891283837</v>
      </c>
      <c r="S914" s="2" t="n">
        <f aca="false">IF(S$7=S$5,S$6,IF(NORMSDIST(S$9*SQRT($C$11)*NORMSINV($B914)+SQRT(1-S$9^2*$C$11)*NORMSINV(R914))&lt;S$8,S$5+SQRT(NORMSDIST(S$9*SQRT($C$11)*NORMSINV($B914)+SQRT(1-S$9^2*$C$11)*NORMSINV(R914))*(S$7-S$5)*(S$6-S$5)),S$7-SQRT((1-NORMSDIST(S$9*SQRT($C$11)*NORMSINV($B914)+SQRT(1-S$9^2*$C$11)*NORMSINV(R914)))*(S$7-S$5)*(S$7-S$6))))</f>
        <v>0.884100919567359</v>
      </c>
      <c r="T914" s="2" t="n">
        <v>0.836512521</v>
      </c>
      <c r="U914" s="2" t="n">
        <f aca="false">IF(U$7=U$5,U$6,IF(NORMSDIST(U$9*SQRT($C$11)*NORMSINV($B914)+SQRT(1-U$9^2*$C$11)*NORMSINV(T914))&lt;U$8,U$5+SQRT(NORMSDIST(U$9*SQRT($C$11)*NORMSINV($B914)+SQRT(1-U$9^2*$C$11)*NORMSINV(T914))*(U$7-U$5)*(U$6-U$5)),U$7-SQRT((1-NORMSDIST(U$9*SQRT($C$11)*NORMSINV($B914)+SQRT(1-U$9^2*$C$11)*NORMSINV(T914)))*(U$7-U$5)*(U$7-U$6))))</f>
        <v>0.855854136501536</v>
      </c>
      <c r="V914" s="2" t="n">
        <v>0.669711038</v>
      </c>
      <c r="W914" s="2" t="n">
        <f aca="false">IF(W$7=W$5,W$6,IF(NORMSDIST(W$9*SQRT($C$11)*NORMSINV($B914)+SQRT(1-W$9^2*$C$11)*NORMSINV(V914))&lt;W$8,W$5+SQRT(NORMSDIST(W$9*SQRT($C$11)*NORMSINV($B914)+SQRT(1-W$9^2*$C$11)*NORMSINV(V914))*(W$7-W$5)*(W$6-W$5)),W$7-SQRT((1-NORMSDIST(W$9*SQRT($C$11)*NORMSINV($B914)+SQRT(1-W$9^2*$C$11)*NORMSINV(V914)))*(W$7-W$5)*(W$7-W$6))))</f>
        <v>11.1306896914426</v>
      </c>
      <c r="X914" s="2" t="n">
        <v>0.177032418</v>
      </c>
      <c r="Y914" s="2" t="n">
        <f aca="false">IF(Y$7=Y$5,Y$6,IF(NORMSDIST(Y$9*SQRT($C$11)*NORMSINV($B914)+SQRT(1-Y$9^2*$C$11)*NORMSINV(X914))&lt;Y$8,Y$5+SQRT(NORMSDIST(Y$9*SQRT($C$11)*NORMSINV($B914)+SQRT(1-Y$9^2*$C$11)*NORMSINV(X914))*(Y$7-Y$5)*(Y$6-Y$5)),Y$7-SQRT((1-NORMSDIST(Y$9*SQRT($C$11)*NORMSINV($B914)+SQRT(1-Y$9^2*$C$11)*NORMSINV(X914)))*(Y$7-Y$5)*(Y$7-Y$6))))</f>
        <v>0.297516737344305</v>
      </c>
      <c r="Z914" s="2" t="n">
        <v>0.180860245</v>
      </c>
      <c r="AA914" s="2" t="n">
        <f aca="false">IF(AA$7=AA$5,AA$6,IF(NORMSDIST(AA$9*SQRT($C$11)*NORMSINV($B914)+SQRT(1-AA$9^2*$C$11)*NORMSINV(Z914))&lt;AA$8,AA$5+SQRT(NORMSDIST(AA$9*SQRT($C$11)*NORMSINV($B914)+SQRT(1-AA$9^2*$C$11)*NORMSINV(Z914))*(AA$7-AA$5)*(AA$6-AA$5)),AA$7-SQRT((1-NORMSDIST(AA$9*SQRT($C$11)*NORMSINV($B914)+SQRT(1-AA$9^2*$C$11)*NORMSINV(Z914)))*(AA$7-AA$5)*(AA$7-AA$6))))</f>
        <v>0.731333931125636</v>
      </c>
      <c r="AB914" s="2" t="n">
        <v>0.772020699</v>
      </c>
      <c r="AC914" s="2" t="n">
        <f aca="false">IF(AC$7=AC$5,AC$6,IF(NORMSDIST(AC$9*SQRT($C$11)*NORMSINV($B914)+SQRT(1-AC$9^2*$C$11)*NORMSINV(AB914))&lt;AC$8,AC$5+SQRT(NORMSDIST(AC$9*SQRT($C$11)*NORMSINV($B914)+SQRT(1-AC$9^2*$C$11)*NORMSINV(AB914))*(AC$7-AC$5)*(AC$6-AC$5)),AC$7-SQRT((1-NORMSDIST(AC$9*SQRT($C$11)*NORMSINV($B914)+SQRT(1-AC$9^2*$C$11)*NORMSINV(AB914)))*(AC$7-AC$5)*(AC$7-AC$6))))</f>
        <v>10.4890266381551</v>
      </c>
      <c r="AD914" s="2" t="n">
        <f aca="false">Entrées!$C$8*(1+E914)</f>
        <v>7432.31981441042</v>
      </c>
      <c r="AE914" s="2" t="n">
        <f aca="false">I914*Hypothèses!$J$24/12/Hypothèses!$J$19</f>
        <v>103.399866998599</v>
      </c>
      <c r="AF914" s="2" t="n">
        <f aca="false">Entrées!$C$36*S914*1000</f>
        <v>442.050459783679</v>
      </c>
      <c r="AG914" s="2" t="n">
        <f aca="false">-AF914/W914</f>
        <v>-39.7145614546719</v>
      </c>
      <c r="AH914" s="2" t="n">
        <f aca="false">AD914+AE914+AG914</f>
        <v>7496.00511995435</v>
      </c>
      <c r="AI914" s="2" t="n">
        <f aca="false">Entrées!$C$16-M914+Hypothèses!$J$22*1000-AF914+Hypothèses!$J$23</f>
        <v>22356.7332569075</v>
      </c>
      <c r="AJ914" s="2" t="n">
        <f aca="false">AI914/AH914</f>
        <v>2.98248639097029</v>
      </c>
      <c r="AK914" s="2" t="n">
        <f aca="false">AI914/(AH914+I914*(12-Hypothèses!$J$24)/12/Hypothèses!$J$19)</f>
        <v>2.95338709758489</v>
      </c>
      <c r="AL914" s="2" t="n">
        <f aca="false">(AD914+AG914+I914/Hypothèses!$J$19)*(1+G914)</f>
        <v>8090.06285212715</v>
      </c>
      <c r="AM914" s="2" t="n">
        <f aca="false">Entrées!$C$54*K914/Hypothèses!$J$19</f>
        <v>41.6738441209766</v>
      </c>
      <c r="AN914" s="2" t="n">
        <f aca="false">Y914*1000/AC914</f>
        <v>28.3645706706523</v>
      </c>
      <c r="AO914" s="2" t="n">
        <f aca="false">(Entrées!$C$36*(1-S914)+MAX(0,Entrées!$C$30-Entrées!$C$35-Entrées!$C$36)*U914)*1000</f>
        <v>1256.14533131847</v>
      </c>
      <c r="AP914" s="2" t="n">
        <f aca="false">-AO914/W914</f>
        <v>-112.854222527128</v>
      </c>
      <c r="AQ914" s="2" t="n">
        <f aca="false">AL914+AM914+AN914+AP914</f>
        <v>8047.24704439165</v>
      </c>
      <c r="AR914" s="2" t="n">
        <f aca="false">O914*AQ914-Hypothèses!$J$25/Hypothèses!$J$19</f>
        <v>1456.11337481475</v>
      </c>
      <c r="AS914" s="2" t="n">
        <f aca="false">Entrées!$C$79*(1+Q914)+Hypothèses!$J$20</f>
        <v>1495.70653314787</v>
      </c>
      <c r="AT914" s="2" t="n">
        <f aca="false">AI914-AR914+AS914+Y914*1000-AO914+Hypothèses!$J$23</f>
        <v>21437.6978212664</v>
      </c>
      <c r="AU914" s="2" t="n">
        <f aca="false">AT914/AQ914</f>
        <v>2.66397908539504</v>
      </c>
      <c r="AV914" s="2" t="n">
        <f aca="false">Hypothèses!$J$26*AQ914-AT914</f>
        <v>2704.04331190852</v>
      </c>
      <c r="AW914" s="2" t="n">
        <f aca="false">IF(AC914&gt;Hypothèses!$J$26,MAX(0,AV914)/(1-Hypothèses!$J$26/AC914),0)</f>
        <v>3787.24548592615</v>
      </c>
      <c r="AX914" s="2" t="n">
        <f aca="false">AQ914-Entrées!$C$17*1000</f>
        <v>47.2470443916518</v>
      </c>
      <c r="AY914" s="2" t="n">
        <f aca="false">AI914+(Entrées!$C$244-Entrées!$C$13)</f>
        <v>28103.7332569075</v>
      </c>
      <c r="AZ914" s="2" t="n">
        <f aca="false">AA914*AH914</f>
        <v>5482.08289211411</v>
      </c>
      <c r="BA914" s="2" t="n">
        <f aca="false">AZ914/AY914</f>
        <v>0.195066002157087</v>
      </c>
      <c r="BB914" s="2" t="n">
        <f aca="false">AZ914/(Entrées!$C$151/100)-AY914</f>
        <v>2352.28281039312</v>
      </c>
      <c r="BC914" s="2" t="n">
        <f aca="false">AT914+(Entrées!$C$244-Entrées!$C$13)</f>
        <v>27184.6978212664</v>
      </c>
      <c r="BD914" s="2" t="n">
        <f aca="false">AA914*AQ914</f>
        <v>5885.2248157141</v>
      </c>
      <c r="BE914" s="2" t="n">
        <f aca="false">BD914/BC914</f>
        <v>0.216490352565557</v>
      </c>
      <c r="BF914" s="2" t="n">
        <f aca="false">BD914/(Entrées!$C$151/100)-BC914</f>
        <v>5510.99559936746</v>
      </c>
      <c r="BG914" s="2" t="n">
        <f aca="false">MIN(AV914,BF914)</f>
        <v>2704.04331190852</v>
      </c>
      <c r="BH914" s="2" t="n">
        <f aca="false">IF(AC914&gt;Hypothèses!$J$26,MAX(0,BG914)/(1-Hypothèses!$J$26/AC914),0)</f>
        <v>3787.24548592615</v>
      </c>
    </row>
    <row r="915" customFormat="false" ht="15" hidden="false" customHeight="false" outlineLevel="0" collapsed="false">
      <c r="A915" s="2" t="n">
        <v>900</v>
      </c>
      <c r="B915" s="2" t="n">
        <v>0.142399833</v>
      </c>
      <c r="C915" s="2"/>
      <c r="D915" s="2" t="n">
        <v>0.976682109</v>
      </c>
      <c r="E915" s="2" t="n">
        <f aca="false">IF(E$7=E$5,E$6,IF(NORMSDIST(E$9*SQRT($C$11)*NORMSINV($B915)+SQRT(1-E$9^2*$C$11)*NORMSINV(D915))&lt;E$8,E$5+SQRT(NORMSDIST(E$9*SQRT($C$11)*NORMSINV($B915)+SQRT(1-E$9^2*$C$11)*NORMSINV(D915))*(E$7-E$5)*(E$6-E$5)),E$7-SQRT((1-NORMSDIST(E$9*SQRT($C$11)*NORMSINV($B915)+SQRT(1-E$9^2*$C$11)*NORMSINV(D915)))*(E$7-E$5)*(E$7-E$6))))</f>
        <v>0.0568886237944586</v>
      </c>
      <c r="F915" s="2" t="n">
        <v>0.737669376</v>
      </c>
      <c r="G915" s="2" t="n">
        <f aca="false">IF(G$7=G$5,G$6,IF(NORMSDIST(G$9*SQRT($C$11)*NORMSINV($B915)+SQRT(1-G$9^2*$C$11)*NORMSINV(F915))&lt;G$8,G$5+SQRT(NORMSDIST(G$9*SQRT($C$11)*NORMSINV($B915)+SQRT(1-G$9^2*$C$11)*NORMSINV(F915))*(G$7-G$5)*(G$6-G$5)),G$7-SQRT((1-NORMSDIST(G$9*SQRT($C$11)*NORMSINV($B915)+SQRT(1-G$9^2*$C$11)*NORMSINV(F915)))*(G$7-G$5)*(G$7-G$6))))</f>
        <v>0.0538638773614457</v>
      </c>
      <c r="H915" s="2" t="n">
        <v>0.944058827</v>
      </c>
      <c r="I915" s="2" t="n">
        <f aca="false">IF(I$7=I$5,I$6,IF(NORMSDIST(I$9*SQRT($C$11)*NORMSINV($B915)+SQRT(1-I$9^2*$C$11)*NORMSINV(H915))&lt;I$8,I$5+SQRT(NORMSDIST(I$9*SQRT($C$11)*NORMSINV($B915)+SQRT(1-I$9^2*$C$11)*NORMSINV(H915))*(I$7-I$5)*(I$6-I$5)),I$7-SQRT((1-NORMSDIST(I$9*SQRT($C$11)*NORMSINV($B915)+SQRT(1-I$9^2*$C$11)*NORMSINV(H915)))*(I$7-I$5)*(I$7-I$6))))</f>
        <v>204.782716558958</v>
      </c>
      <c r="J915" s="2" t="n">
        <v>0.697461233</v>
      </c>
      <c r="K915" s="2" t="n">
        <f aca="false">IF(K$7=K$5,K$6,IF(NORMSDIST(K$9*SQRT($C$11)*NORMSINV($B915)+SQRT(1-K$9^2*$C$11)*NORMSINV(J915))&lt;K$8,K$5+SQRT(NORMSDIST(K$9*SQRT($C$11)*NORMSINV($B915)+SQRT(1-K$9^2*$C$11)*NORMSINV(J915))*(K$7-K$5)*(K$6-K$5)),K$7-SQRT((1-NORMSDIST(K$9*SQRT($C$11)*NORMSINV($B915)+SQRT(1-K$9^2*$C$11)*NORMSINV(J915)))*(K$7-K$5)*(K$7-K$6))))</f>
        <v>0.221163013575649</v>
      </c>
      <c r="L915" s="2" t="n">
        <v>0.236641785</v>
      </c>
      <c r="M915" s="2" t="n">
        <f aca="false">IF(M$7=M$5,M$6,IF(NORMSDIST(M$9*SQRT($C$11)*NORMSINV($B915)+SQRT(1-M$9^2*$C$11)*NORMSINV(L915))&lt;M$8,M$5+SQRT(NORMSDIST(M$9*SQRT($C$11)*NORMSINV($B915)+SQRT(1-M$9^2*$C$11)*NORMSINV(L915))*(M$7-M$5)*(M$6-M$5)),M$7-SQRT((1-NORMSDIST(M$9*SQRT($C$11)*NORMSINV($B915)+SQRT(1-M$9^2*$C$11)*NORMSINV(L915)))*(M$7-M$5)*(M$7-M$6))))</f>
        <v>1434.92526825376</v>
      </c>
      <c r="N915" s="2" t="n">
        <v>0.677546914</v>
      </c>
      <c r="O915" s="2" t="n">
        <f aca="false">IF(O$7=O$5,O$6,IF(NORMSDIST(O$9*SQRT($C$11)*NORMSINV($B915)+SQRT(1-O$9^2*$C$11)*NORMSINV(N915))&lt;O$8,O$5+SQRT(NORMSDIST(O$9*SQRT($C$11)*NORMSINV($B915)+SQRT(1-O$9^2*$C$11)*NORMSINV(N915))*(O$7-O$5)*(O$6-O$5)),O$7-SQRT((1-NORMSDIST(O$9*SQRT($C$11)*NORMSINV($B915)+SQRT(1-O$9^2*$C$11)*NORMSINV(N915)))*(O$7-O$5)*(O$7-O$6))))</f>
        <v>0.163185944783418</v>
      </c>
      <c r="P915" s="2" t="n">
        <v>0.309243584</v>
      </c>
      <c r="Q915" s="2" t="n">
        <f aca="false">IF(Q$7=Q$5,Q$6,IF(NORMSDIST(Q$9*SQRT($C$11)*NORMSINV($B915)+SQRT(1-Q$9^2*$C$11)*NORMSINV(P915))&lt;Q$8,Q$5+SQRT(NORMSDIST(Q$9*SQRT($C$11)*NORMSINV($B915)+SQRT(1-Q$9^2*$C$11)*NORMSINV(P915))*(Q$7-Q$5)*(Q$6-Q$5)),Q$7-SQRT((1-NORMSDIST(Q$9*SQRT($C$11)*NORMSINV($B915)+SQRT(1-Q$9^2*$C$11)*NORMSINV(P915)))*(Q$7-Q$5)*(Q$7-Q$6))))</f>
        <v>0.0714575820558415</v>
      </c>
      <c r="R915" s="2" t="n">
        <v>0.365367902</v>
      </c>
      <c r="S915" s="2" t="n">
        <f aca="false">IF(S$7=S$5,S$6,IF(NORMSDIST(S$9*SQRT($C$11)*NORMSINV($B915)+SQRT(1-S$9^2*$C$11)*NORMSINV(R915))&lt;S$8,S$5+SQRT(NORMSDIST(S$9*SQRT($C$11)*NORMSINV($B915)+SQRT(1-S$9^2*$C$11)*NORMSINV(R915))*(S$7-S$5)*(S$6-S$5)),S$7-SQRT((1-NORMSDIST(S$9*SQRT($C$11)*NORMSINV($B915)+SQRT(1-S$9^2*$C$11)*NORMSINV(R915)))*(S$7-S$5)*(S$7-S$6))))</f>
        <v>0.293962491004708</v>
      </c>
      <c r="T915" s="2" t="n">
        <v>0.35238829</v>
      </c>
      <c r="U915" s="2" t="n">
        <f aca="false">IF(U$7=U$5,U$6,IF(NORMSDIST(U$9*SQRT($C$11)*NORMSINV($B915)+SQRT(1-U$9^2*$C$11)*NORMSINV(T915))&lt;U$8,U$5+SQRT(NORMSDIST(U$9*SQRT($C$11)*NORMSINV($B915)+SQRT(1-U$9^2*$C$11)*NORMSINV(T915))*(U$7-U$5)*(U$6-U$5)),U$7-SQRT((1-NORMSDIST(U$9*SQRT($C$11)*NORMSINV($B915)+SQRT(1-U$9^2*$C$11)*NORMSINV(T915)))*(U$7-U$5)*(U$7-U$6))))</f>
        <v>0.288127399268196</v>
      </c>
      <c r="V915" s="2" t="n">
        <v>0.791002202</v>
      </c>
      <c r="W915" s="2" t="n">
        <f aca="false">IF(W$7=W$5,W$6,IF(NORMSDIST(W$9*SQRT($C$11)*NORMSINV($B915)+SQRT(1-W$9^2*$C$11)*NORMSINV(V915))&lt;W$8,W$5+SQRT(NORMSDIST(W$9*SQRT($C$11)*NORMSINV($B915)+SQRT(1-W$9^2*$C$11)*NORMSINV(V915))*(W$7-W$5)*(W$6-W$5)),W$7-SQRT((1-NORMSDIST(W$9*SQRT($C$11)*NORMSINV($B915)+SQRT(1-W$9^2*$C$11)*NORMSINV(V915)))*(W$7-W$5)*(W$7-W$6))))</f>
        <v>9.96042783768003</v>
      </c>
      <c r="X915" s="2" t="n">
        <v>0.056451931</v>
      </c>
      <c r="Y915" s="2" t="n">
        <f aca="false">IF(Y$7=Y$5,Y$6,IF(NORMSDIST(Y$9*SQRT($C$11)*NORMSINV($B915)+SQRT(1-Y$9^2*$C$11)*NORMSINV(X915))&lt;Y$8,Y$5+SQRT(NORMSDIST(Y$9*SQRT($C$11)*NORMSINV($B915)+SQRT(1-Y$9^2*$C$11)*NORMSINV(X915))*(Y$7-Y$5)*(Y$6-Y$5)),Y$7-SQRT((1-NORMSDIST(Y$9*SQRT($C$11)*NORMSINV($B915)+SQRT(1-Y$9^2*$C$11)*NORMSINV(X915)))*(Y$7-Y$5)*(Y$7-Y$6))))</f>
        <v>0.168005849600542</v>
      </c>
      <c r="Z915" s="2" t="n">
        <v>0.127085988</v>
      </c>
      <c r="AA915" s="2" t="n">
        <f aca="false">IF(AA$7=AA$5,AA$6,IF(NORMSDIST(AA$9*SQRT($C$11)*NORMSINV($B915)+SQRT(1-AA$9^2*$C$11)*NORMSINV(Z915))&lt;AA$8,AA$5+SQRT(NORMSDIST(AA$9*SQRT($C$11)*NORMSINV($B915)+SQRT(1-AA$9^2*$C$11)*NORMSINV(Z915))*(AA$7-AA$5)*(AA$6-AA$5)),AA$7-SQRT((1-NORMSDIST(AA$9*SQRT($C$11)*NORMSINV($B915)+SQRT(1-AA$9^2*$C$11)*NORMSINV(Z915)))*(AA$7-AA$5)*(AA$7-AA$6))))</f>
        <v>0.706602249971273</v>
      </c>
      <c r="AB915" s="2" t="n">
        <v>0.572870188</v>
      </c>
      <c r="AC915" s="2" t="n">
        <f aca="false">IF(AC$7=AC$5,AC$6,IF(NORMSDIST(AC$9*SQRT($C$11)*NORMSINV($B915)+SQRT(1-AC$9^2*$C$11)*NORMSINV(AB915))&lt;AC$8,AC$5+SQRT(NORMSDIST(AC$9*SQRT($C$11)*NORMSINV($B915)+SQRT(1-AC$9^2*$C$11)*NORMSINV(AB915))*(AC$7-AC$5)*(AC$6-AC$5)),AC$7-SQRT((1-NORMSDIST(AC$9*SQRT($C$11)*NORMSINV($B915)+SQRT(1-AC$9^2*$C$11)*NORMSINV(AB915)))*(AC$7-AC$5)*(AC$7-AC$6))))</f>
        <v>9.00083216210814</v>
      </c>
      <c r="AD915" s="2" t="n">
        <f aca="false">Entrées!$C$8*(1+E915)</f>
        <v>7451.06479775093</v>
      </c>
      <c r="AE915" s="2" t="n">
        <f aca="false">I915*Hypothèses!$J$24/12/Hypothèses!$J$19</f>
        <v>101.592050252317</v>
      </c>
      <c r="AF915" s="2" t="n">
        <f aca="false">Entrées!$C$36*S915*1000</f>
        <v>146.981245502354</v>
      </c>
      <c r="AG915" s="2" t="n">
        <f aca="false">-AF915/W915</f>
        <v>-14.7565192878892</v>
      </c>
      <c r="AH915" s="2" t="n">
        <f aca="false">AD915+AE915+AG915</f>
        <v>7537.90032871536</v>
      </c>
      <c r="AI915" s="2" t="n">
        <f aca="false">Entrées!$C$16-M915+Hypothèses!$J$22*1000-AF915+Hypothèses!$J$23</f>
        <v>22966.0934862439</v>
      </c>
      <c r="AJ915" s="2" t="n">
        <f aca="false">AI915/AH915</f>
        <v>3.04674942420708</v>
      </c>
      <c r="AK915" s="2" t="n">
        <f aca="false">AI915/(AH915+I915*(12-Hypothèses!$J$24)/12/Hypothèses!$J$19)</f>
        <v>3.01769868601486</v>
      </c>
      <c r="AL915" s="2" t="n">
        <f aca="false">(AD915+AG915+I915/Hypothèses!$J$19)*(1+G915)</f>
        <v>8020.39529043266</v>
      </c>
      <c r="AM915" s="2" t="n">
        <f aca="false">Entrées!$C$54*K915/Hypothèses!$J$19</f>
        <v>22.5706141388812</v>
      </c>
      <c r="AN915" s="2" t="n">
        <f aca="false">Y915*1000/AC915</f>
        <v>18.6655907559099</v>
      </c>
      <c r="AO915" s="2" t="n">
        <f aca="false">(Entrées!$C$36*(1-S915)+MAX(0,Entrées!$C$30-Entrées!$C$35-Entrées!$C$36)*U915)*1000</f>
        <v>756.397113473121</v>
      </c>
      <c r="AP915" s="2" t="n">
        <f aca="false">-AO915/W915</f>
        <v>-75.9402232313446</v>
      </c>
      <c r="AQ915" s="2" t="n">
        <f aca="false">AL915+AM915+AN915+AP915</f>
        <v>7985.69127209611</v>
      </c>
      <c r="AR915" s="2" t="n">
        <f aca="false">O915*AQ915-Hypothèses!$J$25/Hypothèses!$J$19</f>
        <v>1284.01741272407</v>
      </c>
      <c r="AS915" s="2" t="n">
        <f aca="false">Entrées!$C$79*(1+Q915)+Hypothèses!$J$20</f>
        <v>1472.53188267937</v>
      </c>
      <c r="AT915" s="2" t="n">
        <f aca="false">AI915-AR915+AS915+Y915*1000-AO915+Hypothèses!$J$23</f>
        <v>22566.2166923266</v>
      </c>
      <c r="AU915" s="2" t="n">
        <f aca="false">AT915/AQ915</f>
        <v>2.82583134301451</v>
      </c>
      <c r="AV915" s="2" t="n">
        <f aca="false">Hypothèses!$J$26*AQ915-AT915</f>
        <v>1390.85712396172</v>
      </c>
      <c r="AW915" s="2" t="n">
        <f aca="false">IF(AC915&gt;Hypothèses!$J$26,MAX(0,AV915)/(1-Hypothèses!$J$26/AC915),0)</f>
        <v>2086.18924776824</v>
      </c>
      <c r="AX915" s="2" t="n">
        <f aca="false">AQ915-Entrées!$C$17*1000</f>
        <v>-14.3087279038919</v>
      </c>
      <c r="AY915" s="2" t="n">
        <f aca="false">AI915+(Entrées!$C$244-Entrées!$C$13)</f>
        <v>28713.0934862439</v>
      </c>
      <c r="AZ915" s="2" t="n">
        <f aca="false">AA915*AH915</f>
        <v>5326.29733232947</v>
      </c>
      <c r="BA915" s="2" t="n">
        <f aca="false">AZ915/AY915</f>
        <v>0.18550064397907</v>
      </c>
      <c r="BB915" s="2" t="n">
        <f aca="false">AZ915/(Entrées!$C$151/100)-AY915</f>
        <v>877.447248919831</v>
      </c>
      <c r="BC915" s="2" t="n">
        <f aca="false">AT915+(Entrées!$C$244-Entrées!$C$13)</f>
        <v>28313.2166923266</v>
      </c>
      <c r="BD915" s="2" t="n">
        <f aca="false">AA915*AQ915</f>
        <v>5642.70742043907</v>
      </c>
      <c r="BE915" s="2" t="n">
        <f aca="false">BD915/BC915</f>
        <v>0.199295879438818</v>
      </c>
      <c r="BF915" s="2" t="n">
        <f aca="false">BD915/(Entrées!$C$151/100)-BC915</f>
        <v>3035.1578656682</v>
      </c>
      <c r="BG915" s="2" t="n">
        <f aca="false">MIN(AV915,BF915)</f>
        <v>1390.85712396172</v>
      </c>
      <c r="BH915" s="2" t="n">
        <f aca="false">IF(AC915&gt;Hypothèses!$J$26,MAX(0,BG915)/(1-Hypothèses!$J$26/AC915),0)</f>
        <v>2086.18924776824</v>
      </c>
    </row>
    <row r="916" customFormat="false" ht="15" hidden="false" customHeight="false" outlineLevel="0" collapsed="false">
      <c r="A916" s="2" t="n">
        <v>901</v>
      </c>
      <c r="B916" s="2" t="n">
        <v>0.795805368</v>
      </c>
      <c r="C916" s="2"/>
      <c r="D916" s="2" t="n">
        <v>0.350667428</v>
      </c>
      <c r="E916" s="2" t="n">
        <f aca="false">IF(E$7=E$5,E$6,IF(NORMSDIST(E$9*SQRT($C$11)*NORMSINV($B916)+SQRT(1-E$9^2*$C$11)*NORMSINV(D916))&lt;E$8,E$5+SQRT(NORMSDIST(E$9*SQRT($C$11)*NORMSINV($B916)+SQRT(1-E$9^2*$C$11)*NORMSINV(D916))*(E$7-E$5)*(E$6-E$5)),E$7-SQRT((1-NORMSDIST(E$9*SQRT($C$11)*NORMSINV($B916)+SQRT(1-E$9^2*$C$11)*NORMSINV(D916)))*(E$7-E$5)*(E$7-E$6))))</f>
        <v>0.0554685588655153</v>
      </c>
      <c r="F916" s="2" t="n">
        <v>0.834467962</v>
      </c>
      <c r="G916" s="2" t="n">
        <f aca="false">IF(G$7=G$5,G$6,IF(NORMSDIST(G$9*SQRT($C$11)*NORMSINV($B916)+SQRT(1-G$9^2*$C$11)*NORMSINV(F916))&lt;G$8,G$5+SQRT(NORMSDIST(G$9*SQRT($C$11)*NORMSINV($B916)+SQRT(1-G$9^2*$C$11)*NORMSINV(F916))*(G$7-G$5)*(G$6-G$5)),G$7-SQRT((1-NORMSDIST(G$9*SQRT($C$11)*NORMSINV($B916)+SQRT(1-G$9^2*$C$11)*NORMSINV(F916)))*(G$7-G$5)*(G$7-G$6))))</f>
        <v>0.0632576519066281</v>
      </c>
      <c r="H916" s="2" t="n">
        <v>0.190018025</v>
      </c>
      <c r="I916" s="2" t="n">
        <f aca="false">IF(I$7=I$5,I$6,IF(NORMSDIST(I$9*SQRT($C$11)*NORMSINV($B916)+SQRT(1-I$9^2*$C$11)*NORMSINV(H916))&lt;I$8,I$5+SQRT(NORMSDIST(I$9*SQRT($C$11)*NORMSINV($B916)+SQRT(1-I$9^2*$C$11)*NORMSINV(H916))*(I$7-I$5)*(I$6-I$5)),I$7-SQRT((1-NORMSDIST(I$9*SQRT($C$11)*NORMSINV($B916)+SQRT(1-I$9^2*$C$11)*NORMSINV(H916)))*(I$7-I$5)*(I$7-I$6))))</f>
        <v>198.710119264577</v>
      </c>
      <c r="J916" s="2" t="n">
        <v>0.024279014</v>
      </c>
      <c r="K916" s="2" t="n">
        <f aca="false">IF(K$7=K$5,K$6,IF(NORMSDIST(K$9*SQRT($C$11)*NORMSINV($B916)+SQRT(1-K$9^2*$C$11)*NORMSINV(J916))&lt;K$8,K$5+SQRT(NORMSDIST(K$9*SQRT($C$11)*NORMSINV($B916)+SQRT(1-K$9^2*$C$11)*NORMSINV(J916))*(K$7-K$5)*(K$6-K$5)),K$7-SQRT((1-NORMSDIST(K$9*SQRT($C$11)*NORMSINV($B916)+SQRT(1-K$9^2*$C$11)*NORMSINV(J916)))*(K$7-K$5)*(K$7-K$6))))</f>
        <v>0.140290908169007</v>
      </c>
      <c r="L916" s="2" t="n">
        <v>0.757113747</v>
      </c>
      <c r="M916" s="2" t="n">
        <f aca="false">IF(M$7=M$5,M$6,IF(NORMSDIST(M$9*SQRT($C$11)*NORMSINV($B916)+SQRT(1-M$9^2*$C$11)*NORMSINV(L916))&lt;M$8,M$5+SQRT(NORMSDIST(M$9*SQRT($C$11)*NORMSINV($B916)+SQRT(1-M$9^2*$C$11)*NORMSINV(L916))*(M$7-M$5)*(M$6-M$5)),M$7-SQRT((1-NORMSDIST(M$9*SQRT($C$11)*NORMSINV($B916)+SQRT(1-M$9^2*$C$11)*NORMSINV(L916)))*(M$7-M$5)*(M$7-M$6))))</f>
        <v>1684.85505957716</v>
      </c>
      <c r="N916" s="2" t="n">
        <v>0.49332096</v>
      </c>
      <c r="O916" s="2" t="n">
        <f aca="false">IF(O$7=O$5,O$6,IF(NORMSDIST(O$9*SQRT($C$11)*NORMSINV($B916)+SQRT(1-O$9^2*$C$11)*NORMSINV(N916))&lt;O$8,O$5+SQRT(NORMSDIST(O$9*SQRT($C$11)*NORMSINV($B916)+SQRT(1-O$9^2*$C$11)*NORMSINV(N916))*(O$7-O$5)*(O$6-O$5)),O$7-SQRT((1-NORMSDIST(O$9*SQRT($C$11)*NORMSINV($B916)+SQRT(1-O$9^2*$C$11)*NORMSINV(N916)))*(O$7-O$5)*(O$7-O$6))))</f>
        <v>0.171973786384517</v>
      </c>
      <c r="P916" s="2" t="n">
        <v>0.253482509</v>
      </c>
      <c r="Q916" s="2" t="n">
        <f aca="false">IF(Q$7=Q$5,Q$6,IF(NORMSDIST(Q$9*SQRT($C$11)*NORMSINV($B916)+SQRT(1-Q$9^2*$C$11)*NORMSINV(P916))&lt;Q$8,Q$5+SQRT(NORMSDIST(Q$9*SQRT($C$11)*NORMSINV($B916)+SQRT(1-Q$9^2*$C$11)*NORMSINV(P916))*(Q$7-Q$5)*(Q$6-Q$5)),Q$7-SQRT((1-NORMSDIST(Q$9*SQRT($C$11)*NORMSINV($B916)+SQRT(1-Q$9^2*$C$11)*NORMSINV(P916)))*(Q$7-Q$5)*(Q$7-Q$6))))</f>
        <v>0.0684805903871391</v>
      </c>
      <c r="R916" s="2" t="n">
        <v>0.547231787</v>
      </c>
      <c r="S916" s="2" t="n">
        <f aca="false">IF(S$7=S$5,S$6,IF(NORMSDIST(S$9*SQRT($C$11)*NORMSINV($B916)+SQRT(1-S$9^2*$C$11)*NORMSINV(R916))&lt;S$8,S$5+SQRT(NORMSDIST(S$9*SQRT($C$11)*NORMSINV($B916)+SQRT(1-S$9^2*$C$11)*NORMSINV(R916))*(S$7-S$5)*(S$6-S$5)),S$7-SQRT((1-NORMSDIST(S$9*SQRT($C$11)*NORMSINV($B916)+SQRT(1-S$9^2*$C$11)*NORMSINV(R916)))*(S$7-S$5)*(S$7-S$6))))</f>
        <v>0.633021917336264</v>
      </c>
      <c r="T916" s="2" t="n">
        <v>0.892364919</v>
      </c>
      <c r="U916" s="2" t="n">
        <f aca="false">IF(U$7=U$5,U$6,IF(NORMSDIST(U$9*SQRT($C$11)*NORMSINV($B916)+SQRT(1-U$9^2*$C$11)*NORMSINV(T916))&lt;U$8,U$5+SQRT(NORMSDIST(U$9*SQRT($C$11)*NORMSINV($B916)+SQRT(1-U$9^2*$C$11)*NORMSINV(T916))*(U$7-U$5)*(U$6-U$5)),U$7-SQRT((1-NORMSDIST(U$9*SQRT($C$11)*NORMSINV($B916)+SQRT(1-U$9^2*$C$11)*NORMSINV(T916)))*(U$7-U$5)*(U$7-U$6))))</f>
        <v>0.814164157822635</v>
      </c>
      <c r="V916" s="2" t="n">
        <v>0.865221935</v>
      </c>
      <c r="W916" s="2" t="n">
        <f aca="false">IF(W$7=W$5,W$6,IF(NORMSDIST(W$9*SQRT($C$11)*NORMSINV($B916)+SQRT(1-W$9^2*$C$11)*NORMSINV(V916))&lt;W$8,W$5+SQRT(NORMSDIST(W$9*SQRT($C$11)*NORMSINV($B916)+SQRT(1-W$9^2*$C$11)*NORMSINV(V916))*(W$7-W$5)*(W$6-W$5)),W$7-SQRT((1-NORMSDIST(W$9*SQRT($C$11)*NORMSINV($B916)+SQRT(1-W$9^2*$C$11)*NORMSINV(V916)))*(W$7-W$5)*(W$7-W$6))))</f>
        <v>11.1798171616724</v>
      </c>
      <c r="X916" s="2" t="n">
        <v>0.66135516</v>
      </c>
      <c r="Y916" s="2" t="n">
        <f aca="false">IF(Y$7=Y$5,Y$6,IF(NORMSDIST(Y$9*SQRT($C$11)*NORMSINV($B916)+SQRT(1-Y$9^2*$C$11)*NORMSINV(X916))&lt;Y$8,Y$5+SQRT(NORMSDIST(Y$9*SQRT($C$11)*NORMSINV($B916)+SQRT(1-Y$9^2*$C$11)*NORMSINV(X916))*(Y$7-Y$5)*(Y$6-Y$5)),Y$7-SQRT((1-NORMSDIST(Y$9*SQRT($C$11)*NORMSINV($B916)+SQRT(1-Y$9^2*$C$11)*NORMSINV(X916)))*(Y$7-Y$5)*(Y$7-Y$6))))</f>
        <v>0.588511944280274</v>
      </c>
      <c r="Z916" s="2" t="n">
        <v>0.635943909</v>
      </c>
      <c r="AA916" s="2" t="n">
        <f aca="false">IF(AA$7=AA$5,AA$6,IF(NORMSDIST(AA$9*SQRT($C$11)*NORMSINV($B916)+SQRT(1-AA$9^2*$C$11)*NORMSINV(Z916))&lt;AA$8,AA$5+SQRT(NORMSDIST(AA$9*SQRT($C$11)*NORMSINV($B916)+SQRT(1-AA$9^2*$C$11)*NORMSINV(Z916))*(AA$7-AA$5)*(AA$6-AA$5)),AA$7-SQRT((1-NORMSDIST(AA$9*SQRT($C$11)*NORMSINV($B916)+SQRT(1-AA$9^2*$C$11)*NORMSINV(Z916)))*(AA$7-AA$5)*(AA$7-AA$6))))</f>
        <v>0.737279846819799</v>
      </c>
      <c r="AB916" s="2" t="n">
        <v>0.427871675</v>
      </c>
      <c r="AC916" s="2" t="n">
        <f aca="false">IF(AC$7=AC$5,AC$6,IF(NORMSDIST(AC$9*SQRT($C$11)*NORMSINV($B916)+SQRT(1-AC$9^2*$C$11)*NORMSINV(AB916))&lt;AC$8,AC$5+SQRT(NORMSDIST(AC$9*SQRT($C$11)*NORMSINV($B916)+SQRT(1-AC$9^2*$C$11)*NORMSINV(AB916))*(AC$7-AC$5)*(AC$6-AC$5)),AC$7-SQRT((1-NORMSDIST(AC$9*SQRT($C$11)*NORMSINV($B916)+SQRT(1-AC$9^2*$C$11)*NORMSINV(AB916)))*(AC$7-AC$5)*(AC$7-AC$6))))</f>
        <v>9.76760137298173</v>
      </c>
      <c r="AD916" s="2" t="n">
        <f aca="false">Entrées!$C$8*(1+E916)</f>
        <v>7441.05334000188</v>
      </c>
      <c r="AE916" s="2" t="n">
        <f aca="false">I916*Hypothèses!$J$24/12/Hypothèses!$J$19</f>
        <v>98.5794541706782</v>
      </c>
      <c r="AF916" s="2" t="n">
        <f aca="false">Entrées!$C$36*S916*1000</f>
        <v>316.510958668132</v>
      </c>
      <c r="AG916" s="2" t="n">
        <f aca="false">-AF916/W916</f>
        <v>-28.3109244177286</v>
      </c>
      <c r="AH916" s="2" t="n">
        <f aca="false">AD916+AE916+AG916</f>
        <v>7511.32186975483</v>
      </c>
      <c r="AI916" s="2" t="n">
        <f aca="false">Entrées!$C$16-M916+Hypothèses!$J$22*1000-AF916+Hypothèses!$J$23</f>
        <v>22546.6339817547</v>
      </c>
      <c r="AJ916" s="2" t="n">
        <f aca="false">AI916/AH916</f>
        <v>3.00168657031477</v>
      </c>
      <c r="AK916" s="2" t="n">
        <f aca="false">AI916/(AH916+I916*(12-Hypothèses!$J$24)/12/Hypothèses!$J$19)</f>
        <v>2.97380899029486</v>
      </c>
      <c r="AL916" s="2" t="n">
        <f aca="false">(AD916+AG916+I916/Hypothèses!$J$19)*(1+G916)</f>
        <v>8061.33856749882</v>
      </c>
      <c r="AM916" s="2" t="n">
        <f aca="false">Entrées!$C$54*K916/Hypothèses!$J$19</f>
        <v>14.3172762221056</v>
      </c>
      <c r="AN916" s="2" t="n">
        <f aca="false">Y916*1000/AC916</f>
        <v>60.2514293742744</v>
      </c>
      <c r="AO916" s="2" t="n">
        <f aca="false">(Entrées!$C$36*(1-S916)+MAX(0,Entrées!$C$30-Entrées!$C$35-Entrées!$C$36)*U916)*1000</f>
        <v>1323.31886228356</v>
      </c>
      <c r="AP916" s="2" t="n">
        <f aca="false">-AO916/W916</f>
        <v>-118.36677140126</v>
      </c>
      <c r="AQ916" s="2" t="n">
        <f aca="false">AL916+AM916+AN916+AP916</f>
        <v>8017.54050169394</v>
      </c>
      <c r="AR916" s="2" t="n">
        <f aca="false">O916*AQ916-Hypothèses!$J$25/Hypothèses!$J$19</f>
        <v>1359.67163530591</v>
      </c>
      <c r="AS916" s="2" t="n">
        <f aca="false">Entrées!$C$79*(1+Q916)+Hypothèses!$J$20</f>
        <v>1469.26016883547</v>
      </c>
      <c r="AT916" s="2" t="n">
        <f aca="false">AI916-AR916+AS916+Y916*1000-AO916+Hypothèses!$J$23</f>
        <v>21921.415597281</v>
      </c>
      <c r="AU916" s="2" t="n">
        <f aca="false">AT916/AQ916</f>
        <v>2.73418208397568</v>
      </c>
      <c r="AV916" s="2" t="n">
        <f aca="false">Hypothèses!$J$26*AQ916-AT916</f>
        <v>2131.20590780084</v>
      </c>
      <c r="AW916" s="2" t="n">
        <f aca="false">IF(AC916&gt;Hypothèses!$J$26,MAX(0,AV916)/(1-Hypothèses!$J$26/AC916),0)</f>
        <v>3075.94502156243</v>
      </c>
      <c r="AX916" s="2" t="n">
        <f aca="false">AQ916-Entrées!$C$17*1000</f>
        <v>17.5405016939421</v>
      </c>
      <c r="AY916" s="2" t="n">
        <f aca="false">AI916+(Entrées!$C$244-Entrées!$C$13)</f>
        <v>28293.6339817547</v>
      </c>
      <c r="AZ916" s="2" t="n">
        <f aca="false">AA916*AH916</f>
        <v>5537.94623754705</v>
      </c>
      <c r="BA916" s="2" t="n">
        <f aca="false">AZ916/AY916</f>
        <v>0.195731175469302</v>
      </c>
      <c r="BB916" s="2" t="n">
        <f aca="false">AZ916/(Entrées!$C$151/100)-AY916</f>
        <v>2472.73400461779</v>
      </c>
      <c r="BC916" s="2" t="n">
        <f aca="false">AT916+(Entrées!$C$244-Entrées!$C$13)</f>
        <v>27668.415597281</v>
      </c>
      <c r="BD916" s="2" t="n">
        <f aca="false">AA916*AQ916</f>
        <v>5911.17103296044</v>
      </c>
      <c r="BE916" s="2" t="n">
        <f aca="false">BD916/BC916</f>
        <v>0.213643279000816</v>
      </c>
      <c r="BF916" s="2" t="n">
        <f aca="false">BD916/(Entrées!$C$151/100)-BC916</f>
        <v>5171.42347472148</v>
      </c>
      <c r="BG916" s="2" t="n">
        <f aca="false">MIN(AV916,BF916)</f>
        <v>2131.20590780084</v>
      </c>
      <c r="BH916" s="2" t="n">
        <f aca="false">IF(AC916&gt;Hypothèses!$J$26,MAX(0,BG916)/(1-Hypothèses!$J$26/AC916),0)</f>
        <v>3075.94502156243</v>
      </c>
    </row>
    <row r="917" customFormat="false" ht="15" hidden="false" customHeight="false" outlineLevel="0" collapsed="false">
      <c r="A917" s="2" t="n">
        <v>902</v>
      </c>
      <c r="B917" s="2" t="n">
        <v>0.009375623</v>
      </c>
      <c r="C917" s="2"/>
      <c r="D917" s="2" t="n">
        <v>0.890493499</v>
      </c>
      <c r="E917" s="2" t="n">
        <f aca="false">IF(E$7=E$5,E$6,IF(NORMSDIST(E$9*SQRT($C$11)*NORMSINV($B917)+SQRT(1-E$9^2*$C$11)*NORMSINV(D917))&lt;E$8,E$5+SQRT(NORMSDIST(E$9*SQRT($C$11)*NORMSINV($B917)+SQRT(1-E$9^2*$C$11)*NORMSINV(D917))*(E$7-E$5)*(E$6-E$5)),E$7-SQRT((1-NORMSDIST(E$9*SQRT($C$11)*NORMSINV($B917)+SQRT(1-E$9^2*$C$11)*NORMSINV(D917)))*(E$7-E$5)*(E$7-E$6))))</f>
        <v>0.0538504277969939</v>
      </c>
      <c r="F917" s="2" t="n">
        <v>0.339143298</v>
      </c>
      <c r="G917" s="2" t="n">
        <f aca="false">IF(G$7=G$5,G$6,IF(NORMSDIST(G$9*SQRT($C$11)*NORMSINV($B917)+SQRT(1-G$9^2*$C$11)*NORMSINV(F917))&lt;G$8,G$5+SQRT(NORMSDIST(G$9*SQRT($C$11)*NORMSINV($B917)+SQRT(1-G$9^2*$C$11)*NORMSINV(F917))*(G$7-G$5)*(G$6-G$5)),G$7-SQRT((1-NORMSDIST(G$9*SQRT($C$11)*NORMSINV($B917)+SQRT(1-G$9^2*$C$11)*NORMSINV(F917)))*(G$7-G$5)*(G$7-G$6))))</f>
        <v>0.04398642788048</v>
      </c>
      <c r="H917" s="2" t="n">
        <v>0.624484434</v>
      </c>
      <c r="I917" s="2" t="n">
        <f aca="false">IF(I$7=I$5,I$6,IF(NORMSDIST(I$9*SQRT($C$11)*NORMSINV($B917)+SQRT(1-I$9^2*$C$11)*NORMSINV(H917))&lt;I$8,I$5+SQRT(NORMSDIST(I$9*SQRT($C$11)*NORMSINV($B917)+SQRT(1-I$9^2*$C$11)*NORMSINV(H917))*(I$7-I$5)*(I$6-I$5)),I$7-SQRT((1-NORMSDIST(I$9*SQRT($C$11)*NORMSINV($B917)+SQRT(1-I$9^2*$C$11)*NORMSINV(H917)))*(I$7-I$5)*(I$7-I$6))))</f>
        <v>189.266830219057</v>
      </c>
      <c r="J917" s="2" t="n">
        <v>0.162010948</v>
      </c>
      <c r="K917" s="2" t="n">
        <f aca="false">IF(K$7=K$5,K$6,IF(NORMSDIST(K$9*SQRT($C$11)*NORMSINV($B917)+SQRT(1-K$9^2*$C$11)*NORMSINV(J917))&lt;K$8,K$5+SQRT(NORMSDIST(K$9*SQRT($C$11)*NORMSINV($B917)+SQRT(1-K$9^2*$C$11)*NORMSINV(J917))*(K$7-K$5)*(K$6-K$5)),K$7-SQRT((1-NORMSDIST(K$9*SQRT($C$11)*NORMSINV($B917)+SQRT(1-K$9^2*$C$11)*NORMSINV(J917)))*(K$7-K$5)*(K$7-K$6))))</f>
        <v>0.0390662218548255</v>
      </c>
      <c r="L917" s="2" t="n">
        <v>0.78832432</v>
      </c>
      <c r="M917" s="2" t="n">
        <f aca="false">IF(M$7=M$5,M$6,IF(NORMSDIST(M$9*SQRT($C$11)*NORMSINV($B917)+SQRT(1-M$9^2*$C$11)*NORMSINV(L917))&lt;M$8,M$5+SQRT(NORMSDIST(M$9*SQRT($C$11)*NORMSINV($B917)+SQRT(1-M$9^2*$C$11)*NORMSINV(L917))*(M$7-M$5)*(M$6-M$5)),M$7-SQRT((1-NORMSDIST(M$9*SQRT($C$11)*NORMSINV($B917)+SQRT(1-M$9^2*$C$11)*NORMSINV(L917)))*(M$7-M$5)*(M$7-M$6))))</f>
        <v>1478.56001602248</v>
      </c>
      <c r="N917" s="2" t="n">
        <v>0.955219776</v>
      </c>
      <c r="O917" s="2" t="n">
        <f aca="false">IF(O$7=O$5,O$6,IF(NORMSDIST(O$9*SQRT($C$11)*NORMSINV($B917)+SQRT(1-O$9^2*$C$11)*NORMSINV(N917))&lt;O$8,O$5+SQRT(NORMSDIST(O$9*SQRT($C$11)*NORMSINV($B917)+SQRT(1-O$9^2*$C$11)*NORMSINV(N917))*(O$7-O$5)*(O$6-O$5)),O$7-SQRT((1-NORMSDIST(O$9*SQRT($C$11)*NORMSINV($B917)+SQRT(1-O$9^2*$C$11)*NORMSINV(N917)))*(O$7-O$5)*(O$7-O$6))))</f>
        <v>0.164894179646673</v>
      </c>
      <c r="P917" s="2" t="n">
        <v>0.50593675</v>
      </c>
      <c r="Q917" s="2" t="n">
        <f aca="false">IF(Q$7=Q$5,Q$6,IF(NORMSDIST(Q$9*SQRT($C$11)*NORMSINV($B917)+SQRT(1-Q$9^2*$C$11)*NORMSINV(P917))&lt;Q$8,Q$5+SQRT(NORMSDIST(Q$9*SQRT($C$11)*NORMSINV($B917)+SQRT(1-Q$9^2*$C$11)*NORMSINV(P917))*(Q$7-Q$5)*(Q$6-Q$5)),Q$7-SQRT((1-NORMSDIST(Q$9*SQRT($C$11)*NORMSINV($B917)+SQRT(1-Q$9^2*$C$11)*NORMSINV(P917)))*(Q$7-Q$5)*(Q$7-Q$6))))</f>
        <v>0.0802381791161421</v>
      </c>
      <c r="R917" s="2" t="n">
        <v>0.421370331</v>
      </c>
      <c r="S917" s="2" t="n">
        <f aca="false">IF(S$7=S$5,S$6,IF(NORMSDIST(S$9*SQRT($C$11)*NORMSINV($B917)+SQRT(1-S$9^2*$C$11)*NORMSINV(R917))&lt;S$8,S$5+SQRT(NORMSDIST(S$9*SQRT($C$11)*NORMSINV($B917)+SQRT(1-S$9^2*$C$11)*NORMSINV(R917))*(S$7-S$5)*(S$6-S$5)),S$7-SQRT((1-NORMSDIST(S$9*SQRT($C$11)*NORMSINV($B917)+SQRT(1-S$9^2*$C$11)*NORMSINV(R917)))*(S$7-S$5)*(S$7-S$6))))</f>
        <v>0.158870552980191</v>
      </c>
      <c r="T917" s="2" t="n">
        <v>0.040387747</v>
      </c>
      <c r="U917" s="2" t="n">
        <f aca="false">IF(U$7=U$5,U$6,IF(NORMSDIST(U$9*SQRT($C$11)*NORMSINV($B917)+SQRT(1-U$9^2*$C$11)*NORMSINV(T917))&lt;U$8,U$5+SQRT(NORMSDIST(U$9*SQRT($C$11)*NORMSINV($B917)+SQRT(1-U$9^2*$C$11)*NORMSINV(T917))*(U$7-U$5)*(U$6-U$5)),U$7-SQRT((1-NORMSDIST(U$9*SQRT($C$11)*NORMSINV($B917)+SQRT(1-U$9^2*$C$11)*NORMSINV(T917)))*(U$7-U$5)*(U$7-U$6))))</f>
        <v>0.0336279419119211</v>
      </c>
      <c r="V917" s="2" t="n">
        <v>0.297039741</v>
      </c>
      <c r="W917" s="2" t="n">
        <f aca="false">IF(W$7=W$5,W$6,IF(NORMSDIST(W$9*SQRT($C$11)*NORMSINV($B917)+SQRT(1-W$9^2*$C$11)*NORMSINV(V917))&lt;W$8,W$5+SQRT(NORMSDIST(W$9*SQRT($C$11)*NORMSINV($B917)+SQRT(1-W$9^2*$C$11)*NORMSINV(V917))*(W$7-W$5)*(W$6-W$5)),W$7-SQRT((1-NORMSDIST(W$9*SQRT($C$11)*NORMSINV($B917)+SQRT(1-W$9^2*$C$11)*NORMSINV(V917)))*(W$7-W$5)*(W$7-W$6))))</f>
        <v>8.47965621222429</v>
      </c>
      <c r="X917" s="2" t="n">
        <v>0.985975914</v>
      </c>
      <c r="Y917" s="2" t="n">
        <f aca="false">IF(Y$7=Y$5,Y$6,IF(NORMSDIST(Y$9*SQRT($C$11)*NORMSINV($B917)+SQRT(1-Y$9^2*$C$11)*NORMSINV(X917))&lt;Y$8,Y$5+SQRT(NORMSDIST(Y$9*SQRT($C$11)*NORMSINV($B917)+SQRT(1-Y$9^2*$C$11)*NORMSINV(X917))*(Y$7-Y$5)*(Y$6-Y$5)),Y$7-SQRT((1-NORMSDIST(Y$9*SQRT($C$11)*NORMSINV($B917)+SQRT(1-Y$9^2*$C$11)*NORMSINV(X917)))*(Y$7-Y$5)*(Y$7-Y$6))))</f>
        <v>0.91626205758439</v>
      </c>
      <c r="Z917" s="2" t="n">
        <v>0.369745665</v>
      </c>
      <c r="AA917" s="2" t="n">
        <f aca="false">IF(AA$7=AA$5,AA$6,IF(NORMSDIST(AA$9*SQRT($C$11)*NORMSINV($B917)+SQRT(1-AA$9^2*$C$11)*NORMSINV(Z917))&lt;AA$8,AA$5+SQRT(NORMSDIST(AA$9*SQRT($C$11)*NORMSINV($B917)+SQRT(1-AA$9^2*$C$11)*NORMSINV(Z917))*(AA$7-AA$5)*(AA$6-AA$5)),AA$7-SQRT((1-NORMSDIST(AA$9*SQRT($C$11)*NORMSINV($B917)+SQRT(1-AA$9^2*$C$11)*NORMSINV(Z917)))*(AA$7-AA$5)*(AA$7-AA$6))))</f>
        <v>0.704642817297567</v>
      </c>
      <c r="AB917" s="2" t="n">
        <v>0.777179276</v>
      </c>
      <c r="AC917" s="2" t="n">
        <f aca="false">IF(AC$7=AC$5,AC$6,IF(NORMSDIST(AC$9*SQRT($C$11)*NORMSINV($B917)+SQRT(1-AC$9^2*$C$11)*NORMSINV(AB917))&lt;AC$8,AC$5+SQRT(NORMSDIST(AC$9*SQRT($C$11)*NORMSINV($B917)+SQRT(1-AC$9^2*$C$11)*NORMSINV(AB917))*(AC$7-AC$5)*(AC$6-AC$5)),AC$7-SQRT((1-NORMSDIST(AC$9*SQRT($C$11)*NORMSINV($B917)+SQRT(1-AC$9^2*$C$11)*NORMSINV(AB917)))*(AC$7-AC$5)*(AC$7-AC$6))))</f>
        <v>8.66492680716383</v>
      </c>
      <c r="AD917" s="2" t="n">
        <f aca="false">Entrées!$C$8*(1+E917)</f>
        <v>7429.64551596881</v>
      </c>
      <c r="AE917" s="2" t="n">
        <f aca="false">I917*Hypothèses!$J$24/12/Hypothèses!$J$19</f>
        <v>93.8946686996182</v>
      </c>
      <c r="AF917" s="2" t="n">
        <f aca="false">Entrées!$C$36*S917*1000</f>
        <v>79.4352764900954</v>
      </c>
      <c r="AG917" s="2" t="n">
        <f aca="false">-AF917/W917</f>
        <v>-9.36774728857301</v>
      </c>
      <c r="AH917" s="2" t="n">
        <f aca="false">AD917+AE917+AG917</f>
        <v>7514.17243737985</v>
      </c>
      <c r="AI917" s="2" t="n">
        <f aca="false">Entrées!$C$16-M917+Hypothèses!$J$22*1000-AF917+Hypothèses!$J$23</f>
        <v>22990.0047074874</v>
      </c>
      <c r="AJ917" s="2" t="n">
        <f aca="false">AI917/AH917</f>
        <v>3.05955245225965</v>
      </c>
      <c r="AK917" s="2" t="n">
        <f aca="false">AI917/(AH917+I917*(12-Hypothèses!$J$24)/12/Hypothèses!$J$19)</f>
        <v>3.0324860487161</v>
      </c>
      <c r="AL917" s="2" t="n">
        <f aca="false">(AD917+AG917+I917/Hypothèses!$J$19)*(1+G917)</f>
        <v>7914.71172693011</v>
      </c>
      <c r="AM917" s="2" t="n">
        <f aca="false">Entrées!$C$54*K917/Hypothèses!$J$19</f>
        <v>3.98687196875074</v>
      </c>
      <c r="AN917" s="2" t="n">
        <f aca="false">Y917*1000/AC917</f>
        <v>105.743773487718</v>
      </c>
      <c r="AO917" s="2" t="n">
        <f aca="false">(Entrées!$C$36*(1-S917)+MAX(0,Entrées!$C$30-Entrées!$C$35-Entrées!$C$36)*U917)*1000</f>
        <v>467.643842186594</v>
      </c>
      <c r="AP917" s="2" t="n">
        <f aca="false">-AO917/W917</f>
        <v>-55.1489152959335</v>
      </c>
      <c r="AQ917" s="2" t="n">
        <f aca="false">AL917+AM917+AN917+AP917</f>
        <v>7969.29345709064</v>
      </c>
      <c r="AR917" s="2" t="n">
        <f aca="false">O917*AQ917-Hypothèses!$J$25/Hypothèses!$J$19</f>
        <v>1294.95494470893</v>
      </c>
      <c r="AS917" s="2" t="n">
        <f aca="false">Entrées!$C$79*(1+Q917)+Hypothèses!$J$20</f>
        <v>1482.18175884864</v>
      </c>
      <c r="AT917" s="2" t="n">
        <f aca="false">AI917-AR917+AS917+Y917*1000-AO917+Hypothèses!$J$23</f>
        <v>23625.8497370249</v>
      </c>
      <c r="AU917" s="2" t="n">
        <f aca="false">AT917/AQ917</f>
        <v>2.96461033393167</v>
      </c>
      <c r="AV917" s="2" t="n">
        <f aca="false">Hypothèses!$J$26*AQ917-AT917</f>
        <v>282.030634246992</v>
      </c>
      <c r="AW917" s="2" t="n">
        <f aca="false">IF(AC917&gt;Hypothèses!$J$26,MAX(0,AV917)/(1-Hypothèses!$J$26/AC917),0)</f>
        <v>431.386827458706</v>
      </c>
      <c r="AX917" s="2" t="n">
        <f aca="false">AQ917-Entrées!$C$17*1000</f>
        <v>-30.7065429093573</v>
      </c>
      <c r="AY917" s="2" t="n">
        <f aca="false">AI917+(Entrées!$C$244-Entrées!$C$13)</f>
        <v>28737.0047074874</v>
      </c>
      <c r="AZ917" s="2" t="n">
        <f aca="false">AA917*AH917</f>
        <v>5294.80763593506</v>
      </c>
      <c r="BA917" s="2" t="n">
        <f aca="false">AZ917/AY917</f>
        <v>0.18425050522247</v>
      </c>
      <c r="BB917" s="2" t="n">
        <f aca="false">AZ917/(Entrées!$C$151/100)-AY917</f>
        <v>678.593269929585</v>
      </c>
      <c r="BC917" s="2" t="n">
        <f aca="false">AT917+(Entrées!$C$244-Entrées!$C$13)</f>
        <v>29372.8497370249</v>
      </c>
      <c r="BD917" s="2" t="n">
        <f aca="false">AA917*AQ917</f>
        <v>5615.50539347542</v>
      </c>
      <c r="BE917" s="2" t="n">
        <f aca="false">BD917/BC917</f>
        <v>0.191180135524848</v>
      </c>
      <c r="BF917" s="2" t="n">
        <f aca="false">BD917/(Entrées!$C$151/100)-BC917</f>
        <v>1824.40244894959</v>
      </c>
      <c r="BG917" s="2" t="n">
        <f aca="false">MIN(AV917,BF917)</f>
        <v>282.030634246992</v>
      </c>
      <c r="BH917" s="2" t="n">
        <f aca="false">IF(AC917&gt;Hypothèses!$J$26,MAX(0,BG917)/(1-Hypothèses!$J$26/AC917),0)</f>
        <v>431.386827458706</v>
      </c>
    </row>
    <row r="918" customFormat="false" ht="15" hidden="false" customHeight="false" outlineLevel="0" collapsed="false">
      <c r="A918" s="2" t="n">
        <v>903</v>
      </c>
      <c r="B918" s="2" t="n">
        <v>0.376322867</v>
      </c>
      <c r="C918" s="2"/>
      <c r="D918" s="2" t="n">
        <v>0.671847455</v>
      </c>
      <c r="E918" s="2" t="n">
        <f aca="false">IF(E$7=E$5,E$6,IF(NORMSDIST(E$9*SQRT($C$11)*NORMSINV($B918)+SQRT(1-E$9^2*$C$11)*NORMSINV(D918))&lt;E$8,E$5+SQRT(NORMSDIST(E$9*SQRT($C$11)*NORMSINV($B918)+SQRT(1-E$9^2*$C$11)*NORMSINV(D918))*(E$7-E$5)*(E$6-E$5)),E$7-SQRT((1-NORMSDIST(E$9*SQRT($C$11)*NORMSINV($B918)+SQRT(1-E$9^2*$C$11)*NORMSINV(D918)))*(E$7-E$5)*(E$7-E$6))))</f>
        <v>0.0552978674336563</v>
      </c>
      <c r="F918" s="2" t="n">
        <v>0.514778801</v>
      </c>
      <c r="G918" s="2" t="n">
        <f aca="false">IF(G$7=G$5,G$6,IF(NORMSDIST(G$9*SQRT($C$11)*NORMSINV($B918)+SQRT(1-G$9^2*$C$11)*NORMSINV(F918))&lt;G$8,G$5+SQRT(NORMSDIST(G$9*SQRT($C$11)*NORMSINV($B918)+SQRT(1-G$9^2*$C$11)*NORMSINV(F918))*(G$7-G$5)*(G$6-G$5)),G$7-SQRT((1-NORMSDIST(G$9*SQRT($C$11)*NORMSINV($B918)+SQRT(1-G$9^2*$C$11)*NORMSINV(F918)))*(G$7-G$5)*(G$7-G$6))))</f>
        <v>0.0539469648594665</v>
      </c>
      <c r="H918" s="2" t="n">
        <v>0.010911034</v>
      </c>
      <c r="I918" s="2" t="n">
        <f aca="false">IF(I$7=I$5,I$6,IF(NORMSDIST(I$9*SQRT($C$11)*NORMSINV($B918)+SQRT(1-I$9^2*$C$11)*NORMSINV(H918))&lt;I$8,I$5+SQRT(NORMSDIST(I$9*SQRT($C$11)*NORMSINV($B918)+SQRT(1-I$9^2*$C$11)*NORMSINV(H918))*(I$7-I$5)*(I$6-I$5)),I$7-SQRT((1-NORMSDIST(I$9*SQRT($C$11)*NORMSINV($B918)+SQRT(1-I$9^2*$C$11)*NORMSINV(H918)))*(I$7-I$5)*(I$7-I$6))))</f>
        <v>184.389771733497</v>
      </c>
      <c r="J918" s="2" t="n">
        <v>0.861203132</v>
      </c>
      <c r="K918" s="2" t="n">
        <f aca="false">IF(K$7=K$5,K$6,IF(NORMSDIST(K$9*SQRT($C$11)*NORMSINV($B918)+SQRT(1-K$9^2*$C$11)*NORMSINV(J918))&lt;K$8,K$5+SQRT(NORMSDIST(K$9*SQRT($C$11)*NORMSINV($B918)+SQRT(1-K$9^2*$C$11)*NORMSINV(J918))*(K$7-K$5)*(K$6-K$5)),K$7-SQRT((1-NORMSDIST(K$9*SQRT($C$11)*NORMSINV($B918)+SQRT(1-K$9^2*$C$11)*NORMSINV(J918)))*(K$7-K$5)*(K$7-K$6))))</f>
        <v>0.319536396802031</v>
      </c>
      <c r="L918" s="2" t="n">
        <v>0.352723598</v>
      </c>
      <c r="M918" s="2" t="n">
        <f aca="false">IF(M$7=M$5,M$6,IF(NORMSDIST(M$9*SQRT($C$11)*NORMSINV($B918)+SQRT(1-M$9^2*$C$11)*NORMSINV(L918))&lt;M$8,M$5+SQRT(NORMSDIST(M$9*SQRT($C$11)*NORMSINV($B918)+SQRT(1-M$9^2*$C$11)*NORMSINV(L918))*(M$7-M$5)*(M$6-M$5)),M$7-SQRT((1-NORMSDIST(M$9*SQRT($C$11)*NORMSINV($B918)+SQRT(1-M$9^2*$C$11)*NORMSINV(L918)))*(M$7-M$5)*(M$7-M$6))))</f>
        <v>1525.83998691071</v>
      </c>
      <c r="N918" s="2" t="n">
        <v>0.823004185</v>
      </c>
      <c r="O918" s="2" t="n">
        <f aca="false">IF(O$7=O$5,O$6,IF(NORMSDIST(O$9*SQRT($C$11)*NORMSINV($B918)+SQRT(1-O$9^2*$C$11)*NORMSINV(N918))&lt;O$8,O$5+SQRT(NORMSDIST(O$9*SQRT($C$11)*NORMSINV($B918)+SQRT(1-O$9^2*$C$11)*NORMSINV(N918))*(O$7-O$5)*(O$6-O$5)),O$7-SQRT((1-NORMSDIST(O$9*SQRT($C$11)*NORMSINV($B918)+SQRT(1-O$9^2*$C$11)*NORMSINV(N918)))*(O$7-O$5)*(O$7-O$6))))</f>
        <v>0.172064185706197</v>
      </c>
      <c r="P918" s="2" t="n">
        <v>0.801675528</v>
      </c>
      <c r="Q918" s="2" t="n">
        <f aca="false">IF(Q$7=Q$5,Q$6,IF(NORMSDIST(Q$9*SQRT($C$11)*NORMSINV($B918)+SQRT(1-Q$9^2*$C$11)*NORMSINV(P918))&lt;Q$8,Q$5+SQRT(NORMSDIST(Q$9*SQRT($C$11)*NORMSINV($B918)+SQRT(1-Q$9^2*$C$11)*NORMSINV(P918))*(Q$7-Q$5)*(Q$6-Q$5)),Q$7-SQRT((1-NORMSDIST(Q$9*SQRT($C$11)*NORMSINV($B918)+SQRT(1-Q$9^2*$C$11)*NORMSINV(P918)))*(Q$7-Q$5)*(Q$7-Q$6))))</f>
        <v>0.0948079712924902</v>
      </c>
      <c r="R918" s="2" t="n">
        <v>0.085841024</v>
      </c>
      <c r="S918" s="2" t="n">
        <f aca="false">IF(S$7=S$5,S$6,IF(NORMSDIST(S$9*SQRT($C$11)*NORMSINV($B918)+SQRT(1-S$9^2*$C$11)*NORMSINV(R918))&lt;S$8,S$5+SQRT(NORMSDIST(S$9*SQRT($C$11)*NORMSINV($B918)+SQRT(1-S$9^2*$C$11)*NORMSINV(R918))*(S$7-S$5)*(S$6-S$5)),S$7-SQRT((1-NORMSDIST(S$9*SQRT($C$11)*NORMSINV($B918)+SQRT(1-S$9^2*$C$11)*NORMSINV(R918)))*(S$7-S$5)*(S$7-S$6))))</f>
        <v>0.228239134900957</v>
      </c>
      <c r="T918" s="2" t="n">
        <v>0.651443106</v>
      </c>
      <c r="U918" s="2" t="n">
        <f aca="false">IF(U$7=U$5,U$6,IF(NORMSDIST(U$9*SQRT($C$11)*NORMSINV($B918)+SQRT(1-U$9^2*$C$11)*NORMSINV(T918))&lt;U$8,U$5+SQRT(NORMSDIST(U$9*SQRT($C$11)*NORMSINV($B918)+SQRT(1-U$9^2*$C$11)*NORMSINV(T918))*(U$7-U$5)*(U$6-U$5)),U$7-SQRT((1-NORMSDIST(U$9*SQRT($C$11)*NORMSINV($B918)+SQRT(1-U$9^2*$C$11)*NORMSINV(T918)))*(U$7-U$5)*(U$7-U$6))))</f>
        <v>0.52077581569792</v>
      </c>
      <c r="V918" s="2" t="n">
        <v>0.378526818</v>
      </c>
      <c r="W918" s="2" t="n">
        <f aca="false">IF(W$7=W$5,W$6,IF(NORMSDIST(W$9*SQRT($C$11)*NORMSINV($B918)+SQRT(1-W$9^2*$C$11)*NORMSINV(V918))&lt;W$8,W$5+SQRT(NORMSDIST(W$9*SQRT($C$11)*NORMSINV($B918)+SQRT(1-W$9^2*$C$11)*NORMSINV(V918))*(W$7-W$5)*(W$6-W$5)),W$7-SQRT((1-NORMSDIST(W$9*SQRT($C$11)*NORMSINV($B918)+SQRT(1-W$9^2*$C$11)*NORMSINV(V918)))*(W$7-W$5)*(W$7-W$6))))</f>
        <v>9.62567238092627</v>
      </c>
      <c r="X918" s="2" t="n">
        <v>0.545940274</v>
      </c>
      <c r="Y918" s="2" t="n">
        <f aca="false">IF(Y$7=Y$5,Y$6,IF(NORMSDIST(Y$9*SQRT($C$11)*NORMSINV($B918)+SQRT(1-Y$9^2*$C$11)*NORMSINV(X918))&lt;Y$8,Y$5+SQRT(NORMSDIST(Y$9*SQRT($C$11)*NORMSINV($B918)+SQRT(1-Y$9^2*$C$11)*NORMSINV(X918))*(Y$7-Y$5)*(Y$6-Y$5)),Y$7-SQRT((1-NORMSDIST(Y$9*SQRT($C$11)*NORMSINV($B918)+SQRT(1-Y$9^2*$C$11)*NORMSINV(X918)))*(Y$7-Y$5)*(Y$7-Y$6))))</f>
        <v>0.523523491659872</v>
      </c>
      <c r="Z918" s="2" t="n">
        <v>0.869268817</v>
      </c>
      <c r="AA918" s="2" t="n">
        <f aca="false">IF(AA$7=AA$5,AA$6,IF(NORMSDIST(AA$9*SQRT($C$11)*NORMSINV($B918)+SQRT(1-AA$9^2*$C$11)*NORMSINV(Z918))&lt;AA$8,AA$5+SQRT(NORMSDIST(AA$9*SQRT($C$11)*NORMSINV($B918)+SQRT(1-AA$9^2*$C$11)*NORMSINV(Z918))*(AA$7-AA$5)*(AA$6-AA$5)),AA$7-SQRT((1-NORMSDIST(AA$9*SQRT($C$11)*NORMSINV($B918)+SQRT(1-AA$9^2*$C$11)*NORMSINV(Z918)))*(AA$7-AA$5)*(AA$7-AA$6))))</f>
        <v>0.73589877199629</v>
      </c>
      <c r="AB918" s="2" t="n">
        <v>0.545244022</v>
      </c>
      <c r="AC918" s="2" t="n">
        <f aca="false">IF(AC$7=AC$5,AC$6,IF(NORMSDIST(AC$9*SQRT($C$11)*NORMSINV($B918)+SQRT(1-AC$9^2*$C$11)*NORMSINV(AB918))&lt;AC$8,AC$5+SQRT(NORMSDIST(AC$9*SQRT($C$11)*NORMSINV($B918)+SQRT(1-AC$9^2*$C$11)*NORMSINV(AB918))*(AC$7-AC$5)*(AC$6-AC$5)),AC$7-SQRT((1-NORMSDIST(AC$9*SQRT($C$11)*NORMSINV($B918)+SQRT(1-AC$9^2*$C$11)*NORMSINV(AB918)))*(AC$7-AC$5)*(AC$7-AC$6))))</f>
        <v>9.38424040774041</v>
      </c>
      <c r="AD918" s="2" t="n">
        <f aca="false">Entrées!$C$8*(1+E918)</f>
        <v>7439.84996540728</v>
      </c>
      <c r="AE918" s="2" t="n">
        <f aca="false">I918*Hypothèses!$J$24/12/Hypothèses!$J$19</f>
        <v>91.4751755945648</v>
      </c>
      <c r="AF918" s="2" t="n">
        <f aca="false">Entrées!$C$36*S918*1000</f>
        <v>114.119567450479</v>
      </c>
      <c r="AG918" s="2" t="n">
        <f aca="false">-AF918/W918</f>
        <v>-11.8557502202768</v>
      </c>
      <c r="AH918" s="2" t="n">
        <f aca="false">AD918+AE918+AG918</f>
        <v>7519.46939078157</v>
      </c>
      <c r="AI918" s="2" t="n">
        <f aca="false">Entrées!$C$16-M918+Hypothèses!$J$22*1000-AF918+Hypothèses!$J$23</f>
        <v>22908.0404456388</v>
      </c>
      <c r="AJ918" s="2" t="n">
        <f aca="false">AI918/AH918</f>
        <v>3.046496934175</v>
      </c>
      <c r="AK918" s="2" t="n">
        <f aca="false">AI918/(AH918+I918*(12-Hypothèses!$J$24)/12/Hypothèses!$J$19)</f>
        <v>3.02025285592411</v>
      </c>
      <c r="AL918" s="2" t="n">
        <f aca="false">(AD918+AG918+I918/Hypothèses!$J$19)*(1+G918)</f>
        <v>7993.98621582352</v>
      </c>
      <c r="AM918" s="2" t="n">
        <f aca="false">Entrées!$C$54*K918/Hypothèses!$J$19</f>
        <v>32.6100309402782</v>
      </c>
      <c r="AN918" s="2" t="n">
        <f aca="false">Y918*1000/AC918</f>
        <v>55.7875191718292</v>
      </c>
      <c r="AO918" s="2" t="n">
        <f aca="false">(Entrées!$C$36*(1-S918)+MAX(0,Entrées!$C$30-Entrées!$C$35-Entrées!$C$36)*U918)*1000</f>
        <v>1114.96657452661</v>
      </c>
      <c r="AP918" s="2" t="n">
        <f aca="false">-AO918/W918</f>
        <v>-115.832591262504</v>
      </c>
      <c r="AQ918" s="2" t="n">
        <f aca="false">AL918+AM918+AN918+AP918</f>
        <v>7966.55117467312</v>
      </c>
      <c r="AR918" s="2" t="n">
        <f aca="false">O918*AQ918-Hypothèses!$J$25/Hypothèses!$J$19</f>
        <v>1351.62297849525</v>
      </c>
      <c r="AS918" s="2" t="n">
        <f aca="false">Entrées!$C$79*(1+Q918)+Hypothèses!$J$20</f>
        <v>1498.19396045045</v>
      </c>
      <c r="AT918" s="2" t="n">
        <f aca="false">AI918-AR918+AS918+Y918*1000-AO918+Hypothèses!$J$23</f>
        <v>22463.1683447273</v>
      </c>
      <c r="AU918" s="2" t="n">
        <f aca="false">AT918/AQ918</f>
        <v>2.81968543880583</v>
      </c>
      <c r="AV918" s="2" t="n">
        <f aca="false">Hypothèses!$J$26*AQ918-AT918</f>
        <v>1436.4851792921</v>
      </c>
      <c r="AW918" s="2" t="n">
        <f aca="false">IF(AC918&gt;Hypothèses!$J$26,MAX(0,AV918)/(1-Hypothèses!$J$26/AC918),0)</f>
        <v>2111.49978755331</v>
      </c>
      <c r="AX918" s="2" t="n">
        <f aca="false">AQ918-Entrées!$C$17*1000</f>
        <v>-33.4488253268773</v>
      </c>
      <c r="AY918" s="2" t="n">
        <f aca="false">AI918+(Entrées!$C$244-Entrées!$C$13)</f>
        <v>28655.0404456388</v>
      </c>
      <c r="AZ918" s="2" t="n">
        <f aca="false">AA918*AH918</f>
        <v>5533.56829073985</v>
      </c>
      <c r="BA918" s="2" t="n">
        <f aca="false">AZ918/AY918</f>
        <v>0.193109770730826</v>
      </c>
      <c r="BB918" s="2" t="n">
        <f aca="false">AZ918/(Entrées!$C$151/100)-AY918</f>
        <v>2087.00561402699</v>
      </c>
      <c r="BC918" s="2" t="n">
        <f aca="false">AT918+(Entrées!$C$244-Entrées!$C$13)</f>
        <v>28210.1683447273</v>
      </c>
      <c r="BD918" s="2" t="n">
        <f aca="false">AA918*AQ918</f>
        <v>5862.57522648755</v>
      </c>
      <c r="BE918" s="2" t="n">
        <f aca="false">BD918/BC918</f>
        <v>0.207817803667355</v>
      </c>
      <c r="BF918" s="2" t="n">
        <f aca="false">BD918/(Entrées!$C$151/100)-BC918</f>
        <v>4359.69402464802</v>
      </c>
      <c r="BG918" s="2" t="n">
        <f aca="false">MIN(AV918,BF918)</f>
        <v>1436.4851792921</v>
      </c>
      <c r="BH918" s="2" t="n">
        <f aca="false">IF(AC918&gt;Hypothèses!$J$26,MAX(0,BG918)/(1-Hypothèses!$J$26/AC918),0)</f>
        <v>2111.49978755331</v>
      </c>
    </row>
    <row r="919" customFormat="false" ht="15" hidden="false" customHeight="false" outlineLevel="0" collapsed="false">
      <c r="A919" s="2" t="n">
        <v>904</v>
      </c>
      <c r="B919" s="2" t="n">
        <v>0.326847824</v>
      </c>
      <c r="C919" s="2"/>
      <c r="D919" s="2" t="n">
        <v>0.458945797</v>
      </c>
      <c r="E919" s="2" t="n">
        <f aca="false">IF(E$7=E$5,E$6,IF(NORMSDIST(E$9*SQRT($C$11)*NORMSINV($B919)+SQRT(1-E$9^2*$C$11)*NORMSINV(D919))&lt;E$8,E$5+SQRT(NORMSDIST(E$9*SQRT($C$11)*NORMSINV($B919)+SQRT(1-E$9^2*$C$11)*NORMSINV(D919))*(E$7-E$5)*(E$6-E$5)),E$7-SQRT((1-NORMSDIST(E$9*SQRT($C$11)*NORMSINV($B919)+SQRT(1-E$9^2*$C$11)*NORMSINV(D919)))*(E$7-E$5)*(E$7-E$6))))</f>
        <v>0.054231314930444</v>
      </c>
      <c r="F919" s="2" t="n">
        <v>0.717798716</v>
      </c>
      <c r="G919" s="2" t="n">
        <f aca="false">IF(G$7=G$5,G$6,IF(NORMSDIST(G$9*SQRT($C$11)*NORMSINV($B919)+SQRT(1-G$9^2*$C$11)*NORMSINV(F919))&lt;G$8,G$5+SQRT(NORMSDIST(G$9*SQRT($C$11)*NORMSINV($B919)+SQRT(1-G$9^2*$C$11)*NORMSINV(F919))*(G$7-G$5)*(G$6-G$5)),G$7-SQRT((1-NORMSDIST(G$9*SQRT($C$11)*NORMSINV($B919)+SQRT(1-G$9^2*$C$11)*NORMSINV(F919)))*(G$7-G$5)*(G$7-G$6))))</f>
        <v>0.0560026764813772</v>
      </c>
      <c r="H919" s="2" t="n">
        <v>0.203392087</v>
      </c>
      <c r="I919" s="2" t="n">
        <f aca="false">IF(I$7=I$5,I$6,IF(NORMSDIST(I$9*SQRT($C$11)*NORMSINV($B919)+SQRT(1-I$9^2*$C$11)*NORMSINV(H919))&lt;I$8,I$5+SQRT(NORMSDIST(I$9*SQRT($C$11)*NORMSINV($B919)+SQRT(1-I$9^2*$C$11)*NORMSINV(H919))*(I$7-I$5)*(I$6-I$5)),I$7-SQRT((1-NORMSDIST(I$9*SQRT($C$11)*NORMSINV($B919)+SQRT(1-I$9^2*$C$11)*NORMSINV(H919)))*(I$7-I$5)*(I$7-I$6))))</f>
        <v>191.904278170882</v>
      </c>
      <c r="J919" s="2" t="n">
        <v>0.486601728</v>
      </c>
      <c r="K919" s="2" t="n">
        <f aca="false">IF(K$7=K$5,K$6,IF(NORMSDIST(K$9*SQRT($C$11)*NORMSINV($B919)+SQRT(1-K$9^2*$C$11)*NORMSINV(J919))&lt;K$8,K$5+SQRT(NORMSDIST(K$9*SQRT($C$11)*NORMSINV($B919)+SQRT(1-K$9^2*$C$11)*NORMSINV(J919))*(K$7-K$5)*(K$6-K$5)),K$7-SQRT((1-NORMSDIST(K$9*SQRT($C$11)*NORMSINV($B919)+SQRT(1-K$9^2*$C$11)*NORMSINV(J919)))*(K$7-K$5)*(K$7-K$6))))</f>
        <v>0.217477462433866</v>
      </c>
      <c r="L919" s="2" t="n">
        <v>0.326064391</v>
      </c>
      <c r="M919" s="2" t="n">
        <f aca="false">IF(M$7=M$5,M$6,IF(NORMSDIST(M$9*SQRT($C$11)*NORMSINV($B919)+SQRT(1-M$9^2*$C$11)*NORMSINV(L919))&lt;M$8,M$5+SQRT(NORMSDIST(M$9*SQRT($C$11)*NORMSINV($B919)+SQRT(1-M$9^2*$C$11)*NORMSINV(L919))*(M$7-M$5)*(M$6-M$5)),M$7-SQRT((1-NORMSDIST(M$9*SQRT($C$11)*NORMSINV($B919)+SQRT(1-M$9^2*$C$11)*NORMSINV(L919)))*(M$7-M$5)*(M$7-M$6))))</f>
        <v>1507.98345004288</v>
      </c>
      <c r="N919" s="2" t="n">
        <v>0.652445136</v>
      </c>
      <c r="O919" s="2" t="n">
        <f aca="false">IF(O$7=O$5,O$6,IF(NORMSDIST(O$9*SQRT($C$11)*NORMSINV($B919)+SQRT(1-O$9^2*$C$11)*NORMSINV(N919))&lt;O$8,O$5+SQRT(NORMSDIST(O$9*SQRT($C$11)*NORMSINV($B919)+SQRT(1-O$9^2*$C$11)*NORMSINV(N919))*(O$7-O$5)*(O$6-O$5)),O$7-SQRT((1-NORMSDIST(O$9*SQRT($C$11)*NORMSINV($B919)+SQRT(1-O$9^2*$C$11)*NORMSINV(N919)))*(O$7-O$5)*(O$7-O$6))))</f>
        <v>0.166995719263847</v>
      </c>
      <c r="P919" s="2" t="n">
        <v>0.107138749</v>
      </c>
      <c r="Q919" s="2" t="n">
        <f aca="false">IF(Q$7=Q$5,Q$6,IF(NORMSDIST(Q$9*SQRT($C$11)*NORMSINV($B919)+SQRT(1-Q$9^2*$C$11)*NORMSINV(P919))&lt;Q$8,Q$5+SQRT(NORMSDIST(Q$9*SQRT($C$11)*NORMSINV($B919)+SQRT(1-Q$9^2*$C$11)*NORMSINV(P919))*(Q$7-Q$5)*(Q$6-Q$5)),Q$7-SQRT((1-NORMSDIST(Q$9*SQRT($C$11)*NORMSINV($B919)+SQRT(1-Q$9^2*$C$11)*NORMSINV(P919)))*(Q$7-Q$5)*(Q$7-Q$6))))</f>
        <v>0.0585160470079334</v>
      </c>
      <c r="R919" s="2" t="n">
        <v>0.91190023</v>
      </c>
      <c r="S919" s="2" t="n">
        <f aca="false">IF(S$7=S$5,S$6,IF(NORMSDIST(S$9*SQRT($C$11)*NORMSINV($B919)+SQRT(1-S$9^2*$C$11)*NORMSINV(R919))&lt;S$8,S$5+SQRT(NORMSDIST(S$9*SQRT($C$11)*NORMSINV($B919)+SQRT(1-S$9^2*$C$11)*NORMSINV(R919))*(S$7-S$5)*(S$6-S$5)),S$7-SQRT((1-NORMSDIST(S$9*SQRT($C$11)*NORMSINV($B919)+SQRT(1-S$9^2*$C$11)*NORMSINV(R919)))*(S$7-S$5)*(S$7-S$6))))</f>
        <v>0.666494611802496</v>
      </c>
      <c r="T919" s="2" t="n">
        <v>0.523933475</v>
      </c>
      <c r="U919" s="2" t="n">
        <f aca="false">IF(U$7=U$5,U$6,IF(NORMSDIST(U$9*SQRT($C$11)*NORMSINV($B919)+SQRT(1-U$9^2*$C$11)*NORMSINV(T919))&lt;U$8,U$5+SQRT(NORMSDIST(U$9*SQRT($C$11)*NORMSINV($B919)+SQRT(1-U$9^2*$C$11)*NORMSINV(T919))*(U$7-U$5)*(U$6-U$5)),U$7-SQRT((1-NORMSDIST(U$9*SQRT($C$11)*NORMSINV($B919)+SQRT(1-U$9^2*$C$11)*NORMSINV(T919)))*(U$7-U$5)*(U$7-U$6))))</f>
        <v>0.45068503886395</v>
      </c>
      <c r="V919" s="2" t="n">
        <v>0.809577581</v>
      </c>
      <c r="W919" s="2" t="n">
        <f aca="false">IF(W$7=W$5,W$6,IF(NORMSDIST(W$9*SQRT($C$11)*NORMSINV($B919)+SQRT(1-W$9^2*$C$11)*NORMSINV(V919))&lt;W$8,W$5+SQRT(NORMSDIST(W$9*SQRT($C$11)*NORMSINV($B919)+SQRT(1-W$9^2*$C$11)*NORMSINV(V919))*(W$7-W$5)*(W$6-W$5)),W$7-SQRT((1-NORMSDIST(W$9*SQRT($C$11)*NORMSINV($B919)+SQRT(1-W$9^2*$C$11)*NORMSINV(V919)))*(W$7-W$5)*(W$7-W$6))))</f>
        <v>10.3353179268289</v>
      </c>
      <c r="X919" s="2" t="n">
        <v>0.333431003</v>
      </c>
      <c r="Y919" s="2" t="n">
        <f aca="false">IF(Y$7=Y$5,Y$6,IF(NORMSDIST(Y$9*SQRT($C$11)*NORMSINV($B919)+SQRT(1-Y$9^2*$C$11)*NORMSINV(X919))&lt;Y$8,Y$5+SQRT(NORMSDIST(Y$9*SQRT($C$11)*NORMSINV($B919)+SQRT(1-Y$9^2*$C$11)*NORMSINV(X919))*(Y$7-Y$5)*(Y$6-Y$5)),Y$7-SQRT((1-NORMSDIST(Y$9*SQRT($C$11)*NORMSINV($B919)+SQRT(1-Y$9^2*$C$11)*NORMSINV(X919)))*(Y$7-Y$5)*(Y$7-Y$6))))</f>
        <v>0.408308096294942</v>
      </c>
      <c r="Z919" s="2" t="n">
        <v>0.889886194</v>
      </c>
      <c r="AA919" s="2" t="n">
        <f aca="false">IF(AA$7=AA$5,AA$6,IF(NORMSDIST(AA$9*SQRT($C$11)*NORMSINV($B919)+SQRT(1-AA$9^2*$C$11)*NORMSINV(Z919))&lt;AA$8,AA$5+SQRT(NORMSDIST(AA$9*SQRT($C$11)*NORMSINV($B919)+SQRT(1-AA$9^2*$C$11)*NORMSINV(Z919))*(AA$7-AA$5)*(AA$6-AA$5)),AA$7-SQRT((1-NORMSDIST(AA$9*SQRT($C$11)*NORMSINV($B919)+SQRT(1-AA$9^2*$C$11)*NORMSINV(Z919)))*(AA$7-AA$5)*(AA$7-AA$6))))</f>
        <v>0.735845755691804</v>
      </c>
      <c r="AB919" s="2" t="n">
        <v>0.6192424</v>
      </c>
      <c r="AC919" s="2" t="n">
        <f aca="false">IF(AC$7=AC$5,AC$6,IF(NORMSDIST(AC$9*SQRT($C$11)*NORMSINV($B919)+SQRT(1-AC$9^2*$C$11)*NORMSINV(AB919))&lt;AC$8,AC$5+SQRT(NORMSDIST(AC$9*SQRT($C$11)*NORMSINV($B919)+SQRT(1-AC$9^2*$C$11)*NORMSINV(AB919))*(AC$7-AC$5)*(AC$6-AC$5)),AC$7-SQRT((1-NORMSDIST(AC$9*SQRT($C$11)*NORMSINV($B919)+SQRT(1-AC$9^2*$C$11)*NORMSINV(AB919)))*(AC$7-AC$5)*(AC$7-AC$6))))</f>
        <v>9.43773172891595</v>
      </c>
      <c r="AD919" s="2" t="n">
        <f aca="false">Entrées!$C$8*(1+E919)</f>
        <v>7432.33077025963</v>
      </c>
      <c r="AE919" s="2" t="n">
        <f aca="false">I919*Hypothèses!$J$24/12/Hypothèses!$J$19</f>
        <v>95.2030981870377</v>
      </c>
      <c r="AF919" s="2" t="n">
        <f aca="false">Entrées!$C$36*S919*1000</f>
        <v>333.247305901248</v>
      </c>
      <c r="AG919" s="2" t="n">
        <f aca="false">-AF919/W919</f>
        <v>-32.243546667896</v>
      </c>
      <c r="AH919" s="2" t="n">
        <f aca="false">AD919+AE919+AG919</f>
        <v>7495.29032177877</v>
      </c>
      <c r="AI919" s="2" t="n">
        <f aca="false">Entrées!$C$16-M919+Hypothèses!$J$22*1000-AF919+Hypothèses!$J$23</f>
        <v>22706.7692440559</v>
      </c>
      <c r="AJ919" s="2" t="n">
        <f aca="false">AI919/AH919</f>
        <v>3.02947161073637</v>
      </c>
      <c r="AK919" s="2" t="n">
        <f aca="false">AI919/(AH919+I919*(12-Hypothèses!$J$24)/12/Hypothèses!$J$19)</f>
        <v>3.00223337120304</v>
      </c>
      <c r="AL919" s="2" t="n">
        <f aca="false">(AD919+AG919+I919/Hypothèses!$J$19)*(1+G919)</f>
        <v>7986.85715972823</v>
      </c>
      <c r="AM919" s="2" t="n">
        <f aca="false">Entrées!$C$54*K919/Hypothèses!$J$19</f>
        <v>22.1944881702331</v>
      </c>
      <c r="AN919" s="2" t="n">
        <f aca="false">Y919*1000/AC919</f>
        <v>43.2633717531874</v>
      </c>
      <c r="AO919" s="2" t="n">
        <f aca="false">(Entrées!$C$36*(1-S919)+MAX(0,Entrées!$C$30-Entrées!$C$35-Entrées!$C$36)*U919)*1000</f>
        <v>797.711748508282</v>
      </c>
      <c r="AP919" s="2" t="n">
        <f aca="false">-AO919/W919</f>
        <v>-77.1830875601367</v>
      </c>
      <c r="AQ919" s="2" t="n">
        <f aca="false">AL919+AM919+AN919+AP919</f>
        <v>7975.13193209151</v>
      </c>
      <c r="AR919" s="2" t="n">
        <f aca="false">O919*AQ919-Hypothèses!$J$25/Hypothèses!$J$19</f>
        <v>1312.67773096207</v>
      </c>
      <c r="AS919" s="2" t="n">
        <f aca="false">Entrées!$C$79*(1+Q919)+Hypothèses!$J$20</f>
        <v>1458.30913566172</v>
      </c>
      <c r="AT919" s="2" t="n">
        <f aca="false">AI919-AR919+AS919+Y919*1000-AO919+Hypothèses!$J$23</f>
        <v>22462.9969965422</v>
      </c>
      <c r="AU919" s="2" t="n">
        <f aca="false">AT919/AQ919</f>
        <v>2.81663014327729</v>
      </c>
      <c r="AV919" s="2" t="n">
        <f aca="false">Hypothèses!$J$26*AQ919-AT919</f>
        <v>1462.39879973235</v>
      </c>
      <c r="AW919" s="2" t="n">
        <f aca="false">IF(AC919&gt;Hypothèses!$J$26,MAX(0,AV919)/(1-Hypothèses!$J$26/AC919),0)</f>
        <v>2143.8805053914</v>
      </c>
      <c r="AX919" s="2" t="n">
        <f aca="false">AQ919-Entrées!$C$17*1000</f>
        <v>-24.86806790849</v>
      </c>
      <c r="AY919" s="2" t="n">
        <f aca="false">AI919+(Entrées!$C$244-Entrées!$C$13)</f>
        <v>28453.7692440559</v>
      </c>
      <c r="AZ919" s="2" t="n">
        <f aca="false">AA919*AH919</f>
        <v>5515.37757095876</v>
      </c>
      <c r="BA919" s="2" t="n">
        <f aca="false">AZ919/AY919</f>
        <v>0.193836448298004</v>
      </c>
      <c r="BB919" s="2" t="n">
        <f aca="false">AZ919/(Entrées!$C$151/100)-AY919</f>
        <v>2187.2172612706</v>
      </c>
      <c r="BC919" s="2" t="n">
        <f aca="false">AT919+(Entrées!$C$244-Entrées!$C$13)</f>
        <v>28209.9969965422</v>
      </c>
      <c r="BD919" s="2" t="n">
        <f aca="false">AA919*AQ919</f>
        <v>5868.46698331171</v>
      </c>
      <c r="BE919" s="2" t="n">
        <f aca="false">BD919/BC919</f>
        <v>0.208027919465253</v>
      </c>
      <c r="BF919" s="2" t="n">
        <f aca="false">BD919/(Entrées!$C$151/100)-BC919</f>
        <v>4392.59735518955</v>
      </c>
      <c r="BG919" s="2" t="n">
        <f aca="false">MIN(AV919,BF919)</f>
        <v>1462.39879973235</v>
      </c>
      <c r="BH919" s="2" t="n">
        <f aca="false">IF(AC919&gt;Hypothèses!$J$26,MAX(0,BG919)/(1-Hypothèses!$J$26/AC919),0)</f>
        <v>2143.8805053914</v>
      </c>
    </row>
    <row r="920" customFormat="false" ht="15" hidden="false" customHeight="false" outlineLevel="0" collapsed="false">
      <c r="A920" s="2" t="n">
        <v>905</v>
      </c>
      <c r="B920" s="2" t="n">
        <v>0.438981119</v>
      </c>
      <c r="C920" s="2"/>
      <c r="D920" s="2" t="n">
        <v>0.621317133</v>
      </c>
      <c r="E920" s="2" t="n">
        <f aca="false">IF(E$7=E$5,E$6,IF(NORMSDIST(E$9*SQRT($C$11)*NORMSINV($B920)+SQRT(1-E$9^2*$C$11)*NORMSINV(D920))&lt;E$8,E$5+SQRT(NORMSDIST(E$9*SQRT($C$11)*NORMSINV($B920)+SQRT(1-E$9^2*$C$11)*NORMSINV(D920))*(E$7-E$5)*(E$6-E$5)),E$7-SQRT((1-NORMSDIST(E$9*SQRT($C$11)*NORMSINV($B920)+SQRT(1-E$9^2*$C$11)*NORMSINV(D920)))*(E$7-E$5)*(E$7-E$6))))</f>
        <v>0.0552911520121074</v>
      </c>
      <c r="F920" s="2" t="n">
        <v>0.573747838</v>
      </c>
      <c r="G920" s="2" t="n">
        <f aca="false">IF(G$7=G$5,G$6,IF(NORMSDIST(G$9*SQRT($C$11)*NORMSINV($B920)+SQRT(1-G$9^2*$C$11)*NORMSINV(F920))&lt;G$8,G$5+SQRT(NORMSDIST(G$9*SQRT($C$11)*NORMSINV($B920)+SQRT(1-G$9^2*$C$11)*NORMSINV(F920))*(G$7-G$5)*(G$6-G$5)),G$7-SQRT((1-NORMSDIST(G$9*SQRT($C$11)*NORMSINV($B920)+SQRT(1-G$9^2*$C$11)*NORMSINV(F920)))*(G$7-G$5)*(G$7-G$6))))</f>
        <v>0.0552832314380279</v>
      </c>
      <c r="H920" s="2" t="n">
        <v>0.125243301</v>
      </c>
      <c r="I920" s="2" t="n">
        <f aca="false">IF(I$7=I$5,I$6,IF(NORMSDIST(I$9*SQRT($C$11)*NORMSINV($B920)+SQRT(1-I$9^2*$C$11)*NORMSINV(H920))&lt;I$8,I$5+SQRT(NORMSDIST(I$9*SQRT($C$11)*NORMSINV($B920)+SQRT(1-I$9^2*$C$11)*NORMSINV(H920))*(I$7-I$5)*(I$6-I$5)),I$7-SQRT((1-NORMSDIST(I$9*SQRT($C$11)*NORMSINV($B920)+SQRT(1-I$9^2*$C$11)*NORMSINV(H920)))*(I$7-I$5)*(I$7-I$6))))</f>
        <v>191.375702263875</v>
      </c>
      <c r="J920" s="2" t="n">
        <v>0.801498767</v>
      </c>
      <c r="K920" s="2" t="n">
        <f aca="false">IF(K$7=K$5,K$6,IF(NORMSDIST(K$9*SQRT($C$11)*NORMSINV($B920)+SQRT(1-K$9^2*$C$11)*NORMSINV(J920))&lt;K$8,K$5+SQRT(NORMSDIST(K$9*SQRT($C$11)*NORMSINV($B920)+SQRT(1-K$9^2*$C$11)*NORMSINV(J920))*(K$7-K$5)*(K$6-K$5)),K$7-SQRT((1-NORMSDIST(K$9*SQRT($C$11)*NORMSINV($B920)+SQRT(1-K$9^2*$C$11)*NORMSINV(J920)))*(K$7-K$5)*(K$7-K$6))))</f>
        <v>0.310231959335308</v>
      </c>
      <c r="L920" s="2" t="n">
        <v>0.59023433</v>
      </c>
      <c r="M920" s="2" t="n">
        <f aca="false">IF(M$7=M$5,M$6,IF(NORMSDIST(M$9*SQRT($C$11)*NORMSINV($B920)+SQRT(1-M$9^2*$C$11)*NORMSINV(L920))&lt;M$8,M$5+SQRT(NORMSDIST(M$9*SQRT($C$11)*NORMSINV($B920)+SQRT(1-M$9^2*$C$11)*NORMSINV(L920))*(M$7-M$5)*(M$6-M$5)),M$7-SQRT((1-NORMSDIST(M$9*SQRT($C$11)*NORMSINV($B920)+SQRT(1-M$9^2*$C$11)*NORMSINV(L920)))*(M$7-M$5)*(M$7-M$6))))</f>
        <v>1594.16469995447</v>
      </c>
      <c r="N920" s="2" t="n">
        <v>0.473151772</v>
      </c>
      <c r="O920" s="2" t="n">
        <f aca="false">IF(O$7=O$5,O$6,IF(NORMSDIST(O$9*SQRT($C$11)*NORMSINV($B920)+SQRT(1-O$9^2*$C$11)*NORMSINV(N920))&lt;O$8,O$5+SQRT(NORMSDIST(O$9*SQRT($C$11)*NORMSINV($B920)+SQRT(1-O$9^2*$C$11)*NORMSINV(N920))*(O$7-O$5)*(O$6-O$5)),O$7-SQRT((1-NORMSDIST(O$9*SQRT($C$11)*NORMSINV($B920)+SQRT(1-O$9^2*$C$11)*NORMSINV(N920)))*(O$7-O$5)*(O$7-O$6))))</f>
        <v>0.165145055576519</v>
      </c>
      <c r="P920" s="2" t="n">
        <v>0.285033642</v>
      </c>
      <c r="Q920" s="2" t="n">
        <f aca="false">IF(Q$7=Q$5,Q$6,IF(NORMSDIST(Q$9*SQRT($C$11)*NORMSINV($B920)+SQRT(1-Q$9^2*$C$11)*NORMSINV(P920))&lt;Q$8,Q$5+SQRT(NORMSDIST(Q$9*SQRT($C$11)*NORMSINV($B920)+SQRT(1-Q$9^2*$C$11)*NORMSINV(P920))*(Q$7-Q$5)*(Q$6-Q$5)),Q$7-SQRT((1-NORMSDIST(Q$9*SQRT($C$11)*NORMSINV($B920)+SQRT(1-Q$9^2*$C$11)*NORMSINV(P920)))*(Q$7-Q$5)*(Q$7-Q$6))))</f>
        <v>0.0702011200851889</v>
      </c>
      <c r="R920" s="2" t="n">
        <v>0.189812951</v>
      </c>
      <c r="S920" s="2" t="n">
        <f aca="false">IF(S$7=S$5,S$6,IF(NORMSDIST(S$9*SQRT($C$11)*NORMSINV($B920)+SQRT(1-S$9^2*$C$11)*NORMSINV(R920))&lt;S$8,S$5+SQRT(NORMSDIST(S$9*SQRT($C$11)*NORMSINV($B920)+SQRT(1-S$9^2*$C$11)*NORMSINV(R920))*(S$7-S$5)*(S$6-S$5)),S$7-SQRT((1-NORMSDIST(S$9*SQRT($C$11)*NORMSINV($B920)+SQRT(1-S$9^2*$C$11)*NORMSINV(R920)))*(S$7-S$5)*(S$7-S$6))))</f>
        <v>0.330441563239447</v>
      </c>
      <c r="T920" s="2" t="n">
        <v>0.122011717</v>
      </c>
      <c r="U920" s="2" t="n">
        <f aca="false">IF(U$7=U$5,U$6,IF(NORMSDIST(U$9*SQRT($C$11)*NORMSINV($B920)+SQRT(1-U$9^2*$C$11)*NORMSINV(T920))&lt;U$8,U$5+SQRT(NORMSDIST(U$9*SQRT($C$11)*NORMSINV($B920)+SQRT(1-U$9^2*$C$11)*NORMSINV(T920))*(U$7-U$5)*(U$6-U$5)),U$7-SQRT((1-NORMSDIST(U$9*SQRT($C$11)*NORMSINV($B920)+SQRT(1-U$9^2*$C$11)*NORMSINV(T920)))*(U$7-U$5)*(U$7-U$6))))</f>
        <v>0.281756416448778</v>
      </c>
      <c r="V920" s="2" t="n">
        <v>0.925958726</v>
      </c>
      <c r="W920" s="2" t="n">
        <f aca="false">IF(W$7=W$5,W$6,IF(NORMSDIST(W$9*SQRT($C$11)*NORMSINV($B920)+SQRT(1-W$9^2*$C$11)*NORMSINV(V920))&lt;W$8,W$5+SQRT(NORMSDIST(W$9*SQRT($C$11)*NORMSINV($B920)+SQRT(1-W$9^2*$C$11)*NORMSINV(V920))*(W$7-W$5)*(W$6-W$5)),W$7-SQRT((1-NORMSDIST(W$9*SQRT($C$11)*NORMSINV($B920)+SQRT(1-W$9^2*$C$11)*NORMSINV(V920)))*(W$7-W$5)*(W$7-W$6))))</f>
        <v>10.8932801183171</v>
      </c>
      <c r="X920" s="2" t="n">
        <v>0.926191271</v>
      </c>
      <c r="Y920" s="2" t="n">
        <f aca="false">IF(Y$7=Y$5,Y$6,IF(NORMSDIST(Y$9*SQRT($C$11)*NORMSINV($B920)+SQRT(1-Y$9^2*$C$11)*NORMSINV(X920))&lt;Y$8,Y$5+SQRT(NORMSDIST(Y$9*SQRT($C$11)*NORMSINV($B920)+SQRT(1-Y$9^2*$C$11)*NORMSINV(X920))*(Y$7-Y$5)*(Y$6-Y$5)),Y$7-SQRT((1-NORMSDIST(Y$9*SQRT($C$11)*NORMSINV($B920)+SQRT(1-Y$9^2*$C$11)*NORMSINV(X920)))*(Y$7-Y$5)*(Y$7-Y$6))))</f>
        <v>0.807894912873188</v>
      </c>
      <c r="Z920" s="2" t="n">
        <v>0.100485877</v>
      </c>
      <c r="AA920" s="2" t="n">
        <f aca="false">IF(AA$7=AA$5,AA$6,IF(NORMSDIST(AA$9*SQRT($C$11)*NORMSINV($B920)+SQRT(1-AA$9^2*$C$11)*NORMSINV(Z920))&lt;AA$8,AA$5+SQRT(NORMSDIST(AA$9*SQRT($C$11)*NORMSINV($B920)+SQRT(1-AA$9^2*$C$11)*NORMSINV(Z920))*(AA$7-AA$5)*(AA$6-AA$5)),AA$7-SQRT((1-NORMSDIST(AA$9*SQRT($C$11)*NORMSINV($B920)+SQRT(1-AA$9^2*$C$11)*NORMSINV(Z920)))*(AA$7-AA$5)*(AA$7-AA$6))))</f>
        <v>0.712538451798469</v>
      </c>
      <c r="AB920" s="2" t="n">
        <v>0.546748835</v>
      </c>
      <c r="AC920" s="2" t="n">
        <f aca="false">IF(AC$7=AC$5,AC$6,IF(NORMSDIST(AC$9*SQRT($C$11)*NORMSINV($B920)+SQRT(1-AC$9^2*$C$11)*NORMSINV(AB920))&lt;AC$8,AC$5+SQRT(NORMSDIST(AC$9*SQRT($C$11)*NORMSINV($B920)+SQRT(1-AC$9^2*$C$11)*NORMSINV(AB920))*(AC$7-AC$5)*(AC$6-AC$5)),AC$7-SQRT((1-NORMSDIST(AC$9*SQRT($C$11)*NORMSINV($B920)+SQRT(1-AC$9^2*$C$11)*NORMSINV(AB920)))*(AC$7-AC$5)*(AC$7-AC$6))))</f>
        <v>9.47336527345575</v>
      </c>
      <c r="AD920" s="2" t="n">
        <f aca="false">Entrées!$C$8*(1+E920)</f>
        <v>7439.80262168536</v>
      </c>
      <c r="AE920" s="2" t="n">
        <f aca="false">I920*Hypothèses!$J$24/12/Hypothèses!$J$19</f>
        <v>94.9408733713445</v>
      </c>
      <c r="AF920" s="2" t="n">
        <f aca="false">Entrées!$C$36*S920*1000</f>
        <v>165.220781619723</v>
      </c>
      <c r="AG920" s="2" t="n">
        <f aca="false">-AF920/W920</f>
        <v>-15.1672205088993</v>
      </c>
      <c r="AH920" s="2" t="n">
        <f aca="false">AD920+AE920+AG920</f>
        <v>7519.5762745478</v>
      </c>
      <c r="AI920" s="2" t="n">
        <f aca="false">Entrées!$C$16-M920+Hypothèses!$J$22*1000-AF920+Hypothèses!$J$23</f>
        <v>22788.6145184258</v>
      </c>
      <c r="AJ920" s="2" t="n">
        <f aca="false">AI920/AH920</f>
        <v>3.03057162882442</v>
      </c>
      <c r="AK920" s="2" t="n">
        <f aca="false">AI920/(AH920+I920*(12-Hypothèses!$J$24)/12/Hypothèses!$J$19)</f>
        <v>3.00348485605763</v>
      </c>
      <c r="AL920" s="2" t="n">
        <f aca="false">(AD920+AG920+I920/Hypothèses!$J$19)*(1+G920)</f>
        <v>8006.84668694015</v>
      </c>
      <c r="AM920" s="2" t="n">
        <f aca="false">Entrées!$C$54*K920/Hypothèses!$J$19</f>
        <v>31.6604740299908</v>
      </c>
      <c r="AN920" s="2" t="n">
        <f aca="false">Y920*1000/AC920</f>
        <v>85.2806673819387</v>
      </c>
      <c r="AO920" s="2" t="n">
        <f aca="false">(Entrées!$C$36*(1-S920)+MAX(0,Entrées!$C$30-Entrées!$C$35-Entrées!$C$36)*U920)*1000</f>
        <v>729.238201408565</v>
      </c>
      <c r="AP920" s="2" t="n">
        <f aca="false">-AO920/W920</f>
        <v>-66.9438583684588</v>
      </c>
      <c r="AQ920" s="2" t="n">
        <f aca="false">AL920+AM920+AN920+AP920</f>
        <v>8056.84396998362</v>
      </c>
      <c r="AR920" s="2" t="n">
        <f aca="false">O920*AQ920-Hypothèses!$J$25/Hypothèses!$J$19</f>
        <v>1311.41278293266</v>
      </c>
      <c r="AS920" s="2" t="n">
        <f aca="false">Entrées!$C$79*(1+Q920)+Hypothèses!$J$20</f>
        <v>1471.15103097362</v>
      </c>
      <c r="AT920" s="2" t="n">
        <f aca="false">AI920-AR920+AS920+Y920*1000-AO920+Hypothèses!$J$23</f>
        <v>23027.0094779314</v>
      </c>
      <c r="AU920" s="2" t="n">
        <f aca="false">AT920/AQ920</f>
        <v>2.85806819192729</v>
      </c>
      <c r="AV920" s="2" t="n">
        <f aca="false">Hypothèses!$J$26*AQ920-AT920</f>
        <v>1143.52243201946</v>
      </c>
      <c r="AW920" s="2" t="n">
        <f aca="false">IF(AC920&gt;Hypothèses!$J$26,MAX(0,AV920)/(1-Hypothèses!$J$26/AC920),0)</f>
        <v>1673.47357043668</v>
      </c>
      <c r="AX920" s="2" t="n">
        <f aca="false">AQ920-Entrées!$C$17*1000</f>
        <v>56.843969983619</v>
      </c>
      <c r="AY920" s="2" t="n">
        <f aca="false">AI920+(Entrées!$C$244-Entrées!$C$13)</f>
        <v>28535.6145184258</v>
      </c>
      <c r="AZ920" s="2" t="n">
        <f aca="false">AA920*AH920</f>
        <v>5357.98723684679</v>
      </c>
      <c r="BA920" s="2" t="n">
        <f aca="false">AZ920/AY920</f>
        <v>0.187764915081365</v>
      </c>
      <c r="BB920" s="2" t="n">
        <f aca="false">AZ920/(Entrées!$C$151/100)-AY920</f>
        <v>1230.98124183413</v>
      </c>
      <c r="BC920" s="2" t="n">
        <f aca="false">AT920+(Entrées!$C$244-Entrées!$C$13)</f>
        <v>28774.0094779314</v>
      </c>
      <c r="BD920" s="2" t="n">
        <f aca="false">AA920*AQ920</f>
        <v>5740.81112875396</v>
      </c>
      <c r="BE920" s="2" t="n">
        <f aca="false">BD920/BC920</f>
        <v>0.199513770687987</v>
      </c>
      <c r="BF920" s="2" t="n">
        <f aca="false">BD920/(Entrées!$C$151/100)-BC920</f>
        <v>3119.38568181281</v>
      </c>
      <c r="BG920" s="2" t="n">
        <f aca="false">MIN(AV920,BF920)</f>
        <v>1143.52243201946</v>
      </c>
      <c r="BH920" s="2" t="n">
        <f aca="false">IF(AC920&gt;Hypothèses!$J$26,MAX(0,BG920)/(1-Hypothèses!$J$26/AC920),0)</f>
        <v>1673.47357043668</v>
      </c>
    </row>
    <row r="921" customFormat="false" ht="15" hidden="false" customHeight="false" outlineLevel="0" collapsed="false">
      <c r="A921" s="2" t="n">
        <v>906</v>
      </c>
      <c r="B921" s="2" t="n">
        <v>0.075730114</v>
      </c>
      <c r="C921" s="2"/>
      <c r="D921" s="2" t="n">
        <v>0.546144468</v>
      </c>
      <c r="E921" s="2" t="n">
        <f aca="false">IF(E$7=E$5,E$6,IF(NORMSDIST(E$9*SQRT($C$11)*NORMSINV($B921)+SQRT(1-E$9^2*$C$11)*NORMSINV(D921))&lt;E$8,E$5+SQRT(NORMSDIST(E$9*SQRT($C$11)*NORMSINV($B921)+SQRT(1-E$9^2*$C$11)*NORMSINV(D921))*(E$7-E$5)*(E$6-E$5)),E$7-SQRT((1-NORMSDIST(E$9*SQRT($C$11)*NORMSINV($B921)+SQRT(1-E$9^2*$C$11)*NORMSINV(D921)))*(E$7-E$5)*(E$7-E$6))))</f>
        <v>0.0532159895060203</v>
      </c>
      <c r="F921" s="2" t="n">
        <v>0.944264803</v>
      </c>
      <c r="G921" s="2" t="n">
        <f aca="false">IF(G$7=G$5,G$6,IF(NORMSDIST(G$9*SQRT($C$11)*NORMSINV($B921)+SQRT(1-G$9^2*$C$11)*NORMSINV(F921))&lt;G$8,G$5+SQRT(NORMSDIST(G$9*SQRT($C$11)*NORMSINV($B921)+SQRT(1-G$9^2*$C$11)*NORMSINV(F921))*(G$7-G$5)*(G$6-G$5)),G$7-SQRT((1-NORMSDIST(G$9*SQRT($C$11)*NORMSINV($B921)+SQRT(1-G$9^2*$C$11)*NORMSINV(F921)))*(G$7-G$5)*(G$7-G$6))))</f>
        <v>0.0570558448613013</v>
      </c>
      <c r="H921" s="2" t="n">
        <v>0.395522797</v>
      </c>
      <c r="I921" s="2" t="n">
        <f aca="false">IF(I$7=I$5,I$6,IF(NORMSDIST(I$9*SQRT($C$11)*NORMSINV($B921)+SQRT(1-I$9^2*$C$11)*NORMSINV(H921))&lt;I$8,I$5+SQRT(NORMSDIST(I$9*SQRT($C$11)*NORMSINV($B921)+SQRT(1-I$9^2*$C$11)*NORMSINV(H921))*(I$7-I$5)*(I$6-I$5)),I$7-SQRT((1-NORMSDIST(I$9*SQRT($C$11)*NORMSINV($B921)+SQRT(1-I$9^2*$C$11)*NORMSINV(H921)))*(I$7-I$5)*(I$7-I$6))))</f>
        <v>190.314204044616</v>
      </c>
      <c r="J921" s="2" t="n">
        <v>0.473367669</v>
      </c>
      <c r="K921" s="2" t="n">
        <f aca="false">IF(K$7=K$5,K$6,IF(NORMSDIST(K$9*SQRT($C$11)*NORMSINV($B921)+SQRT(1-K$9^2*$C$11)*NORMSINV(J921))&lt;K$8,K$5+SQRT(NORMSDIST(K$9*SQRT($C$11)*NORMSINV($B921)+SQRT(1-K$9^2*$C$11)*NORMSINV(J921))*(K$7-K$5)*(K$6-K$5)),K$7-SQRT((1-NORMSDIST(K$9*SQRT($C$11)*NORMSINV($B921)+SQRT(1-K$9^2*$C$11)*NORMSINV(J921)))*(K$7-K$5)*(K$7-K$6))))</f>
        <v>0.14525622461678</v>
      </c>
      <c r="L921" s="2" t="n">
        <v>0.211062071</v>
      </c>
      <c r="M921" s="2" t="n">
        <f aca="false">IF(M$7=M$5,M$6,IF(NORMSDIST(M$9*SQRT($C$11)*NORMSINV($B921)+SQRT(1-M$9^2*$C$11)*NORMSINV(L921))&lt;M$8,M$5+SQRT(NORMSDIST(M$9*SQRT($C$11)*NORMSINV($B921)+SQRT(1-M$9^2*$C$11)*NORMSINV(L921))*(M$7-M$5)*(M$6-M$5)),M$7-SQRT((1-NORMSDIST(M$9*SQRT($C$11)*NORMSINV($B921)+SQRT(1-M$9^2*$C$11)*NORMSINV(L921)))*(M$7-M$5)*(M$7-M$6))))</f>
        <v>1403.45967415442</v>
      </c>
      <c r="N921" s="2" t="n">
        <v>0.952242718</v>
      </c>
      <c r="O921" s="2" t="n">
        <f aca="false">IF(O$7=O$5,O$6,IF(NORMSDIST(O$9*SQRT($C$11)*NORMSINV($B921)+SQRT(1-O$9^2*$C$11)*NORMSINV(N921))&lt;O$8,O$5+SQRT(NORMSDIST(O$9*SQRT($C$11)*NORMSINV($B921)+SQRT(1-O$9^2*$C$11)*NORMSINV(N921))*(O$7-O$5)*(O$6-O$5)),O$7-SQRT((1-NORMSDIST(O$9*SQRT($C$11)*NORMSINV($B921)+SQRT(1-O$9^2*$C$11)*NORMSINV(N921)))*(O$7-O$5)*(O$7-O$6))))</f>
        <v>0.170678765767822</v>
      </c>
      <c r="P921" s="2" t="n">
        <v>0.214965884</v>
      </c>
      <c r="Q921" s="2" t="n">
        <f aca="false">IF(Q$7=Q$5,Q$6,IF(NORMSDIST(Q$9*SQRT($C$11)*NORMSINV($B921)+SQRT(1-Q$9^2*$C$11)*NORMSINV(P921))&lt;Q$8,Q$5+SQRT(NORMSDIST(Q$9*SQRT($C$11)*NORMSINV($B921)+SQRT(1-Q$9^2*$C$11)*NORMSINV(P921))*(Q$7-Q$5)*(Q$6-Q$5)),Q$7-SQRT((1-NORMSDIST(Q$9*SQRT($C$11)*NORMSINV($B921)+SQRT(1-Q$9^2*$C$11)*NORMSINV(P921)))*(Q$7-Q$5)*(Q$7-Q$6))))</f>
        <v>0.0662276729581562</v>
      </c>
      <c r="R921" s="2" t="n">
        <v>0.654825192</v>
      </c>
      <c r="S921" s="2" t="n">
        <f aca="false">IF(S$7=S$5,S$6,IF(NORMSDIST(S$9*SQRT($C$11)*NORMSINV($B921)+SQRT(1-S$9^2*$C$11)*NORMSINV(R921))&lt;S$8,S$5+SQRT(NORMSDIST(S$9*SQRT($C$11)*NORMSINV($B921)+SQRT(1-S$9^2*$C$11)*NORMSINV(R921))*(S$7-S$5)*(S$6-S$5)),S$7-SQRT((1-NORMSDIST(S$9*SQRT($C$11)*NORMSINV($B921)+SQRT(1-S$9^2*$C$11)*NORMSINV(R921)))*(S$7-S$5)*(S$7-S$6))))</f>
        <v>0.370619797845766</v>
      </c>
      <c r="T921" s="2" t="n">
        <v>0.98613842</v>
      </c>
      <c r="U921" s="2" t="n">
        <f aca="false">IF(U$7=U$5,U$6,IF(NORMSDIST(U$9*SQRT($C$11)*NORMSINV($B921)+SQRT(1-U$9^2*$C$11)*NORMSINV(T921))&lt;U$8,U$5+SQRT(NORMSDIST(U$9*SQRT($C$11)*NORMSINV($B921)+SQRT(1-U$9^2*$C$11)*NORMSINV(T921))*(U$7-U$5)*(U$6-U$5)),U$7-SQRT((1-NORMSDIST(U$9*SQRT($C$11)*NORMSINV($B921)+SQRT(1-U$9^2*$C$11)*NORMSINV(T921)))*(U$7-U$5)*(U$7-U$6))))</f>
        <v>0.674053590748587</v>
      </c>
      <c r="V921" s="2" t="n">
        <v>0.899752679</v>
      </c>
      <c r="W921" s="2" t="n">
        <f aca="false">IF(W$7=W$5,W$6,IF(NORMSDIST(W$9*SQRT($C$11)*NORMSINV($B921)+SQRT(1-W$9^2*$C$11)*NORMSINV(V921))&lt;W$8,W$5+SQRT(NORMSDIST(W$9*SQRT($C$11)*NORMSINV($B921)+SQRT(1-W$9^2*$C$11)*NORMSINV(V921))*(W$7-W$5)*(W$6-W$5)),W$7-SQRT((1-NORMSDIST(W$9*SQRT($C$11)*NORMSINV($B921)+SQRT(1-W$9^2*$C$11)*NORMSINV(V921)))*(W$7-W$5)*(W$7-W$6))))</f>
        <v>10.0684367482158</v>
      </c>
      <c r="X921" s="2" t="n">
        <v>0.87296232</v>
      </c>
      <c r="Y921" s="2" t="n">
        <f aca="false">IF(Y$7=Y$5,Y$6,IF(NORMSDIST(Y$9*SQRT($C$11)*NORMSINV($B921)+SQRT(1-Y$9^2*$C$11)*NORMSINV(X921))&lt;Y$8,Y$5+SQRT(NORMSDIST(Y$9*SQRT($C$11)*NORMSINV($B921)+SQRT(1-Y$9^2*$C$11)*NORMSINV(X921))*(Y$7-Y$5)*(Y$6-Y$5)),Y$7-SQRT((1-NORMSDIST(Y$9*SQRT($C$11)*NORMSINV($B921)+SQRT(1-Y$9^2*$C$11)*NORMSINV(X921)))*(Y$7-Y$5)*(Y$7-Y$6))))</f>
        <v>0.747970557275544</v>
      </c>
      <c r="Z921" s="2" t="n">
        <v>0.967975731</v>
      </c>
      <c r="AA921" s="2" t="n">
        <f aca="false">IF(AA$7=AA$5,AA$6,IF(NORMSDIST(AA$9*SQRT($C$11)*NORMSINV($B921)+SQRT(1-AA$9^2*$C$11)*NORMSINV(Z921))&lt;AA$8,AA$5+SQRT(NORMSDIST(AA$9*SQRT($C$11)*NORMSINV($B921)+SQRT(1-AA$9^2*$C$11)*NORMSINV(Z921))*(AA$7-AA$5)*(AA$6-AA$5)),AA$7-SQRT((1-NORMSDIST(AA$9*SQRT($C$11)*NORMSINV($B921)+SQRT(1-AA$9^2*$C$11)*NORMSINV(Z921)))*(AA$7-AA$5)*(AA$7-AA$6))))</f>
        <v>0.734265331399317</v>
      </c>
      <c r="AB921" s="2" t="n">
        <v>0.415428168</v>
      </c>
      <c r="AC921" s="2" t="n">
        <f aca="false">IF(AC$7=AC$5,AC$6,IF(NORMSDIST(AC$9*SQRT($C$11)*NORMSINV($B921)+SQRT(1-AC$9^2*$C$11)*NORMSINV(AB921))&lt;AC$8,AC$5+SQRT(NORMSDIST(AC$9*SQRT($C$11)*NORMSINV($B921)+SQRT(1-AC$9^2*$C$11)*NORMSINV(AB921))*(AC$7-AC$5)*(AC$6-AC$5)),AC$7-SQRT((1-NORMSDIST(AC$9*SQRT($C$11)*NORMSINV($B921)+SQRT(1-AC$9^2*$C$11)*NORMSINV(AB921)))*(AC$7-AC$5)*(AC$7-AC$6))))</f>
        <v>8.50653392011055</v>
      </c>
      <c r="AD921" s="2" t="n">
        <f aca="false">Entrées!$C$8*(1+E921)</f>
        <v>7425.17272601744</v>
      </c>
      <c r="AE921" s="2" t="n">
        <f aca="false">I921*Hypothèses!$J$24/12/Hypothèses!$J$19</f>
        <v>94.4142675022273</v>
      </c>
      <c r="AF921" s="2" t="n">
        <f aca="false">Entrées!$C$36*S921*1000</f>
        <v>185.309898922883</v>
      </c>
      <c r="AG921" s="2" t="n">
        <f aca="false">-AF921/W921</f>
        <v>-18.4050318392993</v>
      </c>
      <c r="AH921" s="2" t="n">
        <f aca="false">AD921+AE921+AG921</f>
        <v>7501.18196168037</v>
      </c>
      <c r="AI921" s="2" t="n">
        <f aca="false">Entrées!$C$16-M921+Hypothèses!$J$22*1000-AF921+Hypothèses!$J$23</f>
        <v>22959.2304269227</v>
      </c>
      <c r="AJ921" s="2" t="n">
        <f aca="false">AI921/AH921</f>
        <v>3.06074836528556</v>
      </c>
      <c r="AK921" s="2" t="n">
        <f aca="false">AI921/(AH921+I921*(12-Hypothèses!$J$24)/12/Hypothèses!$J$19)</f>
        <v>3.03347614626365</v>
      </c>
      <c r="AL921" s="2" t="n">
        <f aca="false">(AD921+AG921+I921/Hypothèses!$J$19)*(1+G921)</f>
        <v>8000.45477403492</v>
      </c>
      <c r="AM921" s="2" t="n">
        <f aca="false">Entrées!$C$54*K921/Hypothèses!$J$19</f>
        <v>14.8240076136174</v>
      </c>
      <c r="AN921" s="2" t="n">
        <f aca="false">Y921*1000/AC921</f>
        <v>87.9289454788683</v>
      </c>
      <c r="AO921" s="2" t="n">
        <f aca="false">(Entrées!$C$36*(1-S921)+MAX(0,Entrées!$C$30-Entrées!$C$35-Entrées!$C$36)*U921)*1000</f>
        <v>1258.36512812514</v>
      </c>
      <c r="AP921" s="2" t="n">
        <f aca="false">-AO921/W921</f>
        <v>-124.98118224243</v>
      </c>
      <c r="AQ921" s="2" t="n">
        <f aca="false">AL921+AM921+AN921+AP921</f>
        <v>7978.22654488497</v>
      </c>
      <c r="AR921" s="2" t="n">
        <f aca="false">O921*AQ921-Hypothèses!$J$25/Hypothèses!$J$19</f>
        <v>1342.57869743542</v>
      </c>
      <c r="AS921" s="2" t="n">
        <f aca="false">Entrées!$C$79*(1+Q921)+Hypothèses!$J$20</f>
        <v>1466.78421258101</v>
      </c>
      <c r="AT921" s="2" t="n">
        <f aca="false">AI921-AR921+AS921+Y921*1000-AO921+Hypothèses!$J$23</f>
        <v>22573.0413712187</v>
      </c>
      <c r="AU921" s="2" t="n">
        <f aca="false">AT921/AQ921</f>
        <v>2.82933070955359</v>
      </c>
      <c r="AV921" s="2" t="n">
        <f aca="false">Hypothèses!$J$26*AQ921-AT921</f>
        <v>1361.63826343622</v>
      </c>
      <c r="AW921" s="2" t="n">
        <f aca="false">IF(AC921&gt;Hypothèses!$J$26,MAX(0,AV921)/(1-Hypothèses!$J$26/AC921),0)</f>
        <v>2103.46875963821</v>
      </c>
      <c r="AX921" s="2" t="n">
        <f aca="false">AQ921-Entrées!$C$17*1000</f>
        <v>-21.773455115027</v>
      </c>
      <c r="AY921" s="2" t="n">
        <f aca="false">AI921+(Entrées!$C$244-Entrées!$C$13)</f>
        <v>28706.2304269227</v>
      </c>
      <c r="AZ921" s="2" t="n">
        <f aca="false">AA921*AH921</f>
        <v>5507.85785897982</v>
      </c>
      <c r="BA921" s="2" t="n">
        <f aca="false">AZ921/AY921</f>
        <v>0.191869771024139</v>
      </c>
      <c r="BB921" s="2" t="n">
        <f aca="false">AZ921/(Entrées!$C$151/100)-AY921</f>
        <v>1892.97990074296</v>
      </c>
      <c r="BC921" s="2" t="n">
        <f aca="false">AT921+(Entrées!$C$244-Entrées!$C$13)</f>
        <v>28320.0413712187</v>
      </c>
      <c r="BD921" s="2" t="n">
        <f aca="false">AA921*AQ921</f>
        <v>5858.13515795879</v>
      </c>
      <c r="BE921" s="2" t="n">
        <f aca="false">BD921/BC921</f>
        <v>0.206854752829293</v>
      </c>
      <c r="BF921" s="2" t="n">
        <f aca="false">BD921/(Entrées!$C$151/100)-BC921</f>
        <v>4225.15395077461</v>
      </c>
      <c r="BG921" s="2" t="n">
        <f aca="false">MIN(AV921,BF921)</f>
        <v>1361.63826343622</v>
      </c>
      <c r="BH921" s="2" t="n">
        <f aca="false">IF(AC921&gt;Hypothèses!$J$26,MAX(0,BG921)/(1-Hypothèses!$J$26/AC921),0)</f>
        <v>2103.46875963821</v>
      </c>
    </row>
    <row r="922" customFormat="false" ht="15" hidden="false" customHeight="false" outlineLevel="0" collapsed="false">
      <c r="A922" s="2" t="n">
        <v>907</v>
      </c>
      <c r="B922" s="2" t="n">
        <v>0.246916886</v>
      </c>
      <c r="C922" s="2"/>
      <c r="D922" s="2" t="n">
        <v>0.968627104</v>
      </c>
      <c r="E922" s="2" t="n">
        <f aca="false">IF(E$7=E$5,E$6,IF(NORMSDIST(E$9*SQRT($C$11)*NORMSINV($B922)+SQRT(1-E$9^2*$C$11)*NORMSINV(D922))&lt;E$8,E$5+SQRT(NORMSDIST(E$9*SQRT($C$11)*NORMSINV($B922)+SQRT(1-E$9^2*$C$11)*NORMSINV(D922))*(E$7-E$5)*(E$6-E$5)),E$7-SQRT((1-NORMSDIST(E$9*SQRT($C$11)*NORMSINV($B922)+SQRT(1-E$9^2*$C$11)*NORMSINV(D922)))*(E$7-E$5)*(E$7-E$6))))</f>
        <v>0.057202309547846</v>
      </c>
      <c r="F922" s="2" t="n">
        <v>0.196886964</v>
      </c>
      <c r="G922" s="2" t="n">
        <f aca="false">IF(G$7=G$5,G$6,IF(NORMSDIST(G$9*SQRT($C$11)*NORMSINV($B922)+SQRT(1-G$9^2*$C$11)*NORMSINV(F922))&lt;G$8,G$5+SQRT(NORMSDIST(G$9*SQRT($C$11)*NORMSINV($B922)+SQRT(1-G$9^2*$C$11)*NORMSINV(F922))*(G$7-G$5)*(G$6-G$5)),G$7-SQRT((1-NORMSDIST(G$9*SQRT($C$11)*NORMSINV($B922)+SQRT(1-G$9^2*$C$11)*NORMSINV(F922)))*(G$7-G$5)*(G$7-G$6))))</f>
        <v>0.047855429994143</v>
      </c>
      <c r="H922" s="2" t="n">
        <v>0.786001967</v>
      </c>
      <c r="I922" s="2" t="n">
        <f aca="false">IF(I$7=I$5,I$6,IF(NORMSDIST(I$9*SQRT($C$11)*NORMSINV($B922)+SQRT(1-I$9^2*$C$11)*NORMSINV(H922))&lt;I$8,I$5+SQRT(NORMSDIST(I$9*SQRT($C$11)*NORMSINV($B922)+SQRT(1-I$9^2*$C$11)*NORMSINV(H922))*(I$7-I$5)*(I$6-I$5)),I$7-SQRT((1-NORMSDIST(I$9*SQRT($C$11)*NORMSINV($B922)+SQRT(1-I$9^2*$C$11)*NORMSINV(H922)))*(I$7-I$5)*(I$7-I$6))))</f>
        <v>201.493872519135</v>
      </c>
      <c r="J922" s="2" t="n">
        <v>0.187792775</v>
      </c>
      <c r="K922" s="2" t="n">
        <f aca="false">IF(K$7=K$5,K$6,IF(NORMSDIST(K$9*SQRT($C$11)*NORMSINV($B922)+SQRT(1-K$9^2*$C$11)*NORMSINV(J922))&lt;K$8,K$5+SQRT(NORMSDIST(K$9*SQRT($C$11)*NORMSINV($B922)+SQRT(1-K$9^2*$C$11)*NORMSINV(J922))*(K$7-K$5)*(K$6-K$5)),K$7-SQRT((1-NORMSDIST(K$9*SQRT($C$11)*NORMSINV($B922)+SQRT(1-K$9^2*$C$11)*NORMSINV(J922)))*(K$7-K$5)*(K$7-K$6))))</f>
        <v>0.128234668909629</v>
      </c>
      <c r="L922" s="2" t="n">
        <v>0.309519023</v>
      </c>
      <c r="M922" s="2" t="n">
        <f aca="false">IF(M$7=M$5,M$6,IF(NORMSDIST(M$9*SQRT($C$11)*NORMSINV($B922)+SQRT(1-M$9^2*$C$11)*NORMSINV(L922))&lt;M$8,M$5+SQRT(NORMSDIST(M$9*SQRT($C$11)*NORMSINV($B922)+SQRT(1-M$9^2*$C$11)*NORMSINV(L922))*(M$7-M$5)*(M$6-M$5)),M$7-SQRT((1-NORMSDIST(M$9*SQRT($C$11)*NORMSINV($B922)+SQRT(1-M$9^2*$C$11)*NORMSINV(L922)))*(M$7-M$5)*(M$7-M$6))))</f>
        <v>1484.61782791291</v>
      </c>
      <c r="N922" s="2" t="n">
        <v>0.756577629</v>
      </c>
      <c r="O922" s="2" t="n">
        <f aca="false">IF(O$7=O$5,O$6,IF(NORMSDIST(O$9*SQRT($C$11)*NORMSINV($B922)+SQRT(1-O$9^2*$C$11)*NORMSINV(N922))&lt;O$8,O$5+SQRT(NORMSDIST(O$9*SQRT($C$11)*NORMSINV($B922)+SQRT(1-O$9^2*$C$11)*NORMSINV(N922))*(O$7-O$5)*(O$6-O$5)),O$7-SQRT((1-NORMSDIST(O$9*SQRT($C$11)*NORMSINV($B922)+SQRT(1-O$9^2*$C$11)*NORMSINV(N922)))*(O$7-O$5)*(O$7-O$6))))</f>
        <v>0.167890743120262</v>
      </c>
      <c r="P922" s="2" t="n">
        <v>0.448989794</v>
      </c>
      <c r="Q922" s="2" t="n">
        <f aca="false">IF(Q$7=Q$5,Q$6,IF(NORMSDIST(Q$9*SQRT($C$11)*NORMSINV($B922)+SQRT(1-Q$9^2*$C$11)*NORMSINV(P922))&lt;Q$8,Q$5+SQRT(NORMSDIST(Q$9*SQRT($C$11)*NORMSINV($B922)+SQRT(1-Q$9^2*$C$11)*NORMSINV(P922))*(Q$7-Q$5)*(Q$6-Q$5)),Q$7-SQRT((1-NORMSDIST(Q$9*SQRT($C$11)*NORMSINV($B922)+SQRT(1-Q$9^2*$C$11)*NORMSINV(P922)))*(Q$7-Q$5)*(Q$7-Q$6))))</f>
        <v>0.077904713965416</v>
      </c>
      <c r="R922" s="2" t="n">
        <v>0.507018936</v>
      </c>
      <c r="S922" s="2" t="n">
        <f aca="false">IF(S$7=S$5,S$6,IF(NORMSDIST(S$9*SQRT($C$11)*NORMSINV($B922)+SQRT(1-S$9^2*$C$11)*NORMSINV(R922))&lt;S$8,S$5+SQRT(NORMSDIST(S$9*SQRT($C$11)*NORMSINV($B922)+SQRT(1-S$9^2*$C$11)*NORMSINV(R922))*(S$7-S$5)*(S$6-S$5)),S$7-SQRT((1-NORMSDIST(S$9*SQRT($C$11)*NORMSINV($B922)+SQRT(1-S$9^2*$C$11)*NORMSINV(R922)))*(S$7-S$5)*(S$7-S$6))))</f>
        <v>0.410832696465678</v>
      </c>
      <c r="T922" s="2" t="n">
        <v>0.919901638</v>
      </c>
      <c r="U922" s="2" t="n">
        <f aca="false">IF(U$7=U$5,U$6,IF(NORMSDIST(U$9*SQRT($C$11)*NORMSINV($B922)+SQRT(1-U$9^2*$C$11)*NORMSINV(T922))&lt;U$8,U$5+SQRT(NORMSDIST(U$9*SQRT($C$11)*NORMSINV($B922)+SQRT(1-U$9^2*$C$11)*NORMSINV(T922))*(U$7-U$5)*(U$6-U$5)),U$7-SQRT((1-NORMSDIST(U$9*SQRT($C$11)*NORMSINV($B922)+SQRT(1-U$9^2*$C$11)*NORMSINV(T922)))*(U$7-U$5)*(U$7-U$6))))</f>
        <v>0.642090530619066</v>
      </c>
      <c r="V922" s="2" t="n">
        <v>0.3550308</v>
      </c>
      <c r="W922" s="2" t="n">
        <f aca="false">IF(W$7=W$5,W$6,IF(NORMSDIST(W$9*SQRT($C$11)*NORMSINV($B922)+SQRT(1-W$9^2*$C$11)*NORMSINV(V922))&lt;W$8,W$5+SQRT(NORMSDIST(W$9*SQRT($C$11)*NORMSINV($B922)+SQRT(1-W$9^2*$C$11)*NORMSINV(V922))*(W$7-W$5)*(W$6-W$5)),W$7-SQRT((1-NORMSDIST(W$9*SQRT($C$11)*NORMSINV($B922)+SQRT(1-W$9^2*$C$11)*NORMSINV(V922)))*(W$7-W$5)*(W$7-W$6))))</f>
        <v>9.37271191668686</v>
      </c>
      <c r="X922" s="2" t="n">
        <v>0.56211534</v>
      </c>
      <c r="Y922" s="2" t="n">
        <f aca="false">IF(Y$7=Y$5,Y$6,IF(NORMSDIST(Y$9*SQRT($C$11)*NORMSINV($B922)+SQRT(1-Y$9^2*$C$11)*NORMSINV(X922))&lt;Y$8,Y$5+SQRT(NORMSDIST(Y$9*SQRT($C$11)*NORMSINV($B922)+SQRT(1-Y$9^2*$C$11)*NORMSINV(X922))*(Y$7-Y$5)*(Y$6-Y$5)),Y$7-SQRT((1-NORMSDIST(Y$9*SQRT($C$11)*NORMSINV($B922)+SQRT(1-Y$9^2*$C$11)*NORMSINV(X922)))*(Y$7-Y$5)*(Y$7-Y$6))))</f>
        <v>0.532087262408898</v>
      </c>
      <c r="Z922" s="2" t="n">
        <v>0.554530292</v>
      </c>
      <c r="AA922" s="2" t="n">
        <f aca="false">IF(AA$7=AA$5,AA$6,IF(NORMSDIST(AA$9*SQRT($C$11)*NORMSINV($B922)+SQRT(1-AA$9^2*$C$11)*NORMSINV(Z922))&lt;AA$8,AA$5+SQRT(NORMSDIST(AA$9*SQRT($C$11)*NORMSINV($B922)+SQRT(1-AA$9^2*$C$11)*NORMSINV(Z922))*(AA$7-AA$5)*(AA$6-AA$5)),AA$7-SQRT((1-NORMSDIST(AA$9*SQRT($C$11)*NORMSINV($B922)+SQRT(1-AA$9^2*$C$11)*NORMSINV(Z922)))*(AA$7-AA$5)*(AA$7-AA$6))))</f>
        <v>0.72355289178383</v>
      </c>
      <c r="AB922" s="2" t="n">
        <v>0.68197967</v>
      </c>
      <c r="AC922" s="2" t="n">
        <f aca="false">IF(AC$7=AC$5,AC$6,IF(NORMSDIST(AC$9*SQRT($C$11)*NORMSINV($B922)+SQRT(1-AC$9^2*$C$11)*NORMSINV(AB922))&lt;AC$8,AC$5+SQRT(NORMSDIST(AC$9*SQRT($C$11)*NORMSINV($B922)+SQRT(1-AC$9^2*$C$11)*NORMSINV(AB922))*(AC$7-AC$5)*(AC$6-AC$5)),AC$7-SQRT((1-NORMSDIST(AC$9*SQRT($C$11)*NORMSINV($B922)+SQRT(1-AC$9^2*$C$11)*NORMSINV(AB922)))*(AC$7-AC$5)*(AC$7-AC$6))))</f>
        <v>9.42289116307145</v>
      </c>
      <c r="AD922" s="2" t="n">
        <f aca="false">Entrées!$C$8*(1+E922)</f>
        <v>7453.27628231231</v>
      </c>
      <c r="AE922" s="2" t="n">
        <f aca="false">I922*Hypothèses!$J$24/12/Hypothèses!$J$19</f>
        <v>99.9604652505154</v>
      </c>
      <c r="AF922" s="2" t="n">
        <f aca="false">Entrées!$C$36*S922*1000</f>
        <v>205.416348232839</v>
      </c>
      <c r="AG922" s="2" t="n">
        <f aca="false">-AF922/W922</f>
        <v>-21.9164261164501</v>
      </c>
      <c r="AH922" s="2" t="n">
        <f aca="false">AD922+AE922+AG922</f>
        <v>7531.32032144638</v>
      </c>
      <c r="AI922" s="2" t="n">
        <f aca="false">Entrées!$C$16-M922+Hypothèses!$J$22*1000-AF922+Hypothèses!$J$23</f>
        <v>22857.9658238543</v>
      </c>
      <c r="AJ922" s="2" t="n">
        <f aca="false">AI922/AH922</f>
        <v>3.03505425984383</v>
      </c>
      <c r="AK922" s="2" t="n">
        <f aca="false">AI922/(AH922+I922*(12-Hypothèses!$J$24)/12/Hypothèses!$J$19)</f>
        <v>3.0065507947507</v>
      </c>
      <c r="AL922" s="2" t="n">
        <f aca="false">(AD922+AG922+I922/Hypothèses!$J$19)*(1+G922)</f>
        <v>7966.5521197796</v>
      </c>
      <c r="AM922" s="2" t="n">
        <f aca="false">Entrées!$C$54*K922/Hypothèses!$J$19</f>
        <v>13.0868863848087</v>
      </c>
      <c r="AN922" s="2" t="n">
        <f aca="false">Y922*1000/AC922</f>
        <v>56.4675165191508</v>
      </c>
      <c r="AO922" s="2" t="n">
        <f aca="false">(Entrées!$C$36*(1-S922)+MAX(0,Entrées!$C$30-Entrées!$C$35-Entrées!$C$36)*U922)*1000</f>
        <v>1193.51039463385</v>
      </c>
      <c r="AP922" s="2" t="n">
        <f aca="false">-AO922/W922</f>
        <v>-127.338854031027</v>
      </c>
      <c r="AQ922" s="2" t="n">
        <f aca="false">AL922+AM922+AN922+AP922</f>
        <v>7908.76766865254</v>
      </c>
      <c r="AR922" s="2" t="n">
        <f aca="false">O922*AQ922-Hypothèses!$J$25/Hypothèses!$J$19</f>
        <v>1308.67371879395</v>
      </c>
      <c r="AS922" s="2" t="n">
        <f aca="false">Entrées!$C$79*(1+Q922)+Hypothèses!$J$20</f>
        <v>1479.61728064799</v>
      </c>
      <c r="AT922" s="2" t="n">
        <f aca="false">AI922-AR922+AS922+Y922*1000-AO922+Hypothèses!$J$23</f>
        <v>22367.4862534833</v>
      </c>
      <c r="AU922" s="2" t="n">
        <f aca="false">AT922/AQ922</f>
        <v>2.82818856117621</v>
      </c>
      <c r="AV922" s="2" t="n">
        <f aca="false">Hypothèses!$J$26*AQ922-AT922</f>
        <v>1358.81675247427</v>
      </c>
      <c r="AW922" s="2" t="n">
        <f aca="false">IF(AC922&gt;Hypothèses!$J$26,MAX(0,AV922)/(1-Hypothèses!$J$26/AC922),0)</f>
        <v>1993.49203404536</v>
      </c>
      <c r="AX922" s="2" t="n">
        <f aca="false">AQ922-Entrées!$C$17*1000</f>
        <v>-91.2323313474626</v>
      </c>
      <c r="AY922" s="2" t="n">
        <f aca="false">AI922+(Entrées!$C$244-Entrées!$C$13)</f>
        <v>28604.9658238543</v>
      </c>
      <c r="AZ922" s="2" t="n">
        <f aca="false">AA922*AH922</f>
        <v>5449.30859753285</v>
      </c>
      <c r="BA922" s="2" t="n">
        <f aca="false">AZ922/AY922</f>
        <v>0.190502188713981</v>
      </c>
      <c r="BB922" s="2" t="n">
        <f aca="false">AZ922/(Entrées!$C$151/100)-AY922</f>
        <v>1668.97082910602</v>
      </c>
      <c r="BC922" s="2" t="n">
        <f aca="false">AT922+(Entrées!$C$244-Entrées!$C$13)</f>
        <v>28114.4862534833</v>
      </c>
      <c r="BD922" s="2" t="n">
        <f aca="false">AA922*AQ922</f>
        <v>5722.4117171</v>
      </c>
      <c r="BE922" s="2" t="n">
        <f aca="false">BD922/BC922</f>
        <v>0.203539615325213</v>
      </c>
      <c r="BF922" s="2" t="n">
        <f aca="false">BD922/(Entrées!$C$151/100)-BC922</f>
        <v>3676.68995262777</v>
      </c>
      <c r="BG922" s="2" t="n">
        <f aca="false">MIN(AV922,BF922)</f>
        <v>1358.81675247427</v>
      </c>
      <c r="BH922" s="2" t="n">
        <f aca="false">IF(AC922&gt;Hypothèses!$J$26,MAX(0,BG922)/(1-Hypothèses!$J$26/AC922),0)</f>
        <v>1993.49203404536</v>
      </c>
    </row>
    <row r="923" customFormat="false" ht="15" hidden="false" customHeight="false" outlineLevel="0" collapsed="false">
      <c r="A923" s="2" t="n">
        <v>908</v>
      </c>
      <c r="B923" s="2" t="n">
        <v>0.241328771</v>
      </c>
      <c r="C923" s="2"/>
      <c r="D923" s="2" t="n">
        <v>0.266118334</v>
      </c>
      <c r="E923" s="2" t="n">
        <f aca="false">IF(E$7=E$5,E$6,IF(NORMSDIST(E$9*SQRT($C$11)*NORMSINV($B923)+SQRT(1-E$9^2*$C$11)*NORMSINV(D923))&lt;E$8,E$5+SQRT(NORMSDIST(E$9*SQRT($C$11)*NORMSINV($B923)+SQRT(1-E$9^2*$C$11)*NORMSINV(D923))*(E$7-E$5)*(E$6-E$5)),E$7-SQRT((1-NORMSDIST(E$9*SQRT($C$11)*NORMSINV($B923)+SQRT(1-E$9^2*$C$11)*NORMSINV(D923)))*(E$7-E$5)*(E$7-E$6))))</f>
        <v>0.0529728077686411</v>
      </c>
      <c r="F923" s="2" t="n">
        <v>0.568441837</v>
      </c>
      <c r="G923" s="2" t="n">
        <f aca="false">IF(G$7=G$5,G$6,IF(NORMSDIST(G$9*SQRT($C$11)*NORMSINV($B923)+SQRT(1-G$9^2*$C$11)*NORMSINV(F923))&lt;G$8,G$5+SQRT(NORMSDIST(G$9*SQRT($C$11)*NORMSINV($B923)+SQRT(1-G$9^2*$C$11)*NORMSINV(F923))*(G$7-G$5)*(G$6-G$5)),G$7-SQRT((1-NORMSDIST(G$9*SQRT($C$11)*NORMSINV($B923)+SQRT(1-G$9^2*$C$11)*NORMSINV(F923)))*(G$7-G$5)*(G$7-G$6))))</f>
        <v>0.0530440696791667</v>
      </c>
      <c r="H923" s="2" t="n">
        <v>0.125359752</v>
      </c>
      <c r="I923" s="2" t="n">
        <f aca="false">IF(I$7=I$5,I$6,IF(NORMSDIST(I$9*SQRT($C$11)*NORMSINV($B923)+SQRT(1-I$9^2*$C$11)*NORMSINV(H923))&lt;I$8,I$5+SQRT(NORMSDIST(I$9*SQRT($C$11)*NORMSINV($B923)+SQRT(1-I$9^2*$C$11)*NORMSINV(H923))*(I$7-I$5)*(I$6-I$5)),I$7-SQRT((1-NORMSDIST(I$9*SQRT($C$11)*NORMSINV($B923)+SQRT(1-I$9^2*$C$11)*NORMSINV(H923)))*(I$7-I$5)*(I$7-I$6))))</f>
        <v>188.539294098726</v>
      </c>
      <c r="J923" s="2" t="n">
        <v>0.930587941</v>
      </c>
      <c r="K923" s="2" t="n">
        <f aca="false">IF(K$7=K$5,K$6,IF(NORMSDIST(K$9*SQRT($C$11)*NORMSINV($B923)+SQRT(1-K$9^2*$C$11)*NORMSINV(J923))&lt;K$8,K$5+SQRT(NORMSDIST(K$9*SQRT($C$11)*NORMSINV($B923)+SQRT(1-K$9^2*$C$11)*NORMSINV(J923))*(K$7-K$5)*(K$6-K$5)),K$7-SQRT((1-NORMSDIST(K$9*SQRT($C$11)*NORMSINV($B923)+SQRT(1-K$9^2*$C$11)*NORMSINV(J923)))*(K$7-K$5)*(K$7-K$6))))</f>
        <v>0.326372798666089</v>
      </c>
      <c r="L923" s="2" t="n">
        <v>0.315081152</v>
      </c>
      <c r="M923" s="2" t="n">
        <f aca="false">IF(M$7=M$5,M$6,IF(NORMSDIST(M$9*SQRT($C$11)*NORMSINV($B923)+SQRT(1-M$9^2*$C$11)*NORMSINV(L923))&lt;M$8,M$5+SQRT(NORMSDIST(M$9*SQRT($C$11)*NORMSINV($B923)+SQRT(1-M$9^2*$C$11)*NORMSINV(L923))*(M$7-M$5)*(M$6-M$5)),M$7-SQRT((1-NORMSDIST(M$9*SQRT($C$11)*NORMSINV($B923)+SQRT(1-M$9^2*$C$11)*NORMSINV(L923)))*(M$7-M$5)*(M$7-M$6))))</f>
        <v>1484.73170998795</v>
      </c>
      <c r="N923" s="2" t="n">
        <v>0.730452978</v>
      </c>
      <c r="O923" s="2" t="n">
        <f aca="false">IF(O$7=O$5,O$6,IF(NORMSDIST(O$9*SQRT($C$11)*NORMSINV($B923)+SQRT(1-O$9^2*$C$11)*NORMSINV(N923))&lt;O$8,O$5+SQRT(NORMSDIST(O$9*SQRT($C$11)*NORMSINV($B923)+SQRT(1-O$9^2*$C$11)*NORMSINV(N923))*(O$7-O$5)*(O$6-O$5)),O$7-SQRT((1-NORMSDIST(O$9*SQRT($C$11)*NORMSINV($B923)+SQRT(1-O$9^2*$C$11)*NORMSINV(N923)))*(O$7-O$5)*(O$7-O$6))))</f>
        <v>0.167121461398484</v>
      </c>
      <c r="P923" s="2" t="n">
        <v>0.890467283</v>
      </c>
      <c r="Q923" s="2" t="n">
        <f aca="false">IF(Q$7=Q$5,Q$6,IF(NORMSDIST(Q$9*SQRT($C$11)*NORMSINV($B923)+SQRT(1-Q$9^2*$C$11)*NORMSINV(P923))&lt;Q$8,Q$5+SQRT(NORMSDIST(Q$9*SQRT($C$11)*NORMSINV($B923)+SQRT(1-Q$9^2*$C$11)*NORMSINV(P923))*(Q$7-Q$5)*(Q$6-Q$5)),Q$7-SQRT((1-NORMSDIST(Q$9*SQRT($C$11)*NORMSINV($B923)+SQRT(1-Q$9^2*$C$11)*NORMSINV(P923)))*(Q$7-Q$5)*(Q$7-Q$6))))</f>
        <v>0.101278229399974</v>
      </c>
      <c r="R923" s="2" t="n">
        <v>0.506684538</v>
      </c>
      <c r="S923" s="2" t="n">
        <f aca="false">IF(S$7=S$5,S$6,IF(NORMSDIST(S$9*SQRT($C$11)*NORMSINV($B923)+SQRT(1-S$9^2*$C$11)*NORMSINV(R923))&lt;S$8,S$5+SQRT(NORMSDIST(S$9*SQRT($C$11)*NORMSINV($B923)+SQRT(1-S$9^2*$C$11)*NORMSINV(R923))*(S$7-S$5)*(S$6-S$5)),S$7-SQRT((1-NORMSDIST(S$9*SQRT($C$11)*NORMSINV($B923)+SQRT(1-S$9^2*$C$11)*NORMSINV(R923)))*(S$7-S$5)*(S$7-S$6))))</f>
        <v>0.408181729528522</v>
      </c>
      <c r="T923" s="2" t="n">
        <v>0.63513096</v>
      </c>
      <c r="U923" s="2" t="n">
        <f aca="false">IF(U$7=U$5,U$6,IF(NORMSDIST(U$9*SQRT($C$11)*NORMSINV($B923)+SQRT(1-U$9^2*$C$11)*NORMSINV(T923))&lt;U$8,U$5+SQRT(NORMSDIST(U$9*SQRT($C$11)*NORMSINV($B923)+SQRT(1-U$9^2*$C$11)*NORMSINV(T923))*(U$7-U$5)*(U$6-U$5)),U$7-SQRT((1-NORMSDIST(U$9*SQRT($C$11)*NORMSINV($B923)+SQRT(1-U$9^2*$C$11)*NORMSINV(T923)))*(U$7-U$5)*(U$7-U$6))))</f>
        <v>0.463674875595833</v>
      </c>
      <c r="V923" s="2" t="n">
        <v>0.224432963</v>
      </c>
      <c r="W923" s="2" t="n">
        <f aca="false">IF(W$7=W$5,W$6,IF(NORMSDIST(W$9*SQRT($C$11)*NORMSINV($B923)+SQRT(1-W$9^2*$C$11)*NORMSINV(V923))&lt;W$8,W$5+SQRT(NORMSDIST(W$9*SQRT($C$11)*NORMSINV($B923)+SQRT(1-W$9^2*$C$11)*NORMSINV(V923))*(W$7-W$5)*(W$6-W$5)),W$7-SQRT((1-NORMSDIST(W$9*SQRT($C$11)*NORMSINV($B923)+SQRT(1-W$9^2*$C$11)*NORMSINV(V923)))*(W$7-W$5)*(W$7-W$6))))</f>
        <v>9.1004039772889</v>
      </c>
      <c r="X923" s="2" t="n">
        <v>0.464364094</v>
      </c>
      <c r="Y923" s="2" t="n">
        <f aca="false">IF(Y$7=Y$5,Y$6,IF(NORMSDIST(Y$9*SQRT($C$11)*NORMSINV($B923)+SQRT(1-Y$9^2*$C$11)*NORMSINV(X923))&lt;Y$8,Y$5+SQRT(NORMSDIST(Y$9*SQRT($C$11)*NORMSINV($B923)+SQRT(1-Y$9^2*$C$11)*NORMSINV(X923))*(Y$7-Y$5)*(Y$6-Y$5)),Y$7-SQRT((1-NORMSDIST(Y$9*SQRT($C$11)*NORMSINV($B923)+SQRT(1-Y$9^2*$C$11)*NORMSINV(X923)))*(Y$7-Y$5)*(Y$7-Y$6))))</f>
        <v>0.481852723350195</v>
      </c>
      <c r="Z923" s="2" t="n">
        <v>0.411605716</v>
      </c>
      <c r="AA923" s="2" t="n">
        <f aca="false">IF(AA$7=AA$5,AA$6,IF(NORMSDIST(AA$9*SQRT($C$11)*NORMSINV($B923)+SQRT(1-AA$9^2*$C$11)*NORMSINV(Z923))&lt;AA$8,AA$5+SQRT(NORMSDIST(AA$9*SQRT($C$11)*NORMSINV($B923)+SQRT(1-AA$9^2*$C$11)*NORMSINV(Z923))*(AA$7-AA$5)*(AA$6-AA$5)),AA$7-SQRT((1-NORMSDIST(AA$9*SQRT($C$11)*NORMSINV($B923)+SQRT(1-AA$9^2*$C$11)*NORMSINV(Z923)))*(AA$7-AA$5)*(AA$7-AA$6))))</f>
        <v>0.719309728472919</v>
      </c>
      <c r="AB923" s="2" t="n">
        <v>0.39761254</v>
      </c>
      <c r="AC923" s="2" t="n">
        <f aca="false">IF(AC$7=AC$5,AC$6,IF(NORMSDIST(AC$9*SQRT($C$11)*NORMSINV($B923)+SQRT(1-AC$9^2*$C$11)*NORMSINV(AB923))&lt;AC$8,AC$5+SQRT(NORMSDIST(AC$9*SQRT($C$11)*NORMSINV($B923)+SQRT(1-AC$9^2*$C$11)*NORMSINV(AB923))*(AC$7-AC$5)*(AC$6-AC$5)),AC$7-SQRT((1-NORMSDIST(AC$9*SQRT($C$11)*NORMSINV($B923)+SQRT(1-AC$9^2*$C$11)*NORMSINV(AB923)))*(AC$7-AC$5)*(AC$7-AC$6))))</f>
        <v>8.8972170608912</v>
      </c>
      <c r="AD923" s="2" t="n">
        <f aca="false">Entrées!$C$8*(1+E923)</f>
        <v>7423.45829476892</v>
      </c>
      <c r="AE923" s="2" t="n">
        <f aca="false">I923*Hypothèses!$J$24/12/Hypothèses!$J$19</f>
        <v>93.5337403588916</v>
      </c>
      <c r="AF923" s="2" t="n">
        <f aca="false">Entrées!$C$36*S923*1000</f>
        <v>204.090864764261</v>
      </c>
      <c r="AG923" s="2" t="n">
        <f aca="false">-AF923/W923</f>
        <v>-22.4265719712655</v>
      </c>
      <c r="AH923" s="2" t="n">
        <f aca="false">AD923+AE923+AG923</f>
        <v>7494.56546315655</v>
      </c>
      <c r="AI923" s="2" t="n">
        <f aca="false">Entrées!$C$16-M923+Hypothèses!$J$22*1000-AF923+Hypothèses!$J$23</f>
        <v>22859.1774252478</v>
      </c>
      <c r="AJ923" s="2" t="n">
        <f aca="false">AI923/AH923</f>
        <v>3.05010044112951</v>
      </c>
      <c r="AK923" s="2" t="n">
        <f aca="false">AI923/(AH923+I923*(12-Hypothèses!$J$24)/12/Hypothèses!$J$19)</f>
        <v>3.02315076103526</v>
      </c>
      <c r="AL923" s="2" t="n">
        <f aca="false">(AD923+AG923+I923/Hypothèses!$J$19)*(1+G923)</f>
        <v>7962.46139479919</v>
      </c>
      <c r="AM923" s="2" t="n">
        <f aca="false">Entrées!$C$54*K923/Hypothèses!$J$19</f>
        <v>33.3077144547019</v>
      </c>
      <c r="AN923" s="2" t="n">
        <f aca="false">Y923*1000/AC923</f>
        <v>54.1576899891807</v>
      </c>
      <c r="AO923" s="2" t="n">
        <f aca="false">(Entrées!$C$36*(1-S923)+MAX(0,Entrées!$C$30-Entrées!$C$35-Entrées!$C$36)*U923)*1000</f>
        <v>945.053961069905</v>
      </c>
      <c r="AP923" s="2" t="n">
        <f aca="false">-AO923/W923</f>
        <v>-103.847473521878</v>
      </c>
      <c r="AQ923" s="2" t="n">
        <f aca="false">AL923+AM923+AN923+AP923</f>
        <v>7946.07932572119</v>
      </c>
      <c r="AR923" s="2" t="n">
        <f aca="false">O923*AQ923-Hypothèses!$J$25/Hypothèses!$J$19</f>
        <v>1308.82522704118</v>
      </c>
      <c r="AS923" s="2" t="n">
        <f aca="false">Entrées!$C$79*(1+Q923)+Hypothèses!$J$20</f>
        <v>1505.30477411057</v>
      </c>
      <c r="AT923" s="2" t="n">
        <f aca="false">AI923-AR923+AS923+Y923*1000-AO923+Hypothèses!$J$23</f>
        <v>22592.4557345975</v>
      </c>
      <c r="AU923" s="2" t="n">
        <f aca="false">AT923/AQ923</f>
        <v>2.84322051272084</v>
      </c>
      <c r="AV923" s="2" t="n">
        <f aca="false">Hypothèses!$J$26*AQ923-AT923</f>
        <v>1245.7822425661</v>
      </c>
      <c r="AW923" s="2" t="n">
        <f aca="false">IF(AC923&gt;Hypothèses!$J$26,MAX(0,AV923)/(1-Hypothèses!$J$26/AC923),0)</f>
        <v>1879.52976942642</v>
      </c>
      <c r="AX923" s="2" t="n">
        <f aca="false">AQ923-Entrées!$C$17*1000</f>
        <v>-53.920674278811</v>
      </c>
      <c r="AY923" s="2" t="n">
        <f aca="false">AI923+(Entrées!$C$244-Entrées!$C$13)</f>
        <v>28606.1774252478</v>
      </c>
      <c r="AZ923" s="2" t="n">
        <f aca="false">AA923*AH923</f>
        <v>5390.91384832565</v>
      </c>
      <c r="BA923" s="2" t="n">
        <f aca="false">AZ923/AY923</f>
        <v>0.18845278654979</v>
      </c>
      <c r="BB923" s="2" t="n">
        <f aca="false">AZ923/(Entrées!$C$151/100)-AY923</f>
        <v>1343.34395433917</v>
      </c>
      <c r="BC923" s="2" t="n">
        <f aca="false">AT923+(Entrées!$C$244-Entrées!$C$13)</f>
        <v>28339.4557345975</v>
      </c>
      <c r="BD923" s="2" t="n">
        <f aca="false">AA923*AQ923</f>
        <v>5715.69216220878</v>
      </c>
      <c r="BE923" s="2" t="n">
        <f aca="false">BD923/BC923</f>
        <v>0.201686730180599</v>
      </c>
      <c r="BF923" s="2" t="n">
        <f aca="false">BD923/(Entrées!$C$151/100)-BC923</f>
        <v>3414.38961100689</v>
      </c>
      <c r="BG923" s="2" t="n">
        <f aca="false">MIN(AV923,BF923)</f>
        <v>1245.7822425661</v>
      </c>
      <c r="BH923" s="2" t="n">
        <f aca="false">IF(AC923&gt;Hypothèses!$J$26,MAX(0,BG923)/(1-Hypothèses!$J$26/AC923),0)</f>
        <v>1879.52976942642</v>
      </c>
    </row>
    <row r="924" customFormat="false" ht="15" hidden="false" customHeight="false" outlineLevel="0" collapsed="false">
      <c r="A924" s="2" t="n">
        <v>909</v>
      </c>
      <c r="B924" s="2" t="n">
        <v>0.456399895</v>
      </c>
      <c r="C924" s="2"/>
      <c r="D924" s="2" t="n">
        <v>0.246274724</v>
      </c>
      <c r="E924" s="2" t="n">
        <f aca="false">IF(E$7=E$5,E$6,IF(NORMSDIST(E$9*SQRT($C$11)*NORMSINV($B924)+SQRT(1-E$9^2*$C$11)*NORMSINV(D924))&lt;E$8,E$5+SQRT(NORMSDIST(E$9*SQRT($C$11)*NORMSINV($B924)+SQRT(1-E$9^2*$C$11)*NORMSINV(D924))*(E$7-E$5)*(E$6-E$5)),E$7-SQRT((1-NORMSDIST(E$9*SQRT($C$11)*NORMSINV($B924)+SQRT(1-E$9^2*$C$11)*NORMSINV(D924)))*(E$7-E$5)*(E$7-E$6))))</f>
        <v>0.0537011860635091</v>
      </c>
      <c r="F924" s="2" t="n">
        <v>0.227499892</v>
      </c>
      <c r="G924" s="2" t="n">
        <f aca="false">IF(G$7=G$5,G$6,IF(NORMSDIST(G$9*SQRT($C$11)*NORMSINV($B924)+SQRT(1-G$9^2*$C$11)*NORMSINV(F924))&lt;G$8,G$5+SQRT(NORMSDIST(G$9*SQRT($C$11)*NORMSINV($B924)+SQRT(1-G$9^2*$C$11)*NORMSINV(F924))*(G$7-G$5)*(G$6-G$5)),G$7-SQRT((1-NORMSDIST(G$9*SQRT($C$11)*NORMSINV($B924)+SQRT(1-G$9^2*$C$11)*NORMSINV(F924)))*(G$7-G$5)*(G$7-G$6))))</f>
        <v>0.050785490501481</v>
      </c>
      <c r="H924" s="2" t="n">
        <v>0.443436296</v>
      </c>
      <c r="I924" s="2" t="n">
        <f aca="false">IF(I$7=I$5,I$6,IF(NORMSDIST(I$9*SQRT($C$11)*NORMSINV($B924)+SQRT(1-I$9^2*$C$11)*NORMSINV(H924))&lt;I$8,I$5+SQRT(NORMSDIST(I$9*SQRT($C$11)*NORMSINV($B924)+SQRT(1-I$9^2*$C$11)*NORMSINV(H924))*(I$7-I$5)*(I$6-I$5)),I$7-SQRT((1-NORMSDIST(I$9*SQRT($C$11)*NORMSINV($B924)+SQRT(1-I$9^2*$C$11)*NORMSINV(H924)))*(I$7-I$5)*(I$7-I$6))))</f>
        <v>198.521128753886</v>
      </c>
      <c r="J924" s="2" t="n">
        <v>0.668284304</v>
      </c>
      <c r="K924" s="2" t="n">
        <f aca="false">IF(K$7=K$5,K$6,IF(NORMSDIST(K$9*SQRT($C$11)*NORMSINV($B924)+SQRT(1-K$9^2*$C$11)*NORMSINV(J924))&lt;K$8,K$5+SQRT(NORMSDIST(K$9*SQRT($C$11)*NORMSINV($B924)+SQRT(1-K$9^2*$C$11)*NORMSINV(J924))*(K$7-K$5)*(K$6-K$5)),K$7-SQRT((1-NORMSDIST(K$9*SQRT($C$11)*NORMSINV($B924)+SQRT(1-K$9^2*$C$11)*NORMSINV(J924)))*(K$7-K$5)*(K$7-K$6))))</f>
        <v>0.277959786906044</v>
      </c>
      <c r="L924" s="2" t="n">
        <v>0.200160892</v>
      </c>
      <c r="M924" s="2" t="n">
        <f aca="false">IF(M$7=M$5,M$6,IF(NORMSDIST(M$9*SQRT($C$11)*NORMSINV($B924)+SQRT(1-M$9^2*$C$11)*NORMSINV(L924))&lt;M$8,M$5+SQRT(NORMSDIST(M$9*SQRT($C$11)*NORMSINV($B924)+SQRT(1-M$9^2*$C$11)*NORMSINV(L924))*(M$7-M$5)*(M$6-M$5)),M$7-SQRT((1-NORMSDIST(M$9*SQRT($C$11)*NORMSINV($B924)+SQRT(1-M$9^2*$C$11)*NORMSINV(L924)))*(M$7-M$5)*(M$7-M$6))))</f>
        <v>1496.85416132443</v>
      </c>
      <c r="N924" s="2" t="n">
        <v>0.84046074</v>
      </c>
      <c r="O924" s="2" t="n">
        <f aca="false">IF(O$7=O$5,O$6,IF(NORMSDIST(O$9*SQRT($C$11)*NORMSINV($B924)+SQRT(1-O$9^2*$C$11)*NORMSINV(N924))&lt;O$8,O$5+SQRT(NORMSDIST(O$9*SQRT($C$11)*NORMSINV($B924)+SQRT(1-O$9^2*$C$11)*NORMSINV(N924))*(O$7-O$5)*(O$6-O$5)),O$7-SQRT((1-NORMSDIST(O$9*SQRT($C$11)*NORMSINV($B924)+SQRT(1-O$9^2*$C$11)*NORMSINV(N924)))*(O$7-O$5)*(O$7-O$6))))</f>
        <v>0.17397189622695</v>
      </c>
      <c r="P924" s="2" t="n">
        <v>0.793137269</v>
      </c>
      <c r="Q924" s="2" t="n">
        <f aca="false">IF(Q$7=Q$5,Q$6,IF(NORMSDIST(Q$9*SQRT($C$11)*NORMSINV($B924)+SQRT(1-Q$9^2*$C$11)*NORMSINV(P924))&lt;Q$8,Q$5+SQRT(NORMSDIST(Q$9*SQRT($C$11)*NORMSINV($B924)+SQRT(1-Q$9^2*$C$11)*NORMSINV(P924))*(Q$7-Q$5)*(Q$6-Q$5)),Q$7-SQRT((1-NORMSDIST(Q$9*SQRT($C$11)*NORMSINV($B924)+SQRT(1-Q$9^2*$C$11)*NORMSINV(P924)))*(Q$7-Q$5)*(Q$7-Q$6))))</f>
        <v>0.0942714023079376</v>
      </c>
      <c r="R924" s="2" t="n">
        <v>0.381829755</v>
      </c>
      <c r="S924" s="2" t="n">
        <f aca="false">IF(S$7=S$5,S$6,IF(NORMSDIST(S$9*SQRT($C$11)*NORMSINV($B924)+SQRT(1-S$9^2*$C$11)*NORMSINV(R924))&lt;S$8,S$5+SQRT(NORMSDIST(S$9*SQRT($C$11)*NORMSINV($B924)+SQRT(1-S$9^2*$C$11)*NORMSINV(R924))*(S$7-S$5)*(S$6-S$5)),S$7-SQRT((1-NORMSDIST(S$9*SQRT($C$11)*NORMSINV($B924)+SQRT(1-S$9^2*$C$11)*NORMSINV(R924)))*(S$7-S$5)*(S$7-S$6))))</f>
        <v>0.436614083875304</v>
      </c>
      <c r="T924" s="2" t="n">
        <v>0.854289836</v>
      </c>
      <c r="U924" s="2" t="n">
        <f aca="false">IF(U$7=U$5,U$6,IF(NORMSDIST(U$9*SQRT($C$11)*NORMSINV($B924)+SQRT(1-U$9^2*$C$11)*NORMSINV(T924))&lt;U$8,U$5+SQRT(NORMSDIST(U$9*SQRT($C$11)*NORMSINV($B924)+SQRT(1-U$9^2*$C$11)*NORMSINV(T924))*(U$7-U$5)*(U$6-U$5)),U$7-SQRT((1-NORMSDIST(U$9*SQRT($C$11)*NORMSINV($B924)+SQRT(1-U$9^2*$C$11)*NORMSINV(T924)))*(U$7-U$5)*(U$7-U$6))))</f>
        <v>0.662920331170578</v>
      </c>
      <c r="V924" s="2" t="n">
        <v>0.439167131</v>
      </c>
      <c r="W924" s="2" t="n">
        <f aca="false">IF(W$7=W$5,W$6,IF(NORMSDIST(W$9*SQRT($C$11)*NORMSINV($B924)+SQRT(1-W$9^2*$C$11)*NORMSINV(V924))&lt;W$8,W$5+SQRT(NORMSDIST(W$9*SQRT($C$11)*NORMSINV($B924)+SQRT(1-W$9^2*$C$11)*NORMSINV(V924))*(W$7-W$5)*(W$6-W$5)),W$7-SQRT((1-NORMSDIST(W$9*SQRT($C$11)*NORMSINV($B924)+SQRT(1-W$9^2*$C$11)*NORMSINV(V924)))*(W$7-W$5)*(W$7-W$6))))</f>
        <v>9.84499977973471</v>
      </c>
      <c r="X924" s="2" t="n">
        <v>0.755092255</v>
      </c>
      <c r="Y924" s="2" t="n">
        <f aca="false">IF(Y$7=Y$5,Y$6,IF(NORMSDIST(Y$9*SQRT($C$11)*NORMSINV($B924)+SQRT(1-Y$9^2*$C$11)*NORMSINV(X924))&lt;Y$8,Y$5+SQRT(NORMSDIST(Y$9*SQRT($C$11)*NORMSINV($B924)+SQRT(1-Y$9^2*$C$11)*NORMSINV(X924))*(Y$7-Y$5)*(Y$6-Y$5)),Y$7-SQRT((1-NORMSDIST(Y$9*SQRT($C$11)*NORMSINV($B924)+SQRT(1-Y$9^2*$C$11)*NORMSINV(X924)))*(Y$7-Y$5)*(Y$7-Y$6))))</f>
        <v>0.650065902633081</v>
      </c>
      <c r="Z924" s="2" t="n">
        <v>0.559269353</v>
      </c>
      <c r="AA924" s="2" t="n">
        <f aca="false">IF(AA$7=AA$5,AA$6,IF(NORMSDIST(AA$9*SQRT($C$11)*NORMSINV($B924)+SQRT(1-AA$9^2*$C$11)*NORMSINV(Z924))&lt;AA$8,AA$5+SQRT(NORMSDIST(AA$9*SQRT($C$11)*NORMSINV($B924)+SQRT(1-AA$9^2*$C$11)*NORMSINV(Z924))*(AA$7-AA$5)*(AA$6-AA$5)),AA$7-SQRT((1-NORMSDIST(AA$9*SQRT($C$11)*NORMSINV($B924)+SQRT(1-AA$9^2*$C$11)*NORMSINV(Z924)))*(AA$7-AA$5)*(AA$7-AA$6))))</f>
        <v>0.728649599174452</v>
      </c>
      <c r="AB924" s="2" t="n">
        <v>0.69506505</v>
      </c>
      <c r="AC924" s="2" t="n">
        <f aca="false">IF(AC$7=AC$5,AC$6,IF(NORMSDIST(AC$9*SQRT($C$11)*NORMSINV($B924)+SQRT(1-AC$9^2*$C$11)*NORMSINV(AB924))&lt;AC$8,AC$5+SQRT(NORMSDIST(AC$9*SQRT($C$11)*NORMSINV($B924)+SQRT(1-AC$9^2*$C$11)*NORMSINV(AB924))*(AC$7-AC$5)*(AC$6-AC$5)),AC$7-SQRT((1-NORMSDIST(AC$9*SQRT($C$11)*NORMSINV($B924)+SQRT(1-AC$9^2*$C$11)*NORMSINV(AB924)))*(AC$7-AC$5)*(AC$7-AC$6))))</f>
        <v>9.72895726988722</v>
      </c>
      <c r="AD924" s="2" t="n">
        <f aca="false">Entrées!$C$8*(1+E924)</f>
        <v>7428.59336174774</v>
      </c>
      <c r="AE924" s="2" t="n">
        <f aca="false">I924*Hypothèses!$J$24/12/Hypothèses!$J$19</f>
        <v>98.4856965832119</v>
      </c>
      <c r="AF924" s="2" t="n">
        <f aca="false">Entrées!$C$36*S924*1000</f>
        <v>218.307041937652</v>
      </c>
      <c r="AG924" s="2" t="n">
        <f aca="false">-AF924/W924</f>
        <v>-22.1744080062879</v>
      </c>
      <c r="AH924" s="2" t="n">
        <f aca="false">AD924+AE924+AG924</f>
        <v>7504.90465032466</v>
      </c>
      <c r="AI924" s="2" t="n">
        <f aca="false">Entrées!$C$16-M924+Hypothèses!$J$22*1000-AF924+Hypothèses!$J$23</f>
        <v>22832.8387967379</v>
      </c>
      <c r="AJ924" s="2" t="n">
        <f aca="false">AI924/AH924</f>
        <v>3.04238892572075</v>
      </c>
      <c r="AK924" s="2" t="n">
        <f aca="false">AI924/(AH924+I924*(12-Hypothèses!$J$24)/12/Hypothèses!$J$19)</f>
        <v>3.01413604106617</v>
      </c>
      <c r="AL924" s="2" t="n">
        <f aca="false">(AD924+AG924+I924/Hypothèses!$J$19)*(1+G924)</f>
        <v>7959.96444343794</v>
      </c>
      <c r="AM924" s="2" t="n">
        <f aca="false">Entrées!$C$54*K924/Hypothèses!$J$19</f>
        <v>28.3669633314886</v>
      </c>
      <c r="AN924" s="2" t="n">
        <f aca="false">Y924*1000/AC924</f>
        <v>66.8176336476619</v>
      </c>
      <c r="AO924" s="2" t="n">
        <f aca="false">(Entrées!$C$36*(1-S924)+MAX(0,Entrées!$C$30-Entrées!$C$35-Entrées!$C$36)*U924)*1000</f>
        <v>1209.78142170116</v>
      </c>
      <c r="AP924" s="2" t="n">
        <f aca="false">-AO924/W924</f>
        <v>-122.882828721989</v>
      </c>
      <c r="AQ924" s="2" t="n">
        <f aca="false">AL924+AM924+AN924+AP924</f>
        <v>7932.2662116951</v>
      </c>
      <c r="AR924" s="2" t="n">
        <f aca="false">O924*AQ924-Hypothèses!$J$25/Hypothèses!$J$19</f>
        <v>1360.85623196394</v>
      </c>
      <c r="AS924" s="2" t="n">
        <f aca="false">Entrées!$C$79*(1+Q924)+Hypothèses!$J$20</f>
        <v>1497.60427113642</v>
      </c>
      <c r="AT924" s="2" t="n">
        <f aca="false">AI924-AR924+AS924+Y924*1000-AO924+Hypothèses!$J$23</f>
        <v>22409.8713168423</v>
      </c>
      <c r="AU924" s="2" t="n">
        <f aca="false">AT924/AQ924</f>
        <v>2.82515371002071</v>
      </c>
      <c r="AV924" s="2" t="n">
        <f aca="false">Hypothèses!$J$26*AQ924-AT924</f>
        <v>1386.92731824297</v>
      </c>
      <c r="AW924" s="2" t="n">
        <f aca="false">IF(AC924&gt;Hypothèses!$J$26,MAX(0,AV924)/(1-Hypothèses!$J$26/AC924),0)</f>
        <v>2005.26709777298</v>
      </c>
      <c r="AX924" s="2" t="n">
        <f aca="false">AQ924-Entrées!$C$17*1000</f>
        <v>-67.7337883048986</v>
      </c>
      <c r="AY924" s="2" t="n">
        <f aca="false">AI924+(Entrées!$C$244-Entrées!$C$13)</f>
        <v>28579.8387967379</v>
      </c>
      <c r="AZ924" s="2" t="n">
        <f aca="false">AA924*AH924</f>
        <v>5468.44576530155</v>
      </c>
      <c r="BA924" s="2" t="n">
        <f aca="false">AZ924/AY924</f>
        <v>0.191339279559747</v>
      </c>
      <c r="BB924" s="2" t="n">
        <f aca="false">AZ924/(Entrées!$C$151/100)-AY924</f>
        <v>1800.41545493735</v>
      </c>
      <c r="BC924" s="2" t="n">
        <f aca="false">AT924+(Entrées!$C$244-Entrées!$C$13)</f>
        <v>28156.8713168423</v>
      </c>
      <c r="BD924" s="2" t="n">
        <f aca="false">AA924*AQ924</f>
        <v>5779.84259569669</v>
      </c>
      <c r="BE924" s="2" t="n">
        <f aca="false">BD924/BC924</f>
        <v>0.205272898776911</v>
      </c>
      <c r="BF924" s="2" t="n">
        <f aca="false">BD924/(Entrées!$C$151/100)-BC924</f>
        <v>3953.36532591704</v>
      </c>
      <c r="BG924" s="2" t="n">
        <f aca="false">MIN(AV924,BF924)</f>
        <v>1386.92731824297</v>
      </c>
      <c r="BH924" s="2" t="n">
        <f aca="false">IF(AC924&gt;Hypothèses!$J$26,MAX(0,BG924)/(1-Hypothèses!$J$26/AC924),0)</f>
        <v>2005.26709777298</v>
      </c>
    </row>
    <row r="925" customFormat="false" ht="15" hidden="false" customHeight="false" outlineLevel="0" collapsed="false">
      <c r="A925" s="2" t="n">
        <v>910</v>
      </c>
      <c r="B925" s="2" t="n">
        <v>0.580153112</v>
      </c>
      <c r="C925" s="2"/>
      <c r="D925" s="2" t="n">
        <v>0.175379494</v>
      </c>
      <c r="E925" s="2" t="n">
        <f aca="false">IF(E$7=E$5,E$6,IF(NORMSDIST(E$9*SQRT($C$11)*NORMSINV($B925)+SQRT(1-E$9^2*$C$11)*NORMSINV(D925))&lt;E$8,E$5+SQRT(NORMSDIST(E$9*SQRT($C$11)*NORMSINV($B925)+SQRT(1-E$9^2*$C$11)*NORMSINV(D925))*(E$7-E$5)*(E$6-E$5)),E$7-SQRT((1-NORMSDIST(E$9*SQRT($C$11)*NORMSINV($B925)+SQRT(1-E$9^2*$C$11)*NORMSINV(D925)))*(E$7-E$5)*(E$7-E$6))))</f>
        <v>0.0537146372828225</v>
      </c>
      <c r="F925" s="2" t="n">
        <v>0.113992658</v>
      </c>
      <c r="G925" s="2" t="n">
        <f aca="false">IF(G$7=G$5,G$6,IF(NORMSDIST(G$9*SQRT($C$11)*NORMSINV($B925)+SQRT(1-G$9^2*$C$11)*NORMSINV(F925))&lt;G$8,G$5+SQRT(NORMSDIST(G$9*SQRT($C$11)*NORMSINV($B925)+SQRT(1-G$9^2*$C$11)*NORMSINV(F925))*(G$7-G$5)*(G$6-G$5)),G$7-SQRT((1-NORMSDIST(G$9*SQRT($C$11)*NORMSINV($B925)+SQRT(1-G$9^2*$C$11)*NORMSINV(F925)))*(G$7-G$5)*(G$7-G$6))))</f>
        <v>0.0497246539762611</v>
      </c>
      <c r="H925" s="2" t="n">
        <v>0.941972271</v>
      </c>
      <c r="I925" s="2" t="n">
        <f aca="false">IF(I$7=I$5,I$6,IF(NORMSDIST(I$9*SQRT($C$11)*NORMSINV($B925)+SQRT(1-I$9^2*$C$11)*NORMSINV(H925))&lt;I$8,I$5+SQRT(NORMSDIST(I$9*SQRT($C$11)*NORMSINV($B925)+SQRT(1-I$9^2*$C$11)*NORMSINV(H925))*(I$7-I$5)*(I$6-I$5)),I$7-SQRT((1-NORMSDIST(I$9*SQRT($C$11)*NORMSINV($B925)+SQRT(1-I$9^2*$C$11)*NORMSINV(H925)))*(I$7-I$5)*(I$7-I$6))))</f>
        <v>211.549110339563</v>
      </c>
      <c r="J925" s="2" t="n">
        <v>0.618668614</v>
      </c>
      <c r="K925" s="2" t="n">
        <f aca="false">IF(K$7=K$5,K$6,IF(NORMSDIST(K$9*SQRT($C$11)*NORMSINV($B925)+SQRT(1-K$9^2*$C$11)*NORMSINV(J925))&lt;K$8,K$5+SQRT(NORMSDIST(K$9*SQRT($C$11)*NORMSINV($B925)+SQRT(1-K$9^2*$C$11)*NORMSINV(J925))*(K$7-K$5)*(K$6-K$5)),K$7-SQRT((1-NORMSDIST(K$9*SQRT($C$11)*NORMSINV($B925)+SQRT(1-K$9^2*$C$11)*NORMSINV(J925)))*(K$7-K$5)*(K$7-K$6))))</f>
        <v>0.288242272899174</v>
      </c>
      <c r="L925" s="2" t="n">
        <v>0.297078926</v>
      </c>
      <c r="M925" s="2" t="n">
        <f aca="false">IF(M$7=M$5,M$6,IF(NORMSDIST(M$9*SQRT($C$11)*NORMSINV($B925)+SQRT(1-M$9^2*$C$11)*NORMSINV(L925))&lt;M$8,M$5+SQRT(NORMSDIST(M$9*SQRT($C$11)*NORMSINV($B925)+SQRT(1-M$9^2*$C$11)*NORMSINV(L925))*(M$7-M$5)*(M$6-M$5)),M$7-SQRT((1-NORMSDIST(M$9*SQRT($C$11)*NORMSINV($B925)+SQRT(1-M$9^2*$C$11)*NORMSINV(L925)))*(M$7-M$5)*(M$7-M$6))))</f>
        <v>1551.71875522686</v>
      </c>
      <c r="N925" s="2" t="n">
        <v>0.436886034</v>
      </c>
      <c r="O925" s="2" t="n">
        <f aca="false">IF(O$7=O$5,O$6,IF(NORMSDIST(O$9*SQRT($C$11)*NORMSINV($B925)+SQRT(1-O$9^2*$C$11)*NORMSINV(N925))&lt;O$8,O$5+SQRT(NORMSDIST(O$9*SQRT($C$11)*NORMSINV($B925)+SQRT(1-O$9^2*$C$11)*NORMSINV(N925))*(O$7-O$5)*(O$6-O$5)),O$7-SQRT((1-NORMSDIST(O$9*SQRT($C$11)*NORMSINV($B925)+SQRT(1-O$9^2*$C$11)*NORMSINV(N925)))*(O$7-O$5)*(O$7-O$6))))</f>
        <v>0.166836555803098</v>
      </c>
      <c r="P925" s="2" t="n">
        <v>0.950804064</v>
      </c>
      <c r="Q925" s="2" t="n">
        <f aca="false">IF(Q$7=Q$5,Q$6,IF(NORMSDIST(Q$9*SQRT($C$11)*NORMSINV($B925)+SQRT(1-Q$9^2*$C$11)*NORMSINV(P925))&lt;Q$8,Q$5+SQRT(NORMSDIST(Q$9*SQRT($C$11)*NORMSINV($B925)+SQRT(1-Q$9^2*$C$11)*NORMSINV(P925))*(Q$7-Q$5)*(Q$6-Q$5)),Q$7-SQRT((1-NORMSDIST(Q$9*SQRT($C$11)*NORMSINV($B925)+SQRT(1-Q$9^2*$C$11)*NORMSINV(P925)))*(Q$7-Q$5)*(Q$7-Q$6))))</f>
        <v>0.107453008519968</v>
      </c>
      <c r="R925" s="2" t="n">
        <v>0.893463587</v>
      </c>
      <c r="S925" s="2" t="n">
        <f aca="false">IF(S$7=S$5,S$6,IF(NORMSDIST(S$9*SQRT($C$11)*NORMSINV($B925)+SQRT(1-S$9^2*$C$11)*NORMSINV(R925))&lt;S$8,S$5+SQRT(NORMSDIST(S$9*SQRT($C$11)*NORMSINV($B925)+SQRT(1-S$9^2*$C$11)*NORMSINV(R925))*(S$7-S$5)*(S$6-S$5)),S$7-SQRT((1-NORMSDIST(S$9*SQRT($C$11)*NORMSINV($B925)+SQRT(1-S$9^2*$C$11)*NORMSINV(R925)))*(S$7-S$5)*(S$7-S$6))))</f>
        <v>0.737968208583697</v>
      </c>
      <c r="T925" s="2" t="n">
        <v>0.521665927</v>
      </c>
      <c r="U925" s="2" t="n">
        <f aca="false">IF(U$7=U$5,U$6,IF(NORMSDIST(U$9*SQRT($C$11)*NORMSINV($B925)+SQRT(1-U$9^2*$C$11)*NORMSINV(T925))&lt;U$8,U$5+SQRT(NORMSDIST(U$9*SQRT($C$11)*NORMSINV($B925)+SQRT(1-U$9^2*$C$11)*NORMSINV(T925))*(U$7-U$5)*(U$6-U$5)),U$7-SQRT((1-NORMSDIST(U$9*SQRT($C$11)*NORMSINV($B925)+SQRT(1-U$9^2*$C$11)*NORMSINV(T925)))*(U$7-U$5)*(U$7-U$6))))</f>
        <v>0.534975513047124</v>
      </c>
      <c r="V925" s="2" t="n">
        <v>0.576020292</v>
      </c>
      <c r="W925" s="2" t="n">
        <f aca="false">IF(W$7=W$5,W$6,IF(NORMSDIST(W$9*SQRT($C$11)*NORMSINV($B925)+SQRT(1-W$9^2*$C$11)*NORMSINV(V925))&lt;W$8,W$5+SQRT(NORMSDIST(W$9*SQRT($C$11)*NORMSINV($B925)+SQRT(1-W$9^2*$C$11)*NORMSINV(V925))*(W$7-W$5)*(W$6-W$5)),W$7-SQRT((1-NORMSDIST(W$9*SQRT($C$11)*NORMSINV($B925)+SQRT(1-W$9^2*$C$11)*NORMSINV(V925)))*(W$7-W$5)*(W$7-W$6))))</f>
        <v>10.2311507220392</v>
      </c>
      <c r="X925" s="2" t="n">
        <v>0.956438262</v>
      </c>
      <c r="Y925" s="2" t="n">
        <f aca="false">IF(Y$7=Y$5,Y$6,IF(NORMSDIST(Y$9*SQRT($C$11)*NORMSINV($B925)+SQRT(1-Y$9^2*$C$11)*NORMSINV(X925))&lt;Y$8,Y$5+SQRT(NORMSDIST(Y$9*SQRT($C$11)*NORMSINV($B925)+SQRT(1-Y$9^2*$C$11)*NORMSINV(X925))*(Y$7-Y$5)*(Y$6-Y$5)),Y$7-SQRT((1-NORMSDIST(Y$9*SQRT($C$11)*NORMSINV($B925)+SQRT(1-Y$9^2*$C$11)*NORMSINV(X925)))*(Y$7-Y$5)*(Y$7-Y$6))))</f>
        <v>0.85241656935821</v>
      </c>
      <c r="Z925" s="2" t="n">
        <v>0.956659792</v>
      </c>
      <c r="AA925" s="2" t="n">
        <f aca="false">IF(AA$7=AA$5,AA$6,IF(NORMSDIST(AA$9*SQRT($C$11)*NORMSINV($B925)+SQRT(1-AA$9^2*$C$11)*NORMSINV(Z925))&lt;AA$8,AA$5+SQRT(NORMSDIST(AA$9*SQRT($C$11)*NORMSINV($B925)+SQRT(1-AA$9^2*$C$11)*NORMSINV(Z925))*(AA$7-AA$5)*(AA$6-AA$5)),AA$7-SQRT((1-NORMSDIST(AA$9*SQRT($C$11)*NORMSINV($B925)+SQRT(1-AA$9^2*$C$11)*NORMSINV(Z925)))*(AA$7-AA$5)*(AA$7-AA$6))))</f>
        <v>0.744195057792145</v>
      </c>
      <c r="AB925" s="2" t="n">
        <v>0.843966545</v>
      </c>
      <c r="AC925" s="2" t="n">
        <f aca="false">IF(AC$7=AC$5,AC$6,IF(NORMSDIST(AC$9*SQRT($C$11)*NORMSINV($B925)+SQRT(1-AC$9^2*$C$11)*NORMSINV(AB925))&lt;AC$8,AC$5+SQRT(NORMSDIST(AC$9*SQRT($C$11)*NORMSINV($B925)+SQRT(1-AC$9^2*$C$11)*NORMSINV(AB925))*(AC$7-AC$5)*(AC$6-AC$5)),AC$7-SQRT((1-NORMSDIST(AC$9*SQRT($C$11)*NORMSINV($B925)+SQRT(1-AC$9^2*$C$11)*NORMSINV(AB925)))*(AC$7-AC$5)*(AC$7-AC$6))))</f>
        <v>10.1153588547392</v>
      </c>
      <c r="AD925" s="2" t="n">
        <f aca="false">Entrées!$C$8*(1+E925)</f>
        <v>7428.6881928439</v>
      </c>
      <c r="AE925" s="2" t="n">
        <f aca="false">I925*Hypothèses!$J$24/12/Hypothèses!$J$19</f>
        <v>104.948836550189</v>
      </c>
      <c r="AF925" s="2" t="n">
        <f aca="false">Entrées!$C$36*S925*1000</f>
        <v>368.984104291848</v>
      </c>
      <c r="AG925" s="2" t="n">
        <f aca="false">-AF925/W925</f>
        <v>-36.0647706515563</v>
      </c>
      <c r="AH925" s="2" t="n">
        <f aca="false">AD925+AE925+AG925</f>
        <v>7497.57225874253</v>
      </c>
      <c r="AI925" s="2" t="n">
        <f aca="false">Entrées!$C$16-M925+Hypothèses!$J$22*1000-AF925+Hypothèses!$J$23</f>
        <v>22627.2971404813</v>
      </c>
      <c r="AJ925" s="2" t="n">
        <f aca="false">AI925/AH925</f>
        <v>3.01794985891557</v>
      </c>
      <c r="AK925" s="2" t="n">
        <f aca="false">AI925/(AH925+I925*(12-Hypothèses!$J$24)/12/Hypothèses!$J$19)</f>
        <v>2.98807400807336</v>
      </c>
      <c r="AL925" s="2" t="n">
        <f aca="false">(AD925+AG925+I925/Hypothèses!$J$19)*(1+G925)</f>
        <v>7949.07743149399</v>
      </c>
      <c r="AM925" s="2" t="n">
        <f aca="false">Entrées!$C$54*K925/Hypothèses!$J$19</f>
        <v>29.4163342004563</v>
      </c>
      <c r="AN925" s="2" t="n">
        <f aca="false">Y925*1000/AC925</f>
        <v>84.2695332512932</v>
      </c>
      <c r="AO925" s="2" t="n">
        <f aca="false">(Entrées!$C$36*(1-S925)+MAX(0,Entrées!$C$30-Entrées!$C$35-Entrées!$C$36)*U925)*1000</f>
        <v>879.981613974125</v>
      </c>
      <c r="AP925" s="2" t="n">
        <f aca="false">-AO925/W925</f>
        <v>-86.0100332681575</v>
      </c>
      <c r="AQ925" s="2" t="n">
        <f aca="false">AL925+AM925+AN925+AP925</f>
        <v>7976.75326567758</v>
      </c>
      <c r="AR925" s="2" t="n">
        <f aca="false">O925*AQ925-Hypothèses!$J$25/Hypothèses!$J$19</f>
        <v>1311.67887907513</v>
      </c>
      <c r="AS925" s="2" t="n">
        <f aca="false">Entrées!$C$79*(1+Q925)+Hypothèses!$J$20</f>
        <v>1512.09085636344</v>
      </c>
      <c r="AT925" s="2" t="n">
        <f aca="false">AI925-AR925+AS925+Y925*1000-AO925+Hypothèses!$J$23</f>
        <v>22800.1440731537</v>
      </c>
      <c r="AU925" s="2" t="n">
        <f aca="false">AT925/AQ925</f>
        <v>2.85832384602621</v>
      </c>
      <c r="AV925" s="2" t="n">
        <f aca="false">Hypothèses!$J$26*AQ925-AT925</f>
        <v>1130.11572387905</v>
      </c>
      <c r="AW925" s="2" t="n">
        <f aca="false">IF(AC925&gt;Hypothèses!$J$26,MAX(0,AV925)/(1-Hypothèses!$J$26/AC925),0)</f>
        <v>1606.59867306705</v>
      </c>
      <c r="AX925" s="2" t="n">
        <f aca="false">AQ925-Entrées!$C$17*1000</f>
        <v>-23.2467343224198</v>
      </c>
      <c r="AY925" s="2" t="n">
        <f aca="false">AI925+(Entrées!$C$244-Entrées!$C$13)</f>
        <v>28374.2971404813</v>
      </c>
      <c r="AZ925" s="2" t="n">
        <f aca="false">AA925*AH925</f>
        <v>5579.65622039568</v>
      </c>
      <c r="BA925" s="2" t="n">
        <f aca="false">AZ925/AY925</f>
        <v>0.196644737762869</v>
      </c>
      <c r="BB925" s="2" t="n">
        <f aca="false">AZ925/(Entrées!$C$151/100)-AY925</f>
        <v>2623.79297282804</v>
      </c>
      <c r="BC925" s="2" t="n">
        <f aca="false">AT925+(Entrées!$C$244-Entrées!$C$13)</f>
        <v>28547.1440731537</v>
      </c>
      <c r="BD925" s="2" t="n">
        <f aca="false">AA925*AQ925</f>
        <v>5936.26035754461</v>
      </c>
      <c r="BE925" s="2" t="n">
        <f aca="false">BD925/BC925</f>
        <v>0.207945857642803</v>
      </c>
      <c r="BF925" s="2" t="n">
        <f aca="false">BD925/(Entrées!$C$151/100)-BC925</f>
        <v>4432.08013542745</v>
      </c>
      <c r="BG925" s="2" t="n">
        <f aca="false">MIN(AV925,BF925)</f>
        <v>1130.11572387905</v>
      </c>
      <c r="BH925" s="2" t="n">
        <f aca="false">IF(AC925&gt;Hypothèses!$J$26,MAX(0,BG925)/(1-Hypothèses!$J$26/AC925),0)</f>
        <v>1606.59867306705</v>
      </c>
    </row>
    <row r="926" customFormat="false" ht="15" hidden="false" customHeight="false" outlineLevel="0" collapsed="false">
      <c r="A926" s="2" t="n">
        <v>911</v>
      </c>
      <c r="B926" s="2" t="n">
        <v>0.423327744</v>
      </c>
      <c r="C926" s="2"/>
      <c r="D926" s="2" t="n">
        <v>0.691219372</v>
      </c>
      <c r="E926" s="2" t="n">
        <f aca="false">IF(E$7=E$5,E$6,IF(NORMSDIST(E$9*SQRT($C$11)*NORMSINV($B926)+SQRT(1-E$9^2*$C$11)*NORMSINV(D926))&lt;E$8,E$5+SQRT(NORMSDIST(E$9*SQRT($C$11)*NORMSINV($B926)+SQRT(1-E$9^2*$C$11)*NORMSINV(D926))*(E$7-E$5)*(E$6-E$5)),E$7-SQRT((1-NORMSDIST(E$9*SQRT($C$11)*NORMSINV($B926)+SQRT(1-E$9^2*$C$11)*NORMSINV(D926)))*(E$7-E$5)*(E$7-E$6))))</f>
        <v>0.0555518833927283</v>
      </c>
      <c r="F926" s="2" t="n">
        <v>0.849026</v>
      </c>
      <c r="G926" s="2" t="n">
        <f aca="false">IF(G$7=G$5,G$6,IF(NORMSDIST(G$9*SQRT($C$11)*NORMSINV($B926)+SQRT(1-G$9^2*$C$11)*NORMSINV(F926))&lt;G$8,G$5+SQRT(NORMSDIST(G$9*SQRT($C$11)*NORMSINV($B926)+SQRT(1-G$9^2*$C$11)*NORMSINV(F926))*(G$7-G$5)*(G$6-G$5)),G$7-SQRT((1-NORMSDIST(G$9*SQRT($C$11)*NORMSINV($B926)+SQRT(1-G$9^2*$C$11)*NORMSINV(F926)))*(G$7-G$5)*(G$7-G$6))))</f>
        <v>0.0594122065579763</v>
      </c>
      <c r="H926" s="2" t="n">
        <v>0.013775198</v>
      </c>
      <c r="I926" s="2" t="n">
        <f aca="false">IF(I$7=I$5,I$6,IF(NORMSDIST(I$9*SQRT($C$11)*NORMSINV($B926)+SQRT(1-I$9^2*$C$11)*NORMSINV(H926))&lt;I$8,I$5+SQRT(NORMSDIST(I$9*SQRT($C$11)*NORMSINV($B926)+SQRT(1-I$9^2*$C$11)*NORMSINV(H926))*(I$7-I$5)*(I$6-I$5)),I$7-SQRT((1-NORMSDIST(I$9*SQRT($C$11)*NORMSINV($B926)+SQRT(1-I$9^2*$C$11)*NORMSINV(H926)))*(I$7-I$5)*(I$7-I$6))))</f>
        <v>185.190941130799</v>
      </c>
      <c r="J926" s="2" t="n">
        <v>0.509006972</v>
      </c>
      <c r="K926" s="2" t="n">
        <f aca="false">IF(K$7=K$5,K$6,IF(NORMSDIST(K$9*SQRT($C$11)*NORMSINV($B926)+SQRT(1-K$9^2*$C$11)*NORMSINV(J926))&lt;K$8,K$5+SQRT(NORMSDIST(K$9*SQRT($C$11)*NORMSINV($B926)+SQRT(1-K$9^2*$C$11)*NORMSINV(J926))*(K$7-K$5)*(K$6-K$5)),K$7-SQRT((1-NORMSDIST(K$9*SQRT($C$11)*NORMSINV($B926)+SQRT(1-K$9^2*$C$11)*NORMSINV(J926)))*(K$7-K$5)*(K$7-K$6))))</f>
        <v>0.239337517258043</v>
      </c>
      <c r="L926" s="2" t="n">
        <v>0.644911093</v>
      </c>
      <c r="M926" s="2" t="n">
        <f aca="false">IF(M$7=M$5,M$6,IF(NORMSDIST(M$9*SQRT($C$11)*NORMSINV($B926)+SQRT(1-M$9^2*$C$11)*NORMSINV(L926))&lt;M$8,M$5+SQRT(NORMSDIST(M$9*SQRT($C$11)*NORMSINV($B926)+SQRT(1-M$9^2*$C$11)*NORMSINV(L926))*(M$7-M$5)*(M$6-M$5)),M$7-SQRT((1-NORMSDIST(M$9*SQRT($C$11)*NORMSINV($B926)+SQRT(1-M$9^2*$C$11)*NORMSINV(L926)))*(M$7-M$5)*(M$7-M$6))))</f>
        <v>1603.32766633651</v>
      </c>
      <c r="N926" s="2" t="n">
        <v>0.293144487</v>
      </c>
      <c r="O926" s="2" t="n">
        <f aca="false">IF(O$7=O$5,O$6,IF(NORMSDIST(O$9*SQRT($C$11)*NORMSINV($B926)+SQRT(1-O$9^2*$C$11)*NORMSINV(N926))&lt;O$8,O$5+SQRT(NORMSDIST(O$9*SQRT($C$11)*NORMSINV($B926)+SQRT(1-O$9^2*$C$11)*NORMSINV(N926))*(O$7-O$5)*(O$6-O$5)),O$7-SQRT((1-NORMSDIST(O$9*SQRT($C$11)*NORMSINV($B926)+SQRT(1-O$9^2*$C$11)*NORMSINV(N926)))*(O$7-O$5)*(O$7-O$6))))</f>
        <v>0.160513092160099</v>
      </c>
      <c r="P926" s="2" t="n">
        <v>0.102483683</v>
      </c>
      <c r="Q926" s="2" t="n">
        <f aca="false">IF(Q$7=Q$5,Q$6,IF(NORMSDIST(Q$9*SQRT($C$11)*NORMSINV($B926)+SQRT(1-Q$9^2*$C$11)*NORMSINV(P926))&lt;Q$8,Q$5+SQRT(NORMSDIST(Q$9*SQRT($C$11)*NORMSINV($B926)+SQRT(1-Q$9^2*$C$11)*NORMSINV(P926))*(Q$7-Q$5)*(Q$6-Q$5)),Q$7-SQRT((1-NORMSDIST(Q$9*SQRT($C$11)*NORMSINV($B926)+SQRT(1-Q$9^2*$C$11)*NORMSINV(P926)))*(Q$7-Q$5)*(Q$7-Q$6))))</f>
        <v>0.0581093286899322</v>
      </c>
      <c r="R926" s="2" t="n">
        <v>0.212014446</v>
      </c>
      <c r="S926" s="2" t="n">
        <f aca="false">IF(S$7=S$5,S$6,IF(NORMSDIST(S$9*SQRT($C$11)*NORMSINV($B926)+SQRT(1-S$9^2*$C$11)*NORMSINV(R926))&lt;S$8,S$5+SQRT(NORMSDIST(S$9*SQRT($C$11)*NORMSINV($B926)+SQRT(1-S$9^2*$C$11)*NORMSINV(R926))*(S$7-S$5)*(S$6-S$5)),S$7-SQRT((1-NORMSDIST(S$9*SQRT($C$11)*NORMSINV($B926)+SQRT(1-S$9^2*$C$11)*NORMSINV(R926)))*(S$7-S$5)*(S$7-S$6))))</f>
        <v>0.338508958737557</v>
      </c>
      <c r="T926" s="2" t="n">
        <v>0.248649796</v>
      </c>
      <c r="U926" s="2" t="n">
        <f aca="false">IF(U$7=U$5,U$6,IF(NORMSDIST(U$9*SQRT($C$11)*NORMSINV($B926)+SQRT(1-U$9^2*$C$11)*NORMSINV(T926))&lt;U$8,U$5+SQRT(NORMSDIST(U$9*SQRT($C$11)*NORMSINV($B926)+SQRT(1-U$9^2*$C$11)*NORMSINV(T926))*(U$7-U$5)*(U$6-U$5)),U$7-SQRT((1-NORMSDIST(U$9*SQRT($C$11)*NORMSINV($B926)+SQRT(1-U$9^2*$C$11)*NORMSINV(T926)))*(U$7-U$5)*(U$7-U$6))))</f>
        <v>0.359494284024491</v>
      </c>
      <c r="V926" s="2" t="n">
        <v>0.922194993</v>
      </c>
      <c r="W926" s="2" t="n">
        <f aca="false">IF(W$7=W$5,W$6,IF(NORMSDIST(W$9*SQRT($C$11)*NORMSINV($B926)+SQRT(1-W$9^2*$C$11)*NORMSINV(V926))&lt;W$8,W$5+SQRT(NORMSDIST(W$9*SQRT($C$11)*NORMSINV($B926)+SQRT(1-W$9^2*$C$11)*NORMSINV(V926))*(W$7-W$5)*(W$6-W$5)),W$7-SQRT((1-NORMSDIST(W$9*SQRT($C$11)*NORMSINV($B926)+SQRT(1-W$9^2*$C$11)*NORMSINV(V926)))*(W$7-W$5)*(W$7-W$6))))</f>
        <v>10.8541095473074</v>
      </c>
      <c r="X926" s="2" t="n">
        <v>0.744708273</v>
      </c>
      <c r="Y926" s="2" t="n">
        <f aca="false">IF(Y$7=Y$5,Y$6,IF(NORMSDIST(Y$9*SQRT($C$11)*NORMSINV($B926)+SQRT(1-Y$9^2*$C$11)*NORMSINV(X926))&lt;Y$8,Y$5+SQRT(NORMSDIST(Y$9*SQRT($C$11)*NORMSINV($B926)+SQRT(1-Y$9^2*$C$11)*NORMSINV(X926))*(Y$7-Y$5)*(Y$6-Y$5)),Y$7-SQRT((1-NORMSDIST(Y$9*SQRT($C$11)*NORMSINV($B926)+SQRT(1-Y$9^2*$C$11)*NORMSINV(X926)))*(Y$7-Y$5)*(Y$7-Y$6))))</f>
        <v>0.642724387202261</v>
      </c>
      <c r="Z926" s="2" t="n">
        <v>0.179041386</v>
      </c>
      <c r="AA926" s="2" t="n">
        <f aca="false">IF(AA$7=AA$5,AA$6,IF(NORMSDIST(AA$9*SQRT($C$11)*NORMSINV($B926)+SQRT(1-AA$9^2*$C$11)*NORMSINV(Z926))&lt;AA$8,AA$5+SQRT(NORMSDIST(AA$9*SQRT($C$11)*NORMSINV($B926)+SQRT(1-AA$9^2*$C$11)*NORMSINV(Z926))*(AA$7-AA$5)*(AA$6-AA$5)),AA$7-SQRT((1-NORMSDIST(AA$9*SQRT($C$11)*NORMSINV($B926)+SQRT(1-AA$9^2*$C$11)*NORMSINV(Z926)))*(AA$7-AA$5)*(AA$7-AA$6))))</f>
        <v>0.716128668740281</v>
      </c>
      <c r="AB926" s="2" t="n">
        <v>0.514032194</v>
      </c>
      <c r="AC926" s="2" t="n">
        <f aca="false">IF(AC$7=AC$5,AC$6,IF(NORMSDIST(AC$9*SQRT($C$11)*NORMSINV($B926)+SQRT(1-AC$9^2*$C$11)*NORMSINV(AB926))&lt;AC$8,AC$5+SQRT(NORMSDIST(AC$9*SQRT($C$11)*NORMSINV($B926)+SQRT(1-AC$9^2*$C$11)*NORMSINV(AB926))*(AC$7-AC$5)*(AC$6-AC$5)),AC$7-SQRT((1-NORMSDIST(AC$9*SQRT($C$11)*NORMSINV($B926)+SQRT(1-AC$9^2*$C$11)*NORMSINV(AB926)))*(AC$7-AC$5)*(AC$7-AC$6))))</f>
        <v>9.39820935805075</v>
      </c>
      <c r="AD926" s="2" t="n">
        <f aca="false">Entrées!$C$8*(1+E926)</f>
        <v>7441.64077791874</v>
      </c>
      <c r="AE926" s="2" t="n">
        <f aca="false">I926*Hypothèses!$J$24/12/Hypothèses!$J$19</f>
        <v>91.872633168324</v>
      </c>
      <c r="AF926" s="2" t="n">
        <f aca="false">Entrées!$C$36*S926*1000</f>
        <v>169.254479368779</v>
      </c>
      <c r="AG926" s="2" t="n">
        <f aca="false">-AF926/W926</f>
        <v>-15.5935849579448</v>
      </c>
      <c r="AH926" s="2" t="n">
        <f aca="false">AD926+AE926+AG926</f>
        <v>7517.91982612912</v>
      </c>
      <c r="AI926" s="2" t="n">
        <f aca="false">Entrées!$C$16-M926+Hypothèses!$J$22*1000-AF926+Hypothèses!$J$23</f>
        <v>22775.4178542947</v>
      </c>
      <c r="AJ926" s="2" t="n">
        <f aca="false">AI926/AH926</f>
        <v>3.02948400369168</v>
      </c>
      <c r="AK926" s="2" t="n">
        <f aca="false">AI926/(AH926+I926*(12-Hypothèses!$J$24)/12/Hypothèses!$J$19)</f>
        <v>3.0032687158557</v>
      </c>
      <c r="AL926" s="2" t="n">
        <f aca="false">(AD926+AG926+I926/Hypothèses!$J$19)*(1+G926)</f>
        <v>8034.09816674479</v>
      </c>
      <c r="AM926" s="2" t="n">
        <f aca="false">Entrées!$C$54*K926/Hypothèses!$J$19</f>
        <v>24.4253985494793</v>
      </c>
      <c r="AN926" s="2" t="n">
        <f aca="false">Y926*1000/AC926</f>
        <v>68.3879622932305</v>
      </c>
      <c r="AO926" s="2" t="n">
        <f aca="false">(Entrées!$C$36*(1-S926)+MAX(0,Entrées!$C$30-Entrées!$C$35-Entrées!$C$36)*U926)*1000</f>
        <v>834.037518265509</v>
      </c>
      <c r="AP926" s="2" t="n">
        <f aca="false">-AO926/W926</f>
        <v>-76.8407131538863</v>
      </c>
      <c r="AQ926" s="2" t="n">
        <f aca="false">AL926+AM926+AN926+AP926</f>
        <v>8050.07081443362</v>
      </c>
      <c r="AR926" s="2" t="n">
        <f aca="false">O926*AQ926-Hypothèses!$J$25/Hypothèses!$J$19</f>
        <v>1273.00659627088</v>
      </c>
      <c r="AS926" s="2" t="n">
        <f aca="false">Entrées!$C$79*(1+Q926)+Hypothèses!$J$20</f>
        <v>1457.86215223024</v>
      </c>
      <c r="AT926" s="2" t="n">
        <f aca="false">AI926-AR926+AS926+Y926*1000-AO926+Hypothèses!$J$23</f>
        <v>22768.9602791908</v>
      </c>
      <c r="AU926" s="2" t="n">
        <f aca="false">AT926/AQ926</f>
        <v>2.82841738961681</v>
      </c>
      <c r="AV926" s="2" t="n">
        <f aca="false">Hypothèses!$J$26*AQ926-AT926</f>
        <v>1381.25216411003</v>
      </c>
      <c r="AW926" s="2" t="n">
        <f aca="false">IF(AC926&gt;Hypothèses!$J$26,MAX(0,AV926)/(1-Hypothèses!$J$26/AC926),0)</f>
        <v>2028.89531869298</v>
      </c>
      <c r="AX926" s="2" t="n">
        <f aca="false">AQ926-Entrées!$C$17*1000</f>
        <v>50.0708144336177</v>
      </c>
      <c r="AY926" s="2" t="n">
        <f aca="false">AI926+(Entrées!$C$244-Entrées!$C$13)</f>
        <v>28522.4178542947</v>
      </c>
      <c r="AZ926" s="2" t="n">
        <f aca="false">AA926*AH926</f>
        <v>5383.79791678201</v>
      </c>
      <c r="BA926" s="2" t="n">
        <f aca="false">AZ926/AY926</f>
        <v>0.188756715657307</v>
      </c>
      <c r="BB926" s="2" t="n">
        <f aca="false">AZ926/(Entrées!$C$151/100)-AY926</f>
        <v>1387.57057227198</v>
      </c>
      <c r="BC926" s="2" t="n">
        <f aca="false">AT926+(Entrées!$C$244-Entrées!$C$13)</f>
        <v>28515.9602791908</v>
      </c>
      <c r="BD926" s="2" t="n">
        <f aca="false">AA926*AQ926</f>
        <v>5764.88649560533</v>
      </c>
      <c r="BE926" s="2" t="n">
        <f aca="false">BD926/BC926</f>
        <v>0.202163505600483</v>
      </c>
      <c r="BF926" s="2" t="n">
        <f aca="false">BD926/(Entrées!$C$151/100)-BC926</f>
        <v>3511.18691861659</v>
      </c>
      <c r="BG926" s="2" t="n">
        <f aca="false">MIN(AV926,BF926)</f>
        <v>1381.25216411003</v>
      </c>
      <c r="BH926" s="2" t="n">
        <f aca="false">IF(AC926&gt;Hypothèses!$J$26,MAX(0,BG926)/(1-Hypothèses!$J$26/AC926),0)</f>
        <v>2028.89531869298</v>
      </c>
    </row>
    <row r="927" customFormat="false" ht="15" hidden="false" customHeight="false" outlineLevel="0" collapsed="false">
      <c r="A927" s="2" t="n">
        <v>912</v>
      </c>
      <c r="B927" s="2" t="n">
        <v>0.254072037</v>
      </c>
      <c r="C927" s="2"/>
      <c r="D927" s="2" t="n">
        <v>0.991244224</v>
      </c>
      <c r="E927" s="2" t="n">
        <f aca="false">IF(E$7=E$5,E$6,IF(NORMSDIST(E$9*SQRT($C$11)*NORMSINV($B927)+SQRT(1-E$9^2*$C$11)*NORMSINV(D927))&lt;E$8,E$5+SQRT(NORMSDIST(E$9*SQRT($C$11)*NORMSINV($B927)+SQRT(1-E$9^2*$C$11)*NORMSINV(D927))*(E$7-E$5)*(E$6-E$5)),E$7-SQRT((1-NORMSDIST(E$9*SQRT($C$11)*NORMSINV($B927)+SQRT(1-E$9^2*$C$11)*NORMSINV(D927)))*(E$7-E$5)*(E$7-E$6))))</f>
        <v>0.0580308925559078</v>
      </c>
      <c r="F927" s="2" t="n">
        <v>0.031485574</v>
      </c>
      <c r="G927" s="2" t="n">
        <f aca="false">IF(G$7=G$5,G$6,IF(NORMSDIST(G$9*SQRT($C$11)*NORMSINV($B927)+SQRT(1-G$9^2*$C$11)*NORMSINV(F927))&lt;G$8,G$5+SQRT(NORMSDIST(G$9*SQRT($C$11)*NORMSINV($B927)+SQRT(1-G$9^2*$C$11)*NORMSINV(F927))*(G$7-G$5)*(G$6-G$5)),G$7-SQRT((1-NORMSDIST(G$9*SQRT($C$11)*NORMSINV($B927)+SQRT(1-G$9^2*$C$11)*NORMSINV(F927)))*(G$7-G$5)*(G$7-G$6))))</f>
        <v>0.0437666436156682</v>
      </c>
      <c r="H927" s="2" t="n">
        <v>0.682919811</v>
      </c>
      <c r="I927" s="2" t="n">
        <f aca="false">IF(I$7=I$5,I$6,IF(NORMSDIST(I$9*SQRT($C$11)*NORMSINV($B927)+SQRT(1-I$9^2*$C$11)*NORMSINV(H927))&lt;I$8,I$5+SQRT(NORMSDIST(I$9*SQRT($C$11)*NORMSINV($B927)+SQRT(1-I$9^2*$C$11)*NORMSINV(H927))*(I$7-I$5)*(I$6-I$5)),I$7-SQRT((1-NORMSDIST(I$9*SQRT($C$11)*NORMSINV($B927)+SQRT(1-I$9^2*$C$11)*NORMSINV(H927)))*(I$7-I$5)*(I$7-I$6))))</f>
        <v>199.597976332397</v>
      </c>
      <c r="J927" s="2" t="n">
        <v>0.950719522</v>
      </c>
      <c r="K927" s="2" t="n">
        <f aca="false">IF(K$7=K$5,K$6,IF(NORMSDIST(K$9*SQRT($C$11)*NORMSINV($B927)+SQRT(1-K$9^2*$C$11)*NORMSINV(J927))&lt;K$8,K$5+SQRT(NORMSDIST(K$9*SQRT($C$11)*NORMSINV($B927)+SQRT(1-K$9^2*$C$11)*NORMSINV(J927))*(K$7-K$5)*(K$6-K$5)),K$7-SQRT((1-NORMSDIST(K$9*SQRT($C$11)*NORMSINV($B927)+SQRT(1-K$9^2*$C$11)*NORMSINV(J927)))*(K$7-K$5)*(K$7-K$6))))</f>
        <v>0.344029666098792</v>
      </c>
      <c r="L927" s="2" t="n">
        <v>0.527529586</v>
      </c>
      <c r="M927" s="2" t="n">
        <f aca="false">IF(M$7=M$5,M$6,IF(NORMSDIST(M$9*SQRT($C$11)*NORMSINV($B927)+SQRT(1-M$9^2*$C$11)*NORMSINV(L927))&lt;M$8,M$5+SQRT(NORMSDIST(M$9*SQRT($C$11)*NORMSINV($B927)+SQRT(1-M$9^2*$C$11)*NORMSINV(L927))*(M$7-M$5)*(M$6-M$5)),M$7-SQRT((1-NORMSDIST(M$9*SQRT($C$11)*NORMSINV($B927)+SQRT(1-M$9^2*$C$11)*NORMSINV(L927)))*(M$7-M$5)*(M$7-M$6))))</f>
        <v>1541.79643607333</v>
      </c>
      <c r="N927" s="2" t="n">
        <v>0.19275148</v>
      </c>
      <c r="O927" s="2" t="n">
        <f aca="false">IF(O$7=O$5,O$6,IF(NORMSDIST(O$9*SQRT($C$11)*NORMSINV($B927)+SQRT(1-O$9^2*$C$11)*NORMSINV(N927))&lt;O$8,O$5+SQRT(NORMSDIST(O$9*SQRT($C$11)*NORMSINV($B927)+SQRT(1-O$9^2*$C$11)*NORMSINV(N927))*(O$7-O$5)*(O$6-O$5)),O$7-SQRT((1-NORMSDIST(O$9*SQRT($C$11)*NORMSINV($B927)+SQRT(1-O$9^2*$C$11)*NORMSINV(N927)))*(O$7-O$5)*(O$7-O$6))))</f>
        <v>0.154056117884666</v>
      </c>
      <c r="P927" s="2" t="n">
        <v>0.710367909</v>
      </c>
      <c r="Q927" s="2" t="n">
        <f aca="false">IF(Q$7=Q$5,Q$6,IF(NORMSDIST(Q$9*SQRT($C$11)*NORMSINV($B927)+SQRT(1-Q$9^2*$C$11)*NORMSINV(P927))&lt;Q$8,Q$5+SQRT(NORMSDIST(Q$9*SQRT($C$11)*NORMSINV($B927)+SQRT(1-Q$9^2*$C$11)*NORMSINV(P927))*(Q$7-Q$5)*(Q$6-Q$5)),Q$7-SQRT((1-NORMSDIST(Q$9*SQRT($C$11)*NORMSINV($B927)+SQRT(1-Q$9^2*$C$11)*NORMSINV(P927)))*(Q$7-Q$5)*(Q$7-Q$6))))</f>
        <v>0.0895562372365044</v>
      </c>
      <c r="R927" s="2" t="n">
        <v>0.624656645</v>
      </c>
      <c r="S927" s="2" t="n">
        <f aca="false">IF(S$7=S$5,S$6,IF(NORMSDIST(S$9*SQRT($C$11)*NORMSINV($B927)+SQRT(1-S$9^2*$C$11)*NORMSINV(R927))&lt;S$8,S$5+SQRT(NORMSDIST(S$9*SQRT($C$11)*NORMSINV($B927)+SQRT(1-S$9^2*$C$11)*NORMSINV(R927))*(S$7-S$5)*(S$6-S$5)),S$7-SQRT((1-NORMSDIST(S$9*SQRT($C$11)*NORMSINV($B927)+SQRT(1-S$9^2*$C$11)*NORMSINV(R927)))*(S$7-S$5)*(S$7-S$6))))</f>
        <v>0.464522235705307</v>
      </c>
      <c r="T927" s="2" t="n">
        <v>0.150301951</v>
      </c>
      <c r="U927" s="2" t="n">
        <f aca="false">IF(U$7=U$5,U$6,IF(NORMSDIST(U$9*SQRT($C$11)*NORMSINV($B927)+SQRT(1-U$9^2*$C$11)*NORMSINV(T927))&lt;U$8,U$5+SQRT(NORMSDIST(U$9*SQRT($C$11)*NORMSINV($B927)+SQRT(1-U$9^2*$C$11)*NORMSINV(T927))*(U$7-U$5)*(U$6-U$5)),U$7-SQRT((1-NORMSDIST(U$9*SQRT($C$11)*NORMSINV($B927)+SQRT(1-U$9^2*$C$11)*NORMSINV(T927)))*(U$7-U$5)*(U$7-U$6))))</f>
        <v>0.235764530923276</v>
      </c>
      <c r="V927" s="2" t="n">
        <v>0.581981657</v>
      </c>
      <c r="W927" s="2" t="n">
        <f aca="false">IF(W$7=W$5,W$6,IF(NORMSDIST(W$9*SQRT($C$11)*NORMSINV($B927)+SQRT(1-W$9^2*$C$11)*NORMSINV(V927))&lt;W$8,W$5+SQRT(NORMSDIST(W$9*SQRT($C$11)*NORMSINV($B927)+SQRT(1-W$9^2*$C$11)*NORMSINV(V927))*(W$7-W$5)*(W$6-W$5)),W$7-SQRT((1-NORMSDIST(W$9*SQRT($C$11)*NORMSINV($B927)+SQRT(1-W$9^2*$C$11)*NORMSINV(V927)))*(W$7-W$5)*(W$7-W$6))))</f>
        <v>9.78465961407592</v>
      </c>
      <c r="X927" s="2" t="n">
        <v>0.067507962</v>
      </c>
      <c r="Y927" s="2" t="n">
        <f aca="false">IF(Y$7=Y$5,Y$6,IF(NORMSDIST(Y$9*SQRT($C$11)*NORMSINV($B927)+SQRT(1-Y$9^2*$C$11)*NORMSINV(X927))&lt;Y$8,Y$5+SQRT(NORMSDIST(Y$9*SQRT($C$11)*NORMSINV($B927)+SQRT(1-Y$9^2*$C$11)*NORMSINV(X927))*(Y$7-Y$5)*(Y$6-Y$5)),Y$7-SQRT((1-NORMSDIST(Y$9*SQRT($C$11)*NORMSINV($B927)+SQRT(1-Y$9^2*$C$11)*NORMSINV(X927)))*(Y$7-Y$5)*(Y$7-Y$6))))</f>
        <v>0.183722565298877</v>
      </c>
      <c r="Z927" s="2" t="n">
        <v>0.86976127</v>
      </c>
      <c r="AA927" s="2" t="n">
        <f aca="false">IF(AA$7=AA$5,AA$6,IF(NORMSDIST(AA$9*SQRT($C$11)*NORMSINV($B927)+SQRT(1-AA$9^2*$C$11)*NORMSINV(Z927))&lt;AA$8,AA$5+SQRT(NORMSDIST(AA$9*SQRT($C$11)*NORMSINV($B927)+SQRT(1-AA$9^2*$C$11)*NORMSINV(Z927))*(AA$7-AA$5)*(AA$6-AA$5)),AA$7-SQRT((1-NORMSDIST(AA$9*SQRT($C$11)*NORMSINV($B927)+SQRT(1-AA$9^2*$C$11)*NORMSINV(Z927)))*(AA$7-AA$5)*(AA$7-AA$6))))</f>
        <v>0.733423690918578</v>
      </c>
      <c r="AB927" s="2" t="n">
        <v>0.924398057</v>
      </c>
      <c r="AC927" s="2" t="n">
        <f aca="false">IF(AC$7=AC$5,AC$6,IF(NORMSDIST(AC$9*SQRT($C$11)*NORMSINV($B927)+SQRT(1-AC$9^2*$C$11)*NORMSINV(AB927))&lt;AC$8,AC$5+SQRT(NORMSDIST(AC$9*SQRT($C$11)*NORMSINV($B927)+SQRT(1-AC$9^2*$C$11)*NORMSINV(AB927))*(AC$7-AC$5)*(AC$6-AC$5)),AC$7-SQRT((1-NORMSDIST(AC$9*SQRT($C$11)*NORMSINV($B927)+SQRT(1-AC$9^2*$C$11)*NORMSINV(AB927)))*(AC$7-AC$5)*(AC$7-AC$6))))</f>
        <v>9.97316035028414</v>
      </c>
      <c r="AD927" s="2" t="n">
        <f aca="false">Entrées!$C$8*(1+E927)</f>
        <v>7459.11779251915</v>
      </c>
      <c r="AE927" s="2" t="n">
        <f aca="false">I927*Hypothèses!$J$24/12/Hypothèses!$J$19</f>
        <v>99.0199172203264</v>
      </c>
      <c r="AF927" s="2" t="n">
        <f aca="false">Entrées!$C$36*S927*1000</f>
        <v>232.261117852653</v>
      </c>
      <c r="AG927" s="2" t="n">
        <f aca="false">-AF927/W927</f>
        <v>-23.7372710971498</v>
      </c>
      <c r="AH927" s="2" t="n">
        <f aca="false">AD927+AE927+AG927</f>
        <v>7534.40043864233</v>
      </c>
      <c r="AI927" s="2" t="n">
        <f aca="false">Entrées!$C$16-M927+Hypothèses!$J$22*1000-AF927+Hypothèses!$J$23</f>
        <v>22773.942446074</v>
      </c>
      <c r="AJ927" s="2" t="n">
        <f aca="false">AI927/AH927</f>
        <v>3.02266154175604</v>
      </c>
      <c r="AK927" s="2" t="n">
        <f aca="false">AI927/(AH927+I927*(12-Hypothèses!$J$24)/12/Hypothèses!$J$19)</f>
        <v>2.99455046626809</v>
      </c>
      <c r="AL927" s="2" t="n">
        <f aca="false">(AD927+AG927+I927/Hypothèses!$J$19)*(1+G927)</f>
        <v>7937.97991938967</v>
      </c>
      <c r="AM927" s="2" t="n">
        <f aca="false">Entrées!$C$54*K927/Hypothèses!$J$19</f>
        <v>35.1096719126048</v>
      </c>
      <c r="AN927" s="2" t="n">
        <f aca="false">Y927*1000/AC927</f>
        <v>18.4216997266711</v>
      </c>
      <c r="AO927" s="2" t="n">
        <f aca="false">(Entrées!$C$36*(1-S927)+MAX(0,Entrées!$C$30-Entrées!$C$35-Entrées!$C$36)*U927)*1000</f>
        <v>597.809225439933</v>
      </c>
      <c r="AP927" s="2" t="n">
        <f aca="false">-AO927/W927</f>
        <v>-61.0965786259894</v>
      </c>
      <c r="AQ927" s="2" t="n">
        <f aca="false">AL927+AM927+AN927+AP927</f>
        <v>7930.41471240295</v>
      </c>
      <c r="AR927" s="2" t="n">
        <f aca="false">O927*AQ927-Hypothèses!$J$25/Hypothèses!$J$19</f>
        <v>1202.59374154662</v>
      </c>
      <c r="AS927" s="2" t="n">
        <f aca="false">Entrées!$C$79*(1+Q927)+Hypothèses!$J$20</f>
        <v>1492.42230472292</v>
      </c>
      <c r="AT927" s="2" t="n">
        <f aca="false">AI927-AR927+AS927+Y927*1000-AO927+Hypothèses!$J$23</f>
        <v>22649.6843491093</v>
      </c>
      <c r="AU927" s="2" t="n">
        <f aca="false">AT927/AQ927</f>
        <v>2.85605295189491</v>
      </c>
      <c r="AV927" s="2" t="n">
        <f aca="false">Hypothèses!$J$26*AQ927-AT927</f>
        <v>1141.55978809959</v>
      </c>
      <c r="AW927" s="2" t="n">
        <f aca="false">IF(AC927&gt;Hypothèses!$J$26,MAX(0,AV927)/(1-Hypothèses!$J$26/AC927),0)</f>
        <v>1632.68277857538</v>
      </c>
      <c r="AX927" s="2" t="n">
        <f aca="false">AQ927-Entrées!$C$17*1000</f>
        <v>-69.5852875970486</v>
      </c>
      <c r="AY927" s="2" t="n">
        <f aca="false">AI927+(Entrées!$C$244-Entrées!$C$13)</f>
        <v>28520.942446074</v>
      </c>
      <c r="AZ927" s="2" t="n">
        <f aca="false">AA927*AH927</f>
        <v>5525.90777856761</v>
      </c>
      <c r="BA927" s="2" t="n">
        <f aca="false">AZ927/AY927</f>
        <v>0.193749129749682</v>
      </c>
      <c r="BB927" s="2" t="n">
        <f aca="false">AZ927/(Entrées!$C$151/100)-AY927</f>
        <v>2178.5452126349</v>
      </c>
      <c r="BC927" s="2" t="n">
        <f aca="false">AT927+(Entrées!$C$244-Entrées!$C$13)</f>
        <v>28396.6843491093</v>
      </c>
      <c r="BD927" s="2" t="n">
        <f aca="false">AA927*AQ927</f>
        <v>5816.35402888556</v>
      </c>
      <c r="BE927" s="2" t="n">
        <f aca="false">BD927/BC927</f>
        <v>0.204825111177742</v>
      </c>
      <c r="BF927" s="2" t="n">
        <f aca="false">BD927/(Entrées!$C$151/100)-BC927</f>
        <v>3916.39358914386</v>
      </c>
      <c r="BG927" s="2" t="n">
        <f aca="false">MIN(AV927,BF927)</f>
        <v>1141.55978809959</v>
      </c>
      <c r="BH927" s="2" t="n">
        <f aca="false">IF(AC927&gt;Hypothèses!$J$26,MAX(0,BG927)/(1-Hypothèses!$J$26/AC927),0)</f>
        <v>1632.68277857538</v>
      </c>
    </row>
    <row r="928" customFormat="false" ht="15" hidden="false" customHeight="false" outlineLevel="0" collapsed="false">
      <c r="A928" s="2" t="n">
        <v>913</v>
      </c>
      <c r="B928" s="2" t="n">
        <v>0.026629537</v>
      </c>
      <c r="C928" s="2"/>
      <c r="D928" s="2" t="n">
        <v>0.092646563</v>
      </c>
      <c r="E928" s="2" t="n">
        <f aca="false">IF(E$7=E$5,E$6,IF(NORMSDIST(E$9*SQRT($C$11)*NORMSINV($B928)+SQRT(1-E$9^2*$C$11)*NORMSINV(D928))&lt;E$8,E$5+SQRT(NORMSDIST(E$9*SQRT($C$11)*NORMSINV($B928)+SQRT(1-E$9^2*$C$11)*NORMSINV(D928))*(E$7-E$5)*(E$6-E$5)),E$7-SQRT((1-NORMSDIST(E$9*SQRT($C$11)*NORMSINV($B928)+SQRT(1-E$9^2*$C$11)*NORMSINV(D928)))*(E$7-E$5)*(E$7-E$6))))</f>
        <v>0.0507833569287181</v>
      </c>
      <c r="F928" s="2" t="n">
        <v>0.195170367</v>
      </c>
      <c r="G928" s="2" t="n">
        <f aca="false">IF(G$7=G$5,G$6,IF(NORMSDIST(G$9*SQRT($C$11)*NORMSINV($B928)+SQRT(1-G$9^2*$C$11)*NORMSINV(F928))&lt;G$8,G$5+SQRT(NORMSDIST(G$9*SQRT($C$11)*NORMSINV($B928)+SQRT(1-G$9^2*$C$11)*NORMSINV(F928))*(G$7-G$5)*(G$6-G$5)),G$7-SQRT((1-NORMSDIST(G$9*SQRT($C$11)*NORMSINV($B928)+SQRT(1-G$9^2*$C$11)*NORMSINV(F928)))*(G$7-G$5)*(G$7-G$6))))</f>
        <v>0.0436451284254318</v>
      </c>
      <c r="H928" s="2" t="n">
        <v>0.798414143</v>
      </c>
      <c r="I928" s="2" t="n">
        <f aca="false">IF(I$7=I$5,I$6,IF(NORMSDIST(I$9*SQRT($C$11)*NORMSINV($B928)+SQRT(1-I$9^2*$C$11)*NORMSINV(H928))&lt;I$8,I$5+SQRT(NORMSDIST(I$9*SQRT($C$11)*NORMSINV($B928)+SQRT(1-I$9^2*$C$11)*NORMSINV(H928))*(I$7-I$5)*(I$6-I$5)),I$7-SQRT((1-NORMSDIST(I$9*SQRT($C$11)*NORMSINV($B928)+SQRT(1-I$9^2*$C$11)*NORMSINV(H928)))*(I$7-I$5)*(I$7-I$6))))</f>
        <v>195.038255617014</v>
      </c>
      <c r="J928" s="2" t="n">
        <v>0.036356084</v>
      </c>
      <c r="K928" s="2" t="n">
        <f aca="false">IF(K$7=K$5,K$6,IF(NORMSDIST(K$9*SQRT($C$11)*NORMSINV($B928)+SQRT(1-K$9^2*$C$11)*NORMSINV(J928))&lt;K$8,K$5+SQRT(NORMSDIST(K$9*SQRT($C$11)*NORMSINV($B928)+SQRT(1-K$9^2*$C$11)*NORMSINV(J928))*(K$7-K$5)*(K$6-K$5)),K$7-SQRT((1-NORMSDIST(K$9*SQRT($C$11)*NORMSINV($B928)+SQRT(1-K$9^2*$C$11)*NORMSINV(J928)))*(K$7-K$5)*(K$7-K$6))))</f>
        <v>0.0237003734748863</v>
      </c>
      <c r="L928" s="2" t="n">
        <v>0.359291323</v>
      </c>
      <c r="M928" s="2" t="n">
        <f aca="false">IF(M$7=M$5,M$6,IF(NORMSDIST(M$9*SQRT($C$11)*NORMSINV($B928)+SQRT(1-M$9^2*$C$11)*NORMSINV(L928))&lt;M$8,M$5+SQRT(NORMSDIST(M$9*SQRT($C$11)*NORMSINV($B928)+SQRT(1-M$9^2*$C$11)*NORMSINV(L928))*(M$7-M$5)*(M$6-M$5)),M$7-SQRT((1-NORMSDIST(M$9*SQRT($C$11)*NORMSINV($B928)+SQRT(1-M$9^2*$C$11)*NORMSINV(L928)))*(M$7-M$5)*(M$7-M$6))))</f>
        <v>1406.18085608439</v>
      </c>
      <c r="N928" s="2" t="n">
        <v>0.93311267</v>
      </c>
      <c r="O928" s="2" t="n">
        <f aca="false">IF(O$7=O$5,O$6,IF(NORMSDIST(O$9*SQRT($C$11)*NORMSINV($B928)+SQRT(1-O$9^2*$C$11)*NORMSINV(N928))&lt;O$8,O$5+SQRT(NORMSDIST(O$9*SQRT($C$11)*NORMSINV($B928)+SQRT(1-O$9^2*$C$11)*NORMSINV(N928))*(O$7-O$5)*(O$6-O$5)),O$7-SQRT((1-NORMSDIST(O$9*SQRT($C$11)*NORMSINV($B928)+SQRT(1-O$9^2*$C$11)*NORMSINV(N928)))*(O$7-O$5)*(O$7-O$6))))</f>
        <v>0.166124930376868</v>
      </c>
      <c r="P928" s="2" t="n">
        <v>0.476669435</v>
      </c>
      <c r="Q928" s="2" t="n">
        <f aca="false">IF(Q$7=Q$5,Q$6,IF(NORMSDIST(Q$9*SQRT($C$11)*NORMSINV($B928)+SQRT(1-Q$9^2*$C$11)*NORMSINV(P928))&lt;Q$8,Q$5+SQRT(NORMSDIST(Q$9*SQRT($C$11)*NORMSINV($B928)+SQRT(1-Q$9^2*$C$11)*NORMSINV(P928))*(Q$7-Q$5)*(Q$6-Q$5)),Q$7-SQRT((1-NORMSDIST(Q$9*SQRT($C$11)*NORMSINV($B928)+SQRT(1-Q$9^2*$C$11)*NORMSINV(P928)))*(Q$7-Q$5)*(Q$7-Q$6))))</f>
        <v>0.0790556294533835</v>
      </c>
      <c r="R928" s="2" t="n">
        <v>0.704268435</v>
      </c>
      <c r="S928" s="2" t="n">
        <f aca="false">IF(S$7=S$5,S$6,IF(NORMSDIST(S$9*SQRT($C$11)*NORMSINV($B928)+SQRT(1-S$9^2*$C$11)*NORMSINV(R928))&lt;S$8,S$5+SQRT(NORMSDIST(S$9*SQRT($C$11)*NORMSINV($B928)+SQRT(1-S$9^2*$C$11)*NORMSINV(R928))*(S$7-S$5)*(S$6-S$5)),S$7-SQRT((1-NORMSDIST(S$9*SQRT($C$11)*NORMSINV($B928)+SQRT(1-S$9^2*$C$11)*NORMSINV(R928)))*(S$7-S$5)*(S$7-S$6))))</f>
        <v>0.323979515386224</v>
      </c>
      <c r="T928" s="2" t="n">
        <v>0.808325943</v>
      </c>
      <c r="U928" s="2" t="n">
        <f aca="false">IF(U$7=U$5,U$6,IF(NORMSDIST(U$9*SQRT($C$11)*NORMSINV($B928)+SQRT(1-U$9^2*$C$11)*NORMSINV(T928))&lt;U$8,U$5+SQRT(NORMSDIST(U$9*SQRT($C$11)*NORMSINV($B928)+SQRT(1-U$9^2*$C$11)*NORMSINV(T928))*(U$7-U$5)*(U$6-U$5)),U$7-SQRT((1-NORMSDIST(U$9*SQRT($C$11)*NORMSINV($B928)+SQRT(1-U$9^2*$C$11)*NORMSINV(T928)))*(U$7-U$5)*(U$7-U$6))))</f>
        <v>0.382185324300594</v>
      </c>
      <c r="V928" s="2" t="n">
        <v>0.039211048</v>
      </c>
      <c r="W928" s="2" t="n">
        <f aca="false">IF(W$7=W$5,W$6,IF(NORMSDIST(W$9*SQRT($C$11)*NORMSINV($B928)+SQRT(1-W$9^2*$C$11)*NORMSINV(V928))&lt;W$8,W$5+SQRT(NORMSDIST(W$9*SQRT($C$11)*NORMSINV($B928)+SQRT(1-W$9^2*$C$11)*NORMSINV(V928))*(W$7-W$5)*(W$6-W$5)),W$7-SQRT((1-NORMSDIST(W$9*SQRT($C$11)*NORMSINV($B928)+SQRT(1-W$9^2*$C$11)*NORMSINV(V928)))*(W$7-W$5)*(W$7-W$6))))</f>
        <v>8.19717735020494</v>
      </c>
      <c r="X928" s="2" t="n">
        <v>0.29516955</v>
      </c>
      <c r="Y928" s="2" t="n">
        <f aca="false">IF(Y$7=Y$5,Y$6,IF(NORMSDIST(Y$9*SQRT($C$11)*NORMSINV($B928)+SQRT(1-Y$9^2*$C$11)*NORMSINV(X928))&lt;Y$8,Y$5+SQRT(NORMSDIST(Y$9*SQRT($C$11)*NORMSINV($B928)+SQRT(1-Y$9^2*$C$11)*NORMSINV(X928))*(Y$7-Y$5)*(Y$6-Y$5)),Y$7-SQRT((1-NORMSDIST(Y$9*SQRT($C$11)*NORMSINV($B928)+SQRT(1-Y$9^2*$C$11)*NORMSINV(X928)))*(Y$7-Y$5)*(Y$7-Y$6))))</f>
        <v>0.384167639188935</v>
      </c>
      <c r="Z928" s="2" t="n">
        <v>0.073494809</v>
      </c>
      <c r="AA928" s="2" t="n">
        <f aca="false">IF(AA$7=AA$5,AA$6,IF(NORMSDIST(AA$9*SQRT($C$11)*NORMSINV($B928)+SQRT(1-AA$9^2*$C$11)*NORMSINV(Z928))&lt;AA$8,AA$5+SQRT(NORMSDIST(AA$9*SQRT($C$11)*NORMSINV($B928)+SQRT(1-AA$9^2*$C$11)*NORMSINV(Z928))*(AA$7-AA$5)*(AA$6-AA$5)),AA$7-SQRT((1-NORMSDIST(AA$9*SQRT($C$11)*NORMSINV($B928)+SQRT(1-AA$9^2*$C$11)*NORMSINV(Z928)))*(AA$7-AA$5)*(AA$7-AA$6))))</f>
        <v>0.699829494474157</v>
      </c>
      <c r="AB928" s="2" t="n">
        <v>0.725626439</v>
      </c>
      <c r="AC928" s="2" t="n">
        <f aca="false">IF(AC$7=AC$5,AC$6,IF(NORMSDIST(AC$9*SQRT($C$11)*NORMSINV($B928)+SQRT(1-AC$9^2*$C$11)*NORMSINV(AB928))&lt;AC$8,AC$5+SQRT(NORMSDIST(AC$9*SQRT($C$11)*NORMSINV($B928)+SQRT(1-AC$9^2*$C$11)*NORMSINV(AB928))*(AC$7-AC$5)*(AC$6-AC$5)),AC$7-SQRT((1-NORMSDIST(AC$9*SQRT($C$11)*NORMSINV($B928)+SQRT(1-AC$9^2*$C$11)*NORMSINV(AB928)))*(AC$7-AC$5)*(AC$7-AC$6))))</f>
        <v>8.79192696427207</v>
      </c>
      <c r="AD928" s="2" t="n">
        <f aca="false">Entrées!$C$8*(1+E928)</f>
        <v>7408.02266634746</v>
      </c>
      <c r="AE928" s="2" t="n">
        <f aca="false">I928*Hypothèses!$J$24/12/Hypothèses!$J$19</f>
        <v>96.757854367379</v>
      </c>
      <c r="AF928" s="2" t="n">
        <f aca="false">Entrées!$C$36*S928*1000</f>
        <v>161.989757693112</v>
      </c>
      <c r="AG928" s="2" t="n">
        <f aca="false">-AF928/W928</f>
        <v>-19.7616509650193</v>
      </c>
      <c r="AH928" s="2" t="n">
        <f aca="false">AD928+AE928+AG928</f>
        <v>7485.01886974982</v>
      </c>
      <c r="AI928" s="2" t="n">
        <f aca="false">Entrées!$C$16-M928+Hypothèses!$J$22*1000-AF928+Hypothèses!$J$23</f>
        <v>22979.8293862225</v>
      </c>
      <c r="AJ928" s="2" t="n">
        <f aca="false">AI928/AH928</f>
        <v>3.07010974669601</v>
      </c>
      <c r="AK928" s="2" t="n">
        <f aca="false">AI928/(AH928+I928*(12-Hypothèses!$J$24)/12/Hypothèses!$J$19)</f>
        <v>3.04202131144411</v>
      </c>
      <c r="AL928" s="2" t="n">
        <f aca="false">(AD928+AG928+I928/Hypothèses!$J$19)*(1+G928)</f>
        <v>7883.83266769213</v>
      </c>
      <c r="AM928" s="2" t="n">
        <f aca="false">Entrées!$C$54*K928/Hypothèses!$J$19</f>
        <v>2.41872262454978</v>
      </c>
      <c r="AN928" s="2" t="n">
        <f aca="false">Y928*1000/AC928</f>
        <v>43.6954993768812</v>
      </c>
      <c r="AO928" s="2" t="n">
        <f aca="false">(Entrées!$C$36*(1-S928)+MAX(0,Entrées!$C$30-Entrées!$C$35-Entrées!$C$36)*U928)*1000</f>
        <v>873.06969632772</v>
      </c>
      <c r="AP928" s="2" t="n">
        <f aca="false">-AO928/W928</f>
        <v>-106.508577163564</v>
      </c>
      <c r="AQ928" s="2" t="n">
        <f aca="false">AL928+AM928+AN928+AP928</f>
        <v>7823.43831253</v>
      </c>
      <c r="AR928" s="2" t="n">
        <f aca="false">O928*AQ928-Hypothèses!$J$25/Hypothèses!$J$19</f>
        <v>1280.53298271514</v>
      </c>
      <c r="AS928" s="2" t="n">
        <f aca="false">Entrées!$C$79*(1+Q928)+Hypothèses!$J$20</f>
        <v>1480.88213676927</v>
      </c>
      <c r="AT928" s="2" t="n">
        <f aca="false">AI928-AR928+AS928+Y928*1000-AO928+Hypothèses!$J$23</f>
        <v>22691.2764831378</v>
      </c>
      <c r="AU928" s="2" t="n">
        <f aca="false">AT928/AQ928</f>
        <v>2.9004224966912</v>
      </c>
      <c r="AV928" s="2" t="n">
        <f aca="false">Hypothèses!$J$26*AQ928-AT928</f>
        <v>779.038454452148</v>
      </c>
      <c r="AW928" s="2" t="n">
        <f aca="false">IF(AC928&gt;Hypothèses!$J$26,MAX(0,AV928)/(1-Hypothèses!$J$26/AC928),0)</f>
        <v>1182.55102941608</v>
      </c>
      <c r="AX928" s="2" t="n">
        <f aca="false">AQ928-Entrées!$C$17*1000</f>
        <v>-176.561687470005</v>
      </c>
      <c r="AY928" s="2" t="n">
        <f aca="false">AI928+(Entrées!$C$244-Entrées!$C$13)</f>
        <v>28726.8293862225</v>
      </c>
      <c r="AZ928" s="2" t="n">
        <f aca="false">AA928*AH928</f>
        <v>5238.23697174654</v>
      </c>
      <c r="BA928" s="2" t="n">
        <f aca="false">AZ928/AY928</f>
        <v>0.182346506163984</v>
      </c>
      <c r="BB928" s="2" t="n">
        <f aca="false">AZ928/(Entrées!$C$151/100)-AY928</f>
        <v>374.487123480518</v>
      </c>
      <c r="BC928" s="2" t="n">
        <f aca="false">AT928+(Entrées!$C$244-Entrées!$C$13)</f>
        <v>28438.2764831378</v>
      </c>
      <c r="BD928" s="2" t="n">
        <f aca="false">AA928*AQ928</f>
        <v>5475.07287930762</v>
      </c>
      <c r="BE928" s="2" t="n">
        <f aca="false">BD928/BC928</f>
        <v>0.19252477844619</v>
      </c>
      <c r="BF928" s="2" t="n">
        <f aca="false">BD928/(Entrées!$C$151/100)-BC928</f>
        <v>1978.79506857114</v>
      </c>
      <c r="BG928" s="2" t="n">
        <f aca="false">MIN(AV928,BF928)</f>
        <v>779.038454452148</v>
      </c>
      <c r="BH928" s="2" t="n">
        <f aca="false">IF(AC928&gt;Hypothèses!$J$26,MAX(0,BG928)/(1-Hypothèses!$J$26/AC928),0)</f>
        <v>1182.55102941608</v>
      </c>
    </row>
    <row r="929" customFormat="false" ht="15" hidden="false" customHeight="false" outlineLevel="0" collapsed="false">
      <c r="A929" s="2" t="n">
        <v>914</v>
      </c>
      <c r="B929" s="2" t="n">
        <v>0.491502545</v>
      </c>
      <c r="C929" s="2"/>
      <c r="D929" s="2" t="n">
        <v>0.676417167</v>
      </c>
      <c r="E929" s="2" t="n">
        <f aca="false">IF(E$7=E$5,E$6,IF(NORMSDIST(E$9*SQRT($C$11)*NORMSINV($B929)+SQRT(1-E$9^2*$C$11)*NORMSINV(D929))&lt;E$8,E$5+SQRT(NORMSDIST(E$9*SQRT($C$11)*NORMSINV($B929)+SQRT(1-E$9^2*$C$11)*NORMSINV(D929))*(E$7-E$5)*(E$6-E$5)),E$7-SQRT((1-NORMSDIST(E$9*SQRT($C$11)*NORMSINV($B929)+SQRT(1-E$9^2*$C$11)*NORMSINV(D929)))*(E$7-E$5)*(E$7-E$6))))</f>
        <v>0.0557190652944762</v>
      </c>
      <c r="F929" s="2" t="n">
        <v>0.254568709</v>
      </c>
      <c r="G929" s="2" t="n">
        <f aca="false">IF(G$7=G$5,G$6,IF(NORMSDIST(G$9*SQRT($C$11)*NORMSINV($B929)+SQRT(1-G$9^2*$C$11)*NORMSINV(F929))&lt;G$8,G$5+SQRT(NORMSDIST(G$9*SQRT($C$11)*NORMSINV($B929)+SQRT(1-G$9^2*$C$11)*NORMSINV(F929))*(G$7-G$5)*(G$6-G$5)),G$7-SQRT((1-NORMSDIST(G$9*SQRT($C$11)*NORMSINV($B929)+SQRT(1-G$9^2*$C$11)*NORMSINV(F929)))*(G$7-G$5)*(G$7-G$6))))</f>
        <v>0.0516159463358401</v>
      </c>
      <c r="H929" s="2" t="n">
        <v>0.290741744</v>
      </c>
      <c r="I929" s="2" t="n">
        <f aca="false">IF(I$7=I$5,I$6,IF(NORMSDIST(I$9*SQRT($C$11)*NORMSINV($B929)+SQRT(1-I$9^2*$C$11)*NORMSINV(H929))&lt;I$8,I$5+SQRT(NORMSDIST(I$9*SQRT($C$11)*NORMSINV($B929)+SQRT(1-I$9^2*$C$11)*NORMSINV(H929))*(I$7-I$5)*(I$6-I$5)),I$7-SQRT((1-NORMSDIST(I$9*SQRT($C$11)*NORMSINV($B929)+SQRT(1-I$9^2*$C$11)*NORMSINV(H929)))*(I$7-I$5)*(I$7-I$6))))</f>
        <v>196.243337106606</v>
      </c>
      <c r="J929" s="2" t="n">
        <v>0.878781304</v>
      </c>
      <c r="K929" s="2" t="n">
        <f aca="false">IF(K$7=K$5,K$6,IF(NORMSDIST(K$9*SQRT($C$11)*NORMSINV($B929)+SQRT(1-K$9^2*$C$11)*NORMSINV(J929))&lt;K$8,K$5+SQRT(NORMSDIST(K$9*SQRT($C$11)*NORMSINV($B929)+SQRT(1-K$9^2*$C$11)*NORMSINV(J929))*(K$7-K$5)*(K$6-K$5)),K$7-SQRT((1-NORMSDIST(K$9*SQRT($C$11)*NORMSINV($B929)+SQRT(1-K$9^2*$C$11)*NORMSINV(J929)))*(K$7-K$5)*(K$7-K$6))))</f>
        <v>0.347436285279346</v>
      </c>
      <c r="L929" s="2" t="n">
        <v>0.267092225</v>
      </c>
      <c r="M929" s="2" t="n">
        <f aca="false">IF(M$7=M$5,M$6,IF(NORMSDIST(M$9*SQRT($C$11)*NORMSINV($B929)+SQRT(1-M$9^2*$C$11)*NORMSINV(L929))&lt;M$8,M$5+SQRT(NORMSDIST(M$9*SQRT($C$11)*NORMSINV($B929)+SQRT(1-M$9^2*$C$11)*NORMSINV(L929))*(M$7-M$5)*(M$6-M$5)),M$7-SQRT((1-NORMSDIST(M$9*SQRT($C$11)*NORMSINV($B929)+SQRT(1-M$9^2*$C$11)*NORMSINV(L929)))*(M$7-M$5)*(M$7-M$6))))</f>
        <v>1525.47528329484</v>
      </c>
      <c r="N929" s="2" t="n">
        <v>0.150330455</v>
      </c>
      <c r="O929" s="2" t="n">
        <f aca="false">IF(O$7=O$5,O$6,IF(NORMSDIST(O$9*SQRT($C$11)*NORMSINV($B929)+SQRT(1-O$9^2*$C$11)*NORMSINV(N929))&lt;O$8,O$5+SQRT(NORMSDIST(O$9*SQRT($C$11)*NORMSINV($B929)+SQRT(1-O$9^2*$C$11)*NORMSINV(N929))*(O$7-O$5)*(O$6-O$5)),O$7-SQRT((1-NORMSDIST(O$9*SQRT($C$11)*NORMSINV($B929)+SQRT(1-O$9^2*$C$11)*NORMSINV(N929)))*(O$7-O$5)*(O$7-O$6))))</f>
        <v>0.157253908495053</v>
      </c>
      <c r="P929" s="2" t="n">
        <v>0.991407361</v>
      </c>
      <c r="Q929" s="2" t="n">
        <f aca="false">IF(Q$7=Q$5,Q$6,IF(NORMSDIST(Q$9*SQRT($C$11)*NORMSINV($B929)+SQRT(1-Q$9^2*$C$11)*NORMSINV(P929))&lt;Q$8,Q$5+SQRT(NORMSDIST(Q$9*SQRT($C$11)*NORMSINV($B929)+SQRT(1-Q$9^2*$C$11)*NORMSINV(P929))*(Q$7-Q$5)*(Q$6-Q$5)),Q$7-SQRT((1-NORMSDIST(Q$9*SQRT($C$11)*NORMSINV($B929)+SQRT(1-Q$9^2*$C$11)*NORMSINV(P929)))*(Q$7-Q$5)*(Q$7-Q$6))))</f>
        <v>0.114756294745125</v>
      </c>
      <c r="R929" s="2" t="n">
        <v>0.879888767</v>
      </c>
      <c r="S929" s="2" t="n">
        <f aca="false">IF(S$7=S$5,S$6,IF(NORMSDIST(S$9*SQRT($C$11)*NORMSINV($B929)+SQRT(1-S$9^2*$C$11)*NORMSINV(R929))&lt;S$8,S$5+SQRT(NORMSDIST(S$9*SQRT($C$11)*NORMSINV($B929)+SQRT(1-S$9^2*$C$11)*NORMSINV(R929))*(S$7-S$5)*(S$6-S$5)),S$7-SQRT((1-NORMSDIST(S$9*SQRT($C$11)*NORMSINV($B929)+SQRT(1-S$9^2*$C$11)*NORMSINV(R929)))*(S$7-S$5)*(S$7-S$6))))</f>
        <v>0.695810226342163</v>
      </c>
      <c r="T929" s="2" t="n">
        <v>0.475057561</v>
      </c>
      <c r="U929" s="2" t="n">
        <f aca="false">IF(U$7=U$5,U$6,IF(NORMSDIST(U$9*SQRT($C$11)*NORMSINV($B929)+SQRT(1-U$9^2*$C$11)*NORMSINV(T929))&lt;U$8,U$5+SQRT(NORMSDIST(U$9*SQRT($C$11)*NORMSINV($B929)+SQRT(1-U$9^2*$C$11)*NORMSINV(T929))*(U$7-U$5)*(U$6-U$5)),U$7-SQRT((1-NORMSDIST(U$9*SQRT($C$11)*NORMSINV($B929)+SQRT(1-U$9^2*$C$11)*NORMSINV(T929)))*(U$7-U$5)*(U$7-U$6))))</f>
        <v>0.487497785995082</v>
      </c>
      <c r="V929" s="2" t="n">
        <v>0.011516064</v>
      </c>
      <c r="W929" s="2" t="n">
        <f aca="false">IF(W$7=W$5,W$6,IF(NORMSDIST(W$9*SQRT($C$11)*NORMSINV($B929)+SQRT(1-W$9^2*$C$11)*NORMSINV(V929))&lt;W$8,W$5+SQRT(NORMSDIST(W$9*SQRT($C$11)*NORMSINV($B929)+SQRT(1-W$9^2*$C$11)*NORMSINV(V929))*(W$7-W$5)*(W$6-W$5)),W$7-SQRT((1-NORMSDIST(W$9*SQRT($C$11)*NORMSINV($B929)+SQRT(1-W$9^2*$C$11)*NORMSINV(V929)))*(W$7-W$5)*(W$7-W$6))))</f>
        <v>8.55155853906467</v>
      </c>
      <c r="X929" s="2" t="n">
        <v>0.39818155</v>
      </c>
      <c r="Y929" s="2" t="n">
        <f aca="false">IF(Y$7=Y$5,Y$6,IF(NORMSDIST(Y$9*SQRT($C$11)*NORMSINV($B929)+SQRT(1-Y$9^2*$C$11)*NORMSINV(X929))&lt;Y$8,Y$5+SQRT(NORMSDIST(Y$9*SQRT($C$11)*NORMSINV($B929)+SQRT(1-Y$9^2*$C$11)*NORMSINV(X929))*(Y$7-Y$5)*(Y$6-Y$5)),Y$7-SQRT((1-NORMSDIST(Y$9*SQRT($C$11)*NORMSINV($B929)+SQRT(1-Y$9^2*$C$11)*NORMSINV(X929)))*(Y$7-Y$5)*(Y$7-Y$6))))</f>
        <v>0.446195893078365</v>
      </c>
      <c r="Z929" s="2" t="n">
        <v>0.696825824</v>
      </c>
      <c r="AA929" s="2" t="n">
        <f aca="false">IF(AA$7=AA$5,AA$6,IF(NORMSDIST(AA$9*SQRT($C$11)*NORMSINV($B929)+SQRT(1-AA$9^2*$C$11)*NORMSINV(Z929))&lt;AA$8,AA$5+SQRT(NORMSDIST(AA$9*SQRT($C$11)*NORMSINV($B929)+SQRT(1-AA$9^2*$C$11)*NORMSINV(Z929))*(AA$7-AA$5)*(AA$6-AA$5)),AA$7-SQRT((1-NORMSDIST(AA$9*SQRT($C$11)*NORMSINV($B929)+SQRT(1-AA$9^2*$C$11)*NORMSINV(Z929)))*(AA$7-AA$5)*(AA$7-AA$6))))</f>
        <v>0.732663376023142</v>
      </c>
      <c r="AB929" s="2" t="n">
        <v>0.66721116</v>
      </c>
      <c r="AC929" s="2" t="n">
        <f aca="false">IF(AC$7=AC$5,AC$6,IF(NORMSDIST(AC$9*SQRT($C$11)*NORMSINV($B929)+SQRT(1-AC$9^2*$C$11)*NORMSINV(AB929))&lt;AC$8,AC$5+SQRT(NORMSDIST(AC$9*SQRT($C$11)*NORMSINV($B929)+SQRT(1-AC$9^2*$C$11)*NORMSINV(AB929))*(AC$7-AC$5)*(AC$6-AC$5)),AC$7-SQRT((1-NORMSDIST(AC$9*SQRT($C$11)*NORMSINV($B929)+SQRT(1-AC$9^2*$C$11)*NORMSINV(AB929)))*(AC$7-AC$5)*(AC$7-AC$6))))</f>
        <v>9.72568372000233</v>
      </c>
      <c r="AD929" s="2" t="n">
        <f aca="false">Entrées!$C$8*(1+E929)</f>
        <v>7442.81941032606</v>
      </c>
      <c r="AE929" s="2" t="n">
        <f aca="false">I929*Hypothèses!$J$24/12/Hypothèses!$J$19</f>
        <v>97.3556914373524</v>
      </c>
      <c r="AF929" s="2" t="n">
        <f aca="false">Entrées!$C$36*S929*1000</f>
        <v>347.905113171082</v>
      </c>
      <c r="AG929" s="2" t="n">
        <f aca="false">-AF929/W929</f>
        <v>-40.6832405557191</v>
      </c>
      <c r="AH929" s="2" t="n">
        <f aca="false">AD929+AE929+AG929</f>
        <v>7499.49186120769</v>
      </c>
      <c r="AI929" s="2" t="n">
        <f aca="false">Entrées!$C$16-M929+Hypothèses!$J$22*1000-AF929+Hypothèses!$J$23</f>
        <v>22674.6196035341</v>
      </c>
      <c r="AJ929" s="2" t="n">
        <f aca="false">AI929/AH929</f>
        <v>3.02348746064012</v>
      </c>
      <c r="AK929" s="2" t="n">
        <f aca="false">AI929/(AH929+I929*(12-Hypothèses!$J$24)/12/Hypothèses!$J$19)</f>
        <v>2.99570944865546</v>
      </c>
      <c r="AL929" s="2" t="n">
        <f aca="false">(AD929+AG929+I929/Hypothèses!$J$19)*(1+G929)</f>
        <v>7959.71437179191</v>
      </c>
      <c r="AM929" s="2" t="n">
        <f aca="false">Entrées!$C$54*K929/Hypothèses!$J$19</f>
        <v>35.4573317034498</v>
      </c>
      <c r="AN929" s="2" t="n">
        <f aca="false">Y929*1000/AC929</f>
        <v>45.8781002882806</v>
      </c>
      <c r="AO929" s="2" t="n">
        <f aca="false">(Entrées!$C$36*(1-S929)+MAX(0,Entrées!$C$30-Entrées!$C$35-Entrées!$C$36)*U929)*1000</f>
        <v>834.591787222033</v>
      </c>
      <c r="AP929" s="2" t="n">
        <f aca="false">-AO929/W929</f>
        <v>-97.5952843460646</v>
      </c>
      <c r="AQ929" s="2" t="n">
        <f aca="false">AL929+AM929+AN929+AP929</f>
        <v>7943.45451943758</v>
      </c>
      <c r="AR929" s="2" t="n">
        <f aca="false">O929*AQ929-Hypothèses!$J$25/Hypothèses!$J$19</f>
        <v>1230.00410787262</v>
      </c>
      <c r="AS929" s="2" t="n">
        <f aca="false">Entrées!$C$79*(1+Q929)+Hypothèses!$J$20</f>
        <v>1520.11716792489</v>
      </c>
      <c r="AT929" s="2" t="n">
        <f aca="false">AI929-AR929+AS929+Y929*1000-AO929+Hypothèses!$J$23</f>
        <v>22576.3367694427</v>
      </c>
      <c r="AU929" s="2" t="n">
        <f aca="false">AT929/AQ929</f>
        <v>2.84213080268774</v>
      </c>
      <c r="AV929" s="2" t="n">
        <f aca="false">Hypothèses!$J$26*AQ929-AT929</f>
        <v>1254.02678887004</v>
      </c>
      <c r="AW929" s="2" t="n">
        <f aca="false">IF(AC929&gt;Hypothèses!$J$26,MAX(0,AV929)/(1-Hypothèses!$J$26/AC929),0)</f>
        <v>1813.38707449002</v>
      </c>
      <c r="AX929" s="2" t="n">
        <f aca="false">AQ929-Entrées!$C$17*1000</f>
        <v>-56.5454805624249</v>
      </c>
      <c r="AY929" s="2" t="n">
        <f aca="false">AI929+(Entrées!$C$244-Entrées!$C$13)</f>
        <v>28421.6196035341</v>
      </c>
      <c r="AZ929" s="2" t="n">
        <f aca="false">AA929*AH929</f>
        <v>5494.6030254905</v>
      </c>
      <c r="BA929" s="2" t="n">
        <f aca="false">AZ929/AY929</f>
        <v>0.1933247683326</v>
      </c>
      <c r="BB929" s="2" t="n">
        <f aca="false">AZ929/(Entrées!$C$151/100)-AY929</f>
        <v>2103.95276030203</v>
      </c>
      <c r="BC929" s="2" t="n">
        <f aca="false">AT929+(Entrées!$C$244-Entrées!$C$13)</f>
        <v>28323.3367694427</v>
      </c>
      <c r="BD929" s="2" t="n">
        <f aca="false">AA929*AQ929</f>
        <v>5819.87820549742</v>
      </c>
      <c r="BE929" s="2" t="n">
        <f aca="false">BD929/BC929</f>
        <v>0.205479963496968</v>
      </c>
      <c r="BF929" s="2" t="n">
        <f aca="false">BD929/(Entrées!$C$151/100)-BC929</f>
        <v>4009.31992776518</v>
      </c>
      <c r="BG929" s="2" t="n">
        <f aca="false">MIN(AV929,BF929)</f>
        <v>1254.02678887004</v>
      </c>
      <c r="BH929" s="2" t="n">
        <f aca="false">IF(AC929&gt;Hypothèses!$J$26,MAX(0,BG929)/(1-Hypothèses!$J$26/AC929),0)</f>
        <v>1813.38707449002</v>
      </c>
    </row>
    <row r="930" customFormat="false" ht="15" hidden="false" customHeight="false" outlineLevel="0" collapsed="false">
      <c r="A930" s="2" t="n">
        <v>915</v>
      </c>
      <c r="B930" s="2" t="n">
        <v>0.530645079</v>
      </c>
      <c r="C930" s="2"/>
      <c r="D930" s="2" t="n">
        <v>0.858179575</v>
      </c>
      <c r="E930" s="2" t="n">
        <f aca="false">IF(E$7=E$5,E$6,IF(NORMSDIST(E$9*SQRT($C$11)*NORMSINV($B930)+SQRT(1-E$9^2*$C$11)*NORMSINV(D930))&lt;E$8,E$5+SQRT(NORMSDIST(E$9*SQRT($C$11)*NORMSINV($B930)+SQRT(1-E$9^2*$C$11)*NORMSINV(D930))*(E$7-E$5)*(E$6-E$5)),E$7-SQRT((1-NORMSDIST(E$9*SQRT($C$11)*NORMSINV($B930)+SQRT(1-E$9^2*$C$11)*NORMSINV(D930)))*(E$7-E$5)*(E$7-E$6))))</f>
        <v>0.0569205184519745</v>
      </c>
      <c r="F930" s="2" t="n">
        <v>0.485599665</v>
      </c>
      <c r="G930" s="2" t="n">
        <f aca="false">IF(G$7=G$5,G$6,IF(NORMSDIST(G$9*SQRT($C$11)*NORMSINV($B930)+SQRT(1-G$9^2*$C$11)*NORMSINV(F930))&lt;G$8,G$5+SQRT(NORMSDIST(G$9*SQRT($C$11)*NORMSINV($B930)+SQRT(1-G$9^2*$C$11)*NORMSINV(F930))*(G$7-G$5)*(G$6-G$5)),G$7-SQRT((1-NORMSDIST(G$9*SQRT($C$11)*NORMSINV($B930)+SQRT(1-G$9^2*$C$11)*NORMSINV(F930)))*(G$7-G$5)*(G$7-G$6))))</f>
        <v>0.0551241632098106</v>
      </c>
      <c r="H930" s="2" t="n">
        <v>0.835057364</v>
      </c>
      <c r="I930" s="2" t="n">
        <f aca="false">IF(I$7=I$5,I$6,IF(NORMSDIST(I$9*SQRT($C$11)*NORMSINV($B930)+SQRT(1-I$9^2*$C$11)*NORMSINV(H930))&lt;I$8,I$5+SQRT(NORMSDIST(I$9*SQRT($C$11)*NORMSINV($B930)+SQRT(1-I$9^2*$C$11)*NORMSINV(H930))*(I$7-I$5)*(I$6-I$5)),I$7-SQRT((1-NORMSDIST(I$9*SQRT($C$11)*NORMSINV($B930)+SQRT(1-I$9^2*$C$11)*NORMSINV(H930)))*(I$7-I$5)*(I$7-I$6))))</f>
        <v>207.011240845094</v>
      </c>
      <c r="J930" s="2" t="n">
        <v>0.437358106</v>
      </c>
      <c r="K930" s="2" t="n">
        <f aca="false">IF(K$7=K$5,K$6,IF(NORMSDIST(K$9*SQRT($C$11)*NORMSINV($B930)+SQRT(1-K$9^2*$C$11)*NORMSINV(J930))&lt;K$8,K$5+SQRT(NORMSDIST(K$9*SQRT($C$11)*NORMSINV($B930)+SQRT(1-K$9^2*$C$11)*NORMSINV(J930))*(K$7-K$5)*(K$6-K$5)),K$7-SQRT((1-NORMSDIST(K$9*SQRT($C$11)*NORMSINV($B930)+SQRT(1-K$9^2*$C$11)*NORMSINV(J930)))*(K$7-K$5)*(K$7-K$6))))</f>
        <v>0.242565403807985</v>
      </c>
      <c r="L930" s="2" t="n">
        <v>0.628973975</v>
      </c>
      <c r="M930" s="2" t="n">
        <f aca="false">IF(M$7=M$5,M$6,IF(NORMSDIST(M$9*SQRT($C$11)*NORMSINV($B930)+SQRT(1-M$9^2*$C$11)*NORMSINV(L930))&lt;M$8,M$5+SQRT(NORMSDIST(M$9*SQRT($C$11)*NORMSINV($B930)+SQRT(1-M$9^2*$C$11)*NORMSINV(L930))*(M$7-M$5)*(M$6-M$5)),M$7-SQRT((1-NORMSDIST(M$9*SQRT($C$11)*NORMSINV($B930)+SQRT(1-M$9^2*$C$11)*NORMSINV(L930)))*(M$7-M$5)*(M$7-M$6))))</f>
        <v>1617.2065573942</v>
      </c>
      <c r="N930" s="2" t="n">
        <v>0.386405871</v>
      </c>
      <c r="O930" s="2" t="n">
        <f aca="false">IF(O$7=O$5,O$6,IF(NORMSDIST(O$9*SQRT($C$11)*NORMSINV($B930)+SQRT(1-O$9^2*$C$11)*NORMSINV(N930))&lt;O$8,O$5+SQRT(NORMSDIST(O$9*SQRT($C$11)*NORMSINV($B930)+SQRT(1-O$9^2*$C$11)*NORMSINV(N930))*(O$7-O$5)*(O$6-O$5)),O$7-SQRT((1-NORMSDIST(O$9*SQRT($C$11)*NORMSINV($B930)+SQRT(1-O$9^2*$C$11)*NORMSINV(N930)))*(O$7-O$5)*(O$7-O$6))))</f>
        <v>0.164854563074037</v>
      </c>
      <c r="P930" s="2" t="n">
        <v>0.242487826</v>
      </c>
      <c r="Q930" s="2" t="n">
        <f aca="false">IF(Q$7=Q$5,Q$6,IF(NORMSDIST(Q$9*SQRT($C$11)*NORMSINV($B930)+SQRT(1-Q$9^2*$C$11)*NORMSINV(P930))&lt;Q$8,Q$5+SQRT(NORMSDIST(Q$9*SQRT($C$11)*NORMSINV($B930)+SQRT(1-Q$9^2*$C$11)*NORMSINV(P930))*(Q$7-Q$5)*(Q$6-Q$5)),Q$7-SQRT((1-NORMSDIST(Q$9*SQRT($C$11)*NORMSINV($B930)+SQRT(1-Q$9^2*$C$11)*NORMSINV(P930)))*(Q$7-Q$5)*(Q$7-Q$6))))</f>
        <v>0.0678560773117824</v>
      </c>
      <c r="R930" s="2" t="n">
        <v>0.542741246</v>
      </c>
      <c r="S930" s="2" t="n">
        <f aca="false">IF(S$7=S$5,S$6,IF(NORMSDIST(S$9*SQRT($C$11)*NORMSINV($B930)+SQRT(1-S$9^2*$C$11)*NORMSINV(R930))&lt;S$8,S$5+SQRT(NORMSDIST(S$9*SQRT($C$11)*NORMSINV($B930)+SQRT(1-S$9^2*$C$11)*NORMSINV(R930))*(S$7-S$5)*(S$6-S$5)),S$7-SQRT((1-NORMSDIST(S$9*SQRT($C$11)*NORMSINV($B930)+SQRT(1-S$9^2*$C$11)*NORMSINV(R930)))*(S$7-S$5)*(S$7-S$6))))</f>
        <v>0.526935421950548</v>
      </c>
      <c r="T930" s="2" t="n">
        <v>0.312645302</v>
      </c>
      <c r="U930" s="2" t="n">
        <f aca="false">IF(U$7=U$5,U$6,IF(NORMSDIST(U$9*SQRT($C$11)*NORMSINV($B930)+SQRT(1-U$9^2*$C$11)*NORMSINV(T930))&lt;U$8,U$5+SQRT(NORMSDIST(U$9*SQRT($C$11)*NORMSINV($B930)+SQRT(1-U$9^2*$C$11)*NORMSINV(T930))*(U$7-U$5)*(U$6-U$5)),U$7-SQRT((1-NORMSDIST(U$9*SQRT($C$11)*NORMSINV($B930)+SQRT(1-U$9^2*$C$11)*NORMSINV(T930)))*(U$7-U$5)*(U$7-U$6))))</f>
        <v>0.430598343248732</v>
      </c>
      <c r="V930" s="2" t="n">
        <v>0.691055244</v>
      </c>
      <c r="W930" s="2" t="n">
        <f aca="false">IF(W$7=W$5,W$6,IF(NORMSDIST(W$9*SQRT($C$11)*NORMSINV($B930)+SQRT(1-W$9^2*$C$11)*NORMSINV(V930))&lt;W$8,W$5+SQRT(NORMSDIST(W$9*SQRT($C$11)*NORMSINV($B930)+SQRT(1-W$9^2*$C$11)*NORMSINV(V930))*(W$7-W$5)*(W$6-W$5)),W$7-SQRT((1-NORMSDIST(W$9*SQRT($C$11)*NORMSINV($B930)+SQRT(1-W$9^2*$C$11)*NORMSINV(V930)))*(W$7-W$5)*(W$7-W$6))))</f>
        <v>10.3708426897909</v>
      </c>
      <c r="X930" s="2" t="n">
        <v>0.765718659</v>
      </c>
      <c r="Y930" s="2" t="n">
        <f aca="false">IF(Y$7=Y$5,Y$6,IF(NORMSDIST(Y$9*SQRT($C$11)*NORMSINV($B930)+SQRT(1-Y$9^2*$C$11)*NORMSINV(X930))&lt;Y$8,Y$5+SQRT(NORMSDIST(Y$9*SQRT($C$11)*NORMSINV($B930)+SQRT(1-Y$9^2*$C$11)*NORMSINV(X930))*(Y$7-Y$5)*(Y$6-Y$5)),Y$7-SQRT((1-NORMSDIST(Y$9*SQRT($C$11)*NORMSINV($B930)+SQRT(1-Y$9^2*$C$11)*NORMSINV(X930)))*(Y$7-Y$5)*(Y$7-Y$6))))</f>
        <v>0.657741807256568</v>
      </c>
      <c r="Z930" s="2" t="n">
        <v>0.736264109</v>
      </c>
      <c r="AA930" s="2" t="n">
        <f aca="false">IF(AA$7=AA$5,AA$6,IF(NORMSDIST(AA$9*SQRT($C$11)*NORMSINV($B930)+SQRT(1-AA$9^2*$C$11)*NORMSINV(Z930))&lt;AA$8,AA$5+SQRT(NORMSDIST(AA$9*SQRT($C$11)*NORMSINV($B930)+SQRT(1-AA$9^2*$C$11)*NORMSINV(Z930))*(AA$7-AA$5)*(AA$6-AA$5)),AA$7-SQRT((1-NORMSDIST(AA$9*SQRT($C$11)*NORMSINV($B930)+SQRT(1-AA$9^2*$C$11)*NORMSINV(Z930)))*(AA$7-AA$5)*(AA$7-AA$6))))</f>
        <v>0.734388683592472</v>
      </c>
      <c r="AB930" s="2" t="n">
        <v>0.730781542</v>
      </c>
      <c r="AC930" s="2" t="n">
        <f aca="false">IF(AC$7=AC$5,AC$6,IF(NORMSDIST(AC$9*SQRT($C$11)*NORMSINV($B930)+SQRT(1-AC$9^2*$C$11)*NORMSINV(AB930))&lt;AC$8,AC$5+SQRT(NORMSDIST(AC$9*SQRT($C$11)*NORMSINV($B930)+SQRT(1-AC$9^2*$C$11)*NORMSINV(AB930))*(AC$7-AC$5)*(AC$6-AC$5)),AC$7-SQRT((1-NORMSDIST(AC$9*SQRT($C$11)*NORMSINV($B930)+SQRT(1-AC$9^2*$C$11)*NORMSINV(AB930)))*(AC$7-AC$5)*(AC$7-AC$6))))</f>
        <v>9.8620715881231</v>
      </c>
      <c r="AD930" s="2" t="n">
        <f aca="false">Entrées!$C$8*(1+E930)</f>
        <v>7451.28965508642</v>
      </c>
      <c r="AE930" s="2" t="n">
        <f aca="false">I930*Hypothèses!$J$24/12/Hypothèses!$J$19</f>
        <v>102.697614017999</v>
      </c>
      <c r="AF930" s="2" t="n">
        <f aca="false">Entrées!$C$36*S930*1000</f>
        <v>263.467710975274</v>
      </c>
      <c r="AG930" s="2" t="n">
        <f aca="false">-AF930/W930</f>
        <v>-25.4046579295464</v>
      </c>
      <c r="AH930" s="2" t="n">
        <f aca="false">AD930+AE930+AG930</f>
        <v>7528.58261117487</v>
      </c>
      <c r="AI930" s="2" t="n">
        <f aca="false">Entrées!$C$16-M930+Hypothèses!$J$22*1000-AF930+Hypothèses!$J$23</f>
        <v>22667.3257316305</v>
      </c>
      <c r="AJ930" s="2" t="n">
        <f aca="false">AI930/AH930</f>
        <v>3.01083575784701</v>
      </c>
      <c r="AK930" s="2" t="n">
        <f aca="false">AI930/(AH930+I930*(12-Hypothèses!$J$24)/12/Hypothèses!$J$19)</f>
        <v>2.9817824853688</v>
      </c>
      <c r="AL930" s="2" t="n">
        <f aca="false">(AD930+AG930+I930/Hypothèses!$J$19)*(1+G930)</f>
        <v>8020.98852352495</v>
      </c>
      <c r="AM930" s="2" t="n">
        <f aca="false">Entrées!$C$54*K930/Hypothèses!$J$19</f>
        <v>24.7548179249207</v>
      </c>
      <c r="AN930" s="2" t="n">
        <f aca="false">Y930*1000/AC930</f>
        <v>66.694081601343</v>
      </c>
      <c r="AO930" s="2" t="n">
        <f aca="false">(Entrées!$C$36*(1-S930)+MAX(0,Entrées!$C$30-Entrées!$C$35-Entrées!$C$36)*U930)*1000</f>
        <v>839.369969572951</v>
      </c>
      <c r="AP930" s="2" t="n">
        <f aca="false">-AO930/W930</f>
        <v>-80.9355608488047</v>
      </c>
      <c r="AQ930" s="2" t="n">
        <f aca="false">AL930+AM930+AN930+AP930</f>
        <v>8031.50186220241</v>
      </c>
      <c r="AR930" s="2" t="n">
        <f aca="false">O930*AQ930-Hypothèses!$J$25/Hypothèses!$J$19</f>
        <v>1304.89456806006</v>
      </c>
      <c r="AS930" s="2" t="n">
        <f aca="false">Entrées!$C$79*(1+Q930)+Hypothèses!$J$20</f>
        <v>1468.57382896565</v>
      </c>
      <c r="AT930" s="2" t="n">
        <f aca="false">AI930-AR930+AS930+Y930*1000-AO930+Hypothèses!$J$23</f>
        <v>22649.3768302197</v>
      </c>
      <c r="AU930" s="2" t="n">
        <f aca="false">AT930/AQ930</f>
        <v>2.82006743182262</v>
      </c>
      <c r="AV930" s="2" t="n">
        <f aca="false">Hypothèses!$J$26*AQ930-AT930</f>
        <v>1445.1287563875</v>
      </c>
      <c r="AW930" s="2" t="n">
        <f aca="false">IF(AC930&gt;Hypothèses!$J$26,MAX(0,AV930)/(1-Hypothèses!$J$26/AC930),0)</f>
        <v>2076.91847374723</v>
      </c>
      <c r="AX930" s="2" t="n">
        <f aca="false">AQ930-Entrées!$C$17*1000</f>
        <v>31.5018622024099</v>
      </c>
      <c r="AY930" s="2" t="n">
        <f aca="false">AI930+(Entrées!$C$244-Entrées!$C$13)</f>
        <v>28414.3257316305</v>
      </c>
      <c r="AZ930" s="2" t="n">
        <f aca="false">AA930*AH930</f>
        <v>5528.9058731379</v>
      </c>
      <c r="BA930" s="2" t="n">
        <f aca="false">AZ930/AY930</f>
        <v>0.194581632003436</v>
      </c>
      <c r="BB930" s="2" t="n">
        <f aca="false">AZ930/(Entrées!$C$151/100)-AY930</f>
        <v>2301.81800802445</v>
      </c>
      <c r="BC930" s="2" t="n">
        <f aca="false">AT930+(Entrées!$C$244-Entrées!$C$13)</f>
        <v>28396.3768302197</v>
      </c>
      <c r="BD930" s="2" t="n">
        <f aca="false">AA930*AQ930</f>
        <v>5898.24407985332</v>
      </c>
      <c r="BE930" s="2" t="n">
        <f aca="false">BD930/BC930</f>
        <v>0.207711149739933</v>
      </c>
      <c r="BF930" s="2" t="n">
        <f aca="false">BD930/(Entrées!$C$151/100)-BC930</f>
        <v>4371.64583563205</v>
      </c>
      <c r="BG930" s="2" t="n">
        <f aca="false">MIN(AV930,BF930)</f>
        <v>1445.1287563875</v>
      </c>
      <c r="BH930" s="2" t="n">
        <f aca="false">IF(AC930&gt;Hypothèses!$J$26,MAX(0,BG930)/(1-Hypothèses!$J$26/AC930),0)</f>
        <v>2076.91847374723</v>
      </c>
    </row>
    <row r="931" customFormat="false" ht="15" hidden="false" customHeight="false" outlineLevel="0" collapsed="false">
      <c r="A931" s="2" t="n">
        <v>916</v>
      </c>
      <c r="B931" s="2" t="n">
        <v>0.21540367</v>
      </c>
      <c r="C931" s="2"/>
      <c r="D931" s="2" t="n">
        <v>0.120932334</v>
      </c>
      <c r="E931" s="2" t="n">
        <f aca="false">IF(E$7=E$5,E$6,IF(NORMSDIST(E$9*SQRT($C$11)*NORMSINV($B931)+SQRT(1-E$9^2*$C$11)*NORMSINV(D931))&lt;E$8,E$5+SQRT(NORMSDIST(E$9*SQRT($C$11)*NORMSINV($B931)+SQRT(1-E$9^2*$C$11)*NORMSINV(D931))*(E$7-E$5)*(E$6-E$5)),E$7-SQRT((1-NORMSDIST(E$9*SQRT($C$11)*NORMSINV($B931)+SQRT(1-E$9^2*$C$11)*NORMSINV(D931)))*(E$7-E$5)*(E$7-E$6))))</f>
        <v>0.0520005123871262</v>
      </c>
      <c r="F931" s="2" t="n">
        <v>0.423963244</v>
      </c>
      <c r="G931" s="2" t="n">
        <f aca="false">IF(G$7=G$5,G$6,IF(NORMSDIST(G$9*SQRT($C$11)*NORMSINV($B931)+SQRT(1-G$9^2*$C$11)*NORMSINV(F931))&lt;G$8,G$5+SQRT(NORMSDIST(G$9*SQRT($C$11)*NORMSINV($B931)+SQRT(1-G$9^2*$C$11)*NORMSINV(F931))*(G$7-G$5)*(G$6-G$5)),G$7-SQRT((1-NORMSDIST(G$9*SQRT($C$11)*NORMSINV($B931)+SQRT(1-G$9^2*$C$11)*NORMSINV(F931)))*(G$7-G$5)*(G$7-G$6))))</f>
        <v>0.050793374949657</v>
      </c>
      <c r="H931" s="2" t="n">
        <v>0.917304997</v>
      </c>
      <c r="I931" s="2" t="n">
        <f aca="false">IF(I$7=I$5,I$6,IF(NORMSDIST(I$9*SQRT($C$11)*NORMSINV($B931)+SQRT(1-I$9^2*$C$11)*NORMSINV(H931))&lt;I$8,I$5+SQRT(NORMSDIST(I$9*SQRT($C$11)*NORMSINV($B931)+SQRT(1-I$9^2*$C$11)*NORMSINV(H931))*(I$7-I$5)*(I$6-I$5)),I$7-SQRT((1-NORMSDIST(I$9*SQRT($C$11)*NORMSINV($B931)+SQRT(1-I$9^2*$C$11)*NORMSINV(H931)))*(I$7-I$5)*(I$7-I$6))))</f>
        <v>204.973998465688</v>
      </c>
      <c r="J931" s="2" t="n">
        <v>0.211269749</v>
      </c>
      <c r="K931" s="2" t="n">
        <f aca="false">IF(K$7=K$5,K$6,IF(NORMSDIST(K$9*SQRT($C$11)*NORMSINV($B931)+SQRT(1-K$9^2*$C$11)*NORMSINV(J931))&lt;K$8,K$5+SQRT(NORMSDIST(K$9*SQRT($C$11)*NORMSINV($B931)+SQRT(1-K$9^2*$C$11)*NORMSINV(J931))*(K$7-K$5)*(K$6-K$5)),K$7-SQRT((1-NORMSDIST(K$9*SQRT($C$11)*NORMSINV($B931)+SQRT(1-K$9^2*$C$11)*NORMSINV(J931)))*(K$7-K$5)*(K$7-K$6))))</f>
        <v>0.128191003560104</v>
      </c>
      <c r="L931" s="2" t="n">
        <v>0.956927519</v>
      </c>
      <c r="M931" s="2" t="n">
        <f aca="false">IF(M$7=M$5,M$6,IF(NORMSDIST(M$9*SQRT($C$11)*NORMSINV($B931)+SQRT(1-M$9^2*$C$11)*NORMSINV(L931))&lt;M$8,M$5+SQRT(NORMSDIST(M$9*SQRT($C$11)*NORMSINV($B931)+SQRT(1-M$9^2*$C$11)*NORMSINV(L931))*(M$7-M$5)*(M$6-M$5)),M$7-SQRT((1-NORMSDIST(M$9*SQRT($C$11)*NORMSINV($B931)+SQRT(1-M$9^2*$C$11)*NORMSINV(L931)))*(M$7-M$5)*(M$7-M$6))))</f>
        <v>1664.78168643672</v>
      </c>
      <c r="N931" s="2" t="n">
        <v>0.357270894</v>
      </c>
      <c r="O931" s="2" t="n">
        <f aca="false">IF(O$7=O$5,O$6,IF(NORMSDIST(O$9*SQRT($C$11)*NORMSINV($B931)+SQRT(1-O$9^2*$C$11)*NORMSINV(N931))&lt;O$8,O$5+SQRT(NORMSDIST(O$9*SQRT($C$11)*NORMSINV($B931)+SQRT(1-O$9^2*$C$11)*NORMSINV(N931))*(O$7-O$5)*(O$6-O$5)),O$7-SQRT((1-NORMSDIST(O$9*SQRT($C$11)*NORMSINV($B931)+SQRT(1-O$9^2*$C$11)*NORMSINV(N931)))*(O$7-O$5)*(O$7-O$6))))</f>
        <v>0.157654716223641</v>
      </c>
      <c r="P931" s="2" t="n">
        <v>0.31259398</v>
      </c>
      <c r="Q931" s="2" t="n">
        <f aca="false">IF(Q$7=Q$5,Q$6,IF(NORMSDIST(Q$9*SQRT($C$11)*NORMSINV($B931)+SQRT(1-Q$9^2*$C$11)*NORMSINV(P931))&lt;Q$8,Q$5+SQRT(NORMSDIST(Q$9*SQRT($C$11)*NORMSINV($B931)+SQRT(1-Q$9^2*$C$11)*NORMSINV(P931))*(Q$7-Q$5)*(Q$6-Q$5)),Q$7-SQRT((1-NORMSDIST(Q$9*SQRT($C$11)*NORMSINV($B931)+SQRT(1-Q$9^2*$C$11)*NORMSINV(P931)))*(Q$7-Q$5)*(Q$7-Q$6))))</f>
        <v>0.0716275312979056</v>
      </c>
      <c r="R931" s="2" t="n">
        <v>0.936236964</v>
      </c>
      <c r="S931" s="2" t="n">
        <f aca="false">IF(S$7=S$5,S$6,IF(NORMSDIST(S$9*SQRT($C$11)*NORMSINV($B931)+SQRT(1-S$9^2*$C$11)*NORMSINV(R931))&lt;S$8,S$5+SQRT(NORMSDIST(S$9*SQRT($C$11)*NORMSINV($B931)+SQRT(1-S$9^2*$C$11)*NORMSINV(R931))*(S$7-S$5)*(S$6-S$5)),S$7-SQRT((1-NORMSDIST(S$9*SQRT($C$11)*NORMSINV($B931)+SQRT(1-S$9^2*$C$11)*NORMSINV(R931)))*(S$7-S$5)*(S$7-S$6))))</f>
        <v>0.648173489385537</v>
      </c>
      <c r="T931" s="2" t="n">
        <v>0.630111644</v>
      </c>
      <c r="U931" s="2" t="n">
        <f aca="false">IF(U$7=U$5,U$6,IF(NORMSDIST(U$9*SQRT($C$11)*NORMSINV($B931)+SQRT(1-U$9^2*$C$11)*NORMSINV(T931))&lt;U$8,U$5+SQRT(NORMSDIST(U$9*SQRT($C$11)*NORMSINV($B931)+SQRT(1-U$9^2*$C$11)*NORMSINV(T931))*(U$7-U$5)*(U$6-U$5)),U$7-SQRT((1-NORMSDIST(U$9*SQRT($C$11)*NORMSINV($B931)+SQRT(1-U$9^2*$C$11)*NORMSINV(T931)))*(U$7-U$5)*(U$7-U$6))))</f>
        <v>0.449882047472108</v>
      </c>
      <c r="V931" s="2" t="n">
        <v>0.523900092</v>
      </c>
      <c r="W931" s="2" t="n">
        <f aca="false">IF(W$7=W$5,W$6,IF(NORMSDIST(W$9*SQRT($C$11)*NORMSINV($B931)+SQRT(1-W$9^2*$C$11)*NORMSINV(V931))&lt;W$8,W$5+SQRT(NORMSDIST(W$9*SQRT($C$11)*NORMSINV($B931)+SQRT(1-W$9^2*$C$11)*NORMSINV(V931))*(W$7-W$5)*(W$6-W$5)),W$7-SQRT((1-NORMSDIST(W$9*SQRT($C$11)*NORMSINV($B931)+SQRT(1-W$9^2*$C$11)*NORMSINV(V931)))*(W$7-W$5)*(W$7-W$6))))</f>
        <v>9.61418319813666</v>
      </c>
      <c r="X931" s="2" t="n">
        <v>0.586427178</v>
      </c>
      <c r="Y931" s="2" t="n">
        <f aca="false">IF(Y$7=Y$5,Y$6,IF(NORMSDIST(Y$9*SQRT($C$11)*NORMSINV($B931)+SQRT(1-Y$9^2*$C$11)*NORMSINV(X931))&lt;Y$8,Y$5+SQRT(NORMSDIST(Y$9*SQRT($C$11)*NORMSINV($B931)+SQRT(1-Y$9^2*$C$11)*NORMSINV(X931))*(Y$7-Y$5)*(Y$6-Y$5)),Y$7-SQRT((1-NORMSDIST(Y$9*SQRT($C$11)*NORMSINV($B931)+SQRT(1-Y$9^2*$C$11)*NORMSINV(X931)))*(Y$7-Y$5)*(Y$7-Y$6))))</f>
        <v>0.545262261297789</v>
      </c>
      <c r="Z931" s="2" t="n">
        <v>0.143775023</v>
      </c>
      <c r="AA931" s="2" t="n">
        <f aca="false">IF(AA$7=AA$5,AA$6,IF(NORMSDIST(AA$9*SQRT($C$11)*NORMSINV($B931)+SQRT(1-AA$9^2*$C$11)*NORMSINV(Z931))&lt;AA$8,AA$5+SQRT(NORMSDIST(AA$9*SQRT($C$11)*NORMSINV($B931)+SQRT(1-AA$9^2*$C$11)*NORMSINV(Z931))*(AA$7-AA$5)*(AA$6-AA$5)),AA$7-SQRT((1-NORMSDIST(AA$9*SQRT($C$11)*NORMSINV($B931)+SQRT(1-AA$9^2*$C$11)*NORMSINV(Z931)))*(AA$7-AA$5)*(AA$7-AA$6))))</f>
        <v>0.709441587707114</v>
      </c>
      <c r="AB931" s="2" t="n">
        <v>0.354599356</v>
      </c>
      <c r="AC931" s="2" t="n">
        <f aca="false">IF(AC$7=AC$5,AC$6,IF(NORMSDIST(AC$9*SQRT($C$11)*NORMSINV($B931)+SQRT(1-AC$9^2*$C$11)*NORMSINV(AB931))&lt;AC$8,AC$5+SQRT(NORMSDIST(AC$9*SQRT($C$11)*NORMSINV($B931)+SQRT(1-AC$9^2*$C$11)*NORMSINV(AB931))*(AC$7-AC$5)*(AC$6-AC$5)),AC$7-SQRT((1-NORMSDIST(AC$9*SQRT($C$11)*NORMSINV($B931)+SQRT(1-AC$9^2*$C$11)*NORMSINV(AB931)))*(AC$7-AC$5)*(AC$7-AC$6))))</f>
        <v>8.76484981791896</v>
      </c>
      <c r="AD931" s="2" t="n">
        <f aca="false">Entrées!$C$8*(1+E931)</f>
        <v>7416.60361232924</v>
      </c>
      <c r="AE931" s="2" t="n">
        <f aca="false">I931*Hypothèses!$J$24/12/Hypothèses!$J$19</f>
        <v>101.686944594024</v>
      </c>
      <c r="AF931" s="2" t="n">
        <f aca="false">Entrées!$C$36*S931*1000</f>
        <v>324.086744692768</v>
      </c>
      <c r="AG931" s="2" t="n">
        <f aca="false">-AF931/W931</f>
        <v>-33.7092333288989</v>
      </c>
      <c r="AH931" s="2" t="n">
        <f aca="false">AD931+AE931+AG931</f>
        <v>7484.58132359436</v>
      </c>
      <c r="AI931" s="2" t="n">
        <f aca="false">Entrées!$C$16-M931+Hypothèses!$J$22*1000-AF931+Hypothèses!$J$23</f>
        <v>22559.1315688705</v>
      </c>
      <c r="AJ931" s="2" t="n">
        <f aca="false">AI931/AH931</f>
        <v>3.01408062702922</v>
      </c>
      <c r="AK931" s="2" t="n">
        <f aca="false">AI931/(AH931+I931*(12-Hypothèses!$J$24)/12/Hypothèses!$J$19)</f>
        <v>2.98511184350011</v>
      </c>
      <c r="AL931" s="2" t="n">
        <f aca="false">(AD931+AG931+I931/Hypothèses!$J$19)*(1+G931)</f>
        <v>7941.07130317509</v>
      </c>
      <c r="AM931" s="2" t="n">
        <f aca="false">Entrées!$C$54*K931/Hypothèses!$J$19</f>
        <v>13.0824301525507</v>
      </c>
      <c r="AN931" s="2" t="n">
        <f aca="false">Y931*1000/AC931</f>
        <v>62.2101088581175</v>
      </c>
      <c r="AO931" s="2" t="n">
        <f aca="false">(Entrées!$C$36*(1-S931)+MAX(0,Entrées!$C$30-Entrées!$C$35-Entrées!$C$36)*U931)*1000</f>
        <v>805.748121768183</v>
      </c>
      <c r="AP931" s="2" t="n">
        <f aca="false">-AO931/W931</f>
        <v>-83.8082762895913</v>
      </c>
      <c r="AQ931" s="2" t="n">
        <f aca="false">AL931+AM931+AN931+AP931</f>
        <v>7932.55556589617</v>
      </c>
      <c r="AR931" s="2" t="n">
        <f aca="false">O931*AQ931-Hypothèses!$J$25/Hypothèses!$J$19</f>
        <v>1231.469634408</v>
      </c>
      <c r="AS931" s="2" t="n">
        <f aca="false">Entrées!$C$79*(1+Q931)+Hypothèses!$J$20</f>
        <v>1472.7186568964</v>
      </c>
      <c r="AT931" s="2" t="n">
        <f aca="false">AI931-AR931+AS931+Y931*1000-AO931+Hypothèses!$J$23</f>
        <v>22539.8947308885</v>
      </c>
      <c r="AU931" s="2" t="n">
        <f aca="false">AT931/AQ931</f>
        <v>2.84144177039145</v>
      </c>
      <c r="AV931" s="2" t="n">
        <f aca="false">Hypothèses!$J$26*AQ931-AT931</f>
        <v>1257.77196679997</v>
      </c>
      <c r="AW931" s="2" t="n">
        <f aca="false">IF(AC931&gt;Hypothèses!$J$26,MAX(0,AV931)/(1-Hypothèses!$J$26/AC931),0)</f>
        <v>1912.31042306144</v>
      </c>
      <c r="AX931" s="2" t="n">
        <f aca="false">AQ931-Entrées!$C$17*1000</f>
        <v>-67.4444341038352</v>
      </c>
      <c r="AY931" s="2" t="n">
        <f aca="false">AI931+(Entrées!$C$244-Entrées!$C$13)</f>
        <v>28306.1315688705</v>
      </c>
      <c r="AZ931" s="2" t="n">
        <f aca="false">AA931*AH931</f>
        <v>5309.8732575338</v>
      </c>
      <c r="BA931" s="2" t="n">
        <f aca="false">AZ931/AY931</f>
        <v>0.187587387015939</v>
      </c>
      <c r="BB931" s="2" t="n">
        <f aca="false">AZ931/(Entrées!$C$151/100)-AY931</f>
        <v>1193.16430631726</v>
      </c>
      <c r="BC931" s="2" t="n">
        <f aca="false">AT931+(Entrées!$C$244-Entrées!$C$13)</f>
        <v>28286.8947308885</v>
      </c>
      <c r="BD931" s="2" t="n">
        <f aca="false">AA931*AQ931</f>
        <v>5627.68481524428</v>
      </c>
      <c r="BE931" s="2" t="n">
        <f aca="false">BD931/BC931</f>
        <v>0.198950251301321</v>
      </c>
      <c r="BF931" s="2" t="n">
        <f aca="false">BD931/(Entrées!$C$151/100)-BC931</f>
        <v>2978.02090935748</v>
      </c>
      <c r="BG931" s="2" t="n">
        <f aca="false">MIN(AV931,BF931)</f>
        <v>1257.77196679997</v>
      </c>
      <c r="BH931" s="2" t="n">
        <f aca="false">IF(AC931&gt;Hypothèses!$J$26,MAX(0,BG931)/(1-Hypothèses!$J$26/AC931),0)</f>
        <v>1912.31042306144</v>
      </c>
    </row>
    <row r="932" customFormat="false" ht="15" hidden="false" customHeight="false" outlineLevel="0" collapsed="false">
      <c r="A932" s="2" t="n">
        <v>917</v>
      </c>
      <c r="B932" s="2" t="n">
        <v>0.694696897</v>
      </c>
      <c r="C932" s="2"/>
      <c r="D932" s="2" t="n">
        <v>0.299587169</v>
      </c>
      <c r="E932" s="2" t="n">
        <f aca="false">IF(E$7=E$5,E$6,IF(NORMSDIST(E$9*SQRT($C$11)*NORMSINV($B932)+SQRT(1-E$9^2*$C$11)*NORMSINV(D932))&lt;E$8,E$5+SQRT(NORMSDIST(E$9*SQRT($C$11)*NORMSINV($B932)+SQRT(1-E$9^2*$C$11)*NORMSINV(D932))*(E$7-E$5)*(E$6-E$5)),E$7-SQRT((1-NORMSDIST(E$9*SQRT($C$11)*NORMSINV($B932)+SQRT(1-E$9^2*$C$11)*NORMSINV(D932)))*(E$7-E$5)*(E$7-E$6))))</f>
        <v>0.0548275457370533</v>
      </c>
      <c r="F932" s="2" t="n">
        <v>0.530046354</v>
      </c>
      <c r="G932" s="2" t="n">
        <f aca="false">IF(G$7=G$5,G$6,IF(NORMSDIST(G$9*SQRT($C$11)*NORMSINV($B932)+SQRT(1-G$9^2*$C$11)*NORMSINV(F932))&lt;G$8,G$5+SQRT(NORMSDIST(G$9*SQRT($C$11)*NORMSINV($B932)+SQRT(1-G$9^2*$C$11)*NORMSINV(F932))*(G$7-G$5)*(G$6-G$5)),G$7-SQRT((1-NORMSDIST(G$9*SQRT($C$11)*NORMSINV($B932)+SQRT(1-G$9^2*$C$11)*NORMSINV(F932)))*(G$7-G$5)*(G$7-G$6))))</f>
        <v>0.0574177390814693</v>
      </c>
      <c r="H932" s="2" t="n">
        <v>0.203776557</v>
      </c>
      <c r="I932" s="2" t="n">
        <f aca="false">IF(I$7=I$5,I$6,IF(NORMSDIST(I$9*SQRT($C$11)*NORMSINV($B932)+SQRT(1-I$9^2*$C$11)*NORMSINV(H932))&lt;I$8,I$5+SQRT(NORMSDIST(I$9*SQRT($C$11)*NORMSINV($B932)+SQRT(1-I$9^2*$C$11)*NORMSINV(H932))*(I$7-I$5)*(I$6-I$5)),I$7-SQRT((1-NORMSDIST(I$9*SQRT($C$11)*NORMSINV($B932)+SQRT(1-I$9^2*$C$11)*NORMSINV(H932)))*(I$7-I$5)*(I$7-I$6))))</f>
        <v>197.313189839369</v>
      </c>
      <c r="J932" s="2" t="n">
        <v>0.866956616</v>
      </c>
      <c r="K932" s="2" t="n">
        <f aca="false">IF(K$7=K$5,K$6,IF(NORMSDIST(K$9*SQRT($C$11)*NORMSINV($B932)+SQRT(1-K$9^2*$C$11)*NORMSINV(J932))&lt;K$8,K$5+SQRT(NORMSDIST(K$9*SQRT($C$11)*NORMSINV($B932)+SQRT(1-K$9^2*$C$11)*NORMSINV(J932))*(K$7-K$5)*(K$6-K$5)),K$7-SQRT((1-NORMSDIST(K$9*SQRT($C$11)*NORMSINV($B932)+SQRT(1-K$9^2*$C$11)*NORMSINV(J932)))*(K$7-K$5)*(K$7-K$6))))</f>
        <v>0.378392857997375</v>
      </c>
      <c r="L932" s="2" t="n">
        <v>0.091213304</v>
      </c>
      <c r="M932" s="2" t="n">
        <f aca="false">IF(M$7=M$5,M$6,IF(NORMSDIST(M$9*SQRT($C$11)*NORMSINV($B932)+SQRT(1-M$9^2*$C$11)*NORMSINV(L932))&lt;M$8,M$5+SQRT(NORMSDIST(M$9*SQRT($C$11)*NORMSINV($B932)+SQRT(1-M$9^2*$C$11)*NORMSINV(L932))*(M$7-M$5)*(M$6-M$5)),M$7-SQRT((1-NORMSDIST(M$9*SQRT($C$11)*NORMSINV($B932)+SQRT(1-M$9^2*$C$11)*NORMSINV(L932)))*(M$7-M$5)*(M$7-M$6))))</f>
        <v>1498.11902878908</v>
      </c>
      <c r="N932" s="2" t="n">
        <v>0.533184304</v>
      </c>
      <c r="O932" s="2" t="n">
        <f aca="false">IF(O$7=O$5,O$6,IF(NORMSDIST(O$9*SQRT($C$11)*NORMSINV($B932)+SQRT(1-O$9^2*$C$11)*NORMSINV(N932))&lt;O$8,O$5+SQRT(NORMSDIST(O$9*SQRT($C$11)*NORMSINV($B932)+SQRT(1-O$9^2*$C$11)*NORMSINV(N932))*(O$7-O$5)*(O$6-O$5)),O$7-SQRT((1-NORMSDIST(O$9*SQRT($C$11)*NORMSINV($B932)+SQRT(1-O$9^2*$C$11)*NORMSINV(N932)))*(O$7-O$5)*(O$7-O$6))))</f>
        <v>0.170704258683987</v>
      </c>
      <c r="P932" s="2" t="n">
        <v>0.060802703</v>
      </c>
      <c r="Q932" s="2" t="n">
        <f aca="false">IF(Q$7=Q$5,Q$6,IF(NORMSDIST(Q$9*SQRT($C$11)*NORMSINV($B932)+SQRT(1-Q$9^2*$C$11)*NORMSINV(P932))&lt;Q$8,Q$5+SQRT(NORMSDIST(Q$9*SQRT($C$11)*NORMSINV($B932)+SQRT(1-Q$9^2*$C$11)*NORMSINV(P932))*(Q$7-Q$5)*(Q$6-Q$5)),Q$7-SQRT((1-NORMSDIST(Q$9*SQRT($C$11)*NORMSINV($B932)+SQRT(1-Q$9^2*$C$11)*NORMSINV(P932)))*(Q$7-Q$5)*(Q$7-Q$6))))</f>
        <v>0.0539487866712485</v>
      </c>
      <c r="R932" s="2" t="n">
        <v>0.85491595</v>
      </c>
      <c r="S932" s="2" t="n">
        <f aca="false">IF(S$7=S$5,S$6,IF(NORMSDIST(S$9*SQRT($C$11)*NORMSINV($B932)+SQRT(1-S$9^2*$C$11)*NORMSINV(R932))&lt;S$8,S$5+SQRT(NORMSDIST(S$9*SQRT($C$11)*NORMSINV($B932)+SQRT(1-S$9^2*$C$11)*NORMSINV(R932))*(S$7-S$5)*(S$6-S$5)),S$7-SQRT((1-NORMSDIST(S$9*SQRT($C$11)*NORMSINV($B932)+SQRT(1-S$9^2*$C$11)*NORMSINV(R932)))*(S$7-S$5)*(S$7-S$6))))</f>
        <v>0.748151652150617</v>
      </c>
      <c r="T932" s="2" t="n">
        <v>0.641161799</v>
      </c>
      <c r="U932" s="2" t="n">
        <f aca="false">IF(U$7=U$5,U$6,IF(NORMSDIST(U$9*SQRT($C$11)*NORMSINV($B932)+SQRT(1-U$9^2*$C$11)*NORMSINV(T932))&lt;U$8,U$5+SQRT(NORMSDIST(U$9*SQRT($C$11)*NORMSINV($B932)+SQRT(1-U$9^2*$C$11)*NORMSINV(T932))*(U$7-U$5)*(U$6-U$5)),U$7-SQRT((1-NORMSDIST(U$9*SQRT($C$11)*NORMSINV($B932)+SQRT(1-U$9^2*$C$11)*NORMSINV(T932)))*(U$7-U$5)*(U$7-U$6))))</f>
        <v>0.630170765519011</v>
      </c>
      <c r="V932" s="2" t="n">
        <v>0.948091984</v>
      </c>
      <c r="W932" s="2" t="n">
        <f aca="false">IF(W$7=W$5,W$6,IF(NORMSDIST(W$9*SQRT($C$11)*NORMSINV($B932)+SQRT(1-W$9^2*$C$11)*NORMSINV(V932))&lt;W$8,W$5+SQRT(NORMSDIST(W$9*SQRT($C$11)*NORMSINV($B932)+SQRT(1-W$9^2*$C$11)*NORMSINV(V932))*(W$7-W$5)*(W$6-W$5)),W$7-SQRT((1-NORMSDIST(W$9*SQRT($C$11)*NORMSINV($B932)+SQRT(1-W$9^2*$C$11)*NORMSINV(V932)))*(W$7-W$5)*(W$7-W$6))))</f>
        <v>11.3257830417517</v>
      </c>
      <c r="X932" s="2" t="n">
        <v>0.8807318</v>
      </c>
      <c r="Y932" s="2" t="n">
        <f aca="false">IF(Y$7=Y$5,Y$6,IF(NORMSDIST(Y$9*SQRT($C$11)*NORMSINV($B932)+SQRT(1-Y$9^2*$C$11)*NORMSINV(X932))&lt;Y$8,Y$5+SQRT(NORMSDIST(Y$9*SQRT($C$11)*NORMSINV($B932)+SQRT(1-Y$9^2*$C$11)*NORMSINV(X932))*(Y$7-Y$5)*(Y$6-Y$5)),Y$7-SQRT((1-NORMSDIST(Y$9*SQRT($C$11)*NORMSINV($B932)+SQRT(1-Y$9^2*$C$11)*NORMSINV(X932)))*(Y$7-Y$5)*(Y$7-Y$6))))</f>
        <v>0.755799058150874</v>
      </c>
      <c r="Z932" s="2" t="n">
        <v>0.810865216</v>
      </c>
      <c r="AA932" s="2" t="n">
        <f aca="false">IF(AA$7=AA$5,AA$6,IF(NORMSDIST(AA$9*SQRT($C$11)*NORMSINV($B932)+SQRT(1-AA$9^2*$C$11)*NORMSINV(Z932))&lt;AA$8,AA$5+SQRT(NORMSDIST(AA$9*SQRT($C$11)*NORMSINV($B932)+SQRT(1-AA$9^2*$C$11)*NORMSINV(Z932))*(AA$7-AA$5)*(AA$6-AA$5)),AA$7-SQRT((1-NORMSDIST(AA$9*SQRT($C$11)*NORMSINV($B932)+SQRT(1-AA$9^2*$C$11)*NORMSINV(Z932)))*(AA$7-AA$5)*(AA$7-AA$6))))</f>
        <v>0.73963961816558</v>
      </c>
      <c r="AB932" s="2" t="n">
        <v>0.889661505</v>
      </c>
      <c r="AC932" s="2" t="n">
        <f aca="false">IF(AC$7=AC$5,AC$6,IF(NORMSDIST(AC$9*SQRT($C$11)*NORMSINV($B932)+SQRT(1-AC$9^2*$C$11)*NORMSINV(AB932))&lt;AC$8,AC$5+SQRT(NORMSDIST(AC$9*SQRT($C$11)*NORMSINV($B932)+SQRT(1-AC$9^2*$C$11)*NORMSINV(AB932))*(AC$7-AC$5)*(AC$6-AC$5)),AC$7-SQRT((1-NORMSDIST(AC$9*SQRT($C$11)*NORMSINV($B932)+SQRT(1-AC$9^2*$C$11)*NORMSINV(AB932)))*(AC$7-AC$5)*(AC$7-AC$6))))</f>
        <v>10.336474189799</v>
      </c>
      <c r="AD932" s="2" t="n">
        <f aca="false">Entrées!$C$8*(1+E932)</f>
        <v>7436.53419744623</v>
      </c>
      <c r="AE932" s="2" t="n">
        <f aca="false">I932*Hypothèses!$J$24/12/Hypothèses!$J$19</f>
        <v>97.8864419538792</v>
      </c>
      <c r="AF932" s="2" t="n">
        <f aca="false">Entrées!$C$36*S932*1000</f>
        <v>374.075826075308</v>
      </c>
      <c r="AG932" s="2" t="n">
        <f aca="false">-AF932/W932</f>
        <v>-33.0286943248256</v>
      </c>
      <c r="AH932" s="2" t="n">
        <f aca="false">AD932+AE932+AG932</f>
        <v>7501.39194507528</v>
      </c>
      <c r="AI932" s="2" t="n">
        <f aca="false">Entrées!$C$16-M932+Hypothèses!$J$22*1000-AF932+Hypothèses!$J$23</f>
        <v>22675.8051451356</v>
      </c>
      <c r="AJ932" s="2" t="n">
        <f aca="false">AI932/AH932</f>
        <v>3.02287966169031</v>
      </c>
      <c r="AK932" s="2" t="n">
        <f aca="false">AI932/(AH932+I932*(12-Hypothèses!$J$24)/12/Hypothèses!$J$19)</f>
        <v>2.9949642337681</v>
      </c>
      <c r="AL932" s="2" t="n">
        <f aca="false">(AD932+AG932+I932/Hypothèses!$J$19)*(1+G932)</f>
        <v>8006.03838205231</v>
      </c>
      <c r="AM932" s="2" t="n">
        <f aca="false">Entrées!$C$54*K932/Hypothèses!$J$19</f>
        <v>38.6165799275742</v>
      </c>
      <c r="AN932" s="2" t="n">
        <f aca="false">Y932*1000/AC932</f>
        <v>73.1196193472597</v>
      </c>
      <c r="AO932" s="2" t="n">
        <f aca="false">(Entrées!$C$36*(1-S932)+MAX(0,Entrées!$C$30-Entrées!$C$35-Entrées!$C$36)*U932)*1000</f>
        <v>1008.16324565131</v>
      </c>
      <c r="AP932" s="2" t="n">
        <f aca="false">-AO932/W932</f>
        <v>-89.0148824089944</v>
      </c>
      <c r="AQ932" s="2" t="n">
        <f aca="false">AL932+AM932+AN932+AP932</f>
        <v>8028.75969891814</v>
      </c>
      <c r="AR932" s="2" t="n">
        <f aca="false">O932*AQ932-Hypothèses!$J$25/Hypothèses!$J$19</f>
        <v>1351.40831029406</v>
      </c>
      <c r="AS932" s="2" t="n">
        <f aca="false">Entrées!$C$79*(1+Q932)+Hypothèses!$J$20</f>
        <v>1453.2897165517</v>
      </c>
      <c r="AT932" s="2" t="n">
        <f aca="false">AI932-AR932+AS932+Y932*1000-AO932+Hypothèses!$J$23</f>
        <v>22525.3223638928</v>
      </c>
      <c r="AU932" s="2" t="n">
        <f aca="false">AT932/AQ932</f>
        <v>2.80557934333594</v>
      </c>
      <c r="AV932" s="2" t="n">
        <f aca="false">Hypothèses!$J$26*AQ932-AT932</f>
        <v>1560.95673286162</v>
      </c>
      <c r="AW932" s="2" t="n">
        <f aca="false">IF(AC932&gt;Hypothèses!$J$26,MAX(0,AV932)/(1-Hypothèses!$J$26/AC932),0)</f>
        <v>2199.256558832</v>
      </c>
      <c r="AX932" s="2" t="n">
        <f aca="false">AQ932-Entrées!$C$17*1000</f>
        <v>28.7596989181438</v>
      </c>
      <c r="AY932" s="2" t="n">
        <f aca="false">AI932+(Entrées!$C$244-Entrées!$C$13)</f>
        <v>28422.8051451356</v>
      </c>
      <c r="AZ932" s="2" t="n">
        <f aca="false">AA932*AH932</f>
        <v>5548.32667396584</v>
      </c>
      <c r="BA932" s="2" t="n">
        <f aca="false">AZ932/AY932</f>
        <v>0.195206864545367</v>
      </c>
      <c r="BB932" s="2" t="n">
        <f aca="false">AZ932/(Entrées!$C$151/100)-AY932</f>
        <v>2401.23193245239</v>
      </c>
      <c r="BC932" s="2" t="n">
        <f aca="false">AT932+(Entrées!$C$244-Entrées!$C$13)</f>
        <v>28272.3223638928</v>
      </c>
      <c r="BD932" s="2" t="n">
        <f aca="false">AA932*AQ932</f>
        <v>5938.38875805101</v>
      </c>
      <c r="BE932" s="2" t="n">
        <f aca="false">BD932/BC932</f>
        <v>0.210042481888048</v>
      </c>
      <c r="BF932" s="2" t="n">
        <f aca="false">BD932/(Entrées!$C$151/100)-BC932</f>
        <v>4718.72629194616</v>
      </c>
      <c r="BG932" s="2" t="n">
        <f aca="false">MIN(AV932,BF932)</f>
        <v>1560.95673286162</v>
      </c>
      <c r="BH932" s="2" t="n">
        <f aca="false">IF(AC932&gt;Hypothèses!$J$26,MAX(0,BG932)/(1-Hypothèses!$J$26/AC932),0)</f>
        <v>2199.256558832</v>
      </c>
    </row>
    <row r="933" customFormat="false" ht="15" hidden="false" customHeight="false" outlineLevel="0" collapsed="false">
      <c r="A933" s="2" t="n">
        <v>918</v>
      </c>
      <c r="B933" s="2" t="n">
        <v>0.322032042</v>
      </c>
      <c r="C933" s="2"/>
      <c r="D933" s="2" t="n">
        <v>0.157378475</v>
      </c>
      <c r="E933" s="2" t="n">
        <f aca="false">IF(E$7=E$5,E$6,IF(NORMSDIST(E$9*SQRT($C$11)*NORMSINV($B933)+SQRT(1-E$9^2*$C$11)*NORMSINV(D933))&lt;E$8,E$5+SQRT(NORMSDIST(E$9*SQRT($C$11)*NORMSINV($B933)+SQRT(1-E$9^2*$C$11)*NORMSINV(D933))*(E$7-E$5)*(E$6-E$5)),E$7-SQRT((1-NORMSDIST(E$9*SQRT($C$11)*NORMSINV($B933)+SQRT(1-E$9^2*$C$11)*NORMSINV(D933)))*(E$7-E$5)*(E$7-E$6))))</f>
        <v>0.0526655788346873</v>
      </c>
      <c r="F933" s="2" t="n">
        <v>0.525249182</v>
      </c>
      <c r="G933" s="2" t="n">
        <f aca="false">IF(G$7=G$5,G$6,IF(NORMSDIST(G$9*SQRT($C$11)*NORMSINV($B933)+SQRT(1-G$9^2*$C$11)*NORMSINV(F933))&lt;G$8,G$5+SQRT(NORMSDIST(G$9*SQRT($C$11)*NORMSINV($B933)+SQRT(1-G$9^2*$C$11)*NORMSINV(F933))*(G$7-G$5)*(G$6-G$5)),G$7-SQRT((1-NORMSDIST(G$9*SQRT($C$11)*NORMSINV($B933)+SQRT(1-G$9^2*$C$11)*NORMSINV(F933)))*(G$7-G$5)*(G$7-G$6))))</f>
        <v>0.0534823828981742</v>
      </c>
      <c r="H933" s="2" t="n">
        <v>0.833240071</v>
      </c>
      <c r="I933" s="2" t="n">
        <f aca="false">IF(I$7=I$5,I$6,IF(NORMSDIST(I$9*SQRT($C$11)*NORMSINV($B933)+SQRT(1-I$9^2*$C$11)*NORMSINV(H933))&lt;I$8,I$5+SQRT(NORMSDIST(I$9*SQRT($C$11)*NORMSINV($B933)+SQRT(1-I$9^2*$C$11)*NORMSINV(H933))*(I$7-I$5)*(I$6-I$5)),I$7-SQRT((1-NORMSDIST(I$9*SQRT($C$11)*NORMSINV($B933)+SQRT(1-I$9^2*$C$11)*NORMSINV(H933)))*(I$7-I$5)*(I$7-I$6))))</f>
        <v>203.903172036351</v>
      </c>
      <c r="J933" s="2" t="n">
        <v>0.679037171</v>
      </c>
      <c r="K933" s="2" t="n">
        <f aca="false">IF(K$7=K$5,K$6,IF(NORMSDIST(K$9*SQRT($C$11)*NORMSINV($B933)+SQRT(1-K$9^2*$C$11)*NORMSINV(J933))&lt;K$8,K$5+SQRT(NORMSDIST(K$9*SQRT($C$11)*NORMSINV($B933)+SQRT(1-K$9^2*$C$11)*NORMSINV(J933))*(K$7-K$5)*(K$6-K$5)),K$7-SQRT((1-NORMSDIST(K$9*SQRT($C$11)*NORMSINV($B933)+SQRT(1-K$9^2*$C$11)*NORMSINV(J933)))*(K$7-K$5)*(K$7-K$6))))</f>
        <v>0.256869592796605</v>
      </c>
      <c r="L933" s="2" t="n">
        <v>0.527024503</v>
      </c>
      <c r="M933" s="2" t="n">
        <f aca="false">IF(M$7=M$5,M$6,IF(NORMSDIST(M$9*SQRT($C$11)*NORMSINV($B933)+SQRT(1-M$9^2*$C$11)*NORMSINV(L933))&lt;M$8,M$5+SQRT(NORMSDIST(M$9*SQRT($C$11)*NORMSINV($B933)+SQRT(1-M$9^2*$C$11)*NORMSINV(L933))*(M$7-M$5)*(M$6-M$5)),M$7-SQRT((1-NORMSDIST(M$9*SQRT($C$11)*NORMSINV($B933)+SQRT(1-M$9^2*$C$11)*NORMSINV(L933)))*(M$7-M$5)*(M$7-M$6))))</f>
        <v>1557.22442275754</v>
      </c>
      <c r="N933" s="2" t="n">
        <v>0.98055844</v>
      </c>
      <c r="O933" s="2" t="n">
        <f aca="false">IF(O$7=O$5,O$6,IF(NORMSDIST(O$9*SQRT($C$11)*NORMSINV($B933)+SQRT(1-O$9^2*$C$11)*NORMSINV(N933))&lt;O$8,O$5+SQRT(NORMSDIST(O$9*SQRT($C$11)*NORMSINV($B933)+SQRT(1-O$9^2*$C$11)*NORMSINV(N933))*(O$7-O$5)*(O$6-O$5)),O$7-SQRT((1-NORMSDIST(O$9*SQRT($C$11)*NORMSINV($B933)+SQRT(1-O$9^2*$C$11)*NORMSINV(N933)))*(O$7-O$5)*(O$7-O$6))))</f>
        <v>0.179914417078428</v>
      </c>
      <c r="P933" s="2" t="n">
        <v>0.618434643</v>
      </c>
      <c r="Q933" s="2" t="n">
        <f aca="false">IF(Q$7=Q$5,Q$6,IF(NORMSDIST(Q$9*SQRT($C$11)*NORMSINV($B933)+SQRT(1-Q$9^2*$C$11)*NORMSINV(P933))&lt;Q$8,Q$5+SQRT(NORMSDIST(Q$9*SQRT($C$11)*NORMSINV($B933)+SQRT(1-Q$9^2*$C$11)*NORMSINV(P933))*(Q$7-Q$5)*(Q$6-Q$5)),Q$7-SQRT((1-NORMSDIST(Q$9*SQRT($C$11)*NORMSINV($B933)+SQRT(1-Q$9^2*$C$11)*NORMSINV(P933)))*(Q$7-Q$5)*(Q$7-Q$6))))</f>
        <v>0.0850570587614608</v>
      </c>
      <c r="R933" s="2" t="n">
        <v>0.183508299</v>
      </c>
      <c r="S933" s="2" t="n">
        <f aca="false">IF(S$7=S$5,S$6,IF(NORMSDIST(S$9*SQRT($C$11)*NORMSINV($B933)+SQRT(1-S$9^2*$C$11)*NORMSINV(R933))&lt;S$8,S$5+SQRT(NORMSDIST(S$9*SQRT($C$11)*NORMSINV($B933)+SQRT(1-S$9^2*$C$11)*NORMSINV(R933))*(S$7-S$5)*(S$6-S$5)),S$7-SQRT((1-NORMSDIST(S$9*SQRT($C$11)*NORMSINV($B933)+SQRT(1-S$9^2*$C$11)*NORMSINV(R933)))*(S$7-S$5)*(S$7-S$6))))</f>
        <v>0.283596439335591</v>
      </c>
      <c r="T933" s="2" t="n">
        <v>0.911179599</v>
      </c>
      <c r="U933" s="2" t="n">
        <f aca="false">IF(U$7=U$5,U$6,IF(NORMSDIST(U$9*SQRT($C$11)*NORMSINV($B933)+SQRT(1-U$9^2*$C$11)*NORMSINV(T933))&lt;U$8,U$5+SQRT(NORMSDIST(U$9*SQRT($C$11)*NORMSINV($B933)+SQRT(1-U$9^2*$C$11)*NORMSINV(T933))*(U$7-U$5)*(U$6-U$5)),U$7-SQRT((1-NORMSDIST(U$9*SQRT($C$11)*NORMSINV($B933)+SQRT(1-U$9^2*$C$11)*NORMSINV(T933)))*(U$7-U$5)*(U$7-U$6))))</f>
        <v>0.663823826895185</v>
      </c>
      <c r="V933" s="2" t="n">
        <v>0.856546636</v>
      </c>
      <c r="W933" s="2" t="n">
        <f aca="false">IF(W$7=W$5,W$6,IF(NORMSDIST(W$9*SQRT($C$11)*NORMSINV($B933)+SQRT(1-W$9^2*$C$11)*NORMSINV(V933))&lt;W$8,W$5+SQRT(NORMSDIST(W$9*SQRT($C$11)*NORMSINV($B933)+SQRT(1-W$9^2*$C$11)*NORMSINV(V933))*(W$7-W$5)*(W$6-W$5)),W$7-SQRT((1-NORMSDIST(W$9*SQRT($C$11)*NORMSINV($B933)+SQRT(1-W$9^2*$C$11)*NORMSINV(V933)))*(W$7-W$5)*(W$7-W$6))))</f>
        <v>10.4582438833221</v>
      </c>
      <c r="X933" s="2" t="n">
        <v>0.272565461</v>
      </c>
      <c r="Y933" s="2" t="n">
        <f aca="false">IF(Y$7=Y$5,Y$6,IF(NORMSDIST(Y$9*SQRT($C$11)*NORMSINV($B933)+SQRT(1-Y$9^2*$C$11)*NORMSINV(X933))&lt;Y$8,Y$5+SQRT(NORMSDIST(Y$9*SQRT($C$11)*NORMSINV($B933)+SQRT(1-Y$9^2*$C$11)*NORMSINV(X933))*(Y$7-Y$5)*(Y$6-Y$5)),Y$7-SQRT((1-NORMSDIST(Y$9*SQRT($C$11)*NORMSINV($B933)+SQRT(1-Y$9^2*$C$11)*NORMSINV(X933)))*(Y$7-Y$5)*(Y$7-Y$6))))</f>
        <v>0.36916490962712</v>
      </c>
      <c r="Z933" s="2" t="n">
        <v>0.573175341</v>
      </c>
      <c r="AA933" s="2" t="n">
        <f aca="false">IF(AA$7=AA$5,AA$6,IF(NORMSDIST(AA$9*SQRT($C$11)*NORMSINV($B933)+SQRT(1-AA$9^2*$C$11)*NORMSINV(Z933))&lt;AA$8,AA$5+SQRT(NORMSDIST(AA$9*SQRT($C$11)*NORMSINV($B933)+SQRT(1-AA$9^2*$C$11)*NORMSINV(Z933))*(AA$7-AA$5)*(AA$6-AA$5)),AA$7-SQRT((1-NORMSDIST(AA$9*SQRT($C$11)*NORMSINV($B933)+SQRT(1-AA$9^2*$C$11)*NORMSINV(Z933)))*(AA$7-AA$5)*(AA$7-AA$6))))</f>
        <v>0.726047333943563</v>
      </c>
      <c r="AB933" s="2" t="n">
        <v>0.17963543</v>
      </c>
      <c r="AC933" s="2" t="n">
        <f aca="false">IF(AC$7=AC$5,AC$6,IF(NORMSDIST(AC$9*SQRT($C$11)*NORMSINV($B933)+SQRT(1-AC$9^2*$C$11)*NORMSINV(AB933))&lt;AC$8,AC$5+SQRT(NORMSDIST(AC$9*SQRT($C$11)*NORMSINV($B933)+SQRT(1-AC$9^2*$C$11)*NORMSINV(AB933))*(AC$7-AC$5)*(AC$6-AC$5)),AC$7-SQRT((1-NORMSDIST(AC$9*SQRT($C$11)*NORMSINV($B933)+SQRT(1-AC$9^2*$C$11)*NORMSINV(AB933)))*(AC$7-AC$5)*(AC$7-AC$6))))</f>
        <v>8.56872825392233</v>
      </c>
      <c r="AD933" s="2" t="n">
        <f aca="false">Entrées!$C$8*(1+E933)</f>
        <v>7421.29233078455</v>
      </c>
      <c r="AE933" s="2" t="n">
        <f aca="false">I933*Hypothèses!$J$24/12/Hypothèses!$J$19</f>
        <v>101.155711029743</v>
      </c>
      <c r="AF933" s="2" t="n">
        <f aca="false">Entrées!$C$36*S933*1000</f>
        <v>141.798219667795</v>
      </c>
      <c r="AG933" s="2" t="n">
        <f aca="false">-AF933/W933</f>
        <v>-13.5585114718851</v>
      </c>
      <c r="AH933" s="2" t="n">
        <f aca="false">AD933+AE933+AG933</f>
        <v>7508.8895303424</v>
      </c>
      <c r="AI933" s="2" t="n">
        <f aca="false">Entrées!$C$16-M933+Hypothèses!$J$22*1000-AF933+Hypothèses!$J$23</f>
        <v>22848.9773575747</v>
      </c>
      <c r="AJ933" s="2" t="n">
        <f aca="false">AI933/AH933</f>
        <v>3.04292362608946</v>
      </c>
      <c r="AK933" s="2" t="n">
        <f aca="false">AI933/(AH933+I933*(12-Hypothèses!$J$24)/12/Hypothèses!$J$19)</f>
        <v>3.01392224366944</v>
      </c>
      <c r="AL933" s="2" t="n">
        <f aca="false">(AD933+AG933+I933/Hypothèses!$J$19)*(1+G933)</f>
        <v>7986.60123498668</v>
      </c>
      <c r="AM933" s="2" t="n">
        <f aca="false">Entrées!$C$54*K933/Hypothèses!$J$19</f>
        <v>26.2146204706177</v>
      </c>
      <c r="AN933" s="2" t="n">
        <f aca="false">Y933*1000/AC933</f>
        <v>43.0828121382115</v>
      </c>
      <c r="AO933" s="2" t="n">
        <f aca="false">(Entrées!$C$36*(1-S933)+MAX(0,Entrées!$C$30-Entrées!$C$35-Entrées!$C$36)*U933)*1000</f>
        <v>1287.55513798546</v>
      </c>
      <c r="AP933" s="2" t="n">
        <f aca="false">-AO933/W933</f>
        <v>-123.113894870891</v>
      </c>
      <c r="AQ933" s="2" t="n">
        <f aca="false">AL933+AM933+AN933+AP933</f>
        <v>7932.78477272461</v>
      </c>
      <c r="AR933" s="2" t="n">
        <f aca="false">O933*AQ933-Hypothèses!$J$25/Hypothèses!$J$19</f>
        <v>1408.08718593175</v>
      </c>
      <c r="AS933" s="2" t="n">
        <f aca="false">Entrées!$C$79*(1+Q933)+Hypothèses!$J$20</f>
        <v>1487.47770757885</v>
      </c>
      <c r="AT933" s="2" t="n">
        <f aca="false">AI933-AR933+AS933+Y933*1000-AO933+Hypothèses!$J$23</f>
        <v>22009.9776508634</v>
      </c>
      <c r="AU933" s="2" t="n">
        <f aca="false">AT933/AQ933</f>
        <v>2.77455878124169</v>
      </c>
      <c r="AV933" s="2" t="n">
        <f aca="false">Hypothèses!$J$26*AQ933-AT933</f>
        <v>1788.37666731043</v>
      </c>
      <c r="AW933" s="2" t="n">
        <f aca="false">IF(AC933&gt;Hypothèses!$J$26,MAX(0,AV933)/(1-Hypothèses!$J$26/AC933),0)</f>
        <v>2751.81567120729</v>
      </c>
      <c r="AX933" s="2" t="n">
        <f aca="false">AQ933-Entrées!$C$17*1000</f>
        <v>-67.2152272753874</v>
      </c>
      <c r="AY933" s="2" t="n">
        <f aca="false">AI933+(Entrées!$C$244-Entrées!$C$13)</f>
        <v>28595.9773575747</v>
      </c>
      <c r="AZ933" s="2" t="n">
        <f aca="false">AA933*AH933</f>
        <v>5451.80922438184</v>
      </c>
      <c r="BA933" s="2" t="n">
        <f aca="false">AZ933/AY933</f>
        <v>0.190649515357017</v>
      </c>
      <c r="BB933" s="2" t="n">
        <f aca="false">AZ933/(Entrées!$C$151/100)-AY933</f>
        <v>1691.85166676886</v>
      </c>
      <c r="BC933" s="2" t="n">
        <f aca="false">AT933+(Entrées!$C$244-Entrées!$C$13)</f>
        <v>27756.9776508634</v>
      </c>
      <c r="BD933" s="2" t="n">
        <f aca="false">AA933*AQ933</f>
        <v>5759.5772349848</v>
      </c>
      <c r="BE933" s="2" t="n">
        <f aca="false">BD933/BC933</f>
        <v>0.207500157525459</v>
      </c>
      <c r="BF933" s="2" t="n">
        <f aca="false">BD933/(Entrées!$C$151/100)-BC933</f>
        <v>4240.67365460769</v>
      </c>
      <c r="BG933" s="2" t="n">
        <f aca="false">MIN(AV933,BF933)</f>
        <v>1788.37666731043</v>
      </c>
      <c r="BH933" s="2" t="n">
        <f aca="false">IF(AC933&gt;Hypothèses!$J$26,MAX(0,BG933)/(1-Hypothèses!$J$26/AC933),0)</f>
        <v>2751.81567120729</v>
      </c>
    </row>
    <row r="934" customFormat="false" ht="15" hidden="false" customHeight="false" outlineLevel="0" collapsed="false">
      <c r="A934" s="2" t="n">
        <v>919</v>
      </c>
      <c r="B934" s="2" t="n">
        <v>0.24623085</v>
      </c>
      <c r="C934" s="2"/>
      <c r="D934" s="2" t="n">
        <v>0.277834576</v>
      </c>
      <c r="E934" s="2" t="n">
        <f aca="false">IF(E$7=E$5,E$6,IF(NORMSDIST(E$9*SQRT($C$11)*NORMSINV($B934)+SQRT(1-E$9^2*$C$11)*NORMSINV(D934))&lt;E$8,E$5+SQRT(NORMSDIST(E$9*SQRT($C$11)*NORMSINV($B934)+SQRT(1-E$9^2*$C$11)*NORMSINV(D934))*(E$7-E$5)*(E$6-E$5)),E$7-SQRT((1-NORMSDIST(E$9*SQRT($C$11)*NORMSINV($B934)+SQRT(1-E$9^2*$C$11)*NORMSINV(D934)))*(E$7-E$5)*(E$7-E$6))))</f>
        <v>0.0530543276303129</v>
      </c>
      <c r="F934" s="2" t="n">
        <v>0.65743624</v>
      </c>
      <c r="G934" s="2" t="n">
        <f aca="false">IF(G$7=G$5,G$6,IF(NORMSDIST(G$9*SQRT($C$11)*NORMSINV($B934)+SQRT(1-G$9^2*$C$11)*NORMSINV(F934))&lt;G$8,G$5+SQRT(NORMSDIST(G$9*SQRT($C$11)*NORMSINV($B934)+SQRT(1-G$9^2*$C$11)*NORMSINV(F934))*(G$7-G$5)*(G$6-G$5)),G$7-SQRT((1-NORMSDIST(G$9*SQRT($C$11)*NORMSINV($B934)+SQRT(1-G$9^2*$C$11)*NORMSINV(F934)))*(G$7-G$5)*(G$7-G$6))))</f>
        <v>0.0542654218437045</v>
      </c>
      <c r="H934" s="2" t="n">
        <v>0.767353955</v>
      </c>
      <c r="I934" s="2" t="n">
        <f aca="false">IF(I$7=I$5,I$6,IF(NORMSDIST(I$9*SQRT($C$11)*NORMSINV($B934)+SQRT(1-I$9^2*$C$11)*NORMSINV(H934))&lt;I$8,I$5+SQRT(NORMSDIST(I$9*SQRT($C$11)*NORMSINV($B934)+SQRT(1-I$9^2*$C$11)*NORMSINV(H934))*(I$7-I$5)*(I$6-I$5)),I$7-SQRT((1-NORMSDIST(I$9*SQRT($C$11)*NORMSINV($B934)+SQRT(1-I$9^2*$C$11)*NORMSINV(H934)))*(I$7-I$5)*(I$7-I$6))))</f>
        <v>201.074790437802</v>
      </c>
      <c r="J934" s="2" t="n">
        <v>0.823388223</v>
      </c>
      <c r="K934" s="2" t="n">
        <f aca="false">IF(K$7=K$5,K$6,IF(NORMSDIST(K$9*SQRT($C$11)*NORMSINV($B934)+SQRT(1-K$9^2*$C$11)*NORMSINV(J934))&lt;K$8,K$5+SQRT(NORMSDIST(K$9*SQRT($C$11)*NORMSINV($B934)+SQRT(1-K$9^2*$C$11)*NORMSINV(J934))*(K$7-K$5)*(K$6-K$5)),K$7-SQRT((1-NORMSDIST(K$9*SQRT($C$11)*NORMSINV($B934)+SQRT(1-K$9^2*$C$11)*NORMSINV(J934)))*(K$7-K$5)*(K$7-K$6))))</f>
        <v>0.279821591278803</v>
      </c>
      <c r="L934" s="2" t="n">
        <v>0.7408665</v>
      </c>
      <c r="M934" s="2" t="n">
        <f aca="false">IF(M$7=M$5,M$6,IF(NORMSDIST(M$9*SQRT($C$11)*NORMSINV($B934)+SQRT(1-M$9^2*$C$11)*NORMSINV(L934))&lt;M$8,M$5+SQRT(NORMSDIST(M$9*SQRT($C$11)*NORMSINV($B934)+SQRT(1-M$9^2*$C$11)*NORMSINV(L934))*(M$7-M$5)*(M$6-M$5)),M$7-SQRT((1-NORMSDIST(M$9*SQRT($C$11)*NORMSINV($B934)+SQRT(1-M$9^2*$C$11)*NORMSINV(L934)))*(M$7-M$5)*(M$7-M$6))))</f>
        <v>1592.71108025142</v>
      </c>
      <c r="N934" s="2" t="n">
        <v>0.941745323</v>
      </c>
      <c r="O934" s="2" t="n">
        <f aca="false">IF(O$7=O$5,O$6,IF(NORMSDIST(O$9*SQRT($C$11)*NORMSINV($B934)+SQRT(1-O$9^2*$C$11)*NORMSINV(N934))&lt;O$8,O$5+SQRT(NORMSDIST(O$9*SQRT($C$11)*NORMSINV($B934)+SQRT(1-O$9^2*$C$11)*NORMSINV(N934))*(O$7-O$5)*(O$6-O$5)),O$7-SQRT((1-NORMSDIST(O$9*SQRT($C$11)*NORMSINV($B934)+SQRT(1-O$9^2*$C$11)*NORMSINV(N934)))*(O$7-O$5)*(O$7-O$6))))</f>
        <v>0.174789579510085</v>
      </c>
      <c r="P934" s="2" t="n">
        <v>0.710549205</v>
      </c>
      <c r="Q934" s="2" t="n">
        <f aca="false">IF(Q$7=Q$5,Q$6,IF(NORMSDIST(Q$9*SQRT($C$11)*NORMSINV($B934)+SQRT(1-Q$9^2*$C$11)*NORMSINV(P934))&lt;Q$8,Q$5+SQRT(NORMSDIST(Q$9*SQRT($C$11)*NORMSINV($B934)+SQRT(1-Q$9^2*$C$11)*NORMSINV(P934))*(Q$7-Q$5)*(Q$6-Q$5)),Q$7-SQRT((1-NORMSDIST(Q$9*SQRT($C$11)*NORMSINV($B934)+SQRT(1-Q$9^2*$C$11)*NORMSINV(P934)))*(Q$7-Q$5)*(Q$7-Q$6))))</f>
        <v>0.0895657669063273</v>
      </c>
      <c r="R934" s="2" t="n">
        <v>0.222657381</v>
      </c>
      <c r="S934" s="2" t="n">
        <f aca="false">IF(S$7=S$5,S$6,IF(NORMSDIST(S$9*SQRT($C$11)*NORMSINV($B934)+SQRT(1-S$9^2*$C$11)*NORMSINV(R934))&lt;S$8,S$5+SQRT(NORMSDIST(S$9*SQRT($C$11)*NORMSINV($B934)+SQRT(1-S$9^2*$C$11)*NORMSINV(R934))*(S$7-S$5)*(S$6-S$5)),S$7-SQRT((1-NORMSDIST(S$9*SQRT($C$11)*NORMSINV($B934)+SQRT(1-S$9^2*$C$11)*NORMSINV(R934)))*(S$7-S$5)*(S$7-S$6))))</f>
        <v>0.276228581620116</v>
      </c>
      <c r="T934" s="2" t="n">
        <v>0.393837965</v>
      </c>
      <c r="U934" s="2" t="n">
        <f aca="false">IF(U$7=U$5,U$6,IF(NORMSDIST(U$9*SQRT($C$11)*NORMSINV($B934)+SQRT(1-U$9^2*$C$11)*NORMSINV(T934))&lt;U$8,U$5+SQRT(NORMSDIST(U$9*SQRT($C$11)*NORMSINV($B934)+SQRT(1-U$9^2*$C$11)*NORMSINV(T934))*(U$7-U$5)*(U$6-U$5)),U$7-SQRT((1-NORMSDIST(U$9*SQRT($C$11)*NORMSINV($B934)+SQRT(1-U$9^2*$C$11)*NORMSINV(T934)))*(U$7-U$5)*(U$7-U$6))))</f>
        <v>0.360691599198823</v>
      </c>
      <c r="V934" s="2" t="n">
        <v>0.783150871</v>
      </c>
      <c r="W934" s="2" t="n">
        <f aca="false">IF(W$7=W$5,W$6,IF(NORMSDIST(W$9*SQRT($C$11)*NORMSINV($B934)+SQRT(1-W$9^2*$C$11)*NORMSINV(V934))&lt;W$8,W$5+SQRT(NORMSDIST(W$9*SQRT($C$11)*NORMSINV($B934)+SQRT(1-W$9^2*$C$11)*NORMSINV(V934))*(W$7-W$5)*(W$6-W$5)),W$7-SQRT((1-NORMSDIST(W$9*SQRT($C$11)*NORMSINV($B934)+SQRT(1-W$9^2*$C$11)*NORMSINV(V934)))*(W$7-W$5)*(W$7-W$6))))</f>
        <v>10.1418259188836</v>
      </c>
      <c r="X934" s="2" t="n">
        <v>0.003094651</v>
      </c>
      <c r="Y934" s="2" t="n">
        <f aca="false">IF(Y$7=Y$5,Y$6,IF(NORMSDIST(Y$9*SQRT($C$11)*NORMSINV($B934)+SQRT(1-Y$9^2*$C$11)*NORMSINV(X934))&lt;Y$8,Y$5+SQRT(NORMSDIST(Y$9*SQRT($C$11)*NORMSINV($B934)+SQRT(1-Y$9^2*$C$11)*NORMSINV(X934))*(Y$7-Y$5)*(Y$6-Y$5)),Y$7-SQRT((1-NORMSDIST(Y$9*SQRT($C$11)*NORMSINV($B934)+SQRT(1-Y$9^2*$C$11)*NORMSINV(X934)))*(Y$7-Y$5)*(Y$7-Y$6))))</f>
        <v>0.0393360585214126</v>
      </c>
      <c r="Z934" s="2" t="n">
        <v>0.038469801</v>
      </c>
      <c r="AA934" s="2" t="n">
        <f aca="false">IF(AA$7=AA$5,AA$6,IF(NORMSDIST(AA$9*SQRT($C$11)*NORMSINV($B934)+SQRT(1-AA$9^2*$C$11)*NORMSINV(Z934))&lt;AA$8,AA$5+SQRT(NORMSDIST(AA$9*SQRT($C$11)*NORMSINV($B934)+SQRT(1-AA$9^2*$C$11)*NORMSINV(Z934))*(AA$7-AA$5)*(AA$6-AA$5)),AA$7-SQRT((1-NORMSDIST(AA$9*SQRT($C$11)*NORMSINV($B934)+SQRT(1-AA$9^2*$C$11)*NORMSINV(Z934)))*(AA$7-AA$5)*(AA$7-AA$6))))</f>
        <v>0.704053521440519</v>
      </c>
      <c r="AB934" s="2" t="n">
        <v>0.552501051</v>
      </c>
      <c r="AC934" s="2" t="n">
        <f aca="false">IF(AC$7=AC$5,AC$6,IF(NORMSDIST(AC$9*SQRT($C$11)*NORMSINV($B934)+SQRT(1-AC$9^2*$C$11)*NORMSINV(AB934))&lt;AC$8,AC$5+SQRT(NORMSDIST(AC$9*SQRT($C$11)*NORMSINV($B934)+SQRT(1-AC$9^2*$C$11)*NORMSINV(AB934))*(AC$7-AC$5)*(AC$6-AC$5)),AC$7-SQRT((1-NORMSDIST(AC$9*SQRT($C$11)*NORMSINV($B934)+SQRT(1-AC$9^2*$C$11)*NORMSINV(AB934)))*(AC$7-AC$5)*(AC$7-AC$6))))</f>
        <v>9.18793245692569</v>
      </c>
      <c r="AD934" s="2" t="n">
        <f aca="false">Entrées!$C$8*(1+E934)</f>
        <v>7424.03300979371</v>
      </c>
      <c r="AE934" s="2" t="n">
        <f aca="false">I934*Hypothèses!$J$24/12/Hypothèses!$J$19</f>
        <v>99.7525599712906</v>
      </c>
      <c r="AF934" s="2" t="n">
        <f aca="false">Entrées!$C$36*S934*1000</f>
        <v>138.114290810058</v>
      </c>
      <c r="AG934" s="2" t="n">
        <f aca="false">-AF934/W934</f>
        <v>-13.6182864816183</v>
      </c>
      <c r="AH934" s="2" t="n">
        <f aca="false">AD934+AE934+AG934</f>
        <v>7510.16728328338</v>
      </c>
      <c r="AI934" s="2" t="n">
        <f aca="false">Entrées!$C$16-M934+Hypothèses!$J$22*1000-AF934+Hypothèses!$J$23</f>
        <v>22817.1746289385</v>
      </c>
      <c r="AJ934" s="2" t="n">
        <f aca="false">AI934/AH934</f>
        <v>3.03817129076825</v>
      </c>
      <c r="AK934" s="2" t="n">
        <f aca="false">AI934/(AH934+I934*(12-Hypothèses!$J$24)/12/Hypothèses!$J$19)</f>
        <v>3.0096178950616</v>
      </c>
      <c r="AL934" s="2" t="n">
        <f aca="false">(AD934+AG934+I934/Hypothèses!$J$19)*(1+G934)</f>
        <v>7992.82801811191</v>
      </c>
      <c r="AM934" s="2" t="n">
        <f aca="false">Entrées!$C$54*K934/Hypothèses!$J$19</f>
        <v>28.5569682849401</v>
      </c>
      <c r="AN934" s="2" t="n">
        <f aca="false">Y934*1000/AC934</f>
        <v>4.28127423724821</v>
      </c>
      <c r="AO934" s="2" t="n">
        <f aca="false">(Entrées!$C$36*(1-S934)+MAX(0,Entrées!$C$30-Entrées!$C$35-Entrées!$C$36)*U934)*1000</f>
        <v>866.853948068295</v>
      </c>
      <c r="AP934" s="2" t="n">
        <f aca="false">-AO934/W934</f>
        <v>-85.4731638071461</v>
      </c>
      <c r="AQ934" s="2" t="n">
        <f aca="false">AL934+AM934+AN934+AP934</f>
        <v>7940.19309682695</v>
      </c>
      <c r="AR934" s="2" t="n">
        <f aca="false">O934*AQ934-Hypothèses!$J$25/Hypothèses!$J$19</f>
        <v>1368.72785036164</v>
      </c>
      <c r="AS934" s="2" t="n">
        <f aca="false">Entrées!$C$79*(1+Q934)+Hypothèses!$J$20</f>
        <v>1492.43277783005</v>
      </c>
      <c r="AT934" s="2" t="n">
        <f aca="false">AI934-AR934+AS934+Y934*1000-AO934+Hypothèses!$J$23</f>
        <v>22113.3616668601</v>
      </c>
      <c r="AU934" s="2" t="n">
        <f aca="false">AT934/AQ934</f>
        <v>2.78499041486749</v>
      </c>
      <c r="AV934" s="2" t="n">
        <f aca="false">Hypothèses!$J$26*AQ934-AT934</f>
        <v>1707.21762362081</v>
      </c>
      <c r="AW934" s="2" t="n">
        <f aca="false">IF(AC934&gt;Hypothèses!$J$26,MAX(0,AV934)/(1-Hypothèses!$J$26/AC934),0)</f>
        <v>2534.90165322429</v>
      </c>
      <c r="AX934" s="2" t="n">
        <f aca="false">AQ934-Entrées!$C$17*1000</f>
        <v>-59.8069031730456</v>
      </c>
      <c r="AY934" s="2" t="n">
        <f aca="false">AI934+(Entrées!$C$244-Entrées!$C$13)</f>
        <v>28564.1746289385</v>
      </c>
      <c r="AZ934" s="2" t="n">
        <f aca="false">AA934*AH934</f>
        <v>5287.55972240304</v>
      </c>
      <c r="BA934" s="2" t="n">
        <f aca="false">AZ934/AY934</f>
        <v>0.185111587892555</v>
      </c>
      <c r="BB934" s="2" t="n">
        <f aca="false">AZ934/(Entrées!$C$151/100)-AY934</f>
        <v>811.15716218948</v>
      </c>
      <c r="BC934" s="2" t="n">
        <f aca="false">AT934+(Entrées!$C$244-Entrées!$C$13)</f>
        <v>27860.3616668601</v>
      </c>
      <c r="BD934" s="2" t="n">
        <f aca="false">AA934*AQ934</f>
        <v>5590.32091073872</v>
      </c>
      <c r="BE934" s="2" t="n">
        <f aca="false">BD934/BC934</f>
        <v>0.200655001452778</v>
      </c>
      <c r="BF934" s="2" t="n">
        <f aca="false">BD934/(Entrées!$C$151/100)-BC934</f>
        <v>3196.97672613283</v>
      </c>
      <c r="BG934" s="2" t="n">
        <f aca="false">MIN(AV934,BF934)</f>
        <v>1707.21762362081</v>
      </c>
      <c r="BH934" s="2" t="n">
        <f aca="false">IF(AC934&gt;Hypothèses!$J$26,MAX(0,BG934)/(1-Hypothèses!$J$26/AC934),0)</f>
        <v>2534.90165322429</v>
      </c>
    </row>
    <row r="935" customFormat="false" ht="15" hidden="false" customHeight="false" outlineLevel="0" collapsed="false">
      <c r="A935" s="2" t="n">
        <v>920</v>
      </c>
      <c r="B935" s="2" t="n">
        <v>0.871529816</v>
      </c>
      <c r="C935" s="2"/>
      <c r="D935" s="2" t="n">
        <v>0.498122549</v>
      </c>
      <c r="E935" s="2" t="n">
        <f aca="false">IF(E$7=E$5,E$6,IF(NORMSDIST(E$9*SQRT($C$11)*NORMSINV($B935)+SQRT(1-E$9^2*$C$11)*NORMSINV(D935))&lt;E$8,E$5+SQRT(NORMSDIST(E$9*SQRT($C$11)*NORMSINV($B935)+SQRT(1-E$9^2*$C$11)*NORMSINV(D935))*(E$7-E$5)*(E$6-E$5)),E$7-SQRT((1-NORMSDIST(E$9*SQRT($C$11)*NORMSINV($B935)+SQRT(1-E$9^2*$C$11)*NORMSINV(D935)))*(E$7-E$5)*(E$7-E$6))))</f>
        <v>0.056551682507621</v>
      </c>
      <c r="F935" s="2" t="n">
        <v>0.404293518</v>
      </c>
      <c r="G935" s="2" t="n">
        <f aca="false">IF(G$7=G$5,G$6,IF(NORMSDIST(G$9*SQRT($C$11)*NORMSINV($B935)+SQRT(1-G$9^2*$C$11)*NORMSINV(F935))&lt;G$8,G$5+SQRT(NORMSDIST(G$9*SQRT($C$11)*NORMSINV($B935)+SQRT(1-G$9^2*$C$11)*NORMSINV(F935))*(G$7-G$5)*(G$6-G$5)),G$7-SQRT((1-NORMSDIST(G$9*SQRT($C$11)*NORMSINV($B935)+SQRT(1-G$9^2*$C$11)*NORMSINV(F935)))*(G$7-G$5)*(G$7-G$6))))</f>
        <v>0.0584143074036452</v>
      </c>
      <c r="H935" s="2" t="n">
        <v>0.508372167</v>
      </c>
      <c r="I935" s="2" t="n">
        <f aca="false">IF(I$7=I$5,I$6,IF(NORMSDIST(I$9*SQRT($C$11)*NORMSINV($B935)+SQRT(1-I$9^2*$C$11)*NORMSINV(H935))&lt;I$8,I$5+SQRT(NORMSDIST(I$9*SQRT($C$11)*NORMSINV($B935)+SQRT(1-I$9^2*$C$11)*NORMSINV(H935))*(I$7-I$5)*(I$6-I$5)),I$7-SQRT((1-NORMSDIST(I$9*SQRT($C$11)*NORMSINV($B935)+SQRT(1-I$9^2*$C$11)*NORMSINV(H935)))*(I$7-I$5)*(I$7-I$6))))</f>
        <v>206.385138880081</v>
      </c>
      <c r="J935" s="2" t="n">
        <v>0.905071906</v>
      </c>
      <c r="K935" s="2" t="n">
        <f aca="false">IF(K$7=K$5,K$6,IF(NORMSDIST(K$9*SQRT($C$11)*NORMSINV($B935)+SQRT(1-K$9^2*$C$11)*NORMSINV(J935))&lt;K$8,K$5+SQRT(NORMSDIST(K$9*SQRT($C$11)*NORMSINV($B935)+SQRT(1-K$9^2*$C$11)*NORMSINV(J935))*(K$7-K$5)*(K$6-K$5)),K$7-SQRT((1-NORMSDIST(K$9*SQRT($C$11)*NORMSINV($B935)+SQRT(1-K$9^2*$C$11)*NORMSINV(J935)))*(K$7-K$5)*(K$7-K$6))))</f>
        <v>0.427894471223035</v>
      </c>
      <c r="L935" s="2" t="n">
        <v>0.337067411</v>
      </c>
      <c r="M935" s="2" t="n">
        <f aca="false">IF(M$7=M$5,M$6,IF(NORMSDIST(M$9*SQRT($C$11)*NORMSINV($B935)+SQRT(1-M$9^2*$C$11)*NORMSINV(L935))&lt;M$8,M$5+SQRT(NORMSDIST(M$9*SQRT($C$11)*NORMSINV($B935)+SQRT(1-M$9^2*$C$11)*NORMSINV(L935))*(M$7-M$5)*(M$6-M$5)),M$7-SQRT((1-NORMSDIST(M$9*SQRT($C$11)*NORMSINV($B935)+SQRT(1-M$9^2*$C$11)*NORMSINV(L935)))*(M$7-M$5)*(M$7-M$6))))</f>
        <v>1625.44709554381</v>
      </c>
      <c r="N935" s="2" t="n">
        <v>0.857475701</v>
      </c>
      <c r="O935" s="2" t="n">
        <f aca="false">IF(O$7=O$5,O$6,IF(NORMSDIST(O$9*SQRT($C$11)*NORMSINV($B935)+SQRT(1-O$9^2*$C$11)*NORMSINV(N935))&lt;O$8,O$5+SQRT(NORMSDIST(O$9*SQRT($C$11)*NORMSINV($B935)+SQRT(1-O$9^2*$C$11)*NORMSINV(N935))*(O$7-O$5)*(O$6-O$5)),O$7-SQRT((1-NORMSDIST(O$9*SQRT($C$11)*NORMSINV($B935)+SQRT(1-O$9^2*$C$11)*NORMSINV(N935)))*(O$7-O$5)*(O$7-O$6))))</f>
        <v>0.181928311491455</v>
      </c>
      <c r="P935" s="2" t="n">
        <v>0.323545296</v>
      </c>
      <c r="Q935" s="2" t="n">
        <f aca="false">IF(Q$7=Q$5,Q$6,IF(NORMSDIST(Q$9*SQRT($C$11)*NORMSINV($B935)+SQRT(1-Q$9^2*$C$11)*NORMSINV(P935))&lt;Q$8,Q$5+SQRT(NORMSDIST(Q$9*SQRT($C$11)*NORMSINV($B935)+SQRT(1-Q$9^2*$C$11)*NORMSINV(P935))*(Q$7-Q$5)*(Q$6-Q$5)),Q$7-SQRT((1-NORMSDIST(Q$9*SQRT($C$11)*NORMSINV($B935)+SQRT(1-Q$9^2*$C$11)*NORMSINV(P935)))*(Q$7-Q$5)*(Q$7-Q$6))))</f>
        <v>0.0721767765197199</v>
      </c>
      <c r="R935" s="2" t="n">
        <v>0.141253981</v>
      </c>
      <c r="S935" s="2" t="n">
        <f aca="false">IF(S$7=S$5,S$6,IF(NORMSDIST(S$9*SQRT($C$11)*NORMSINV($B935)+SQRT(1-S$9^2*$C$11)*NORMSINV(R935))&lt;S$8,S$5+SQRT(NORMSDIST(S$9*SQRT($C$11)*NORMSINV($B935)+SQRT(1-S$9^2*$C$11)*NORMSINV(R935))*(S$7-S$5)*(S$6-S$5)),S$7-SQRT((1-NORMSDIST(S$9*SQRT($C$11)*NORMSINV($B935)+SQRT(1-S$9^2*$C$11)*NORMSINV(R935)))*(S$7-S$5)*(S$7-S$6))))</f>
        <v>0.476462929124933</v>
      </c>
      <c r="T935" s="2" t="n">
        <v>0.538473981</v>
      </c>
      <c r="U935" s="2" t="n">
        <f aca="false">IF(U$7=U$5,U$6,IF(NORMSDIST(U$9*SQRT($C$11)*NORMSINV($B935)+SQRT(1-U$9^2*$C$11)*NORMSINV(T935))&lt;U$8,U$5+SQRT(NORMSDIST(U$9*SQRT($C$11)*NORMSINV($B935)+SQRT(1-U$9^2*$C$11)*NORMSINV(T935))*(U$7-U$5)*(U$6-U$5)),U$7-SQRT((1-NORMSDIST(U$9*SQRT($C$11)*NORMSINV($B935)+SQRT(1-U$9^2*$C$11)*NORMSINV(T935)))*(U$7-U$5)*(U$7-U$6))))</f>
        <v>0.672709781813704</v>
      </c>
      <c r="V935" s="2" t="n">
        <v>0.286568471</v>
      </c>
      <c r="W935" s="2" t="n">
        <f aca="false">IF(W$7=W$5,W$6,IF(NORMSDIST(W$9*SQRT($C$11)*NORMSINV($B935)+SQRT(1-W$9^2*$C$11)*NORMSINV(V935))&lt;W$8,W$5+SQRT(NORMSDIST(W$9*SQRT($C$11)*NORMSINV($B935)+SQRT(1-W$9^2*$C$11)*NORMSINV(V935))*(W$7-W$5)*(W$6-W$5)),W$7-SQRT((1-NORMSDIST(W$9*SQRT($C$11)*NORMSINV($B935)+SQRT(1-W$9^2*$C$11)*NORMSINV(V935)))*(W$7-W$5)*(W$7-W$6))))</f>
        <v>10.2347156549888</v>
      </c>
      <c r="X935" s="2" t="n">
        <v>0.888004418</v>
      </c>
      <c r="Y935" s="2" t="n">
        <f aca="false">IF(Y$7=Y$5,Y$6,IF(NORMSDIST(Y$9*SQRT($C$11)*NORMSINV($B935)+SQRT(1-Y$9^2*$C$11)*NORMSINV(X935))&lt;Y$8,Y$5+SQRT(NORMSDIST(Y$9*SQRT($C$11)*NORMSINV($B935)+SQRT(1-Y$9^2*$C$11)*NORMSINV(X935))*(Y$7-Y$5)*(Y$6-Y$5)),Y$7-SQRT((1-NORMSDIST(Y$9*SQRT($C$11)*NORMSINV($B935)+SQRT(1-Y$9^2*$C$11)*NORMSINV(X935)))*(Y$7-Y$5)*(Y$7-Y$6))))</f>
        <v>0.763361476086416</v>
      </c>
      <c r="Z935" s="2" t="n">
        <v>0.205879979</v>
      </c>
      <c r="AA935" s="2" t="n">
        <f aca="false">IF(AA$7=AA$5,AA$6,IF(NORMSDIST(AA$9*SQRT($C$11)*NORMSINV($B935)+SQRT(1-AA$9^2*$C$11)*NORMSINV(Z935))&lt;AA$8,AA$5+SQRT(NORMSDIST(AA$9*SQRT($C$11)*NORMSINV($B935)+SQRT(1-AA$9^2*$C$11)*NORMSINV(Z935))*(AA$7-AA$5)*(AA$6-AA$5)),AA$7-SQRT((1-NORMSDIST(AA$9*SQRT($C$11)*NORMSINV($B935)+SQRT(1-AA$9^2*$C$11)*NORMSINV(Z935)))*(AA$7-AA$5)*(AA$7-AA$6))))</f>
        <v>0.729093885039455</v>
      </c>
      <c r="AB935" s="2" t="n">
        <v>0.670985889</v>
      </c>
      <c r="AC935" s="2" t="n">
        <f aca="false">IF(AC$7=AC$5,AC$6,IF(NORMSDIST(AC$9*SQRT($C$11)*NORMSINV($B935)+SQRT(1-AC$9^2*$C$11)*NORMSINV(AB935))&lt;AC$8,AC$5+SQRT(NORMSDIST(AC$9*SQRT($C$11)*NORMSINV($B935)+SQRT(1-AC$9^2*$C$11)*NORMSINV(AB935))*(AC$7-AC$5)*(AC$6-AC$5)),AC$7-SQRT((1-NORMSDIST(AC$9*SQRT($C$11)*NORMSINV($B935)+SQRT(1-AC$9^2*$C$11)*NORMSINV(AB935)))*(AC$7-AC$5)*(AC$7-AC$6))))</f>
        <v>10.2096205070265</v>
      </c>
      <c r="AD935" s="2" t="n">
        <f aca="false">Entrées!$C$8*(1+E935)</f>
        <v>7448.68936167873</v>
      </c>
      <c r="AE935" s="2" t="n">
        <f aca="false">I935*Hypothèses!$J$24/12/Hypothèses!$J$19</f>
        <v>102.387006837074</v>
      </c>
      <c r="AF935" s="2" t="n">
        <f aca="false">Entrées!$C$36*S935*1000</f>
        <v>238.231464562466</v>
      </c>
      <c r="AG935" s="2" t="n">
        <f aca="false">-AF935/W935</f>
        <v>-23.276803439707</v>
      </c>
      <c r="AH935" s="2" t="n">
        <f aca="false">AD935+AE935+AG935</f>
        <v>7527.7995650761</v>
      </c>
      <c r="AI935" s="2" t="n">
        <f aca="false">Entrées!$C$16-M935+Hypothèses!$J$22*1000-AF935+Hypothèses!$J$23</f>
        <v>22684.3214398937</v>
      </c>
      <c r="AJ935" s="2" t="n">
        <f aca="false">AI935/AH935</f>
        <v>3.01340667266616</v>
      </c>
      <c r="AK935" s="2" t="n">
        <f aca="false">AI935/(AH935+I935*(12-Hypothèses!$J$24)/12/Hypothèses!$J$19)</f>
        <v>2.98441270537876</v>
      </c>
      <c r="AL935" s="2" t="n">
        <f aca="false">(AD935+AG935+I935/Hypothèses!$J$19)*(1+G935)</f>
        <v>8044.9363864639</v>
      </c>
      <c r="AM935" s="2" t="n">
        <f aca="false">Entrées!$C$54*K935/Hypothèses!$J$19</f>
        <v>43.6684274010956</v>
      </c>
      <c r="AN935" s="2" t="n">
        <f aca="false">Y935*1000/AC935</f>
        <v>74.7688394060337</v>
      </c>
      <c r="AO935" s="2" t="n">
        <f aca="false">(Entrées!$C$36*(1-S935)+MAX(0,Entrées!$C$30-Entrées!$C$35-Entrées!$C$36)*U935)*1000</f>
        <v>1203.56222997672</v>
      </c>
      <c r="AP935" s="2" t="n">
        <f aca="false">-AO935/W935</f>
        <v>-117.596059387351</v>
      </c>
      <c r="AQ935" s="2" t="n">
        <f aca="false">AL935+AM935+AN935+AP935</f>
        <v>8045.77759388368</v>
      </c>
      <c r="AR935" s="2" t="n">
        <f aca="false">O935*AQ935-Hypothèses!$J$25/Hypothèses!$J$19</f>
        <v>1444.61957002941</v>
      </c>
      <c r="AS935" s="2" t="n">
        <f aca="false">Entrées!$C$79*(1+Q935)+Hypothèses!$J$20</f>
        <v>1473.32227739517</v>
      </c>
      <c r="AT935" s="2" t="n">
        <f aca="false">AI935-AR935+AS935+Y935*1000-AO935+Hypothèses!$J$23</f>
        <v>22272.8233933692</v>
      </c>
      <c r="AU935" s="2" t="n">
        <f aca="false">AT935/AQ935</f>
        <v>2.76826237532352</v>
      </c>
      <c r="AV935" s="2" t="n">
        <f aca="false">Hypothèses!$J$26*AQ935-AT935</f>
        <v>1864.50938828186</v>
      </c>
      <c r="AW935" s="2" t="n">
        <f aca="false">IF(AC935&gt;Hypothèses!$J$26,MAX(0,AV935)/(1-Hypothèses!$J$26/AC935),0)</f>
        <v>2640.35163398593</v>
      </c>
      <c r="AX935" s="2" t="n">
        <f aca="false">AQ935-Entrées!$C$17*1000</f>
        <v>45.7775938836776</v>
      </c>
      <c r="AY935" s="2" t="n">
        <f aca="false">AI935+(Entrées!$C$244-Entrées!$C$13)</f>
        <v>28431.3214398937</v>
      </c>
      <c r="AZ935" s="2" t="n">
        <f aca="false">AA935*AH935</f>
        <v>5488.47263069965</v>
      </c>
      <c r="BA935" s="2" t="n">
        <f aca="false">AZ935/AY935</f>
        <v>0.193043177479554</v>
      </c>
      <c r="BB935" s="2" t="n">
        <f aca="false">AZ935/(Entrées!$C$151/100)-AY935</f>
        <v>2060.19317510435</v>
      </c>
      <c r="BC935" s="2" t="n">
        <f aca="false">AT935+(Entrées!$C$244-Entrées!$C$13)</f>
        <v>28019.8233933692</v>
      </c>
      <c r="BD935" s="2" t="n">
        <f aca="false">AA935*AQ935</f>
        <v>5866.12724408805</v>
      </c>
      <c r="BE935" s="2" t="n">
        <f aca="false">BD935/BC935</f>
        <v>0.209356324689622</v>
      </c>
      <c r="BF935" s="2" t="n">
        <f aca="false">BD935/(Entrées!$C$151/100)-BC935</f>
        <v>4569.77240712</v>
      </c>
      <c r="BG935" s="2" t="n">
        <f aca="false">MIN(AV935,BF935)</f>
        <v>1864.50938828186</v>
      </c>
      <c r="BH935" s="2" t="n">
        <f aca="false">IF(AC935&gt;Hypothèses!$J$26,MAX(0,BG935)/(1-Hypothèses!$J$26/AC935),0)</f>
        <v>2640.35163398593</v>
      </c>
    </row>
    <row r="936" customFormat="false" ht="15" hidden="false" customHeight="false" outlineLevel="0" collapsed="false">
      <c r="A936" s="2" t="n">
        <v>921</v>
      </c>
      <c r="B936" s="2" t="n">
        <v>0.480577017</v>
      </c>
      <c r="C936" s="2"/>
      <c r="D936" s="2" t="n">
        <v>0.40072067</v>
      </c>
      <c r="E936" s="2" t="n">
        <f aca="false">IF(E$7=E$5,E$6,IF(NORMSDIST(E$9*SQRT($C$11)*NORMSINV($B936)+SQRT(1-E$9^2*$C$11)*NORMSINV(D936))&lt;E$8,E$5+SQRT(NORMSDIST(E$9*SQRT($C$11)*NORMSINV($B936)+SQRT(1-E$9^2*$C$11)*NORMSINV(D936))*(E$7-E$5)*(E$6-E$5)),E$7-SQRT((1-NORMSDIST(E$9*SQRT($C$11)*NORMSINV($B936)+SQRT(1-E$9^2*$C$11)*NORMSINV(D936)))*(E$7-E$5)*(E$7-E$6))))</f>
        <v>0.0545318636887695</v>
      </c>
      <c r="F936" s="2" t="n">
        <v>0.376643875</v>
      </c>
      <c r="G936" s="2" t="n">
        <f aca="false">IF(G$7=G$5,G$6,IF(NORMSDIST(G$9*SQRT($C$11)*NORMSINV($B936)+SQRT(1-G$9^2*$C$11)*NORMSINV(F936))&lt;G$8,G$5+SQRT(NORMSDIST(G$9*SQRT($C$11)*NORMSINV($B936)+SQRT(1-G$9^2*$C$11)*NORMSINV(F936))*(G$7-G$5)*(G$6-G$5)),G$7-SQRT((1-NORMSDIST(G$9*SQRT($C$11)*NORMSINV($B936)+SQRT(1-G$9^2*$C$11)*NORMSINV(F936)))*(G$7-G$5)*(G$7-G$6))))</f>
        <v>0.0532805559000518</v>
      </c>
      <c r="H936" s="2" t="n">
        <v>0.399237784</v>
      </c>
      <c r="I936" s="2" t="n">
        <f aca="false">IF(I$7=I$5,I$6,IF(NORMSDIST(I$9*SQRT($C$11)*NORMSINV($B936)+SQRT(1-I$9^2*$C$11)*NORMSINV(H936))&lt;I$8,I$5+SQRT(NORMSDIST(I$9*SQRT($C$11)*NORMSINV($B936)+SQRT(1-I$9^2*$C$11)*NORMSINV(H936))*(I$7-I$5)*(I$6-I$5)),I$7-SQRT((1-NORMSDIST(I$9*SQRT($C$11)*NORMSINV($B936)+SQRT(1-I$9^2*$C$11)*NORMSINV(H936)))*(I$7-I$5)*(I$7-I$6))))</f>
        <v>198.101930211785</v>
      </c>
      <c r="J936" s="2" t="n">
        <v>0.20756699</v>
      </c>
      <c r="K936" s="2" t="n">
        <f aca="false">IF(K$7=K$5,K$6,IF(NORMSDIST(K$9*SQRT($C$11)*NORMSINV($B936)+SQRT(1-K$9^2*$C$11)*NORMSINV(J936))&lt;K$8,K$5+SQRT(NORMSDIST(K$9*SQRT($C$11)*NORMSINV($B936)+SQRT(1-K$9^2*$C$11)*NORMSINV(J936))*(K$7-K$5)*(K$6-K$5)),K$7-SQRT((1-NORMSDIST(K$9*SQRT($C$11)*NORMSINV($B936)+SQRT(1-K$9^2*$C$11)*NORMSINV(J936)))*(K$7-K$5)*(K$7-K$6))))</f>
        <v>0.178178353888669</v>
      </c>
      <c r="L936" s="2" t="n">
        <v>0.878715744</v>
      </c>
      <c r="M936" s="2" t="n">
        <f aca="false">IF(M$7=M$5,M$6,IF(NORMSDIST(M$9*SQRT($C$11)*NORMSINV($B936)+SQRT(1-M$9^2*$C$11)*NORMSINV(L936))&lt;M$8,M$5+SQRT(NORMSDIST(M$9*SQRT($C$11)*NORMSINV($B936)+SQRT(1-M$9^2*$C$11)*NORMSINV(L936))*(M$7-M$5)*(M$6-M$5)),M$7-SQRT((1-NORMSDIST(M$9*SQRT($C$11)*NORMSINV($B936)+SQRT(1-M$9^2*$C$11)*NORMSINV(L936)))*(M$7-M$5)*(M$7-M$6))))</f>
        <v>1668.60450688396</v>
      </c>
      <c r="N936" s="2" t="n">
        <v>0.537457658</v>
      </c>
      <c r="O936" s="2" t="n">
        <f aca="false">IF(O$7=O$5,O$6,IF(NORMSDIST(O$9*SQRT($C$11)*NORMSINV($B936)+SQRT(1-O$9^2*$C$11)*NORMSINV(N936))&lt;O$8,O$5+SQRT(NORMSDIST(O$9*SQRT($C$11)*NORMSINV($B936)+SQRT(1-O$9^2*$C$11)*NORMSINV(N936))*(O$7-O$5)*(O$6-O$5)),O$7-SQRT((1-NORMSDIST(O$9*SQRT($C$11)*NORMSINV($B936)+SQRT(1-O$9^2*$C$11)*NORMSINV(N936)))*(O$7-O$5)*(O$7-O$6))))</f>
        <v>0.167229790786633</v>
      </c>
      <c r="P936" s="2" t="n">
        <v>0.837141984</v>
      </c>
      <c r="Q936" s="2" t="n">
        <f aca="false">IF(Q$7=Q$5,Q$6,IF(NORMSDIST(Q$9*SQRT($C$11)*NORMSINV($B936)+SQRT(1-Q$9^2*$C$11)*NORMSINV(P936))&lt;Q$8,Q$5+SQRT(NORMSDIST(Q$9*SQRT($C$11)*NORMSINV($B936)+SQRT(1-Q$9^2*$C$11)*NORMSINV(P936))*(Q$7-Q$5)*(Q$6-Q$5)),Q$7-SQRT((1-NORMSDIST(Q$9*SQRT($C$11)*NORMSINV($B936)+SQRT(1-Q$9^2*$C$11)*NORMSINV(P936)))*(Q$7-Q$5)*(Q$7-Q$6))))</f>
        <v>0.0971713852544663</v>
      </c>
      <c r="R936" s="2" t="n">
        <v>0.312374972</v>
      </c>
      <c r="S936" s="2" t="n">
        <f aca="false">IF(S$7=S$5,S$6,IF(NORMSDIST(S$9*SQRT($C$11)*NORMSINV($B936)+SQRT(1-S$9^2*$C$11)*NORMSINV(R936))&lt;S$8,S$5+SQRT(NORMSDIST(S$9*SQRT($C$11)*NORMSINV($B936)+SQRT(1-S$9^2*$C$11)*NORMSINV(R936))*(S$7-S$5)*(S$6-S$5)),S$7-SQRT((1-NORMSDIST(S$9*SQRT($C$11)*NORMSINV($B936)+SQRT(1-S$9^2*$C$11)*NORMSINV(R936)))*(S$7-S$5)*(S$7-S$6))))</f>
        <v>0.412928291281051</v>
      </c>
      <c r="T936" s="2" t="n">
        <v>0.083006435</v>
      </c>
      <c r="U936" s="2" t="n">
        <f aca="false">IF(U$7=U$5,U$6,IF(NORMSDIST(U$9*SQRT($C$11)*NORMSINV($B936)+SQRT(1-U$9^2*$C$11)*NORMSINV(T936))&lt;U$8,U$5+SQRT(NORMSDIST(U$9*SQRT($C$11)*NORMSINV($B936)+SQRT(1-U$9^2*$C$11)*NORMSINV(T936))*(U$7-U$5)*(U$6-U$5)),U$7-SQRT((1-NORMSDIST(U$9*SQRT($C$11)*NORMSINV($B936)+SQRT(1-U$9^2*$C$11)*NORMSINV(T936)))*(U$7-U$5)*(U$7-U$6))))</f>
        <v>0.259670126423753</v>
      </c>
      <c r="V936" s="2" t="n">
        <v>0.449486793</v>
      </c>
      <c r="W936" s="2" t="n">
        <f aca="false">IF(W$7=W$5,W$6,IF(NORMSDIST(W$9*SQRT($C$11)*NORMSINV($B936)+SQRT(1-W$9^2*$C$11)*NORMSINV(V936))&lt;W$8,W$5+SQRT(NORMSDIST(W$9*SQRT($C$11)*NORMSINV($B936)+SQRT(1-W$9^2*$C$11)*NORMSINV(V936))*(W$7-W$5)*(W$6-W$5)),W$7-SQRT((1-NORMSDIST(W$9*SQRT($C$11)*NORMSINV($B936)+SQRT(1-W$9^2*$C$11)*NORMSINV(V936)))*(W$7-W$5)*(W$7-W$6))))</f>
        <v>9.89445787084402</v>
      </c>
      <c r="X936" s="2" t="n">
        <v>0.407771121</v>
      </c>
      <c r="Y936" s="2" t="n">
        <f aca="false">IF(Y$7=Y$5,Y$6,IF(NORMSDIST(Y$9*SQRT($C$11)*NORMSINV($B936)+SQRT(1-Y$9^2*$C$11)*NORMSINV(X936))&lt;Y$8,Y$5+SQRT(NORMSDIST(Y$9*SQRT($C$11)*NORMSINV($B936)+SQRT(1-Y$9^2*$C$11)*NORMSINV(X936))*(Y$7-Y$5)*(Y$6-Y$5)),Y$7-SQRT((1-NORMSDIST(Y$9*SQRT($C$11)*NORMSINV($B936)+SQRT(1-Y$9^2*$C$11)*NORMSINV(X936)))*(Y$7-Y$5)*(Y$7-Y$6))))</f>
        <v>0.451536887197491</v>
      </c>
      <c r="Z936" s="2" t="n">
        <v>0.432099405</v>
      </c>
      <c r="AA936" s="2" t="n">
        <f aca="false">IF(AA$7=AA$5,AA$6,IF(NORMSDIST(AA$9*SQRT($C$11)*NORMSINV($B936)+SQRT(1-AA$9^2*$C$11)*NORMSINV(Z936))&lt;AA$8,AA$5+SQRT(NORMSDIST(AA$9*SQRT($C$11)*NORMSINV($B936)+SQRT(1-AA$9^2*$C$11)*NORMSINV(Z936))*(AA$7-AA$5)*(AA$6-AA$5)),AA$7-SQRT((1-NORMSDIST(AA$9*SQRT($C$11)*NORMSINV($B936)+SQRT(1-AA$9^2*$C$11)*NORMSINV(Z936)))*(AA$7-AA$5)*(AA$7-AA$6))))</f>
        <v>0.725854903614283</v>
      </c>
      <c r="AB936" s="2" t="n">
        <v>0.998724415</v>
      </c>
      <c r="AC936" s="2" t="n">
        <f aca="false">IF(AC$7=AC$5,AC$6,IF(NORMSDIST(AC$9*SQRT($C$11)*NORMSINV($B936)+SQRT(1-AC$9^2*$C$11)*NORMSINV(AB936))&lt;AC$8,AC$5+SQRT(NORMSDIST(AC$9*SQRT($C$11)*NORMSINV($B936)+SQRT(1-AC$9^2*$C$11)*NORMSINV(AB936))*(AC$7-AC$5)*(AC$6-AC$5)),AC$7-SQRT((1-NORMSDIST(AC$9*SQRT($C$11)*NORMSINV($B936)+SQRT(1-AC$9^2*$C$11)*NORMSINV(AB936)))*(AC$7-AC$5)*(AC$7-AC$6))))</f>
        <v>10.786549329918</v>
      </c>
      <c r="AD936" s="2" t="n">
        <f aca="false">Entrées!$C$8*(1+E936)</f>
        <v>7434.44963900583</v>
      </c>
      <c r="AE936" s="2" t="n">
        <f aca="false">I936*Hypothèses!$J$24/12/Hypothèses!$J$19</f>
        <v>98.2777335281727</v>
      </c>
      <c r="AF936" s="2" t="n">
        <f aca="false">Entrées!$C$36*S936*1000</f>
        <v>206.464145640526</v>
      </c>
      <c r="AG936" s="2" t="n">
        <f aca="false">-AF936/W936</f>
        <v>-20.8666455843845</v>
      </c>
      <c r="AH936" s="2" t="n">
        <f aca="false">AD936+AE936+AG936</f>
        <v>7511.86072694961</v>
      </c>
      <c r="AI936" s="2" t="n">
        <f aca="false">Entrées!$C$16-M936+Hypothèses!$J$22*1000-AF936+Hypothèses!$J$23</f>
        <v>22672.9313474755</v>
      </c>
      <c r="AJ936" s="2" t="n">
        <f aca="false">AI936/AH936</f>
        <v>3.01828430686074</v>
      </c>
      <c r="AK936" s="2" t="n">
        <f aca="false">AI936/(AH936+I936*(12-Hypothèses!$J$24)/12/Hypothèses!$J$19)</f>
        <v>2.99033956665277</v>
      </c>
      <c r="AL936" s="2" t="n">
        <f aca="false">(AD936+AG936+I936/Hypothèses!$J$19)*(1+G936)</f>
        <v>7986.03543218465</v>
      </c>
      <c r="AM936" s="2" t="n">
        <f aca="false">Entrées!$C$54*K936/Hypothèses!$J$19</f>
        <v>18.1838491369018</v>
      </c>
      <c r="AN936" s="2" t="n">
        <f aca="false">Y936*1000/AC936</f>
        <v>41.8611062154131</v>
      </c>
      <c r="AO936" s="2" t="n">
        <f aca="false">(Entrées!$C$36*(1-S936)+MAX(0,Entrées!$C$30-Entrées!$C$35-Entrées!$C$36)*U936)*1000</f>
        <v>657.074031352729</v>
      </c>
      <c r="AP936" s="2" t="n">
        <f aca="false">-AO936/W936</f>
        <v>-66.4082903712115</v>
      </c>
      <c r="AQ936" s="2" t="n">
        <f aca="false">AL936+AM936+AN936+AP936</f>
        <v>7979.67209716575</v>
      </c>
      <c r="AR936" s="2" t="n">
        <f aca="false">O936*AQ936-Hypothèses!$J$25/Hypothèses!$J$19</f>
        <v>1315.30373309334</v>
      </c>
      <c r="AS936" s="2" t="n">
        <f aca="false">Entrées!$C$79*(1+Q936)+Hypothèses!$J$20</f>
        <v>1500.79135239466</v>
      </c>
      <c r="AT936" s="2" t="n">
        <f aca="false">AI936-AR936+AS936+Y936*1000-AO936+Hypothèses!$J$23</f>
        <v>22652.8818226216</v>
      </c>
      <c r="AU936" s="2" t="n">
        <f aca="false">AT936/AQ936</f>
        <v>2.83882364422813</v>
      </c>
      <c r="AV936" s="2" t="n">
        <f aca="false">Hypothèses!$J$26*AQ936-AT936</f>
        <v>1286.13446887566</v>
      </c>
      <c r="AW936" s="2" t="n">
        <f aca="false">IF(AC936&gt;Hypothèses!$J$26,MAX(0,AV936)/(1-Hypothèses!$J$26/AC936),0)</f>
        <v>1781.65607198192</v>
      </c>
      <c r="AX936" s="2" t="n">
        <f aca="false">AQ936-Entrées!$C$17*1000</f>
        <v>-20.3279028342477</v>
      </c>
      <c r="AY936" s="2" t="n">
        <f aca="false">AI936+(Entrées!$C$244-Entrées!$C$13)</f>
        <v>28419.9313474755</v>
      </c>
      <c r="AZ936" s="2" t="n">
        <f aca="false">AA936*AH936</f>
        <v>5452.52094392393</v>
      </c>
      <c r="BA936" s="2" t="n">
        <f aca="false">AZ936/AY936</f>
        <v>0.191855528335337</v>
      </c>
      <c r="BB936" s="2" t="n">
        <f aca="false">AZ936/(Entrées!$C$151/100)-AY936</f>
        <v>1871.85167432408</v>
      </c>
      <c r="BC936" s="2" t="n">
        <f aca="false">AT936+(Entrées!$C$244-Entrées!$C$13)</f>
        <v>28399.8818226216</v>
      </c>
      <c r="BD936" s="2" t="n">
        <f aca="false">AA936*AQ936</f>
        <v>5792.08412096183</v>
      </c>
      <c r="BE936" s="2" t="n">
        <f aca="false">BD936/BC936</f>
        <v>0.203947472638714</v>
      </c>
      <c r="BF936" s="2" t="n">
        <f aca="false">BD936/(Entrées!$C$151/100)-BC936</f>
        <v>3778.36329383299</v>
      </c>
      <c r="BG936" s="2" t="n">
        <f aca="false">MIN(AV936,BF936)</f>
        <v>1286.13446887566</v>
      </c>
      <c r="BH936" s="2" t="n">
        <f aca="false">IF(AC936&gt;Hypothèses!$J$26,MAX(0,BG936)/(1-Hypothèses!$J$26/AC936),0)</f>
        <v>1781.65607198192</v>
      </c>
    </row>
    <row r="937" customFormat="false" ht="15" hidden="false" customHeight="false" outlineLevel="0" collapsed="false">
      <c r="A937" s="2" t="n">
        <v>922</v>
      </c>
      <c r="B937" s="2" t="n">
        <v>0.596104028</v>
      </c>
      <c r="C937" s="2"/>
      <c r="D937" s="2" t="n">
        <v>0.029782629</v>
      </c>
      <c r="E937" s="2" t="n">
        <f aca="false">IF(E$7=E$5,E$6,IF(NORMSDIST(E$9*SQRT($C$11)*NORMSINV($B937)+SQRT(1-E$9^2*$C$11)*NORMSINV(D937))&lt;E$8,E$5+SQRT(NORMSDIST(E$9*SQRT($C$11)*NORMSINV($B937)+SQRT(1-E$9^2*$C$11)*NORMSINV(D937))*(E$7-E$5)*(E$6-E$5)),E$7-SQRT((1-NORMSDIST(E$9*SQRT($C$11)*NORMSINV($B937)+SQRT(1-E$9^2*$C$11)*NORMSINV(D937)))*(E$7-E$5)*(E$7-E$6))))</f>
        <v>0.052189350875718</v>
      </c>
      <c r="F937" s="2" t="n">
        <v>0.150000133</v>
      </c>
      <c r="G937" s="2" t="n">
        <f aca="false">IF(G$7=G$5,G$6,IF(NORMSDIST(G$9*SQRT($C$11)*NORMSINV($B937)+SQRT(1-G$9^2*$C$11)*NORMSINV(F937))&lt;G$8,G$5+SQRT(NORMSDIST(G$9*SQRT($C$11)*NORMSINV($B937)+SQRT(1-G$9^2*$C$11)*NORMSINV(F937))*(G$7-G$5)*(G$6-G$5)),G$7-SQRT((1-NORMSDIST(G$9*SQRT($C$11)*NORMSINV($B937)+SQRT(1-G$9^2*$C$11)*NORMSINV(F937)))*(G$7-G$5)*(G$7-G$6))))</f>
        <v>0.0507787972156854</v>
      </c>
      <c r="H937" s="2" t="n">
        <v>0.345692395</v>
      </c>
      <c r="I937" s="2" t="n">
        <f aca="false">IF(I$7=I$5,I$6,IF(NORMSDIST(I$9*SQRT($C$11)*NORMSINV($B937)+SQRT(1-I$9^2*$C$11)*NORMSINV(H937))&lt;I$8,I$5+SQRT(NORMSDIST(I$9*SQRT($C$11)*NORMSINV($B937)+SQRT(1-I$9^2*$C$11)*NORMSINV(H937))*(I$7-I$5)*(I$6-I$5)),I$7-SQRT((1-NORMSDIST(I$9*SQRT($C$11)*NORMSINV($B937)+SQRT(1-I$9^2*$C$11)*NORMSINV(H937)))*(I$7-I$5)*(I$7-I$6))))</f>
        <v>198.739231367875</v>
      </c>
      <c r="J937" s="2" t="n">
        <v>0.074997256</v>
      </c>
      <c r="K937" s="2" t="n">
        <f aca="false">IF(K$7=K$5,K$6,IF(NORMSDIST(K$9*SQRT($C$11)*NORMSINV($B937)+SQRT(1-K$9^2*$C$11)*NORMSINV(J937))&lt;K$8,K$5+SQRT(NORMSDIST(K$9*SQRT($C$11)*NORMSINV($B937)+SQRT(1-K$9^2*$C$11)*NORMSINV(J937))*(K$7-K$5)*(K$6-K$5)),K$7-SQRT((1-NORMSDIST(K$9*SQRT($C$11)*NORMSINV($B937)+SQRT(1-K$9^2*$C$11)*NORMSINV(J937)))*(K$7-K$5)*(K$7-K$6))))</f>
        <v>0.145010004609316</v>
      </c>
      <c r="L937" s="2" t="n">
        <v>0.508149849</v>
      </c>
      <c r="M937" s="2" t="n">
        <f aca="false">IF(M$7=M$5,M$6,IF(NORMSDIST(M$9*SQRT($C$11)*NORMSINV($B937)+SQRT(1-M$9^2*$C$11)*NORMSINV(L937))&lt;M$8,M$5+SQRT(NORMSDIST(M$9*SQRT($C$11)*NORMSINV($B937)+SQRT(1-M$9^2*$C$11)*NORMSINV(L937))*(M$7-M$5)*(M$6-M$5)),M$7-SQRT((1-NORMSDIST(M$9*SQRT($C$11)*NORMSINV($B937)+SQRT(1-M$9^2*$C$11)*NORMSINV(L937)))*(M$7-M$5)*(M$7-M$6))))</f>
        <v>1603.75949720266</v>
      </c>
      <c r="N937" s="2" t="n">
        <v>0.472449947</v>
      </c>
      <c r="O937" s="2" t="n">
        <f aca="false">IF(O$7=O$5,O$6,IF(NORMSDIST(O$9*SQRT($C$11)*NORMSINV($B937)+SQRT(1-O$9^2*$C$11)*NORMSINV(N937))&lt;O$8,O$5+SQRT(NORMSDIST(O$9*SQRT($C$11)*NORMSINV($B937)+SQRT(1-O$9^2*$C$11)*NORMSINV(N937))*(O$7-O$5)*(O$6-O$5)),O$7-SQRT((1-NORMSDIST(O$9*SQRT($C$11)*NORMSINV($B937)+SQRT(1-O$9^2*$C$11)*NORMSINV(N937)))*(O$7-O$5)*(O$7-O$6))))</f>
        <v>0.167834165425162</v>
      </c>
      <c r="P937" s="2" t="n">
        <v>0.364546501</v>
      </c>
      <c r="Q937" s="2" t="n">
        <f aca="false">IF(Q$7=Q$5,Q$6,IF(NORMSDIST(Q$9*SQRT($C$11)*NORMSINV($B937)+SQRT(1-Q$9^2*$C$11)*NORMSINV(P937))&lt;Q$8,Q$5+SQRT(NORMSDIST(Q$9*SQRT($C$11)*NORMSINV($B937)+SQRT(1-Q$9^2*$C$11)*NORMSINV(P937))*(Q$7-Q$5)*(Q$6-Q$5)),Q$7-SQRT((1-NORMSDIST(Q$9*SQRT($C$11)*NORMSINV($B937)+SQRT(1-Q$9^2*$C$11)*NORMSINV(P937)))*(Q$7-Q$5)*(Q$7-Q$6))))</f>
        <v>0.0741547771651346</v>
      </c>
      <c r="R937" s="2" t="n">
        <v>0.970188847</v>
      </c>
      <c r="S937" s="2" t="n">
        <f aca="false">IF(S$7=S$5,S$6,IF(NORMSDIST(S$9*SQRT($C$11)*NORMSINV($B937)+SQRT(1-S$9^2*$C$11)*NORMSINV(R937))&lt;S$8,S$5+SQRT(NORMSDIST(S$9*SQRT($C$11)*NORMSINV($B937)+SQRT(1-S$9^2*$C$11)*NORMSINV(R937))*(S$7-S$5)*(S$6-S$5)),S$7-SQRT((1-NORMSDIST(S$9*SQRT($C$11)*NORMSINV($B937)+SQRT(1-S$9^2*$C$11)*NORMSINV(R937)))*(S$7-S$5)*(S$7-S$6))))</f>
        <v>0.836619983028498</v>
      </c>
      <c r="T937" s="2" t="n">
        <v>0.831908512</v>
      </c>
      <c r="U937" s="2" t="n">
        <f aca="false">IF(U$7=U$5,U$6,IF(NORMSDIST(U$9*SQRT($C$11)*NORMSINV($B937)+SQRT(1-U$9^2*$C$11)*NORMSINV(T937))&lt;U$8,U$5+SQRT(NORMSDIST(U$9*SQRT($C$11)*NORMSINV($B937)+SQRT(1-U$9^2*$C$11)*NORMSINV(T937))*(U$7-U$5)*(U$6-U$5)),U$7-SQRT((1-NORMSDIST(U$9*SQRT($C$11)*NORMSINV($B937)+SQRT(1-U$9^2*$C$11)*NORMSINV(T937)))*(U$7-U$5)*(U$7-U$6))))</f>
        <v>0.696376067251026</v>
      </c>
      <c r="V937" s="2" t="n">
        <v>0.051323321</v>
      </c>
      <c r="W937" s="2" t="n">
        <f aca="false">IF(W$7=W$5,W$6,IF(NORMSDIST(W$9*SQRT($C$11)*NORMSINV($B937)+SQRT(1-W$9^2*$C$11)*NORMSINV(V937))&lt;W$8,W$5+SQRT(NORMSDIST(W$9*SQRT($C$11)*NORMSINV($B937)+SQRT(1-W$9^2*$C$11)*NORMSINV(V937))*(W$7-W$5)*(W$6-W$5)),W$7-SQRT((1-NORMSDIST(W$9*SQRT($C$11)*NORMSINV($B937)+SQRT(1-W$9^2*$C$11)*NORMSINV(V937)))*(W$7-W$5)*(W$7-W$6))))</f>
        <v>9.03310409512627</v>
      </c>
      <c r="X937" s="2" t="n">
        <v>0.837430392</v>
      </c>
      <c r="Y937" s="2" t="n">
        <f aca="false">IF(Y$7=Y$5,Y$6,IF(NORMSDIST(Y$9*SQRT($C$11)*NORMSINV($B937)+SQRT(1-Y$9^2*$C$11)*NORMSINV(X937))&lt;Y$8,Y$5+SQRT(NORMSDIST(Y$9*SQRT($C$11)*NORMSINV($B937)+SQRT(1-Y$9^2*$C$11)*NORMSINV(X937))*(Y$7-Y$5)*(Y$6-Y$5)),Y$7-SQRT((1-NORMSDIST(Y$9*SQRT($C$11)*NORMSINV($B937)+SQRT(1-Y$9^2*$C$11)*NORMSINV(X937)))*(Y$7-Y$5)*(Y$7-Y$6))))</f>
        <v>0.714895100007033</v>
      </c>
      <c r="Z937" s="2" t="n">
        <v>0.590049675</v>
      </c>
      <c r="AA937" s="2" t="n">
        <f aca="false">IF(AA$7=AA$5,AA$6,IF(NORMSDIST(AA$9*SQRT($C$11)*NORMSINV($B937)+SQRT(1-AA$9^2*$C$11)*NORMSINV(Z937))&lt;AA$8,AA$5+SQRT(NORMSDIST(AA$9*SQRT($C$11)*NORMSINV($B937)+SQRT(1-AA$9^2*$C$11)*NORMSINV(Z937))*(AA$7-AA$5)*(AA$6-AA$5)),AA$7-SQRT((1-NORMSDIST(AA$9*SQRT($C$11)*NORMSINV($B937)+SQRT(1-AA$9^2*$C$11)*NORMSINV(Z937)))*(AA$7-AA$5)*(AA$7-AA$6))))</f>
        <v>0.732043544247044</v>
      </c>
      <c r="AB937" s="2" t="n">
        <v>0.379892748</v>
      </c>
      <c r="AC937" s="2" t="n">
        <f aca="false">IF(AC$7=AC$5,AC$6,IF(NORMSDIST(AC$9*SQRT($C$11)*NORMSINV($B937)+SQRT(1-AC$9^2*$C$11)*NORMSINV(AB937))&lt;AC$8,AC$5+SQRT(NORMSDIST(AC$9*SQRT($C$11)*NORMSINV($B937)+SQRT(1-AC$9^2*$C$11)*NORMSINV(AB937))*(AC$7-AC$5)*(AC$6-AC$5)),AC$7-SQRT((1-NORMSDIST(AC$9*SQRT($C$11)*NORMSINV($B937)+SQRT(1-AC$9^2*$C$11)*NORMSINV(AB937)))*(AC$7-AC$5)*(AC$7-AC$6))))</f>
        <v>9.40855712928016</v>
      </c>
      <c r="AD937" s="2" t="n">
        <f aca="false">Entrées!$C$8*(1+E937)</f>
        <v>7417.93492367381</v>
      </c>
      <c r="AE937" s="2" t="n">
        <f aca="false">I937*Hypothèses!$J$24/12/Hypothèses!$J$19</f>
        <v>98.5938965919475</v>
      </c>
      <c r="AF937" s="2" t="n">
        <f aca="false">Entrées!$C$36*S937*1000</f>
        <v>418.309991514249</v>
      </c>
      <c r="AG937" s="2" t="n">
        <f aca="false">-AF937/W937</f>
        <v>-46.308554303049</v>
      </c>
      <c r="AH937" s="2" t="n">
        <f aca="false">AD937+AE937+AG937</f>
        <v>7470.22026596271</v>
      </c>
      <c r="AI937" s="2" t="n">
        <f aca="false">Entrées!$C$16-M937+Hypothèses!$J$22*1000-AF937+Hypothèses!$J$23</f>
        <v>22525.9305112831</v>
      </c>
      <c r="AJ937" s="2" t="n">
        <f aca="false">AI937/AH937</f>
        <v>3.01543056419905</v>
      </c>
      <c r="AK937" s="2" t="n">
        <f aca="false">AI937/(AH937+I937*(12-Hypothèses!$J$24)/12/Hypothèses!$J$19)</f>
        <v>2.98726860516476</v>
      </c>
      <c r="AL937" s="2" t="n">
        <f aca="false">(AD937+AG937+I937/Hypothèses!$J$19)*(1+G937)</f>
        <v>7923.5493346286</v>
      </c>
      <c r="AM937" s="2" t="n">
        <f aca="false">Entrées!$C$54*K937/Hypothèses!$J$19</f>
        <v>14.7988798280448</v>
      </c>
      <c r="AN937" s="2" t="n">
        <f aca="false">Y937*1000/AC937</f>
        <v>75.9834999335046</v>
      </c>
      <c r="AO937" s="2" t="n">
        <f aca="false">(Entrées!$C$36*(1-S937)+MAX(0,Entrées!$C$30-Entrées!$C$35-Entrées!$C$36)*U937)*1000</f>
        <v>1056.61650263719</v>
      </c>
      <c r="AP937" s="2" t="n">
        <f aca="false">-AO937/W937</f>
        <v>-116.97158490704</v>
      </c>
      <c r="AQ937" s="2" t="n">
        <f aca="false">AL937+AM937+AN937+AP937</f>
        <v>7897.36012948311</v>
      </c>
      <c r="AR937" s="2" t="n">
        <f aca="false">O937*AQ937-Hypothèses!$J$25/Hypothèses!$J$19</f>
        <v>1306.31168413213</v>
      </c>
      <c r="AS937" s="2" t="n">
        <f aca="false">Entrées!$C$79*(1+Q937)+Hypothèses!$J$20</f>
        <v>1475.49610010448</v>
      </c>
      <c r="AT937" s="2" t="n">
        <f aca="false">AI937-AR937+AS937+Y937*1000-AO937+Hypothèses!$J$23</f>
        <v>22353.3935246253</v>
      </c>
      <c r="AU937" s="2" t="n">
        <f aca="false">AT937/AQ937</f>
        <v>2.83048932277682</v>
      </c>
      <c r="AV937" s="2" t="n">
        <f aca="false">Hypothèses!$J$26*AQ937-AT937</f>
        <v>1338.68686382404</v>
      </c>
      <c r="AW937" s="2" t="n">
        <f aca="false">IF(AC937&gt;Hypothèses!$J$26,MAX(0,AV937)/(1-Hypothèses!$J$26/AC937),0)</f>
        <v>1965.35843910315</v>
      </c>
      <c r="AX937" s="2" t="n">
        <f aca="false">AQ937-Entrées!$C$17*1000</f>
        <v>-102.639870516888</v>
      </c>
      <c r="AY937" s="2" t="n">
        <f aca="false">AI937+(Entrées!$C$244-Entrées!$C$13)</f>
        <v>28272.9305112831</v>
      </c>
      <c r="AZ937" s="2" t="n">
        <f aca="false">AA937*AH937</f>
        <v>5468.52651980144</v>
      </c>
      <c r="BA937" s="2" t="n">
        <f aca="false">AZ937/AY937</f>
        <v>0.193419161753292</v>
      </c>
      <c r="BB937" s="2" t="n">
        <f aca="false">AZ937/(Entrées!$C$151/100)-AY937</f>
        <v>2107.77237650268</v>
      </c>
      <c r="BC937" s="2" t="n">
        <f aca="false">AT937+(Entrées!$C$244-Entrées!$C$13)</f>
        <v>28100.3935246253</v>
      </c>
      <c r="BD937" s="2" t="n">
        <f aca="false">AA937*AQ937</f>
        <v>5781.21149938211</v>
      </c>
      <c r="BE937" s="2" t="n">
        <f aca="false">BD937/BC937</f>
        <v>0.205734182843947</v>
      </c>
      <c r="BF937" s="2" t="n">
        <f aca="false">BD937/(Entrées!$C$151/100)-BC937</f>
        <v>4017.44813860866</v>
      </c>
      <c r="BG937" s="2" t="n">
        <f aca="false">MIN(AV937,BF937)</f>
        <v>1338.68686382404</v>
      </c>
      <c r="BH937" s="2" t="n">
        <f aca="false">IF(AC937&gt;Hypothèses!$J$26,MAX(0,BG937)/(1-Hypothèses!$J$26/AC937),0)</f>
        <v>1965.35843910315</v>
      </c>
    </row>
    <row r="938" customFormat="false" ht="15" hidden="false" customHeight="false" outlineLevel="0" collapsed="false">
      <c r="A938" s="2" t="n">
        <v>923</v>
      </c>
      <c r="B938" s="2" t="n">
        <v>0.906436004</v>
      </c>
      <c r="C938" s="2"/>
      <c r="D938" s="2" t="n">
        <v>0.894656334</v>
      </c>
      <c r="E938" s="2" t="n">
        <f aca="false">IF(E$7=E$5,E$6,IF(NORMSDIST(E$9*SQRT($C$11)*NORMSINV($B938)+SQRT(1-E$9^2*$C$11)*NORMSINV(D938))&lt;E$8,E$5+SQRT(NORMSDIST(E$9*SQRT($C$11)*NORMSINV($B938)+SQRT(1-E$9^2*$C$11)*NORMSINV(D938))*(E$7-E$5)*(E$6-E$5)),E$7-SQRT((1-NORMSDIST(E$9*SQRT($C$11)*NORMSINV($B938)+SQRT(1-E$9^2*$C$11)*NORMSINV(D938)))*(E$7-E$5)*(E$7-E$6))))</f>
        <v>0.0586652936164503</v>
      </c>
      <c r="F938" s="2" t="n">
        <v>0.28324664</v>
      </c>
      <c r="G938" s="2" t="n">
        <f aca="false">IF(G$7=G$5,G$6,IF(NORMSDIST(G$9*SQRT($C$11)*NORMSINV($B938)+SQRT(1-G$9^2*$C$11)*NORMSINV(F938))&lt;G$8,G$5+SQRT(NORMSDIST(G$9*SQRT($C$11)*NORMSINV($B938)+SQRT(1-G$9^2*$C$11)*NORMSINV(F938))*(G$7-G$5)*(G$6-G$5)),G$7-SQRT((1-NORMSDIST(G$9*SQRT($C$11)*NORMSINV($B938)+SQRT(1-G$9^2*$C$11)*NORMSINV(F938)))*(G$7-G$5)*(G$7-G$6))))</f>
        <v>0.057482976273177</v>
      </c>
      <c r="H938" s="2" t="n">
        <v>0.816956494</v>
      </c>
      <c r="I938" s="2" t="n">
        <f aca="false">IF(I$7=I$5,I$6,IF(NORMSDIST(I$9*SQRT($C$11)*NORMSINV($B938)+SQRT(1-I$9^2*$C$11)*NORMSINV(H938))&lt;I$8,I$5+SQRT(NORMSDIST(I$9*SQRT($C$11)*NORMSINV($B938)+SQRT(1-I$9^2*$C$11)*NORMSINV(H938))*(I$7-I$5)*(I$6-I$5)),I$7-SQRT((1-NORMSDIST(I$9*SQRT($C$11)*NORMSINV($B938)+SQRT(1-I$9^2*$C$11)*NORMSINV(H938)))*(I$7-I$5)*(I$7-I$6))))</f>
        <v>212.930794269153</v>
      </c>
      <c r="J938" s="2" t="n">
        <v>0.053512476</v>
      </c>
      <c r="K938" s="2" t="n">
        <f aca="false">IF(K$7=K$5,K$6,IF(NORMSDIST(K$9*SQRT($C$11)*NORMSINV($B938)+SQRT(1-K$9^2*$C$11)*NORMSINV(J938))&lt;K$8,K$5+SQRT(NORMSDIST(K$9*SQRT($C$11)*NORMSINV($B938)+SQRT(1-K$9^2*$C$11)*NORMSINV(J938))*(K$7-K$5)*(K$6-K$5)),K$7-SQRT((1-NORMSDIST(K$9*SQRT($C$11)*NORMSINV($B938)+SQRT(1-K$9^2*$C$11)*NORMSINV(J938)))*(K$7-K$5)*(K$7-K$6))))</f>
        <v>0.205969105183038</v>
      </c>
      <c r="L938" s="2" t="n">
        <v>0.549870386</v>
      </c>
      <c r="M938" s="2" t="n">
        <f aca="false">IF(M$7=M$5,M$6,IF(NORMSDIST(M$9*SQRT($C$11)*NORMSINV($B938)+SQRT(1-M$9^2*$C$11)*NORMSINV(L938))&lt;M$8,M$5+SQRT(NORMSDIST(M$9*SQRT($C$11)*NORMSINV($B938)+SQRT(1-M$9^2*$C$11)*NORMSINV(L938))*(M$7-M$5)*(M$6-M$5)),M$7-SQRT((1-NORMSDIST(M$9*SQRT($C$11)*NORMSINV($B938)+SQRT(1-M$9^2*$C$11)*NORMSINV(L938)))*(M$7-M$5)*(M$7-M$6))))</f>
        <v>1673.58777900086</v>
      </c>
      <c r="N938" s="2" t="n">
        <v>0.100215471</v>
      </c>
      <c r="O938" s="2" t="n">
        <f aca="false">IF(O$7=O$5,O$6,IF(NORMSDIST(O$9*SQRT($C$11)*NORMSINV($B938)+SQRT(1-O$9^2*$C$11)*NORMSINV(N938))&lt;O$8,O$5+SQRT(NORMSDIST(O$9*SQRT($C$11)*NORMSINV($B938)+SQRT(1-O$9^2*$C$11)*NORMSINV(N938))*(O$7-O$5)*(O$6-O$5)),O$7-SQRT((1-NORMSDIST(O$9*SQRT($C$11)*NORMSINV($B938)+SQRT(1-O$9^2*$C$11)*NORMSINV(N938)))*(O$7-O$5)*(O$7-O$6))))</f>
        <v>0.165053043135884</v>
      </c>
      <c r="P938" s="2" t="n">
        <v>0.030788352</v>
      </c>
      <c r="Q938" s="2" t="n">
        <f aca="false">IF(Q$7=Q$5,Q$6,IF(NORMSDIST(Q$9*SQRT($C$11)*NORMSINV($B938)+SQRT(1-Q$9^2*$C$11)*NORMSINV(P938))&lt;Q$8,Q$5+SQRT(NORMSDIST(Q$9*SQRT($C$11)*NORMSINV($B938)+SQRT(1-Q$9^2*$C$11)*NORMSINV(P938))*(Q$7-Q$5)*(Q$6-Q$5)),Q$7-SQRT((1-NORMSDIST(Q$9*SQRT($C$11)*NORMSINV($B938)+SQRT(1-Q$9^2*$C$11)*NORMSINV(P938)))*(Q$7-Q$5)*(Q$7-Q$6))))</f>
        <v>0.0499258614940971</v>
      </c>
      <c r="R938" s="2" t="n">
        <v>0.117220352</v>
      </c>
      <c r="S938" s="2" t="n">
        <f aca="false">IF(S$7=S$5,S$6,IF(NORMSDIST(S$9*SQRT($C$11)*NORMSINV($B938)+SQRT(1-S$9^2*$C$11)*NORMSINV(R938))&lt;S$8,S$5+SQRT(NORMSDIST(S$9*SQRT($C$11)*NORMSINV($B938)+SQRT(1-S$9^2*$C$11)*NORMSINV(R938))*(S$7-S$5)*(S$6-S$5)),S$7-SQRT((1-NORMSDIST(S$9*SQRT($C$11)*NORMSINV($B938)+SQRT(1-S$9^2*$C$11)*NORMSINV(R938)))*(S$7-S$5)*(S$7-S$6))))</f>
        <v>0.482416989733132</v>
      </c>
      <c r="T938" s="2" t="n">
        <v>0.633134712</v>
      </c>
      <c r="U938" s="2" t="n">
        <f aca="false">IF(U$7=U$5,U$6,IF(NORMSDIST(U$9*SQRT($C$11)*NORMSINV($B938)+SQRT(1-U$9^2*$C$11)*NORMSINV(T938))&lt;U$8,U$5+SQRT(NORMSDIST(U$9*SQRT($C$11)*NORMSINV($B938)+SQRT(1-U$9^2*$C$11)*NORMSINV(T938))*(U$7-U$5)*(U$6-U$5)),U$7-SQRT((1-NORMSDIST(U$9*SQRT($C$11)*NORMSINV($B938)+SQRT(1-U$9^2*$C$11)*NORMSINV(T938)))*(U$7-U$5)*(U$7-U$6))))</f>
        <v>0.739087670806661</v>
      </c>
      <c r="V938" s="2" t="n">
        <v>0.968033112</v>
      </c>
      <c r="W938" s="2" t="n">
        <f aca="false">IF(W$7=W$5,W$6,IF(NORMSDIST(W$9*SQRT($C$11)*NORMSINV($B938)+SQRT(1-W$9^2*$C$11)*NORMSINV(V938))&lt;W$8,W$5+SQRT(NORMSDIST(W$9*SQRT($C$11)*NORMSINV($B938)+SQRT(1-W$9^2*$C$11)*NORMSINV(V938))*(W$7-W$5)*(W$6-W$5)),W$7-SQRT((1-NORMSDIST(W$9*SQRT($C$11)*NORMSINV($B938)+SQRT(1-W$9^2*$C$11)*NORMSINV(V938)))*(W$7-W$5)*(W$7-W$6))))</f>
        <v>11.6950549498044</v>
      </c>
      <c r="X938" s="2" t="n">
        <v>0.000242283</v>
      </c>
      <c r="Y938" s="2" t="n">
        <f aca="false">IF(Y$7=Y$5,Y$6,IF(NORMSDIST(Y$9*SQRT($C$11)*NORMSINV($B938)+SQRT(1-Y$9^2*$C$11)*NORMSINV(X938))&lt;Y$8,Y$5+SQRT(NORMSDIST(Y$9*SQRT($C$11)*NORMSINV($B938)+SQRT(1-Y$9^2*$C$11)*NORMSINV(X938))*(Y$7-Y$5)*(Y$6-Y$5)),Y$7-SQRT((1-NORMSDIST(Y$9*SQRT($C$11)*NORMSINV($B938)+SQRT(1-Y$9^2*$C$11)*NORMSINV(X938)))*(Y$7-Y$5)*(Y$7-Y$6))))</f>
        <v>0.0110064299389039</v>
      </c>
      <c r="Z938" s="2" t="n">
        <v>0.826948115</v>
      </c>
      <c r="AA938" s="2" t="n">
        <f aca="false">IF(AA$7=AA$5,AA$6,IF(NORMSDIST(AA$9*SQRT($C$11)*NORMSINV($B938)+SQRT(1-AA$9^2*$C$11)*NORMSINV(Z938))&lt;AA$8,AA$5+SQRT(NORMSDIST(AA$9*SQRT($C$11)*NORMSINV($B938)+SQRT(1-AA$9^2*$C$11)*NORMSINV(Z938))*(AA$7-AA$5)*(AA$6-AA$5)),AA$7-SQRT((1-NORMSDIST(AA$9*SQRT($C$11)*NORMSINV($B938)+SQRT(1-AA$9^2*$C$11)*NORMSINV(Z938)))*(AA$7-AA$5)*(AA$7-AA$6))))</f>
        <v>0.74517038666027</v>
      </c>
      <c r="AB938" s="2" t="n">
        <v>0.763438992</v>
      </c>
      <c r="AC938" s="2" t="n">
        <f aca="false">IF(AC$7=AC$5,AC$6,IF(NORMSDIST(AC$9*SQRT($C$11)*NORMSINV($B938)+SQRT(1-AC$9^2*$C$11)*NORMSINV(AB938))&lt;AC$8,AC$5+SQRT(NORMSDIST(AC$9*SQRT($C$11)*NORMSINV($B938)+SQRT(1-AC$9^2*$C$11)*NORMSINV(AB938))*(AC$7-AC$5)*(AC$6-AC$5)),AC$7-SQRT((1-NORMSDIST(AC$9*SQRT($C$11)*NORMSINV($B938)+SQRT(1-AC$9^2*$C$11)*NORMSINV(AB938)))*(AC$7-AC$5)*(AC$7-AC$6))))</f>
        <v>10.4038543637097</v>
      </c>
      <c r="AD938" s="2" t="n">
        <f aca="false">Entrées!$C$8*(1+E938)</f>
        <v>7463.59031999597</v>
      </c>
      <c r="AE938" s="2" t="n">
        <f aca="false">I938*Hypothèses!$J$24/12/Hypothèses!$J$19</f>
        <v>105.634285525407</v>
      </c>
      <c r="AF938" s="2" t="n">
        <f aca="false">Entrées!$C$36*S938*1000</f>
        <v>241.208494866566</v>
      </c>
      <c r="AG938" s="2" t="n">
        <f aca="false">-AF938/W938</f>
        <v>-20.6248278355118</v>
      </c>
      <c r="AH938" s="2" t="n">
        <f aca="false">AD938+AE938+AG938</f>
        <v>7548.59977768587</v>
      </c>
      <c r="AI938" s="2" t="n">
        <f aca="false">Entrées!$C$16-M938+Hypothèses!$J$22*1000-AF938+Hypothèses!$J$23</f>
        <v>22633.2037261326</v>
      </c>
      <c r="AJ938" s="2" t="n">
        <f aca="false">AI938/AH938</f>
        <v>2.99833139823332</v>
      </c>
      <c r="AK938" s="2" t="n">
        <f aca="false">AI938/(AH938+I938*(12-Hypothèses!$J$24)/12/Hypothèses!$J$19)</f>
        <v>2.96865777359537</v>
      </c>
      <c r="AL938" s="2" t="n">
        <f aca="false">(AD938+AG938+I938/Hypothèses!$J$19)*(1+G938)</f>
        <v>8062.30608721222</v>
      </c>
      <c r="AM938" s="2" t="n">
        <f aca="false">Entrées!$C$54*K938/Hypothèses!$J$19</f>
        <v>21.0200119923164</v>
      </c>
      <c r="AN938" s="2" t="n">
        <f aca="false">Y938*1000/AC938</f>
        <v>1.05791849387051</v>
      </c>
      <c r="AO938" s="2" t="n">
        <f aca="false">(Entrées!$C$36*(1-S938)+MAX(0,Entrées!$C$30-Entrées!$C$35-Entrées!$C$36)*U938)*1000</f>
        <v>1293.51424426276</v>
      </c>
      <c r="AP938" s="2" t="n">
        <f aca="false">-AO938/W938</f>
        <v>-110.603520018894</v>
      </c>
      <c r="AQ938" s="2" t="n">
        <f aca="false">AL938+AM938+AN938+AP938</f>
        <v>7973.78049767952</v>
      </c>
      <c r="AR938" s="2" t="n">
        <f aca="false">O938*AQ938-Hypothèses!$J$25/Hypothèses!$J$19</f>
        <v>1296.96157417794</v>
      </c>
      <c r="AS938" s="2" t="n">
        <f aca="false">Entrées!$C$79*(1+Q938)+Hypothèses!$J$20</f>
        <v>1448.86852178201</v>
      </c>
      <c r="AT938" s="2" t="n">
        <f aca="false">AI938-AR938+AS938+Y938*1000-AO938+Hypothèses!$J$23</f>
        <v>21502.6028594128</v>
      </c>
      <c r="AU938" s="2" t="n">
        <f aca="false">AT938/AQ938</f>
        <v>2.69666350430268</v>
      </c>
      <c r="AV938" s="2" t="n">
        <f aca="false">Hypothèses!$J$26*AQ938-AT938</f>
        <v>2418.73863362576</v>
      </c>
      <c r="AW938" s="2" t="n">
        <f aca="false">IF(AC938&gt;Hypothèses!$J$26,MAX(0,AV938)/(1-Hypothèses!$J$26/AC938),0)</f>
        <v>3398.79787634181</v>
      </c>
      <c r="AX938" s="2" t="n">
        <f aca="false">AQ938-Entrées!$C$17*1000</f>
        <v>-26.219502320484</v>
      </c>
      <c r="AY938" s="2" t="n">
        <f aca="false">AI938+(Entrées!$C$244-Entrées!$C$13)</f>
        <v>28380.2037261326</v>
      </c>
      <c r="AZ938" s="2" t="n">
        <f aca="false">AA938*AH938</f>
        <v>5624.99301508181</v>
      </c>
      <c r="BA938" s="2" t="n">
        <f aca="false">AZ938/AY938</f>
        <v>0.198201290919638</v>
      </c>
      <c r="BB938" s="2" t="n">
        <f aca="false">AZ938/(Entrées!$C$151/100)-AY938</f>
        <v>2869.75746876635</v>
      </c>
      <c r="BC938" s="2" t="n">
        <f aca="false">AT938+(Entrées!$C$244-Entrées!$C$13)</f>
        <v>27249.6028594128</v>
      </c>
      <c r="BD938" s="2" t="n">
        <f aca="false">AA938*AQ938</f>
        <v>5941.82509659996</v>
      </c>
      <c r="BE938" s="2" t="n">
        <f aca="false">BD938/BC938</f>
        <v>0.21805180527787</v>
      </c>
      <c r="BF938" s="2" t="n">
        <f aca="false">BD938/(Entrées!$C$151/100)-BC938</f>
        <v>5760.53656614256</v>
      </c>
      <c r="BG938" s="2" t="n">
        <f aca="false">MIN(AV938,BF938)</f>
        <v>2418.73863362576</v>
      </c>
      <c r="BH938" s="2" t="n">
        <f aca="false">IF(AC938&gt;Hypothèses!$J$26,MAX(0,BG938)/(1-Hypothèses!$J$26/AC938),0)</f>
        <v>3398.79787634181</v>
      </c>
    </row>
    <row r="939" customFormat="false" ht="15" hidden="false" customHeight="false" outlineLevel="0" collapsed="false">
      <c r="A939" s="2" t="n">
        <v>924</v>
      </c>
      <c r="B939" s="2" t="n">
        <v>0.402333235</v>
      </c>
      <c r="C939" s="2"/>
      <c r="D939" s="2" t="n">
        <v>0.474742613</v>
      </c>
      <c r="E939" s="2" t="n">
        <f aca="false">IF(E$7=E$5,E$6,IF(NORMSDIST(E$9*SQRT($C$11)*NORMSINV($B939)+SQRT(1-E$9^2*$C$11)*NORMSINV(D939))&lt;E$8,E$5+SQRT(NORMSDIST(E$9*SQRT($C$11)*NORMSINV($B939)+SQRT(1-E$9^2*$C$11)*NORMSINV(D939))*(E$7-E$5)*(E$6-E$5)),E$7-SQRT((1-NORMSDIST(E$9*SQRT($C$11)*NORMSINV($B939)+SQRT(1-E$9^2*$C$11)*NORMSINV(D939)))*(E$7-E$5)*(E$7-E$6))))</f>
        <v>0.0545749082617659</v>
      </c>
      <c r="F939" s="2" t="n">
        <v>0.759109121</v>
      </c>
      <c r="G939" s="2" t="n">
        <f aca="false">IF(G$7=G$5,G$6,IF(NORMSDIST(G$9*SQRT($C$11)*NORMSINV($B939)+SQRT(1-G$9^2*$C$11)*NORMSINV(F939))&lt;G$8,G$5+SQRT(NORMSDIST(G$9*SQRT($C$11)*NORMSINV($B939)+SQRT(1-G$9^2*$C$11)*NORMSINV(F939))*(G$7-G$5)*(G$6-G$5)),G$7-SQRT((1-NORMSDIST(G$9*SQRT($C$11)*NORMSINV($B939)+SQRT(1-G$9^2*$C$11)*NORMSINV(F939)))*(G$7-G$5)*(G$7-G$6))))</f>
        <v>0.0574710059009919</v>
      </c>
      <c r="H939" s="2" t="n">
        <v>0.344552863</v>
      </c>
      <c r="I939" s="2" t="n">
        <f aca="false">IF(I$7=I$5,I$6,IF(NORMSDIST(I$9*SQRT($C$11)*NORMSINV($B939)+SQRT(1-I$9^2*$C$11)*NORMSINV(H939))&lt;I$8,I$5+SQRT(NORMSDIST(I$9*SQRT($C$11)*NORMSINV($B939)+SQRT(1-I$9^2*$C$11)*NORMSINV(H939))*(I$7-I$5)*(I$6-I$5)),I$7-SQRT((1-NORMSDIST(I$9*SQRT($C$11)*NORMSINV($B939)+SQRT(1-I$9^2*$C$11)*NORMSINV(H939)))*(I$7-I$5)*(I$7-I$6))))</f>
        <v>196.012449663766</v>
      </c>
      <c r="J939" s="2" t="n">
        <v>0.132414971</v>
      </c>
      <c r="K939" s="2" t="n">
        <f aca="false">IF(K$7=K$5,K$6,IF(NORMSDIST(K$9*SQRT($C$11)*NORMSINV($B939)+SQRT(1-K$9^2*$C$11)*NORMSINV(J939))&lt;K$8,K$5+SQRT(NORMSDIST(K$9*SQRT($C$11)*NORMSINV($B939)+SQRT(1-K$9^2*$C$11)*NORMSINV(J939))*(K$7-K$5)*(K$6-K$5)),K$7-SQRT((1-NORMSDIST(K$9*SQRT($C$11)*NORMSINV($B939)+SQRT(1-K$9^2*$C$11)*NORMSINV(J939)))*(K$7-K$5)*(K$7-K$6))))</f>
        <v>0.13866968838782</v>
      </c>
      <c r="L939" s="2" t="n">
        <v>0.311551826</v>
      </c>
      <c r="M939" s="2" t="n">
        <f aca="false">IF(M$7=M$5,M$6,IF(NORMSDIST(M$9*SQRT($C$11)*NORMSINV($B939)+SQRT(1-M$9^2*$C$11)*NORMSINV(L939))&lt;M$8,M$5+SQRT(NORMSDIST(M$9*SQRT($C$11)*NORMSINV($B939)+SQRT(1-M$9^2*$C$11)*NORMSINV(L939))*(M$7-M$5)*(M$6-M$5)),M$7-SQRT((1-NORMSDIST(M$9*SQRT($C$11)*NORMSINV($B939)+SQRT(1-M$9^2*$C$11)*NORMSINV(L939)))*(M$7-M$5)*(M$7-M$6))))</f>
        <v>1520.14505481223</v>
      </c>
      <c r="N939" s="2" t="n">
        <v>0.557975754</v>
      </c>
      <c r="O939" s="2" t="n">
        <f aca="false">IF(O$7=O$5,O$6,IF(NORMSDIST(O$9*SQRT($C$11)*NORMSINV($B939)+SQRT(1-O$9^2*$C$11)*NORMSINV(N939))&lt;O$8,O$5+SQRT(NORMSDIST(O$9*SQRT($C$11)*NORMSINV($B939)+SQRT(1-O$9^2*$C$11)*NORMSINV(N939))*(O$7-O$5)*(O$6-O$5)),O$7-SQRT((1-NORMSDIST(O$9*SQRT($C$11)*NORMSINV($B939)+SQRT(1-O$9^2*$C$11)*NORMSINV(N939)))*(O$7-O$5)*(O$7-O$6))))</f>
        <v>0.16631628880289</v>
      </c>
      <c r="P939" s="2" t="n">
        <v>0.318631646</v>
      </c>
      <c r="Q939" s="2" t="n">
        <f aca="false">IF(Q$7=Q$5,Q$6,IF(NORMSDIST(Q$9*SQRT($C$11)*NORMSINV($B939)+SQRT(1-Q$9^2*$C$11)*NORMSINV(P939))&lt;Q$8,Q$5+SQRT(NORMSDIST(Q$9*SQRT($C$11)*NORMSINV($B939)+SQRT(1-Q$9^2*$C$11)*NORMSINV(P939))*(Q$7-Q$5)*(Q$6-Q$5)),Q$7-SQRT((1-NORMSDIST(Q$9*SQRT($C$11)*NORMSINV($B939)+SQRT(1-Q$9^2*$C$11)*NORMSINV(P939)))*(Q$7-Q$5)*(Q$7-Q$6))))</f>
        <v>0.0719315090028642</v>
      </c>
      <c r="R939" s="2" t="n">
        <v>0.70118927</v>
      </c>
      <c r="S939" s="2" t="n">
        <f aca="false">IF(S$7=S$5,S$6,IF(NORMSDIST(S$9*SQRT($C$11)*NORMSINV($B939)+SQRT(1-S$9^2*$C$11)*NORMSINV(R939))&lt;S$8,S$5+SQRT(NORMSDIST(S$9*SQRT($C$11)*NORMSINV($B939)+SQRT(1-S$9^2*$C$11)*NORMSINV(R939))*(S$7-S$5)*(S$6-S$5)),S$7-SQRT((1-NORMSDIST(S$9*SQRT($C$11)*NORMSINV($B939)+SQRT(1-S$9^2*$C$11)*NORMSINV(R939)))*(S$7-S$5)*(S$7-S$6))))</f>
        <v>0.552589795832898</v>
      </c>
      <c r="T939" s="2" t="n">
        <v>0.091323465</v>
      </c>
      <c r="U939" s="2" t="n">
        <f aca="false">IF(U$7=U$5,U$6,IF(NORMSDIST(U$9*SQRT($C$11)*NORMSINV($B939)+SQRT(1-U$9^2*$C$11)*NORMSINV(T939))&lt;U$8,U$5+SQRT(NORMSDIST(U$9*SQRT($C$11)*NORMSINV($B939)+SQRT(1-U$9^2*$C$11)*NORMSINV(T939))*(U$7-U$5)*(U$6-U$5)),U$7-SQRT((1-NORMSDIST(U$9*SQRT($C$11)*NORMSINV($B939)+SQRT(1-U$9^2*$C$11)*NORMSINV(T939)))*(U$7-U$5)*(U$7-U$6))))</f>
        <v>0.242159918013322</v>
      </c>
      <c r="V939" s="2" t="n">
        <v>0.7799546</v>
      </c>
      <c r="W939" s="2" t="n">
        <f aca="false">IF(W$7=W$5,W$6,IF(NORMSDIST(W$9*SQRT($C$11)*NORMSINV($B939)+SQRT(1-W$9^2*$C$11)*NORMSINV(V939))&lt;W$8,W$5+SQRT(NORMSDIST(W$9*SQRT($C$11)*NORMSINV($B939)+SQRT(1-W$9^2*$C$11)*NORMSINV(V939))*(W$7-W$5)*(W$6-W$5)),W$7-SQRT((1-NORMSDIST(W$9*SQRT($C$11)*NORMSINV($B939)+SQRT(1-W$9^2*$C$11)*NORMSINV(V939)))*(W$7-W$5)*(W$7-W$6))))</f>
        <v>10.3767012022821</v>
      </c>
      <c r="X939" s="2" t="n">
        <v>0.380537572</v>
      </c>
      <c r="Y939" s="2" t="n">
        <f aca="false">IF(Y$7=Y$5,Y$6,IF(NORMSDIST(Y$9*SQRT($C$11)*NORMSINV($B939)+SQRT(1-Y$9^2*$C$11)*NORMSINV(X939))&lt;Y$8,Y$5+SQRT(NORMSDIST(Y$9*SQRT($C$11)*NORMSINV($B939)+SQRT(1-Y$9^2*$C$11)*NORMSINV(X939))*(Y$7-Y$5)*(Y$6-Y$5)),Y$7-SQRT((1-NORMSDIST(Y$9*SQRT($C$11)*NORMSINV($B939)+SQRT(1-Y$9^2*$C$11)*NORMSINV(X939)))*(Y$7-Y$5)*(Y$7-Y$6))))</f>
        <v>0.436198104076577</v>
      </c>
      <c r="Z939" s="2" t="n">
        <v>0.083247991</v>
      </c>
      <c r="AA939" s="2" t="n">
        <f aca="false">IF(AA$7=AA$5,AA$6,IF(NORMSDIST(AA$9*SQRT($C$11)*NORMSINV($B939)+SQRT(1-AA$9^2*$C$11)*NORMSINV(Z939))&lt;AA$8,AA$5+SQRT(NORMSDIST(AA$9*SQRT($C$11)*NORMSINV($B939)+SQRT(1-AA$9^2*$C$11)*NORMSINV(Z939))*(AA$7-AA$5)*(AA$6-AA$5)),AA$7-SQRT((1-NORMSDIST(AA$9*SQRT($C$11)*NORMSINV($B939)+SQRT(1-AA$9^2*$C$11)*NORMSINV(Z939)))*(AA$7-AA$5)*(AA$7-AA$6))))</f>
        <v>0.710651198880642</v>
      </c>
      <c r="AB939" s="2" t="n">
        <v>0.851860052</v>
      </c>
      <c r="AC939" s="2" t="n">
        <f aca="false">IF(AC$7=AC$5,AC$6,IF(NORMSDIST(AC$9*SQRT($C$11)*NORMSINV($B939)+SQRT(1-AC$9^2*$C$11)*NORMSINV(AB939))&lt;AC$8,AC$5+SQRT(NORMSDIST(AC$9*SQRT($C$11)*NORMSINV($B939)+SQRT(1-AC$9^2*$C$11)*NORMSINV(AB939))*(AC$7-AC$5)*(AC$6-AC$5)),AC$7-SQRT((1-NORMSDIST(AC$9*SQRT($C$11)*NORMSINV($B939)+SQRT(1-AC$9^2*$C$11)*NORMSINV(AB939)))*(AC$7-AC$5)*(AC$7-AC$6))))</f>
        <v>9.94631211020945</v>
      </c>
      <c r="AD939" s="2" t="n">
        <f aca="false">Entrées!$C$8*(1+E939)</f>
        <v>7434.75310324545</v>
      </c>
      <c r="AE939" s="2" t="n">
        <f aca="false">I939*Hypothèses!$J$24/12/Hypothèses!$J$19</f>
        <v>97.2411489159432</v>
      </c>
      <c r="AF939" s="2" t="n">
        <f aca="false">Entrées!$C$36*S939*1000</f>
        <v>276.294897916449</v>
      </c>
      <c r="AG939" s="2" t="n">
        <f aca="false">-AF939/W939</f>
        <v>-26.6264675575013</v>
      </c>
      <c r="AH939" s="2" t="n">
        <f aca="false">AD939+AE939+AG939</f>
        <v>7505.36778460389</v>
      </c>
      <c r="AI939" s="2" t="n">
        <f aca="false">Entrées!$C$16-M939+Hypothèses!$J$22*1000-AF939+Hypothèses!$J$23</f>
        <v>22751.5600472713</v>
      </c>
      <c r="AJ939" s="2" t="n">
        <f aca="false">AI939/AH939</f>
        <v>3.03137177287203</v>
      </c>
      <c r="AK939" s="2" t="n">
        <f aca="false">AI939/(AH939+I939*(12-Hypothèses!$J$24)/12/Hypothèses!$J$19)</f>
        <v>3.00357536976111</v>
      </c>
      <c r="AL939" s="2" t="n">
        <f aca="false">(AD939+AG939+I939/Hypothèses!$J$19)*(1+G939)</f>
        <v>8010.1586033842</v>
      </c>
      <c r="AM939" s="2" t="n">
        <f aca="false">Entrées!$C$54*K939/Hypothèses!$J$19</f>
        <v>14.1518239363736</v>
      </c>
      <c r="AN939" s="2" t="n">
        <f aca="false">Y939*1000/AC939</f>
        <v>43.855260044458</v>
      </c>
      <c r="AO939" s="2" t="n">
        <f aca="false">(Entrées!$C$36*(1-S939)+MAX(0,Entrées!$C$30-Entrées!$C$35-Entrées!$C$36)*U939)*1000</f>
        <v>562.728987302201</v>
      </c>
      <c r="AP939" s="2" t="n">
        <f aca="false">-AO939/W939</f>
        <v>-54.2300463637176</v>
      </c>
      <c r="AQ939" s="2" t="n">
        <f aca="false">AL939+AM939+AN939+AP939</f>
        <v>8013.93564100131</v>
      </c>
      <c r="AR939" s="2" t="n">
        <f aca="false">O939*AQ939-Hypothèses!$J$25/Hypothèses!$J$19</f>
        <v>1313.71287225492</v>
      </c>
      <c r="AS939" s="2" t="n">
        <f aca="false">Entrées!$C$79*(1+Q939)+Hypothèses!$J$20</f>
        <v>1473.05272839415</v>
      </c>
      <c r="AT939" s="2" t="n">
        <f aca="false">AI939-AR939+AS939+Y939*1000-AO939+Hypothèses!$J$23</f>
        <v>22784.3690201849</v>
      </c>
      <c r="AU939" s="2" t="n">
        <f aca="false">AT939/AQ939</f>
        <v>2.84309358607952</v>
      </c>
      <c r="AV939" s="2" t="n">
        <f aca="false">Hypothèses!$J$26*AQ939-AT939</f>
        <v>1257.43790281901</v>
      </c>
      <c r="AW939" s="2" t="n">
        <f aca="false">IF(AC939&gt;Hypothèses!$J$26,MAX(0,AV939)/(1-Hypothèses!$J$26/AC939),0)</f>
        <v>1800.50502226397</v>
      </c>
      <c r="AX939" s="2" t="n">
        <f aca="false">AQ939-Entrées!$C$17*1000</f>
        <v>13.9356410013124</v>
      </c>
      <c r="AY939" s="2" t="n">
        <f aca="false">AI939+(Entrées!$C$244-Entrées!$C$13)</f>
        <v>28498.5600472713</v>
      </c>
      <c r="AZ939" s="2" t="n">
        <f aca="false">AA939*AH939</f>
        <v>5333.69861416891</v>
      </c>
      <c r="BA939" s="2" t="n">
        <f aca="false">AZ939/AY939</f>
        <v>0.187156775827332</v>
      </c>
      <c r="BB939" s="2" t="n">
        <f aca="false">AZ939/(Entrées!$C$151/100)-AY939</f>
        <v>1133.09892033371</v>
      </c>
      <c r="BC939" s="2" t="n">
        <f aca="false">AT939+(Entrées!$C$244-Entrées!$C$13)</f>
        <v>28531.3690201849</v>
      </c>
      <c r="BD939" s="2" t="n">
        <f aca="false">AA939*AQ939</f>
        <v>5695.11297102989</v>
      </c>
      <c r="BE939" s="2" t="n">
        <f aca="false">BD939/BC939</f>
        <v>0.199608822380756</v>
      </c>
      <c r="BF939" s="2" t="n">
        <f aca="false">BD939/(Entrées!$C$151/100)-BC939</f>
        <v>3108.14748553669</v>
      </c>
      <c r="BG939" s="2" t="n">
        <f aca="false">MIN(AV939,BF939)</f>
        <v>1257.43790281901</v>
      </c>
      <c r="BH939" s="2" t="n">
        <f aca="false">IF(AC939&gt;Hypothèses!$J$26,MAX(0,BG939)/(1-Hypothèses!$J$26/AC939),0)</f>
        <v>1800.50502226397</v>
      </c>
    </row>
    <row r="940" customFormat="false" ht="15" hidden="false" customHeight="false" outlineLevel="0" collapsed="false">
      <c r="A940" s="2" t="n">
        <v>925</v>
      </c>
      <c r="B940" s="2" t="n">
        <v>0.416326393</v>
      </c>
      <c r="C940" s="2"/>
      <c r="D940" s="2" t="n">
        <v>0.203343418</v>
      </c>
      <c r="E940" s="2" t="n">
        <f aca="false">IF(E$7=E$5,E$6,IF(NORMSDIST(E$9*SQRT($C$11)*NORMSINV($B940)+SQRT(1-E$9^2*$C$11)*NORMSINV(D940))&lt;E$8,E$5+SQRT(NORMSDIST(E$9*SQRT($C$11)*NORMSINV($B940)+SQRT(1-E$9^2*$C$11)*NORMSINV(D940))*(E$7-E$5)*(E$6-E$5)),E$7-SQRT((1-NORMSDIST(E$9*SQRT($C$11)*NORMSINV($B940)+SQRT(1-E$9^2*$C$11)*NORMSINV(D940)))*(E$7-E$5)*(E$7-E$6))))</f>
        <v>0.0533073479005311</v>
      </c>
      <c r="F940" s="2" t="n">
        <v>0.664725966</v>
      </c>
      <c r="G940" s="2" t="n">
        <f aca="false">IF(G$7=G$5,G$6,IF(NORMSDIST(G$9*SQRT($C$11)*NORMSINV($B940)+SQRT(1-G$9^2*$C$11)*NORMSINV(F940))&lt;G$8,G$5+SQRT(NORMSDIST(G$9*SQRT($C$11)*NORMSINV($B940)+SQRT(1-G$9^2*$C$11)*NORMSINV(F940))*(G$7-G$5)*(G$6-G$5)),G$7-SQRT((1-NORMSDIST(G$9*SQRT($C$11)*NORMSINV($B940)+SQRT(1-G$9^2*$C$11)*NORMSINV(F940)))*(G$7-G$5)*(G$7-G$6))))</f>
        <v>0.0562137818096059</v>
      </c>
      <c r="H940" s="2" t="n">
        <v>0.42744099</v>
      </c>
      <c r="I940" s="2" t="n">
        <f aca="false">IF(I$7=I$5,I$6,IF(NORMSDIST(I$9*SQRT($C$11)*NORMSINV($B940)+SQRT(1-I$9^2*$C$11)*NORMSINV(H940))&lt;I$8,I$5+SQRT(NORMSDIST(I$9*SQRT($C$11)*NORMSINV($B940)+SQRT(1-I$9^2*$C$11)*NORMSINV(H940))*(I$7-I$5)*(I$6-I$5)),I$7-SQRT((1-NORMSDIST(I$9*SQRT($C$11)*NORMSINV($B940)+SQRT(1-I$9^2*$C$11)*NORMSINV(H940)))*(I$7-I$5)*(I$7-I$6))))</f>
        <v>197.698370395141</v>
      </c>
      <c r="J940" s="2" t="n">
        <v>0.552333484</v>
      </c>
      <c r="K940" s="2" t="n">
        <f aca="false">IF(K$7=K$5,K$6,IF(NORMSDIST(K$9*SQRT($C$11)*NORMSINV($B940)+SQRT(1-K$9^2*$C$11)*NORMSINV(J940))&lt;K$8,K$5+SQRT(NORMSDIST(K$9*SQRT($C$11)*NORMSINV($B940)+SQRT(1-K$9^2*$C$11)*NORMSINV(J940))*(K$7-K$5)*(K$6-K$5)),K$7-SQRT((1-NORMSDIST(K$9*SQRT($C$11)*NORMSINV($B940)+SQRT(1-K$9^2*$C$11)*NORMSINV(J940)))*(K$7-K$5)*(K$7-K$6))))</f>
        <v>0.24681534523092</v>
      </c>
      <c r="L940" s="2" t="n">
        <v>0.265138497</v>
      </c>
      <c r="M940" s="2" t="n">
        <f aca="false">IF(M$7=M$5,M$6,IF(NORMSDIST(M$9*SQRT($C$11)*NORMSINV($B940)+SQRT(1-M$9^2*$C$11)*NORMSINV(L940))&lt;M$8,M$5+SQRT(NORMSDIST(M$9*SQRT($C$11)*NORMSINV($B940)+SQRT(1-M$9^2*$C$11)*NORMSINV(L940))*(M$7-M$5)*(M$6-M$5)),M$7-SQRT((1-NORMSDIST(M$9*SQRT($C$11)*NORMSINV($B940)+SQRT(1-M$9^2*$C$11)*NORMSINV(L940)))*(M$7-M$5)*(M$7-M$6))))</f>
        <v>1509.65564215509</v>
      </c>
      <c r="N940" s="2" t="n">
        <v>0.734918503</v>
      </c>
      <c r="O940" s="2" t="n">
        <f aca="false">IF(O$7=O$5,O$6,IF(NORMSDIST(O$9*SQRT($C$11)*NORMSINV($B940)+SQRT(1-O$9^2*$C$11)*NORMSINV(N940))&lt;O$8,O$5+SQRT(NORMSDIST(O$9*SQRT($C$11)*NORMSINV($B940)+SQRT(1-O$9^2*$C$11)*NORMSINV(N940))*(O$7-O$5)*(O$6-O$5)),O$7-SQRT((1-NORMSDIST(O$9*SQRT($C$11)*NORMSINV($B940)+SQRT(1-O$9^2*$C$11)*NORMSINV(N940)))*(O$7-O$5)*(O$7-O$6))))</f>
        <v>0.170358349072996</v>
      </c>
      <c r="P940" s="2" t="n">
        <v>0.236119921</v>
      </c>
      <c r="Q940" s="2" t="n">
        <f aca="false">IF(Q$7=Q$5,Q$6,IF(NORMSDIST(Q$9*SQRT($C$11)*NORMSINV($B940)+SQRT(1-Q$9^2*$C$11)*NORMSINV(P940))&lt;Q$8,Q$5+SQRT(NORMSDIST(Q$9*SQRT($C$11)*NORMSINV($B940)+SQRT(1-Q$9^2*$C$11)*NORMSINV(P940))*(Q$7-Q$5)*(Q$6-Q$5)),Q$7-SQRT((1-NORMSDIST(Q$9*SQRT($C$11)*NORMSINV($B940)+SQRT(1-Q$9^2*$C$11)*NORMSINV(P940)))*(Q$7-Q$5)*(Q$7-Q$6))))</f>
        <v>0.0674878836435256</v>
      </c>
      <c r="R940" s="2" t="n">
        <v>0.814415296</v>
      </c>
      <c r="S940" s="2" t="n">
        <f aca="false">IF(S$7=S$5,S$6,IF(NORMSDIST(S$9*SQRT($C$11)*NORMSINV($B940)+SQRT(1-S$9^2*$C$11)*NORMSINV(R940))&lt;S$8,S$5+SQRT(NORMSDIST(S$9*SQRT($C$11)*NORMSINV($B940)+SQRT(1-S$9^2*$C$11)*NORMSINV(R940))*(S$7-S$5)*(S$6-S$5)),S$7-SQRT((1-NORMSDIST(S$9*SQRT($C$11)*NORMSINV($B940)+SQRT(1-S$9^2*$C$11)*NORMSINV(R940)))*(S$7-S$5)*(S$7-S$6))))</f>
        <v>0.62048960383487</v>
      </c>
      <c r="T940" s="2" t="n">
        <v>0.394446753</v>
      </c>
      <c r="U940" s="2" t="n">
        <f aca="false">IF(U$7=U$5,U$6,IF(NORMSDIST(U$9*SQRT($C$11)*NORMSINV($B940)+SQRT(1-U$9^2*$C$11)*NORMSINV(T940))&lt;U$8,U$5+SQRT(NORMSDIST(U$9*SQRT($C$11)*NORMSINV($B940)+SQRT(1-U$9^2*$C$11)*NORMSINV(T940))*(U$7-U$5)*(U$6-U$5)),U$7-SQRT((1-NORMSDIST(U$9*SQRT($C$11)*NORMSINV($B940)+SQRT(1-U$9^2*$C$11)*NORMSINV(T940)))*(U$7-U$5)*(U$7-U$6))))</f>
        <v>0.42809971865862</v>
      </c>
      <c r="V940" s="2" t="n">
        <v>0.005904582</v>
      </c>
      <c r="W940" s="2" t="n">
        <f aca="false">IF(W$7=W$5,W$6,IF(NORMSDIST(W$9*SQRT($C$11)*NORMSINV($B940)+SQRT(1-W$9^2*$C$11)*NORMSINV(V940))&lt;W$8,W$5+SQRT(NORMSDIST(W$9*SQRT($C$11)*NORMSINV($B940)+SQRT(1-W$9^2*$C$11)*NORMSINV(V940))*(W$7-W$5)*(W$6-W$5)),W$7-SQRT((1-NORMSDIST(W$9*SQRT($C$11)*NORMSINV($B940)+SQRT(1-W$9^2*$C$11)*NORMSINV(V940)))*(W$7-W$5)*(W$7-W$6))))</f>
        <v>8.38557970326215</v>
      </c>
      <c r="X940" s="2" t="n">
        <v>0.048461719</v>
      </c>
      <c r="Y940" s="2" t="n">
        <f aca="false">IF(Y$7=Y$5,Y$6,IF(NORMSDIST(Y$9*SQRT($C$11)*NORMSINV($B940)+SQRT(1-Y$9^2*$C$11)*NORMSINV(X940))&lt;Y$8,Y$5+SQRT(NORMSDIST(Y$9*SQRT($C$11)*NORMSINV($B940)+SQRT(1-Y$9^2*$C$11)*NORMSINV(X940))*(Y$7-Y$5)*(Y$6-Y$5)),Y$7-SQRT((1-NORMSDIST(Y$9*SQRT($C$11)*NORMSINV($B940)+SQRT(1-Y$9^2*$C$11)*NORMSINV(X940)))*(Y$7-Y$5)*(Y$7-Y$6))))</f>
        <v>0.155662646450586</v>
      </c>
      <c r="Z940" s="2" t="n">
        <v>0.951169092</v>
      </c>
      <c r="AA940" s="2" t="n">
        <f aca="false">IF(AA$7=AA$5,AA$6,IF(NORMSDIST(AA$9*SQRT($C$11)*NORMSINV($B940)+SQRT(1-AA$9^2*$C$11)*NORMSINV(Z940))&lt;AA$8,AA$5+SQRT(NORMSDIST(AA$9*SQRT($C$11)*NORMSINV($B940)+SQRT(1-AA$9^2*$C$11)*NORMSINV(Z940))*(AA$7-AA$5)*(AA$6-AA$5)),AA$7-SQRT((1-NORMSDIST(AA$9*SQRT($C$11)*NORMSINV($B940)+SQRT(1-AA$9^2*$C$11)*NORMSINV(Z940)))*(AA$7-AA$5)*(AA$7-AA$6))))</f>
        <v>0.741184491835539</v>
      </c>
      <c r="AB940" s="2" t="n">
        <v>0.382995677</v>
      </c>
      <c r="AC940" s="2" t="n">
        <f aca="false">IF(AC$7=AC$5,AC$6,IF(NORMSDIST(AC$9*SQRT($C$11)*NORMSINV($B940)+SQRT(1-AC$9^2*$C$11)*NORMSINV(AB940))&lt;AC$8,AC$5+SQRT(NORMSDIST(AC$9*SQRT($C$11)*NORMSINV($B940)+SQRT(1-AC$9^2*$C$11)*NORMSINV(AB940))*(AC$7-AC$5)*(AC$6-AC$5)),AC$7-SQRT((1-NORMSDIST(AC$9*SQRT($C$11)*NORMSINV($B940)+SQRT(1-AC$9^2*$C$11)*NORMSINV(AB940)))*(AC$7-AC$5)*(AC$7-AC$6))))</f>
        <v>9.15839142772314</v>
      </c>
      <c r="AD940" s="2" t="n">
        <f aca="false">Entrées!$C$8*(1+E940)</f>
        <v>7425.81680269874</v>
      </c>
      <c r="AE940" s="2" t="n">
        <f aca="false">I940*Hypothèses!$J$24/12/Hypothèses!$J$19</f>
        <v>98.0775287947789</v>
      </c>
      <c r="AF940" s="2" t="n">
        <f aca="false">Entrées!$C$36*S940*1000</f>
        <v>310.244801917435</v>
      </c>
      <c r="AG940" s="2" t="n">
        <f aca="false">-AF940/W940</f>
        <v>-36.9974185322863</v>
      </c>
      <c r="AH940" s="2" t="n">
        <f aca="false">AD940+AE940+AG940</f>
        <v>7486.89691296124</v>
      </c>
      <c r="AI940" s="2" t="n">
        <f aca="false">Entrées!$C$16-M940+Hypothèses!$J$22*1000-AF940+Hypothèses!$J$23</f>
        <v>22728.0995559275</v>
      </c>
      <c r="AJ940" s="2" t="n">
        <f aca="false">AI940/AH940</f>
        <v>3.03571690917513</v>
      </c>
      <c r="AK940" s="2" t="n">
        <f aca="false">AI940/(AH940+I940*(12-Hypothèses!$J$24)/12/Hypothèses!$J$19)</f>
        <v>3.00757483727703</v>
      </c>
      <c r="AL940" s="2" t="n">
        <f aca="false">(AD940+AG940+I940/Hypothèses!$J$19)*(1+G940)</f>
        <v>7981.75715788522</v>
      </c>
      <c r="AM940" s="2" t="n">
        <f aca="false">Entrées!$C$54*K940/Hypothèses!$J$19</f>
        <v>25.1885422914821</v>
      </c>
      <c r="AN940" s="2" t="n">
        <f aca="false">Y940*1000/AC940</f>
        <v>16.9967234616532</v>
      </c>
      <c r="AO940" s="2" t="n">
        <f aca="false">(Entrées!$C$36*(1-S940)+MAX(0,Entrées!$C$30-Entrées!$C$35-Entrées!$C$36)*U940)*1000</f>
        <v>789.094804204633</v>
      </c>
      <c r="AP940" s="2" t="n">
        <f aca="false">-AO940/W940</f>
        <v>-94.101401707226</v>
      </c>
      <c r="AQ940" s="2" t="n">
        <f aca="false">AL940+AM940+AN940+AP940</f>
        <v>7929.84102193113</v>
      </c>
      <c r="AR940" s="2" t="n">
        <f aca="false">O940*AQ940-Hypothèses!$J$25/Hypothèses!$J$19</f>
        <v>1331.77946264588</v>
      </c>
      <c r="AS940" s="2" t="n">
        <f aca="false">Entrées!$C$79*(1+Q940)+Hypothèses!$J$20</f>
        <v>1468.16918412423</v>
      </c>
      <c r="AT940" s="2" t="n">
        <f aca="false">AI940-AR940+AS940+Y940*1000-AO940+Hypothèses!$J$23</f>
        <v>22231.0571196518</v>
      </c>
      <c r="AU940" s="2" t="n">
        <f aca="false">AT940/AQ940</f>
        <v>2.80346819793342</v>
      </c>
      <c r="AV940" s="2" t="n">
        <f aca="false">Hypothèses!$J$26*AQ940-AT940</f>
        <v>1558.4659461416</v>
      </c>
      <c r="AW940" s="2" t="n">
        <f aca="false">IF(AC940&gt;Hypothèses!$J$26,MAX(0,AV940)/(1-Hypothèses!$J$26/AC940),0)</f>
        <v>2317.65735079601</v>
      </c>
      <c r="AX940" s="2" t="n">
        <f aca="false">AQ940-Entrées!$C$17*1000</f>
        <v>-70.158978068871</v>
      </c>
      <c r="AY940" s="2" t="n">
        <f aca="false">AI940+(Entrées!$C$244-Entrées!$C$13)</f>
        <v>28475.0995559275</v>
      </c>
      <c r="AZ940" s="2" t="n">
        <f aca="false">AA940*AH940</f>
        <v>5549.17188385824</v>
      </c>
      <c r="BA940" s="2" t="n">
        <f aca="false">AZ940/AY940</f>
        <v>0.19487805031056</v>
      </c>
      <c r="BB940" s="2" t="n">
        <f aca="false">AZ940/(Entrées!$C$151/100)-AY940</f>
        <v>2353.63313217385</v>
      </c>
      <c r="BC940" s="2" t="n">
        <f aca="false">AT940+(Entrées!$C$244-Entrées!$C$13)</f>
        <v>27978.0571196518</v>
      </c>
      <c r="BD940" s="2" t="n">
        <f aca="false">AA940*AQ940</f>
        <v>5877.47518817663</v>
      </c>
      <c r="BE940" s="2" t="n">
        <f aca="false">BD940/BC940</f>
        <v>0.210074458102678</v>
      </c>
      <c r="BF940" s="2" t="n">
        <f aca="false">BD940/(Entrées!$C$151/100)-BC940</f>
        <v>4674.58281466284</v>
      </c>
      <c r="BG940" s="2" t="n">
        <f aca="false">MIN(AV940,BF940)</f>
        <v>1558.4659461416</v>
      </c>
      <c r="BH940" s="2" t="n">
        <f aca="false">IF(AC940&gt;Hypothèses!$J$26,MAX(0,BG940)/(1-Hypothèses!$J$26/AC940),0)</f>
        <v>2317.65735079601</v>
      </c>
    </row>
    <row r="941" customFormat="false" ht="15" hidden="false" customHeight="false" outlineLevel="0" collapsed="false">
      <c r="A941" s="2" t="n">
        <v>926</v>
      </c>
      <c r="B941" s="2" t="n">
        <v>0.884363477</v>
      </c>
      <c r="C941" s="2"/>
      <c r="D941" s="2" t="n">
        <v>0.452311951</v>
      </c>
      <c r="E941" s="2" t="n">
        <f aca="false">IF(E$7=E$5,E$6,IF(NORMSDIST(E$9*SQRT($C$11)*NORMSINV($B941)+SQRT(1-E$9^2*$C$11)*NORMSINV(D941))&lt;E$8,E$5+SQRT(NORMSDIST(E$9*SQRT($C$11)*NORMSINV($B941)+SQRT(1-E$9^2*$C$11)*NORMSINV(D941))*(E$7-E$5)*(E$6-E$5)),E$7-SQRT((1-NORMSDIST(E$9*SQRT($C$11)*NORMSINV($B941)+SQRT(1-E$9^2*$C$11)*NORMSINV(D941)))*(E$7-E$5)*(E$7-E$6))))</f>
        <v>0.0564415420270747</v>
      </c>
      <c r="F941" s="2" t="n">
        <v>0.205146549</v>
      </c>
      <c r="G941" s="2" t="n">
        <f aca="false">IF(G$7=G$5,G$6,IF(NORMSDIST(G$9*SQRT($C$11)*NORMSINV($B941)+SQRT(1-G$9^2*$C$11)*NORMSINV(F941))&lt;G$8,G$5+SQRT(NORMSDIST(G$9*SQRT($C$11)*NORMSINV($B941)+SQRT(1-G$9^2*$C$11)*NORMSINV(F941))*(G$7-G$5)*(G$6-G$5)),G$7-SQRT((1-NORMSDIST(G$9*SQRT($C$11)*NORMSINV($B941)+SQRT(1-G$9^2*$C$11)*NORMSINV(F941)))*(G$7-G$5)*(G$7-G$6))))</f>
        <v>0.055730091075178</v>
      </c>
      <c r="H941" s="2" t="n">
        <v>0.082895649</v>
      </c>
      <c r="I941" s="2" t="n">
        <f aca="false">IF(I$7=I$5,I$6,IF(NORMSDIST(I$9*SQRT($C$11)*NORMSINV($B941)+SQRT(1-I$9^2*$C$11)*NORMSINV(H941))&lt;I$8,I$5+SQRT(NORMSDIST(I$9*SQRT($C$11)*NORMSINV($B941)+SQRT(1-I$9^2*$C$11)*NORMSINV(H941))*(I$7-I$5)*(I$6-I$5)),I$7-SQRT((1-NORMSDIST(I$9*SQRT($C$11)*NORMSINV($B941)+SQRT(1-I$9^2*$C$11)*NORMSINV(H941)))*(I$7-I$5)*(I$7-I$6))))</f>
        <v>197.340335573728</v>
      </c>
      <c r="J941" s="2" t="n">
        <v>0.325031223</v>
      </c>
      <c r="K941" s="2" t="n">
        <f aca="false">IF(K$7=K$5,K$6,IF(NORMSDIST(K$9*SQRT($C$11)*NORMSINV($B941)+SQRT(1-K$9^2*$C$11)*NORMSINV(J941))&lt;K$8,K$5+SQRT(NORMSDIST(K$9*SQRT($C$11)*NORMSINV($B941)+SQRT(1-K$9^2*$C$11)*NORMSINV(J941))*(K$7-K$5)*(K$6-K$5)),K$7-SQRT((1-NORMSDIST(K$9*SQRT($C$11)*NORMSINV($B941)+SQRT(1-K$9^2*$C$11)*NORMSINV(J941)))*(K$7-K$5)*(K$7-K$6))))</f>
        <v>0.293092450952584</v>
      </c>
      <c r="L941" s="2" t="n">
        <v>0.235200447</v>
      </c>
      <c r="M941" s="2" t="n">
        <f aca="false">IF(M$7=M$5,M$6,IF(NORMSDIST(M$9*SQRT($C$11)*NORMSINV($B941)+SQRT(1-M$9^2*$C$11)*NORMSINV(L941))&lt;M$8,M$5+SQRT(NORMSDIST(M$9*SQRT($C$11)*NORMSINV($B941)+SQRT(1-M$9^2*$C$11)*NORMSINV(L941))*(M$7-M$5)*(M$6-M$5)),M$7-SQRT((1-NORMSDIST(M$9*SQRT($C$11)*NORMSINV($B941)+SQRT(1-M$9^2*$C$11)*NORMSINV(L941)))*(M$7-M$5)*(M$7-M$6))))</f>
        <v>1606.68472512182</v>
      </c>
      <c r="N941" s="2" t="n">
        <v>0.427480645</v>
      </c>
      <c r="O941" s="2" t="n">
        <f aca="false">IF(O$7=O$5,O$6,IF(NORMSDIST(O$9*SQRT($C$11)*NORMSINV($B941)+SQRT(1-O$9^2*$C$11)*NORMSINV(N941))&lt;O$8,O$5+SQRT(NORMSDIST(O$9*SQRT($C$11)*NORMSINV($B941)+SQRT(1-O$9^2*$C$11)*NORMSINV(N941))*(O$7-O$5)*(O$6-O$5)),O$7-SQRT((1-NORMSDIST(O$9*SQRT($C$11)*NORMSINV($B941)+SQRT(1-O$9^2*$C$11)*NORMSINV(N941)))*(O$7-O$5)*(O$7-O$6))))</f>
        <v>0.17306929691614</v>
      </c>
      <c r="P941" s="2" t="n">
        <v>0.055186097</v>
      </c>
      <c r="Q941" s="2" t="n">
        <f aca="false">IF(Q$7=Q$5,Q$6,IF(NORMSDIST(Q$9*SQRT($C$11)*NORMSINV($B941)+SQRT(1-Q$9^2*$C$11)*NORMSINV(P941))&lt;Q$8,Q$5+SQRT(NORMSDIST(Q$9*SQRT($C$11)*NORMSINV($B941)+SQRT(1-Q$9^2*$C$11)*NORMSINV(P941))*(Q$7-Q$5)*(Q$6-Q$5)),Q$7-SQRT((1-NORMSDIST(Q$9*SQRT($C$11)*NORMSINV($B941)+SQRT(1-Q$9^2*$C$11)*NORMSINV(P941)))*(Q$7-Q$5)*(Q$7-Q$6))))</f>
        <v>0.0532889243507517</v>
      </c>
      <c r="R941" s="2" t="n">
        <v>0.826757452</v>
      </c>
      <c r="S941" s="2" t="n">
        <f aca="false">IF(S$7=S$5,S$6,IF(NORMSDIST(S$9*SQRT($C$11)*NORMSINV($B941)+SQRT(1-S$9^2*$C$11)*NORMSINV(R941))&lt;S$8,S$5+SQRT(NORMSDIST(S$9*SQRT($C$11)*NORMSINV($B941)+SQRT(1-S$9^2*$C$11)*NORMSINV(R941))*(S$7-S$5)*(S$6-S$5)),S$7-SQRT((1-NORMSDIST(S$9*SQRT($C$11)*NORMSINV($B941)+SQRT(1-S$9^2*$C$11)*NORMSINV(R941)))*(S$7-S$5)*(S$7-S$6))))</f>
        <v>0.81480314771886</v>
      </c>
      <c r="T941" s="2" t="n">
        <v>0.658723001</v>
      </c>
      <c r="U941" s="2" t="n">
        <f aca="false">IF(U$7=U$5,U$6,IF(NORMSDIST(U$9*SQRT($C$11)*NORMSINV($B941)+SQRT(1-U$9^2*$C$11)*NORMSINV(T941))&lt;U$8,U$5+SQRT(NORMSDIST(U$9*SQRT($C$11)*NORMSINV($B941)+SQRT(1-U$9^2*$C$11)*NORMSINV(T941))*(U$7-U$5)*(U$6-U$5)),U$7-SQRT((1-NORMSDIST(U$9*SQRT($C$11)*NORMSINV($B941)+SQRT(1-U$9^2*$C$11)*NORMSINV(T941)))*(U$7-U$5)*(U$7-U$6))))</f>
        <v>0.734073246786662</v>
      </c>
      <c r="V941" s="2" t="n">
        <v>0.259587987</v>
      </c>
      <c r="W941" s="2" t="n">
        <f aca="false">IF(W$7=W$5,W$6,IF(NORMSDIST(W$9*SQRT($C$11)*NORMSINV($B941)+SQRT(1-W$9^2*$C$11)*NORMSINV(V941))&lt;W$8,W$5+SQRT(NORMSDIST(W$9*SQRT($C$11)*NORMSINV($B941)+SQRT(1-W$9^2*$C$11)*NORMSINV(V941))*(W$7-W$5)*(W$6-W$5)),W$7-SQRT((1-NORMSDIST(W$9*SQRT($C$11)*NORMSINV($B941)+SQRT(1-W$9^2*$C$11)*NORMSINV(V941)))*(W$7-W$5)*(W$7-W$6))))</f>
        <v>10.214982390196</v>
      </c>
      <c r="X941" s="2" t="n">
        <v>0.983444962</v>
      </c>
      <c r="Y941" s="2" t="n">
        <f aca="false">IF(Y$7=Y$5,Y$6,IF(NORMSDIST(Y$9*SQRT($C$11)*NORMSINV($B941)+SQRT(1-Y$9^2*$C$11)*NORMSINV(X941))&lt;Y$8,Y$5+SQRT(NORMSDIST(Y$9*SQRT($C$11)*NORMSINV($B941)+SQRT(1-Y$9^2*$C$11)*NORMSINV(X941))*(Y$7-Y$5)*(Y$6-Y$5)),Y$7-SQRT((1-NORMSDIST(Y$9*SQRT($C$11)*NORMSINV($B941)+SQRT(1-Y$9^2*$C$11)*NORMSINV(X941)))*(Y$7-Y$5)*(Y$7-Y$6))))</f>
        <v>0.909019128384039</v>
      </c>
      <c r="Z941" s="2" t="n">
        <v>0.002856205</v>
      </c>
      <c r="AA941" s="2" t="n">
        <f aca="false">IF(AA$7=AA$5,AA$6,IF(NORMSDIST(AA$9*SQRT($C$11)*NORMSINV($B941)+SQRT(1-AA$9^2*$C$11)*NORMSINV(Z941))&lt;AA$8,AA$5+SQRT(NORMSDIST(AA$9*SQRT($C$11)*NORMSINV($B941)+SQRT(1-AA$9^2*$C$11)*NORMSINV(Z941))*(AA$7-AA$5)*(AA$6-AA$5)),AA$7-SQRT((1-NORMSDIST(AA$9*SQRT($C$11)*NORMSINV($B941)+SQRT(1-AA$9^2*$C$11)*NORMSINV(Z941)))*(AA$7-AA$5)*(AA$7-AA$6))))</f>
        <v>0.708672563812318</v>
      </c>
      <c r="AB941" s="2" t="n">
        <v>0.548134178</v>
      </c>
      <c r="AC941" s="2" t="n">
        <f aca="false">IF(AC$7=AC$5,AC$6,IF(NORMSDIST(AC$9*SQRT($C$11)*NORMSINV($B941)+SQRT(1-AC$9^2*$C$11)*NORMSINV(AB941))&lt;AC$8,AC$5+SQRT(NORMSDIST(AC$9*SQRT($C$11)*NORMSINV($B941)+SQRT(1-AC$9^2*$C$11)*NORMSINV(AB941))*(AC$7-AC$5)*(AC$6-AC$5)),AC$7-SQRT((1-NORMSDIST(AC$9*SQRT($C$11)*NORMSINV($B941)+SQRT(1-AC$9^2*$C$11)*NORMSINV(AB941)))*(AC$7-AC$5)*(AC$7-AC$6))))</f>
        <v>10.0764451067355</v>
      </c>
      <c r="AD941" s="2" t="n">
        <f aca="false">Entrées!$C$8*(1+E941)</f>
        <v>7447.91287129088</v>
      </c>
      <c r="AE941" s="2" t="n">
        <f aca="false">I941*Hypothèses!$J$24/12/Hypothèses!$J$19</f>
        <v>97.899908865811</v>
      </c>
      <c r="AF941" s="2" t="n">
        <f aca="false">Entrées!$C$36*S941*1000</f>
        <v>407.40157385943</v>
      </c>
      <c r="AG941" s="2" t="n">
        <f aca="false">-AF941/W941</f>
        <v>-39.8827485253855</v>
      </c>
      <c r="AH941" s="2" t="n">
        <f aca="false">AD941+AE941+AG941</f>
        <v>7505.9300316313</v>
      </c>
      <c r="AI941" s="2" t="n">
        <f aca="false">Entrées!$C$16-M941+Hypothèses!$J$22*1000-AF941+Hypothèses!$J$23</f>
        <v>22533.9137010188</v>
      </c>
      <c r="AJ941" s="2" t="n">
        <f aca="false">AI941/AH941</f>
        <v>3.00214811569744</v>
      </c>
      <c r="AK941" s="2" t="n">
        <f aca="false">AI941/(AH941+I941*(12-Hypothèses!$J$24)/12/Hypothèses!$J$19)</f>
        <v>2.97443696817953</v>
      </c>
      <c r="AL941" s="2" t="n">
        <f aca="false">(AD941+AG941+I941/Hypothèses!$J$19)*(1+G941)</f>
        <v>7998.06182425743</v>
      </c>
      <c r="AM941" s="2" t="n">
        <f aca="false">Entrées!$C$54*K941/Hypothèses!$J$19</f>
        <v>29.9113152353885</v>
      </c>
      <c r="AN941" s="2" t="n">
        <f aca="false">Y941*1000/AC941</f>
        <v>90.2122840699454</v>
      </c>
      <c r="AO941" s="2" t="n">
        <f aca="false">(Entrées!$C$36*(1-S941)+MAX(0,Entrées!$C$30-Entrées!$C$35-Entrées!$C$36)*U941)*1000</f>
        <v>1120.3009716419</v>
      </c>
      <c r="AP941" s="2" t="n">
        <f aca="false">-AO941/W941</f>
        <v>-109.672335090574</v>
      </c>
      <c r="AQ941" s="2" t="n">
        <f aca="false">AL941+AM941+AN941+AP941</f>
        <v>8008.51308847219</v>
      </c>
      <c r="AR941" s="2" t="n">
        <f aca="false">O941*AQ941-Hypothèses!$J$25/Hypothèses!$J$19</f>
        <v>1366.89256730396</v>
      </c>
      <c r="AS941" s="2" t="n">
        <f aca="false">Entrées!$C$79*(1+Q941)+Hypothèses!$J$20</f>
        <v>1452.56452786148</v>
      </c>
      <c r="AT941" s="2" t="n">
        <f aca="false">AI941-AR941+AS941+Y941*1000-AO941+Hypothèses!$J$23</f>
        <v>22408.3038183184</v>
      </c>
      <c r="AU941" s="2" t="n">
        <f aca="false">AT941/AQ941</f>
        <v>2.79806046025871</v>
      </c>
      <c r="AV941" s="2" t="n">
        <f aca="false">Hypothèses!$J$26*AQ941-AT941</f>
        <v>1617.23544709814</v>
      </c>
      <c r="AW941" s="2" t="n">
        <f aca="false">IF(AC941&gt;Hypothèses!$J$26,MAX(0,AV941)/(1-Hypothèses!$J$26/AC941),0)</f>
        <v>2302.84895333116</v>
      </c>
      <c r="AX941" s="2" t="n">
        <f aca="false">AQ941-Entrées!$C$17*1000</f>
        <v>8.51308847218479</v>
      </c>
      <c r="AY941" s="2" t="n">
        <f aca="false">AI941+(Entrées!$C$244-Entrées!$C$13)</f>
        <v>28280.9137010188</v>
      </c>
      <c r="AZ941" s="2" t="n">
        <f aca="false">AA941*AH941</f>
        <v>5319.24667931203</v>
      </c>
      <c r="BA941" s="2" t="n">
        <f aca="false">AZ941/AY941</f>
        <v>0.188086097059884</v>
      </c>
      <c r="BB941" s="2" t="n">
        <f aca="false">AZ941/(Entrées!$C$151/100)-AY941</f>
        <v>1270.45673960361</v>
      </c>
      <c r="BC941" s="2" t="n">
        <f aca="false">AT941+(Entrées!$C$244-Entrées!$C$13)</f>
        <v>28155.3038183184</v>
      </c>
      <c r="BD941" s="2" t="n">
        <f aca="false">AA941*AQ941</f>
        <v>5675.41350273209</v>
      </c>
      <c r="BE941" s="2" t="n">
        <f aca="false">BD941/BC941</f>
        <v>0.201575288952824</v>
      </c>
      <c r="BF941" s="2" t="n">
        <f aca="false">BD941/(Entrées!$C$151/100)-BC941</f>
        <v>3374.77119685984</v>
      </c>
      <c r="BG941" s="2" t="n">
        <f aca="false">MIN(AV941,BF941)</f>
        <v>1617.23544709814</v>
      </c>
      <c r="BH941" s="2" t="n">
        <f aca="false">IF(AC941&gt;Hypothèses!$J$26,MAX(0,BG941)/(1-Hypothèses!$J$26/AC941),0)</f>
        <v>2302.84895333116</v>
      </c>
    </row>
    <row r="942" customFormat="false" ht="15" hidden="false" customHeight="false" outlineLevel="0" collapsed="false">
      <c r="A942" s="2" t="n">
        <v>927</v>
      </c>
      <c r="B942" s="2" t="n">
        <v>0.399801501</v>
      </c>
      <c r="C942" s="2"/>
      <c r="D942" s="2" t="n">
        <v>0.524833062</v>
      </c>
      <c r="E942" s="2" t="n">
        <f aca="false">IF(E$7=E$5,E$6,IF(NORMSDIST(E$9*SQRT($C$11)*NORMSINV($B942)+SQRT(1-E$9^2*$C$11)*NORMSINV(D942))&lt;E$8,E$5+SQRT(NORMSDIST(E$9*SQRT($C$11)*NORMSINV($B942)+SQRT(1-E$9^2*$C$11)*NORMSINV(D942))*(E$7-E$5)*(E$6-E$5)),E$7-SQRT((1-NORMSDIST(E$9*SQRT($C$11)*NORMSINV($B942)+SQRT(1-E$9^2*$C$11)*NORMSINV(D942)))*(E$7-E$5)*(E$7-E$6))))</f>
        <v>0.0547712135732255</v>
      </c>
      <c r="F942" s="2" t="n">
        <v>0.184792976</v>
      </c>
      <c r="G942" s="2" t="n">
        <f aca="false">IF(G$7=G$5,G$6,IF(NORMSDIST(G$9*SQRT($C$11)*NORMSINV($B942)+SQRT(1-G$9^2*$C$11)*NORMSINV(F942))&lt;G$8,G$5+SQRT(NORMSDIST(G$9*SQRT($C$11)*NORMSINV($B942)+SQRT(1-G$9^2*$C$11)*NORMSINV(F942))*(G$7-G$5)*(G$6-G$5)),G$7-SQRT((1-NORMSDIST(G$9*SQRT($C$11)*NORMSINV($B942)+SQRT(1-G$9^2*$C$11)*NORMSINV(F942)))*(G$7-G$5)*(G$7-G$6))))</f>
        <v>0.0493943611879755</v>
      </c>
      <c r="H942" s="2" t="n">
        <v>0.332400683</v>
      </c>
      <c r="I942" s="2" t="n">
        <f aca="false">IF(I$7=I$5,I$6,IF(NORMSDIST(I$9*SQRT($C$11)*NORMSINV($B942)+SQRT(1-I$9^2*$C$11)*NORMSINV(H942))&lt;I$8,I$5+SQRT(NORMSDIST(I$9*SQRT($C$11)*NORMSINV($B942)+SQRT(1-I$9^2*$C$11)*NORMSINV(H942))*(I$7-I$5)*(I$6-I$5)),I$7-SQRT((1-NORMSDIST(I$9*SQRT($C$11)*NORMSINV($B942)+SQRT(1-I$9^2*$C$11)*NORMSINV(H942)))*(I$7-I$5)*(I$7-I$6))))</f>
        <v>195.745028945044</v>
      </c>
      <c r="J942" s="2" t="n">
        <v>0.474333625</v>
      </c>
      <c r="K942" s="2" t="n">
        <f aca="false">IF(K$7=K$5,K$6,IF(NORMSDIST(K$9*SQRT($C$11)*NORMSINV($B942)+SQRT(1-K$9^2*$C$11)*NORMSINV(J942))&lt;K$8,K$5+SQRT(NORMSDIST(K$9*SQRT($C$11)*NORMSINV($B942)+SQRT(1-K$9^2*$C$11)*NORMSINV(J942))*(K$7-K$5)*(K$6-K$5)),K$7-SQRT((1-NORMSDIST(K$9*SQRT($C$11)*NORMSINV($B942)+SQRT(1-K$9^2*$C$11)*NORMSINV(J942)))*(K$7-K$5)*(K$7-K$6))))</f>
        <v>0.228218129768257</v>
      </c>
      <c r="L942" s="2" t="n">
        <v>0.648951865</v>
      </c>
      <c r="M942" s="2" t="n">
        <f aca="false">IF(M$7=M$5,M$6,IF(NORMSDIST(M$9*SQRT($C$11)*NORMSINV($B942)+SQRT(1-M$9^2*$C$11)*NORMSINV(L942))&lt;M$8,M$5+SQRT(NORMSDIST(M$9*SQRT($C$11)*NORMSINV($B942)+SQRT(1-M$9^2*$C$11)*NORMSINV(L942))*(M$7-M$5)*(M$6-M$5)),M$7-SQRT((1-NORMSDIST(M$9*SQRT($C$11)*NORMSINV($B942)+SQRT(1-M$9^2*$C$11)*NORMSINV(L942)))*(M$7-M$5)*(M$7-M$6))))</f>
        <v>1600.19112085249</v>
      </c>
      <c r="N942" s="2" t="n">
        <v>0.547490291</v>
      </c>
      <c r="O942" s="2" t="n">
        <f aca="false">IF(O$7=O$5,O$6,IF(NORMSDIST(O$9*SQRT($C$11)*NORMSINV($B942)+SQRT(1-O$9^2*$C$11)*NORMSINV(N942))&lt;O$8,O$5+SQRT(NORMSDIST(O$9*SQRT($C$11)*NORMSINV($B942)+SQRT(1-O$9^2*$C$11)*NORMSINV(N942))*(O$7-O$5)*(O$6-O$5)),O$7-SQRT((1-NORMSDIST(O$9*SQRT($C$11)*NORMSINV($B942)+SQRT(1-O$9^2*$C$11)*NORMSINV(N942)))*(O$7-O$5)*(O$7-O$6))))</f>
        <v>0.16604691620689</v>
      </c>
      <c r="P942" s="2" t="n">
        <v>0.033610008</v>
      </c>
      <c r="Q942" s="2" t="n">
        <f aca="false">IF(Q$7=Q$5,Q$6,IF(NORMSDIST(Q$9*SQRT($C$11)*NORMSINV($B942)+SQRT(1-Q$9^2*$C$11)*NORMSINV(P942))&lt;Q$8,Q$5+SQRT(NORMSDIST(Q$9*SQRT($C$11)*NORMSINV($B942)+SQRT(1-Q$9^2*$C$11)*NORMSINV(P942))*(Q$7-Q$5)*(Q$6-Q$5)),Q$7-SQRT((1-NORMSDIST(Q$9*SQRT($C$11)*NORMSINV($B942)+SQRT(1-Q$9^2*$C$11)*NORMSINV(P942)))*(Q$7-Q$5)*(Q$7-Q$6))))</f>
        <v>0.0503707292704033</v>
      </c>
      <c r="R942" s="2" t="n">
        <v>0.388077018</v>
      </c>
      <c r="S942" s="2" t="n">
        <f aca="false">IF(S$7=S$5,S$6,IF(NORMSDIST(S$9*SQRT($C$11)*NORMSINV($B942)+SQRT(1-S$9^2*$C$11)*NORMSINV(R942))&lt;S$8,S$5+SQRT(NORMSDIST(S$9*SQRT($C$11)*NORMSINV($B942)+SQRT(1-S$9^2*$C$11)*NORMSINV(R942))*(S$7-S$5)*(S$6-S$5)),S$7-SQRT((1-NORMSDIST(S$9*SQRT($C$11)*NORMSINV($B942)+SQRT(1-S$9^2*$C$11)*NORMSINV(R942)))*(S$7-S$5)*(S$7-S$6))))</f>
        <v>0.419330246762831</v>
      </c>
      <c r="T942" s="2" t="n">
        <v>0.42246313</v>
      </c>
      <c r="U942" s="2" t="n">
        <f aca="false">IF(U$7=U$5,U$6,IF(NORMSDIST(U$9*SQRT($C$11)*NORMSINV($B942)+SQRT(1-U$9^2*$C$11)*NORMSINV(T942))&lt;U$8,U$5+SQRT(NORMSDIST(U$9*SQRT($C$11)*NORMSINV($B942)+SQRT(1-U$9^2*$C$11)*NORMSINV(T942))*(U$7-U$5)*(U$6-U$5)),U$7-SQRT((1-NORMSDIST(U$9*SQRT($C$11)*NORMSINV($B942)+SQRT(1-U$9^2*$C$11)*NORMSINV(T942)))*(U$7-U$5)*(U$7-U$6))))</f>
        <v>0.434451369697199</v>
      </c>
      <c r="V942" s="2" t="n">
        <v>0.174203455</v>
      </c>
      <c r="W942" s="2" t="n">
        <f aca="false">IF(W$7=W$5,W$6,IF(NORMSDIST(W$9*SQRT($C$11)*NORMSINV($B942)+SQRT(1-W$9^2*$C$11)*NORMSINV(V942))&lt;W$8,W$5+SQRT(NORMSDIST(W$9*SQRT($C$11)*NORMSINV($B942)+SQRT(1-W$9^2*$C$11)*NORMSINV(V942))*(W$7-W$5)*(W$6-W$5)),W$7-SQRT((1-NORMSDIST(W$9*SQRT($C$11)*NORMSINV($B942)+SQRT(1-W$9^2*$C$11)*NORMSINV(V942)))*(W$7-W$5)*(W$7-W$6))))</f>
        <v>9.22497697800382</v>
      </c>
      <c r="X942" s="2" t="n">
        <v>0.783386962</v>
      </c>
      <c r="Y942" s="2" t="n">
        <f aca="false">IF(Y$7=Y$5,Y$6,IF(NORMSDIST(Y$9*SQRT($C$11)*NORMSINV($B942)+SQRT(1-Y$9^2*$C$11)*NORMSINV(X942))&lt;Y$8,Y$5+SQRT(NORMSDIST(Y$9*SQRT($C$11)*NORMSINV($B942)+SQRT(1-Y$9^2*$C$11)*NORMSINV(X942))*(Y$7-Y$5)*(Y$6-Y$5)),Y$7-SQRT((1-NORMSDIST(Y$9*SQRT($C$11)*NORMSINV($B942)+SQRT(1-Y$9^2*$C$11)*NORMSINV(X942)))*(Y$7-Y$5)*(Y$7-Y$6))))</f>
        <v>0.670900442115156</v>
      </c>
      <c r="Z942" s="2" t="n">
        <v>0.453260328</v>
      </c>
      <c r="AA942" s="2" t="n">
        <f aca="false">IF(AA$7=AA$5,AA$6,IF(NORMSDIST(AA$9*SQRT($C$11)*NORMSINV($B942)+SQRT(1-AA$9^2*$C$11)*NORMSINV(Z942))&lt;AA$8,AA$5+SQRT(NORMSDIST(AA$9*SQRT($C$11)*NORMSINV($B942)+SQRT(1-AA$9^2*$C$11)*NORMSINV(Z942))*(AA$7-AA$5)*(AA$6-AA$5)),AA$7-SQRT((1-NORMSDIST(AA$9*SQRT($C$11)*NORMSINV($B942)+SQRT(1-AA$9^2*$C$11)*NORMSINV(Z942)))*(AA$7-AA$5)*(AA$7-AA$6))))</f>
        <v>0.724621637871172</v>
      </c>
      <c r="AB942" s="2" t="n">
        <v>0.844651532</v>
      </c>
      <c r="AC942" s="2" t="n">
        <f aca="false">IF(AC$7=AC$5,AC$6,IF(NORMSDIST(AC$9*SQRT($C$11)*NORMSINV($B942)+SQRT(1-AC$9^2*$C$11)*NORMSINV(AB942))&lt;AC$8,AC$5+SQRT(NORMSDIST(AC$9*SQRT($C$11)*NORMSINV($B942)+SQRT(1-AC$9^2*$C$11)*NORMSINV(AB942))*(AC$7-AC$5)*(AC$6-AC$5)),AC$7-SQRT((1-NORMSDIST(AC$9*SQRT($C$11)*NORMSINV($B942)+SQRT(1-AC$9^2*$C$11)*NORMSINV(AB942)))*(AC$7-AC$5)*(AC$7-AC$6))))</f>
        <v>9.92786059367071</v>
      </c>
      <c r="AD942" s="2" t="n">
        <f aca="false">Entrées!$C$8*(1+E942)</f>
        <v>7436.13705569124</v>
      </c>
      <c r="AE942" s="2" t="n">
        <f aca="false">I942*Hypothèses!$J$24/12/Hypothèses!$J$19</f>
        <v>97.1084823532987</v>
      </c>
      <c r="AF942" s="2" t="n">
        <f aca="false">Entrées!$C$36*S942*1000</f>
        <v>209.665123381416</v>
      </c>
      <c r="AG942" s="2" t="n">
        <f aca="false">-AF942/W942</f>
        <v>-22.7279833739796</v>
      </c>
      <c r="AH942" s="2" t="n">
        <f aca="false">AD942+AE942+AG942</f>
        <v>7510.51755467056</v>
      </c>
      <c r="AI942" s="2" t="n">
        <f aca="false">Entrées!$C$16-M942+Hypothèses!$J$22*1000-AF942+Hypothèses!$J$23</f>
        <v>22738.1437557661</v>
      </c>
      <c r="AJ942" s="2" t="n">
        <f aca="false">AI942/AH942</f>
        <v>3.02750690485051</v>
      </c>
      <c r="AK942" s="2" t="n">
        <f aca="false">AI942/(AH942+I942*(12-Hypothèses!$J$24)/12/Hypothèses!$J$19)</f>
        <v>2.99980230384401</v>
      </c>
      <c r="AL942" s="2" t="n">
        <f aca="false">(AD942+AG942+I942/Hypothèses!$J$19)*(1+G942)</f>
        <v>7954.2841241925</v>
      </c>
      <c r="AM942" s="2" t="n">
        <f aca="false">Entrées!$C$54*K942/Hypothèses!$J$19</f>
        <v>23.2906183688555</v>
      </c>
      <c r="AN942" s="2" t="n">
        <f aca="false">Y942*1000/AC942</f>
        <v>67.5775446064254</v>
      </c>
      <c r="AO942" s="2" t="n">
        <f aca="false">(Entrées!$C$36*(1-S942)+MAX(0,Entrées!$C$30-Entrées!$C$35-Entrées!$C$36)*U942)*1000</f>
        <v>898.566794194663</v>
      </c>
      <c r="AP942" s="2" t="n">
        <f aca="false">-AO942/W942</f>
        <v>-97.4058576338152</v>
      </c>
      <c r="AQ942" s="2" t="n">
        <f aca="false">AL942+AM942+AN942+AP942</f>
        <v>7947.74642953396</v>
      </c>
      <c r="AR942" s="2" t="n">
        <f aca="false">O942*AQ942-Hypothèses!$J$25/Hypothèses!$J$19</f>
        <v>1300.56362315681</v>
      </c>
      <c r="AS942" s="2" t="n">
        <f aca="false">Entrées!$C$79*(1+Q942)+Hypothèses!$J$20</f>
        <v>1449.35743146817</v>
      </c>
      <c r="AT942" s="2" t="n">
        <f aca="false">AI942-AR942+AS942+Y942*1000-AO942+Hypothèses!$J$23</f>
        <v>22659.2712119979</v>
      </c>
      <c r="AU942" s="2" t="n">
        <f aca="false">AT942/AQ942</f>
        <v>2.85103096996096</v>
      </c>
      <c r="AV942" s="2" t="n">
        <f aca="false">Hypothèses!$J$26*AQ942-AT942</f>
        <v>1183.96807660394</v>
      </c>
      <c r="AW942" s="2" t="n">
        <f aca="false">IF(AC942&gt;Hypothèses!$J$26,MAX(0,AV942)/(1-Hypothèses!$J$26/AC942),0)</f>
        <v>1696.66664808744</v>
      </c>
      <c r="AX942" s="2" t="n">
        <f aca="false">AQ942-Entrées!$C$17*1000</f>
        <v>-52.2535704660377</v>
      </c>
      <c r="AY942" s="2" t="n">
        <f aca="false">AI942+(Entrées!$C$244-Entrées!$C$13)</f>
        <v>28485.1437557661</v>
      </c>
      <c r="AZ942" s="2" t="n">
        <f aca="false">AA942*AH942</f>
        <v>5442.28353172557</v>
      </c>
      <c r="BA942" s="2" t="n">
        <f aca="false">AZ942/AY942</f>
        <v>0.191056909467902</v>
      </c>
      <c r="BB942" s="2" t="n">
        <f aca="false">AZ942/(Entrées!$C$151/100)-AY942</f>
        <v>1749.7647538204</v>
      </c>
      <c r="BC942" s="2" t="n">
        <f aca="false">AT942+(Entrées!$C$244-Entrées!$C$13)</f>
        <v>28406.2712119979</v>
      </c>
      <c r="BD942" s="2" t="n">
        <f aca="false">AA942*AQ942</f>
        <v>5759.10903515366</v>
      </c>
      <c r="BE942" s="2" t="n">
        <f aca="false">BD942/BC942</f>
        <v>0.202740760734594</v>
      </c>
      <c r="BF942" s="2" t="n">
        <f aca="false">BD942/(Entrées!$C$151/100)-BC942</f>
        <v>3588.77898330015</v>
      </c>
      <c r="BG942" s="2" t="n">
        <f aca="false">MIN(AV942,BF942)</f>
        <v>1183.96807660394</v>
      </c>
      <c r="BH942" s="2" t="n">
        <f aca="false">IF(AC942&gt;Hypothèses!$J$26,MAX(0,BG942)/(1-Hypothèses!$J$26/AC942),0)</f>
        <v>1696.66664808744</v>
      </c>
    </row>
    <row r="943" customFormat="false" ht="15" hidden="false" customHeight="false" outlineLevel="0" collapsed="false">
      <c r="A943" s="2" t="n">
        <v>928</v>
      </c>
      <c r="B943" s="2" t="n">
        <v>0.273798243</v>
      </c>
      <c r="C943" s="2"/>
      <c r="D943" s="2" t="n">
        <v>0.413341961</v>
      </c>
      <c r="E943" s="2" t="n">
        <f aca="false">IF(E$7=E$5,E$6,IF(NORMSDIST(E$9*SQRT($C$11)*NORMSINV($B943)+SQRT(1-E$9^2*$C$11)*NORMSINV(D943))&lt;E$8,E$5+SQRT(NORMSDIST(E$9*SQRT($C$11)*NORMSINV($B943)+SQRT(1-E$9^2*$C$11)*NORMSINV(D943))*(E$7-E$5)*(E$6-E$5)),E$7-SQRT((1-NORMSDIST(E$9*SQRT($C$11)*NORMSINV($B943)+SQRT(1-E$9^2*$C$11)*NORMSINV(D943)))*(E$7-E$5)*(E$7-E$6))))</f>
        <v>0.0538156274823738</v>
      </c>
      <c r="F943" s="2" t="n">
        <v>0.475189528</v>
      </c>
      <c r="G943" s="2" t="n">
        <f aca="false">IF(G$7=G$5,G$6,IF(NORMSDIST(G$9*SQRT($C$11)*NORMSINV($B943)+SQRT(1-G$9^2*$C$11)*NORMSINV(F943))&lt;G$8,G$5+SQRT(NORMSDIST(G$9*SQRT($C$11)*NORMSINV($B943)+SQRT(1-G$9^2*$C$11)*NORMSINV(F943))*(G$7-G$5)*(G$6-G$5)),G$7-SQRT((1-NORMSDIST(G$9*SQRT($C$11)*NORMSINV($B943)+SQRT(1-G$9^2*$C$11)*NORMSINV(F943)))*(G$7-G$5)*(G$7-G$6))))</f>
        <v>0.0522620523599205</v>
      </c>
      <c r="H943" s="2" t="n">
        <v>0.116937052</v>
      </c>
      <c r="I943" s="2" t="n">
        <f aca="false">IF(I$7=I$5,I$6,IF(NORMSDIST(I$9*SQRT($C$11)*NORMSINV($B943)+SQRT(1-I$9^2*$C$11)*NORMSINV(H943))&lt;I$8,I$5+SQRT(NORMSDIST(I$9*SQRT($C$11)*NORMSINV($B943)+SQRT(1-I$9^2*$C$11)*NORMSINV(H943))*(I$7-I$5)*(I$6-I$5)),I$7-SQRT((1-NORMSDIST(I$9*SQRT($C$11)*NORMSINV($B943)+SQRT(1-I$9^2*$C$11)*NORMSINV(H943)))*(I$7-I$5)*(I$7-I$6))))</f>
        <v>188.780973342243</v>
      </c>
      <c r="J943" s="2" t="n">
        <v>0.184622916</v>
      </c>
      <c r="K943" s="2" t="n">
        <f aca="false">IF(K$7=K$5,K$6,IF(NORMSDIST(K$9*SQRT($C$11)*NORMSINV($B943)+SQRT(1-K$9^2*$C$11)*NORMSINV(J943))&lt;K$8,K$5+SQRT(NORMSDIST(K$9*SQRT($C$11)*NORMSINV($B943)+SQRT(1-K$9^2*$C$11)*NORMSINV(J943))*(K$7-K$5)*(K$6-K$5)),K$7-SQRT((1-NORMSDIST(K$9*SQRT($C$11)*NORMSINV($B943)+SQRT(1-K$9^2*$C$11)*NORMSINV(J943)))*(K$7-K$5)*(K$7-K$6))))</f>
        <v>0.132759192556946</v>
      </c>
      <c r="L943" s="2" t="n">
        <v>0.035855881</v>
      </c>
      <c r="M943" s="2" t="n">
        <f aca="false">IF(M$7=M$5,M$6,IF(NORMSDIST(M$9*SQRT($C$11)*NORMSINV($B943)+SQRT(1-M$9^2*$C$11)*NORMSINV(L943))&lt;M$8,M$5+SQRT(NORMSDIST(M$9*SQRT($C$11)*NORMSINV($B943)+SQRT(1-M$9^2*$C$11)*NORMSINV(L943))*(M$7-M$5)*(M$6-M$5)),M$7-SQRT((1-NORMSDIST(M$9*SQRT($C$11)*NORMSINV($B943)+SQRT(1-M$9^2*$C$11)*NORMSINV(L943)))*(M$7-M$5)*(M$7-M$6))))</f>
        <v>1380.90250038074</v>
      </c>
      <c r="N943" s="2" t="n">
        <v>0.138710587</v>
      </c>
      <c r="O943" s="2" t="n">
        <f aca="false">IF(O$7=O$5,O$6,IF(NORMSDIST(O$9*SQRT($C$11)*NORMSINV($B943)+SQRT(1-O$9^2*$C$11)*NORMSINV(N943))&lt;O$8,O$5+SQRT(NORMSDIST(O$9*SQRT($C$11)*NORMSINV($B943)+SQRT(1-O$9^2*$C$11)*NORMSINV(N943))*(O$7-O$5)*(O$6-O$5)),O$7-SQRT((1-NORMSDIST(O$9*SQRT($C$11)*NORMSINV($B943)+SQRT(1-O$9^2*$C$11)*NORMSINV(N943)))*(O$7-O$5)*(O$7-O$6))))</f>
        <v>0.152615465959617</v>
      </c>
      <c r="P943" s="2" t="n">
        <v>0.815186617</v>
      </c>
      <c r="Q943" s="2" t="n">
        <f aca="false">IF(Q$7=Q$5,Q$6,IF(NORMSDIST(Q$9*SQRT($C$11)*NORMSINV($B943)+SQRT(1-Q$9^2*$C$11)*NORMSINV(P943))&lt;Q$8,Q$5+SQRT(NORMSDIST(Q$9*SQRT($C$11)*NORMSINV($B943)+SQRT(1-Q$9^2*$C$11)*NORMSINV(P943))*(Q$7-Q$5)*(Q$6-Q$5)),Q$7-SQRT((1-NORMSDIST(Q$9*SQRT($C$11)*NORMSINV($B943)+SQRT(1-Q$9^2*$C$11)*NORMSINV(P943)))*(Q$7-Q$5)*(Q$7-Q$6))))</f>
        <v>0.0956812248334749</v>
      </c>
      <c r="R943" s="2" t="n">
        <v>0.889895916</v>
      </c>
      <c r="S943" s="2" t="n">
        <f aca="false">IF(S$7=S$5,S$6,IF(NORMSDIST(S$9*SQRT($C$11)*NORMSINV($B943)+SQRT(1-S$9^2*$C$11)*NORMSINV(R943))&lt;S$8,S$5+SQRT(NORMSDIST(S$9*SQRT($C$11)*NORMSINV($B943)+SQRT(1-S$9^2*$C$11)*NORMSINV(R943))*(S$7-S$5)*(S$6-S$5)),S$7-SQRT((1-NORMSDIST(S$9*SQRT($C$11)*NORMSINV($B943)+SQRT(1-S$9^2*$C$11)*NORMSINV(R943)))*(S$7-S$5)*(S$7-S$6))))</f>
        <v>0.622788761419524</v>
      </c>
      <c r="T943" s="2" t="n">
        <v>0.617203317</v>
      </c>
      <c r="U943" s="2" t="n">
        <f aca="false">IF(U$7=U$5,U$6,IF(NORMSDIST(U$9*SQRT($C$11)*NORMSINV($B943)+SQRT(1-U$9^2*$C$11)*NORMSINV(T943))&lt;U$8,U$5+SQRT(NORMSDIST(U$9*SQRT($C$11)*NORMSINV($B943)+SQRT(1-U$9^2*$C$11)*NORMSINV(T943))*(U$7-U$5)*(U$6-U$5)),U$7-SQRT((1-NORMSDIST(U$9*SQRT($C$11)*NORMSINV($B943)+SQRT(1-U$9^2*$C$11)*NORMSINV(T943)))*(U$7-U$5)*(U$7-U$6))))</f>
        <v>0.469372278709493</v>
      </c>
      <c r="V943" s="2" t="n">
        <v>0.55875498</v>
      </c>
      <c r="W943" s="2" t="n">
        <f aca="false">IF(W$7=W$5,W$6,IF(NORMSDIST(W$9*SQRT($C$11)*NORMSINV($B943)+SQRT(1-W$9^2*$C$11)*NORMSINV(V943))&lt;W$8,W$5+SQRT(NORMSDIST(W$9*SQRT($C$11)*NORMSINV($B943)+SQRT(1-W$9^2*$C$11)*NORMSINV(V943))*(W$7-W$5)*(W$6-W$5)),W$7-SQRT((1-NORMSDIST(W$9*SQRT($C$11)*NORMSINV($B943)+SQRT(1-W$9^2*$C$11)*NORMSINV(V943)))*(W$7-W$5)*(W$7-W$6))))</f>
        <v>9.77804551912928</v>
      </c>
      <c r="X943" s="2" t="n">
        <v>0.333964416</v>
      </c>
      <c r="Y943" s="2" t="n">
        <f aca="false">IF(Y$7=Y$5,Y$6,IF(NORMSDIST(Y$9*SQRT($C$11)*NORMSINV($B943)+SQRT(1-Y$9^2*$C$11)*NORMSINV(X943))&lt;Y$8,Y$5+SQRT(NORMSDIST(Y$9*SQRT($C$11)*NORMSINV($B943)+SQRT(1-Y$9^2*$C$11)*NORMSINV(X943))*(Y$7-Y$5)*(Y$6-Y$5)),Y$7-SQRT((1-NORMSDIST(Y$9*SQRT($C$11)*NORMSINV($B943)+SQRT(1-Y$9^2*$C$11)*NORMSINV(X943)))*(Y$7-Y$5)*(Y$7-Y$6))))</f>
        <v>0.408634565351489</v>
      </c>
      <c r="Z943" s="2" t="n">
        <v>0.586667303</v>
      </c>
      <c r="AA943" s="2" t="n">
        <f aca="false">IF(AA$7=AA$5,AA$6,IF(NORMSDIST(AA$9*SQRT($C$11)*NORMSINV($B943)+SQRT(1-AA$9^2*$C$11)*NORMSINV(Z943))&lt;AA$8,AA$5+SQRT(NORMSDIST(AA$9*SQRT($C$11)*NORMSINV($B943)+SQRT(1-AA$9^2*$C$11)*NORMSINV(Z943))*(AA$7-AA$5)*(AA$6-AA$5)),AA$7-SQRT((1-NORMSDIST(AA$9*SQRT($C$11)*NORMSINV($B943)+SQRT(1-AA$9^2*$C$11)*NORMSINV(Z943)))*(AA$7-AA$5)*(AA$7-AA$6))))</f>
        <v>0.725195430670696</v>
      </c>
      <c r="AB943" s="2" t="n">
        <v>0.702373764</v>
      </c>
      <c r="AC943" s="2" t="n">
        <f aca="false">IF(AC$7=AC$5,AC$6,IF(NORMSDIST(AC$9*SQRT($C$11)*NORMSINV($B943)+SQRT(1-AC$9^2*$C$11)*NORMSINV(AB943))&lt;AC$8,AC$5+SQRT(NORMSDIST(AC$9*SQRT($C$11)*NORMSINV($B943)+SQRT(1-AC$9^2*$C$11)*NORMSINV(AB943))*(AC$7-AC$5)*(AC$6-AC$5)),AC$7-SQRT((1-NORMSDIST(AC$9*SQRT($C$11)*NORMSINV($B943)+SQRT(1-AC$9^2*$C$11)*NORMSINV(AB943)))*(AC$7-AC$5)*(AC$7-AC$6))))</f>
        <v>9.504135418971</v>
      </c>
      <c r="AD943" s="2" t="n">
        <f aca="false">Entrées!$C$8*(1+E943)</f>
        <v>7429.40017375074</v>
      </c>
      <c r="AE943" s="2" t="n">
        <f aca="false">I943*Hypothèses!$J$24/12/Hypothèses!$J$19</f>
        <v>93.6536366580762</v>
      </c>
      <c r="AF943" s="2" t="n">
        <f aca="false">Entrées!$C$36*S943*1000</f>
        <v>311.394380709762</v>
      </c>
      <c r="AG943" s="2" t="n">
        <f aca="false">-AF943/W943</f>
        <v>-31.8462805374106</v>
      </c>
      <c r="AH943" s="2" t="n">
        <f aca="false">AD943+AE943+AG943</f>
        <v>7491.2075298714</v>
      </c>
      <c r="AI943" s="2" t="n">
        <f aca="false">Entrées!$C$16-M943+Hypothèses!$J$22*1000-AF943+Hypothèses!$J$23</f>
        <v>22855.7031189095</v>
      </c>
      <c r="AJ943" s="2" t="n">
        <f aca="false">AI943/AH943</f>
        <v>3.05100386389934</v>
      </c>
      <c r="AK943" s="2" t="n">
        <f aca="false">AI943/(AH943+I943*(12-Hypothèses!$J$24)/12/Hypothèses!$J$19)</f>
        <v>3.02399995943386</v>
      </c>
      <c r="AL943" s="2" t="n">
        <f aca="false">(AD943+AG943+I943/Hypothèses!$J$19)*(1+G943)</f>
        <v>7953.10495855143</v>
      </c>
      <c r="AM943" s="2" t="n">
        <f aca="false">Entrées!$C$54*K943/Hypothèses!$J$19</f>
        <v>13.5486330202646</v>
      </c>
      <c r="AN943" s="2" t="n">
        <f aca="false">Y943*1000/AC943</f>
        <v>42.9954485429387</v>
      </c>
      <c r="AO943" s="2" t="n">
        <f aca="false">(Entrées!$C$36*(1-S943)+MAX(0,Entrées!$C$30-Entrées!$C$35-Entrées!$C$36)*U943)*1000</f>
        <v>845.726809483529</v>
      </c>
      <c r="AP943" s="2" t="n">
        <f aca="false">-AO943/W943</f>
        <v>-86.4924189429259</v>
      </c>
      <c r="AQ943" s="2" t="n">
        <f aca="false">AL943+AM943+AN943+AP943</f>
        <v>7923.1566211717</v>
      </c>
      <c r="AR943" s="2" t="n">
        <f aca="false">O943*AQ943-Hypothèses!$J$25/Hypothèses!$J$19</f>
        <v>1190.06107734952</v>
      </c>
      <c r="AS943" s="2" t="n">
        <f aca="false">Entrées!$C$79*(1+Q943)+Hypothèses!$J$20</f>
        <v>1499.15366609199</v>
      </c>
      <c r="AT943" s="2" t="n">
        <f aca="false">AI943-AR943+AS943+Y943*1000-AO943+Hypothèses!$J$23</f>
        <v>22727.7034635199</v>
      </c>
      <c r="AU943" s="2" t="n">
        <f aca="false">AT943/AQ943</f>
        <v>2.86851624298181</v>
      </c>
      <c r="AV943" s="2" t="n">
        <f aca="false">Hypothèses!$J$26*AQ943-AT943</f>
        <v>1041.76639999519</v>
      </c>
      <c r="AW943" s="2" t="n">
        <f aca="false">IF(AC943&gt;Hypothèses!$J$26,MAX(0,AV943)/(1-Hypothèses!$J$26/AC943),0)</f>
        <v>1522.27595255921</v>
      </c>
      <c r="AX943" s="2" t="n">
        <f aca="false">AQ943-Entrées!$C$17*1000</f>
        <v>-76.8433788282964</v>
      </c>
      <c r="AY943" s="2" t="n">
        <f aca="false">AI943+(Entrées!$C$244-Entrées!$C$13)</f>
        <v>28602.7031189095</v>
      </c>
      <c r="AZ943" s="2" t="n">
        <f aca="false">AA943*AH943</f>
        <v>5432.58947086865</v>
      </c>
      <c r="BA943" s="2" t="n">
        <f aca="false">AZ943/AY943</f>
        <v>0.189932729374698</v>
      </c>
      <c r="BB943" s="2" t="n">
        <f aca="false">AZ943/(Entrées!$C$151/100)-AY943</f>
        <v>1578.34949702747</v>
      </c>
      <c r="BC943" s="2" t="n">
        <f aca="false">AT943+(Entrées!$C$244-Entrées!$C$13)</f>
        <v>28474.7034635199</v>
      </c>
      <c r="BD943" s="2" t="n">
        <f aca="false">AA943*AQ943</f>
        <v>5745.83697816199</v>
      </c>
      <c r="BE943" s="2" t="n">
        <f aca="false">BD943/BC943</f>
        <v>0.201787421088448</v>
      </c>
      <c r="BF943" s="2" t="n">
        <f aca="false">BD943/(Entrées!$C$151/100)-BC943</f>
        <v>3446.61308182448</v>
      </c>
      <c r="BG943" s="2" t="n">
        <f aca="false">MIN(AV943,BF943)</f>
        <v>1041.76639999519</v>
      </c>
      <c r="BH943" s="2" t="n">
        <f aca="false">IF(AC943&gt;Hypothèses!$J$26,MAX(0,BG943)/(1-Hypothèses!$J$26/AC943),0)</f>
        <v>1522.27595255921</v>
      </c>
    </row>
    <row r="944" customFormat="false" ht="15" hidden="false" customHeight="false" outlineLevel="0" collapsed="false">
      <c r="A944" s="2" t="n">
        <v>929</v>
      </c>
      <c r="B944" s="2" t="n">
        <v>0.928321353</v>
      </c>
      <c r="C944" s="2"/>
      <c r="D944" s="2" t="n">
        <v>0.411292545</v>
      </c>
      <c r="E944" s="2" t="n">
        <f aca="false">IF(E$7=E$5,E$6,IF(NORMSDIST(E$9*SQRT($C$11)*NORMSINV($B944)+SQRT(1-E$9^2*$C$11)*NORMSINV(D944))&lt;E$8,E$5+SQRT(NORMSDIST(E$9*SQRT($C$11)*NORMSINV($B944)+SQRT(1-E$9^2*$C$11)*NORMSINV(D944))*(E$7-E$5)*(E$6-E$5)),E$7-SQRT((1-NORMSDIST(E$9*SQRT($C$11)*NORMSINV($B944)+SQRT(1-E$9^2*$C$11)*NORMSINV(D944)))*(E$7-E$5)*(E$7-E$6))))</f>
        <v>0.0566379405907276</v>
      </c>
      <c r="F944" s="2" t="n">
        <v>0.686105951</v>
      </c>
      <c r="G944" s="2" t="n">
        <f aca="false">IF(G$7=G$5,G$6,IF(NORMSDIST(G$9*SQRT($C$11)*NORMSINV($B944)+SQRT(1-G$9^2*$C$11)*NORMSINV(F944))&lt;G$8,G$5+SQRT(NORMSDIST(G$9*SQRT($C$11)*NORMSINV($B944)+SQRT(1-G$9^2*$C$11)*NORMSINV(F944))*(G$7-G$5)*(G$6-G$5)),G$7-SQRT((1-NORMSDIST(G$9*SQRT($C$11)*NORMSINV($B944)+SQRT(1-G$9^2*$C$11)*NORMSINV(F944)))*(G$7-G$5)*(G$7-G$6))))</f>
        <v>0.0634063751558067</v>
      </c>
      <c r="H944" s="2" t="n">
        <v>0.296630713</v>
      </c>
      <c r="I944" s="2" t="n">
        <f aca="false">IF(I$7=I$5,I$6,IF(NORMSDIST(I$9*SQRT($C$11)*NORMSINV($B944)+SQRT(1-I$9^2*$C$11)*NORMSINV(H944))&lt;I$8,I$5+SQRT(NORMSDIST(I$9*SQRT($C$11)*NORMSINV($B944)+SQRT(1-I$9^2*$C$11)*NORMSINV(H944))*(I$7-I$5)*(I$6-I$5)),I$7-SQRT((1-NORMSDIST(I$9*SQRT($C$11)*NORMSINV($B944)+SQRT(1-I$9^2*$C$11)*NORMSINV(H944)))*(I$7-I$5)*(I$7-I$6))))</f>
        <v>204.395101596637</v>
      </c>
      <c r="J944" s="2" t="n">
        <v>0.482989284</v>
      </c>
      <c r="K944" s="2" t="n">
        <f aca="false">IF(K$7=K$5,K$6,IF(NORMSDIST(K$9*SQRT($C$11)*NORMSINV($B944)+SQRT(1-K$9^2*$C$11)*NORMSINV(J944))&lt;K$8,K$5+SQRT(NORMSDIST(K$9*SQRT($C$11)*NORMSINV($B944)+SQRT(1-K$9^2*$C$11)*NORMSINV(J944))*(K$7-K$5)*(K$6-K$5)),K$7-SQRT((1-NORMSDIST(K$9*SQRT($C$11)*NORMSINV($B944)+SQRT(1-K$9^2*$C$11)*NORMSINV(J944)))*(K$7-K$5)*(K$7-K$6))))</f>
        <v>0.347494714066348</v>
      </c>
      <c r="L944" s="2" t="n">
        <v>0.361422706</v>
      </c>
      <c r="M944" s="2" t="n">
        <f aca="false">IF(M$7=M$5,M$6,IF(NORMSDIST(M$9*SQRT($C$11)*NORMSINV($B944)+SQRT(1-M$9^2*$C$11)*NORMSINV(L944))&lt;M$8,M$5+SQRT(NORMSDIST(M$9*SQRT($C$11)*NORMSINV($B944)+SQRT(1-M$9^2*$C$11)*NORMSINV(L944))*(M$7-M$5)*(M$6-M$5)),M$7-SQRT((1-NORMSDIST(M$9*SQRT($C$11)*NORMSINV($B944)+SQRT(1-M$9^2*$C$11)*NORMSINV(L944)))*(M$7-M$5)*(M$7-M$6))))</f>
        <v>1648.70132050239</v>
      </c>
      <c r="N944" s="2" t="n">
        <v>0.864934743</v>
      </c>
      <c r="O944" s="2" t="n">
        <f aca="false">IF(O$7=O$5,O$6,IF(NORMSDIST(O$9*SQRT($C$11)*NORMSINV($B944)+SQRT(1-O$9^2*$C$11)*NORMSINV(N944))&lt;O$8,O$5+SQRT(NORMSDIST(O$9*SQRT($C$11)*NORMSINV($B944)+SQRT(1-O$9^2*$C$11)*NORMSINV(N944))*(O$7-O$5)*(O$6-O$5)),O$7-SQRT((1-NORMSDIST(O$9*SQRT($C$11)*NORMSINV($B944)+SQRT(1-O$9^2*$C$11)*NORMSINV(N944)))*(O$7-O$5)*(O$7-O$6))))</f>
        <v>0.183674806706056</v>
      </c>
      <c r="P944" s="2" t="n">
        <v>0.964758082</v>
      </c>
      <c r="Q944" s="2" t="n">
        <f aca="false">IF(Q$7=Q$5,Q$6,IF(NORMSDIST(Q$9*SQRT($C$11)*NORMSINV($B944)+SQRT(1-Q$9^2*$C$11)*NORMSINV(P944))&lt;Q$8,Q$5+SQRT(NORMSDIST(Q$9*SQRT($C$11)*NORMSINV($B944)+SQRT(1-Q$9^2*$C$11)*NORMSINV(P944))*(Q$7-Q$5)*(Q$6-Q$5)),Q$7-SQRT((1-NORMSDIST(Q$9*SQRT($C$11)*NORMSINV($B944)+SQRT(1-Q$9^2*$C$11)*NORMSINV(P944)))*(Q$7-Q$5)*(Q$7-Q$6))))</f>
        <v>0.109380483174833</v>
      </c>
      <c r="R944" s="2" t="n">
        <v>0.491983102</v>
      </c>
      <c r="S944" s="2" t="n">
        <f aca="false">IF(S$7=S$5,S$6,IF(NORMSDIST(S$9*SQRT($C$11)*NORMSINV($B944)+SQRT(1-S$9^2*$C$11)*NORMSINV(R944))&lt;S$8,S$5+SQRT(NORMSDIST(S$9*SQRT($C$11)*NORMSINV($B944)+SQRT(1-S$9^2*$C$11)*NORMSINV(R944))*(S$7-S$5)*(S$6-S$5)),S$7-SQRT((1-NORMSDIST(S$9*SQRT($C$11)*NORMSINV($B944)+SQRT(1-S$9^2*$C$11)*NORMSINV(R944)))*(S$7-S$5)*(S$7-S$6))))</f>
        <v>0.6988197053522</v>
      </c>
      <c r="T944" s="2" t="n">
        <v>0.863655015</v>
      </c>
      <c r="U944" s="2" t="n">
        <f aca="false">IF(U$7=U$5,U$6,IF(NORMSDIST(U$9*SQRT($C$11)*NORMSINV($B944)+SQRT(1-U$9^2*$C$11)*NORMSINV(T944))&lt;U$8,U$5+SQRT(NORMSDIST(U$9*SQRT($C$11)*NORMSINV($B944)+SQRT(1-U$9^2*$C$11)*NORMSINV(T944))*(U$7-U$5)*(U$6-U$5)),U$7-SQRT((1-NORMSDIST(U$9*SQRT($C$11)*NORMSINV($B944)+SQRT(1-U$9^2*$C$11)*NORMSINV(T944)))*(U$7-U$5)*(U$7-U$6))))</f>
        <v>0.862279627742463</v>
      </c>
      <c r="V944" s="2" t="n">
        <v>0.574524815</v>
      </c>
      <c r="W944" s="2" t="n">
        <f aca="false">IF(W$7=W$5,W$6,IF(NORMSDIST(W$9*SQRT($C$11)*NORMSINV($B944)+SQRT(1-W$9^2*$C$11)*NORMSINV(V944))&lt;W$8,W$5+SQRT(NORMSDIST(W$9*SQRT($C$11)*NORMSINV($B944)+SQRT(1-W$9^2*$C$11)*NORMSINV(V944))*(W$7-W$5)*(W$6-W$5)),W$7-SQRT((1-NORMSDIST(W$9*SQRT($C$11)*NORMSINV($B944)+SQRT(1-W$9^2*$C$11)*NORMSINV(V944)))*(W$7-W$5)*(W$7-W$6))))</f>
        <v>10.9339235841383</v>
      </c>
      <c r="X944" s="2" t="n">
        <v>0.860132121</v>
      </c>
      <c r="Y944" s="2" t="n">
        <f aca="false">IF(Y$7=Y$5,Y$6,IF(NORMSDIST(Y$9*SQRT($C$11)*NORMSINV($B944)+SQRT(1-Y$9^2*$C$11)*NORMSINV(X944))&lt;Y$8,Y$5+SQRT(NORMSDIST(Y$9*SQRT($C$11)*NORMSINV($B944)+SQRT(1-Y$9^2*$C$11)*NORMSINV(X944))*(Y$7-Y$5)*(Y$6-Y$5)),Y$7-SQRT((1-NORMSDIST(Y$9*SQRT($C$11)*NORMSINV($B944)+SQRT(1-Y$9^2*$C$11)*NORMSINV(X944)))*(Y$7-Y$5)*(Y$7-Y$6))))</f>
        <v>0.735549740971955</v>
      </c>
      <c r="Z944" s="2" t="n">
        <v>0.97184326</v>
      </c>
      <c r="AA944" s="2" t="n">
        <f aca="false">IF(AA$7=AA$5,AA$6,IF(NORMSDIST(AA$9*SQRT($C$11)*NORMSINV($B944)+SQRT(1-AA$9^2*$C$11)*NORMSINV(Z944))&lt;AA$8,AA$5+SQRT(NORMSDIST(AA$9*SQRT($C$11)*NORMSINV($B944)+SQRT(1-AA$9^2*$C$11)*NORMSINV(Z944))*(AA$7-AA$5)*(AA$6-AA$5)),AA$7-SQRT((1-NORMSDIST(AA$9*SQRT($C$11)*NORMSINV($B944)+SQRT(1-AA$9^2*$C$11)*NORMSINV(Z944)))*(AA$7-AA$5)*(AA$7-AA$6))))</f>
        <v>0.750643304350537</v>
      </c>
      <c r="AB944" s="2" t="n">
        <v>0.77089633</v>
      </c>
      <c r="AC944" s="2" t="n">
        <f aca="false">IF(AC$7=AC$5,AC$6,IF(NORMSDIST(AC$9*SQRT($C$11)*NORMSINV($B944)+SQRT(1-AC$9^2*$C$11)*NORMSINV(AB944))&lt;AC$8,AC$5+SQRT(NORMSDIST(AC$9*SQRT($C$11)*NORMSINV($B944)+SQRT(1-AC$9^2*$C$11)*NORMSINV(AB944))*(AC$7-AC$5)*(AC$6-AC$5)),AC$7-SQRT((1-NORMSDIST(AC$9*SQRT($C$11)*NORMSINV($B944)+SQRT(1-AC$9^2*$C$11)*NORMSINV(AB944)))*(AC$7-AC$5)*(AC$7-AC$6))))</f>
        <v>10.4628482666957</v>
      </c>
      <c r="AD944" s="2" t="n">
        <f aca="false">Entrées!$C$8*(1+E944)</f>
        <v>7449.29748116463</v>
      </c>
      <c r="AE944" s="2" t="n">
        <f aca="false">I944*Hypothèses!$J$24/12/Hypothèses!$J$19</f>
        <v>101.399755710119</v>
      </c>
      <c r="AF944" s="2" t="n">
        <f aca="false">Entrées!$C$36*S944*1000</f>
        <v>349.4098526761</v>
      </c>
      <c r="AG944" s="2" t="n">
        <f aca="false">-AF944/W944</f>
        <v>-31.9564930180217</v>
      </c>
      <c r="AH944" s="2" t="n">
        <f aca="false">AD944+AE944+AG944</f>
        <v>7518.74074385673</v>
      </c>
      <c r="AI944" s="2" t="n">
        <f aca="false">Entrées!$C$16-M944+Hypothèses!$J$22*1000-AF944+Hypothèses!$J$23</f>
        <v>22549.8888268215</v>
      </c>
      <c r="AJ944" s="2" t="n">
        <f aca="false">AI944/AH944</f>
        <v>2.99915765086676</v>
      </c>
      <c r="AK944" s="2" t="n">
        <f aca="false">AI944/(AH944+I944*(12-Hypothèses!$J$24)/12/Hypothèses!$J$19)</f>
        <v>2.97054227202574</v>
      </c>
      <c r="AL944" s="2" t="n">
        <f aca="false">(AD944+AG944+I944/Hypothèses!$J$19)*(1+G944)</f>
        <v>8072.4976592048</v>
      </c>
      <c r="AM944" s="2" t="n">
        <f aca="false">Entrées!$C$54*K944/Hypothèses!$J$19</f>
        <v>35.4632946064901</v>
      </c>
      <c r="AN944" s="2" t="n">
        <f aca="false">Y944*1000/AC944</f>
        <v>70.3010998748095</v>
      </c>
      <c r="AO944" s="2" t="n">
        <f aca="false">(Entrées!$C$36*(1-S944)+MAX(0,Entrées!$C$30-Entrées!$C$35-Entrées!$C$36)*U944)*1000</f>
        <v>1357.78162616335</v>
      </c>
      <c r="AP944" s="2" t="n">
        <f aca="false">-AO944/W944</f>
        <v>-124.180639796409</v>
      </c>
      <c r="AQ944" s="2" t="n">
        <f aca="false">AL944+AM944+AN944+AP944</f>
        <v>8054.08141388969</v>
      </c>
      <c r="AR944" s="2" t="n">
        <f aca="false">O944*AQ944-Hypothèses!$J$25/Hypothèses!$J$19</f>
        <v>1460.1966846294</v>
      </c>
      <c r="AS944" s="2" t="n">
        <f aca="false">Entrées!$C$79*(1+Q944)+Hypothèses!$J$20</f>
        <v>1514.20915100914</v>
      </c>
      <c r="AT944" s="2" t="n">
        <f aca="false">AI944-AR944+AS944+Y944*1000-AO944+Hypothèses!$J$23</f>
        <v>21981.6694080099</v>
      </c>
      <c r="AU944" s="2" t="n">
        <f aca="false">AT944/AQ944</f>
        <v>2.72925840681239</v>
      </c>
      <c r="AV944" s="2" t="n">
        <f aca="false">Hypothèses!$J$26*AQ944-AT944</f>
        <v>2180.57483365922</v>
      </c>
      <c r="AW944" s="2" t="n">
        <f aca="false">IF(AC944&gt;Hypothèses!$J$26,MAX(0,AV944)/(1-Hypothèses!$J$26/AC944),0)</f>
        <v>3057.14692345652</v>
      </c>
      <c r="AX944" s="2" t="n">
        <f aca="false">AQ944-Entrées!$C$17*1000</f>
        <v>54.0814138896913</v>
      </c>
      <c r="AY944" s="2" t="n">
        <f aca="false">AI944+(Entrées!$C$244-Entrées!$C$13)</f>
        <v>28296.8888268215</v>
      </c>
      <c r="AZ944" s="2" t="n">
        <f aca="false">AA944*AH944</f>
        <v>5643.89239652363</v>
      </c>
      <c r="BA944" s="2" t="n">
        <f aca="false">AZ944/AY944</f>
        <v>0.199452753660113</v>
      </c>
      <c r="BB944" s="2" t="n">
        <f aca="false">AZ944/(Entrées!$C$151/100)-AY944</f>
        <v>3058.06893164308</v>
      </c>
      <c r="BC944" s="2" t="n">
        <f aca="false">AT944+(Entrées!$C$244-Entrées!$C$13)</f>
        <v>27728.6694080099</v>
      </c>
      <c r="BD944" s="2" t="n">
        <f aca="false">AA944*AQ944</f>
        <v>6045.7422860304</v>
      </c>
      <c r="BE944" s="2" t="n">
        <f aca="false">BD944/BC944</f>
        <v>0.218032181677062</v>
      </c>
      <c r="BF944" s="2" t="n">
        <f aca="false">BD944/(Entrées!$C$151/100)-BC944</f>
        <v>5858.78773660348</v>
      </c>
      <c r="BG944" s="2" t="n">
        <f aca="false">MIN(AV944,BF944)</f>
        <v>2180.57483365922</v>
      </c>
      <c r="BH944" s="2" t="n">
        <f aca="false">IF(AC944&gt;Hypothèses!$J$26,MAX(0,BG944)/(1-Hypothèses!$J$26/AC944),0)</f>
        <v>3057.14692345652</v>
      </c>
    </row>
    <row r="945" customFormat="false" ht="15" hidden="false" customHeight="false" outlineLevel="0" collapsed="false">
      <c r="A945" s="2" t="n">
        <v>930</v>
      </c>
      <c r="B945" s="2" t="n">
        <v>0.115072886</v>
      </c>
      <c r="C945" s="2"/>
      <c r="D945" s="2" t="n">
        <v>0.745636503</v>
      </c>
      <c r="E945" s="2" t="n">
        <f aca="false">IF(E$7=E$5,E$6,IF(NORMSDIST(E$9*SQRT($C$11)*NORMSINV($B945)+SQRT(1-E$9^2*$C$11)*NORMSINV(D945))&lt;E$8,E$5+SQRT(NORMSDIST(E$9*SQRT($C$11)*NORMSINV($B945)+SQRT(1-E$9^2*$C$11)*NORMSINV(D945))*(E$7-E$5)*(E$6-E$5)),E$7-SQRT((1-NORMSDIST(E$9*SQRT($C$11)*NORMSINV($B945)+SQRT(1-E$9^2*$C$11)*NORMSINV(D945)))*(E$7-E$5)*(E$7-E$6))))</f>
        <v>0.0544856909546915</v>
      </c>
      <c r="F945" s="2" t="n">
        <v>0.582000449</v>
      </c>
      <c r="G945" s="2" t="n">
        <f aca="false">IF(G$7=G$5,G$6,IF(NORMSDIST(G$9*SQRT($C$11)*NORMSINV($B945)+SQRT(1-G$9^2*$C$11)*NORMSINV(F945))&lt;G$8,G$5+SQRT(NORMSDIST(G$9*SQRT($C$11)*NORMSINV($B945)+SQRT(1-G$9^2*$C$11)*NORMSINV(F945))*(G$7-G$5)*(G$6-G$5)),G$7-SQRT((1-NORMSDIST(G$9*SQRT($C$11)*NORMSINV($B945)+SQRT(1-G$9^2*$C$11)*NORMSINV(F945)))*(G$7-G$5)*(G$7-G$6))))</f>
        <v>0.0511187376086315</v>
      </c>
      <c r="H945" s="2" t="n">
        <v>0.309873218</v>
      </c>
      <c r="I945" s="2" t="n">
        <f aca="false">IF(I$7=I$5,I$6,IF(NORMSDIST(I$9*SQRT($C$11)*NORMSINV($B945)+SQRT(1-I$9^2*$C$11)*NORMSINV(H945))&lt;I$8,I$5+SQRT(NORMSDIST(I$9*SQRT($C$11)*NORMSINV($B945)+SQRT(1-I$9^2*$C$11)*NORMSINV(H945))*(I$7-I$5)*(I$6-I$5)),I$7-SQRT((1-NORMSDIST(I$9*SQRT($C$11)*NORMSINV($B945)+SQRT(1-I$9^2*$C$11)*NORMSINV(H945)))*(I$7-I$5)*(I$7-I$6))))</f>
        <v>190.058123960412</v>
      </c>
      <c r="J945" s="2" t="n">
        <v>0.497315476</v>
      </c>
      <c r="K945" s="2" t="n">
        <f aca="false">IF(K$7=K$5,K$6,IF(NORMSDIST(K$9*SQRT($C$11)*NORMSINV($B945)+SQRT(1-K$9^2*$C$11)*NORMSINV(J945))&lt;K$8,K$5+SQRT(NORMSDIST(K$9*SQRT($C$11)*NORMSINV($B945)+SQRT(1-K$9^2*$C$11)*NORMSINV(J945))*(K$7-K$5)*(K$6-K$5)),K$7-SQRT((1-NORMSDIST(K$9*SQRT($C$11)*NORMSINV($B945)+SQRT(1-K$9^2*$C$11)*NORMSINV(J945)))*(K$7-K$5)*(K$7-K$6))))</f>
        <v>0.166729332581994</v>
      </c>
      <c r="L945" s="2" t="n">
        <v>0.070567257</v>
      </c>
      <c r="M945" s="2" t="n">
        <f aca="false">IF(M$7=M$5,M$6,IF(NORMSDIST(M$9*SQRT($C$11)*NORMSINV($B945)+SQRT(1-M$9^2*$C$11)*NORMSINV(L945))&lt;M$8,M$5+SQRT(NORMSDIST(M$9*SQRT($C$11)*NORMSINV($B945)+SQRT(1-M$9^2*$C$11)*NORMSINV(L945))*(M$7-M$5)*(M$6-M$5)),M$7-SQRT((1-NORMSDIST(M$9*SQRT($C$11)*NORMSINV($B945)+SQRT(1-M$9^2*$C$11)*NORMSINV(L945)))*(M$7-M$5)*(M$7-M$6))))</f>
        <v>1370.90955309846</v>
      </c>
      <c r="N945" s="2" t="n">
        <v>0.995742493</v>
      </c>
      <c r="O945" s="2" t="n">
        <f aca="false">IF(O$7=O$5,O$6,IF(NORMSDIST(O$9*SQRT($C$11)*NORMSINV($B945)+SQRT(1-O$9^2*$C$11)*NORMSINV(N945))&lt;O$8,O$5+SQRT(NORMSDIST(O$9*SQRT($C$11)*NORMSINV($B945)+SQRT(1-O$9^2*$C$11)*NORMSINV(N945))*(O$7-O$5)*(O$6-O$5)),O$7-SQRT((1-NORMSDIST(O$9*SQRT($C$11)*NORMSINV($B945)+SQRT(1-O$9^2*$C$11)*NORMSINV(N945)))*(O$7-O$5)*(O$7-O$6))))</f>
        <v>0.179655915208591</v>
      </c>
      <c r="P945" s="2" t="n">
        <v>0.30836946</v>
      </c>
      <c r="Q945" s="2" t="n">
        <f aca="false">IF(Q$7=Q$5,Q$6,IF(NORMSDIST(Q$9*SQRT($C$11)*NORMSINV($B945)+SQRT(1-Q$9^2*$C$11)*NORMSINV(P945))&lt;Q$8,Q$5+SQRT(NORMSDIST(Q$9*SQRT($C$11)*NORMSINV($B945)+SQRT(1-Q$9^2*$C$11)*NORMSINV(P945))*(Q$7-Q$5)*(Q$6-Q$5)),Q$7-SQRT((1-NORMSDIST(Q$9*SQRT($C$11)*NORMSINV($B945)+SQRT(1-Q$9^2*$C$11)*NORMSINV(P945)))*(Q$7-Q$5)*(Q$7-Q$6))))</f>
        <v>0.071413090774389</v>
      </c>
      <c r="R945" s="2" t="n">
        <v>0.076924331</v>
      </c>
      <c r="S945" s="2" t="n">
        <f aca="false">IF(S$7=S$5,S$6,IF(NORMSDIST(S$9*SQRT($C$11)*NORMSINV($B945)+SQRT(1-S$9^2*$C$11)*NORMSINV(R945))&lt;S$8,S$5+SQRT(NORMSDIST(S$9*SQRT($C$11)*NORMSINV($B945)+SQRT(1-S$9^2*$C$11)*NORMSINV(R945))*(S$7-S$5)*(S$6-S$5)),S$7-SQRT((1-NORMSDIST(S$9*SQRT($C$11)*NORMSINV($B945)+SQRT(1-S$9^2*$C$11)*NORMSINV(R945)))*(S$7-S$5)*(S$7-S$6))))</f>
        <v>0.124882926333031</v>
      </c>
      <c r="T945" s="2" t="n">
        <v>0.957006869</v>
      </c>
      <c r="U945" s="2" t="n">
        <f aca="false">IF(U$7=U$5,U$6,IF(NORMSDIST(U$9*SQRT($C$11)*NORMSINV($B945)+SQRT(1-U$9^2*$C$11)*NORMSINV(T945))&lt;U$8,U$5+SQRT(NORMSDIST(U$9*SQRT($C$11)*NORMSINV($B945)+SQRT(1-U$9^2*$C$11)*NORMSINV(T945))*(U$7-U$5)*(U$6-U$5)),U$7-SQRT((1-NORMSDIST(U$9*SQRT($C$11)*NORMSINV($B945)+SQRT(1-U$9^2*$C$11)*NORMSINV(T945)))*(U$7-U$5)*(U$7-U$6))))</f>
        <v>0.623174900974542</v>
      </c>
      <c r="V945" s="2" t="n">
        <v>0.70841734</v>
      </c>
      <c r="W945" s="2" t="n">
        <f aca="false">IF(W$7=W$5,W$6,IF(NORMSDIST(W$9*SQRT($C$11)*NORMSINV($B945)+SQRT(1-W$9^2*$C$11)*NORMSINV(V945))&lt;W$8,W$5+SQRT(NORMSDIST(W$9*SQRT($C$11)*NORMSINV($B945)+SQRT(1-W$9^2*$C$11)*NORMSINV(V945))*(W$7-W$5)*(W$6-W$5)),W$7-SQRT((1-NORMSDIST(W$9*SQRT($C$11)*NORMSINV($B945)+SQRT(1-W$9^2*$C$11)*NORMSINV(V945)))*(W$7-W$5)*(W$7-W$6))))</f>
        <v>9.71870057735557</v>
      </c>
      <c r="X945" s="2" t="n">
        <v>0.851695304</v>
      </c>
      <c r="Y945" s="2" t="n">
        <f aca="false">IF(Y$7=Y$5,Y$6,IF(NORMSDIST(Y$9*SQRT($C$11)*NORMSINV($B945)+SQRT(1-Y$9^2*$C$11)*NORMSINV(X945))&lt;Y$8,Y$5+SQRT(NORMSDIST(Y$9*SQRT($C$11)*NORMSINV($B945)+SQRT(1-Y$9^2*$C$11)*NORMSINV(X945))*(Y$7-Y$5)*(Y$6-Y$5)),Y$7-SQRT((1-NORMSDIST(Y$9*SQRT($C$11)*NORMSINV($B945)+SQRT(1-Y$9^2*$C$11)*NORMSINV(X945)))*(Y$7-Y$5)*(Y$7-Y$6))))</f>
        <v>0.727690712607888</v>
      </c>
      <c r="Z945" s="2" t="n">
        <v>0.496847811</v>
      </c>
      <c r="AA945" s="2" t="n">
        <f aca="false">IF(AA$7=AA$5,AA$6,IF(NORMSDIST(AA$9*SQRT($C$11)*NORMSINV($B945)+SQRT(1-AA$9^2*$C$11)*NORMSINV(Z945))&lt;AA$8,AA$5+SQRT(NORMSDIST(AA$9*SQRT($C$11)*NORMSINV($B945)+SQRT(1-AA$9^2*$C$11)*NORMSINV(Z945))*(AA$7-AA$5)*(AA$6-AA$5)),AA$7-SQRT((1-NORMSDIST(AA$9*SQRT($C$11)*NORMSINV($B945)+SQRT(1-AA$9^2*$C$11)*NORMSINV(Z945)))*(AA$7-AA$5)*(AA$7-AA$6))))</f>
        <v>0.71713556249337</v>
      </c>
      <c r="AB945" s="2" t="n">
        <v>0.856548738</v>
      </c>
      <c r="AC945" s="2" t="n">
        <f aca="false">IF(AC$7=AC$5,AC$6,IF(NORMSDIST(AC$9*SQRT($C$11)*NORMSINV($B945)+SQRT(1-AC$9^2*$C$11)*NORMSINV(AB945))&lt;AC$8,AC$5+SQRT(NORMSDIST(AC$9*SQRT($C$11)*NORMSINV($B945)+SQRT(1-AC$9^2*$C$11)*NORMSINV(AB945))*(AC$7-AC$5)*(AC$6-AC$5)),AC$7-SQRT((1-NORMSDIST(AC$9*SQRT($C$11)*NORMSINV($B945)+SQRT(1-AC$9^2*$C$11)*NORMSINV(AB945)))*(AC$7-AC$5)*(AC$7-AC$6))))</f>
        <v>9.5324172147913</v>
      </c>
      <c r="AD945" s="2" t="n">
        <f aca="false">Entrées!$C$8*(1+E945)</f>
        <v>7434.12412123057</v>
      </c>
      <c r="AE945" s="2" t="n">
        <f aca="false">I945*Hypothèses!$J$24/12/Hypothèses!$J$19</f>
        <v>94.2872269920702</v>
      </c>
      <c r="AF945" s="2" t="n">
        <f aca="false">Entrées!$C$36*S945*1000</f>
        <v>62.4414631665153</v>
      </c>
      <c r="AG945" s="2" t="n">
        <f aca="false">-AF945/W945</f>
        <v>-6.42487775701239</v>
      </c>
      <c r="AH945" s="2" t="n">
        <f aca="false">AD945+AE945+AG945</f>
        <v>7521.98647046563</v>
      </c>
      <c r="AI945" s="2" t="n">
        <f aca="false">Entrées!$C$16-M945+Hypothèses!$J$22*1000-AF945+Hypothèses!$J$23</f>
        <v>23114.648983735</v>
      </c>
      <c r="AJ945" s="2" t="n">
        <f aca="false">AI945/AH945</f>
        <v>3.07294476990786</v>
      </c>
      <c r="AK945" s="2" t="n">
        <f aca="false">AI945/(AH945+I945*(12-Hypothèses!$J$24)/12/Hypothèses!$J$19)</f>
        <v>3.04567535071308</v>
      </c>
      <c r="AL945" s="2" t="n">
        <f aca="false">(AD945+AG945+I945/Hypothèses!$J$19)*(1+G945)</f>
        <v>7977.29168815113</v>
      </c>
      <c r="AM945" s="2" t="n">
        <f aca="false">Entrées!$C$54*K945/Hypothèses!$J$19</f>
        <v>17.0154284412217</v>
      </c>
      <c r="AN945" s="2" t="n">
        <f aca="false">Y945*1000/AC945</f>
        <v>76.3385294842888</v>
      </c>
      <c r="AO945" s="2" t="n">
        <f aca="false">(Entrées!$C$36*(1-S945)+MAX(0,Entrées!$C$30-Entrées!$C$35-Entrées!$C$36)*U945)*1000</f>
        <v>1310.00339819784</v>
      </c>
      <c r="AP945" s="2" t="n">
        <f aca="false">-AO945/W945</f>
        <v>-134.792031894689</v>
      </c>
      <c r="AQ945" s="2" t="n">
        <f aca="false">AL945+AM945+AN945+AP945</f>
        <v>7935.85361418195</v>
      </c>
      <c r="AR945" s="2" t="n">
        <f aca="false">O945*AQ945-Hypothèses!$J$25/Hypothèses!$J$19</f>
        <v>1406.58788175563</v>
      </c>
      <c r="AS945" s="2" t="n">
        <f aca="false">Entrées!$C$79*(1+Q945)+Hypothèses!$J$20</f>
        <v>1472.48298676105</v>
      </c>
      <c r="AT945" s="2" t="n">
        <f aca="false">AI945-AR945+AS945+Y945*1000-AO945+Hypothèses!$J$23</f>
        <v>22598.2314031505</v>
      </c>
      <c r="AU945" s="2" t="n">
        <f aca="false">AT945/AQ945</f>
        <v>2.84761192706047</v>
      </c>
      <c r="AV945" s="2" t="n">
        <f aca="false">Hypothèses!$J$26*AQ945-AT945</f>
        <v>1209.32943939536</v>
      </c>
      <c r="AW945" s="2" t="n">
        <f aca="false">IF(AC945&gt;Hypothèses!$J$26,MAX(0,AV945)/(1-Hypothèses!$J$26/AC945),0)</f>
        <v>1764.71165074146</v>
      </c>
      <c r="AX945" s="2" t="n">
        <f aca="false">AQ945-Entrées!$C$17*1000</f>
        <v>-64.1463858180496</v>
      </c>
      <c r="AY945" s="2" t="n">
        <f aca="false">AI945+(Entrées!$C$244-Entrées!$C$13)</f>
        <v>28861.648983735</v>
      </c>
      <c r="AZ945" s="2" t="n">
        <f aca="false">AA945*AH945</f>
        <v>5394.28399856489</v>
      </c>
      <c r="BA945" s="2" t="n">
        <f aca="false">AZ945/AY945</f>
        <v>0.186901448410132</v>
      </c>
      <c r="BB945" s="2" t="n">
        <f aca="false">AZ945/(Entrées!$C$151/100)-AY945</f>
        <v>1106.59545273658</v>
      </c>
      <c r="BC945" s="2" t="n">
        <f aca="false">AT945+(Entrées!$C$244-Entrées!$C$13)</f>
        <v>28345.2314031505</v>
      </c>
      <c r="BD945" s="2" t="n">
        <f aca="false">AA945*AQ945</f>
        <v>5691.08284547142</v>
      </c>
      <c r="BE945" s="2" t="n">
        <f aca="false">BD945/BC945</f>
        <v>0.200777434642459</v>
      </c>
      <c r="BF945" s="2" t="n">
        <f aca="false">BD945/(Entrées!$C$151/100)-BC945</f>
        <v>3271.89551613515</v>
      </c>
      <c r="BG945" s="2" t="n">
        <f aca="false">MIN(AV945,BF945)</f>
        <v>1209.32943939536</v>
      </c>
      <c r="BH945" s="2" t="n">
        <f aca="false">IF(AC945&gt;Hypothèses!$J$26,MAX(0,BG945)/(1-Hypothèses!$J$26/AC945),0)</f>
        <v>1764.71165074146</v>
      </c>
    </row>
    <row r="946" customFormat="false" ht="15" hidden="false" customHeight="false" outlineLevel="0" collapsed="false">
      <c r="A946" s="2" t="n">
        <v>931</v>
      </c>
      <c r="B946" s="2" t="n">
        <v>0.536551713</v>
      </c>
      <c r="C946" s="2"/>
      <c r="D946" s="2" t="n">
        <v>0.963667233</v>
      </c>
      <c r="E946" s="2" t="n">
        <f aca="false">IF(E$7=E$5,E$6,IF(NORMSDIST(E$9*SQRT($C$11)*NORMSINV($B946)+SQRT(1-E$9^2*$C$11)*NORMSINV(D946))&lt;E$8,E$5+SQRT(NORMSDIST(E$9*SQRT($C$11)*NORMSINV($B946)+SQRT(1-E$9^2*$C$11)*NORMSINV(D946))*(E$7-E$5)*(E$6-E$5)),E$7-SQRT((1-NORMSDIST(E$9*SQRT($C$11)*NORMSINV($B946)+SQRT(1-E$9^2*$C$11)*NORMSINV(D946)))*(E$7-E$5)*(E$7-E$6))))</f>
        <v>0.0580796275154264</v>
      </c>
      <c r="F946" s="2" t="n">
        <v>0.113583895</v>
      </c>
      <c r="G946" s="2" t="n">
        <f aca="false">IF(G$7=G$5,G$6,IF(NORMSDIST(G$9*SQRT($C$11)*NORMSINV($B946)+SQRT(1-G$9^2*$C$11)*NORMSINV(F946))&lt;G$8,G$5+SQRT(NORMSDIST(G$9*SQRT($C$11)*NORMSINV($B946)+SQRT(1-G$9^2*$C$11)*NORMSINV(F946))*(G$7-G$5)*(G$6-G$5)),G$7-SQRT((1-NORMSDIST(G$9*SQRT($C$11)*NORMSINV($B946)+SQRT(1-G$9^2*$C$11)*NORMSINV(F946)))*(G$7-G$5)*(G$7-G$6))))</f>
        <v>0.0492496193607148</v>
      </c>
      <c r="H946" s="2" t="n">
        <v>0.353718241</v>
      </c>
      <c r="I946" s="2" t="n">
        <f aca="false">IF(I$7=I$5,I$6,IF(NORMSDIST(I$9*SQRT($C$11)*NORMSINV($B946)+SQRT(1-I$9^2*$C$11)*NORMSINV(H946))&lt;I$8,I$5+SQRT(NORMSDIST(I$9*SQRT($C$11)*NORMSINV($B946)+SQRT(1-I$9^2*$C$11)*NORMSINV(H946))*(I$7-I$5)*(I$6-I$5)),I$7-SQRT((1-NORMSDIST(I$9*SQRT($C$11)*NORMSINV($B946)+SQRT(1-I$9^2*$C$11)*NORMSINV(H946)))*(I$7-I$5)*(I$7-I$6))))</f>
        <v>198.066660325525</v>
      </c>
      <c r="J946" s="2" t="n">
        <v>0.626775841</v>
      </c>
      <c r="K946" s="2" t="n">
        <f aca="false">IF(K$7=K$5,K$6,IF(NORMSDIST(K$9*SQRT($C$11)*NORMSINV($B946)+SQRT(1-K$9^2*$C$11)*NORMSINV(J946))&lt;K$8,K$5+SQRT(NORMSDIST(K$9*SQRT($C$11)*NORMSINV($B946)+SQRT(1-K$9^2*$C$11)*NORMSINV(J946))*(K$7-K$5)*(K$6-K$5)),K$7-SQRT((1-NORMSDIST(K$9*SQRT($C$11)*NORMSINV($B946)+SQRT(1-K$9^2*$C$11)*NORMSINV(J946)))*(K$7-K$5)*(K$7-K$6))))</f>
        <v>0.282382101448137</v>
      </c>
      <c r="L946" s="2" t="n">
        <v>0.566763436</v>
      </c>
      <c r="M946" s="2" t="n">
        <f aca="false">IF(M$7=M$5,M$6,IF(NORMSDIST(M$9*SQRT($C$11)*NORMSINV($B946)+SQRT(1-M$9^2*$C$11)*NORMSINV(L946))&lt;M$8,M$5+SQRT(NORMSDIST(M$9*SQRT($C$11)*NORMSINV($B946)+SQRT(1-M$9^2*$C$11)*NORMSINV(L946))*(M$7-M$5)*(M$6-M$5)),M$7-SQRT((1-NORMSDIST(M$9*SQRT($C$11)*NORMSINV($B946)+SQRT(1-M$9^2*$C$11)*NORMSINV(L946)))*(M$7-M$5)*(M$7-M$6))))</f>
        <v>1605.6856773339</v>
      </c>
      <c r="N946" s="2" t="n">
        <v>0.850449585</v>
      </c>
      <c r="O946" s="2" t="n">
        <f aca="false">IF(O$7=O$5,O$6,IF(NORMSDIST(O$9*SQRT($C$11)*NORMSINV($B946)+SQRT(1-O$9^2*$C$11)*NORMSINV(N946))&lt;O$8,O$5+SQRT(NORMSDIST(O$9*SQRT($C$11)*NORMSINV($B946)+SQRT(1-O$9^2*$C$11)*NORMSINV(N946))*(O$7-O$5)*(O$6-O$5)),O$7-SQRT((1-NORMSDIST(O$9*SQRT($C$11)*NORMSINV($B946)+SQRT(1-O$9^2*$C$11)*NORMSINV(N946)))*(O$7-O$5)*(O$7-O$6))))</f>
        <v>0.175615579361915</v>
      </c>
      <c r="P946" s="2" t="n">
        <v>0.63102859</v>
      </c>
      <c r="Q946" s="2" t="n">
        <f aca="false">IF(Q$7=Q$5,Q$6,IF(NORMSDIST(Q$9*SQRT($C$11)*NORMSINV($B946)+SQRT(1-Q$9^2*$C$11)*NORMSINV(P946))&lt;Q$8,Q$5+SQRT(NORMSDIST(Q$9*SQRT($C$11)*NORMSINV($B946)+SQRT(1-Q$9^2*$C$11)*NORMSINV(P946))*(Q$7-Q$5)*(Q$6-Q$5)),Q$7-SQRT((1-NORMSDIST(Q$9*SQRT($C$11)*NORMSINV($B946)+SQRT(1-Q$9^2*$C$11)*NORMSINV(P946)))*(Q$7-Q$5)*(Q$7-Q$6))))</f>
        <v>0.0856385606820669</v>
      </c>
      <c r="R946" s="2" t="n">
        <v>0.742072222</v>
      </c>
      <c r="S946" s="2" t="n">
        <f aca="false">IF(S$7=S$5,S$6,IF(NORMSDIST(S$9*SQRT($C$11)*NORMSINV($B946)+SQRT(1-S$9^2*$C$11)*NORMSINV(R946))&lt;S$8,S$5+SQRT(NORMSDIST(S$9*SQRT($C$11)*NORMSINV($B946)+SQRT(1-S$9^2*$C$11)*NORMSINV(R946))*(S$7-S$5)*(S$6-S$5)),S$7-SQRT((1-NORMSDIST(S$9*SQRT($C$11)*NORMSINV($B946)+SQRT(1-S$9^2*$C$11)*NORMSINV(R946)))*(S$7-S$5)*(S$7-S$6))))</f>
        <v>0.620994885647183</v>
      </c>
      <c r="T946" s="2" t="n">
        <v>0.769319746</v>
      </c>
      <c r="U946" s="2" t="n">
        <f aca="false">IF(U$7=U$5,U$6,IF(NORMSDIST(U$9*SQRT($C$11)*NORMSINV($B946)+SQRT(1-U$9^2*$C$11)*NORMSINV(T946))&lt;U$8,U$5+SQRT(NORMSDIST(U$9*SQRT($C$11)*NORMSINV($B946)+SQRT(1-U$9^2*$C$11)*NORMSINV(T946))*(U$7-U$5)*(U$6-U$5)),U$7-SQRT((1-NORMSDIST(U$9*SQRT($C$11)*NORMSINV($B946)+SQRT(1-U$9^2*$C$11)*NORMSINV(T946)))*(U$7-U$5)*(U$7-U$6))))</f>
        <v>0.636128645831201</v>
      </c>
      <c r="V946" s="2" t="n">
        <v>0.351315804</v>
      </c>
      <c r="W946" s="2" t="n">
        <f aca="false">IF(W$7=W$5,W$6,IF(NORMSDIST(W$9*SQRT($C$11)*NORMSINV($B946)+SQRT(1-W$9^2*$C$11)*NORMSINV(V946))&lt;W$8,W$5+SQRT(NORMSDIST(W$9*SQRT($C$11)*NORMSINV($B946)+SQRT(1-W$9^2*$C$11)*NORMSINV(V946))*(W$7-W$5)*(W$6-W$5)),W$7-SQRT((1-NORMSDIST(W$9*SQRT($C$11)*NORMSINV($B946)+SQRT(1-W$9^2*$C$11)*NORMSINV(V946)))*(W$7-W$5)*(W$7-W$6))))</f>
        <v>9.80235548495362</v>
      </c>
      <c r="X946" s="2" t="n">
        <v>0.473612346</v>
      </c>
      <c r="Y946" s="2" t="n">
        <f aca="false">IF(Y$7=Y$5,Y$6,IF(NORMSDIST(Y$9*SQRT($C$11)*NORMSINV($B946)+SQRT(1-Y$9^2*$C$11)*NORMSINV(X946))&lt;Y$8,Y$5+SQRT(NORMSDIST(Y$9*SQRT($C$11)*NORMSINV($B946)+SQRT(1-Y$9^2*$C$11)*NORMSINV(X946))*(Y$7-Y$5)*(Y$6-Y$5)),Y$7-SQRT((1-NORMSDIST(Y$9*SQRT($C$11)*NORMSINV($B946)+SQRT(1-Y$9^2*$C$11)*NORMSINV(X946)))*(Y$7-Y$5)*(Y$7-Y$6))))</f>
        <v>0.486627345100951</v>
      </c>
      <c r="Z946" s="2" t="n">
        <v>0.30173229</v>
      </c>
      <c r="AA946" s="2" t="n">
        <f aca="false">IF(AA$7=AA$5,AA$6,IF(NORMSDIST(AA$9*SQRT($C$11)*NORMSINV($B946)+SQRT(1-AA$9^2*$C$11)*NORMSINV(Z946))&lt;AA$8,AA$5+SQRT(NORMSDIST(AA$9*SQRT($C$11)*NORMSINV($B946)+SQRT(1-AA$9^2*$C$11)*NORMSINV(Z946))*(AA$7-AA$5)*(AA$6-AA$5)),AA$7-SQRT((1-NORMSDIST(AA$9*SQRT($C$11)*NORMSINV($B946)+SQRT(1-AA$9^2*$C$11)*NORMSINV(Z946)))*(AA$7-AA$5)*(AA$7-AA$6))))</f>
        <v>0.723297222540298</v>
      </c>
      <c r="AB946" s="2" t="n">
        <v>0.579899841</v>
      </c>
      <c r="AC946" s="2" t="n">
        <f aca="false">IF(AC$7=AC$5,AC$6,IF(NORMSDIST(AC$9*SQRT($C$11)*NORMSINV($B946)+SQRT(1-AC$9^2*$C$11)*NORMSINV(AB946))&lt;AC$8,AC$5+SQRT(NORMSDIST(AC$9*SQRT($C$11)*NORMSINV($B946)+SQRT(1-AC$9^2*$C$11)*NORMSINV(AB946))*(AC$7-AC$5)*(AC$6-AC$5)),AC$7-SQRT((1-NORMSDIST(AC$9*SQRT($C$11)*NORMSINV($B946)+SQRT(1-AC$9^2*$C$11)*NORMSINV(AB946)))*(AC$7-AC$5)*(AC$7-AC$6))))</f>
        <v>9.64783504821308</v>
      </c>
      <c r="AD946" s="2" t="n">
        <f aca="false">Entrées!$C$8*(1+E946)</f>
        <v>7459.46137398376</v>
      </c>
      <c r="AE946" s="2" t="n">
        <f aca="false">I946*Hypothèses!$J$24/12/Hypothèses!$J$19</f>
        <v>98.2602362504851</v>
      </c>
      <c r="AF946" s="2" t="n">
        <f aca="false">Entrées!$C$36*S946*1000</f>
        <v>310.497442823591</v>
      </c>
      <c r="AG946" s="2" t="n">
        <f aca="false">-AF946/W946</f>
        <v>-31.6757990770889</v>
      </c>
      <c r="AH946" s="2" t="n">
        <f aca="false">AD946+AE946+AG946</f>
        <v>7526.04581115715</v>
      </c>
      <c r="AI946" s="2" t="n">
        <f aca="false">Entrées!$C$16-M946+Hypothèses!$J$22*1000-AF946+Hypothèses!$J$23</f>
        <v>22631.8168798425</v>
      </c>
      <c r="AJ946" s="2" t="n">
        <f aca="false">AI946/AH946</f>
        <v>3.00713248998451</v>
      </c>
      <c r="AK946" s="2" t="n">
        <f aca="false">AI946/(AH946+I946*(12-Hypothèses!$J$24)/12/Hypothèses!$J$19)</f>
        <v>2.9793478912897</v>
      </c>
      <c r="AL946" s="2" t="n">
        <f aca="false">(AD946+AG946+I946/Hypothèses!$J$19)*(1+G946)</f>
        <v>7970.34321370802</v>
      </c>
      <c r="AM946" s="2" t="n">
        <f aca="false">Entrées!$C$54*K946/Hypothèses!$J$19</f>
        <v>28.8182790986081</v>
      </c>
      <c r="AN946" s="2" t="n">
        <f aca="false">Y946*1000/AC946</f>
        <v>50.4390200152812</v>
      </c>
      <c r="AO946" s="2" t="n">
        <f aca="false">(Entrées!$C$36*(1-S946)+MAX(0,Entrées!$C$30-Entrées!$C$35-Entrées!$C$36)*U946)*1000</f>
        <v>1080.08266134009</v>
      </c>
      <c r="AP946" s="2" t="n">
        <f aca="false">-AO946/W946</f>
        <v>-110.186032632462</v>
      </c>
      <c r="AQ946" s="2" t="n">
        <f aca="false">AL946+AM946+AN946+AP946</f>
        <v>7939.41448018945</v>
      </c>
      <c r="AR946" s="2" t="n">
        <f aca="false">O946*AQ946-Hypothèses!$J$25/Hypothèses!$J$19</f>
        <v>1375.14971147122</v>
      </c>
      <c r="AS946" s="2" t="n">
        <f aca="false">Entrées!$C$79*(1+Q946)+Hypothèses!$J$20</f>
        <v>1488.11677818959</v>
      </c>
      <c r="AT946" s="2" t="n">
        <f aca="false">AI946-AR946+AS946+Y946*1000-AO946+Hypothèses!$J$23</f>
        <v>22151.3286303217</v>
      </c>
      <c r="AU946" s="2" t="n">
        <f aca="false">AT946/AQ946</f>
        <v>2.79004562434599</v>
      </c>
      <c r="AV946" s="2" t="n">
        <f aca="false">Hypothèses!$J$26*AQ946-AT946</f>
        <v>1666.91481024662</v>
      </c>
      <c r="AW946" s="2" t="n">
        <f aca="false">IF(AC946&gt;Hypothèses!$J$26,MAX(0,AV946)/(1-Hypothèses!$J$26/AC946),0)</f>
        <v>2419.15134958194</v>
      </c>
      <c r="AX946" s="2" t="n">
        <f aca="false">AQ946-Entrées!$C$17*1000</f>
        <v>-60.5855198105473</v>
      </c>
      <c r="AY946" s="2" t="n">
        <f aca="false">AI946+(Entrées!$C$244-Entrées!$C$13)</f>
        <v>28378.8168798425</v>
      </c>
      <c r="AZ946" s="2" t="n">
        <f aca="false">AA946*AH946</f>
        <v>5443.56803192101</v>
      </c>
      <c r="BA946" s="2" t="n">
        <f aca="false">AZ946/AY946</f>
        <v>0.191818004780445</v>
      </c>
      <c r="BB946" s="2" t="n">
        <f aca="false">AZ946/(Entrées!$C$151/100)-AY946</f>
        <v>1863.22774194089</v>
      </c>
      <c r="BC946" s="2" t="n">
        <f aca="false">AT946+(Entrées!$C$244-Entrées!$C$13)</f>
        <v>27898.3286303217</v>
      </c>
      <c r="BD946" s="2" t="n">
        <f aca="false">AA946*AQ946</f>
        <v>5742.55644211726</v>
      </c>
      <c r="BE946" s="2" t="n">
        <f aca="false">BD946/BC946</f>
        <v>0.205838726692604</v>
      </c>
      <c r="BF946" s="2" t="n">
        <f aca="false">BD946/(Entrées!$C$151/100)-BC946</f>
        <v>4004.76271477412</v>
      </c>
      <c r="BG946" s="2" t="n">
        <f aca="false">MIN(AV946,BF946)</f>
        <v>1666.91481024662</v>
      </c>
      <c r="BH946" s="2" t="n">
        <f aca="false">IF(AC946&gt;Hypothèses!$J$26,MAX(0,BG946)/(1-Hypothèses!$J$26/AC946),0)</f>
        <v>2419.15134958194</v>
      </c>
    </row>
    <row r="947" customFormat="false" ht="15" hidden="false" customHeight="false" outlineLevel="0" collapsed="false">
      <c r="A947" s="2" t="n">
        <v>932</v>
      </c>
      <c r="B947" s="2" t="n">
        <v>0.755713442</v>
      </c>
      <c r="C947" s="2"/>
      <c r="D947" s="2" t="n">
        <v>0.659858995</v>
      </c>
      <c r="E947" s="2" t="n">
        <f aca="false">IF(E$7=E$5,E$6,IF(NORMSDIST(E$9*SQRT($C$11)*NORMSINV($B947)+SQRT(1-E$9^2*$C$11)*NORMSINV(D947))&lt;E$8,E$5+SQRT(NORMSDIST(E$9*SQRT($C$11)*NORMSINV($B947)+SQRT(1-E$9^2*$C$11)*NORMSINV(D947))*(E$7-E$5)*(E$6-E$5)),E$7-SQRT((1-NORMSDIST(E$9*SQRT($C$11)*NORMSINV($B947)+SQRT(1-E$9^2*$C$11)*NORMSINV(D947)))*(E$7-E$5)*(E$7-E$6))))</f>
        <v>0.0566499339278779</v>
      </c>
      <c r="F947" s="2" t="n">
        <v>0.017519962</v>
      </c>
      <c r="G947" s="2" t="n">
        <f aca="false">IF(G$7=G$5,G$6,IF(NORMSDIST(G$9*SQRT($C$11)*NORMSINV($B947)+SQRT(1-G$9^2*$C$11)*NORMSINV(F947))&lt;G$8,G$5+SQRT(NORMSDIST(G$9*SQRT($C$11)*NORMSINV($B947)+SQRT(1-G$9^2*$C$11)*NORMSINV(F947))*(G$7-G$5)*(G$6-G$5)),G$7-SQRT((1-NORMSDIST(G$9*SQRT($C$11)*NORMSINV($B947)+SQRT(1-G$9^2*$C$11)*NORMSINV(F947)))*(G$7-G$5)*(G$7-G$6))))</f>
        <v>0.0472278709330955</v>
      </c>
      <c r="H947" s="2" t="n">
        <v>0.636541484</v>
      </c>
      <c r="I947" s="2" t="n">
        <f aca="false">IF(I$7=I$5,I$6,IF(NORMSDIST(I$9*SQRT($C$11)*NORMSINV($B947)+SQRT(1-I$9^2*$C$11)*NORMSINV(H947))&lt;I$8,I$5+SQRT(NORMSDIST(I$9*SQRT($C$11)*NORMSINV($B947)+SQRT(1-I$9^2*$C$11)*NORMSINV(H947))*(I$7-I$5)*(I$6-I$5)),I$7-SQRT((1-NORMSDIST(I$9*SQRT($C$11)*NORMSINV($B947)+SQRT(1-I$9^2*$C$11)*NORMSINV(H947)))*(I$7-I$5)*(I$7-I$6))))</f>
        <v>206.16365421013</v>
      </c>
      <c r="J947" s="2" t="n">
        <v>0.24924466</v>
      </c>
      <c r="K947" s="2" t="n">
        <f aca="false">IF(K$7=K$5,K$6,IF(NORMSDIST(K$9*SQRT($C$11)*NORMSINV($B947)+SQRT(1-K$9^2*$C$11)*NORMSINV(J947))&lt;K$8,K$5+SQRT(NORMSDIST(K$9*SQRT($C$11)*NORMSINV($B947)+SQRT(1-K$9^2*$C$11)*NORMSINV(J947))*(K$7-K$5)*(K$6-K$5)),K$7-SQRT((1-NORMSDIST(K$9*SQRT($C$11)*NORMSINV($B947)+SQRT(1-K$9^2*$C$11)*NORMSINV(J947)))*(K$7-K$5)*(K$7-K$6))))</f>
        <v>0.241253050465469</v>
      </c>
      <c r="L947" s="2" t="n">
        <v>0.844823078</v>
      </c>
      <c r="M947" s="2" t="n">
        <f aca="false">IF(M$7=M$5,M$6,IF(NORMSDIST(M$9*SQRT($C$11)*NORMSINV($B947)+SQRT(1-M$9^2*$C$11)*NORMSINV(L947))&lt;M$8,M$5+SQRT(NORMSDIST(M$9*SQRT($C$11)*NORMSINV($B947)+SQRT(1-M$9^2*$C$11)*NORMSINV(L947))*(M$7-M$5)*(M$6-M$5)),M$7-SQRT((1-NORMSDIST(M$9*SQRT($C$11)*NORMSINV($B947)+SQRT(1-M$9^2*$C$11)*NORMSINV(L947)))*(M$7-M$5)*(M$7-M$6))))</f>
        <v>1698.10586891729</v>
      </c>
      <c r="N947" s="2" t="n">
        <v>0.904929055</v>
      </c>
      <c r="O947" s="2" t="n">
        <f aca="false">IF(O$7=O$5,O$6,IF(NORMSDIST(O$9*SQRT($C$11)*NORMSINV($B947)+SQRT(1-O$9^2*$C$11)*NORMSINV(N947))&lt;O$8,O$5+SQRT(NORMSDIST(O$9*SQRT($C$11)*NORMSINV($B947)+SQRT(1-O$9^2*$C$11)*NORMSINV(N947))*(O$7-O$5)*(O$6-O$5)),O$7-SQRT((1-NORMSDIST(O$9*SQRT($C$11)*NORMSINV($B947)+SQRT(1-O$9^2*$C$11)*NORMSINV(N947)))*(O$7-O$5)*(O$7-O$6))))</f>
        <v>0.181174101951984</v>
      </c>
      <c r="P947" s="2" t="n">
        <v>0.073006904</v>
      </c>
      <c r="Q947" s="2" t="n">
        <f aca="false">IF(Q$7=Q$5,Q$6,IF(NORMSDIST(Q$9*SQRT($C$11)*NORMSINV($B947)+SQRT(1-Q$9^2*$C$11)*NORMSINV(P947))&lt;Q$8,Q$5+SQRT(NORMSDIST(Q$9*SQRT($C$11)*NORMSINV($B947)+SQRT(1-Q$9^2*$C$11)*NORMSINV(P947))*(Q$7-Q$5)*(Q$6-Q$5)),Q$7-SQRT((1-NORMSDIST(Q$9*SQRT($C$11)*NORMSINV($B947)+SQRT(1-Q$9^2*$C$11)*NORMSINV(P947)))*(Q$7-Q$5)*(Q$7-Q$6))))</f>
        <v>0.0552847012662989</v>
      </c>
      <c r="R947" s="2" t="n">
        <v>0.649750892</v>
      </c>
      <c r="S947" s="2" t="n">
        <f aca="false">IF(S$7=S$5,S$6,IF(NORMSDIST(S$9*SQRT($C$11)*NORMSINV($B947)+SQRT(1-S$9^2*$C$11)*NORMSINV(R947))&lt;S$8,S$5+SQRT(NORMSDIST(S$9*SQRT($C$11)*NORMSINV($B947)+SQRT(1-S$9^2*$C$11)*NORMSINV(R947))*(S$7-S$5)*(S$6-S$5)),S$7-SQRT((1-NORMSDIST(S$9*SQRT($C$11)*NORMSINV($B947)+SQRT(1-S$9^2*$C$11)*NORMSINV(R947)))*(S$7-S$5)*(S$7-S$6))))</f>
        <v>0.660240149298327</v>
      </c>
      <c r="T947" s="2" t="n">
        <v>0.275863574</v>
      </c>
      <c r="U947" s="2" t="n">
        <f aca="false">IF(U$7=U$5,U$6,IF(NORMSDIST(U$9*SQRT($C$11)*NORMSINV($B947)+SQRT(1-U$9^2*$C$11)*NORMSINV(T947))&lt;U$8,U$5+SQRT(NORMSDIST(U$9*SQRT($C$11)*NORMSINV($B947)+SQRT(1-U$9^2*$C$11)*NORMSINV(T947))*(U$7-U$5)*(U$6-U$5)),U$7-SQRT((1-NORMSDIST(U$9*SQRT($C$11)*NORMSINV($B947)+SQRT(1-U$9^2*$C$11)*NORMSINV(T947)))*(U$7-U$5)*(U$7-U$6))))</f>
        <v>0.495392592535683</v>
      </c>
      <c r="V947" s="2" t="n">
        <v>0.275138664</v>
      </c>
      <c r="W947" s="2" t="n">
        <f aca="false">IF(W$7=W$5,W$6,IF(NORMSDIST(W$9*SQRT($C$11)*NORMSINV($B947)+SQRT(1-W$9^2*$C$11)*NORMSINV(V947))&lt;W$8,W$5+SQRT(NORMSDIST(W$9*SQRT($C$11)*NORMSINV($B947)+SQRT(1-W$9^2*$C$11)*NORMSINV(V947))*(W$7-W$5)*(W$6-W$5)),W$7-SQRT((1-NORMSDIST(W$9*SQRT($C$11)*NORMSINV($B947)+SQRT(1-W$9^2*$C$11)*NORMSINV(V947)))*(W$7-W$5)*(W$7-W$6))))</f>
        <v>9.98021631430718</v>
      </c>
      <c r="X947" s="2" t="n">
        <v>0.87013696</v>
      </c>
      <c r="Y947" s="2" t="n">
        <f aca="false">IF(Y$7=Y$5,Y$6,IF(NORMSDIST(Y$9*SQRT($C$11)*NORMSINV($B947)+SQRT(1-Y$9^2*$C$11)*NORMSINV(X947))&lt;Y$8,Y$5+SQRT(NORMSDIST(Y$9*SQRT($C$11)*NORMSINV($B947)+SQRT(1-Y$9^2*$C$11)*NORMSINV(X947))*(Y$7-Y$5)*(Y$6-Y$5)),Y$7-SQRT((1-NORMSDIST(Y$9*SQRT($C$11)*NORMSINV($B947)+SQRT(1-Y$9^2*$C$11)*NORMSINV(X947)))*(Y$7-Y$5)*(Y$7-Y$6))))</f>
        <v>0.745183360040989</v>
      </c>
      <c r="Z947" s="2" t="n">
        <v>0.17898764</v>
      </c>
      <c r="AA947" s="2" t="n">
        <f aca="false">IF(AA$7=AA$5,AA$6,IF(NORMSDIST(AA$9*SQRT($C$11)*NORMSINV($B947)+SQRT(1-AA$9^2*$C$11)*NORMSINV(Z947))&lt;AA$8,AA$5+SQRT(NORMSDIST(AA$9*SQRT($C$11)*NORMSINV($B947)+SQRT(1-AA$9^2*$C$11)*NORMSINV(Z947))*(AA$7-AA$5)*(AA$6-AA$5)),AA$7-SQRT((1-NORMSDIST(AA$9*SQRT($C$11)*NORMSINV($B947)+SQRT(1-AA$9^2*$C$11)*NORMSINV(Z947)))*(AA$7-AA$5)*(AA$7-AA$6))))</f>
        <v>0.724302973263652</v>
      </c>
      <c r="AB947" s="2" t="n">
        <v>0.499583952</v>
      </c>
      <c r="AC947" s="2" t="n">
        <f aca="false">IF(AC$7=AC$5,AC$6,IF(NORMSDIST(AC$9*SQRT($C$11)*NORMSINV($B947)+SQRT(1-AC$9^2*$C$11)*NORMSINV(AB947))&lt;AC$8,AC$5+SQRT(NORMSDIST(AC$9*SQRT($C$11)*NORMSINV($B947)+SQRT(1-AC$9^2*$C$11)*NORMSINV(AB947))*(AC$7-AC$5)*(AC$6-AC$5)),AC$7-SQRT((1-NORMSDIST(AC$9*SQRT($C$11)*NORMSINV($B947)+SQRT(1-AC$9^2*$C$11)*NORMSINV(AB947)))*(AC$7-AC$5)*(AC$7-AC$6))))</f>
        <v>9.80424978469904</v>
      </c>
      <c r="AD947" s="2" t="n">
        <f aca="false">Entrées!$C$8*(1+E947)</f>
        <v>7449.38203419154</v>
      </c>
      <c r="AE947" s="2" t="n">
        <f aca="false">I947*Hypothèses!$J$24/12/Hypothèses!$J$19</f>
        <v>102.2771290012</v>
      </c>
      <c r="AF947" s="2" t="n">
        <f aca="false">Entrées!$C$36*S947*1000</f>
        <v>330.120074649164</v>
      </c>
      <c r="AG947" s="2" t="n">
        <f aca="false">-AF947/W947</f>
        <v>-33.0774468461088</v>
      </c>
      <c r="AH947" s="2" t="n">
        <f aca="false">AD947+AE947+AG947</f>
        <v>7518.58171634663</v>
      </c>
      <c r="AI947" s="2" t="n">
        <f aca="false">Entrées!$C$16-M947+Hypothèses!$J$22*1000-AF947+Hypothèses!$J$23</f>
        <v>22519.7740564336</v>
      </c>
      <c r="AJ947" s="2" t="n">
        <f aca="false">AI947/AH947</f>
        <v>2.99521570770081</v>
      </c>
      <c r="AK947" s="2" t="n">
        <f aca="false">AI947/(AH947+I947*(12-Hypothèses!$J$24)/12/Hypothèses!$J$19)</f>
        <v>2.96639244270061</v>
      </c>
      <c r="AL947" s="2" t="n">
        <f aca="false">(AD947+AG947+I947/Hypothèses!$J$19)*(1+G947)</f>
        <v>7950.17365185267</v>
      </c>
      <c r="AM947" s="2" t="n">
        <f aca="false">Entrées!$C$54*K947/Hypothèses!$J$19</f>
        <v>24.6208867561013</v>
      </c>
      <c r="AN947" s="2" t="n">
        <f aca="false">Y947*1000/AC947</f>
        <v>76.00615818703</v>
      </c>
      <c r="AO947" s="2" t="n">
        <f aca="false">(Entrées!$C$36*(1-S947)+MAX(0,Entrées!$C$30-Entrées!$C$35-Entrées!$C$36)*U947)*1000</f>
        <v>863.429554900793</v>
      </c>
      <c r="AP947" s="2" t="n">
        <f aca="false">-AO947/W947</f>
        <v>-86.5141122906344</v>
      </c>
      <c r="AQ947" s="2" t="n">
        <f aca="false">AL947+AM947+AN947+AP947</f>
        <v>7964.28658450516</v>
      </c>
      <c r="AR947" s="2" t="n">
        <f aca="false">O947*AQ947-Hypothèses!$J$25/Hypothèses!$J$19</f>
        <v>1423.78730737433</v>
      </c>
      <c r="AS947" s="2" t="n">
        <f aca="false">Entrées!$C$79*(1+Q947)+Hypothèses!$J$20</f>
        <v>1454.75788669166</v>
      </c>
      <c r="AT947" s="2" t="n">
        <f aca="false">AI947-AR947+AS947+Y947*1000-AO947+Hypothèses!$J$23</f>
        <v>22432.4984408911</v>
      </c>
      <c r="AU947" s="2" t="n">
        <f aca="false">AT947/AQ947</f>
        <v>2.81663626777751</v>
      </c>
      <c r="AV947" s="2" t="n">
        <f aca="false">Hypothèses!$J$26*AQ947-AT947</f>
        <v>1460.36131262441</v>
      </c>
      <c r="AW947" s="2" t="n">
        <f aca="false">IF(AC947&gt;Hypothèses!$J$26,MAX(0,AV947)/(1-Hypothèses!$J$26/AC947),0)</f>
        <v>2104.23596104269</v>
      </c>
      <c r="AX947" s="2" t="n">
        <f aca="false">AQ947-Entrées!$C$17*1000</f>
        <v>-35.713415494838</v>
      </c>
      <c r="AY947" s="2" t="n">
        <f aca="false">AI947+(Entrées!$C$244-Entrées!$C$13)</f>
        <v>28266.7740564336</v>
      </c>
      <c r="AZ947" s="2" t="n">
        <f aca="false">AA947*AH947</f>
        <v>5445.7310918756</v>
      </c>
      <c r="BA947" s="2" t="n">
        <f aca="false">AZ947/AY947</f>
        <v>0.192654849152698</v>
      </c>
      <c r="BB947" s="2" t="n">
        <f aca="false">AZ947/(Entrées!$C$151/100)-AY947</f>
        <v>1987.28756509753</v>
      </c>
      <c r="BC947" s="2" t="n">
        <f aca="false">AT947+(Entrées!$C$244-Entrées!$C$13)</f>
        <v>28179.4984408911</v>
      </c>
      <c r="BD947" s="2" t="n">
        <f aca="false">AA947*AQ947</f>
        <v>5768.5564530809</v>
      </c>
      <c r="BE947" s="2" t="n">
        <f aca="false">BD947/BC947</f>
        <v>0.204707563024266</v>
      </c>
      <c r="BF947" s="2" t="n">
        <f aca="false">BD947/(Entrées!$C$151/100)-BC947</f>
        <v>3868.03740955839</v>
      </c>
      <c r="BG947" s="2" t="n">
        <f aca="false">MIN(AV947,BF947)</f>
        <v>1460.36131262441</v>
      </c>
      <c r="BH947" s="2" t="n">
        <f aca="false">IF(AC947&gt;Hypothèses!$J$26,MAX(0,BG947)/(1-Hypothèses!$J$26/AC947),0)</f>
        <v>2104.23596104269</v>
      </c>
    </row>
    <row r="948" customFormat="false" ht="15" hidden="false" customHeight="false" outlineLevel="0" collapsed="false">
      <c r="A948" s="2" t="n">
        <v>933</v>
      </c>
      <c r="B948" s="2" t="n">
        <v>0.875974439</v>
      </c>
      <c r="C948" s="2"/>
      <c r="D948" s="2" t="n">
        <v>0.219735534</v>
      </c>
      <c r="E948" s="2" t="n">
        <f aca="false">IF(E$7=E$5,E$6,IF(NORMSDIST(E$9*SQRT($C$11)*NORMSINV($B948)+SQRT(1-E$9^2*$C$11)*NORMSINV(D948))&lt;E$8,E$5+SQRT(NORMSDIST(E$9*SQRT($C$11)*NORMSINV($B948)+SQRT(1-E$9^2*$C$11)*NORMSINV(D948))*(E$7-E$5)*(E$6-E$5)),E$7-SQRT((1-NORMSDIST(E$9*SQRT($C$11)*NORMSINV($B948)+SQRT(1-E$9^2*$C$11)*NORMSINV(D948)))*(E$7-E$5)*(E$7-E$6))))</f>
        <v>0.0552692268944092</v>
      </c>
      <c r="F948" s="2" t="n">
        <v>0.087240152</v>
      </c>
      <c r="G948" s="2" t="n">
        <f aca="false">IF(G$7=G$5,G$6,IF(NORMSDIST(G$9*SQRT($C$11)*NORMSINV($B948)+SQRT(1-G$9^2*$C$11)*NORMSINV(F948))&lt;G$8,G$5+SQRT(NORMSDIST(G$9*SQRT($C$11)*NORMSINV($B948)+SQRT(1-G$9^2*$C$11)*NORMSINV(F948))*(G$7-G$5)*(G$6-G$5)),G$7-SQRT((1-NORMSDIST(G$9*SQRT($C$11)*NORMSINV($B948)+SQRT(1-G$9^2*$C$11)*NORMSINV(F948)))*(G$7-G$5)*(G$7-G$6))))</f>
        <v>0.0529728044001731</v>
      </c>
      <c r="H948" s="2" t="n">
        <v>0.133512307</v>
      </c>
      <c r="I948" s="2" t="n">
        <f aca="false">IF(I$7=I$5,I$6,IF(NORMSDIST(I$9*SQRT($C$11)*NORMSINV($B948)+SQRT(1-I$9^2*$C$11)*NORMSINV(H948))&lt;I$8,I$5+SQRT(NORMSDIST(I$9*SQRT($C$11)*NORMSINV($B948)+SQRT(1-I$9^2*$C$11)*NORMSINV(H948))*(I$7-I$5)*(I$6-I$5)),I$7-SQRT((1-NORMSDIST(I$9*SQRT($C$11)*NORMSINV($B948)+SQRT(1-I$9^2*$C$11)*NORMSINV(H948)))*(I$7-I$5)*(I$7-I$6))))</f>
        <v>198.944042951483</v>
      </c>
      <c r="J948" s="2" t="n">
        <v>0.618945713</v>
      </c>
      <c r="K948" s="2" t="n">
        <f aca="false">IF(K$7=K$5,K$6,IF(NORMSDIST(K$9*SQRT($C$11)*NORMSINV($B948)+SQRT(1-K$9^2*$C$11)*NORMSINV(J948))&lt;K$8,K$5+SQRT(NORMSDIST(K$9*SQRT($C$11)*NORMSINV($B948)+SQRT(1-K$9^2*$C$11)*NORMSINV(J948))*(K$7-K$5)*(K$6-K$5)),K$7-SQRT((1-NORMSDIST(K$9*SQRT($C$11)*NORMSINV($B948)+SQRT(1-K$9^2*$C$11)*NORMSINV(J948)))*(K$7-K$5)*(K$7-K$6))))</f>
        <v>0.355403337634355</v>
      </c>
      <c r="L948" s="2" t="n">
        <v>0.48914278</v>
      </c>
      <c r="M948" s="2" t="n">
        <f aca="false">IF(M$7=M$5,M$6,IF(NORMSDIST(M$9*SQRT($C$11)*NORMSINV($B948)+SQRT(1-M$9^2*$C$11)*NORMSINV(L948))&lt;M$8,M$5+SQRT(NORMSDIST(M$9*SQRT($C$11)*NORMSINV($B948)+SQRT(1-M$9^2*$C$11)*NORMSINV(L948))*(M$7-M$5)*(M$6-M$5)),M$7-SQRT((1-NORMSDIST(M$9*SQRT($C$11)*NORMSINV($B948)+SQRT(1-M$9^2*$C$11)*NORMSINV(L948)))*(M$7-M$5)*(M$7-M$6))))</f>
        <v>1653.95772051513</v>
      </c>
      <c r="N948" s="2" t="n">
        <v>0.747893616</v>
      </c>
      <c r="O948" s="2" t="n">
        <f aca="false">IF(O$7=O$5,O$6,IF(NORMSDIST(O$9*SQRT($C$11)*NORMSINV($B948)+SQRT(1-O$9^2*$C$11)*NORMSINV(N948))&lt;O$8,O$5+SQRT(NORMSDIST(O$9*SQRT($C$11)*NORMSINV($B948)+SQRT(1-O$9^2*$C$11)*NORMSINV(N948))*(O$7-O$5)*(O$6-O$5)),O$7-SQRT((1-NORMSDIST(O$9*SQRT($C$11)*NORMSINV($B948)+SQRT(1-O$9^2*$C$11)*NORMSINV(N948)))*(O$7-O$5)*(O$7-O$6))))</f>
        <v>0.179372255509053</v>
      </c>
      <c r="P948" s="2" t="n">
        <v>0.079013034</v>
      </c>
      <c r="Q948" s="2" t="n">
        <f aca="false">IF(Q$7=Q$5,Q$6,IF(NORMSDIST(Q$9*SQRT($C$11)*NORMSINV($B948)+SQRT(1-Q$9^2*$C$11)*NORMSINV(P948))&lt;Q$8,Q$5+SQRT(NORMSDIST(Q$9*SQRT($C$11)*NORMSINV($B948)+SQRT(1-Q$9^2*$C$11)*NORMSINV(P948))*(Q$7-Q$5)*(Q$6-Q$5)),Q$7-SQRT((1-NORMSDIST(Q$9*SQRT($C$11)*NORMSINV($B948)+SQRT(1-Q$9^2*$C$11)*NORMSINV(P948)))*(Q$7-Q$5)*(Q$7-Q$6))))</f>
        <v>0.055900997100811</v>
      </c>
      <c r="R948" s="2" t="n">
        <v>0.629038057</v>
      </c>
      <c r="S948" s="2" t="n">
        <f aca="false">IF(S$7=S$5,S$6,IF(NORMSDIST(S$9*SQRT($C$11)*NORMSINV($B948)+SQRT(1-S$9^2*$C$11)*NORMSINV(R948))&lt;S$8,S$5+SQRT(NORMSDIST(S$9*SQRT($C$11)*NORMSINV($B948)+SQRT(1-S$9^2*$C$11)*NORMSINV(R948))*(S$7-S$5)*(S$6-S$5)),S$7-SQRT((1-NORMSDIST(S$9*SQRT($C$11)*NORMSINV($B948)+SQRT(1-S$9^2*$C$11)*NORMSINV(R948)))*(S$7-S$5)*(S$7-S$6))))</f>
        <v>0.715256113159809</v>
      </c>
      <c r="T948" s="2" t="n">
        <v>0.340408743</v>
      </c>
      <c r="U948" s="2" t="n">
        <f aca="false">IF(U$7=U$5,U$6,IF(NORMSDIST(U$9*SQRT($C$11)*NORMSINV($B948)+SQRT(1-U$9^2*$C$11)*NORMSINV(T948))&lt;U$8,U$5+SQRT(NORMSDIST(U$9*SQRT($C$11)*NORMSINV($B948)+SQRT(1-U$9^2*$C$11)*NORMSINV(T948))*(U$7-U$5)*(U$6-U$5)),U$7-SQRT((1-NORMSDIST(U$9*SQRT($C$11)*NORMSINV($B948)+SQRT(1-U$9^2*$C$11)*NORMSINV(T948)))*(U$7-U$5)*(U$7-U$6))))</f>
        <v>0.587568368531648</v>
      </c>
      <c r="V948" s="2" t="n">
        <v>0.346340224</v>
      </c>
      <c r="W948" s="2" t="n">
        <f aca="false">IF(W$7=W$5,W$6,IF(NORMSDIST(W$9*SQRT($C$11)*NORMSINV($B948)+SQRT(1-W$9^2*$C$11)*NORMSINV(V948))&lt;W$8,W$5+SQRT(NORMSDIST(W$9*SQRT($C$11)*NORMSINV($B948)+SQRT(1-W$9^2*$C$11)*NORMSINV(V948))*(W$7-W$5)*(W$6-W$5)),W$7-SQRT((1-NORMSDIST(W$9*SQRT($C$11)*NORMSINV($B948)+SQRT(1-W$9^2*$C$11)*NORMSINV(V948)))*(W$7-W$5)*(W$7-W$6))))</f>
        <v>10.361383086253</v>
      </c>
      <c r="X948" s="2" t="n">
        <v>0.201157954</v>
      </c>
      <c r="Y948" s="2" t="n">
        <f aca="false">IF(Y$7=Y$5,Y$6,IF(NORMSDIST(Y$9*SQRT($C$11)*NORMSINV($B948)+SQRT(1-Y$9^2*$C$11)*NORMSINV(X948))&lt;Y$8,Y$5+SQRT(NORMSDIST(Y$9*SQRT($C$11)*NORMSINV($B948)+SQRT(1-Y$9^2*$C$11)*NORMSINV(X948))*(Y$7-Y$5)*(Y$6-Y$5)),Y$7-SQRT((1-NORMSDIST(Y$9*SQRT($C$11)*NORMSINV($B948)+SQRT(1-Y$9^2*$C$11)*NORMSINV(X948)))*(Y$7-Y$5)*(Y$7-Y$6))))</f>
        <v>0.317141887804181</v>
      </c>
      <c r="Z948" s="2" t="n">
        <v>0.320239808</v>
      </c>
      <c r="AA948" s="2" t="n">
        <f aca="false">IF(AA$7=AA$5,AA$6,IF(NORMSDIST(AA$9*SQRT($C$11)*NORMSINV($B948)+SQRT(1-AA$9^2*$C$11)*NORMSINV(Z948))&lt;AA$8,AA$5+SQRT(NORMSDIST(AA$9*SQRT($C$11)*NORMSINV($B948)+SQRT(1-AA$9^2*$C$11)*NORMSINV(Z948))*(AA$7-AA$5)*(AA$6-AA$5)),AA$7-SQRT((1-NORMSDIST(AA$9*SQRT($C$11)*NORMSINV($B948)+SQRT(1-AA$9^2*$C$11)*NORMSINV(Z948)))*(AA$7-AA$5)*(AA$7-AA$6))))</f>
        <v>0.732474089522991</v>
      </c>
      <c r="AB948" s="2" t="n">
        <v>0.295560061</v>
      </c>
      <c r="AC948" s="2" t="n">
        <f aca="false">IF(AC$7=AC$5,AC$6,IF(NORMSDIST(AC$9*SQRT($C$11)*NORMSINV($B948)+SQRT(1-AC$9^2*$C$11)*NORMSINV(AB948))&lt;AC$8,AC$5+SQRT(NORMSDIST(AC$9*SQRT($C$11)*NORMSINV($B948)+SQRT(1-AC$9^2*$C$11)*NORMSINV(AB948))*(AC$7-AC$5)*(AC$6-AC$5)),AC$7-SQRT((1-NORMSDIST(AC$9*SQRT($C$11)*NORMSINV($B948)+SQRT(1-AC$9^2*$C$11)*NORMSINV(AB948)))*(AC$7-AC$5)*(AC$7-AC$6))))</f>
        <v>9.72081386731228</v>
      </c>
      <c r="AD948" s="2" t="n">
        <f aca="false">Entrées!$C$8*(1+E948)</f>
        <v>7439.64804960558</v>
      </c>
      <c r="AE948" s="2" t="n">
        <f aca="false">I948*Hypothèses!$J$24/12/Hypothèses!$J$19</f>
        <v>98.6955029630503</v>
      </c>
      <c r="AF948" s="2" t="n">
        <f aca="false">Entrées!$C$36*S948*1000</f>
        <v>357.628056579905</v>
      </c>
      <c r="AG948" s="2" t="n">
        <f aca="false">-AF948/W948</f>
        <v>-34.5154747781103</v>
      </c>
      <c r="AH948" s="2" t="n">
        <f aca="false">AD948+AE948+AG948</f>
        <v>7503.82807779052</v>
      </c>
      <c r="AI948" s="2" t="n">
        <f aca="false">Entrées!$C$16-M948+Hypothèses!$J$22*1000-AF948+Hypothèses!$J$23</f>
        <v>22536.414222905</v>
      </c>
      <c r="AJ948" s="2" t="n">
        <f aca="false">AI948/AH948</f>
        <v>3.00332230286661</v>
      </c>
      <c r="AK948" s="2" t="n">
        <f aca="false">AI948/(AH948+I948*(12-Hypothèses!$J$24)/12/Hypothèses!$J$19)</f>
        <v>2.97536937254888</v>
      </c>
      <c r="AL948" s="2" t="n">
        <f aca="false">(AD948+AG948+I948/Hypothèses!$J$19)*(1+G948)</f>
        <v>7975.5580951912</v>
      </c>
      <c r="AM948" s="2" t="n">
        <f aca="false">Entrées!$C$54*K948/Hypothèses!$J$19</f>
        <v>36.2704028477697</v>
      </c>
      <c r="AN948" s="2" t="n">
        <f aca="false">Y948*1000/AC948</f>
        <v>32.6250345015472</v>
      </c>
      <c r="AO948" s="2" t="n">
        <f aca="false">(Entrées!$C$36*(1-S948)+MAX(0,Entrées!$C$30-Entrées!$C$35-Entrées!$C$36)*U948)*1000</f>
        <v>964.967659364403</v>
      </c>
      <c r="AP948" s="2" t="n">
        <f aca="false">-AO948/W948</f>
        <v>-93.1311632174547</v>
      </c>
      <c r="AQ948" s="2" t="n">
        <f aca="false">AL948+AM948+AN948+AP948</f>
        <v>7951.32236932306</v>
      </c>
      <c r="AR948" s="2" t="n">
        <f aca="false">O948*AQ948-Hypothèses!$J$25/Hypothèses!$J$19</f>
        <v>1407.11146540344</v>
      </c>
      <c r="AS948" s="2" t="n">
        <f aca="false">Entrées!$C$79*(1+Q948)+Hypothèses!$J$20</f>
        <v>1455.43519581379</v>
      </c>
      <c r="AT948" s="2" t="n">
        <f aca="false">AI948-AR948+AS948+Y948*1000-AO948+Hypothèses!$J$23</f>
        <v>21936.9121817551</v>
      </c>
      <c r="AU948" s="2" t="n">
        <f aca="false">AT948/AQ948</f>
        <v>2.75890111893711</v>
      </c>
      <c r="AV948" s="2" t="n">
        <f aca="false">Hypothèses!$J$26*AQ948-AT948</f>
        <v>1917.05492621408</v>
      </c>
      <c r="AW948" s="2" t="n">
        <f aca="false">IF(AC948&gt;Hypothèses!$J$26,MAX(0,AV948)/(1-Hypothèses!$J$26/AC948),0)</f>
        <v>2772.77938045227</v>
      </c>
      <c r="AX948" s="2" t="n">
        <f aca="false">AQ948-Entrées!$C$17*1000</f>
        <v>-48.6776306769407</v>
      </c>
      <c r="AY948" s="2" t="n">
        <f aca="false">AI948+(Entrées!$C$244-Entrées!$C$13)</f>
        <v>28283.414222905</v>
      </c>
      <c r="AZ948" s="2" t="n">
        <f aca="false">AA948*AH948</f>
        <v>5496.35963921667</v>
      </c>
      <c r="BA948" s="2" t="n">
        <f aca="false">AZ948/AY948</f>
        <v>0.194331546958907</v>
      </c>
      <c r="BB948" s="2" t="n">
        <f aca="false">AZ948/(Entrées!$C$151/100)-AY948</f>
        <v>2251.91710607652</v>
      </c>
      <c r="BC948" s="2" t="n">
        <f aca="false">AT948+(Entrées!$C$244-Entrées!$C$13)</f>
        <v>27683.9121817551</v>
      </c>
      <c r="BD948" s="2" t="n">
        <f aca="false">AA948*AQ948</f>
        <v>5824.1376129737</v>
      </c>
      <c r="BE948" s="2" t="n">
        <f aca="false">BD948/BC948</f>
        <v>0.210379861586617</v>
      </c>
      <c r="BF948" s="2" t="n">
        <f aca="false">BD948/(Entrées!$C$151/100)-BC948</f>
        <v>4672.407890321</v>
      </c>
      <c r="BG948" s="2" t="n">
        <f aca="false">MIN(AV948,BF948)</f>
        <v>1917.05492621408</v>
      </c>
      <c r="BH948" s="2" t="n">
        <f aca="false">IF(AC948&gt;Hypothèses!$J$26,MAX(0,BG948)/(1-Hypothèses!$J$26/AC948),0)</f>
        <v>2772.77938045227</v>
      </c>
    </row>
    <row r="949" customFormat="false" ht="15" hidden="false" customHeight="false" outlineLevel="0" collapsed="false">
      <c r="A949" s="2" t="n">
        <v>934</v>
      </c>
      <c r="B949" s="2" t="n">
        <v>0.022231726</v>
      </c>
      <c r="C949" s="2"/>
      <c r="D949" s="2" t="n">
        <v>0.518576382</v>
      </c>
      <c r="E949" s="2" t="n">
        <f aca="false">IF(E$7=E$5,E$6,IF(NORMSDIST(E$9*SQRT($C$11)*NORMSINV($B949)+SQRT(1-E$9^2*$C$11)*NORMSINV(D949))&lt;E$8,E$5+SQRT(NORMSDIST(E$9*SQRT($C$11)*NORMSINV($B949)+SQRT(1-E$9^2*$C$11)*NORMSINV(D949))*(E$7-E$5)*(E$6-E$5)),E$7-SQRT((1-NORMSDIST(E$9*SQRT($C$11)*NORMSINV($B949)+SQRT(1-E$9^2*$C$11)*NORMSINV(D949)))*(E$7-E$5)*(E$7-E$6))))</f>
        <v>0.0523283301387347</v>
      </c>
      <c r="F949" s="2" t="n">
        <v>0.258127617</v>
      </c>
      <c r="G949" s="2" t="n">
        <f aca="false">IF(G$7=G$5,G$6,IF(NORMSDIST(G$9*SQRT($C$11)*NORMSINV($B949)+SQRT(1-G$9^2*$C$11)*NORMSINV(F949))&lt;G$8,G$5+SQRT(NORMSDIST(G$9*SQRT($C$11)*NORMSINV($B949)+SQRT(1-G$9^2*$C$11)*NORMSINV(F949))*(G$7-G$5)*(G$6-G$5)),G$7-SQRT((1-NORMSDIST(G$9*SQRT($C$11)*NORMSINV($B949)+SQRT(1-G$9^2*$C$11)*NORMSINV(F949)))*(G$7-G$5)*(G$7-G$6))))</f>
        <v>0.0441375811257038</v>
      </c>
      <c r="H949" s="2" t="n">
        <v>0.844475252</v>
      </c>
      <c r="I949" s="2" t="n">
        <f aca="false">IF(I$7=I$5,I$6,IF(NORMSDIST(I$9*SQRT($C$11)*NORMSINV($B949)+SQRT(1-I$9^2*$C$11)*NORMSINV(H949))&lt;I$8,I$5+SQRT(NORMSDIST(I$9*SQRT($C$11)*NORMSINV($B949)+SQRT(1-I$9^2*$C$11)*NORMSINV(H949))*(I$7-I$5)*(I$6-I$5)),I$7-SQRT((1-NORMSDIST(I$9*SQRT($C$11)*NORMSINV($B949)+SQRT(1-I$9^2*$C$11)*NORMSINV(H949)))*(I$7-I$5)*(I$7-I$6))))</f>
        <v>195.833035573948</v>
      </c>
      <c r="J949" s="2" t="n">
        <v>0.763749688</v>
      </c>
      <c r="K949" s="2" t="n">
        <f aca="false">IF(K$7=K$5,K$6,IF(NORMSDIST(K$9*SQRT($C$11)*NORMSINV($B949)+SQRT(1-K$9^2*$C$11)*NORMSINV(J949))&lt;K$8,K$5+SQRT(NORMSDIST(K$9*SQRT($C$11)*NORMSINV($B949)+SQRT(1-K$9^2*$C$11)*NORMSINV(J949))*(K$7-K$5)*(K$6-K$5)),K$7-SQRT((1-NORMSDIST(K$9*SQRT($C$11)*NORMSINV($B949)+SQRT(1-K$9^2*$C$11)*NORMSINV(J949)))*(K$7-K$5)*(K$7-K$6))))</f>
        <v>0.172279020347531</v>
      </c>
      <c r="L949" s="2" t="n">
        <v>0.763304969</v>
      </c>
      <c r="M949" s="2" t="n">
        <f aca="false">IF(M$7=M$5,M$6,IF(NORMSDIST(M$9*SQRT($C$11)*NORMSINV($B949)+SQRT(1-M$9^2*$C$11)*NORMSINV(L949))&lt;M$8,M$5+SQRT(NORMSDIST(M$9*SQRT($C$11)*NORMSINV($B949)+SQRT(1-M$9^2*$C$11)*NORMSINV(L949))*(M$7-M$5)*(M$6-M$5)),M$7-SQRT((1-NORMSDIST(M$9*SQRT($C$11)*NORMSINV($B949)+SQRT(1-M$9^2*$C$11)*NORMSINV(L949)))*(M$7-M$5)*(M$7-M$6))))</f>
        <v>1497.49348954402</v>
      </c>
      <c r="N949" s="2" t="n">
        <v>0.469445476</v>
      </c>
      <c r="O949" s="2" t="n">
        <f aca="false">IF(O$7=O$5,O$6,IF(NORMSDIST(O$9*SQRT($C$11)*NORMSINV($B949)+SQRT(1-O$9^2*$C$11)*NORMSINV(N949))&lt;O$8,O$5+SQRT(NORMSDIST(O$9*SQRT($C$11)*NORMSINV($B949)+SQRT(1-O$9^2*$C$11)*NORMSINV(N949))*(O$7-O$5)*(O$6-O$5)),O$7-SQRT((1-NORMSDIST(O$9*SQRT($C$11)*NORMSINV($B949)+SQRT(1-O$9^2*$C$11)*NORMSINV(N949)))*(O$7-O$5)*(O$7-O$6))))</f>
        <v>0.151469825887936</v>
      </c>
      <c r="P949" s="2" t="n">
        <v>0.685744922</v>
      </c>
      <c r="Q949" s="2" t="n">
        <f aca="false">IF(Q$7=Q$5,Q$6,IF(NORMSDIST(Q$9*SQRT($C$11)*NORMSINV($B949)+SQRT(1-Q$9^2*$C$11)*NORMSINV(P949))&lt;Q$8,Q$5+SQRT(NORMSDIST(Q$9*SQRT($C$11)*NORMSINV($B949)+SQRT(1-Q$9^2*$C$11)*NORMSINV(P949))*(Q$7-Q$5)*(Q$6-Q$5)),Q$7-SQRT((1-NORMSDIST(Q$9*SQRT($C$11)*NORMSINV($B949)+SQRT(1-Q$9^2*$C$11)*NORMSINV(P949)))*(Q$7-Q$5)*(Q$7-Q$6))))</f>
        <v>0.088288547027927</v>
      </c>
      <c r="R949" s="2" t="n">
        <v>0.591833055</v>
      </c>
      <c r="S949" s="2" t="n">
        <f aca="false">IF(S$7=S$5,S$6,IF(NORMSDIST(S$9*SQRT($C$11)*NORMSINV($B949)+SQRT(1-S$9^2*$C$11)*NORMSINV(R949))&lt;S$8,S$5+SQRT(NORMSDIST(S$9*SQRT($C$11)*NORMSINV($B949)+SQRT(1-S$9^2*$C$11)*NORMSINV(R949))*(S$7-S$5)*(S$6-S$5)),S$7-SQRT((1-NORMSDIST(S$9*SQRT($C$11)*NORMSINV($B949)+SQRT(1-S$9^2*$C$11)*NORMSINV(R949)))*(S$7-S$5)*(S$7-S$6))))</f>
        <v>0.262304411392926</v>
      </c>
      <c r="T949" s="2" t="n">
        <v>0.7747653</v>
      </c>
      <c r="U949" s="2" t="n">
        <f aca="false">IF(U$7=U$5,U$6,IF(NORMSDIST(U$9*SQRT($C$11)*NORMSINV($B949)+SQRT(1-U$9^2*$C$11)*NORMSINV(T949))&lt;U$8,U$5+SQRT(NORMSDIST(U$9*SQRT($C$11)*NORMSINV($B949)+SQRT(1-U$9^2*$C$11)*NORMSINV(T949))*(U$7-U$5)*(U$6-U$5)),U$7-SQRT((1-NORMSDIST(U$9*SQRT($C$11)*NORMSINV($B949)+SQRT(1-U$9^2*$C$11)*NORMSINV(T949)))*(U$7-U$5)*(U$7-U$6))))</f>
        <v>0.350853782675907</v>
      </c>
      <c r="V949" s="2" t="n">
        <v>0.57638207</v>
      </c>
      <c r="W949" s="2" t="n">
        <f aca="false">IF(W$7=W$5,W$6,IF(NORMSDIST(W$9*SQRT($C$11)*NORMSINV($B949)+SQRT(1-W$9^2*$C$11)*NORMSINV(V949))&lt;W$8,W$5+SQRT(NORMSDIST(W$9*SQRT($C$11)*NORMSINV($B949)+SQRT(1-W$9^2*$C$11)*NORMSINV(V949))*(W$7-W$5)*(W$6-W$5)),W$7-SQRT((1-NORMSDIST(W$9*SQRT($C$11)*NORMSINV($B949)+SQRT(1-W$9^2*$C$11)*NORMSINV(V949)))*(W$7-W$5)*(W$7-W$6))))</f>
        <v>9.02359984101502</v>
      </c>
      <c r="X949" s="2" t="n">
        <v>0.858444395</v>
      </c>
      <c r="Y949" s="2" t="n">
        <f aca="false">IF(Y$7=Y$5,Y$6,IF(NORMSDIST(Y$9*SQRT($C$11)*NORMSINV($B949)+SQRT(1-Y$9^2*$C$11)*NORMSINV(X949))&lt;Y$8,Y$5+SQRT(NORMSDIST(Y$9*SQRT($C$11)*NORMSINV($B949)+SQRT(1-Y$9^2*$C$11)*NORMSINV(X949))*(Y$7-Y$5)*(Y$6-Y$5)),Y$7-SQRT((1-NORMSDIST(Y$9*SQRT($C$11)*NORMSINV($B949)+SQRT(1-Y$9^2*$C$11)*NORMSINV(X949)))*(Y$7-Y$5)*(Y$7-Y$6))))</f>
        <v>0.733959021013679</v>
      </c>
      <c r="Z949" s="2" t="n">
        <v>0.753462784</v>
      </c>
      <c r="AA949" s="2" t="n">
        <f aca="false">IF(AA$7=AA$5,AA$6,IF(NORMSDIST(AA$9*SQRT($C$11)*NORMSINV($B949)+SQRT(1-AA$9^2*$C$11)*NORMSINV(Z949))&lt;AA$8,AA$5+SQRT(NORMSDIST(AA$9*SQRT($C$11)*NORMSINV($B949)+SQRT(1-AA$9^2*$C$11)*NORMSINV(Z949))*(AA$7-AA$5)*(AA$6-AA$5)),AA$7-SQRT((1-NORMSDIST(AA$9*SQRT($C$11)*NORMSINV($B949)+SQRT(1-AA$9^2*$C$11)*NORMSINV(Z949)))*(AA$7-AA$5)*(AA$7-AA$6))))</f>
        <v>0.717500668480965</v>
      </c>
      <c r="AB949" s="2" t="n">
        <v>0.038278081</v>
      </c>
      <c r="AC949" s="2" t="n">
        <f aca="false">IF(AC$7=AC$5,AC$6,IF(NORMSDIST(AC$9*SQRT($C$11)*NORMSINV($B949)+SQRT(1-AC$9^2*$C$11)*NORMSINV(AB949))&lt;AC$8,AC$5+SQRT(NORMSDIST(AC$9*SQRT($C$11)*NORMSINV($B949)+SQRT(1-AC$9^2*$C$11)*NORMSINV(AB949))*(AC$7-AC$5)*(AC$6-AC$5)),AC$7-SQRT((1-NORMSDIST(AC$9*SQRT($C$11)*NORMSINV($B949)+SQRT(1-AC$9^2*$C$11)*NORMSINV(AB949)))*(AC$7-AC$5)*(AC$7-AC$6))))</f>
        <v>7.58844827202889</v>
      </c>
      <c r="AD949" s="2" t="n">
        <f aca="false">Entrées!$C$8*(1+E949)</f>
        <v>7418.91472747808</v>
      </c>
      <c r="AE949" s="2" t="n">
        <f aca="false">I949*Hypothèses!$J$24/12/Hypothèses!$J$19</f>
        <v>97.1521421602217</v>
      </c>
      <c r="AF949" s="2" t="n">
        <f aca="false">Entrées!$C$36*S949*1000</f>
        <v>131.152205696463</v>
      </c>
      <c r="AG949" s="2" t="n">
        <f aca="false">-AF949/W949</f>
        <v>-14.5343552470419</v>
      </c>
      <c r="AH949" s="2" t="n">
        <f aca="false">AD949+AE949+AG949</f>
        <v>7501.53251439126</v>
      </c>
      <c r="AI949" s="2" t="n">
        <f aca="false">Entrées!$C$16-M949+Hypothèses!$J$22*1000-AF949+Hypothèses!$J$23</f>
        <v>22919.3543047595</v>
      </c>
      <c r="AJ949" s="2" t="n">
        <f aca="false">AI949/AH949</f>
        <v>3.0552896039296</v>
      </c>
      <c r="AK949" s="2" t="n">
        <f aca="false">AI949/(AH949+I949*(12-Hypothèses!$J$24)/12/Hypothèses!$J$19)</f>
        <v>3.02728511350028</v>
      </c>
      <c r="AL949" s="2" t="n">
        <f aca="false">(AD949+AG949+I949/Hypothèses!$J$19)*(1+G949)</f>
        <v>7905.08930196685</v>
      </c>
      <c r="AM949" s="2" t="n">
        <f aca="false">Entrées!$C$54*K949/Hypothèses!$J$19</f>
        <v>17.5817973793278</v>
      </c>
      <c r="AN949" s="2" t="n">
        <f aca="false">Y949*1000/AC949</f>
        <v>96.7205671967299</v>
      </c>
      <c r="AO949" s="2" t="n">
        <f aca="false">(Entrées!$C$36*(1-S949)+MAX(0,Entrées!$C$30-Entrées!$C$35-Entrées!$C$36)*U949)*1000</f>
        <v>860.043090049807</v>
      </c>
      <c r="AP949" s="2" t="n">
        <f aca="false">-AO949/W949</f>
        <v>-95.3104199213986</v>
      </c>
      <c r="AQ949" s="2" t="n">
        <f aca="false">AL949+AM949+AN949+AP949</f>
        <v>7924.08124662151</v>
      </c>
      <c r="AR949" s="2" t="n">
        <f aca="false">O949*AQ949-Hypothèses!$J$25/Hypothèses!$J$19</f>
        <v>1181.124044486</v>
      </c>
      <c r="AS949" s="2" t="n">
        <f aca="false">Entrées!$C$79*(1+Q949)+Hypothèses!$J$20</f>
        <v>1491.02911318369</v>
      </c>
      <c r="AT949" s="2" t="n">
        <f aca="false">AI949-AR949+AS949+Y949*1000-AO949+Hypothèses!$J$23</f>
        <v>23103.1753044211</v>
      </c>
      <c r="AU949" s="2" t="n">
        <f aca="false">AT949/AQ949</f>
        <v>2.91556517221114</v>
      </c>
      <c r="AV949" s="2" t="n">
        <f aca="false">Hypothèses!$J$26*AQ949-AT949</f>
        <v>669.068435443434</v>
      </c>
      <c r="AW949" s="2" t="n">
        <f aca="false">IF(AC949&gt;Hypothèses!$J$26,MAX(0,AV949)/(1-Hypothèses!$J$26/AC949),0)</f>
        <v>1106.51595306419</v>
      </c>
      <c r="AX949" s="2" t="n">
        <f aca="false">AQ949-Entrées!$C$17*1000</f>
        <v>-75.9187533784934</v>
      </c>
      <c r="AY949" s="2" t="n">
        <f aca="false">AI949+(Entrées!$C$244-Entrées!$C$13)</f>
        <v>28666.3543047595</v>
      </c>
      <c r="AZ949" s="2" t="n">
        <f aca="false">AA949*AH949</f>
        <v>5382.35459370742</v>
      </c>
      <c r="BA949" s="2" t="n">
        <f aca="false">AZ949/AY949</f>
        <v>0.187758601477056</v>
      </c>
      <c r="BB949" s="2" t="n">
        <f aca="false">AZ949/(Entrées!$C$151/100)-AY949</f>
        <v>1235.61566028172</v>
      </c>
      <c r="BC949" s="2" t="n">
        <f aca="false">AT949+(Entrées!$C$244-Entrées!$C$13)</f>
        <v>28850.1753044211</v>
      </c>
      <c r="BD949" s="2" t="n">
        <f aca="false">AA949*AQ949</f>
        <v>5685.53359154841</v>
      </c>
      <c r="BE949" s="2" t="n">
        <f aca="false">BD949/BC949</f>
        <v>0.197071024059848</v>
      </c>
      <c r="BF949" s="2" t="n">
        <f aca="false">BD949/(Entrées!$C$151/100)-BC949</f>
        <v>2736.12242640342</v>
      </c>
      <c r="BG949" s="2" t="n">
        <f aca="false">MIN(AV949,BF949)</f>
        <v>669.068435443434</v>
      </c>
      <c r="BH949" s="2" t="n">
        <f aca="false">IF(AC949&gt;Hypothèses!$J$26,MAX(0,BG949)/(1-Hypothèses!$J$26/AC949),0)</f>
        <v>1106.51595306419</v>
      </c>
    </row>
    <row r="950" customFormat="false" ht="15" hidden="false" customHeight="false" outlineLevel="0" collapsed="false">
      <c r="A950" s="2" t="n">
        <v>935</v>
      </c>
      <c r="B950" s="2" t="n">
        <v>0.169557019</v>
      </c>
      <c r="C950" s="2"/>
      <c r="D950" s="2" t="n">
        <v>0.414477289</v>
      </c>
      <c r="E950" s="2" t="n">
        <f aca="false">IF(E$7=E$5,E$6,IF(NORMSDIST(E$9*SQRT($C$11)*NORMSINV($B950)+SQRT(1-E$9^2*$C$11)*NORMSINV(D950))&lt;E$8,E$5+SQRT(NORMSDIST(E$9*SQRT($C$11)*NORMSINV($B950)+SQRT(1-E$9^2*$C$11)*NORMSINV(D950))*(E$7-E$5)*(E$6-E$5)),E$7-SQRT((1-NORMSDIST(E$9*SQRT($C$11)*NORMSINV($B950)+SQRT(1-E$9^2*$C$11)*NORMSINV(D950)))*(E$7-E$5)*(E$7-E$6))))</f>
        <v>0.0533172323469682</v>
      </c>
      <c r="F950" s="2" t="n">
        <v>0.77703234</v>
      </c>
      <c r="G950" s="2" t="n">
        <f aca="false">IF(G$7=G$5,G$6,IF(NORMSDIST(G$9*SQRT($C$11)*NORMSINV($B950)+SQRT(1-G$9^2*$C$11)*NORMSINV(F950))&lt;G$8,G$5+SQRT(NORMSDIST(G$9*SQRT($C$11)*NORMSINV($B950)+SQRT(1-G$9^2*$C$11)*NORMSINV(F950))*(G$7-G$5)*(G$6-G$5)),G$7-SQRT((1-NORMSDIST(G$9*SQRT($C$11)*NORMSINV($B950)+SQRT(1-G$9^2*$C$11)*NORMSINV(F950)))*(G$7-G$5)*(G$7-G$6))))</f>
        <v>0.0549149626340603</v>
      </c>
      <c r="H950" s="2" t="n">
        <v>0.814413228</v>
      </c>
      <c r="I950" s="2" t="n">
        <f aca="false">IF(I$7=I$5,I$6,IF(NORMSDIST(I$9*SQRT($C$11)*NORMSINV($B950)+SQRT(1-I$9^2*$C$11)*NORMSINV(H950))&lt;I$8,I$5+SQRT(NORMSDIST(I$9*SQRT($C$11)*NORMSINV($B950)+SQRT(1-I$9^2*$C$11)*NORMSINV(H950))*(I$7-I$5)*(I$6-I$5)),I$7-SQRT((1-NORMSDIST(I$9*SQRT($C$11)*NORMSINV($B950)+SQRT(1-I$9^2*$C$11)*NORMSINV(H950)))*(I$7-I$5)*(I$7-I$6))))</f>
        <v>200.715041065097</v>
      </c>
      <c r="J950" s="2" t="n">
        <v>0.257669087</v>
      </c>
      <c r="K950" s="2" t="n">
        <f aca="false">IF(K$7=K$5,K$6,IF(NORMSDIST(K$9*SQRT($C$11)*NORMSINV($B950)+SQRT(1-K$9^2*$C$11)*NORMSINV(J950))&lt;K$8,K$5+SQRT(NORMSDIST(K$9*SQRT($C$11)*NORMSINV($B950)+SQRT(1-K$9^2*$C$11)*NORMSINV(J950))*(K$7-K$5)*(K$6-K$5)),K$7-SQRT((1-NORMSDIST(K$9*SQRT($C$11)*NORMSINV($B950)+SQRT(1-K$9^2*$C$11)*NORMSINV(J950)))*(K$7-K$5)*(K$7-K$6))))</f>
        <v>0.129337561547897</v>
      </c>
      <c r="L950" s="2" t="n">
        <v>0.672886652</v>
      </c>
      <c r="M950" s="2" t="n">
        <f aca="false">IF(M$7=M$5,M$6,IF(NORMSDIST(M$9*SQRT($C$11)*NORMSINV($B950)+SQRT(1-M$9^2*$C$11)*NORMSINV(L950))&lt;M$8,M$5+SQRT(NORMSDIST(M$9*SQRT($C$11)*NORMSINV($B950)+SQRT(1-M$9^2*$C$11)*NORMSINV(L950))*(M$7-M$5)*(M$6-M$5)),M$7-SQRT((1-NORMSDIST(M$9*SQRT($C$11)*NORMSINV($B950)+SQRT(1-M$9^2*$C$11)*NORMSINV(L950)))*(M$7-M$5)*(M$7-M$6))))</f>
        <v>1555.04078983171</v>
      </c>
      <c r="N950" s="2" t="n">
        <v>0.854274224</v>
      </c>
      <c r="O950" s="2" t="n">
        <f aca="false">IF(O$7=O$5,O$6,IF(NORMSDIST(O$9*SQRT($C$11)*NORMSINV($B950)+SQRT(1-O$9^2*$C$11)*NORMSINV(N950))&lt;O$8,O$5+SQRT(NORMSDIST(O$9*SQRT($C$11)*NORMSINV($B950)+SQRT(1-O$9^2*$C$11)*NORMSINV(N950))*(O$7-O$5)*(O$6-O$5)),O$7-SQRT((1-NORMSDIST(O$9*SQRT($C$11)*NORMSINV($B950)+SQRT(1-O$9^2*$C$11)*NORMSINV(N950)))*(O$7-O$5)*(O$7-O$6))))</f>
        <v>0.168954057733764</v>
      </c>
      <c r="P950" s="2" t="n">
        <v>0.148621482</v>
      </c>
      <c r="Q950" s="2" t="n">
        <f aca="false">IF(Q$7=Q$5,Q$6,IF(NORMSDIST(Q$9*SQRT($C$11)*NORMSINV($B950)+SQRT(1-Q$9^2*$C$11)*NORMSINV(P950))&lt;Q$8,Q$5+SQRT(NORMSDIST(Q$9*SQRT($C$11)*NORMSINV($B950)+SQRT(1-Q$9^2*$C$11)*NORMSINV(P950))*(Q$7-Q$5)*(Q$6-Q$5)),Q$7-SQRT((1-NORMSDIST(Q$9*SQRT($C$11)*NORMSINV($B950)+SQRT(1-Q$9^2*$C$11)*NORMSINV(P950)))*(Q$7-Q$5)*(Q$7-Q$6))))</f>
        <v>0.0618079972120321</v>
      </c>
      <c r="R950" s="2" t="n">
        <v>0.644611915</v>
      </c>
      <c r="S950" s="2" t="n">
        <f aca="false">IF(S$7=S$5,S$6,IF(NORMSDIST(S$9*SQRT($C$11)*NORMSINV($B950)+SQRT(1-S$9^2*$C$11)*NORMSINV(R950))&lt;S$8,S$5+SQRT(NORMSDIST(S$9*SQRT($C$11)*NORMSINV($B950)+SQRT(1-S$9^2*$C$11)*NORMSINV(R950))*(S$7-S$5)*(S$6-S$5)),S$7-SQRT((1-NORMSDIST(S$9*SQRT($C$11)*NORMSINV($B950)+SQRT(1-S$9^2*$C$11)*NORMSINV(R950)))*(S$7-S$5)*(S$7-S$6))))</f>
        <v>0.433296265943884</v>
      </c>
      <c r="T950" s="2" t="n">
        <v>0.216946457</v>
      </c>
      <c r="U950" s="2" t="n">
        <f aca="false">IF(U$7=U$5,U$6,IF(NORMSDIST(U$9*SQRT($C$11)*NORMSINV($B950)+SQRT(1-U$9^2*$C$11)*NORMSINV(T950))&lt;U$8,U$5+SQRT(NORMSDIST(U$9*SQRT($C$11)*NORMSINV($B950)+SQRT(1-U$9^2*$C$11)*NORMSINV(T950))*(U$7-U$5)*(U$6-U$5)),U$7-SQRT((1-NORMSDIST(U$9*SQRT($C$11)*NORMSINV($B950)+SQRT(1-U$9^2*$C$11)*NORMSINV(T950)))*(U$7-U$5)*(U$7-U$6))))</f>
        <v>0.237695941577277</v>
      </c>
      <c r="V950" s="2" t="n">
        <v>0.188895563</v>
      </c>
      <c r="W950" s="2" t="n">
        <f aca="false">IF(W$7=W$5,W$6,IF(NORMSDIST(W$9*SQRT($C$11)*NORMSINV($B950)+SQRT(1-W$9^2*$C$11)*NORMSINV(V950))&lt;W$8,W$5+SQRT(NORMSDIST(W$9*SQRT($C$11)*NORMSINV($B950)+SQRT(1-W$9^2*$C$11)*NORMSINV(V950))*(W$7-W$5)*(W$6-W$5)),W$7-SQRT((1-NORMSDIST(W$9*SQRT($C$11)*NORMSINV($B950)+SQRT(1-W$9^2*$C$11)*NORMSINV(V950)))*(W$7-W$5)*(W$7-W$6))))</f>
        <v>8.88956929182033</v>
      </c>
      <c r="X950" s="2" t="n">
        <v>0.992551274</v>
      </c>
      <c r="Y950" s="2" t="n">
        <f aca="false">IF(Y$7=Y$5,Y$6,IF(NORMSDIST(Y$9*SQRT($C$11)*NORMSINV($B950)+SQRT(1-Y$9^2*$C$11)*NORMSINV(X950))&lt;Y$8,Y$5+SQRT(NORMSDIST(Y$9*SQRT($C$11)*NORMSINV($B950)+SQRT(1-Y$9^2*$C$11)*NORMSINV(X950))*(Y$7-Y$5)*(Y$6-Y$5)),Y$7-SQRT((1-NORMSDIST(Y$9*SQRT($C$11)*NORMSINV($B950)+SQRT(1-Y$9^2*$C$11)*NORMSINV(X950)))*(Y$7-Y$5)*(Y$7-Y$6))))</f>
        <v>0.938972440651784</v>
      </c>
      <c r="Z950" s="2" t="n">
        <v>0.490881586</v>
      </c>
      <c r="AA950" s="2" t="n">
        <f aca="false">IF(AA$7=AA$5,AA$6,IF(NORMSDIST(AA$9*SQRT($C$11)*NORMSINV($B950)+SQRT(1-AA$9^2*$C$11)*NORMSINV(Z950))&lt;AA$8,AA$5+SQRT(NORMSDIST(AA$9*SQRT($C$11)*NORMSINV($B950)+SQRT(1-AA$9^2*$C$11)*NORMSINV(Z950))*(AA$7-AA$5)*(AA$6-AA$5)),AA$7-SQRT((1-NORMSDIST(AA$9*SQRT($C$11)*NORMSINV($B950)+SQRT(1-AA$9^2*$C$11)*NORMSINV(Z950)))*(AA$7-AA$5)*(AA$7-AA$6))))</f>
        <v>0.719232880677816</v>
      </c>
      <c r="AB950" s="2" t="n">
        <v>0.596798259</v>
      </c>
      <c r="AC950" s="2" t="n">
        <f aca="false">IF(AC$7=AC$5,AC$6,IF(NORMSDIST(AC$9*SQRT($C$11)*NORMSINV($B950)+SQRT(1-AC$9^2*$C$11)*NORMSINV(AB950))&lt;AC$8,AC$5+SQRT(NORMSDIST(AC$9*SQRT($C$11)*NORMSINV($B950)+SQRT(1-AC$9^2*$C$11)*NORMSINV(AB950))*(AC$7-AC$5)*(AC$6-AC$5)),AC$7-SQRT((1-NORMSDIST(AC$9*SQRT($C$11)*NORMSINV($B950)+SQRT(1-AC$9^2*$C$11)*NORMSINV(AB950)))*(AC$7-AC$5)*(AC$7-AC$6))))</f>
        <v>9.11183419586619</v>
      </c>
      <c r="AD950" s="2" t="n">
        <f aca="false">Entrées!$C$8*(1+E950)</f>
        <v>7425.88648804613</v>
      </c>
      <c r="AE950" s="2" t="n">
        <f aca="false">I950*Hypothèses!$J$24/12/Hypothèses!$J$19</f>
        <v>99.5740894589141</v>
      </c>
      <c r="AF950" s="2" t="n">
        <f aca="false">Entrées!$C$36*S950*1000</f>
        <v>216.648132971942</v>
      </c>
      <c r="AG950" s="2" t="n">
        <f aca="false">-AF950/W950</f>
        <v>-24.3710494693246</v>
      </c>
      <c r="AH950" s="2" t="n">
        <f aca="false">AD950+AE950+AG950</f>
        <v>7501.08952803572</v>
      </c>
      <c r="AI950" s="2" t="n">
        <f aca="false">Entrées!$C$16-M950+Hypothèses!$J$22*1000-AF950+Hypothèses!$J$23</f>
        <v>22776.3110771963</v>
      </c>
      <c r="AJ950" s="2" t="n">
        <f aca="false">AI950/AH950</f>
        <v>3.0364003778476</v>
      </c>
      <c r="AK950" s="2" t="n">
        <f aca="false">AI950/(AH950+I950*(12-Hypothèses!$J$24)/12/Hypothèses!$J$19)</f>
        <v>3.00788005267849</v>
      </c>
      <c r="AL950" s="2" t="n">
        <f aca="false">(AD950+AG950+I950/Hypothèses!$J$19)*(1+G950)</f>
        <v>7988.04171979745</v>
      </c>
      <c r="AM950" s="2" t="n">
        <f aca="false">Entrées!$C$54*K950/Hypothèses!$J$19</f>
        <v>13.1994412092909</v>
      </c>
      <c r="AN950" s="2" t="n">
        <f aca="false">Y950*1000/AC950</f>
        <v>103.049772468179</v>
      </c>
      <c r="AO950" s="2" t="n">
        <f aca="false">(Entrées!$C$36*(1-S950)+MAX(0,Entrées!$C$30-Entrées!$C$35-Entrées!$C$36)*U950)*1000</f>
        <v>616.126185236246</v>
      </c>
      <c r="AP950" s="2" t="n">
        <f aca="false">-AO950/W950</f>
        <v>-69.308890567192</v>
      </c>
      <c r="AQ950" s="2" t="n">
        <f aca="false">AL950+AM950+AN950+AP950</f>
        <v>8034.98204290772</v>
      </c>
      <c r="AR950" s="2" t="n">
        <f aca="false">O950*AQ950-Hypothèses!$J$25/Hypothèses!$J$19</f>
        <v>1338.40765770557</v>
      </c>
      <c r="AS950" s="2" t="n">
        <f aca="false">Entrées!$C$79*(1+Q950)+Hypothèses!$J$20</f>
        <v>1461.92698893602</v>
      </c>
      <c r="AT950" s="2" t="n">
        <f aca="false">AI950-AR950+AS950+Y950*1000-AO950+Hypothèses!$J$23</f>
        <v>23222.6766638423</v>
      </c>
      <c r="AU950" s="2" t="n">
        <f aca="false">AT950/AQ950</f>
        <v>2.8901964609044</v>
      </c>
      <c r="AV950" s="2" t="n">
        <f aca="false">Hypothèses!$J$26*AQ950-AT950</f>
        <v>882.269464880832</v>
      </c>
      <c r="AW950" s="2" t="n">
        <f aca="false">IF(AC950&gt;Hypothèses!$J$26,MAX(0,AV950)/(1-Hypothèses!$J$26/AC950),0)</f>
        <v>1315.33232454294</v>
      </c>
      <c r="AX950" s="2" t="n">
        <f aca="false">AQ950-Entrées!$C$17*1000</f>
        <v>34.9820429077226</v>
      </c>
      <c r="AY950" s="2" t="n">
        <f aca="false">AI950+(Entrées!$C$244-Entrées!$C$13)</f>
        <v>28523.3110771963</v>
      </c>
      <c r="AZ950" s="2" t="n">
        <f aca="false">AA950*AH950</f>
        <v>5395.03022947132</v>
      </c>
      <c r="BA950" s="2" t="n">
        <f aca="false">AZ950/AY950</f>
        <v>0.18914459877642</v>
      </c>
      <c r="BB950" s="2" t="n">
        <f aca="false">AZ950/(Entrées!$C$151/100)-AY950</f>
        <v>1449.07908653323</v>
      </c>
      <c r="BC950" s="2" t="n">
        <f aca="false">AT950+(Entrées!$C$244-Entrées!$C$13)</f>
        <v>28969.6766638423</v>
      </c>
      <c r="BD950" s="2" t="n">
        <f aca="false">AA950*AQ950</f>
        <v>5779.02328091504</v>
      </c>
      <c r="BE950" s="2" t="n">
        <f aca="false">BD950/BC950</f>
        <v>0.199485253079402</v>
      </c>
      <c r="BF950" s="2" t="n">
        <f aca="false">BD950/(Entrées!$C$151/100)-BC950</f>
        <v>3136.00823013011</v>
      </c>
      <c r="BG950" s="2" t="n">
        <f aca="false">MIN(AV950,BF950)</f>
        <v>882.269464880832</v>
      </c>
      <c r="BH950" s="2" t="n">
        <f aca="false">IF(AC950&gt;Hypothèses!$J$26,MAX(0,BG950)/(1-Hypothèses!$J$26/AC950),0)</f>
        <v>1315.33232454294</v>
      </c>
    </row>
    <row r="951" customFormat="false" ht="15" hidden="false" customHeight="false" outlineLevel="0" collapsed="false">
      <c r="A951" s="2" t="n">
        <v>936</v>
      </c>
      <c r="B951" s="2" t="n">
        <v>0.549831644</v>
      </c>
      <c r="C951" s="2"/>
      <c r="D951" s="2" t="n">
        <v>0.212273534</v>
      </c>
      <c r="E951" s="2" t="n">
        <f aca="false">IF(E$7=E$5,E$6,IF(NORMSDIST(E$9*SQRT($C$11)*NORMSINV($B951)+SQRT(1-E$9^2*$C$11)*NORMSINV(D951))&lt;E$8,E$5+SQRT(NORMSDIST(E$9*SQRT($C$11)*NORMSINV($B951)+SQRT(1-E$9^2*$C$11)*NORMSINV(D951))*(E$7-E$5)*(E$6-E$5)),E$7-SQRT((1-NORMSDIST(E$9*SQRT($C$11)*NORMSINV($B951)+SQRT(1-E$9^2*$C$11)*NORMSINV(D951)))*(E$7-E$5)*(E$7-E$6))))</f>
        <v>0.0538394101015686</v>
      </c>
      <c r="F951" s="2" t="n">
        <v>0.156482018</v>
      </c>
      <c r="G951" s="2" t="n">
        <f aca="false">IF(G$7=G$5,G$6,IF(NORMSDIST(G$9*SQRT($C$11)*NORMSINV($B951)+SQRT(1-G$9^2*$C$11)*NORMSINV(F951))&lt;G$8,G$5+SQRT(NORMSDIST(G$9*SQRT($C$11)*NORMSINV($B951)+SQRT(1-G$9^2*$C$11)*NORMSINV(F951))*(G$7-G$5)*(G$6-G$5)),G$7-SQRT((1-NORMSDIST(G$9*SQRT($C$11)*NORMSINV($B951)+SQRT(1-G$9^2*$C$11)*NORMSINV(F951)))*(G$7-G$5)*(G$7-G$6))))</f>
        <v>0.0504187161095782</v>
      </c>
      <c r="H951" s="2" t="n">
        <v>0.671536203</v>
      </c>
      <c r="I951" s="2" t="n">
        <f aca="false">IF(I$7=I$5,I$6,IF(NORMSDIST(I$9*SQRT($C$11)*NORMSINV($B951)+SQRT(1-I$9^2*$C$11)*NORMSINV(H951))&lt;I$8,I$5+SQRT(NORMSDIST(I$9*SQRT($C$11)*NORMSINV($B951)+SQRT(1-I$9^2*$C$11)*NORMSINV(H951))*(I$7-I$5)*(I$6-I$5)),I$7-SQRT((1-NORMSDIST(I$9*SQRT($C$11)*NORMSINV($B951)+SQRT(1-I$9^2*$C$11)*NORMSINV(H951)))*(I$7-I$5)*(I$7-I$6))))</f>
        <v>203.603504883458</v>
      </c>
      <c r="J951" s="2" t="n">
        <v>0.206946464</v>
      </c>
      <c r="K951" s="2" t="n">
        <f aca="false">IF(K$7=K$5,K$6,IF(NORMSDIST(K$9*SQRT($C$11)*NORMSINV($B951)+SQRT(1-K$9^2*$C$11)*NORMSINV(J951))&lt;K$8,K$5+SQRT(NORMSDIST(K$9*SQRT($C$11)*NORMSINV($B951)+SQRT(1-K$9^2*$C$11)*NORMSINV(J951))*(K$7-K$5)*(K$6-K$5)),K$7-SQRT((1-NORMSDIST(K$9*SQRT($C$11)*NORMSINV($B951)+SQRT(1-K$9^2*$C$11)*NORMSINV(J951)))*(K$7-K$5)*(K$7-K$6))))</f>
        <v>0.190360317067957</v>
      </c>
      <c r="L951" s="2" t="n">
        <v>0.157354868</v>
      </c>
      <c r="M951" s="2" t="n">
        <f aca="false">IF(M$7=M$5,M$6,IF(NORMSDIST(M$9*SQRT($C$11)*NORMSINV($B951)+SQRT(1-M$9^2*$C$11)*NORMSINV(L951))&lt;M$8,M$5+SQRT(NORMSDIST(M$9*SQRT($C$11)*NORMSINV($B951)+SQRT(1-M$9^2*$C$11)*NORMSINV(L951))*(M$7-M$5)*(M$6-M$5)),M$7-SQRT((1-NORMSDIST(M$9*SQRT($C$11)*NORMSINV($B951)+SQRT(1-M$9^2*$C$11)*NORMSINV(L951)))*(M$7-M$5)*(M$7-M$6))))</f>
        <v>1499.53322362094</v>
      </c>
      <c r="N951" s="2" t="n">
        <v>0.641903686</v>
      </c>
      <c r="O951" s="2" t="n">
        <f aca="false">IF(O$7=O$5,O$6,IF(NORMSDIST(O$9*SQRT($C$11)*NORMSINV($B951)+SQRT(1-O$9^2*$C$11)*NORMSINV(N951))&lt;O$8,O$5+SQRT(NORMSDIST(O$9*SQRT($C$11)*NORMSINV($B951)+SQRT(1-O$9^2*$C$11)*NORMSINV(N951))*(O$7-O$5)*(O$6-O$5)),O$7-SQRT((1-NORMSDIST(O$9*SQRT($C$11)*NORMSINV($B951)+SQRT(1-O$9^2*$C$11)*NORMSINV(N951)))*(O$7-O$5)*(O$7-O$6))))</f>
        <v>0.170441678296073</v>
      </c>
      <c r="P951" s="2" t="n">
        <v>0.128342372</v>
      </c>
      <c r="Q951" s="2" t="n">
        <f aca="false">IF(Q$7=Q$5,Q$6,IF(NORMSDIST(Q$9*SQRT($C$11)*NORMSINV($B951)+SQRT(1-Q$9^2*$C$11)*NORMSINV(P951))&lt;Q$8,Q$5+SQRT(NORMSDIST(Q$9*SQRT($C$11)*NORMSINV($B951)+SQRT(1-Q$9^2*$C$11)*NORMSINV(P951))*(Q$7-Q$5)*(Q$6-Q$5)),Q$7-SQRT((1-NORMSDIST(Q$9*SQRT($C$11)*NORMSINV($B951)+SQRT(1-Q$9^2*$C$11)*NORMSINV(P951)))*(Q$7-Q$5)*(Q$7-Q$6))))</f>
        <v>0.0602656258329221</v>
      </c>
      <c r="R951" s="2" t="n">
        <v>0.869581433</v>
      </c>
      <c r="S951" s="2" t="n">
        <f aca="false">IF(S$7=S$5,S$6,IF(NORMSDIST(S$9*SQRT($C$11)*NORMSINV($B951)+SQRT(1-S$9^2*$C$11)*NORMSINV(R951))&lt;S$8,S$5+SQRT(NORMSDIST(S$9*SQRT($C$11)*NORMSINV($B951)+SQRT(1-S$9^2*$C$11)*NORMSINV(R951))*(S$7-S$5)*(S$6-S$5)),S$7-SQRT((1-NORMSDIST(S$9*SQRT($C$11)*NORMSINV($B951)+SQRT(1-S$9^2*$C$11)*NORMSINV(R951)))*(S$7-S$5)*(S$7-S$6))))</f>
        <v>0.707585996077521</v>
      </c>
      <c r="T951" s="2" t="n">
        <v>0.529650044</v>
      </c>
      <c r="U951" s="2" t="n">
        <f aca="false">IF(U$7=U$5,U$6,IF(NORMSDIST(U$9*SQRT($C$11)*NORMSINV($B951)+SQRT(1-U$9^2*$C$11)*NORMSINV(T951))&lt;U$8,U$5+SQRT(NORMSDIST(U$9*SQRT($C$11)*NORMSINV($B951)+SQRT(1-U$9^2*$C$11)*NORMSINV(T951))*(U$7-U$5)*(U$6-U$5)),U$7-SQRT((1-NORMSDIST(U$9*SQRT($C$11)*NORMSINV($B951)+SQRT(1-U$9^2*$C$11)*NORMSINV(T951)))*(U$7-U$5)*(U$7-U$6))))</f>
        <v>0.527991982147067</v>
      </c>
      <c r="V951" s="2" t="n">
        <v>0.115074034</v>
      </c>
      <c r="W951" s="2" t="n">
        <f aca="false">IF(W$7=W$5,W$6,IF(NORMSDIST(W$9*SQRT($C$11)*NORMSINV($B951)+SQRT(1-W$9^2*$C$11)*NORMSINV(V951))&lt;W$8,W$5+SQRT(NORMSDIST(W$9*SQRT($C$11)*NORMSINV($B951)+SQRT(1-W$9^2*$C$11)*NORMSINV(V951))*(W$7-W$5)*(W$6-W$5)),W$7-SQRT((1-NORMSDIST(W$9*SQRT($C$11)*NORMSINV($B951)+SQRT(1-W$9^2*$C$11)*NORMSINV(V951)))*(W$7-W$5)*(W$7-W$6))))</f>
        <v>9.25723911161619</v>
      </c>
      <c r="X951" s="2" t="n">
        <v>0.963179183</v>
      </c>
      <c r="Y951" s="2" t="n">
        <f aca="false">IF(Y$7=Y$5,Y$6,IF(NORMSDIST(Y$9*SQRT($C$11)*NORMSINV($B951)+SQRT(1-Y$9^2*$C$11)*NORMSINV(X951))&lt;Y$8,Y$5+SQRT(NORMSDIST(Y$9*SQRT($C$11)*NORMSINV($B951)+SQRT(1-Y$9^2*$C$11)*NORMSINV(X951))*(Y$7-Y$5)*(Y$6-Y$5)),Y$7-SQRT((1-NORMSDIST(Y$9*SQRT($C$11)*NORMSINV($B951)+SQRT(1-Y$9^2*$C$11)*NORMSINV(X951)))*(Y$7-Y$5)*(Y$7-Y$6))))</f>
        <v>0.864315039521692</v>
      </c>
      <c r="Z951" s="2" t="n">
        <v>0.960861602</v>
      </c>
      <c r="AA951" s="2" t="n">
        <f aca="false">IF(AA$7=AA$5,AA$6,IF(NORMSDIST(AA$9*SQRT($C$11)*NORMSINV($B951)+SQRT(1-AA$9^2*$C$11)*NORMSINV(Z951))&lt;AA$8,AA$5+SQRT(NORMSDIST(AA$9*SQRT($C$11)*NORMSINV($B951)+SQRT(1-AA$9^2*$C$11)*NORMSINV(Z951))*(AA$7-AA$5)*(AA$6-AA$5)),AA$7-SQRT((1-NORMSDIST(AA$9*SQRT($C$11)*NORMSINV($B951)+SQRT(1-AA$9^2*$C$11)*NORMSINV(Z951)))*(AA$7-AA$5)*(AA$7-AA$6))))</f>
        <v>0.744085667665894</v>
      </c>
      <c r="AB951" s="2" t="n">
        <v>0.056739971</v>
      </c>
      <c r="AC951" s="2" t="n">
        <f aca="false">IF(AC$7=AC$5,AC$6,IF(NORMSDIST(AC$9*SQRT($C$11)*NORMSINV($B951)+SQRT(1-AC$9^2*$C$11)*NORMSINV(AB951))&lt;AC$8,AC$5+SQRT(NORMSDIST(AC$9*SQRT($C$11)*NORMSINV($B951)+SQRT(1-AC$9^2*$C$11)*NORMSINV(AB951))*(AC$7-AC$5)*(AC$6-AC$5)),AC$7-SQRT((1-NORMSDIST(AC$9*SQRT($C$11)*NORMSINV($B951)+SQRT(1-AC$9^2*$C$11)*NORMSINV(AB951)))*(AC$7-AC$5)*(AC$7-AC$6))))</f>
        <v>8.44228524829878</v>
      </c>
      <c r="AD951" s="2" t="n">
        <f aca="false">Entrées!$C$8*(1+E951)</f>
        <v>7429.56784121606</v>
      </c>
      <c r="AE951" s="2" t="n">
        <f aca="false">I951*Hypothèses!$J$24/12/Hypothèses!$J$19</f>
        <v>101.007047114315</v>
      </c>
      <c r="AF951" s="2" t="n">
        <f aca="false">Entrées!$C$36*S951*1000</f>
        <v>353.792998038761</v>
      </c>
      <c r="AG951" s="2" t="n">
        <f aca="false">-AF951/W951</f>
        <v>-38.2179820325493</v>
      </c>
      <c r="AH951" s="2" t="n">
        <f aca="false">AD951+AE951+AG951</f>
        <v>7492.35690629783</v>
      </c>
      <c r="AI951" s="2" t="n">
        <f aca="false">Entrées!$C$16-M951+Hypothèses!$J$22*1000-AF951+Hypothèses!$J$23</f>
        <v>22694.6737783403</v>
      </c>
      <c r="AJ951" s="2" t="n">
        <f aca="false">AI951/AH951</f>
        <v>3.02904333872081</v>
      </c>
      <c r="AK951" s="2" t="n">
        <f aca="false">AI951/(AH951+I951*(12-Hypothèses!$J$24)/12/Hypothèses!$J$19)</f>
        <v>3.00015326674913</v>
      </c>
      <c r="AL951" s="2" t="n">
        <f aca="false">(AD951+AG951+I951/Hypothèses!$J$19)*(1+G951)</f>
        <v>7945.89741696798</v>
      </c>
      <c r="AM951" s="2" t="n">
        <f aca="false">Entrées!$C$54*K951/Hypothèses!$J$19</f>
        <v>19.4270696281063</v>
      </c>
      <c r="AN951" s="2" t="n">
        <f aca="false">Y951*1000/AC951</f>
        <v>102.379274580406</v>
      </c>
      <c r="AO951" s="2" t="n">
        <f aca="false">(Entrées!$C$36*(1-S951)+MAX(0,Entrées!$C$30-Entrées!$C$35-Entrées!$C$36)*U951)*1000</f>
        <v>885.395776967133</v>
      </c>
      <c r="AP951" s="2" t="n">
        <f aca="false">-AO951/W951</f>
        <v>-95.6436110477172</v>
      </c>
      <c r="AQ951" s="2" t="n">
        <f aca="false">AL951+AM951+AN951+AP951</f>
        <v>7972.06015012877</v>
      </c>
      <c r="AR951" s="2" t="n">
        <f aca="false">O951*AQ951-Hypothèses!$J$25/Hypothèses!$J$19</f>
        <v>1339.63614920357</v>
      </c>
      <c r="AS951" s="2" t="n">
        <f aca="false">Entrées!$C$79*(1+Q951)+Hypothèses!$J$20</f>
        <v>1460.23192279038</v>
      </c>
      <c r="AT951" s="2" t="n">
        <f aca="false">AI951-AR951+AS951+Y951*1000-AO951+Hypothèses!$J$23</f>
        <v>22794.1888144817</v>
      </c>
      <c r="AU951" s="2" t="n">
        <f aca="false">AT951/AQ951</f>
        <v>2.85925951199872</v>
      </c>
      <c r="AV951" s="2" t="n">
        <f aca="false">Hypothèses!$J$26*AQ951-AT951</f>
        <v>1121.99163590464</v>
      </c>
      <c r="AW951" s="2" t="n">
        <f aca="false">IF(AC951&gt;Hypothèses!$J$26,MAX(0,AV951)/(1-Hypothèses!$J$26/AC951),0)</f>
        <v>1740.47720844352</v>
      </c>
      <c r="AX951" s="2" t="n">
        <f aca="false">AQ951-Entrées!$C$17*1000</f>
        <v>-27.9398498712271</v>
      </c>
      <c r="AY951" s="2" t="n">
        <f aca="false">AI951+(Entrées!$C$244-Entrées!$C$13)</f>
        <v>28441.6737783403</v>
      </c>
      <c r="AZ951" s="2" t="n">
        <f aca="false">AA951*AH951</f>
        <v>5574.95539101379</v>
      </c>
      <c r="BA951" s="2" t="n">
        <f aca="false">AZ951/AY951</f>
        <v>0.196013618412971</v>
      </c>
      <c r="BB951" s="2" t="n">
        <f aca="false">AZ951/(Entrées!$C$151/100)-AY951</f>
        <v>2530.30061618076</v>
      </c>
      <c r="BC951" s="2" t="n">
        <f aca="false">AT951+(Entrées!$C$244-Entrées!$C$13)</f>
        <v>28541.1888144817</v>
      </c>
      <c r="BD951" s="2" t="n">
        <f aca="false">AA951*AQ951</f>
        <v>5931.89569948124</v>
      </c>
      <c r="BE951" s="2" t="n">
        <f aca="false">BD951/BC951</f>
        <v>0.207836321676672</v>
      </c>
      <c r="BF951" s="2" t="n">
        <f aca="false">BD951/(Entrées!$C$151/100)-BC951</f>
        <v>4413.78729374741</v>
      </c>
      <c r="BG951" s="2" t="n">
        <f aca="false">MIN(AV951,BF951)</f>
        <v>1121.99163590464</v>
      </c>
      <c r="BH951" s="2" t="n">
        <f aca="false">IF(AC951&gt;Hypothèses!$J$26,MAX(0,BG951)/(1-Hypothèses!$J$26/AC951),0)</f>
        <v>1740.47720844352</v>
      </c>
    </row>
    <row r="952" customFormat="false" ht="15" hidden="false" customHeight="false" outlineLevel="0" collapsed="false">
      <c r="A952" s="2" t="n">
        <v>937</v>
      </c>
      <c r="B952" s="2" t="n">
        <v>0.165504137</v>
      </c>
      <c r="C952" s="2"/>
      <c r="D952" s="2" t="n">
        <v>0.099124079</v>
      </c>
      <c r="E952" s="2" t="n">
        <f aca="false">IF(E$7=E$5,E$6,IF(NORMSDIST(E$9*SQRT($C$11)*NORMSINV($B952)+SQRT(1-E$9^2*$C$11)*NORMSINV(D952))&lt;E$8,E$5+SQRT(NORMSDIST(E$9*SQRT($C$11)*NORMSINV($B952)+SQRT(1-E$9^2*$C$11)*NORMSINV(D952))*(E$7-E$5)*(E$6-E$5)),E$7-SQRT((1-NORMSDIST(E$9*SQRT($C$11)*NORMSINV($B952)+SQRT(1-E$9^2*$C$11)*NORMSINV(D952)))*(E$7-E$5)*(E$7-E$6))))</f>
        <v>0.051636308973524</v>
      </c>
      <c r="F952" s="2" t="n">
        <v>0.791233876</v>
      </c>
      <c r="G952" s="2" t="n">
        <f aca="false">IF(G$7=G$5,G$6,IF(NORMSDIST(G$9*SQRT($C$11)*NORMSINV($B952)+SQRT(1-G$9^2*$C$11)*NORMSINV(F952))&lt;G$8,G$5+SQRT(NORMSDIST(G$9*SQRT($C$11)*NORMSINV($B952)+SQRT(1-G$9^2*$C$11)*NORMSINV(F952))*(G$7-G$5)*(G$6-G$5)),G$7-SQRT((1-NORMSDIST(G$9*SQRT($C$11)*NORMSINV($B952)+SQRT(1-G$9^2*$C$11)*NORMSINV(F952)))*(G$7-G$5)*(G$7-G$6))))</f>
        <v>0.055079033238497</v>
      </c>
      <c r="H952" s="2" t="n">
        <v>0.325968158</v>
      </c>
      <c r="I952" s="2" t="n">
        <f aca="false">IF(I$7=I$5,I$6,IF(NORMSDIST(I$9*SQRT($C$11)*NORMSINV($B952)+SQRT(1-I$9^2*$C$11)*NORMSINV(H952))&lt;I$8,I$5+SQRT(NORMSDIST(I$9*SQRT($C$11)*NORMSINV($B952)+SQRT(1-I$9^2*$C$11)*NORMSINV(H952))*(I$7-I$5)*(I$6-I$5)),I$7-SQRT((1-NORMSDIST(I$9*SQRT($C$11)*NORMSINV($B952)+SQRT(1-I$9^2*$C$11)*NORMSINV(H952)))*(I$7-I$5)*(I$7-I$6))))</f>
        <v>191.574890870938</v>
      </c>
      <c r="J952" s="2" t="n">
        <v>0.956956653</v>
      </c>
      <c r="K952" s="2" t="n">
        <f aca="false">IF(K$7=K$5,K$6,IF(NORMSDIST(K$9*SQRT($C$11)*NORMSINV($B952)+SQRT(1-K$9^2*$C$11)*NORMSINV(J952))&lt;K$8,K$5+SQRT(NORMSDIST(K$9*SQRT($C$11)*NORMSINV($B952)+SQRT(1-K$9^2*$C$11)*NORMSINV(J952))*(K$7-K$5)*(K$6-K$5)),K$7-SQRT((1-NORMSDIST(K$9*SQRT($C$11)*NORMSINV($B952)+SQRT(1-K$9^2*$C$11)*NORMSINV(J952)))*(K$7-K$5)*(K$7-K$6))))</f>
        <v>0.3277396325961</v>
      </c>
      <c r="L952" s="2" t="n">
        <v>0.888039841</v>
      </c>
      <c r="M952" s="2" t="n">
        <f aca="false">IF(M$7=M$5,M$6,IF(NORMSDIST(M$9*SQRT($C$11)*NORMSINV($B952)+SQRT(1-M$9^2*$C$11)*NORMSINV(L952))&lt;M$8,M$5+SQRT(NORMSDIST(M$9*SQRT($C$11)*NORMSINV($B952)+SQRT(1-M$9^2*$C$11)*NORMSINV(L952))*(M$7-M$5)*(M$6-M$5)),M$7-SQRT((1-NORMSDIST(M$9*SQRT($C$11)*NORMSINV($B952)+SQRT(1-M$9^2*$C$11)*NORMSINV(L952)))*(M$7-M$5)*(M$7-M$6))))</f>
        <v>1619.47536589029</v>
      </c>
      <c r="N952" s="2" t="n">
        <v>0.348861604</v>
      </c>
      <c r="O952" s="2" t="n">
        <f aca="false">IF(O$7=O$5,O$6,IF(NORMSDIST(O$9*SQRT($C$11)*NORMSINV($B952)+SQRT(1-O$9^2*$C$11)*NORMSINV(N952))&lt;O$8,O$5+SQRT(NORMSDIST(O$9*SQRT($C$11)*NORMSINV($B952)+SQRT(1-O$9^2*$C$11)*NORMSINV(N952))*(O$7-O$5)*(O$6-O$5)),O$7-SQRT((1-NORMSDIST(O$9*SQRT($C$11)*NORMSINV($B952)+SQRT(1-O$9^2*$C$11)*NORMSINV(N952)))*(O$7-O$5)*(O$7-O$6))))</f>
        <v>0.156067352491072</v>
      </c>
      <c r="P952" s="2" t="n">
        <v>0.657117487</v>
      </c>
      <c r="Q952" s="2" t="n">
        <f aca="false">IF(Q$7=Q$5,Q$6,IF(NORMSDIST(Q$9*SQRT($C$11)*NORMSINV($B952)+SQRT(1-Q$9^2*$C$11)*NORMSINV(P952))&lt;Q$8,Q$5+SQRT(NORMSDIST(Q$9*SQRT($C$11)*NORMSINV($B952)+SQRT(1-Q$9^2*$C$11)*NORMSINV(P952))*(Q$7-Q$5)*(Q$6-Q$5)),Q$7-SQRT((1-NORMSDIST(Q$9*SQRT($C$11)*NORMSINV($B952)+SQRT(1-Q$9^2*$C$11)*NORMSINV(P952)))*(Q$7-Q$5)*(Q$7-Q$6))))</f>
        <v>0.0868756276799092</v>
      </c>
      <c r="R952" s="2" t="n">
        <v>0.409213962</v>
      </c>
      <c r="S952" s="2" t="n">
        <f aca="false">IF(S$7=S$5,S$6,IF(NORMSDIST(S$9*SQRT($C$11)*NORMSINV($B952)+SQRT(1-S$9^2*$C$11)*NORMSINV(R952))&lt;S$8,S$5+SQRT(NORMSDIST(S$9*SQRT($C$11)*NORMSINV($B952)+SQRT(1-S$9^2*$C$11)*NORMSINV(R952))*(S$7-S$5)*(S$6-S$5)),S$7-SQRT((1-NORMSDIST(S$9*SQRT($C$11)*NORMSINV($B952)+SQRT(1-S$9^2*$C$11)*NORMSINV(R952)))*(S$7-S$5)*(S$7-S$6))))</f>
        <v>0.327107661435751</v>
      </c>
      <c r="T952" s="2" t="n">
        <v>0.264730569</v>
      </c>
      <c r="U952" s="2" t="n">
        <f aca="false">IF(U$7=U$5,U$6,IF(NORMSDIST(U$9*SQRT($C$11)*NORMSINV($B952)+SQRT(1-U$9^2*$C$11)*NORMSINV(T952))&lt;U$8,U$5+SQRT(NORMSDIST(U$9*SQRT($C$11)*NORMSINV($B952)+SQRT(1-U$9^2*$C$11)*NORMSINV(T952))*(U$7-U$5)*(U$6-U$5)),U$7-SQRT((1-NORMSDIST(U$9*SQRT($C$11)*NORMSINV($B952)+SQRT(1-U$9^2*$C$11)*NORMSINV(T952)))*(U$7-U$5)*(U$7-U$6))))</f>
        <v>0.260052799653851</v>
      </c>
      <c r="V952" s="2" t="n">
        <v>0.262844181</v>
      </c>
      <c r="W952" s="2" t="n">
        <f aca="false">IF(W$7=W$5,W$6,IF(NORMSDIST(W$9*SQRT($C$11)*NORMSINV($B952)+SQRT(1-W$9^2*$C$11)*NORMSINV(V952))&lt;W$8,W$5+SQRT(NORMSDIST(W$9*SQRT($C$11)*NORMSINV($B952)+SQRT(1-W$9^2*$C$11)*NORMSINV(V952))*(W$7-W$5)*(W$6-W$5)),W$7-SQRT((1-NORMSDIST(W$9*SQRT($C$11)*NORMSINV($B952)+SQRT(1-W$9^2*$C$11)*NORMSINV(V952)))*(W$7-W$5)*(W$7-W$6))))</f>
        <v>9.0364756080174</v>
      </c>
      <c r="X952" s="2" t="n">
        <v>0.837637905</v>
      </c>
      <c r="Y952" s="2" t="n">
        <f aca="false">IF(Y$7=Y$5,Y$6,IF(NORMSDIST(Y$9*SQRT($C$11)*NORMSINV($B952)+SQRT(1-Y$9^2*$C$11)*NORMSINV(X952))&lt;Y$8,Y$5+SQRT(NORMSDIST(Y$9*SQRT($C$11)*NORMSINV($B952)+SQRT(1-Y$9^2*$C$11)*NORMSINV(X952))*(Y$7-Y$5)*(Y$6-Y$5)),Y$7-SQRT((1-NORMSDIST(Y$9*SQRT($C$11)*NORMSINV($B952)+SQRT(1-Y$9^2*$C$11)*NORMSINV(X952)))*(Y$7-Y$5)*(Y$7-Y$6))))</f>
        <v>0.715077120083346</v>
      </c>
      <c r="Z952" s="2" t="n">
        <v>0.482384363</v>
      </c>
      <c r="AA952" s="2" t="n">
        <f aca="false">IF(AA$7=AA$5,AA$6,IF(NORMSDIST(AA$9*SQRT($C$11)*NORMSINV($B952)+SQRT(1-AA$9^2*$C$11)*NORMSINV(Z952))&lt;AA$8,AA$5+SQRT(NORMSDIST(AA$9*SQRT($C$11)*NORMSINV($B952)+SQRT(1-AA$9^2*$C$11)*NORMSINV(Z952))*(AA$7-AA$5)*(AA$6-AA$5)),AA$7-SQRT((1-NORMSDIST(AA$9*SQRT($C$11)*NORMSINV($B952)+SQRT(1-AA$9^2*$C$11)*NORMSINV(Z952)))*(AA$7-AA$5)*(AA$7-AA$6))))</f>
        <v>0.718839229770967</v>
      </c>
      <c r="AB952" s="2" t="n">
        <v>0.414695972</v>
      </c>
      <c r="AC952" s="2" t="n">
        <f aca="false">IF(AC$7=AC$5,AC$6,IF(NORMSDIST(AC$9*SQRT($C$11)*NORMSINV($B952)+SQRT(1-AC$9^2*$C$11)*NORMSINV(AB952))&lt;AC$8,AC$5+SQRT(NORMSDIST(AC$9*SQRT($C$11)*NORMSINV($B952)+SQRT(1-AC$9^2*$C$11)*NORMSINV(AB952))*(AC$7-AC$5)*(AC$6-AC$5)),AC$7-SQRT((1-NORMSDIST(AC$9*SQRT($C$11)*NORMSINV($B952)+SQRT(1-AC$9^2*$C$11)*NORMSINV(AB952)))*(AC$7-AC$5)*(AC$7-AC$6))))</f>
        <v>8.76986817553482</v>
      </c>
      <c r="AD952" s="2" t="n">
        <f aca="false">Entrées!$C$8*(1+E952)</f>
        <v>7414.03597826334</v>
      </c>
      <c r="AE952" s="2" t="n">
        <f aca="false">I952*Hypothèses!$J$24/12/Hypothèses!$J$19</f>
        <v>95.0396902017807</v>
      </c>
      <c r="AF952" s="2" t="n">
        <f aca="false">Entrées!$C$36*S952*1000</f>
        <v>163.553830717875</v>
      </c>
      <c r="AG952" s="2" t="n">
        <f aca="false">-AF952/W952</f>
        <v>-18.0992942174011</v>
      </c>
      <c r="AH952" s="2" t="n">
        <f aca="false">AD952+AE952+AG952</f>
        <v>7490.97637424772</v>
      </c>
      <c r="AI952" s="2" t="n">
        <f aca="false">Entrées!$C$16-M952+Hypothèses!$J$22*1000-AF952+Hypothèses!$J$23</f>
        <v>22764.9708033918</v>
      </c>
      <c r="AJ952" s="2" t="n">
        <f aca="false">AI952/AH952</f>
        <v>3.03898579651815</v>
      </c>
      <c r="AK952" s="2" t="n">
        <f aca="false">AI952/(AH952+I952*(12-Hypothèses!$J$24)/12/Hypothèses!$J$19)</f>
        <v>3.01169292456948</v>
      </c>
      <c r="AL952" s="2" t="n">
        <f aca="false">(AD952+AG952+I952/Hypothèses!$J$19)*(1+G952)</f>
        <v>7975.19667128041</v>
      </c>
      <c r="AM952" s="2" t="n">
        <f aca="false">Entrées!$C$54*K952/Hypothèses!$J$19</f>
        <v>33.4472055962242</v>
      </c>
      <c r="AN952" s="2" t="n">
        <f aca="false">Y952*1000/AC952</f>
        <v>81.5379553911867</v>
      </c>
      <c r="AO952" s="2" t="n">
        <f aca="false">(Entrées!$C$36*(1-S952)+MAX(0,Entrées!$C$30-Entrées!$C$35-Entrées!$C$36)*U952)*1000</f>
        <v>700.520088797517</v>
      </c>
      <c r="AP952" s="2" t="n">
        <f aca="false">-AO952/W952</f>
        <v>-77.5213832454765</v>
      </c>
      <c r="AQ952" s="2" t="n">
        <f aca="false">AL952+AM952+AN952+AP952</f>
        <v>8012.66044902234</v>
      </c>
      <c r="AR952" s="2" t="n">
        <f aca="false">O952*AQ952-Hypothèses!$J$25/Hypothèses!$J$19</f>
        <v>1231.37954042722</v>
      </c>
      <c r="AS952" s="2" t="n">
        <f aca="false">Entrées!$C$79*(1+Q952)+Hypothèses!$J$20</f>
        <v>1489.47631482022</v>
      </c>
      <c r="AT952" s="2" t="n">
        <f aca="false">AI952-AR952+AS952+Y952*1000-AO952+Hypothèses!$J$23</f>
        <v>23037.6246090707</v>
      </c>
      <c r="AU952" s="2" t="n">
        <f aca="false">AT952/AQ952</f>
        <v>2.87515298515883</v>
      </c>
      <c r="AV952" s="2" t="n">
        <f aca="false">Hypothèses!$J$26*AQ952-AT952</f>
        <v>1000.35673799636</v>
      </c>
      <c r="AW952" s="2" t="n">
        <f aca="false">IF(AC952&gt;Hypothèses!$J$26,MAX(0,AV952)/(1-Hypothèses!$J$26/AC952),0)</f>
        <v>1520.48477605347</v>
      </c>
      <c r="AX952" s="2" t="n">
        <f aca="false">AQ952-Entrées!$C$17*1000</f>
        <v>12.6604490223435</v>
      </c>
      <c r="AY952" s="2" t="n">
        <f aca="false">AI952+(Entrées!$C$244-Entrées!$C$13)</f>
        <v>28511.9708033918</v>
      </c>
      <c r="AZ952" s="2" t="n">
        <f aca="false">AA952*AH952</f>
        <v>5384.80768709675</v>
      </c>
      <c r="BA952" s="2" t="n">
        <f aca="false">AZ952/AY952</f>
        <v>0.188861293532756</v>
      </c>
      <c r="BB952" s="2" t="n">
        <f aca="false">AZ952/(Entrées!$C$151/100)-AY952</f>
        <v>1403.62745825675</v>
      </c>
      <c r="BC952" s="2" t="n">
        <f aca="false">AT952+(Entrées!$C$244-Entrées!$C$13)</f>
        <v>28784.6246090707</v>
      </c>
      <c r="BD952" s="2" t="n">
        <f aca="false">AA952*AQ952</f>
        <v>5759.81466559151</v>
      </c>
      <c r="BE952" s="2" t="n">
        <f aca="false">BD952/BC952</f>
        <v>0.200100391921612</v>
      </c>
      <c r="BF952" s="2" t="n">
        <f aca="false">BD952/(Entrées!$C$151/100)-BC952</f>
        <v>3214.34575532662</v>
      </c>
      <c r="BG952" s="2" t="n">
        <f aca="false">MIN(AV952,BF952)</f>
        <v>1000.35673799636</v>
      </c>
      <c r="BH952" s="2" t="n">
        <f aca="false">IF(AC952&gt;Hypothèses!$J$26,MAX(0,BG952)/(1-Hypothèses!$J$26/AC952),0)</f>
        <v>1520.48477605347</v>
      </c>
    </row>
    <row r="953" customFormat="false" ht="15" hidden="false" customHeight="false" outlineLevel="0" collapsed="false">
      <c r="A953" s="2" t="n">
        <v>938</v>
      </c>
      <c r="B953" s="2" t="n">
        <v>0.248136505</v>
      </c>
      <c r="C953" s="2"/>
      <c r="D953" s="2" t="n">
        <v>0.376292635</v>
      </c>
      <c r="E953" s="2" t="n">
        <f aca="false">IF(E$7=E$5,E$6,IF(NORMSDIST(E$9*SQRT($C$11)*NORMSINV($B953)+SQRT(1-E$9^2*$C$11)*NORMSINV(D953))&lt;E$8,E$5+SQRT(NORMSDIST(E$9*SQRT($C$11)*NORMSINV($B953)+SQRT(1-E$9^2*$C$11)*NORMSINV(D953))*(E$7-E$5)*(E$6-E$5)),E$7-SQRT((1-NORMSDIST(E$9*SQRT($C$11)*NORMSINV($B953)+SQRT(1-E$9^2*$C$11)*NORMSINV(D953)))*(E$7-E$5)*(E$7-E$6))))</f>
        <v>0.0535355583374848</v>
      </c>
      <c r="F953" s="2" t="n">
        <v>0.033457878</v>
      </c>
      <c r="G953" s="2" t="n">
        <f aca="false">IF(G$7=G$5,G$6,IF(NORMSDIST(G$9*SQRT($C$11)*NORMSINV($B953)+SQRT(1-G$9^2*$C$11)*NORMSINV(F953))&lt;G$8,G$5+SQRT(NORMSDIST(G$9*SQRT($C$11)*NORMSINV($B953)+SQRT(1-G$9^2*$C$11)*NORMSINV(F953))*(G$7-G$5)*(G$6-G$5)),G$7-SQRT((1-NORMSDIST(G$9*SQRT($C$11)*NORMSINV($B953)+SQRT(1-G$9^2*$C$11)*NORMSINV(F953)))*(G$7-G$5)*(G$7-G$6))))</f>
        <v>0.0438059463708107</v>
      </c>
      <c r="H953" s="2" t="n">
        <v>0.748136763</v>
      </c>
      <c r="I953" s="2" t="n">
        <f aca="false">IF(I$7=I$5,I$6,IF(NORMSDIST(I$9*SQRT($C$11)*NORMSINV($B953)+SQRT(1-I$9^2*$C$11)*NORMSINV(H953))&lt;I$8,I$5+SQRT(NORMSDIST(I$9*SQRT($C$11)*NORMSINV($B953)+SQRT(1-I$9^2*$C$11)*NORMSINV(H953))*(I$7-I$5)*(I$6-I$5)),I$7-SQRT((1-NORMSDIST(I$9*SQRT($C$11)*NORMSINV($B953)+SQRT(1-I$9^2*$C$11)*NORMSINV(H953)))*(I$7-I$5)*(I$7-I$6))))</f>
        <v>200.710876258322</v>
      </c>
      <c r="J953" s="2" t="n">
        <v>0.13438132</v>
      </c>
      <c r="K953" s="2" t="n">
        <f aca="false">IF(K$7=K$5,K$6,IF(NORMSDIST(K$9*SQRT($C$11)*NORMSINV($B953)+SQRT(1-K$9^2*$C$11)*NORMSINV(J953))&lt;K$8,K$5+SQRT(NORMSDIST(K$9*SQRT($C$11)*NORMSINV($B953)+SQRT(1-K$9^2*$C$11)*NORMSINV(J953))*(K$7-K$5)*(K$6-K$5)),K$7-SQRT((1-NORMSDIST(K$9*SQRT($C$11)*NORMSINV($B953)+SQRT(1-K$9^2*$C$11)*NORMSINV(J953)))*(K$7-K$5)*(K$7-K$6))))</f>
        <v>0.111275310068783</v>
      </c>
      <c r="L953" s="2" t="n">
        <v>0.609611093</v>
      </c>
      <c r="M953" s="2" t="n">
        <f aca="false">IF(M$7=M$5,M$6,IF(NORMSDIST(M$9*SQRT($C$11)*NORMSINV($B953)+SQRT(1-M$9^2*$C$11)*NORMSINV(L953))&lt;M$8,M$5+SQRT(NORMSDIST(M$9*SQRT($C$11)*NORMSINV($B953)+SQRT(1-M$9^2*$C$11)*NORMSINV(L953))*(M$7-M$5)*(M$6-M$5)),M$7-SQRT((1-NORMSDIST(M$9*SQRT($C$11)*NORMSINV($B953)+SQRT(1-M$9^2*$C$11)*NORMSINV(L953)))*(M$7-M$5)*(M$7-M$6))))</f>
        <v>1560.2488635981</v>
      </c>
      <c r="N953" s="2" t="n">
        <v>0.558535294</v>
      </c>
      <c r="O953" s="2" t="n">
        <f aca="false">IF(O$7=O$5,O$6,IF(NORMSDIST(O$9*SQRT($C$11)*NORMSINV($B953)+SQRT(1-O$9^2*$C$11)*NORMSINV(N953))&lt;O$8,O$5+SQRT(NORMSDIST(O$9*SQRT($C$11)*NORMSINV($B953)+SQRT(1-O$9^2*$C$11)*NORMSINV(N953))*(O$7-O$5)*(O$6-O$5)),O$7-SQRT((1-NORMSDIST(O$9*SQRT($C$11)*NORMSINV($B953)+SQRT(1-O$9^2*$C$11)*NORMSINV(N953)))*(O$7-O$5)*(O$7-O$6))))</f>
        <v>0.163224226854628</v>
      </c>
      <c r="P953" s="2" t="n">
        <v>0.143899267</v>
      </c>
      <c r="Q953" s="2" t="n">
        <f aca="false">IF(Q$7=Q$5,Q$6,IF(NORMSDIST(Q$9*SQRT($C$11)*NORMSINV($B953)+SQRT(1-Q$9^2*$C$11)*NORMSINV(P953))&lt;Q$8,Q$5+SQRT(NORMSDIST(Q$9*SQRT($C$11)*NORMSINV($B953)+SQRT(1-Q$9^2*$C$11)*NORMSINV(P953))*(Q$7-Q$5)*(Q$6-Q$5)),Q$7-SQRT((1-NORMSDIST(Q$9*SQRT($C$11)*NORMSINV($B953)+SQRT(1-Q$9^2*$C$11)*NORMSINV(P953)))*(Q$7-Q$5)*(Q$7-Q$6))))</f>
        <v>0.0614587430759586</v>
      </c>
      <c r="R953" s="2" t="n">
        <v>0.771636726</v>
      </c>
      <c r="S953" s="2" t="n">
        <f aca="false">IF(S$7=S$5,S$6,IF(NORMSDIST(S$9*SQRT($C$11)*NORMSINV($B953)+SQRT(1-S$9^2*$C$11)*NORMSINV(R953))&lt;S$8,S$5+SQRT(NORMSDIST(S$9*SQRT($C$11)*NORMSINV($B953)+SQRT(1-S$9^2*$C$11)*NORMSINV(R953))*(S$7-S$5)*(S$6-S$5)),S$7-SQRT((1-NORMSDIST(S$9*SQRT($C$11)*NORMSINV($B953)+SQRT(1-S$9^2*$C$11)*NORMSINV(R953)))*(S$7-S$5)*(S$7-S$6))))</f>
        <v>0.529954611773698</v>
      </c>
      <c r="T953" s="2" t="n">
        <v>0.642496067</v>
      </c>
      <c r="U953" s="2" t="n">
        <f aca="false">IF(U$7=U$5,U$6,IF(NORMSDIST(U$9*SQRT($C$11)*NORMSINV($B953)+SQRT(1-U$9^2*$C$11)*NORMSINV(T953))&lt;U$8,U$5+SQRT(NORMSDIST(U$9*SQRT($C$11)*NORMSINV($B953)+SQRT(1-U$9^2*$C$11)*NORMSINV(T953))*(U$7-U$5)*(U$6-U$5)),U$7-SQRT((1-NORMSDIST(U$9*SQRT($C$11)*NORMSINV($B953)+SQRT(1-U$9^2*$C$11)*NORMSINV(T953)))*(U$7-U$5)*(U$7-U$6))))</f>
        <v>0.469777717452693</v>
      </c>
      <c r="V953" s="2" t="n">
        <v>0.289905945</v>
      </c>
      <c r="W953" s="2" t="n">
        <f aca="false">IF(W$7=W$5,W$6,IF(NORMSDIST(W$9*SQRT($C$11)*NORMSINV($B953)+SQRT(1-W$9^2*$C$11)*NORMSINV(V953))&lt;W$8,W$5+SQRT(NORMSDIST(W$9*SQRT($C$11)*NORMSINV($B953)+SQRT(1-W$9^2*$C$11)*NORMSINV(V953))*(W$7-W$5)*(W$6-W$5)),W$7-SQRT((1-NORMSDIST(W$9*SQRT($C$11)*NORMSINV($B953)+SQRT(1-W$9^2*$C$11)*NORMSINV(V953)))*(W$7-W$5)*(W$7-W$6))))</f>
        <v>9.24940011064393</v>
      </c>
      <c r="X953" s="2" t="n">
        <v>0.518327901</v>
      </c>
      <c r="Y953" s="2" t="n">
        <f aca="false">IF(Y$7=Y$5,Y$6,IF(NORMSDIST(Y$9*SQRT($C$11)*NORMSINV($B953)+SQRT(1-Y$9^2*$C$11)*NORMSINV(X953))&lt;Y$8,Y$5+SQRT(NORMSDIST(Y$9*SQRT($C$11)*NORMSINV($B953)+SQRT(1-Y$9^2*$C$11)*NORMSINV(X953))*(Y$7-Y$5)*(Y$6-Y$5)),Y$7-SQRT((1-NORMSDIST(Y$9*SQRT($C$11)*NORMSINV($B953)+SQRT(1-Y$9^2*$C$11)*NORMSINV(X953)))*(Y$7-Y$5)*(Y$7-Y$6))))</f>
        <v>0.509249503820934</v>
      </c>
      <c r="Z953" s="2" t="n">
        <v>0.739532636</v>
      </c>
      <c r="AA953" s="2" t="n">
        <f aca="false">IF(AA$7=AA$5,AA$6,IF(NORMSDIST(AA$9*SQRT($C$11)*NORMSINV($B953)+SQRT(1-AA$9^2*$C$11)*NORMSINV(Z953))&lt;AA$8,AA$5+SQRT(NORMSDIST(AA$9*SQRT($C$11)*NORMSINV($B953)+SQRT(1-AA$9^2*$C$11)*NORMSINV(Z953))*(AA$7-AA$5)*(AA$6-AA$5)),AA$7-SQRT((1-NORMSDIST(AA$9*SQRT($C$11)*NORMSINV($B953)+SQRT(1-AA$9^2*$C$11)*NORMSINV(Z953)))*(AA$7-AA$5)*(AA$7-AA$6))))</f>
        <v>0.728913196703453</v>
      </c>
      <c r="AB953" s="2" t="n">
        <v>0.446715308</v>
      </c>
      <c r="AC953" s="2" t="n">
        <f aca="false">IF(AC$7=AC$5,AC$6,IF(NORMSDIST(AC$9*SQRT($C$11)*NORMSINV($B953)+SQRT(1-AC$9^2*$C$11)*NORMSINV(AB953))&lt;AC$8,AC$5+SQRT(NORMSDIST(AC$9*SQRT($C$11)*NORMSINV($B953)+SQRT(1-AC$9^2*$C$11)*NORMSINV(AB953))*(AC$7-AC$5)*(AC$6-AC$5)),AC$7-SQRT((1-NORMSDIST(AC$9*SQRT($C$11)*NORMSINV($B953)+SQRT(1-AC$9^2*$C$11)*NORMSINV(AB953)))*(AC$7-AC$5)*(AC$7-AC$6))))</f>
        <v>9.00094591639695</v>
      </c>
      <c r="AD953" s="2" t="n">
        <f aca="false">Entrées!$C$8*(1+E953)</f>
        <v>7427.42568627927</v>
      </c>
      <c r="AE953" s="2" t="n">
        <f aca="false">I953*Hypothèses!$J$24/12/Hypothèses!$J$19</f>
        <v>99.5720233116029</v>
      </c>
      <c r="AF953" s="2" t="n">
        <f aca="false">Entrées!$C$36*S953*1000</f>
        <v>264.977305886849</v>
      </c>
      <c r="AG953" s="2" t="n">
        <f aca="false">-AF953/W953</f>
        <v>-28.6480531404325</v>
      </c>
      <c r="AH953" s="2" t="n">
        <f aca="false">AD953+AE953+AG953</f>
        <v>7498.34965645044</v>
      </c>
      <c r="AI953" s="2" t="n">
        <f aca="false">Entrées!$C$16-M953+Hypothèses!$J$22*1000-AF953+Hypothèses!$J$23</f>
        <v>22722.7738305151</v>
      </c>
      <c r="AJ953" s="2" t="n">
        <f aca="false">AI953/AH953</f>
        <v>3.03036999761245</v>
      </c>
      <c r="AK953" s="2" t="n">
        <f aca="false">AI953/(AH953+I953*(12-Hypothèses!$J$24)/12/Hypothèses!$J$19)</f>
        <v>3.00189659711748</v>
      </c>
      <c r="AL953" s="2" t="n">
        <f aca="false">(AD953+AG953+I953/Hypothèses!$J$19)*(1+G953)</f>
        <v>7901.06043795965</v>
      </c>
      <c r="AM953" s="2" t="n">
        <f aca="false">Entrées!$C$54*K953/Hypothèses!$J$19</f>
        <v>11.3561126073541</v>
      </c>
      <c r="AN953" s="2" t="n">
        <f aca="false">Y953*1000/AC953</f>
        <v>56.5773318216742</v>
      </c>
      <c r="AO953" s="2" t="n">
        <f aca="false">(Entrées!$C$36*(1-S953)+MAX(0,Entrées!$C$30-Entrées!$C$35-Entrées!$C$36)*U953)*1000</f>
        <v>892.711498546922</v>
      </c>
      <c r="AP953" s="2" t="n">
        <f aca="false">-AO953/W953</f>
        <v>-96.515610511823</v>
      </c>
      <c r="AQ953" s="2" t="n">
        <f aca="false">AL953+AM953+AN953+AP953</f>
        <v>7872.47827187686</v>
      </c>
      <c r="AR953" s="2" t="n">
        <f aca="false">O953*AQ953-Hypothèses!$J$25/Hypothèses!$J$19</f>
        <v>1265.84401709534</v>
      </c>
      <c r="AS953" s="2" t="n">
        <f aca="false">Entrées!$C$79*(1+Q953)+Hypothèses!$J$20</f>
        <v>1461.54315864048</v>
      </c>
      <c r="AT953" s="2" t="n">
        <f aca="false">AI953-AR953+AS953+Y953*1000-AO953+Hypothèses!$J$23</f>
        <v>22535.0109773342</v>
      </c>
      <c r="AU953" s="2" t="n">
        <f aca="false">AT953/AQ953</f>
        <v>2.86250532539885</v>
      </c>
      <c r="AV953" s="2" t="n">
        <f aca="false">Hypothèses!$J$26*AQ953-AT953</f>
        <v>1082.42383829637</v>
      </c>
      <c r="AW953" s="2" t="n">
        <f aca="false">IF(AC953&gt;Hypothèses!$J$26,MAX(0,AV953)/(1-Hypothèses!$J$26/AC953),0)</f>
        <v>1623.55044735584</v>
      </c>
      <c r="AX953" s="2" t="n">
        <f aca="false">AQ953-Entrées!$C$17*1000</f>
        <v>-127.521728123141</v>
      </c>
      <c r="AY953" s="2" t="n">
        <f aca="false">AI953+(Entrées!$C$244-Entrées!$C$13)</f>
        <v>28469.7738305151</v>
      </c>
      <c r="AZ953" s="2" t="n">
        <f aca="false">AA953*AH953</f>
        <v>5465.64601808353</v>
      </c>
      <c r="BA953" s="2" t="n">
        <f aca="false">AZ953/AY953</f>
        <v>0.191980661687773</v>
      </c>
      <c r="BB953" s="2" t="n">
        <f aca="false">AZ953/(Entrées!$C$151/100)-AY953</f>
        <v>1894.926269949</v>
      </c>
      <c r="BC953" s="2" t="n">
        <f aca="false">AT953+(Entrées!$C$244-Entrées!$C$13)</f>
        <v>28282.0109773342</v>
      </c>
      <c r="BD953" s="2" t="n">
        <f aca="false">AA953*AQ953</f>
        <v>5738.35330313224</v>
      </c>
      <c r="BE953" s="2" t="n">
        <f aca="false">BD953/BC953</f>
        <v>0.202897640755853</v>
      </c>
      <c r="BF953" s="2" t="n">
        <f aca="false">BD953/(Entrées!$C$151/100)-BC953</f>
        <v>3597.72959562267</v>
      </c>
      <c r="BG953" s="2" t="n">
        <f aca="false">MIN(AV953,BF953)</f>
        <v>1082.42383829637</v>
      </c>
      <c r="BH953" s="2" t="n">
        <f aca="false">IF(AC953&gt;Hypothèses!$J$26,MAX(0,BG953)/(1-Hypothèses!$J$26/AC953),0)</f>
        <v>1623.55044735584</v>
      </c>
    </row>
    <row r="954" customFormat="false" ht="15" hidden="false" customHeight="false" outlineLevel="0" collapsed="false">
      <c r="A954" s="2" t="n">
        <v>939</v>
      </c>
      <c r="B954" s="2" t="n">
        <v>0.884649268</v>
      </c>
      <c r="C954" s="2"/>
      <c r="D954" s="2" t="n">
        <v>0.643492137</v>
      </c>
      <c r="E954" s="2" t="n">
        <f aca="false">IF(E$7=E$5,E$6,IF(NORMSDIST(E$9*SQRT($C$11)*NORMSINV($B954)+SQRT(1-E$9^2*$C$11)*NORMSINV(D954))&lt;E$8,E$5+SQRT(NORMSDIST(E$9*SQRT($C$11)*NORMSINV($B954)+SQRT(1-E$9^2*$C$11)*NORMSINV(D954))*(E$7-E$5)*(E$6-E$5)),E$7-SQRT((1-NORMSDIST(E$9*SQRT($C$11)*NORMSINV($B954)+SQRT(1-E$9^2*$C$11)*NORMSINV(D954)))*(E$7-E$5)*(E$7-E$6))))</f>
        <v>0.0572752150139374</v>
      </c>
      <c r="F954" s="2" t="n">
        <v>0.622805362</v>
      </c>
      <c r="G954" s="2" t="n">
        <f aca="false">IF(G$7=G$5,G$6,IF(NORMSDIST(G$9*SQRT($C$11)*NORMSINV($B954)+SQRT(1-G$9^2*$C$11)*NORMSINV(F954))&lt;G$8,G$5+SQRT(NORMSDIST(G$9*SQRT($C$11)*NORMSINV($B954)+SQRT(1-G$9^2*$C$11)*NORMSINV(F954))*(G$7-G$5)*(G$6-G$5)),G$7-SQRT((1-NORMSDIST(G$9*SQRT($C$11)*NORMSINV($B954)+SQRT(1-G$9^2*$C$11)*NORMSINV(F954)))*(G$7-G$5)*(G$7-G$6))))</f>
        <v>0.0615528360797111</v>
      </c>
      <c r="H954" s="2" t="n">
        <v>0.454546789</v>
      </c>
      <c r="I954" s="2" t="n">
        <f aca="false">IF(I$7=I$5,I$6,IF(NORMSDIST(I$9*SQRT($C$11)*NORMSINV($B954)+SQRT(1-I$9^2*$C$11)*NORMSINV(H954))&lt;I$8,I$5+SQRT(NORMSDIST(I$9*SQRT($C$11)*NORMSINV($B954)+SQRT(1-I$9^2*$C$11)*NORMSINV(H954))*(I$7-I$5)*(I$6-I$5)),I$7-SQRT((1-NORMSDIST(I$9*SQRT($C$11)*NORMSINV($B954)+SQRT(1-I$9^2*$C$11)*NORMSINV(H954)))*(I$7-I$5)*(I$7-I$6))))</f>
        <v>205.813794743081</v>
      </c>
      <c r="J954" s="2" t="n">
        <v>0.031021349</v>
      </c>
      <c r="K954" s="2" t="n">
        <f aca="false">IF(K$7=K$5,K$6,IF(NORMSDIST(K$9*SQRT($C$11)*NORMSINV($B954)+SQRT(1-K$9^2*$C$11)*NORMSINV(J954))&lt;K$8,K$5+SQRT(NORMSDIST(K$9*SQRT($C$11)*NORMSINV($B954)+SQRT(1-K$9^2*$C$11)*NORMSINV(J954))*(K$7-K$5)*(K$6-K$5)),K$7-SQRT((1-NORMSDIST(K$9*SQRT($C$11)*NORMSINV($B954)+SQRT(1-K$9^2*$C$11)*NORMSINV(J954)))*(K$7-K$5)*(K$7-K$6))))</f>
        <v>0.175331323745197</v>
      </c>
      <c r="L954" s="2" t="n">
        <v>0.73651068</v>
      </c>
      <c r="M954" s="2" t="n">
        <f aca="false">IF(M$7=M$5,M$6,IF(NORMSDIST(M$9*SQRT($C$11)*NORMSINV($B954)+SQRT(1-M$9^2*$C$11)*NORMSINV(L954))&lt;M$8,M$5+SQRT(NORMSDIST(M$9*SQRT($C$11)*NORMSINV($B954)+SQRT(1-M$9^2*$C$11)*NORMSINV(L954))*(M$7-M$5)*(M$6-M$5)),M$7-SQRT((1-NORMSDIST(M$9*SQRT($C$11)*NORMSINV($B954)+SQRT(1-M$9^2*$C$11)*NORMSINV(L954)))*(M$7-M$5)*(M$7-M$6))))</f>
        <v>1700.03638744543</v>
      </c>
      <c r="N954" s="2" t="n">
        <v>0.476424583</v>
      </c>
      <c r="O954" s="2" t="n">
        <f aca="false">IF(O$7=O$5,O$6,IF(NORMSDIST(O$9*SQRT($C$11)*NORMSINV($B954)+SQRT(1-O$9^2*$C$11)*NORMSINV(N954))&lt;O$8,O$5+SQRT(NORMSDIST(O$9*SQRT($C$11)*NORMSINV($B954)+SQRT(1-O$9^2*$C$11)*NORMSINV(N954))*(O$7-O$5)*(O$6-O$5)),O$7-SQRT((1-NORMSDIST(O$9*SQRT($C$11)*NORMSINV($B954)+SQRT(1-O$9^2*$C$11)*NORMSINV(N954)))*(O$7-O$5)*(O$7-O$6))))</f>
        <v>0.17407251696217</v>
      </c>
      <c r="P954" s="2" t="n">
        <v>0.453122198</v>
      </c>
      <c r="Q954" s="2" t="n">
        <f aca="false">IF(Q$7=Q$5,Q$6,IF(NORMSDIST(Q$9*SQRT($C$11)*NORMSINV($B954)+SQRT(1-Q$9^2*$C$11)*NORMSINV(P954))&lt;Q$8,Q$5+SQRT(NORMSDIST(Q$9*SQRT($C$11)*NORMSINV($B954)+SQRT(1-Q$9^2*$C$11)*NORMSINV(P954))*(Q$7-Q$5)*(Q$6-Q$5)),Q$7-SQRT((1-NORMSDIST(Q$9*SQRT($C$11)*NORMSINV($B954)+SQRT(1-Q$9^2*$C$11)*NORMSINV(P954)))*(Q$7-Q$5)*(Q$7-Q$6))))</f>
        <v>0.0780787477945376</v>
      </c>
      <c r="R954" s="2" t="n">
        <v>0.165367402</v>
      </c>
      <c r="S954" s="2" t="n">
        <f aca="false">IF(S$7=S$5,S$6,IF(NORMSDIST(S$9*SQRT($C$11)*NORMSINV($B954)+SQRT(1-S$9^2*$C$11)*NORMSINV(R954))&lt;S$8,S$5+SQRT(NORMSDIST(S$9*SQRT($C$11)*NORMSINV($B954)+SQRT(1-S$9^2*$C$11)*NORMSINV(R954))*(S$7-S$5)*(S$6-S$5)),S$7-SQRT((1-NORMSDIST(S$9*SQRT($C$11)*NORMSINV($B954)+SQRT(1-S$9^2*$C$11)*NORMSINV(R954)))*(S$7-S$5)*(S$7-S$6))))</f>
        <v>0.500924860814409</v>
      </c>
      <c r="T954" s="2" t="n">
        <v>0.301800098</v>
      </c>
      <c r="U954" s="2" t="n">
        <f aca="false">IF(U$7=U$5,U$6,IF(NORMSDIST(U$9*SQRT($C$11)*NORMSINV($B954)+SQRT(1-U$9^2*$C$11)*NORMSINV(T954))&lt;U$8,U$5+SQRT(NORMSDIST(U$9*SQRT($C$11)*NORMSINV($B954)+SQRT(1-U$9^2*$C$11)*NORMSINV(T954))*(U$7-U$5)*(U$6-U$5)),U$7-SQRT((1-NORMSDIST(U$9*SQRT($C$11)*NORMSINV($B954)+SQRT(1-U$9^2*$C$11)*NORMSINV(T954)))*(U$7-U$5)*(U$7-U$6))))</f>
        <v>0.575158300489012</v>
      </c>
      <c r="V954" s="2" t="n">
        <v>0.547930739</v>
      </c>
      <c r="W954" s="2" t="n">
        <f aca="false">IF(W$7=W$5,W$6,IF(NORMSDIST(W$9*SQRT($C$11)*NORMSINV($B954)+SQRT(1-W$9^2*$C$11)*NORMSINV(V954))&lt;W$8,W$5+SQRT(NORMSDIST(W$9*SQRT($C$11)*NORMSINV($B954)+SQRT(1-W$9^2*$C$11)*NORMSINV(V954))*(W$7-W$5)*(W$6-W$5)),W$7-SQRT((1-NORMSDIST(W$9*SQRT($C$11)*NORMSINV($B954)+SQRT(1-W$9^2*$C$11)*NORMSINV(V954)))*(W$7-W$5)*(W$7-W$6))))</f>
        <v>10.7436699900551</v>
      </c>
      <c r="X954" s="2" t="n">
        <v>0.208748552</v>
      </c>
      <c r="Y954" s="2" t="n">
        <f aca="false">IF(Y$7=Y$5,Y$6,IF(NORMSDIST(Y$9*SQRT($C$11)*NORMSINV($B954)+SQRT(1-Y$9^2*$C$11)*NORMSINV(X954))&lt;Y$8,Y$5+SQRT(NORMSDIST(Y$9*SQRT($C$11)*NORMSINV($B954)+SQRT(1-Y$9^2*$C$11)*NORMSINV(X954))*(Y$7-Y$5)*(Y$6-Y$5)),Y$7-SQRT((1-NORMSDIST(Y$9*SQRT($C$11)*NORMSINV($B954)+SQRT(1-Y$9^2*$C$11)*NORMSINV(X954)))*(Y$7-Y$5)*(Y$7-Y$6))))</f>
        <v>0.323070079085018</v>
      </c>
      <c r="Z954" s="2" t="n">
        <v>0.959028179</v>
      </c>
      <c r="AA954" s="2" t="n">
        <f aca="false">IF(AA$7=AA$5,AA$6,IF(NORMSDIST(AA$9*SQRT($C$11)*NORMSINV($B954)+SQRT(1-AA$9^2*$C$11)*NORMSINV(Z954))&lt;AA$8,AA$5+SQRT(NORMSDIST(AA$9*SQRT($C$11)*NORMSINV($B954)+SQRT(1-AA$9^2*$C$11)*NORMSINV(Z954))*(AA$7-AA$5)*(AA$6-AA$5)),AA$7-SQRT((1-NORMSDIST(AA$9*SQRT($C$11)*NORMSINV($B954)+SQRT(1-AA$9^2*$C$11)*NORMSINV(Z954)))*(AA$7-AA$5)*(AA$7-AA$6))))</f>
        <v>0.74911197544507</v>
      </c>
      <c r="AB954" s="2" t="n">
        <v>0.516932382</v>
      </c>
      <c r="AC954" s="2" t="n">
        <f aca="false">IF(AC$7=AC$5,AC$6,IF(NORMSDIST(AC$9*SQRT($C$11)*NORMSINV($B954)+SQRT(1-AC$9^2*$C$11)*NORMSINV(AB954))&lt;AC$8,AC$5+SQRT(NORMSDIST(AC$9*SQRT($C$11)*NORMSINV($B954)+SQRT(1-AC$9^2*$C$11)*NORMSINV(AB954))*(AC$7-AC$5)*(AC$6-AC$5)),AC$7-SQRT((1-NORMSDIST(AC$9*SQRT($C$11)*NORMSINV($B954)+SQRT(1-AC$9^2*$C$11)*NORMSINV(AB954)))*(AC$7-AC$5)*(AC$7-AC$6))))</f>
        <v>10.0373878966622</v>
      </c>
      <c r="AD954" s="2" t="n">
        <f aca="false">Entrées!$C$8*(1+E954)</f>
        <v>7453.79026584826</v>
      </c>
      <c r="AE954" s="2" t="n">
        <f aca="false">I954*Hypothèses!$J$24/12/Hypothèses!$J$19</f>
        <v>102.103564839366</v>
      </c>
      <c r="AF954" s="2" t="n">
        <f aca="false">Entrées!$C$36*S954*1000</f>
        <v>250.462430407204</v>
      </c>
      <c r="AG954" s="2" t="n">
        <f aca="false">-AF954/W954</f>
        <v>-23.3125580587496</v>
      </c>
      <c r="AH954" s="2" t="n">
        <f aca="false">AD954+AE954+AG954</f>
        <v>7532.58127262888</v>
      </c>
      <c r="AI954" s="2" t="n">
        <f aca="false">Entrées!$C$16-M954+Hypothèses!$J$22*1000-AF954+Hypothèses!$J$23</f>
        <v>22597.5011821474</v>
      </c>
      <c r="AJ954" s="2" t="n">
        <f aca="false">AI954/AH954</f>
        <v>2.99996778850032</v>
      </c>
      <c r="AK954" s="2" t="n">
        <f aca="false">AI954/(AH954+I954*(12-Hypothèses!$J$24)/12/Hypothèses!$J$19)</f>
        <v>2.97120036393028</v>
      </c>
      <c r="AL954" s="2" t="n">
        <f aca="false">(AD954+AG954+I954/Hypothèses!$J$19)*(1+G954)</f>
        <v>8073.65324783802</v>
      </c>
      <c r="AM954" s="2" t="n">
        <f aca="false">Entrées!$C$54*K954/Hypothèses!$J$19</f>
        <v>17.8932977568534</v>
      </c>
      <c r="AN954" s="2" t="n">
        <f aca="false">Y954*1000/AC954</f>
        <v>32.1866687240862</v>
      </c>
      <c r="AO954" s="2" t="n">
        <f aca="false">(Entrées!$C$36*(1-S954)+MAX(0,Entrées!$C$30-Entrées!$C$35-Entrées!$C$36)*U954)*1000</f>
        <v>1054.75919027741</v>
      </c>
      <c r="AP954" s="2" t="n">
        <f aca="false">-AO954/W954</f>
        <v>-98.1749431296527</v>
      </c>
      <c r="AQ954" s="2" t="n">
        <f aca="false">AL954+AM954+AN954+AP954</f>
        <v>8025.5582711893</v>
      </c>
      <c r="AR954" s="2" t="n">
        <f aca="false">O954*AQ954-Hypothèses!$J$25/Hypothèses!$J$19</f>
        <v>1377.89396603086</v>
      </c>
      <c r="AS954" s="2" t="n">
        <f aca="false">Entrées!$C$79*(1+Q954)+Hypothèses!$J$20</f>
        <v>1479.8085438262</v>
      </c>
      <c r="AT954" s="2" t="n">
        <f aca="false">AI954-AR954+AS954+Y954*1000-AO954+Hypothèses!$J$23</f>
        <v>21967.7266487503</v>
      </c>
      <c r="AU954" s="2" t="n">
        <f aca="false">AT954/AQ954</f>
        <v>2.73722100151108</v>
      </c>
      <c r="AV954" s="2" t="n">
        <f aca="false">Hypothèses!$J$26*AQ954-AT954</f>
        <v>2108.9481648176</v>
      </c>
      <c r="AW954" s="2" t="n">
        <f aca="false">IF(AC954&gt;Hypothèses!$J$26,MAX(0,AV954)/(1-Hypothèses!$J$26/AC954),0)</f>
        <v>3007.98124177128</v>
      </c>
      <c r="AX954" s="2" t="n">
        <f aca="false">AQ954-Entrées!$C$17*1000</f>
        <v>25.558271189303</v>
      </c>
      <c r="AY954" s="2" t="n">
        <f aca="false">AI954+(Entrées!$C$244-Entrées!$C$13)</f>
        <v>28344.5011821474</v>
      </c>
      <c r="AZ954" s="2" t="n">
        <f aca="false">AA954*AH954</f>
        <v>5642.74683733956</v>
      </c>
      <c r="BA954" s="2" t="n">
        <f aca="false">AZ954/AY954</f>
        <v>0.199077302545497</v>
      </c>
      <c r="BB954" s="2" t="n">
        <f aca="false">AZ954/(Entrées!$C$151/100)-AY954</f>
        <v>3004.09235862796</v>
      </c>
      <c r="BC954" s="2" t="n">
        <f aca="false">AT954+(Entrées!$C$244-Entrées!$C$13)</f>
        <v>27714.7266487503</v>
      </c>
      <c r="BD954" s="2" t="n">
        <f aca="false">AA954*AQ954</f>
        <v>6012.04181058014</v>
      </c>
      <c r="BE954" s="2" t="n">
        <f aca="false">BD954/BC954</f>
        <v>0.216925892388379</v>
      </c>
      <c r="BF954" s="2" t="n">
        <f aca="false">BD954/(Entrées!$C$151/100)-BC954</f>
        <v>5685.50563225048</v>
      </c>
      <c r="BG954" s="2" t="n">
        <f aca="false">MIN(AV954,BF954)</f>
        <v>2108.9481648176</v>
      </c>
      <c r="BH954" s="2" t="n">
        <f aca="false">IF(AC954&gt;Hypothèses!$J$26,MAX(0,BG954)/(1-Hypothèses!$J$26/AC954),0)</f>
        <v>3007.98124177128</v>
      </c>
    </row>
    <row r="955" customFormat="false" ht="15" hidden="false" customHeight="false" outlineLevel="0" collapsed="false">
      <c r="A955" s="2" t="n">
        <v>940</v>
      </c>
      <c r="B955" s="2" t="n">
        <v>0.421210657</v>
      </c>
      <c r="C955" s="2"/>
      <c r="D955" s="2" t="n">
        <v>0.816699832</v>
      </c>
      <c r="E955" s="2" t="n">
        <f aca="false">IF(E$7=E$5,E$6,IF(NORMSDIST(E$9*SQRT($C$11)*NORMSINV($B955)+SQRT(1-E$9^2*$C$11)*NORMSINV(D955))&lt;E$8,E$5+SQRT(NORMSDIST(E$9*SQRT($C$11)*NORMSINV($B955)+SQRT(1-E$9^2*$C$11)*NORMSINV(D955))*(E$7-E$5)*(E$6-E$5)),E$7-SQRT((1-NORMSDIST(E$9*SQRT($C$11)*NORMSINV($B955)+SQRT(1-E$9^2*$C$11)*NORMSINV(D955)))*(E$7-E$5)*(E$7-E$6))))</f>
        <v>0.0562376077427607</v>
      </c>
      <c r="F955" s="2" t="n">
        <v>0.88105693</v>
      </c>
      <c r="G955" s="2" t="n">
        <f aca="false">IF(G$7=G$5,G$6,IF(NORMSDIST(G$9*SQRT($C$11)*NORMSINV($B955)+SQRT(1-G$9^2*$C$11)*NORMSINV(F955))&lt;G$8,G$5+SQRT(NORMSDIST(G$9*SQRT($C$11)*NORMSINV($B955)+SQRT(1-G$9^2*$C$11)*NORMSINV(F955))*(G$7-G$5)*(G$6-G$5)),G$7-SQRT((1-NORMSDIST(G$9*SQRT($C$11)*NORMSINV($B955)+SQRT(1-G$9^2*$C$11)*NORMSINV(F955)))*(G$7-G$5)*(G$7-G$6))))</f>
        <v>0.0601593249767679</v>
      </c>
      <c r="H955" s="2" t="n">
        <v>0.564392615</v>
      </c>
      <c r="I955" s="2" t="n">
        <f aca="false">IF(I$7=I$5,I$6,IF(NORMSDIST(I$9*SQRT($C$11)*NORMSINV($B955)+SQRT(1-I$9^2*$C$11)*NORMSINV(H955))&lt;I$8,I$5+SQRT(NORMSDIST(I$9*SQRT($C$11)*NORMSINV($B955)+SQRT(1-I$9^2*$C$11)*NORMSINV(H955))*(I$7-I$5)*(I$6-I$5)),I$7-SQRT((1-NORMSDIST(I$9*SQRT($C$11)*NORMSINV($B955)+SQRT(1-I$9^2*$C$11)*NORMSINV(H955)))*(I$7-I$5)*(I$7-I$6))))</f>
        <v>199.998753723188</v>
      </c>
      <c r="J955" s="2" t="n">
        <v>0.134262527</v>
      </c>
      <c r="K955" s="2" t="n">
        <f aca="false">IF(K$7=K$5,K$6,IF(NORMSDIST(K$9*SQRT($C$11)*NORMSINV($B955)+SQRT(1-K$9^2*$C$11)*NORMSINV(J955))&lt;K$8,K$5+SQRT(NORMSDIST(K$9*SQRT($C$11)*NORMSINV($B955)+SQRT(1-K$9^2*$C$11)*NORMSINV(J955))*(K$7-K$5)*(K$6-K$5)),K$7-SQRT((1-NORMSDIST(K$9*SQRT($C$11)*NORMSINV($B955)+SQRT(1-K$9^2*$C$11)*NORMSINV(J955)))*(K$7-K$5)*(K$7-K$6))))</f>
        <v>0.142677158073129</v>
      </c>
      <c r="L955" s="2" t="n">
        <v>0.700384736</v>
      </c>
      <c r="M955" s="2" t="n">
        <f aca="false">IF(M$7=M$5,M$6,IF(NORMSDIST(M$9*SQRT($C$11)*NORMSINV($B955)+SQRT(1-M$9^2*$C$11)*NORMSINV(L955))&lt;M$8,M$5+SQRT(NORMSDIST(M$9*SQRT($C$11)*NORMSINV($B955)+SQRT(1-M$9^2*$C$11)*NORMSINV(L955))*(M$7-M$5)*(M$6-M$5)),M$7-SQRT((1-NORMSDIST(M$9*SQRT($C$11)*NORMSINV($B955)+SQRT(1-M$9^2*$C$11)*NORMSINV(L955)))*(M$7-M$5)*(M$7-M$6))))</f>
        <v>1615.04261741581</v>
      </c>
      <c r="N955" s="2" t="n">
        <v>0.995870429</v>
      </c>
      <c r="O955" s="2" t="n">
        <f aca="false">IF(O$7=O$5,O$6,IF(NORMSDIST(O$9*SQRT($C$11)*NORMSINV($B955)+SQRT(1-O$9^2*$C$11)*NORMSINV(N955))&lt;O$8,O$5+SQRT(NORMSDIST(O$9*SQRT($C$11)*NORMSINV($B955)+SQRT(1-O$9^2*$C$11)*NORMSINV(N955))*(O$7-O$5)*(O$6-O$5)),O$7-SQRT((1-NORMSDIST(O$9*SQRT($C$11)*NORMSINV($B955)+SQRT(1-O$9^2*$C$11)*NORMSINV(N955)))*(O$7-O$5)*(O$7-O$6))))</f>
        <v>0.184596002517464</v>
      </c>
      <c r="P955" s="2" t="n">
        <v>0.003485547</v>
      </c>
      <c r="Q955" s="2" t="n">
        <f aca="false">IF(Q$7=Q$5,Q$6,IF(NORMSDIST(Q$9*SQRT($C$11)*NORMSINV($B955)+SQRT(1-Q$9^2*$C$11)*NORMSINV(P955))&lt;Q$8,Q$5+SQRT(NORMSDIST(Q$9*SQRT($C$11)*NORMSINV($B955)+SQRT(1-Q$9^2*$C$11)*NORMSINV(P955))*(Q$7-Q$5)*(Q$6-Q$5)),Q$7-SQRT((1-NORMSDIST(Q$9*SQRT($C$11)*NORMSINV($B955)+SQRT(1-Q$9^2*$C$11)*NORMSINV(P955)))*(Q$7-Q$5)*(Q$7-Q$6))))</f>
        <v>0.0433397231022946</v>
      </c>
      <c r="R955" s="2" t="n">
        <v>0.81978295</v>
      </c>
      <c r="S955" s="2" t="n">
        <f aca="false">IF(S$7=S$5,S$6,IF(NORMSDIST(S$9*SQRT($C$11)*NORMSINV($B955)+SQRT(1-S$9^2*$C$11)*NORMSINV(R955))&lt;S$8,S$5+SQRT(NORMSDIST(S$9*SQRT($C$11)*NORMSINV($B955)+SQRT(1-S$9^2*$C$11)*NORMSINV(R955))*(S$7-S$5)*(S$6-S$5)),S$7-SQRT((1-NORMSDIST(S$9*SQRT($C$11)*NORMSINV($B955)+SQRT(1-S$9^2*$C$11)*NORMSINV(R955)))*(S$7-S$5)*(S$7-S$6))))</f>
        <v>0.625795195974935</v>
      </c>
      <c r="T955" s="2" t="n">
        <v>0.569289621</v>
      </c>
      <c r="U955" s="2" t="n">
        <f aca="false">IF(U$7=U$5,U$6,IF(NORMSDIST(U$9*SQRT($C$11)*NORMSINV($B955)+SQRT(1-U$9^2*$C$11)*NORMSINV(T955))&lt;U$8,U$5+SQRT(NORMSDIST(U$9*SQRT($C$11)*NORMSINV($B955)+SQRT(1-U$9^2*$C$11)*NORMSINV(T955))*(U$7-U$5)*(U$6-U$5)),U$7-SQRT((1-NORMSDIST(U$9*SQRT($C$11)*NORMSINV($B955)+SQRT(1-U$9^2*$C$11)*NORMSINV(T955)))*(U$7-U$5)*(U$7-U$6))))</f>
        <v>0.501896089989764</v>
      </c>
      <c r="V955" s="2" t="n">
        <v>0.292670709</v>
      </c>
      <c r="W955" s="2" t="n">
        <f aca="false">IF(W$7=W$5,W$6,IF(NORMSDIST(W$9*SQRT($C$11)*NORMSINV($B955)+SQRT(1-W$9^2*$C$11)*NORMSINV(V955))&lt;W$8,W$5+SQRT(NORMSDIST(W$9*SQRT($C$11)*NORMSINV($B955)+SQRT(1-W$9^2*$C$11)*NORMSINV(V955))*(W$7-W$5)*(W$6-W$5)),W$7-SQRT((1-NORMSDIST(W$9*SQRT($C$11)*NORMSINV($B955)+SQRT(1-W$9^2*$C$11)*NORMSINV(V955)))*(W$7-W$5)*(W$7-W$6))))</f>
        <v>9.52768022233181</v>
      </c>
      <c r="X955" s="2" t="n">
        <v>0.728452361</v>
      </c>
      <c r="Y955" s="2" t="n">
        <f aca="false">IF(Y$7=Y$5,Y$6,IF(NORMSDIST(Y$9*SQRT($C$11)*NORMSINV($B955)+SQRT(1-Y$9^2*$C$11)*NORMSINV(X955))&lt;Y$8,Y$5+SQRT(NORMSDIST(Y$9*SQRT($C$11)*NORMSINV($B955)+SQRT(1-Y$9^2*$C$11)*NORMSINV(X955))*(Y$7-Y$5)*(Y$6-Y$5)),Y$7-SQRT((1-NORMSDIST(Y$9*SQRT($C$11)*NORMSINV($B955)+SQRT(1-Y$9^2*$C$11)*NORMSINV(X955)))*(Y$7-Y$5)*(Y$7-Y$6))))</f>
        <v>0.631525008311283</v>
      </c>
      <c r="Z955" s="2" t="n">
        <v>0.723759209</v>
      </c>
      <c r="AA955" s="2" t="n">
        <f aca="false">IF(AA$7=AA$5,AA$6,IF(NORMSDIST(AA$9*SQRT($C$11)*NORMSINV($B955)+SQRT(1-AA$9^2*$C$11)*NORMSINV(Z955))&lt;AA$8,AA$5+SQRT(NORMSDIST(AA$9*SQRT($C$11)*NORMSINV($B955)+SQRT(1-AA$9^2*$C$11)*NORMSINV(Z955))*(AA$7-AA$5)*(AA$6-AA$5)),AA$7-SQRT((1-NORMSDIST(AA$9*SQRT($C$11)*NORMSINV($B955)+SQRT(1-AA$9^2*$C$11)*NORMSINV(Z955)))*(AA$7-AA$5)*(AA$7-AA$6))))</f>
        <v>0.73209028506072</v>
      </c>
      <c r="AB955" s="2" t="n">
        <v>0.755363388</v>
      </c>
      <c r="AC955" s="2" t="n">
        <f aca="false">IF(AC$7=AC$5,AC$6,IF(NORMSDIST(AC$9*SQRT($C$11)*NORMSINV($B955)+SQRT(1-AC$9^2*$C$11)*NORMSINV(AB955))&lt;AC$8,AC$5+SQRT(NORMSDIST(AC$9*SQRT($C$11)*NORMSINV($B955)+SQRT(1-AC$9^2*$C$11)*NORMSINV(AB955))*(AC$7-AC$5)*(AC$6-AC$5)),AC$7-SQRT((1-NORMSDIST(AC$9*SQRT($C$11)*NORMSINV($B955)+SQRT(1-AC$9^2*$C$11)*NORMSINV(AB955)))*(AC$7-AC$5)*(AC$7-AC$6))))</f>
        <v>9.78625355478447</v>
      </c>
      <c r="AD955" s="2" t="n">
        <f aca="false">Entrées!$C$8*(1+E955)</f>
        <v>7446.47513458646</v>
      </c>
      <c r="AE955" s="2" t="n">
        <f aca="false">I955*Hypothèses!$J$24/12/Hypothèses!$J$19</f>
        <v>99.2187416011598</v>
      </c>
      <c r="AF955" s="2" t="n">
        <f aca="false">Entrées!$C$36*S955*1000</f>
        <v>312.897597987467</v>
      </c>
      <c r="AG955" s="2" t="n">
        <f aca="false">-AF955/W955</f>
        <v>-32.8409004800634</v>
      </c>
      <c r="AH955" s="2" t="n">
        <f aca="false">AD955+AE955+AG955</f>
        <v>7512.85297570756</v>
      </c>
      <c r="AI955" s="2" t="n">
        <f aca="false">Entrées!$C$16-M955+Hypothèses!$J$22*1000-AF955+Hypothèses!$J$23</f>
        <v>22620.0597845967</v>
      </c>
      <c r="AJ955" s="2" t="n">
        <f aca="false">AI955/AH955</f>
        <v>3.01084819012665</v>
      </c>
      <c r="AK955" s="2" t="n">
        <f aca="false">AI955/(AH955+I955*(12-Hypothèses!$J$24)/12/Hypothèses!$J$19)</f>
        <v>2.98271156225863</v>
      </c>
      <c r="AL955" s="2" t="n">
        <f aca="false">(AD955+AG955+I955/Hypothèses!$J$19)*(1+G955)</f>
        <v>8039.95519231935</v>
      </c>
      <c r="AM955" s="2" t="n">
        <f aca="false">Entrées!$C$54*K955/Hypothèses!$J$19</f>
        <v>14.5608030440372</v>
      </c>
      <c r="AN955" s="2" t="n">
        <f aca="false">Y955*1000/AC955</f>
        <v>64.5318461018755</v>
      </c>
      <c r="AO955" s="2" t="n">
        <f aca="false">(Entrées!$C$36*(1-S955)+MAX(0,Entrées!$C$30-Entrées!$C$35-Entrées!$C$36)*U955)*1000</f>
        <v>889.756927998202</v>
      </c>
      <c r="AP955" s="2" t="n">
        <f aca="false">-AO955/W955</f>
        <v>-93.38652297678</v>
      </c>
      <c r="AQ955" s="2" t="n">
        <f aca="false">AL955+AM955+AN955+AP955</f>
        <v>8025.66131848848</v>
      </c>
      <c r="AR955" s="2" t="n">
        <f aca="false">O955*AQ955-Hypothèses!$J$25/Hypothèses!$J$19</f>
        <v>1462.36983469039</v>
      </c>
      <c r="AS955" s="2" t="n">
        <f aca="false">Entrées!$C$79*(1+Q955)+Hypothèses!$J$20</f>
        <v>1441.63035568942</v>
      </c>
      <c r="AT955" s="2" t="n">
        <f aca="false">AI955-AR955+AS955+Y955*1000-AO955+Hypothèses!$J$23</f>
        <v>22341.0883859088</v>
      </c>
      <c r="AU955" s="2" t="n">
        <f aca="false">AT955/AQ955</f>
        <v>2.78370684973241</v>
      </c>
      <c r="AV955" s="2" t="n">
        <f aca="false">Hypothèses!$J$26*AQ955-AT955</f>
        <v>1735.89556955661</v>
      </c>
      <c r="AW955" s="2" t="n">
        <f aca="false">IF(AC955&gt;Hypothèses!$J$26,MAX(0,AV955)/(1-Hypothèses!$J$26/AC955),0)</f>
        <v>2503.28315191393</v>
      </c>
      <c r="AX955" s="2" t="n">
        <f aca="false">AQ955-Entrées!$C$17*1000</f>
        <v>25.6613184884827</v>
      </c>
      <c r="AY955" s="2" t="n">
        <f aca="false">AI955+(Entrées!$C$244-Entrées!$C$13)</f>
        <v>28367.0597845967</v>
      </c>
      <c r="AZ955" s="2" t="n">
        <f aca="false">AA955*AH955</f>
        <v>5500.08667660502</v>
      </c>
      <c r="BA955" s="2" t="n">
        <f aca="false">AZ955/AY955</f>
        <v>0.193889910282192</v>
      </c>
      <c r="BB955" s="2" t="n">
        <f aca="false">AZ955/(Entrées!$C$151/100)-AY955</f>
        <v>2188.9773076534</v>
      </c>
      <c r="BC955" s="2" t="n">
        <f aca="false">AT955+(Entrées!$C$244-Entrées!$C$13)</f>
        <v>28088.0883859088</v>
      </c>
      <c r="BD955" s="2" t="n">
        <f aca="false">AA955*AQ955</f>
        <v>5875.50868245302</v>
      </c>
      <c r="BE955" s="2" t="n">
        <f aca="false">BD955/BC955</f>
        <v>0.209181507895021</v>
      </c>
      <c r="BF955" s="2" t="n">
        <f aca="false">BD955/(Entrées!$C$151/100)-BC955</f>
        <v>4553.62651660797</v>
      </c>
      <c r="BG955" s="2" t="n">
        <f aca="false">MIN(AV955,BF955)</f>
        <v>1735.89556955661</v>
      </c>
      <c r="BH955" s="2" t="n">
        <f aca="false">IF(AC955&gt;Hypothèses!$J$26,MAX(0,BG955)/(1-Hypothèses!$J$26/AC955),0)</f>
        <v>2503.28315191393</v>
      </c>
    </row>
    <row r="956" customFormat="false" ht="15" hidden="false" customHeight="false" outlineLevel="0" collapsed="false">
      <c r="A956" s="2" t="n">
        <v>941</v>
      </c>
      <c r="B956" s="2" t="n">
        <v>0.101988835</v>
      </c>
      <c r="C956" s="2"/>
      <c r="D956" s="2" t="n">
        <v>0.777294589</v>
      </c>
      <c r="E956" s="2" t="n">
        <f aca="false">IF(E$7=E$5,E$6,IF(NORMSDIST(E$9*SQRT($C$11)*NORMSINV($B956)+SQRT(1-E$9^2*$C$11)*NORMSINV(D956))&lt;E$8,E$5+SQRT(NORMSDIST(E$9*SQRT($C$11)*NORMSINV($B956)+SQRT(1-E$9^2*$C$11)*NORMSINV(D956))*(E$7-E$5)*(E$6-E$5)),E$7-SQRT((1-NORMSDIST(E$9*SQRT($C$11)*NORMSINV($B956)+SQRT(1-E$9^2*$C$11)*NORMSINV(D956)))*(E$7-E$5)*(E$7-E$6))))</f>
        <v>0.0545603045678916</v>
      </c>
      <c r="F956" s="2" t="n">
        <v>0.509371237</v>
      </c>
      <c r="G956" s="2" t="n">
        <f aca="false">IF(G$7=G$5,G$6,IF(NORMSDIST(G$9*SQRT($C$11)*NORMSINV($B956)+SQRT(1-G$9^2*$C$11)*NORMSINV(F956))&lt;G$8,G$5+SQRT(NORMSDIST(G$9*SQRT($C$11)*NORMSINV($B956)+SQRT(1-G$9^2*$C$11)*NORMSINV(F956))*(G$7-G$5)*(G$6-G$5)),G$7-SQRT((1-NORMSDIST(G$9*SQRT($C$11)*NORMSINV($B956)+SQRT(1-G$9^2*$C$11)*NORMSINV(F956)))*(G$7-G$5)*(G$7-G$6))))</f>
        <v>0.049862766971955</v>
      </c>
      <c r="H956" s="2" t="n">
        <v>0.295084746</v>
      </c>
      <c r="I956" s="2" t="n">
        <f aca="false">IF(I$7=I$5,I$6,IF(NORMSDIST(I$9*SQRT($C$11)*NORMSINV($B956)+SQRT(1-I$9^2*$C$11)*NORMSINV(H956))&lt;I$8,I$5+SQRT(NORMSDIST(I$9*SQRT($C$11)*NORMSINV($B956)+SQRT(1-I$9^2*$C$11)*NORMSINV(H956))*(I$7-I$5)*(I$6-I$5)),I$7-SQRT((1-NORMSDIST(I$9*SQRT($C$11)*NORMSINV($B956)+SQRT(1-I$9^2*$C$11)*NORMSINV(H956)))*(I$7-I$5)*(I$7-I$6))))</f>
        <v>189.428424070018</v>
      </c>
      <c r="J956" s="2" t="n">
        <v>0.880201715</v>
      </c>
      <c r="K956" s="2" t="n">
        <f aca="false">IF(K$7=K$5,K$6,IF(NORMSDIST(K$9*SQRT($C$11)*NORMSINV($B956)+SQRT(1-K$9^2*$C$11)*NORMSINV(J956))&lt;K$8,K$5+SQRT(NORMSDIST(K$9*SQRT($C$11)*NORMSINV($B956)+SQRT(1-K$9^2*$C$11)*NORMSINV(J956))*(K$7-K$5)*(K$6-K$5)),K$7-SQRT((1-NORMSDIST(K$9*SQRT($C$11)*NORMSINV($B956)+SQRT(1-K$9^2*$C$11)*NORMSINV(J956)))*(K$7-K$5)*(K$7-K$6))))</f>
        <v>0.26094178571652</v>
      </c>
      <c r="L956" s="2" t="n">
        <v>0.638775905</v>
      </c>
      <c r="M956" s="2" t="n">
        <f aca="false">IF(M$7=M$5,M$6,IF(NORMSDIST(M$9*SQRT($C$11)*NORMSINV($B956)+SQRT(1-M$9^2*$C$11)*NORMSINV(L956))&lt;M$8,M$5+SQRT(NORMSDIST(M$9*SQRT($C$11)*NORMSINV($B956)+SQRT(1-M$9^2*$C$11)*NORMSINV(L956))*(M$7-M$5)*(M$6-M$5)),M$7-SQRT((1-NORMSDIST(M$9*SQRT($C$11)*NORMSINV($B956)+SQRT(1-M$9^2*$C$11)*NORMSINV(L956)))*(M$7-M$5)*(M$7-M$6))))</f>
        <v>1521.26184278396</v>
      </c>
      <c r="N956" s="2" t="n">
        <v>0.658652787</v>
      </c>
      <c r="O956" s="2" t="n">
        <f aca="false">IF(O$7=O$5,O$6,IF(NORMSDIST(O$9*SQRT($C$11)*NORMSINV($B956)+SQRT(1-O$9^2*$C$11)*NORMSINV(N956))&lt;O$8,O$5+SQRT(NORMSDIST(O$9*SQRT($C$11)*NORMSINV($B956)+SQRT(1-O$9^2*$C$11)*NORMSINV(N956))*(O$7-O$5)*(O$6-O$5)),O$7-SQRT((1-NORMSDIST(O$9*SQRT($C$11)*NORMSINV($B956)+SQRT(1-O$9^2*$C$11)*NORMSINV(N956)))*(O$7-O$5)*(O$7-O$6))))</f>
        <v>0.161199163894948</v>
      </c>
      <c r="P956" s="2" t="n">
        <v>0.119053554</v>
      </c>
      <c r="Q956" s="2" t="n">
        <f aca="false">IF(Q$7=Q$5,Q$6,IF(NORMSDIST(Q$9*SQRT($C$11)*NORMSINV($B956)+SQRT(1-Q$9^2*$C$11)*NORMSINV(P956))&lt;Q$8,Q$5+SQRT(NORMSDIST(Q$9*SQRT($C$11)*NORMSINV($B956)+SQRT(1-Q$9^2*$C$11)*NORMSINV(P956))*(Q$7-Q$5)*(Q$6-Q$5)),Q$7-SQRT((1-NORMSDIST(Q$9*SQRT($C$11)*NORMSINV($B956)+SQRT(1-Q$9^2*$C$11)*NORMSINV(P956)))*(Q$7-Q$5)*(Q$7-Q$6))))</f>
        <v>0.0595184879742259</v>
      </c>
      <c r="R956" s="2" t="n">
        <v>0.213866354</v>
      </c>
      <c r="S956" s="2" t="n">
        <f aca="false">IF(S$7=S$5,S$6,IF(NORMSDIST(S$9*SQRT($C$11)*NORMSINV($B956)+SQRT(1-S$9^2*$C$11)*NORMSINV(R956))&lt;S$8,S$5+SQRT(NORMSDIST(S$9*SQRT($C$11)*NORMSINV($B956)+SQRT(1-S$9^2*$C$11)*NORMSINV(R956))*(S$7-S$5)*(S$6-S$5)),S$7-SQRT((1-NORMSDIST(S$9*SQRT($C$11)*NORMSINV($B956)+SQRT(1-S$9^2*$C$11)*NORMSINV(R956)))*(S$7-S$5)*(S$7-S$6))))</f>
        <v>0.197655934231053</v>
      </c>
      <c r="T956" s="2" t="n">
        <v>0.066584816</v>
      </c>
      <c r="U956" s="2" t="n">
        <f aca="false">IF(U$7=U$5,U$6,IF(NORMSDIST(U$9*SQRT($C$11)*NORMSINV($B956)+SQRT(1-U$9^2*$C$11)*NORMSINV(T956))&lt;U$8,U$5+SQRT(NORMSDIST(U$9*SQRT($C$11)*NORMSINV($B956)+SQRT(1-U$9^2*$C$11)*NORMSINV(T956))*(U$7-U$5)*(U$6-U$5)),U$7-SQRT((1-NORMSDIST(U$9*SQRT($C$11)*NORMSINV($B956)+SQRT(1-U$9^2*$C$11)*NORMSINV(T956)))*(U$7-U$5)*(U$7-U$6))))</f>
        <v>0.110933857295176</v>
      </c>
      <c r="V956" s="2" t="n">
        <v>0.070918224</v>
      </c>
      <c r="W956" s="2" t="n">
        <f aca="false">IF(W$7=W$5,W$6,IF(NORMSDIST(W$9*SQRT($C$11)*NORMSINV($B956)+SQRT(1-W$9^2*$C$11)*NORMSINV(V956))&lt;W$8,W$5+SQRT(NORMSDIST(W$9*SQRT($C$11)*NORMSINV($B956)+SQRT(1-W$9^2*$C$11)*NORMSINV(V956))*(W$7-W$5)*(W$6-W$5)),W$7-SQRT((1-NORMSDIST(W$9*SQRT($C$11)*NORMSINV($B956)+SQRT(1-W$9^2*$C$11)*NORMSINV(V956)))*(W$7-W$5)*(W$7-W$6))))</f>
        <v>8.45705255599796</v>
      </c>
      <c r="X956" s="2" t="n">
        <v>0.685691021</v>
      </c>
      <c r="Y956" s="2" t="n">
        <f aca="false">IF(Y$7=Y$5,Y$6,IF(NORMSDIST(Y$9*SQRT($C$11)*NORMSINV($B956)+SQRT(1-Y$9^2*$C$11)*NORMSINV(X956))&lt;Y$8,Y$5+SQRT(NORMSDIST(Y$9*SQRT($C$11)*NORMSINV($B956)+SQRT(1-Y$9^2*$C$11)*NORMSINV(X956))*(Y$7-Y$5)*(Y$6-Y$5)),Y$7-SQRT((1-NORMSDIST(Y$9*SQRT($C$11)*NORMSINV($B956)+SQRT(1-Y$9^2*$C$11)*NORMSINV(X956)))*(Y$7-Y$5)*(Y$7-Y$6))))</f>
        <v>0.603572844648604</v>
      </c>
      <c r="Z956" s="2" t="n">
        <v>0.363388576</v>
      </c>
      <c r="AA956" s="2" t="n">
        <f aca="false">IF(AA$7=AA$5,AA$6,IF(NORMSDIST(AA$9*SQRT($C$11)*NORMSINV($B956)+SQRT(1-AA$9^2*$C$11)*NORMSINV(Z956))&lt;AA$8,AA$5+SQRT(NORMSDIST(AA$9*SQRT($C$11)*NORMSINV($B956)+SQRT(1-AA$9^2*$C$11)*NORMSINV(Z956))*(AA$7-AA$5)*(AA$6-AA$5)),AA$7-SQRT((1-NORMSDIST(AA$9*SQRT($C$11)*NORMSINV($B956)+SQRT(1-AA$9^2*$C$11)*NORMSINV(Z956)))*(AA$7-AA$5)*(AA$7-AA$6))))</f>
        <v>0.712725606595434</v>
      </c>
      <c r="AB956" s="2" t="n">
        <v>0.357627395</v>
      </c>
      <c r="AC956" s="2" t="n">
        <f aca="false">IF(AC$7=AC$5,AC$6,IF(NORMSDIST(AC$9*SQRT($C$11)*NORMSINV($B956)+SQRT(1-AC$9^2*$C$11)*NORMSINV(AB956))&lt;AC$8,AC$5+SQRT(NORMSDIST(AC$9*SQRT($C$11)*NORMSINV($B956)+SQRT(1-AC$9^2*$C$11)*NORMSINV(AB956))*(AC$7-AC$5)*(AC$6-AC$5)),AC$7-SQRT((1-NORMSDIST(AC$9*SQRT($C$11)*NORMSINV($B956)+SQRT(1-AC$9^2*$C$11)*NORMSINV(AB956)))*(AC$7-AC$5)*(AC$7-AC$6))))</f>
        <v>8.49486674333847</v>
      </c>
      <c r="AD956" s="2" t="n">
        <f aca="false">Entrées!$C$8*(1+E956)</f>
        <v>7434.65014720364</v>
      </c>
      <c r="AE956" s="2" t="n">
        <f aca="false">I956*Hypothèses!$J$24/12/Hypothèses!$J$19</f>
        <v>93.9748348918785</v>
      </c>
      <c r="AF956" s="2" t="n">
        <f aca="false">Entrées!$C$36*S956*1000</f>
        <v>98.8279671155264</v>
      </c>
      <c r="AG956" s="2" t="n">
        <f aca="false">-AF956/W956</f>
        <v>-11.6858641306935</v>
      </c>
      <c r="AH956" s="2" t="n">
        <f aca="false">AD956+AE956+AG956</f>
        <v>7516.93911796482</v>
      </c>
      <c r="AI956" s="2" t="n">
        <f aca="false">Entrées!$C$16-M956+Hypothèses!$J$22*1000-AF956+Hypothèses!$J$23</f>
        <v>22927.9101901005</v>
      </c>
      <c r="AJ956" s="2" t="n">
        <f aca="false">AI956/AH956</f>
        <v>3.0501657430356</v>
      </c>
      <c r="AK956" s="2" t="n">
        <f aca="false">AI956/(AH956+I956*(12-Hypothèses!$J$24)/12/Hypothèses!$J$19)</f>
        <v>3.02316939704207</v>
      </c>
      <c r="AL956" s="2" t="n">
        <f aca="false">(AD956+AG956+I956/Hypothèses!$J$19)*(1+G956)</f>
        <v>7962.22641596436</v>
      </c>
      <c r="AM956" s="2" t="n">
        <f aca="false">Entrées!$C$54*K956/Hypothèses!$J$19</f>
        <v>26.6302048561283</v>
      </c>
      <c r="AN956" s="2" t="n">
        <f aca="false">Y956*1000/AC956</f>
        <v>71.0514788383132</v>
      </c>
      <c r="AO956" s="2" t="n">
        <f aca="false">(Entrées!$C$36*(1-S956)+MAX(0,Entrées!$C$30-Entrées!$C$35-Entrées!$C$36)*U956)*1000</f>
        <v>556.47943309772</v>
      </c>
      <c r="AP956" s="2" t="n">
        <f aca="false">-AO956/W956</f>
        <v>-65.8006355539378</v>
      </c>
      <c r="AQ956" s="2" t="n">
        <f aca="false">AL956+AM956+AN956+AP956</f>
        <v>7994.10746410486</v>
      </c>
      <c r="AR956" s="2" t="n">
        <f aca="false">O956*AQ956-Hypothèses!$J$25/Hypothèses!$J$19</f>
        <v>1269.50827703844</v>
      </c>
      <c r="AS956" s="2" t="n">
        <f aca="false">Entrées!$C$79*(1+Q956)+Hypothèses!$J$20</f>
        <v>1459.41081828367</v>
      </c>
      <c r="AT956" s="2" t="n">
        <f aca="false">AI956-AR956+AS956+Y956*1000-AO956+Hypothèses!$J$23</f>
        <v>23164.9061428966</v>
      </c>
      <c r="AU956" s="2" t="n">
        <f aca="false">AT956/AQ956</f>
        <v>2.89774765311971</v>
      </c>
      <c r="AV956" s="2" t="n">
        <f aca="false">Hypothèses!$J$26*AQ956-AT956</f>
        <v>817.416249417947</v>
      </c>
      <c r="AW956" s="2" t="n">
        <f aca="false">IF(AC956&gt;Hypothèses!$J$26,MAX(0,AV956)/(1-Hypothèses!$J$26/AC956),0)</f>
        <v>1263.69617990521</v>
      </c>
      <c r="AX956" s="2" t="n">
        <f aca="false">AQ956-Entrées!$C$17*1000</f>
        <v>-5.89253589513828</v>
      </c>
      <c r="AY956" s="2" t="n">
        <f aca="false">AI956+(Entrées!$C$244-Entrées!$C$13)</f>
        <v>28674.9101901005</v>
      </c>
      <c r="AZ956" s="2" t="n">
        <f aca="false">AA956*AH956</f>
        <v>5357.51499259242</v>
      </c>
      <c r="BA956" s="2" t="n">
        <f aca="false">AZ956/AY956</f>
        <v>0.186836330334593</v>
      </c>
      <c r="BB956" s="2" t="n">
        <f aca="false">AZ956/(Entrées!$C$151/100)-AY956</f>
        <v>1089.06199096848</v>
      </c>
      <c r="BC956" s="2" t="n">
        <f aca="false">AT956+(Entrées!$C$244-Entrées!$C$13)</f>
        <v>28911.9061428966</v>
      </c>
      <c r="BD956" s="2" t="n">
        <f aca="false">AA956*AQ956</f>
        <v>5697.60509154322</v>
      </c>
      <c r="BE956" s="2" t="n">
        <f aca="false">BD956/BC956</f>
        <v>0.197067777661663</v>
      </c>
      <c r="BF956" s="2" t="n">
        <f aca="false">BD956/(Entrées!$C$151/100)-BC956</f>
        <v>2741.45547678792</v>
      </c>
      <c r="BG956" s="2" t="n">
        <f aca="false">MIN(AV956,BF956)</f>
        <v>817.416249417947</v>
      </c>
      <c r="BH956" s="2" t="n">
        <f aca="false">IF(AC956&gt;Hypothèses!$J$26,MAX(0,BG956)/(1-Hypothèses!$J$26/AC956),0)</f>
        <v>1263.69617990521</v>
      </c>
    </row>
    <row r="957" customFormat="false" ht="15" hidden="false" customHeight="false" outlineLevel="0" collapsed="false">
      <c r="A957" s="2" t="n">
        <v>942</v>
      </c>
      <c r="B957" s="2" t="n">
        <v>0.751251207</v>
      </c>
      <c r="C957" s="2"/>
      <c r="D957" s="2" t="n">
        <v>0.493705691</v>
      </c>
      <c r="E957" s="2" t="n">
        <f aca="false">IF(E$7=E$5,E$6,IF(NORMSDIST(E$9*SQRT($C$11)*NORMSINV($B957)+SQRT(1-E$9^2*$C$11)*NORMSINV(D957))&lt;E$8,E$5+SQRT(NORMSDIST(E$9*SQRT($C$11)*NORMSINV($B957)+SQRT(1-E$9^2*$C$11)*NORMSINV(D957))*(E$7-E$5)*(E$6-E$5)),E$7-SQRT((1-NORMSDIST(E$9*SQRT($C$11)*NORMSINV($B957)+SQRT(1-E$9^2*$C$11)*NORMSINV(D957)))*(E$7-E$5)*(E$7-E$6))))</f>
        <v>0.0558866580113322</v>
      </c>
      <c r="F957" s="2" t="n">
        <v>0.023754925</v>
      </c>
      <c r="G957" s="2" t="n">
        <f aca="false">IF(G$7=G$5,G$6,IF(NORMSDIST(G$9*SQRT($C$11)*NORMSINV($B957)+SQRT(1-G$9^2*$C$11)*NORMSINV(F957))&lt;G$8,G$5+SQRT(NORMSDIST(G$9*SQRT($C$11)*NORMSINV($B957)+SQRT(1-G$9^2*$C$11)*NORMSINV(F957))*(G$7-G$5)*(G$6-G$5)),G$7-SQRT((1-NORMSDIST(G$9*SQRT($C$11)*NORMSINV($B957)+SQRT(1-G$9^2*$C$11)*NORMSINV(F957)))*(G$7-G$5)*(G$7-G$6))))</f>
        <v>0.047776073140951</v>
      </c>
      <c r="H957" s="2" t="n">
        <v>0.548082049</v>
      </c>
      <c r="I957" s="2" t="n">
        <f aca="false">IF(I$7=I$5,I$6,IF(NORMSDIST(I$9*SQRT($C$11)*NORMSINV($B957)+SQRT(1-I$9^2*$C$11)*NORMSINV(H957))&lt;I$8,I$5+SQRT(NORMSDIST(I$9*SQRT($C$11)*NORMSINV($B957)+SQRT(1-I$9^2*$C$11)*NORMSINV(H957))*(I$7-I$5)*(I$6-I$5)),I$7-SQRT((1-NORMSDIST(I$9*SQRT($C$11)*NORMSINV($B957)+SQRT(1-I$9^2*$C$11)*NORMSINV(H957)))*(I$7-I$5)*(I$7-I$6))))</f>
        <v>204.492467583228</v>
      </c>
      <c r="J957" s="2" t="n">
        <v>0.294180531</v>
      </c>
      <c r="K957" s="2" t="n">
        <f aca="false">IF(K$7=K$5,K$6,IF(NORMSDIST(K$9*SQRT($C$11)*NORMSINV($B957)+SQRT(1-K$9^2*$C$11)*NORMSINV(J957))&lt;K$8,K$5+SQRT(NORMSDIST(K$9*SQRT($C$11)*NORMSINV($B957)+SQRT(1-K$9^2*$C$11)*NORMSINV(J957))*(K$7-K$5)*(K$6-K$5)),K$7-SQRT((1-NORMSDIST(K$9*SQRT($C$11)*NORMSINV($B957)+SQRT(1-K$9^2*$C$11)*NORMSINV(J957)))*(K$7-K$5)*(K$7-K$6))))</f>
        <v>0.250985002325309</v>
      </c>
      <c r="L957" s="2" t="n">
        <v>0.251991855</v>
      </c>
      <c r="M957" s="2" t="n">
        <f aca="false">IF(M$7=M$5,M$6,IF(NORMSDIST(M$9*SQRT($C$11)*NORMSINV($B957)+SQRT(1-M$9^2*$C$11)*NORMSINV(L957))&lt;M$8,M$5+SQRT(NORMSDIST(M$9*SQRT($C$11)*NORMSINV($B957)+SQRT(1-M$9^2*$C$11)*NORMSINV(L957))*(M$7-M$5)*(M$6-M$5)),M$7-SQRT((1-NORMSDIST(M$9*SQRT($C$11)*NORMSINV($B957)+SQRT(1-M$9^2*$C$11)*NORMSINV(L957)))*(M$7-M$5)*(M$7-M$6))))</f>
        <v>1575.21648649307</v>
      </c>
      <c r="N957" s="2" t="n">
        <v>0.871895471</v>
      </c>
      <c r="O957" s="2" t="n">
        <f aca="false">IF(O$7=O$5,O$6,IF(NORMSDIST(O$9*SQRT($C$11)*NORMSINV($B957)+SQRT(1-O$9^2*$C$11)*NORMSINV(N957))&lt;O$8,O$5+SQRT(NORMSDIST(O$9*SQRT($C$11)*NORMSINV($B957)+SQRT(1-O$9^2*$C$11)*NORMSINV(N957))*(O$7-O$5)*(O$6-O$5)),O$7-SQRT((1-NORMSDIST(O$9*SQRT($C$11)*NORMSINV($B957)+SQRT(1-O$9^2*$C$11)*NORMSINV(N957)))*(O$7-O$5)*(O$7-O$6))))</f>
        <v>0.179922424345951</v>
      </c>
      <c r="P957" s="2" t="n">
        <v>0.058789661</v>
      </c>
      <c r="Q957" s="2" t="n">
        <f aca="false">IF(Q$7=Q$5,Q$6,IF(NORMSDIST(Q$9*SQRT($C$11)*NORMSINV($B957)+SQRT(1-Q$9^2*$C$11)*NORMSINV(P957))&lt;Q$8,Q$5+SQRT(NORMSDIST(Q$9*SQRT($C$11)*NORMSINV($B957)+SQRT(1-Q$9^2*$C$11)*NORMSINV(P957))*(Q$7-Q$5)*(Q$6-Q$5)),Q$7-SQRT((1-NORMSDIST(Q$9*SQRT($C$11)*NORMSINV($B957)+SQRT(1-Q$9^2*$C$11)*NORMSINV(P957)))*(Q$7-Q$5)*(Q$7-Q$6))))</f>
        <v>0.0537159365411189</v>
      </c>
      <c r="R957" s="2" t="n">
        <v>0.509467464</v>
      </c>
      <c r="S957" s="2" t="n">
        <f aca="false">IF(S$7=S$5,S$6,IF(NORMSDIST(S$9*SQRT($C$11)*NORMSINV($B957)+SQRT(1-S$9^2*$C$11)*NORMSINV(R957))&lt;S$8,S$5+SQRT(NORMSDIST(S$9*SQRT($C$11)*NORMSINV($B957)+SQRT(1-S$9^2*$C$11)*NORMSINV(R957))*(S$7-S$5)*(S$6-S$5)),S$7-SQRT((1-NORMSDIST(S$9*SQRT($C$11)*NORMSINV($B957)+SQRT(1-S$9^2*$C$11)*NORMSINV(R957)))*(S$7-S$5)*(S$7-S$6))))</f>
        <v>0.595481367710118</v>
      </c>
      <c r="T957" s="2" t="n">
        <v>0.268389722</v>
      </c>
      <c r="U957" s="2" t="n">
        <f aca="false">IF(U$7=U$5,U$6,IF(NORMSDIST(U$9*SQRT($C$11)*NORMSINV($B957)+SQRT(1-U$9^2*$C$11)*NORMSINV(T957))&lt;U$8,U$5+SQRT(NORMSDIST(U$9*SQRT($C$11)*NORMSINV($B957)+SQRT(1-U$9^2*$C$11)*NORMSINV(T957))*(U$7-U$5)*(U$6-U$5)),U$7-SQRT((1-NORMSDIST(U$9*SQRT($C$11)*NORMSINV($B957)+SQRT(1-U$9^2*$C$11)*NORMSINV(T957)))*(U$7-U$5)*(U$7-U$6))))</f>
        <v>0.490054686758744</v>
      </c>
      <c r="V957" s="2" t="n">
        <v>0.914075808</v>
      </c>
      <c r="W957" s="2" t="n">
        <f aca="false">IF(W$7=W$5,W$6,IF(NORMSDIST(W$9*SQRT($C$11)*NORMSINV($B957)+SQRT(1-W$9^2*$C$11)*NORMSINV(V957))&lt;W$8,W$5+SQRT(NORMSDIST(W$9*SQRT($C$11)*NORMSINV($B957)+SQRT(1-W$9^2*$C$11)*NORMSINV(V957))*(W$7-W$5)*(W$6-W$5)),W$7-SQRT((1-NORMSDIST(W$9*SQRT($C$11)*NORMSINV($B957)+SQRT(1-W$9^2*$C$11)*NORMSINV(V957)))*(W$7-W$5)*(W$7-W$6))))</f>
        <v>11.2599758166063</v>
      </c>
      <c r="X957" s="2" t="n">
        <v>0.568411667</v>
      </c>
      <c r="Y957" s="2" t="n">
        <f aca="false">IF(Y$7=Y$5,Y$6,IF(NORMSDIST(Y$9*SQRT($C$11)*NORMSINV($B957)+SQRT(1-Y$9^2*$C$11)*NORMSINV(X957))&lt;Y$8,Y$5+SQRT(NORMSDIST(Y$9*SQRT($C$11)*NORMSINV($B957)+SQRT(1-Y$9^2*$C$11)*NORMSINV(X957))*(Y$7-Y$5)*(Y$6-Y$5)),Y$7-SQRT((1-NORMSDIST(Y$9*SQRT($C$11)*NORMSINV($B957)+SQRT(1-Y$9^2*$C$11)*NORMSINV(X957)))*(Y$7-Y$5)*(Y$7-Y$6))))</f>
        <v>0.535463492823223</v>
      </c>
      <c r="Z957" s="2" t="n">
        <v>0.273686343</v>
      </c>
      <c r="AA957" s="2" t="n">
        <f aca="false">IF(AA$7=AA$5,AA$6,IF(NORMSDIST(AA$9*SQRT($C$11)*NORMSINV($B957)+SQRT(1-AA$9^2*$C$11)*NORMSINV(Z957))&lt;AA$8,AA$5+SQRT(NORMSDIST(AA$9*SQRT($C$11)*NORMSINV($B957)+SQRT(1-AA$9^2*$C$11)*NORMSINV(Z957))*(AA$7-AA$5)*(AA$6-AA$5)),AA$7-SQRT((1-NORMSDIST(AA$9*SQRT($C$11)*NORMSINV($B957)+SQRT(1-AA$9^2*$C$11)*NORMSINV(Z957)))*(AA$7-AA$5)*(AA$7-AA$6))))</f>
        <v>0.72756474276164</v>
      </c>
      <c r="AB957" s="2" t="n">
        <v>0.620917861</v>
      </c>
      <c r="AC957" s="2" t="n">
        <f aca="false">IF(AC$7=AC$5,AC$6,IF(NORMSDIST(AC$9*SQRT($C$11)*NORMSINV($B957)+SQRT(1-AC$9^2*$C$11)*NORMSINV(AB957))&lt;AC$8,AC$5+SQRT(NORMSDIST(AC$9*SQRT($C$11)*NORMSINV($B957)+SQRT(1-AC$9^2*$C$11)*NORMSINV(AB957))*(AC$7-AC$5)*(AC$6-AC$5)),AC$7-SQRT((1-NORMSDIST(AC$9*SQRT($C$11)*NORMSINV($B957)+SQRT(1-AC$9^2*$C$11)*NORMSINV(AB957)))*(AC$7-AC$5)*(AC$7-AC$6))))</f>
        <v>9.95619896387143</v>
      </c>
      <c r="AD957" s="2" t="n">
        <f aca="false">Entrées!$C$8*(1+E957)</f>
        <v>7444.00093897989</v>
      </c>
      <c r="AE957" s="2" t="n">
        <f aca="false">I957*Hypothèses!$J$24/12/Hypothèses!$J$19</f>
        <v>101.448058664435</v>
      </c>
      <c r="AF957" s="2" t="n">
        <f aca="false">Entrées!$C$36*S957*1000</f>
        <v>297.740683855059</v>
      </c>
      <c r="AG957" s="2" t="n">
        <f aca="false">-AF957/W957</f>
        <v>-26.4423910587755</v>
      </c>
      <c r="AH957" s="2" t="n">
        <f aca="false">AD957+AE957+AG957</f>
        <v>7519.00660658555</v>
      </c>
      <c r="AI957" s="2" t="n">
        <f aca="false">Entrées!$C$16-M957+Hypothèses!$J$22*1000-AF957+Hypothèses!$J$23</f>
        <v>22675.0428296519</v>
      </c>
      <c r="AJ957" s="2" t="n">
        <f aca="false">AI957/AH957</f>
        <v>3.01569662271501</v>
      </c>
      <c r="AK957" s="2" t="n">
        <f aca="false">AI957/(AH957+I957*(12-Hypothèses!$J$24)/12/Hypothèses!$J$19)</f>
        <v>2.98691087579695</v>
      </c>
      <c r="AL957" s="2" t="n">
        <f aca="false">(AD957+AG957+I957/Hypothèses!$J$19)*(1+G957)</f>
        <v>7954.16010797993</v>
      </c>
      <c r="AM957" s="2" t="n">
        <f aca="false">Entrées!$C$54*K957/Hypothèses!$J$19</f>
        <v>25.6140733052233</v>
      </c>
      <c r="AN957" s="2" t="n">
        <f aca="false">Y957*1000/AC957</f>
        <v>53.7819196629443</v>
      </c>
      <c r="AO957" s="2" t="n">
        <f aca="false">(Entrées!$C$36*(1-S957)+MAX(0,Entrées!$C$30-Entrées!$C$35-Entrées!$C$36)*U957)*1000</f>
        <v>888.335877607182</v>
      </c>
      <c r="AP957" s="2" t="n">
        <f aca="false">-AO957/W957</f>
        <v>-78.8932313954935</v>
      </c>
      <c r="AQ957" s="2" t="n">
        <f aca="false">AL957+AM957+AN957+AP957</f>
        <v>7954.6628695526</v>
      </c>
      <c r="AR957" s="2" t="n">
        <f aca="false">O957*AQ957-Hypothèses!$J$25/Hypothèses!$J$19</f>
        <v>1412.087066083</v>
      </c>
      <c r="AS957" s="2" t="n">
        <f aca="false">Entrées!$C$79*(1+Q957)+Hypothèses!$J$20</f>
        <v>1453.03381425869</v>
      </c>
      <c r="AT957" s="2" t="n">
        <f aca="false">AI957-AR957+AS957+Y957*1000-AO957+Hypothèses!$J$23</f>
        <v>22363.1171930436</v>
      </c>
      <c r="AU957" s="2" t="n">
        <f aca="false">AT957/AQ957</f>
        <v>2.81132180706753</v>
      </c>
      <c r="AV957" s="2" t="n">
        <f aca="false">Hypothèses!$J$26*AQ957-AT957</f>
        <v>1500.87141561421</v>
      </c>
      <c r="AW957" s="2" t="n">
        <f aca="false">IF(AC957&gt;Hypothèses!$J$26,MAX(0,AV957)/(1-Hypothèses!$J$26/AC957),0)</f>
        <v>2148.15224674454</v>
      </c>
      <c r="AX957" s="2" t="n">
        <f aca="false">AQ957-Entrées!$C$17*1000</f>
        <v>-45.3371304473967</v>
      </c>
      <c r="AY957" s="2" t="n">
        <f aca="false">AI957+(Entrées!$C$244-Entrées!$C$13)</f>
        <v>28422.0428296519</v>
      </c>
      <c r="AZ957" s="2" t="n">
        <f aca="false">AA957*AH957</f>
        <v>5470.56410754349</v>
      </c>
      <c r="BA957" s="2" t="n">
        <f aca="false">AZ957/AY957</f>
        <v>0.192476105265601</v>
      </c>
      <c r="BB957" s="2" t="n">
        <f aca="false">AZ957/(Entrées!$C$151/100)-AY957</f>
        <v>1969.97999003417</v>
      </c>
      <c r="BC957" s="2" t="n">
        <f aca="false">AT957+(Entrées!$C$244-Entrées!$C$13)</f>
        <v>28110.1171930436</v>
      </c>
      <c r="BD957" s="2" t="n">
        <f aca="false">AA957*AQ957</f>
        <v>5787.53224444161</v>
      </c>
      <c r="BE957" s="2" t="n">
        <f aca="false">BD957/BC957</f>
        <v>0.205887873205802</v>
      </c>
      <c r="BF957" s="2" t="n">
        <f aca="false">BD957/(Entrées!$C$151/100)-BC957</f>
        <v>4042.83972052089</v>
      </c>
      <c r="BG957" s="2" t="n">
        <f aca="false">MIN(AV957,BF957)</f>
        <v>1500.87141561421</v>
      </c>
      <c r="BH957" s="2" t="n">
        <f aca="false">IF(AC957&gt;Hypothèses!$J$26,MAX(0,BG957)/(1-Hypothèses!$J$26/AC957),0)</f>
        <v>2148.15224674454</v>
      </c>
    </row>
    <row r="958" customFormat="false" ht="15" hidden="false" customHeight="false" outlineLevel="0" collapsed="false">
      <c r="A958" s="2" t="n">
        <v>943</v>
      </c>
      <c r="B958" s="2" t="n">
        <v>0.569575719</v>
      </c>
      <c r="C958" s="2"/>
      <c r="D958" s="2" t="n">
        <v>0.626781853</v>
      </c>
      <c r="E958" s="2" t="n">
        <f aca="false">IF(E$7=E$5,E$6,IF(NORMSDIST(E$9*SQRT($C$11)*NORMSINV($B958)+SQRT(1-E$9^2*$C$11)*NORMSINV(D958))&lt;E$8,E$5+SQRT(NORMSDIST(E$9*SQRT($C$11)*NORMSINV($B958)+SQRT(1-E$9^2*$C$11)*NORMSINV(D958))*(E$7-E$5)*(E$6-E$5)),E$7-SQRT((1-NORMSDIST(E$9*SQRT($C$11)*NORMSINV($B958)+SQRT(1-E$9^2*$C$11)*NORMSINV(D958)))*(E$7-E$5)*(E$7-E$6))))</f>
        <v>0.0557636800135228</v>
      </c>
      <c r="F958" s="2" t="n">
        <v>0.60292082</v>
      </c>
      <c r="G958" s="2" t="n">
        <f aca="false">IF(G$7=G$5,G$6,IF(NORMSDIST(G$9*SQRT($C$11)*NORMSINV($B958)+SQRT(1-G$9^2*$C$11)*NORMSINV(F958))&lt;G$8,G$5+SQRT(NORMSDIST(G$9*SQRT($C$11)*NORMSINV($B958)+SQRT(1-G$9^2*$C$11)*NORMSINV(F958))*(G$7-G$5)*(G$6-G$5)),G$7-SQRT((1-NORMSDIST(G$9*SQRT($C$11)*NORMSINV($B958)+SQRT(1-G$9^2*$C$11)*NORMSINV(F958)))*(G$7-G$5)*(G$7-G$6))))</f>
        <v>0.0569723986325342</v>
      </c>
      <c r="H958" s="2" t="n">
        <v>0.944670778</v>
      </c>
      <c r="I958" s="2" t="n">
        <f aca="false">IF(I$7=I$5,I$6,IF(NORMSDIST(I$9*SQRT($C$11)*NORMSINV($B958)+SQRT(1-I$9^2*$C$11)*NORMSINV(H958))&lt;I$8,I$5+SQRT(NORMSDIST(I$9*SQRT($C$11)*NORMSINV($B958)+SQRT(1-I$9^2*$C$11)*NORMSINV(H958))*(I$7-I$5)*(I$6-I$5)),I$7-SQRT((1-NORMSDIST(I$9*SQRT($C$11)*NORMSINV($B958)+SQRT(1-I$9^2*$C$11)*NORMSINV(H958)))*(I$7-I$5)*(I$7-I$6))))</f>
        <v>211.558899616053</v>
      </c>
      <c r="J958" s="2" t="n">
        <v>0.268541006</v>
      </c>
      <c r="K958" s="2" t="n">
        <f aca="false">IF(K$7=K$5,K$6,IF(NORMSDIST(K$9*SQRT($C$11)*NORMSINV($B958)+SQRT(1-K$9^2*$C$11)*NORMSINV(J958))&lt;K$8,K$5+SQRT(NORMSDIST(K$9*SQRT($C$11)*NORMSINV($B958)+SQRT(1-K$9^2*$C$11)*NORMSINV(J958))*(K$7-K$5)*(K$6-K$5)),K$7-SQRT((1-NORMSDIST(K$9*SQRT($C$11)*NORMSINV($B958)+SQRT(1-K$9^2*$C$11)*NORMSINV(J958)))*(K$7-K$5)*(K$7-K$6))))</f>
        <v>0.211163468046631</v>
      </c>
      <c r="L958" s="2" t="n">
        <v>0.555041774</v>
      </c>
      <c r="M958" s="2" t="n">
        <f aca="false">IF(M$7=M$5,M$6,IF(NORMSDIST(M$9*SQRT($C$11)*NORMSINV($B958)+SQRT(1-M$9^2*$C$11)*NORMSINV(L958))&lt;M$8,M$5+SQRT(NORMSDIST(M$9*SQRT($C$11)*NORMSINV($B958)+SQRT(1-M$9^2*$C$11)*NORMSINV(L958))*(M$7-M$5)*(M$6-M$5)),M$7-SQRT((1-NORMSDIST(M$9*SQRT($C$11)*NORMSINV($B958)+SQRT(1-M$9^2*$C$11)*NORMSINV(L958)))*(M$7-M$5)*(M$7-M$6))))</f>
        <v>1608.73604960106</v>
      </c>
      <c r="N958" s="2" t="n">
        <v>0.97889229</v>
      </c>
      <c r="O958" s="2" t="n">
        <f aca="false">IF(O$7=O$5,O$6,IF(NORMSDIST(O$9*SQRT($C$11)*NORMSINV($B958)+SQRT(1-O$9^2*$C$11)*NORMSINV(N958))&lt;O$8,O$5+SQRT(NORMSDIST(O$9*SQRT($C$11)*NORMSINV($B958)+SQRT(1-O$9^2*$C$11)*NORMSINV(N958))*(O$7-O$5)*(O$6-O$5)),O$7-SQRT((1-NORMSDIST(O$9*SQRT($C$11)*NORMSINV($B958)+SQRT(1-O$9^2*$C$11)*NORMSINV(N958)))*(O$7-O$5)*(O$7-O$6))))</f>
        <v>0.182995954828841</v>
      </c>
      <c r="P958" s="2" t="n">
        <v>0.066068082</v>
      </c>
      <c r="Q958" s="2" t="n">
        <f aca="false">IF(Q$7=Q$5,Q$6,IF(NORMSDIST(Q$9*SQRT($C$11)*NORMSINV($B958)+SQRT(1-Q$9^2*$C$11)*NORMSINV(P958))&lt;Q$8,Q$5+SQRT(NORMSDIST(Q$9*SQRT($C$11)*NORMSINV($B958)+SQRT(1-Q$9^2*$C$11)*NORMSINV(P958))*(Q$7-Q$5)*(Q$6-Q$5)),Q$7-SQRT((1-NORMSDIST(Q$9*SQRT($C$11)*NORMSINV($B958)+SQRT(1-Q$9^2*$C$11)*NORMSINV(P958)))*(Q$7-Q$5)*(Q$7-Q$6))))</f>
        <v>0.0545402153491618</v>
      </c>
      <c r="R958" s="2" t="n">
        <v>0.660445441</v>
      </c>
      <c r="S958" s="2" t="n">
        <f aca="false">IF(S$7=S$5,S$6,IF(NORMSDIST(S$9*SQRT($C$11)*NORMSINV($B958)+SQRT(1-S$9^2*$C$11)*NORMSINV(R958))&lt;S$8,S$5+SQRT(NORMSDIST(S$9*SQRT($C$11)*NORMSINV($B958)+SQRT(1-S$9^2*$C$11)*NORMSINV(R958))*(S$7-S$5)*(S$6-S$5)),S$7-SQRT((1-NORMSDIST(S$9*SQRT($C$11)*NORMSINV($B958)+SQRT(1-S$9^2*$C$11)*NORMSINV(R958)))*(S$7-S$5)*(S$7-S$6))))</f>
        <v>0.591879271113555</v>
      </c>
      <c r="T958" s="2" t="n">
        <v>0.706193908</v>
      </c>
      <c r="U958" s="2" t="n">
        <f aca="false">IF(U$7=U$5,U$6,IF(NORMSDIST(U$9*SQRT($C$11)*NORMSINV($B958)+SQRT(1-U$9^2*$C$11)*NORMSINV(T958))&lt;U$8,U$5+SQRT(NORMSDIST(U$9*SQRT($C$11)*NORMSINV($B958)+SQRT(1-U$9^2*$C$11)*NORMSINV(T958))*(U$7-U$5)*(U$6-U$5)),U$7-SQRT((1-NORMSDIST(U$9*SQRT($C$11)*NORMSINV($B958)+SQRT(1-U$9^2*$C$11)*NORMSINV(T958)))*(U$7-U$5)*(U$7-U$6))))</f>
        <v>0.614167166905279</v>
      </c>
      <c r="V958" s="2" t="n">
        <v>0.884659615</v>
      </c>
      <c r="W958" s="2" t="n">
        <f aca="false">IF(W$7=W$5,W$6,IF(NORMSDIST(W$9*SQRT($C$11)*NORMSINV($B958)+SQRT(1-W$9^2*$C$11)*NORMSINV(V958))&lt;W$8,W$5+SQRT(NORMSDIST(W$9*SQRT($C$11)*NORMSINV($B958)+SQRT(1-W$9^2*$C$11)*NORMSINV(V958))*(W$7-W$5)*(W$6-W$5)),W$7-SQRT((1-NORMSDIST(W$9*SQRT($C$11)*NORMSINV($B958)+SQRT(1-W$9^2*$C$11)*NORMSINV(V958)))*(W$7-W$5)*(W$7-W$6))))</f>
        <v>10.9069968789886</v>
      </c>
      <c r="X958" s="2" t="n">
        <v>0.456502837</v>
      </c>
      <c r="Y958" s="2" t="n">
        <f aca="false">IF(Y$7=Y$5,Y$6,IF(NORMSDIST(Y$9*SQRT($C$11)*NORMSINV($B958)+SQRT(1-Y$9^2*$C$11)*NORMSINV(X958))&lt;Y$8,Y$5+SQRT(NORMSDIST(Y$9*SQRT($C$11)*NORMSINV($B958)+SQRT(1-Y$9^2*$C$11)*NORMSINV(X958))*(Y$7-Y$5)*(Y$6-Y$5)),Y$7-SQRT((1-NORMSDIST(Y$9*SQRT($C$11)*NORMSINV($B958)+SQRT(1-Y$9^2*$C$11)*NORMSINV(X958)))*(Y$7-Y$5)*(Y$7-Y$6))))</f>
        <v>0.477756651968343</v>
      </c>
      <c r="Z958" s="2" t="n">
        <v>0.320552294</v>
      </c>
      <c r="AA958" s="2" t="n">
        <f aca="false">IF(AA$7=AA$5,AA$6,IF(NORMSDIST(AA$9*SQRT($C$11)*NORMSINV($B958)+SQRT(1-AA$9^2*$C$11)*NORMSINV(Z958))&lt;AA$8,AA$5+SQRT(NORMSDIST(AA$9*SQRT($C$11)*NORMSINV($B958)+SQRT(1-AA$9^2*$C$11)*NORMSINV(Z958))*(AA$7-AA$5)*(AA$6-AA$5)),AA$7-SQRT((1-NORMSDIST(AA$9*SQRT($C$11)*NORMSINV($B958)+SQRT(1-AA$9^2*$C$11)*NORMSINV(Z958)))*(AA$7-AA$5)*(AA$7-AA$6))))</f>
        <v>0.724639992642222</v>
      </c>
      <c r="AB958" s="2" t="n">
        <v>0.832632043</v>
      </c>
      <c r="AC958" s="2" t="n">
        <f aca="false">IF(AC$7=AC$5,AC$6,IF(NORMSDIST(AC$9*SQRT($C$11)*NORMSINV($B958)+SQRT(1-AC$9^2*$C$11)*NORMSINV(AB958))&lt;AC$8,AC$5+SQRT(NORMSDIST(AC$9*SQRT($C$11)*NORMSINV($B958)+SQRT(1-AC$9^2*$C$11)*NORMSINV(AB958))*(AC$7-AC$5)*(AC$6-AC$5)),AC$7-SQRT((1-NORMSDIST(AC$9*SQRT($C$11)*NORMSINV($B958)+SQRT(1-AC$9^2*$C$11)*NORMSINV(AB958)))*(AC$7-AC$5)*(AC$7-AC$6))))</f>
        <v>10.0811632818417</v>
      </c>
      <c r="AD958" s="2" t="n">
        <f aca="false">Entrées!$C$8*(1+E958)</f>
        <v>7443.13394409534</v>
      </c>
      <c r="AE958" s="2" t="n">
        <f aca="false">I958*Hypothèses!$J$24/12/Hypothèses!$J$19</f>
        <v>104.953692978924</v>
      </c>
      <c r="AF958" s="2" t="n">
        <f aca="false">Entrées!$C$36*S958*1000</f>
        <v>295.939635556777</v>
      </c>
      <c r="AG958" s="2" t="n">
        <f aca="false">-AF958/W958</f>
        <v>-27.1330081818286</v>
      </c>
      <c r="AH958" s="2" t="n">
        <f aca="false">AD958+AE958+AG958</f>
        <v>7520.95462889243</v>
      </c>
      <c r="AI958" s="2" t="n">
        <f aca="false">Entrées!$C$16-M958+Hypothèses!$J$22*1000-AF958+Hypothèses!$J$23</f>
        <v>22643.3243148422</v>
      </c>
      <c r="AJ958" s="2" t="n">
        <f aca="false">AI958/AH958</f>
        <v>3.01069816693958</v>
      </c>
      <c r="AK958" s="2" t="n">
        <f aca="false">AI958/(AH958+I958*(12-Hypothèses!$J$24)/12/Hypothèses!$J$19)</f>
        <v>2.98098448733219</v>
      </c>
      <c r="AL958" s="2" t="n">
        <f aca="false">(AD958+AG958+I958/Hypothèses!$J$19)*(1+G958)</f>
        <v>8028.67942311638</v>
      </c>
      <c r="AM958" s="2" t="n">
        <f aca="false">Entrées!$C$54*K958/Hypothèses!$J$19</f>
        <v>21.5501185322664</v>
      </c>
      <c r="AN958" s="2" t="n">
        <f aca="false">Y958*1000/AC958</f>
        <v>47.3910240923173</v>
      </c>
      <c r="AO958" s="2" t="n">
        <f aca="false">(Entrées!$C$36*(1-S958)+MAX(0,Entrées!$C$30-Entrées!$C$35-Entrées!$C$36)*U958)*1000</f>
        <v>1063.89439811061</v>
      </c>
      <c r="AP958" s="2" t="n">
        <f aca="false">-AO958/W958</f>
        <v>-97.542376688501</v>
      </c>
      <c r="AQ958" s="2" t="n">
        <f aca="false">AL958+AM958+AN958+AP958</f>
        <v>8000.07818905246</v>
      </c>
      <c r="AR958" s="2" t="n">
        <f aca="false">O958*AQ958-Hypothèses!$J$25/Hypothèses!$J$19</f>
        <v>1444.84678464941</v>
      </c>
      <c r="AS958" s="2" t="n">
        <f aca="false">Entrées!$C$79*(1+Q958)+Hypothèses!$J$20</f>
        <v>1453.93969666873</v>
      </c>
      <c r="AT958" s="2" t="n">
        <f aca="false">AI958-AR958+AS958+Y958*1000-AO958+Hypothèses!$J$23</f>
        <v>22066.2794807192</v>
      </c>
      <c r="AU958" s="2" t="n">
        <f aca="false">AT958/AQ958</f>
        <v>2.75825797689269</v>
      </c>
      <c r="AV958" s="2" t="n">
        <f aca="false">Hypothèses!$J$26*AQ958-AT958</f>
        <v>1933.95508643817</v>
      </c>
      <c r="AW958" s="2" t="n">
        <f aca="false">IF(AC958&gt;Hypothèses!$J$26,MAX(0,AV958)/(1-Hypothèses!$J$26/AC958),0)</f>
        <v>2753.29295909991</v>
      </c>
      <c r="AX958" s="2" t="n">
        <f aca="false">AQ958-Entrées!$C$17*1000</f>
        <v>0.0781890524594928</v>
      </c>
      <c r="AY958" s="2" t="n">
        <f aca="false">AI958+(Entrées!$C$244-Entrées!$C$13)</f>
        <v>28390.3243148422</v>
      </c>
      <c r="AZ958" s="2" t="n">
        <f aca="false">AA958*AH958</f>
        <v>5449.98450694309</v>
      </c>
      <c r="BA958" s="2" t="n">
        <f aca="false">AZ958/AY958</f>
        <v>0.191966264509839</v>
      </c>
      <c r="BB958" s="2" t="n">
        <f aca="false">AZ958/(Entrées!$C$151/100)-AY958</f>
        <v>1887.36739039725</v>
      </c>
      <c r="BC958" s="2" t="n">
        <f aca="false">AT958+(Entrées!$C$244-Entrées!$C$13)</f>
        <v>27813.2794807192</v>
      </c>
      <c r="BD958" s="2" t="n">
        <f aca="false">AA958*AQ958</f>
        <v>5797.17660005217</v>
      </c>
      <c r="BE958" s="2" t="n">
        <f aca="false">BD958/BC958</f>
        <v>0.208431968767685</v>
      </c>
      <c r="BF958" s="2" t="n">
        <f aca="false">BD958/(Entrées!$C$151/100)-BC958</f>
        <v>4393.2571862373</v>
      </c>
      <c r="BG958" s="2" t="n">
        <f aca="false">MIN(AV958,BF958)</f>
        <v>1933.95508643817</v>
      </c>
      <c r="BH958" s="2" t="n">
        <f aca="false">IF(AC958&gt;Hypothèses!$J$26,MAX(0,BG958)/(1-Hypothèses!$J$26/AC958),0)</f>
        <v>2753.29295909991</v>
      </c>
    </row>
    <row r="959" customFormat="false" ht="15" hidden="false" customHeight="false" outlineLevel="0" collapsed="false">
      <c r="A959" s="2" t="n">
        <v>944</v>
      </c>
      <c r="B959" s="2" t="n">
        <v>0.336348187</v>
      </c>
      <c r="C959" s="2"/>
      <c r="D959" s="2" t="n">
        <v>0.04834029</v>
      </c>
      <c r="E959" s="2" t="n">
        <f aca="false">IF(E$7=E$5,E$6,IF(NORMSDIST(E$9*SQRT($C$11)*NORMSINV($B959)+SQRT(1-E$9^2*$C$11)*NORMSINV(D959))&lt;E$8,E$5+SQRT(NORMSDIST(E$9*SQRT($C$11)*NORMSINV($B959)+SQRT(1-E$9^2*$C$11)*NORMSINV(D959))*(E$7-E$5)*(E$6-E$5)),E$7-SQRT((1-NORMSDIST(E$9*SQRT($C$11)*NORMSINV($B959)+SQRT(1-E$9^2*$C$11)*NORMSINV(D959)))*(E$7-E$5)*(E$7-E$6))))</f>
        <v>0.0517335310865314</v>
      </c>
      <c r="F959" s="2" t="n">
        <v>0.415375253</v>
      </c>
      <c r="G959" s="2" t="n">
        <f aca="false">IF(G$7=G$5,G$6,IF(NORMSDIST(G$9*SQRT($C$11)*NORMSINV($B959)+SQRT(1-G$9^2*$C$11)*NORMSINV(F959))&lt;G$8,G$5+SQRT(NORMSDIST(G$9*SQRT($C$11)*NORMSINV($B959)+SQRT(1-G$9^2*$C$11)*NORMSINV(F959))*(G$7-G$5)*(G$6-G$5)),G$7-SQRT((1-NORMSDIST(G$9*SQRT($C$11)*NORMSINV($B959)+SQRT(1-G$9^2*$C$11)*NORMSINV(F959)))*(G$7-G$5)*(G$7-G$6))))</f>
        <v>0.052233985229285</v>
      </c>
      <c r="H959" s="2" t="n">
        <v>0.611629941</v>
      </c>
      <c r="I959" s="2" t="n">
        <f aca="false">IF(I$7=I$5,I$6,IF(NORMSDIST(I$9*SQRT($C$11)*NORMSINV($B959)+SQRT(1-I$9^2*$C$11)*NORMSINV(H959))&lt;I$8,I$5+SQRT(NORMSDIST(I$9*SQRT($C$11)*NORMSINV($B959)+SQRT(1-I$9^2*$C$11)*NORMSINV(H959))*(I$7-I$5)*(I$6-I$5)),I$7-SQRT((1-NORMSDIST(I$9*SQRT($C$11)*NORMSINV($B959)+SQRT(1-I$9^2*$C$11)*NORMSINV(H959)))*(I$7-I$5)*(I$7-I$6))))</f>
        <v>199.617255127908</v>
      </c>
      <c r="J959" s="2" t="n">
        <v>0.404757881</v>
      </c>
      <c r="K959" s="2" t="n">
        <f aca="false">IF(K$7=K$5,K$6,IF(NORMSDIST(K$9*SQRT($C$11)*NORMSINV($B959)+SQRT(1-K$9^2*$C$11)*NORMSINV(J959))&lt;K$8,K$5+SQRT(NORMSDIST(K$9*SQRT($C$11)*NORMSINV($B959)+SQRT(1-K$9^2*$C$11)*NORMSINV(J959))*(K$7-K$5)*(K$6-K$5)),K$7-SQRT((1-NORMSDIST(K$9*SQRT($C$11)*NORMSINV($B959)+SQRT(1-K$9^2*$C$11)*NORMSINV(J959)))*(K$7-K$5)*(K$7-K$6))))</f>
        <v>0.201541269285165</v>
      </c>
      <c r="L959" s="2" t="n">
        <v>0.115549501</v>
      </c>
      <c r="M959" s="2" t="n">
        <f aca="false">IF(M$7=M$5,M$6,IF(NORMSDIST(M$9*SQRT($C$11)*NORMSINV($B959)+SQRT(1-M$9^2*$C$11)*NORMSINV(L959))&lt;M$8,M$5+SQRT(NORMSDIST(M$9*SQRT($C$11)*NORMSINV($B959)+SQRT(1-M$9^2*$C$11)*NORMSINV(L959))*(M$7-M$5)*(M$6-M$5)),M$7-SQRT((1-NORMSDIST(M$9*SQRT($C$11)*NORMSINV($B959)+SQRT(1-M$9^2*$C$11)*NORMSINV(L959)))*(M$7-M$5)*(M$7-M$6))))</f>
        <v>1439.15194629082</v>
      </c>
      <c r="N959" s="2" t="n">
        <v>0.211797092</v>
      </c>
      <c r="O959" s="2" t="n">
        <f aca="false">IF(O$7=O$5,O$6,IF(NORMSDIST(O$9*SQRT($C$11)*NORMSINV($B959)+SQRT(1-O$9^2*$C$11)*NORMSINV(N959))&lt;O$8,O$5+SQRT(NORMSDIST(O$9*SQRT($C$11)*NORMSINV($B959)+SQRT(1-O$9^2*$C$11)*NORMSINV(N959))*(O$7-O$5)*(O$6-O$5)),O$7-SQRT((1-NORMSDIST(O$9*SQRT($C$11)*NORMSINV($B959)+SQRT(1-O$9^2*$C$11)*NORMSINV(N959)))*(O$7-O$5)*(O$7-O$6))))</f>
        <v>0.156403643074348</v>
      </c>
      <c r="P959" s="2" t="n">
        <v>0.166475843</v>
      </c>
      <c r="Q959" s="2" t="n">
        <f aca="false">IF(Q$7=Q$5,Q$6,IF(NORMSDIST(Q$9*SQRT($C$11)*NORMSINV($B959)+SQRT(1-Q$9^2*$C$11)*NORMSINV(P959))&lt;Q$8,Q$5+SQRT(NORMSDIST(Q$9*SQRT($C$11)*NORMSINV($B959)+SQRT(1-Q$9^2*$C$11)*NORMSINV(P959))*(Q$7-Q$5)*(Q$6-Q$5)),Q$7-SQRT((1-NORMSDIST(Q$9*SQRT($C$11)*NORMSINV($B959)+SQRT(1-Q$9^2*$C$11)*NORMSINV(P959)))*(Q$7-Q$5)*(Q$7-Q$6))))</f>
        <v>0.0630807863297592</v>
      </c>
      <c r="R959" s="2" t="n">
        <v>0.261435196</v>
      </c>
      <c r="S959" s="2" t="n">
        <f aca="false">IF(S$7=S$5,S$6,IF(NORMSDIST(S$9*SQRT($C$11)*NORMSINV($B959)+SQRT(1-S$9^2*$C$11)*NORMSINV(R959))&lt;S$8,S$5+SQRT(NORMSDIST(S$9*SQRT($C$11)*NORMSINV($B959)+SQRT(1-S$9^2*$C$11)*NORMSINV(R959))*(S$7-S$5)*(S$6-S$5)),S$7-SQRT((1-NORMSDIST(S$9*SQRT($C$11)*NORMSINV($B959)+SQRT(1-S$9^2*$C$11)*NORMSINV(R959)))*(S$7-S$5)*(S$7-S$6))))</f>
        <v>0.333918112586378</v>
      </c>
      <c r="T959" s="2" t="n">
        <v>0.428938343</v>
      </c>
      <c r="U959" s="2" t="n">
        <f aca="false">IF(U$7=U$5,U$6,IF(NORMSDIST(U$9*SQRT($C$11)*NORMSINV($B959)+SQRT(1-U$9^2*$C$11)*NORMSINV(T959))&lt;U$8,U$5+SQRT(NORMSDIST(U$9*SQRT($C$11)*NORMSINV($B959)+SQRT(1-U$9^2*$C$11)*NORMSINV(T959))*(U$7-U$5)*(U$6-U$5)),U$7-SQRT((1-NORMSDIST(U$9*SQRT($C$11)*NORMSINV($B959)+SQRT(1-U$9^2*$C$11)*NORMSINV(T959)))*(U$7-U$5)*(U$7-U$6))))</f>
        <v>0.413769401680091</v>
      </c>
      <c r="V959" s="2" t="n">
        <v>0.890712661</v>
      </c>
      <c r="W959" s="2" t="n">
        <f aca="false">IF(W$7=W$5,W$6,IF(NORMSDIST(W$9*SQRT($C$11)*NORMSINV($B959)+SQRT(1-W$9^2*$C$11)*NORMSINV(V959))&lt;W$8,W$5+SQRT(NORMSDIST(W$9*SQRT($C$11)*NORMSINV($B959)+SQRT(1-W$9^2*$C$11)*NORMSINV(V959))*(W$7-W$5)*(W$6-W$5)),W$7-SQRT((1-NORMSDIST(W$9*SQRT($C$11)*NORMSINV($B959)+SQRT(1-W$9^2*$C$11)*NORMSINV(V959)))*(W$7-W$5)*(W$7-W$6))))</f>
        <v>10.5959733167578</v>
      </c>
      <c r="X959" s="2" t="n">
        <v>0.256987887</v>
      </c>
      <c r="Y959" s="2" t="n">
        <f aca="false">IF(Y$7=Y$5,Y$6,IF(NORMSDIST(Y$9*SQRT($C$11)*NORMSINV($B959)+SQRT(1-Y$9^2*$C$11)*NORMSINV(X959))&lt;Y$8,Y$5+SQRT(NORMSDIST(Y$9*SQRT($C$11)*NORMSINV($B959)+SQRT(1-Y$9^2*$C$11)*NORMSINV(X959))*(Y$7-Y$5)*(Y$6-Y$5)),Y$7-SQRT((1-NORMSDIST(Y$9*SQRT($C$11)*NORMSINV($B959)+SQRT(1-Y$9^2*$C$11)*NORMSINV(X959)))*(Y$7-Y$5)*(Y$7-Y$6))))</f>
        <v>0.358460518746486</v>
      </c>
      <c r="Z959" s="2" t="n">
        <v>0.721190923</v>
      </c>
      <c r="AA959" s="2" t="n">
        <f aca="false">IF(AA$7=AA$5,AA$6,IF(NORMSDIST(AA$9*SQRT($C$11)*NORMSINV($B959)+SQRT(1-AA$9^2*$C$11)*NORMSINV(Z959))&lt;AA$8,AA$5+SQRT(NORMSDIST(AA$9*SQRT($C$11)*NORMSINV($B959)+SQRT(1-AA$9^2*$C$11)*NORMSINV(Z959))*(AA$7-AA$5)*(AA$6-AA$5)),AA$7-SQRT((1-NORMSDIST(AA$9*SQRT($C$11)*NORMSINV($B959)+SQRT(1-AA$9^2*$C$11)*NORMSINV(Z959)))*(AA$7-AA$5)*(AA$7-AA$6))))</f>
        <v>0.730395552182716</v>
      </c>
      <c r="AB959" s="2" t="n">
        <v>0.846991961</v>
      </c>
      <c r="AC959" s="2" t="n">
        <f aca="false">IF(AC$7=AC$5,AC$6,IF(NORMSDIST(AC$9*SQRT($C$11)*NORMSINV($B959)+SQRT(1-AC$9^2*$C$11)*NORMSINV(AB959))&lt;AC$8,AC$5+SQRT(NORMSDIST(AC$9*SQRT($C$11)*NORMSINV($B959)+SQRT(1-AC$9^2*$C$11)*NORMSINV(AB959))*(AC$7-AC$5)*(AC$6-AC$5)),AC$7-SQRT((1-NORMSDIST(AC$9*SQRT($C$11)*NORMSINV($B959)+SQRT(1-AC$9^2*$C$11)*NORMSINV(AB959)))*(AC$7-AC$5)*(AC$7-AC$6))))</f>
        <v>9.86244362151127</v>
      </c>
      <c r="AD959" s="2" t="n">
        <f aca="false">Entrées!$C$8*(1+E959)</f>
        <v>7414.72139416005</v>
      </c>
      <c r="AE959" s="2" t="n">
        <f aca="false">I959*Hypothèses!$J$24/12/Hypothèses!$J$19</f>
        <v>99.0294813690755</v>
      </c>
      <c r="AF959" s="2" t="n">
        <f aca="false">Entrées!$C$36*S959*1000</f>
        <v>166.959056293189</v>
      </c>
      <c r="AG959" s="2" t="n">
        <f aca="false">-AF959/W959</f>
        <v>-15.7568400091324</v>
      </c>
      <c r="AH959" s="2" t="n">
        <f aca="false">AD959+AE959+AG959</f>
        <v>7497.99403551999</v>
      </c>
      <c r="AI959" s="2" t="n">
        <f aca="false">Entrées!$C$16-M959+Hypothèses!$J$22*1000-AF959+Hypothèses!$J$23</f>
        <v>22941.888997416</v>
      </c>
      <c r="AJ959" s="2" t="n">
        <f aca="false">AI959/AH959</f>
        <v>3.05973689612637</v>
      </c>
      <c r="AK959" s="2" t="n">
        <f aca="false">AI959/(AH959+I959*(12-Hypothèses!$J$24)/12/Hypothèses!$J$19)</f>
        <v>3.03114140399758</v>
      </c>
      <c r="AL959" s="2" t="n">
        <f aca="false">(AD959+AG959+I959/Hypothèses!$J$19)*(1+G959)</f>
        <v>7964.07427796073</v>
      </c>
      <c r="AM959" s="2" t="n">
        <f aca="false">Entrées!$C$54*K959/Hypothèses!$J$19</f>
        <v>20.5681327476569</v>
      </c>
      <c r="AN959" s="2" t="n">
        <f aca="false">Y959*1000/AC959</f>
        <v>36.3460144871842</v>
      </c>
      <c r="AO959" s="2" t="n">
        <f aca="false">(Entrées!$C$36*(1-S959)+MAX(0,Entrées!$C$30-Entrées!$C$35-Entrées!$C$36)*U959)*1000</f>
        <v>912.318106058939</v>
      </c>
      <c r="AP959" s="2" t="n">
        <f aca="false">-AO959/W959</f>
        <v>-86.1004533312748</v>
      </c>
      <c r="AQ959" s="2" t="n">
        <f aca="false">AL959+AM959+AN959+AP959</f>
        <v>7934.8879718643</v>
      </c>
      <c r="AR959" s="2" t="n">
        <f aca="false">O959*AQ959-Hypothèses!$J$25/Hypothèses!$J$19</f>
        <v>1221.91022392478</v>
      </c>
      <c r="AS959" s="2" t="n">
        <f aca="false">Entrées!$C$79*(1+Q959)+Hypothèses!$J$20</f>
        <v>1463.32578417641</v>
      </c>
      <c r="AT959" s="2" t="n">
        <f aca="false">AI959-AR959+AS959+Y959*1000-AO959+Hypothèses!$J$23</f>
        <v>22629.4469703552</v>
      </c>
      <c r="AU959" s="2" t="n">
        <f aca="false">AT959/AQ959</f>
        <v>2.85189243384345</v>
      </c>
      <c r="AV959" s="2" t="n">
        <f aca="false">Hypothèses!$J$26*AQ959-AT959</f>
        <v>1175.21694523772</v>
      </c>
      <c r="AW959" s="2" t="n">
        <f aca="false">IF(AC959&gt;Hypothèses!$J$26,MAX(0,AV959)/(1-Hypothèses!$J$26/AC959),0)</f>
        <v>1688.97720764068</v>
      </c>
      <c r="AX959" s="2" t="n">
        <f aca="false">AQ959-Entrées!$C$17*1000</f>
        <v>-65.1120281357034</v>
      </c>
      <c r="AY959" s="2" t="n">
        <f aca="false">AI959+(Entrées!$C$244-Entrées!$C$13)</f>
        <v>28688.888997416</v>
      </c>
      <c r="AZ959" s="2" t="n">
        <f aca="false">AA959*AH959</f>
        <v>5476.50149383633</v>
      </c>
      <c r="BA959" s="2" t="n">
        <f aca="false">AZ959/AY959</f>
        <v>0.190892770170696</v>
      </c>
      <c r="BB959" s="2" t="n">
        <f aca="false">AZ959/(Entrées!$C$151/100)-AY959</f>
        <v>1736.11930167474</v>
      </c>
      <c r="BC959" s="2" t="n">
        <f aca="false">AT959+(Entrées!$C$244-Entrées!$C$13)</f>
        <v>28376.4469703552</v>
      </c>
      <c r="BD959" s="2" t="n">
        <f aca="false">AA959*AQ959</f>
        <v>5795.60688171781</v>
      </c>
      <c r="BE959" s="2" t="n">
        <f aca="false">BD959/BC959</f>
        <v>0.204240047662502</v>
      </c>
      <c r="BF959" s="2" t="n">
        <f aca="false">BD959/(Entrées!$C$151/100)-BC959</f>
        <v>3821.36903918823</v>
      </c>
      <c r="BG959" s="2" t="n">
        <f aca="false">MIN(AV959,BF959)</f>
        <v>1175.21694523772</v>
      </c>
      <c r="BH959" s="2" t="n">
        <f aca="false">IF(AC959&gt;Hypothèses!$J$26,MAX(0,BG959)/(1-Hypothèses!$J$26/AC959),0)</f>
        <v>1688.97720764068</v>
      </c>
    </row>
    <row r="960" customFormat="false" ht="15" hidden="false" customHeight="false" outlineLevel="0" collapsed="false">
      <c r="A960" s="2" t="n">
        <v>945</v>
      </c>
      <c r="B960" s="2" t="n">
        <v>0.581919527</v>
      </c>
      <c r="C960" s="2"/>
      <c r="D960" s="2" t="n">
        <v>0.69111129</v>
      </c>
      <c r="E960" s="2" t="n">
        <f aca="false">IF(E$7=E$5,E$6,IF(NORMSDIST(E$9*SQRT($C$11)*NORMSINV($B960)+SQRT(1-E$9^2*$C$11)*NORMSINV(D960))&lt;E$8,E$5+SQRT(NORMSDIST(E$9*SQRT($C$11)*NORMSINV($B960)+SQRT(1-E$9^2*$C$11)*NORMSINV(D960))*(E$7-E$5)*(E$6-E$5)),E$7-SQRT((1-NORMSDIST(E$9*SQRT($C$11)*NORMSINV($B960)+SQRT(1-E$9^2*$C$11)*NORMSINV(D960)))*(E$7-E$5)*(E$7-E$6))))</f>
        <v>0.0561111328420918</v>
      </c>
      <c r="F960" s="2" t="n">
        <v>0.790506008</v>
      </c>
      <c r="G960" s="2" t="n">
        <f aca="false">IF(G$7=G$5,G$6,IF(NORMSDIST(G$9*SQRT($C$11)*NORMSINV($B960)+SQRT(1-G$9^2*$C$11)*NORMSINV(F960))&lt;G$8,G$5+SQRT(NORMSDIST(G$9*SQRT($C$11)*NORMSINV($B960)+SQRT(1-G$9^2*$C$11)*NORMSINV(F960))*(G$7-G$5)*(G$6-G$5)),G$7-SQRT((1-NORMSDIST(G$9*SQRT($C$11)*NORMSINV($B960)+SQRT(1-G$9^2*$C$11)*NORMSINV(F960)))*(G$7-G$5)*(G$7-G$6))))</f>
        <v>0.059947035904014</v>
      </c>
      <c r="H960" s="2" t="n">
        <v>0.080371947</v>
      </c>
      <c r="I960" s="2" t="n">
        <f aca="false">IF(I$7=I$5,I$6,IF(NORMSDIST(I$9*SQRT($C$11)*NORMSINV($B960)+SQRT(1-I$9^2*$C$11)*NORMSINV(H960))&lt;I$8,I$5+SQRT(NORMSDIST(I$9*SQRT($C$11)*NORMSINV($B960)+SQRT(1-I$9^2*$C$11)*NORMSINV(H960))*(I$7-I$5)*(I$6-I$5)),I$7-SQRT((1-NORMSDIST(I$9*SQRT($C$11)*NORMSINV($B960)+SQRT(1-I$9^2*$C$11)*NORMSINV(H960)))*(I$7-I$5)*(I$7-I$6))))</f>
        <v>191.649164063017</v>
      </c>
      <c r="J960" s="2" t="n">
        <v>0.781950903</v>
      </c>
      <c r="K960" s="2" t="n">
        <f aca="false">IF(K$7=K$5,K$6,IF(NORMSDIST(K$9*SQRT($C$11)*NORMSINV($B960)+SQRT(1-K$9^2*$C$11)*NORMSINV(J960))&lt;K$8,K$5+SQRT(NORMSDIST(K$9*SQRT($C$11)*NORMSINV($B960)+SQRT(1-K$9^2*$C$11)*NORMSINV(J960))*(K$7-K$5)*(K$6-K$5)),K$7-SQRT((1-NORMSDIST(K$9*SQRT($C$11)*NORMSINV($B960)+SQRT(1-K$9^2*$C$11)*NORMSINV(J960)))*(K$7-K$5)*(K$7-K$6))))</f>
        <v>0.329904865425172</v>
      </c>
      <c r="L960" s="2" t="n">
        <v>0.424673695</v>
      </c>
      <c r="M960" s="2" t="n">
        <f aca="false">IF(M$7=M$5,M$6,IF(NORMSDIST(M$9*SQRT($C$11)*NORMSINV($B960)+SQRT(1-M$9^2*$C$11)*NORMSINV(L960))&lt;M$8,M$5+SQRT(NORMSDIST(M$9*SQRT($C$11)*NORMSINV($B960)+SQRT(1-M$9^2*$C$11)*NORMSINV(L960))*(M$7-M$5)*(M$6-M$5)),M$7-SQRT((1-NORMSDIST(M$9*SQRT($C$11)*NORMSINV($B960)+SQRT(1-M$9^2*$C$11)*NORMSINV(L960)))*(M$7-M$5)*(M$7-M$6))))</f>
        <v>1583.50590639351</v>
      </c>
      <c r="N960" s="2" t="n">
        <v>0.792036638</v>
      </c>
      <c r="O960" s="2" t="n">
        <f aca="false">IF(O$7=O$5,O$6,IF(NORMSDIST(O$9*SQRT($C$11)*NORMSINV($B960)+SQRT(1-O$9^2*$C$11)*NORMSINV(N960))&lt;O$8,O$5+SQRT(NORMSDIST(O$9*SQRT($C$11)*NORMSINV($B960)+SQRT(1-O$9^2*$C$11)*NORMSINV(N960))*(O$7-O$5)*(O$6-O$5)),O$7-SQRT((1-NORMSDIST(O$9*SQRT($C$11)*NORMSINV($B960)+SQRT(1-O$9^2*$C$11)*NORMSINV(N960)))*(O$7-O$5)*(O$7-O$6))))</f>
        <v>0.174575810674249</v>
      </c>
      <c r="P960" s="2" t="n">
        <v>0.330967308</v>
      </c>
      <c r="Q960" s="2" t="n">
        <f aca="false">IF(Q$7=Q$5,Q$6,IF(NORMSDIST(Q$9*SQRT($C$11)*NORMSINV($B960)+SQRT(1-Q$9^2*$C$11)*NORMSINV(P960))&lt;Q$8,Q$5+SQRT(NORMSDIST(Q$9*SQRT($C$11)*NORMSINV($B960)+SQRT(1-Q$9^2*$C$11)*NORMSINV(P960))*(Q$7-Q$5)*(Q$6-Q$5)),Q$7-SQRT((1-NORMSDIST(Q$9*SQRT($C$11)*NORMSINV($B960)+SQRT(1-Q$9^2*$C$11)*NORMSINV(P960)))*(Q$7-Q$5)*(Q$7-Q$6))))</f>
        <v>0.0725437457217205</v>
      </c>
      <c r="R960" s="2" t="n">
        <v>0.239363926</v>
      </c>
      <c r="S960" s="2" t="n">
        <f aca="false">IF(S$7=S$5,S$6,IF(NORMSDIST(S$9*SQRT($C$11)*NORMSINV($B960)+SQRT(1-S$9^2*$C$11)*NORMSINV(R960))&lt;S$8,S$5+SQRT(NORMSDIST(S$9*SQRT($C$11)*NORMSINV($B960)+SQRT(1-S$9^2*$C$11)*NORMSINV(R960))*(S$7-S$5)*(S$6-S$5)),S$7-SQRT((1-NORMSDIST(S$9*SQRT($C$11)*NORMSINV($B960)+SQRT(1-S$9^2*$C$11)*NORMSINV(R960)))*(S$7-S$5)*(S$7-S$6))))</f>
        <v>0.411104535220258</v>
      </c>
      <c r="T960" s="2" t="n">
        <v>0.58445553</v>
      </c>
      <c r="U960" s="2" t="n">
        <f aca="false">IF(U$7=U$5,U$6,IF(NORMSDIST(U$9*SQRT($C$11)*NORMSINV($B960)+SQRT(1-U$9^2*$C$11)*NORMSINV(T960))&lt;U$8,U$5+SQRT(NORMSDIST(U$9*SQRT($C$11)*NORMSINV($B960)+SQRT(1-U$9^2*$C$11)*NORMSINV(T960))*(U$7-U$5)*(U$6-U$5)),U$7-SQRT((1-NORMSDIST(U$9*SQRT($C$11)*NORMSINV($B960)+SQRT(1-U$9^2*$C$11)*NORMSINV(T960)))*(U$7-U$5)*(U$7-U$6))))</f>
        <v>0.562046313787447</v>
      </c>
      <c r="V960" s="2" t="n">
        <v>0.354828588</v>
      </c>
      <c r="W960" s="2" t="n">
        <f aca="false">IF(W$7=W$5,W$6,IF(NORMSDIST(W$9*SQRT($C$11)*NORMSINV($B960)+SQRT(1-W$9^2*$C$11)*NORMSINV(V960))&lt;W$8,W$5+SQRT(NORMSDIST(W$9*SQRT($C$11)*NORMSINV($B960)+SQRT(1-W$9^2*$C$11)*NORMSINV(V960))*(W$7-W$5)*(W$6-W$5)),W$7-SQRT((1-NORMSDIST(W$9*SQRT($C$11)*NORMSINV($B960)+SQRT(1-W$9^2*$C$11)*NORMSINV(V960)))*(W$7-W$5)*(W$7-W$6))))</f>
        <v>9.87058559692164</v>
      </c>
      <c r="X960" s="2" t="n">
        <v>0.865641924</v>
      </c>
      <c r="Y960" s="2" t="n">
        <f aca="false">IF(Y$7=Y$5,Y$6,IF(NORMSDIST(Y$9*SQRT($C$11)*NORMSINV($B960)+SQRT(1-Y$9^2*$C$11)*NORMSINV(X960))&lt;Y$8,Y$5+SQRT(NORMSDIST(Y$9*SQRT($C$11)*NORMSINV($B960)+SQRT(1-Y$9^2*$C$11)*NORMSINV(X960))*(Y$7-Y$5)*(Y$6-Y$5)),Y$7-SQRT((1-NORMSDIST(Y$9*SQRT($C$11)*NORMSINV($B960)+SQRT(1-Y$9^2*$C$11)*NORMSINV(X960)))*(Y$7-Y$5)*(Y$7-Y$6))))</f>
        <v>0.740810806552434</v>
      </c>
      <c r="Z960" s="2" t="n">
        <v>0.979277938</v>
      </c>
      <c r="AA960" s="2" t="n">
        <f aca="false">IF(AA$7=AA$5,AA$6,IF(NORMSDIST(AA$9*SQRT($C$11)*NORMSINV($B960)+SQRT(1-AA$9^2*$C$11)*NORMSINV(Z960))&lt;AA$8,AA$5+SQRT(NORMSDIST(AA$9*SQRT($C$11)*NORMSINV($B960)+SQRT(1-AA$9^2*$C$11)*NORMSINV(Z960))*(AA$7-AA$5)*(AA$6-AA$5)),AA$7-SQRT((1-NORMSDIST(AA$9*SQRT($C$11)*NORMSINV($B960)+SQRT(1-AA$9^2*$C$11)*NORMSINV(Z960)))*(AA$7-AA$5)*(AA$7-AA$6))))</f>
        <v>0.746384424222144</v>
      </c>
      <c r="AB960" s="2" t="n">
        <v>0.112063944</v>
      </c>
      <c r="AC960" s="2" t="n">
        <f aca="false">IF(AC$7=AC$5,AC$6,IF(NORMSDIST(AC$9*SQRT($C$11)*NORMSINV($B960)+SQRT(1-AC$9^2*$C$11)*NORMSINV(AB960))&lt;AC$8,AC$5+SQRT(NORMSDIST(AC$9*SQRT($C$11)*NORMSINV($B960)+SQRT(1-AC$9^2*$C$11)*NORMSINV(AB960))*(AC$7-AC$5)*(AC$6-AC$5)),AC$7-SQRT((1-NORMSDIST(AC$9*SQRT($C$11)*NORMSINV($B960)+SQRT(1-AC$9^2*$C$11)*NORMSINV(AB960)))*(AC$7-AC$5)*(AC$7-AC$6))))</f>
        <v>8.74292923153747</v>
      </c>
      <c r="AD960" s="2" t="n">
        <f aca="false">Entrées!$C$8*(1+E960)</f>
        <v>7445.58348653675</v>
      </c>
      <c r="AE960" s="2" t="n">
        <f aca="false">I960*Hypothèses!$J$24/12/Hypothèses!$J$19</f>
        <v>95.0765368946507</v>
      </c>
      <c r="AF960" s="2" t="n">
        <f aca="false">Entrées!$C$36*S960*1000</f>
        <v>205.552267610129</v>
      </c>
      <c r="AG960" s="2" t="n">
        <f aca="false">-AF960/W960</f>
        <v>-20.8247287449931</v>
      </c>
      <c r="AH960" s="2" t="n">
        <f aca="false">AD960+AE960+AG960</f>
        <v>7519.8352946864</v>
      </c>
      <c r="AI960" s="2" t="n">
        <f aca="false">Entrées!$C$16-M960+Hypothèses!$J$22*1000-AF960+Hypothèses!$J$23</f>
        <v>22758.9418259964</v>
      </c>
      <c r="AJ960" s="2" t="n">
        <f aca="false">AI960/AH960</f>
        <v>3.02652131783765</v>
      </c>
      <c r="AK960" s="2" t="n">
        <f aca="false">AI960/(AH960+I960*(12-Hypothèses!$J$24)/12/Hypothèses!$J$19)</f>
        <v>2.99943336352607</v>
      </c>
      <c r="AL960" s="2" t="n">
        <f aca="false">(AD960+AG960+I960/Hypothèses!$J$19)*(1+G960)</f>
        <v>8042.61005499317</v>
      </c>
      <c r="AM960" s="2" t="n">
        <f aca="false">Entrées!$C$54*K960/Hypothèses!$J$19</f>
        <v>33.6681766976563</v>
      </c>
      <c r="AN960" s="2" t="n">
        <f aca="false">Y960*1000/AC960</f>
        <v>84.7325635303307</v>
      </c>
      <c r="AO960" s="2" t="n">
        <f aca="false">(Entrées!$C$36*(1-S960)+MAX(0,Entrées!$C$30-Entrées!$C$35-Entrées!$C$36)*U960)*1000</f>
        <v>1081.3125716923</v>
      </c>
      <c r="AP960" s="2" t="n">
        <f aca="false">-AO960/W960</f>
        <v>-109.548978738357</v>
      </c>
      <c r="AQ960" s="2" t="n">
        <f aca="false">AL960+AM960+AN960+AP960</f>
        <v>8051.4618164828</v>
      </c>
      <c r="AR960" s="2" t="n">
        <f aca="false">O960*AQ960-Hypothèses!$J$25/Hypothèses!$J$19</f>
        <v>1386.45531146362</v>
      </c>
      <c r="AS960" s="2" t="n">
        <f aca="false">Entrées!$C$79*(1+Q960)+Hypothèses!$J$20</f>
        <v>1473.72557654817</v>
      </c>
      <c r="AT960" s="2" t="n">
        <f aca="false">AI960-AR960+AS960+Y960*1000-AO960+Hypothèses!$J$23</f>
        <v>22505.710325941</v>
      </c>
      <c r="AU960" s="2" t="n">
        <f aca="false">AT960/AQ960</f>
        <v>2.79523282093542</v>
      </c>
      <c r="AV960" s="2" t="n">
        <f aca="false">Hypothèses!$J$26*AQ960-AT960</f>
        <v>1648.67512350737</v>
      </c>
      <c r="AW960" s="2" t="n">
        <f aca="false">IF(AC960&gt;Hypothèses!$J$26,MAX(0,AV960)/(1-Hypothèses!$J$26/AC960),0)</f>
        <v>2509.91251145233</v>
      </c>
      <c r="AX960" s="2" t="n">
        <f aca="false">AQ960-Entrées!$C$17*1000</f>
        <v>51.4618164828025</v>
      </c>
      <c r="AY960" s="2" t="n">
        <f aca="false">AI960+(Entrées!$C$244-Entrées!$C$13)</f>
        <v>28505.9418259964</v>
      </c>
      <c r="AZ960" s="2" t="n">
        <f aca="false">AA960*AH960</f>
        <v>5612.68793666987</v>
      </c>
      <c r="BA960" s="2" t="n">
        <f aca="false">AZ960/AY960</f>
        <v>0.196895369075345</v>
      </c>
      <c r="BB960" s="2" t="n">
        <f aca="false">AZ960/(Entrées!$C$151/100)-AY960</f>
        <v>2675.65782216956</v>
      </c>
      <c r="BC960" s="2" t="n">
        <f aca="false">AT960+(Entrées!$C$244-Entrées!$C$13)</f>
        <v>28252.710325941</v>
      </c>
      <c r="BD960" s="2" t="n">
        <f aca="false">AA960*AQ960</f>
        <v>6009.48569204209</v>
      </c>
      <c r="BE960" s="2" t="n">
        <f aca="false">BD960/BC960</f>
        <v>0.212704750189022</v>
      </c>
      <c r="BF960" s="2" t="n">
        <f aca="false">BD960/(Entrées!$C$151/100)-BC960</f>
        <v>5133.32129651502</v>
      </c>
      <c r="BG960" s="2" t="n">
        <f aca="false">MIN(AV960,BF960)</f>
        <v>1648.67512350737</v>
      </c>
      <c r="BH960" s="2" t="n">
        <f aca="false">IF(AC960&gt;Hypothèses!$J$26,MAX(0,BG960)/(1-Hypothèses!$J$26/AC960),0)</f>
        <v>2509.91251145233</v>
      </c>
    </row>
    <row r="961" customFormat="false" ht="15" hidden="false" customHeight="false" outlineLevel="0" collapsed="false">
      <c r="A961" s="2" t="n">
        <v>946</v>
      </c>
      <c r="B961" s="2" t="n">
        <v>0.90356138</v>
      </c>
      <c r="C961" s="2"/>
      <c r="D961" s="2" t="n">
        <v>0.296494504</v>
      </c>
      <c r="E961" s="2" t="n">
        <f aca="false">IF(E$7=E$5,E$6,IF(NORMSDIST(E$9*SQRT($C$11)*NORMSINV($B961)+SQRT(1-E$9^2*$C$11)*NORMSINV(D961))&lt;E$8,E$5+SQRT(NORMSDIST(E$9*SQRT($C$11)*NORMSINV($B961)+SQRT(1-E$9^2*$C$11)*NORMSINV(D961))*(E$7-E$5)*(E$6-E$5)),E$7-SQRT((1-NORMSDIST(E$9*SQRT($C$11)*NORMSINV($B961)+SQRT(1-E$9^2*$C$11)*NORMSINV(D961)))*(E$7-E$5)*(E$7-E$6))))</f>
        <v>0.0558703128487713</v>
      </c>
      <c r="F961" s="2" t="n">
        <v>0.181031878</v>
      </c>
      <c r="G961" s="2" t="n">
        <f aca="false">IF(G$7=G$5,G$6,IF(NORMSDIST(G$9*SQRT($C$11)*NORMSINV($B961)+SQRT(1-G$9^2*$C$11)*NORMSINV(F961))&lt;G$8,G$5+SQRT(NORMSDIST(G$9*SQRT($C$11)*NORMSINV($B961)+SQRT(1-G$9^2*$C$11)*NORMSINV(F961))*(G$7-G$5)*(G$6-G$5)),G$7-SQRT((1-NORMSDIST(G$9*SQRT($C$11)*NORMSINV($B961)+SQRT(1-G$9^2*$C$11)*NORMSINV(F961)))*(G$7-G$5)*(G$7-G$6))))</f>
        <v>0.0557189367444387</v>
      </c>
      <c r="H961" s="2" t="n">
        <v>0.243582733</v>
      </c>
      <c r="I961" s="2" t="n">
        <f aca="false">IF(I$7=I$5,I$6,IF(NORMSDIST(I$9*SQRT($C$11)*NORMSINV($B961)+SQRT(1-I$9^2*$C$11)*NORMSINV(H961))&lt;I$8,I$5+SQRT(NORMSDIST(I$9*SQRT($C$11)*NORMSINV($B961)+SQRT(1-I$9^2*$C$11)*NORMSINV(H961))*(I$7-I$5)*(I$6-I$5)),I$7-SQRT((1-NORMSDIST(I$9*SQRT($C$11)*NORMSINV($B961)+SQRT(1-I$9^2*$C$11)*NORMSINV(H961)))*(I$7-I$5)*(I$7-I$6))))</f>
        <v>202.388660209236</v>
      </c>
      <c r="J961" s="2" t="n">
        <v>0.467323466</v>
      </c>
      <c r="K961" s="2" t="n">
        <f aca="false">IF(K$7=K$5,K$6,IF(NORMSDIST(K$9*SQRT($C$11)*NORMSINV($B961)+SQRT(1-K$9^2*$C$11)*NORMSINV(J961))&lt;K$8,K$5+SQRT(NORMSDIST(K$9*SQRT($C$11)*NORMSINV($B961)+SQRT(1-K$9^2*$C$11)*NORMSINV(J961))*(K$7-K$5)*(K$6-K$5)),K$7-SQRT((1-NORMSDIST(K$9*SQRT($C$11)*NORMSINV($B961)+SQRT(1-K$9^2*$C$11)*NORMSINV(J961)))*(K$7-K$5)*(K$7-K$6))))</f>
        <v>0.332808694337743</v>
      </c>
      <c r="L961" s="2" t="n">
        <v>0.413358363</v>
      </c>
      <c r="M961" s="2" t="n">
        <f aca="false">IF(M$7=M$5,M$6,IF(NORMSDIST(M$9*SQRT($C$11)*NORMSINV($B961)+SQRT(1-M$9^2*$C$11)*NORMSINV(L961))&lt;M$8,M$5+SQRT(NORMSDIST(M$9*SQRT($C$11)*NORMSINV($B961)+SQRT(1-M$9^2*$C$11)*NORMSINV(L961))*(M$7-M$5)*(M$6-M$5)),M$7-SQRT((1-NORMSDIST(M$9*SQRT($C$11)*NORMSINV($B961)+SQRT(1-M$9^2*$C$11)*NORMSINV(L961)))*(M$7-M$5)*(M$7-M$6))))</f>
        <v>1648.98301321176</v>
      </c>
      <c r="N961" s="2" t="n">
        <v>0.887134818</v>
      </c>
      <c r="O961" s="2" t="n">
        <f aca="false">IF(O$7=O$5,O$6,IF(NORMSDIST(O$9*SQRT($C$11)*NORMSINV($B961)+SQRT(1-O$9^2*$C$11)*NORMSINV(N961))&lt;O$8,O$5+SQRT(NORMSDIST(O$9*SQRT($C$11)*NORMSINV($B961)+SQRT(1-O$9^2*$C$11)*NORMSINV(N961))*(O$7-O$5)*(O$6-O$5)),O$7-SQRT((1-NORMSDIST(O$9*SQRT($C$11)*NORMSINV($B961)+SQRT(1-O$9^2*$C$11)*NORMSINV(N961)))*(O$7-O$5)*(O$7-O$6))))</f>
        <v>0.183551122700345</v>
      </c>
      <c r="P961" s="2" t="n">
        <v>0.299306377</v>
      </c>
      <c r="Q961" s="2" t="n">
        <f aca="false">IF(Q$7=Q$5,Q$6,IF(NORMSDIST(Q$9*SQRT($C$11)*NORMSINV($B961)+SQRT(1-Q$9^2*$C$11)*NORMSINV(P961))&lt;Q$8,Q$5+SQRT(NORMSDIST(Q$9*SQRT($C$11)*NORMSINV($B961)+SQRT(1-Q$9^2*$C$11)*NORMSINV(P961))*(Q$7-Q$5)*(Q$6-Q$5)),Q$7-SQRT((1-NORMSDIST(Q$9*SQRT($C$11)*NORMSINV($B961)+SQRT(1-Q$9^2*$C$11)*NORMSINV(P961)))*(Q$7-Q$5)*(Q$7-Q$6))))</f>
        <v>0.0709480275041884</v>
      </c>
      <c r="R961" s="2" t="n">
        <v>0.881012167</v>
      </c>
      <c r="S961" s="2" t="n">
        <f aca="false">IF(S$7=S$5,S$6,IF(NORMSDIST(S$9*SQRT($C$11)*NORMSINV($B961)+SQRT(1-S$9^2*$C$11)*NORMSINV(R961))&lt;S$8,S$5+SQRT(NORMSDIST(S$9*SQRT($C$11)*NORMSINV($B961)+SQRT(1-S$9^2*$C$11)*NORMSINV(R961))*(S$7-S$5)*(S$6-S$5)),S$7-SQRT((1-NORMSDIST(S$9*SQRT($C$11)*NORMSINV($B961)+SQRT(1-S$9^2*$C$11)*NORMSINV(R961)))*(S$7-S$5)*(S$7-S$6))))</f>
        <v>0.856576614072216</v>
      </c>
      <c r="T961" s="2" t="n">
        <v>0.214818772</v>
      </c>
      <c r="U961" s="2" t="n">
        <f aca="false">IF(U$7=U$5,U$6,IF(NORMSDIST(U$9*SQRT($C$11)*NORMSINV($B961)+SQRT(1-U$9^2*$C$11)*NORMSINV(T961))&lt;U$8,U$5+SQRT(NORMSDIST(U$9*SQRT($C$11)*NORMSINV($B961)+SQRT(1-U$9^2*$C$11)*NORMSINV(T961))*(U$7-U$5)*(U$6-U$5)),U$7-SQRT((1-NORMSDIST(U$9*SQRT($C$11)*NORMSINV($B961)+SQRT(1-U$9^2*$C$11)*NORMSINV(T961)))*(U$7-U$5)*(U$7-U$6))))</f>
        <v>0.543845708147629</v>
      </c>
      <c r="V961" s="2" t="n">
        <v>0.458103778</v>
      </c>
      <c r="W961" s="2" t="n">
        <f aca="false">IF(W$7=W$5,W$6,IF(NORMSDIST(W$9*SQRT($C$11)*NORMSINV($B961)+SQRT(1-W$9^2*$C$11)*NORMSINV(V961))&lt;W$8,W$5+SQRT(NORMSDIST(W$9*SQRT($C$11)*NORMSINV($B961)+SQRT(1-W$9^2*$C$11)*NORMSINV(V961))*(W$7-W$5)*(W$6-W$5)),W$7-SQRT((1-NORMSDIST(W$9*SQRT($C$11)*NORMSINV($B961)+SQRT(1-W$9^2*$C$11)*NORMSINV(V961)))*(W$7-W$5)*(W$7-W$6))))</f>
        <v>10.6463862250975</v>
      </c>
      <c r="X961" s="2" t="n">
        <v>0.311849995</v>
      </c>
      <c r="Y961" s="2" t="n">
        <f aca="false">IF(Y$7=Y$5,Y$6,IF(NORMSDIST(Y$9*SQRT($C$11)*NORMSINV($B961)+SQRT(1-Y$9^2*$C$11)*NORMSINV(X961))&lt;Y$8,Y$5+SQRT(NORMSDIST(Y$9*SQRT($C$11)*NORMSINV($B961)+SQRT(1-Y$9^2*$C$11)*NORMSINV(X961))*(Y$7-Y$5)*(Y$6-Y$5)),Y$7-SQRT((1-NORMSDIST(Y$9*SQRT($C$11)*NORMSINV($B961)+SQRT(1-Y$9^2*$C$11)*NORMSINV(X961)))*(Y$7-Y$5)*(Y$7-Y$6))))</f>
        <v>0.394873394267074</v>
      </c>
      <c r="Z961" s="2" t="n">
        <v>0.020416222</v>
      </c>
      <c r="AA961" s="2" t="n">
        <f aca="false">IF(AA$7=AA$5,AA$6,IF(NORMSDIST(AA$9*SQRT($C$11)*NORMSINV($B961)+SQRT(1-AA$9^2*$C$11)*NORMSINV(Z961))&lt;AA$8,AA$5+SQRT(NORMSDIST(AA$9*SQRT($C$11)*NORMSINV($B961)+SQRT(1-AA$9^2*$C$11)*NORMSINV(Z961))*(AA$7-AA$5)*(AA$6-AA$5)),AA$7-SQRT((1-NORMSDIST(AA$9*SQRT($C$11)*NORMSINV($B961)+SQRT(1-AA$9^2*$C$11)*NORMSINV(Z961)))*(AA$7-AA$5)*(AA$7-AA$6))))</f>
        <v>0.71719932044876</v>
      </c>
      <c r="AB961" s="2" t="n">
        <v>0.520673524</v>
      </c>
      <c r="AC961" s="2" t="n">
        <f aca="false">IF(AC$7=AC$5,AC$6,IF(NORMSDIST(AC$9*SQRT($C$11)*NORMSINV($B961)+SQRT(1-AC$9^2*$C$11)*NORMSINV(AB961))&lt;AC$8,AC$5+SQRT(NORMSDIST(AC$9*SQRT($C$11)*NORMSINV($B961)+SQRT(1-AC$9^2*$C$11)*NORMSINV(AB961))*(AC$7-AC$5)*(AC$6-AC$5)),AC$7-SQRT((1-NORMSDIST(AC$9*SQRT($C$11)*NORMSINV($B961)+SQRT(1-AC$9^2*$C$11)*NORMSINV(AB961)))*(AC$7-AC$5)*(AC$7-AC$6))))</f>
        <v>10.084816748442</v>
      </c>
      <c r="AD961" s="2" t="n">
        <f aca="false">Entrées!$C$8*(1+E961)</f>
        <v>7443.88570558384</v>
      </c>
      <c r="AE961" s="2" t="n">
        <f aca="false">I961*Hypothèses!$J$24/12/Hypothèses!$J$19</f>
        <v>100.404366559695</v>
      </c>
      <c r="AF961" s="2" t="n">
        <f aca="false">Entrées!$C$36*S961*1000</f>
        <v>428.288307036108</v>
      </c>
      <c r="AG961" s="2" t="n">
        <f aca="false">-AF961/W961</f>
        <v>-40.2285149139596</v>
      </c>
      <c r="AH961" s="2" t="n">
        <f aca="false">AD961+AE961+AG961</f>
        <v>7504.06155722958</v>
      </c>
      <c r="AI961" s="2" t="n">
        <f aca="false">Entrées!$C$16-M961+Hypothèses!$J$22*1000-AF961+Hypothèses!$J$23</f>
        <v>22470.7286797521</v>
      </c>
      <c r="AJ961" s="2" t="n">
        <f aca="false">AI961/AH961</f>
        <v>2.99447552613735</v>
      </c>
      <c r="AK961" s="2" t="n">
        <f aca="false">AI961/(AH961+I961*(12-Hypothèses!$J$24)/12/Hypothèses!$J$19)</f>
        <v>2.96612781242918</v>
      </c>
      <c r="AL961" s="2" t="n">
        <f aca="false">(AD961+AG961+I961/Hypothèses!$J$19)*(1+G961)</f>
        <v>7997.89331068387</v>
      </c>
      <c r="AM961" s="2" t="n">
        <f aca="false">Entrées!$C$54*K961/Hypothèses!$J$19</f>
        <v>33.9645246305739</v>
      </c>
      <c r="AN961" s="2" t="n">
        <f aca="false">Y961*1000/AC961</f>
        <v>39.1552374343417</v>
      </c>
      <c r="AO961" s="2" t="n">
        <f aca="false">(Entrées!$C$36*(1-S961)+MAX(0,Entrées!$C$30-Entrées!$C$35-Entrées!$C$36)*U961)*1000</f>
        <v>833.095684370573</v>
      </c>
      <c r="AP961" s="2" t="n">
        <f aca="false">-AO961/W961</f>
        <v>-78.2514993121945</v>
      </c>
      <c r="AQ961" s="2" t="n">
        <f aca="false">AL961+AM961+AN961+AP961</f>
        <v>7992.76157343659</v>
      </c>
      <c r="AR961" s="2" t="n">
        <f aca="false">O961*AQ961-Hypothèses!$J$25/Hypothèses!$J$19</f>
        <v>1447.94519801883</v>
      </c>
      <c r="AS961" s="2" t="n">
        <f aca="false">Entrées!$C$79*(1+Q961)+Hypothèses!$J$20</f>
        <v>1471.9718822271</v>
      </c>
      <c r="AT961" s="2" t="n">
        <f aca="false">AI961-AR961+AS961+Y961*1000-AO961+Hypothèses!$J$23</f>
        <v>22056.5330738569</v>
      </c>
      <c r="AU961" s="2" t="n">
        <f aca="false">AT961/AQ961</f>
        <v>2.75956349644662</v>
      </c>
      <c r="AV961" s="2" t="n">
        <f aca="false">Hypothèses!$J$26*AQ961-AT961</f>
        <v>1921.75164645287</v>
      </c>
      <c r="AW961" s="2" t="n">
        <f aca="false">IF(AC961&gt;Hypothèses!$J$26,MAX(0,AV961)/(1-Hypothèses!$J$26/AC961),0)</f>
        <v>2735.49957304905</v>
      </c>
      <c r="AX961" s="2" t="n">
        <f aca="false">AQ961-Entrées!$C$17*1000</f>
        <v>-7.23842656341276</v>
      </c>
      <c r="AY961" s="2" t="n">
        <f aca="false">AI961+(Entrées!$C$244-Entrées!$C$13)</f>
        <v>28217.7286797521</v>
      </c>
      <c r="AZ961" s="2" t="n">
        <f aca="false">AA961*AH961</f>
        <v>5381.90784945071</v>
      </c>
      <c r="BA961" s="2" t="n">
        <f aca="false">AZ961/AY961</f>
        <v>0.19072788992094</v>
      </c>
      <c r="BB961" s="2" t="n">
        <f aca="false">AZ961/(Entrées!$C$151/100)-AY961</f>
        <v>1681.75937275184</v>
      </c>
      <c r="BC961" s="2" t="n">
        <f aca="false">AT961+(Entrées!$C$244-Entrées!$C$13)</f>
        <v>27803.5330738569</v>
      </c>
      <c r="BD961" s="2" t="n">
        <f aca="false">AA961*AQ961</f>
        <v>5732.40316897768</v>
      </c>
      <c r="BE961" s="2" t="n">
        <f aca="false">BD961/BC961</f>
        <v>0.206175350224384</v>
      </c>
      <c r="BF961" s="2" t="n">
        <f aca="false">BD961/(Entrées!$C$151/100)-BC961</f>
        <v>4043.15119824134</v>
      </c>
      <c r="BG961" s="2" t="n">
        <f aca="false">MIN(AV961,BF961)</f>
        <v>1921.75164645287</v>
      </c>
      <c r="BH961" s="2" t="n">
        <f aca="false">IF(AC961&gt;Hypothèses!$J$26,MAX(0,BG961)/(1-Hypothèses!$J$26/AC961),0)</f>
        <v>2735.49957304905</v>
      </c>
    </row>
    <row r="962" customFormat="false" ht="15" hidden="false" customHeight="false" outlineLevel="0" collapsed="false">
      <c r="A962" s="2" t="n">
        <v>947</v>
      </c>
      <c r="B962" s="2" t="n">
        <v>0.582884119</v>
      </c>
      <c r="C962" s="2"/>
      <c r="D962" s="2" t="n">
        <v>0.965815901</v>
      </c>
      <c r="E962" s="2" t="n">
        <f aca="false">IF(E$7=E$5,E$6,IF(NORMSDIST(E$9*SQRT($C$11)*NORMSINV($B962)+SQRT(1-E$9^2*$C$11)*NORMSINV(D962))&lt;E$8,E$5+SQRT(NORMSDIST(E$9*SQRT($C$11)*NORMSINV($B962)+SQRT(1-E$9^2*$C$11)*NORMSINV(D962))*(E$7-E$5)*(E$6-E$5)),E$7-SQRT((1-NORMSDIST(E$9*SQRT($C$11)*NORMSINV($B962)+SQRT(1-E$9^2*$C$11)*NORMSINV(D962)))*(E$7-E$5)*(E$7-E$6))))</f>
        <v>0.0582495715561856</v>
      </c>
      <c r="F962" s="2" t="n">
        <v>0.17538609</v>
      </c>
      <c r="G962" s="2" t="n">
        <f aca="false">IF(G$7=G$5,G$6,IF(NORMSDIST(G$9*SQRT($C$11)*NORMSINV($B962)+SQRT(1-G$9^2*$C$11)*NORMSINV(F962))&lt;G$8,G$5+SQRT(NORMSDIST(G$9*SQRT($C$11)*NORMSINV($B962)+SQRT(1-G$9^2*$C$11)*NORMSINV(F962))*(G$7-G$5)*(G$6-G$5)),G$7-SQRT((1-NORMSDIST(G$9*SQRT($C$11)*NORMSINV($B962)+SQRT(1-G$9^2*$C$11)*NORMSINV(F962)))*(G$7-G$5)*(G$7-G$6))))</f>
        <v>0.0511738885796043</v>
      </c>
      <c r="H962" s="2" t="n">
        <v>0.523935306</v>
      </c>
      <c r="I962" s="2" t="n">
        <f aca="false">IF(I$7=I$5,I$6,IF(NORMSDIST(I$9*SQRT($C$11)*NORMSINV($B962)+SQRT(1-I$9^2*$C$11)*NORMSINV(H962))&lt;I$8,I$5+SQRT(NORMSDIST(I$9*SQRT($C$11)*NORMSINV($B962)+SQRT(1-I$9^2*$C$11)*NORMSINV(H962))*(I$7-I$5)*(I$6-I$5)),I$7-SQRT((1-NORMSDIST(I$9*SQRT($C$11)*NORMSINV($B962)+SQRT(1-I$9^2*$C$11)*NORMSINV(H962)))*(I$7-I$5)*(I$7-I$6))))</f>
        <v>201.473827226493</v>
      </c>
      <c r="J962" s="2" t="n">
        <v>0.713505729</v>
      </c>
      <c r="K962" s="2" t="n">
        <f aca="false">IF(K$7=K$5,K$6,IF(NORMSDIST(K$9*SQRT($C$11)*NORMSINV($B962)+SQRT(1-K$9^2*$C$11)*NORMSINV(J962))&lt;K$8,K$5+SQRT(NORMSDIST(K$9*SQRT($C$11)*NORMSINV($B962)+SQRT(1-K$9^2*$C$11)*NORMSINV(J962))*(K$7-K$5)*(K$6-K$5)),K$7-SQRT((1-NORMSDIST(K$9*SQRT($C$11)*NORMSINV($B962)+SQRT(1-K$9^2*$C$11)*NORMSINV(J962)))*(K$7-K$5)*(K$7-K$6))))</f>
        <v>0.311356762102128</v>
      </c>
      <c r="L962" s="2" t="n">
        <v>0.897530105</v>
      </c>
      <c r="M962" s="2" t="n">
        <f aca="false">IF(M$7=M$5,M$6,IF(NORMSDIST(M$9*SQRT($C$11)*NORMSINV($B962)+SQRT(1-M$9^2*$C$11)*NORMSINV(L962))&lt;M$8,M$5+SQRT(NORMSDIST(M$9*SQRT($C$11)*NORMSINV($B962)+SQRT(1-M$9^2*$C$11)*NORMSINV(L962))*(M$7-M$5)*(M$6-M$5)),M$7-SQRT((1-NORMSDIST(M$9*SQRT($C$11)*NORMSINV($B962)+SQRT(1-M$9^2*$C$11)*NORMSINV(L962)))*(M$7-M$5)*(M$7-M$6))))</f>
        <v>1689.16127745589</v>
      </c>
      <c r="N962" s="2" t="n">
        <v>0.021885519</v>
      </c>
      <c r="O962" s="2" t="n">
        <f aca="false">IF(O$7=O$5,O$6,IF(NORMSDIST(O$9*SQRT($C$11)*NORMSINV($B962)+SQRT(1-O$9^2*$C$11)*NORMSINV(N962))&lt;O$8,O$5+SQRT(NORMSDIST(O$9*SQRT($C$11)*NORMSINV($B962)+SQRT(1-O$9^2*$C$11)*NORMSINV(N962))*(O$7-O$5)*(O$6-O$5)),O$7-SQRT((1-NORMSDIST(O$9*SQRT($C$11)*NORMSINV($B962)+SQRT(1-O$9^2*$C$11)*NORMSINV(N962)))*(O$7-O$5)*(O$7-O$6))))</f>
        <v>0.150472601118373</v>
      </c>
      <c r="P962" s="2" t="n">
        <v>0.847043605</v>
      </c>
      <c r="Q962" s="2" t="n">
        <f aca="false">IF(Q$7=Q$5,Q$6,IF(NORMSDIST(Q$9*SQRT($C$11)*NORMSINV($B962)+SQRT(1-Q$9^2*$C$11)*NORMSINV(P962))&lt;Q$8,Q$5+SQRT(NORMSDIST(Q$9*SQRT($C$11)*NORMSINV($B962)+SQRT(1-Q$9^2*$C$11)*NORMSINV(P962))*(Q$7-Q$5)*(Q$6-Q$5)),Q$7-SQRT((1-NORMSDIST(Q$9*SQRT($C$11)*NORMSINV($B962)+SQRT(1-Q$9^2*$C$11)*NORMSINV(P962)))*(Q$7-Q$5)*(Q$7-Q$6))))</f>
        <v>0.0978762466113907</v>
      </c>
      <c r="R962" s="2" t="n">
        <v>0.312661949</v>
      </c>
      <c r="S962" s="2" t="n">
        <f aca="false">IF(S$7=S$5,S$6,IF(NORMSDIST(S$9*SQRT($C$11)*NORMSINV($B962)+SQRT(1-S$9^2*$C$11)*NORMSINV(R962))&lt;S$8,S$5+SQRT(NORMSDIST(S$9*SQRT($C$11)*NORMSINV($B962)+SQRT(1-S$9^2*$C$11)*NORMSINV(R962))*(S$7-S$5)*(S$6-S$5)),S$7-SQRT((1-NORMSDIST(S$9*SQRT($C$11)*NORMSINV($B962)+SQRT(1-S$9^2*$C$11)*NORMSINV(R962)))*(S$7-S$5)*(S$7-S$6))))</f>
        <v>0.448822370309886</v>
      </c>
      <c r="T962" s="2" t="n">
        <v>0.407204912</v>
      </c>
      <c r="U962" s="2" t="n">
        <f aca="false">IF(U$7=U$5,U$6,IF(NORMSDIST(U$9*SQRT($C$11)*NORMSINV($B962)+SQRT(1-U$9^2*$C$11)*NORMSINV(T962))&lt;U$8,U$5+SQRT(NORMSDIST(U$9*SQRT($C$11)*NORMSINV($B962)+SQRT(1-U$9^2*$C$11)*NORMSINV(T962))*(U$7-U$5)*(U$6-U$5)),U$7-SQRT((1-NORMSDIST(U$9*SQRT($C$11)*NORMSINV($B962)+SQRT(1-U$9^2*$C$11)*NORMSINV(T962)))*(U$7-U$5)*(U$7-U$6))))</f>
        <v>0.490036731634639</v>
      </c>
      <c r="V962" s="2" t="n">
        <v>0.094717467</v>
      </c>
      <c r="W962" s="2" t="n">
        <f aca="false">IF(W$7=W$5,W$6,IF(NORMSDIST(W$9*SQRT($C$11)*NORMSINV($B962)+SQRT(1-W$9^2*$C$11)*NORMSINV(V962))&lt;W$8,W$5+SQRT(NORMSDIST(W$9*SQRT($C$11)*NORMSINV($B962)+SQRT(1-W$9^2*$C$11)*NORMSINV(V962))*(W$7-W$5)*(W$6-W$5)),W$7-SQRT((1-NORMSDIST(W$9*SQRT($C$11)*NORMSINV($B962)+SQRT(1-W$9^2*$C$11)*NORMSINV(V962)))*(W$7-W$5)*(W$7-W$6))))</f>
        <v>9.22741677894902</v>
      </c>
      <c r="X962" s="2" t="n">
        <v>0.803505996</v>
      </c>
      <c r="Y962" s="2" t="n">
        <f aca="false">IF(Y$7=Y$5,Y$6,IF(NORMSDIST(Y$9*SQRT($C$11)*NORMSINV($B962)+SQRT(1-Y$9^2*$C$11)*NORMSINV(X962))&lt;Y$8,Y$5+SQRT(NORMSDIST(Y$9*SQRT($C$11)*NORMSINV($B962)+SQRT(1-Y$9^2*$C$11)*NORMSINV(X962))*(Y$7-Y$5)*(Y$6-Y$5)),Y$7-SQRT((1-NORMSDIST(Y$9*SQRT($C$11)*NORMSINV($B962)+SQRT(1-Y$9^2*$C$11)*NORMSINV(X962)))*(Y$7-Y$5)*(Y$7-Y$6))))</f>
        <v>0.686556221947221</v>
      </c>
      <c r="Z962" s="2" t="n">
        <v>0.208794595</v>
      </c>
      <c r="AA962" s="2" t="n">
        <f aca="false">IF(AA$7=AA$5,AA$6,IF(NORMSDIST(AA$9*SQRT($C$11)*NORMSINV($B962)+SQRT(1-AA$9^2*$C$11)*NORMSINV(Z962))&lt;AA$8,AA$5+SQRT(NORMSDIST(AA$9*SQRT($C$11)*NORMSINV($B962)+SQRT(1-AA$9^2*$C$11)*NORMSINV(Z962))*(AA$7-AA$5)*(AA$6-AA$5)),AA$7-SQRT((1-NORMSDIST(AA$9*SQRT($C$11)*NORMSINV($B962)+SQRT(1-AA$9^2*$C$11)*NORMSINV(Z962)))*(AA$7-AA$5)*(AA$7-AA$6))))</f>
        <v>0.721097114644771</v>
      </c>
      <c r="AB962" s="2" t="n">
        <v>0.132600016</v>
      </c>
      <c r="AC962" s="2" t="n">
        <f aca="false">IF(AC$7=AC$5,AC$6,IF(NORMSDIST(AC$9*SQRT($C$11)*NORMSINV($B962)+SQRT(1-AC$9^2*$C$11)*NORMSINV(AB962))&lt;AC$8,AC$5+SQRT(NORMSDIST(AC$9*SQRT($C$11)*NORMSINV($B962)+SQRT(1-AC$9^2*$C$11)*NORMSINV(AB962))*(AC$7-AC$5)*(AC$6-AC$5)),AC$7-SQRT((1-NORMSDIST(AC$9*SQRT($C$11)*NORMSINV($B962)+SQRT(1-AC$9^2*$C$11)*NORMSINV(AB962)))*(AC$7-AC$5)*(AC$7-AC$6))))</f>
        <v>8.81727807642199</v>
      </c>
      <c r="AD962" s="2" t="n">
        <f aca="false">Entrées!$C$8*(1+E962)</f>
        <v>7460.65947947111</v>
      </c>
      <c r="AE962" s="2" t="n">
        <f aca="false">I962*Hypothèses!$J$24/12/Hypothèses!$J$19</f>
        <v>99.9505208449932</v>
      </c>
      <c r="AF962" s="2" t="n">
        <f aca="false">Entrées!$C$36*S962*1000</f>
        <v>224.411185154943</v>
      </c>
      <c r="AG962" s="2" t="n">
        <f aca="false">-AF962/W962</f>
        <v>-24.3200443342826</v>
      </c>
      <c r="AH962" s="2" t="n">
        <f aca="false">AD962+AE962+AG962</f>
        <v>7536.28995598182</v>
      </c>
      <c r="AI962" s="2" t="n">
        <f aca="false">Entrées!$C$16-M962+Hypothèses!$J$22*1000-AF962+Hypothèses!$J$23</f>
        <v>22634.4275373892</v>
      </c>
      <c r="AJ962" s="2" t="n">
        <f aca="false">AI962/AH962</f>
        <v>3.00339128000554</v>
      </c>
      <c r="AK962" s="2" t="n">
        <f aca="false">AI962/(AH962+I962*(12-Hypothèses!$J$24)/12/Hypothèses!$J$19)</f>
        <v>2.97520637840844</v>
      </c>
      <c r="AL962" s="2" t="n">
        <f aca="false">(AD962+AG962+I962/Hypothèses!$J$19)*(1+G962)</f>
        <v>7996.99791682296</v>
      </c>
      <c r="AM962" s="2" t="n">
        <f aca="false">Entrées!$C$54*K962/Hypothèses!$J$19</f>
        <v>31.7752648750864</v>
      </c>
      <c r="AN962" s="2" t="n">
        <f aca="false">Y962*1000/AC962</f>
        <v>77.8648712217798</v>
      </c>
      <c r="AO962" s="2" t="n">
        <f aca="false">(Entrées!$C$36*(1-S962)+MAX(0,Entrées!$C$30-Entrées!$C$35-Entrées!$C$36)*U962)*1000</f>
        <v>961.640239133552</v>
      </c>
      <c r="AP962" s="2" t="n">
        <f aca="false">-AO962/W962</f>
        <v>-104.215541810942</v>
      </c>
      <c r="AQ962" s="2" t="n">
        <f aca="false">AL962+AM962+AN962+AP962</f>
        <v>8002.42251110888</v>
      </c>
      <c r="AR962" s="2" t="n">
        <f aca="false">O962*AQ962-Hypothèses!$J$25/Hypothèses!$J$19</f>
        <v>1185.01016823315</v>
      </c>
      <c r="AS962" s="2" t="n">
        <f aca="false">Entrées!$C$79*(1+Q962)+Hypothèses!$J$20</f>
        <v>1501.56599502592</v>
      </c>
      <c r="AT962" s="2" t="n">
        <f aca="false">AI962-AR962+AS962+Y962*1000-AO962+Hypothèses!$J$23</f>
        <v>22675.8993469956</v>
      </c>
      <c r="AU962" s="2" t="n">
        <f aca="false">AT962/AQ962</f>
        <v>2.83362935605026</v>
      </c>
      <c r="AV962" s="2" t="n">
        <f aca="false">Hypothèses!$J$26*AQ962-AT962</f>
        <v>1331.36818633104</v>
      </c>
      <c r="AW962" s="2" t="n">
        <f aca="false">IF(AC962&gt;Hypothèses!$J$26,MAX(0,AV962)/(1-Hypothèses!$J$26/AC962),0)</f>
        <v>2017.96155637839</v>
      </c>
      <c r="AX962" s="2" t="n">
        <f aca="false">AQ962-Entrées!$C$17*1000</f>
        <v>2.42251110888265</v>
      </c>
      <c r="AY962" s="2" t="n">
        <f aca="false">AI962+(Entrées!$C$244-Entrées!$C$13)</f>
        <v>28381.4275373892</v>
      </c>
      <c r="AZ962" s="2" t="n">
        <f aca="false">AA962*AH962</f>
        <v>5434.39694238486</v>
      </c>
      <c r="BA962" s="2" t="n">
        <f aca="false">AZ962/AY962</f>
        <v>0.191477223449232</v>
      </c>
      <c r="BB962" s="2" t="n">
        <f aca="false">AZ962/(Entrées!$C$151/100)-AY962</f>
        <v>1809.66658697115</v>
      </c>
      <c r="BC962" s="2" t="n">
        <f aca="false">AT962+(Entrées!$C$244-Entrées!$C$13)</f>
        <v>28422.8993469956</v>
      </c>
      <c r="BD962" s="2" t="n">
        <f aca="false">AA962*AQ962</f>
        <v>5770.52378292898</v>
      </c>
      <c r="BE962" s="2" t="n">
        <f aca="false">BD962/BC962</f>
        <v>0.203023756038419</v>
      </c>
      <c r="BF962" s="2" t="n">
        <f aca="false">BD962/(Entrées!$C$151/100)-BC962</f>
        <v>3635.56611372093</v>
      </c>
      <c r="BG962" s="2" t="n">
        <f aca="false">MIN(AV962,BF962)</f>
        <v>1331.36818633104</v>
      </c>
      <c r="BH962" s="2" t="n">
        <f aca="false">IF(AC962&gt;Hypothèses!$J$26,MAX(0,BG962)/(1-Hypothèses!$J$26/AC962),0)</f>
        <v>2017.96155637839</v>
      </c>
    </row>
    <row r="963" customFormat="false" ht="15" hidden="false" customHeight="false" outlineLevel="0" collapsed="false">
      <c r="A963" s="2" t="n">
        <v>948</v>
      </c>
      <c r="B963" s="2" t="n">
        <v>0.366955314</v>
      </c>
      <c r="C963" s="2"/>
      <c r="D963" s="2" t="n">
        <v>0.722023499</v>
      </c>
      <c r="E963" s="2" t="n">
        <f aca="false">IF(E$7=E$5,E$6,IF(NORMSDIST(E$9*SQRT($C$11)*NORMSINV($B963)+SQRT(1-E$9^2*$C$11)*NORMSINV(D963))&lt;E$8,E$5+SQRT(NORMSDIST(E$9*SQRT($C$11)*NORMSINV($B963)+SQRT(1-E$9^2*$C$11)*NORMSINV(D963))*(E$7-E$5)*(E$6-E$5)),E$7-SQRT((1-NORMSDIST(E$9*SQRT($C$11)*NORMSINV($B963)+SQRT(1-E$9^2*$C$11)*NORMSINV(D963)))*(E$7-E$5)*(E$7-E$6))))</f>
        <v>0.0555015419257687</v>
      </c>
      <c r="F963" s="2" t="n">
        <v>0.832564131</v>
      </c>
      <c r="G963" s="2" t="n">
        <f aca="false">IF(G$7=G$5,G$6,IF(NORMSDIST(G$9*SQRT($C$11)*NORMSINV($B963)+SQRT(1-G$9^2*$C$11)*NORMSINV(F963))&lt;G$8,G$5+SQRT(NORMSDIST(G$9*SQRT($C$11)*NORMSINV($B963)+SQRT(1-G$9^2*$C$11)*NORMSINV(F963))*(G$7-G$5)*(G$6-G$5)),G$7-SQRT((1-NORMSDIST(G$9*SQRT($C$11)*NORMSINV($B963)+SQRT(1-G$9^2*$C$11)*NORMSINV(F963)))*(G$7-G$5)*(G$7-G$6))))</f>
        <v>0.0584321667658318</v>
      </c>
      <c r="H963" s="2" t="n">
        <v>0.398087091</v>
      </c>
      <c r="I963" s="2" t="n">
        <f aca="false">IF(I$7=I$5,I$6,IF(NORMSDIST(I$9*SQRT($C$11)*NORMSINV($B963)+SQRT(1-I$9^2*$C$11)*NORMSINV(H963))&lt;I$8,I$5+SQRT(NORMSDIST(I$9*SQRT($C$11)*NORMSINV($B963)+SQRT(1-I$9^2*$C$11)*NORMSINV(H963))*(I$7-I$5)*(I$6-I$5)),I$7-SQRT((1-NORMSDIST(I$9*SQRT($C$11)*NORMSINV($B963)+SQRT(1-I$9^2*$C$11)*NORMSINV(H963)))*(I$7-I$5)*(I$7-I$6))))</f>
        <v>196.469261192999</v>
      </c>
      <c r="J963" s="2" t="n">
        <v>0.422014208</v>
      </c>
      <c r="K963" s="2" t="n">
        <f aca="false">IF(K$7=K$5,K$6,IF(NORMSDIST(K$9*SQRT($C$11)*NORMSINV($B963)+SQRT(1-K$9^2*$C$11)*NORMSINV(J963))&lt;K$8,K$5+SQRT(NORMSDIST(K$9*SQRT($C$11)*NORMSINV($B963)+SQRT(1-K$9^2*$C$11)*NORMSINV(J963))*(K$7-K$5)*(K$6-K$5)),K$7-SQRT((1-NORMSDIST(K$9*SQRT($C$11)*NORMSINV($B963)+SQRT(1-K$9^2*$C$11)*NORMSINV(J963)))*(K$7-K$5)*(K$7-K$6))))</f>
        <v>0.211147311482797</v>
      </c>
      <c r="L963" s="2" t="n">
        <v>0.285209401</v>
      </c>
      <c r="M963" s="2" t="n">
        <f aca="false">IF(M$7=M$5,M$6,IF(NORMSDIST(M$9*SQRT($C$11)*NORMSINV($B963)+SQRT(1-M$9^2*$C$11)*NORMSINV(L963))&lt;M$8,M$5+SQRT(NORMSDIST(M$9*SQRT($C$11)*NORMSINV($B963)+SQRT(1-M$9^2*$C$11)*NORMSINV(L963))*(M$7-M$5)*(M$6-M$5)),M$7-SQRT((1-NORMSDIST(M$9*SQRT($C$11)*NORMSINV($B963)+SQRT(1-M$9^2*$C$11)*NORMSINV(L963)))*(M$7-M$5)*(M$7-M$6))))</f>
        <v>1505.24365473444</v>
      </c>
      <c r="N963" s="2" t="n">
        <v>0.798467738</v>
      </c>
      <c r="O963" s="2" t="n">
        <f aca="false">IF(O$7=O$5,O$6,IF(NORMSDIST(O$9*SQRT($C$11)*NORMSINV($B963)+SQRT(1-O$9^2*$C$11)*NORMSINV(N963))&lt;O$8,O$5+SQRT(NORMSDIST(O$9*SQRT($C$11)*NORMSINV($B963)+SQRT(1-O$9^2*$C$11)*NORMSINV(N963))*(O$7-O$5)*(O$6-O$5)),O$7-SQRT((1-NORMSDIST(O$9*SQRT($C$11)*NORMSINV($B963)+SQRT(1-O$9^2*$C$11)*NORMSINV(N963)))*(O$7-O$5)*(O$7-O$6))))</f>
        <v>0.171177201737228</v>
      </c>
      <c r="P963" s="2" t="n">
        <v>0.882801735</v>
      </c>
      <c r="Q963" s="2" t="n">
        <f aca="false">IF(Q$7=Q$5,Q$6,IF(NORMSDIST(Q$9*SQRT($C$11)*NORMSINV($B963)+SQRT(1-Q$9^2*$C$11)*NORMSINV(P963))&lt;Q$8,Q$5+SQRT(NORMSDIST(Q$9*SQRT($C$11)*NORMSINV($B963)+SQRT(1-Q$9^2*$C$11)*NORMSINV(P963))*(Q$7-Q$5)*(Q$6-Q$5)),Q$7-SQRT((1-NORMSDIST(Q$9*SQRT($C$11)*NORMSINV($B963)+SQRT(1-Q$9^2*$C$11)*NORMSINV(P963)))*(Q$7-Q$5)*(Q$7-Q$6))))</f>
        <v>0.100634193845853</v>
      </c>
      <c r="R963" s="2" t="n">
        <v>0.822418903</v>
      </c>
      <c r="S963" s="2" t="n">
        <f aca="false">IF(S$7=S$5,S$6,IF(NORMSDIST(S$9*SQRT($C$11)*NORMSINV($B963)+SQRT(1-S$9^2*$C$11)*NORMSINV(R963))&lt;S$8,S$5+SQRT(NORMSDIST(S$9*SQRT($C$11)*NORMSINV($B963)+SQRT(1-S$9^2*$C$11)*NORMSINV(R963))*(S$7-S$5)*(S$6-S$5)),S$7-SQRT((1-NORMSDIST(S$9*SQRT($C$11)*NORMSINV($B963)+SQRT(1-S$9^2*$C$11)*NORMSINV(R963)))*(S$7-S$5)*(S$7-S$6))))</f>
        <v>0.607502821656786</v>
      </c>
      <c r="T963" s="2" t="n">
        <v>0.253672247</v>
      </c>
      <c r="U963" s="2" t="n">
        <f aca="false">IF(U$7=U$5,U$6,IF(NORMSDIST(U$9*SQRT($C$11)*NORMSINV($B963)+SQRT(1-U$9^2*$C$11)*NORMSINV(T963))&lt;U$8,U$5+SQRT(NORMSDIST(U$9*SQRT($C$11)*NORMSINV($B963)+SQRT(1-U$9^2*$C$11)*NORMSINV(T963))*(U$7-U$5)*(U$6-U$5)),U$7-SQRT((1-NORMSDIST(U$9*SQRT($C$11)*NORMSINV($B963)+SQRT(1-U$9^2*$C$11)*NORMSINV(T963)))*(U$7-U$5)*(U$7-U$6))))</f>
        <v>0.341426822972148</v>
      </c>
      <c r="V963" s="2" t="n">
        <v>0.669259372</v>
      </c>
      <c r="W963" s="2" t="n">
        <f aca="false">IF(W$7=W$5,W$6,IF(NORMSDIST(W$9*SQRT($C$11)*NORMSINV($B963)+SQRT(1-W$9^2*$C$11)*NORMSINV(V963))&lt;W$8,W$5+SQRT(NORMSDIST(W$9*SQRT($C$11)*NORMSINV($B963)+SQRT(1-W$9^2*$C$11)*NORMSINV(V963))*(W$7-W$5)*(W$6-W$5)),W$7-SQRT((1-NORMSDIST(W$9*SQRT($C$11)*NORMSINV($B963)+SQRT(1-W$9^2*$C$11)*NORMSINV(V963)))*(W$7-W$5)*(W$7-W$6))))</f>
        <v>10.1013996256095</v>
      </c>
      <c r="X963" s="2" t="n">
        <v>0.290467237</v>
      </c>
      <c r="Y963" s="2" t="n">
        <f aca="false">IF(Y$7=Y$5,Y$6,IF(NORMSDIST(Y$9*SQRT($C$11)*NORMSINV($B963)+SQRT(1-Y$9^2*$C$11)*NORMSINV(X963))&lt;Y$8,Y$5+SQRT(NORMSDIST(Y$9*SQRT($C$11)*NORMSINV($B963)+SQRT(1-Y$9^2*$C$11)*NORMSINV(X963))*(Y$7-Y$5)*(Y$6-Y$5)),Y$7-SQRT((1-NORMSDIST(Y$9*SQRT($C$11)*NORMSINV($B963)+SQRT(1-Y$9^2*$C$11)*NORMSINV(X963)))*(Y$7-Y$5)*(Y$7-Y$6))))</f>
        <v>0.381095287953026</v>
      </c>
      <c r="Z963" s="2" t="n">
        <v>0.28195742</v>
      </c>
      <c r="AA963" s="2" t="n">
        <f aca="false">IF(AA$7=AA$5,AA$6,IF(NORMSDIST(AA$9*SQRT($C$11)*NORMSINV($B963)+SQRT(1-AA$9^2*$C$11)*NORMSINV(Z963))&lt;AA$8,AA$5+SQRT(NORMSDIST(AA$9*SQRT($C$11)*NORMSINV($B963)+SQRT(1-AA$9^2*$C$11)*NORMSINV(Z963))*(AA$7-AA$5)*(AA$6-AA$5)),AA$7-SQRT((1-NORMSDIST(AA$9*SQRT($C$11)*NORMSINV($B963)+SQRT(1-AA$9^2*$C$11)*NORMSINV(Z963)))*(AA$7-AA$5)*(AA$7-AA$6))))</f>
        <v>0.718648685344858</v>
      </c>
      <c r="AB963" s="2" t="n">
        <v>0.941306926</v>
      </c>
      <c r="AC963" s="2" t="n">
        <f aca="false">IF(AC$7=AC$5,AC$6,IF(NORMSDIST(AC$9*SQRT($C$11)*NORMSINV($B963)+SQRT(1-AC$9^2*$C$11)*NORMSINV(AB963))&lt;AC$8,AC$5+SQRT(NORMSDIST(AC$9*SQRT($C$11)*NORMSINV($B963)+SQRT(1-AC$9^2*$C$11)*NORMSINV(AB963))*(AC$7-AC$5)*(AC$6-AC$5)),AC$7-SQRT((1-NORMSDIST(AC$9*SQRT($C$11)*NORMSINV($B963)+SQRT(1-AC$9^2*$C$11)*NORMSINV(AB963)))*(AC$7-AC$5)*(AC$7-AC$6))))</f>
        <v>10.1707936572704</v>
      </c>
      <c r="AD963" s="2" t="n">
        <f aca="false">Entrées!$C$8*(1+E963)</f>
        <v>7441.28587057667</v>
      </c>
      <c r="AE963" s="2" t="n">
        <f aca="false">I963*Hypothèses!$J$24/12/Hypothèses!$J$19</f>
        <v>97.4677716535133</v>
      </c>
      <c r="AF963" s="2" t="n">
        <f aca="false">Entrées!$C$36*S963*1000</f>
        <v>303.751410828393</v>
      </c>
      <c r="AG963" s="2" t="n">
        <f aca="false">-AF963/W963</f>
        <v>-30.070230075673</v>
      </c>
      <c r="AH963" s="2" t="n">
        <f aca="false">AD963+AE963+AG963</f>
        <v>7508.68341215451</v>
      </c>
      <c r="AI963" s="2" t="n">
        <f aca="false">Entrées!$C$16-M963+Hypothèses!$J$22*1000-AF963+Hypothèses!$J$23</f>
        <v>22739.0049344372</v>
      </c>
      <c r="AJ963" s="2" t="n">
        <f aca="false">AI963/AH963</f>
        <v>3.02836112355316</v>
      </c>
      <c r="AK963" s="2" t="n">
        <f aca="false">AI963/(AH963+I963*(12-Hypothèses!$J$24)/12/Hypothèses!$J$19)</f>
        <v>3.00054038313762</v>
      </c>
      <c r="AL963" s="2" t="n">
        <f aca="false">(AD963+AG963+I963/Hypothèses!$J$19)*(1+G963)</f>
        <v>8021.1199283004</v>
      </c>
      <c r="AM963" s="2" t="n">
        <f aca="false">Entrées!$C$54*K963/Hypothèses!$J$19</f>
        <v>21.5484696870901</v>
      </c>
      <c r="AN963" s="2" t="n">
        <f aca="false">Y963*1000/AC963</f>
        <v>37.4695722669203</v>
      </c>
      <c r="AO963" s="2" t="n">
        <f aca="false">(Entrées!$C$36*(1-S963)+MAX(0,Entrées!$C$30-Entrées!$C$35-Entrées!$C$36)*U963)*1000</f>
        <v>674.246141332614</v>
      </c>
      <c r="AP963" s="2" t="n">
        <f aca="false">-AO963/W963</f>
        <v>-66.7477940010649</v>
      </c>
      <c r="AQ963" s="2" t="n">
        <f aca="false">AL963+AM963+AN963+AP963</f>
        <v>8013.39017625335</v>
      </c>
      <c r="AR963" s="2" t="n">
        <f aca="false">O963*AQ963-Hypothèses!$J$25/Hypothèses!$J$19</f>
        <v>1352.57454453802</v>
      </c>
      <c r="AS963" s="2" t="n">
        <f aca="false">Entrées!$C$79*(1+Q963)+Hypothèses!$J$20</f>
        <v>1504.59697903659</v>
      </c>
      <c r="AT963" s="2" t="n">
        <f aca="false">AI963-AR963+AS963+Y963*1000-AO963+Hypothèses!$J$23</f>
        <v>22597.8765155562</v>
      </c>
      <c r="AU963" s="2" t="n">
        <f aca="false">AT963/AQ963</f>
        <v>2.82001450304043</v>
      </c>
      <c r="AV963" s="2" t="n">
        <f aca="false">Hypothèses!$J$26*AQ963-AT963</f>
        <v>1442.29401320389</v>
      </c>
      <c r="AW963" s="2" t="n">
        <f aca="false">IF(AC963&gt;Hypothèses!$J$26,MAX(0,AV963)/(1-Hypothèses!$J$26/AC963),0)</f>
        <v>2045.69752004231</v>
      </c>
      <c r="AX963" s="2" t="n">
        <f aca="false">AQ963-Entrées!$C$17*1000</f>
        <v>13.3901762533496</v>
      </c>
      <c r="AY963" s="2" t="n">
        <f aca="false">AI963+(Entrées!$C$244-Entrées!$C$13)</f>
        <v>28486.0049344372</v>
      </c>
      <c r="AZ963" s="2" t="n">
        <f aca="false">AA963*AH963</f>
        <v>5396.10546281558</v>
      </c>
      <c r="BA963" s="2" t="n">
        <f aca="false">AZ963/AY963</f>
        <v>0.189430054345464</v>
      </c>
      <c r="BB963" s="2" t="n">
        <f aca="false">AZ963/(Entrées!$C$151/100)-AY963</f>
        <v>1492.35874787163</v>
      </c>
      <c r="BC963" s="2" t="n">
        <f aca="false">AT963+(Entrées!$C$244-Entrées!$C$13)</f>
        <v>28344.8765155562</v>
      </c>
      <c r="BD963" s="2" t="n">
        <f aca="false">AA963*AQ963</f>
        <v>5758.81231531987</v>
      </c>
      <c r="BE963" s="2" t="n">
        <f aca="false">BD963/BC963</f>
        <v>0.203169426833076</v>
      </c>
      <c r="BF963" s="2" t="n">
        <f aca="false">BD963/(Entrées!$C$151/100)-BC963</f>
        <v>3648.52523622091</v>
      </c>
      <c r="BG963" s="2" t="n">
        <f aca="false">MIN(AV963,BF963)</f>
        <v>1442.29401320389</v>
      </c>
      <c r="BH963" s="2" t="n">
        <f aca="false">IF(AC963&gt;Hypothèses!$J$26,MAX(0,BG963)/(1-Hypothèses!$J$26/AC963),0)</f>
        <v>2045.69752004231</v>
      </c>
    </row>
    <row r="964" customFormat="false" ht="15" hidden="false" customHeight="false" outlineLevel="0" collapsed="false">
      <c r="A964" s="2" t="n">
        <v>949</v>
      </c>
      <c r="B964" s="2" t="n">
        <v>0.369226641</v>
      </c>
      <c r="C964" s="2"/>
      <c r="D964" s="2" t="n">
        <v>0.827423825</v>
      </c>
      <c r="E964" s="2" t="n">
        <f aca="false">IF(E$7=E$5,E$6,IF(NORMSDIST(E$9*SQRT($C$11)*NORMSINV($B964)+SQRT(1-E$9^2*$C$11)*NORMSINV(D964))&lt;E$8,E$5+SQRT(NORMSDIST(E$9*SQRT($C$11)*NORMSINV($B964)+SQRT(1-E$9^2*$C$11)*NORMSINV(D964))*(E$7-E$5)*(E$6-E$5)),E$7-SQRT((1-NORMSDIST(E$9*SQRT($C$11)*NORMSINV($B964)+SQRT(1-E$9^2*$C$11)*NORMSINV(D964)))*(E$7-E$5)*(E$7-E$6))))</f>
        <v>0.0561172921968246</v>
      </c>
      <c r="F964" s="2" t="n">
        <v>0.490928899</v>
      </c>
      <c r="G964" s="2" t="n">
        <f aca="false">IF(G$7=G$5,G$6,IF(NORMSDIST(G$9*SQRT($C$11)*NORMSINV($B964)+SQRT(1-G$9^2*$C$11)*NORMSINV(F964))&lt;G$8,G$5+SQRT(NORMSDIST(G$9*SQRT($C$11)*NORMSINV($B964)+SQRT(1-G$9^2*$C$11)*NORMSINV(F964))*(G$7-G$5)*(G$6-G$5)),G$7-SQRT((1-NORMSDIST(G$9*SQRT($C$11)*NORMSINV($B964)+SQRT(1-G$9^2*$C$11)*NORMSINV(F964)))*(G$7-G$5)*(G$7-G$6))))</f>
        <v>0.0535750426686343</v>
      </c>
      <c r="H964" s="2" t="n">
        <v>0.878173908</v>
      </c>
      <c r="I964" s="2" t="n">
        <f aca="false">IF(I$7=I$5,I$6,IF(NORMSDIST(I$9*SQRT($C$11)*NORMSINV($B964)+SQRT(1-I$9^2*$C$11)*NORMSINV(H964))&lt;I$8,I$5+SQRT(NORMSDIST(I$9*SQRT($C$11)*NORMSINV($B964)+SQRT(1-I$9^2*$C$11)*NORMSINV(H964))*(I$7-I$5)*(I$6-I$5)),I$7-SQRT((1-NORMSDIST(I$9*SQRT($C$11)*NORMSINV($B964)+SQRT(1-I$9^2*$C$11)*NORMSINV(H964)))*(I$7-I$5)*(I$7-I$6))))</f>
        <v>206.014552139965</v>
      </c>
      <c r="J964" s="2" t="n">
        <v>0.378860259</v>
      </c>
      <c r="K964" s="2" t="n">
        <f aca="false">IF(K$7=K$5,K$6,IF(NORMSDIST(K$9*SQRT($C$11)*NORMSINV($B964)+SQRT(1-K$9^2*$C$11)*NORMSINV(J964))&lt;K$8,K$5+SQRT(NORMSDIST(K$9*SQRT($C$11)*NORMSINV($B964)+SQRT(1-K$9^2*$C$11)*NORMSINV(J964))*(K$7-K$5)*(K$6-K$5)),K$7-SQRT((1-NORMSDIST(K$9*SQRT($C$11)*NORMSINV($B964)+SQRT(1-K$9^2*$C$11)*NORMSINV(J964)))*(K$7-K$5)*(K$7-K$6))))</f>
        <v>0.201962578725965</v>
      </c>
      <c r="L964" s="2" t="n">
        <v>0.096648928</v>
      </c>
      <c r="M964" s="2" t="n">
        <f aca="false">IF(M$7=M$5,M$6,IF(NORMSDIST(M$9*SQRT($C$11)*NORMSINV($B964)+SQRT(1-M$9^2*$C$11)*NORMSINV(L964))&lt;M$8,M$5+SQRT(NORMSDIST(M$9*SQRT($C$11)*NORMSINV($B964)+SQRT(1-M$9^2*$C$11)*NORMSINV(L964))*(M$7-M$5)*(M$6-M$5)),M$7-SQRT((1-NORMSDIST(M$9*SQRT($C$11)*NORMSINV($B964)+SQRT(1-M$9^2*$C$11)*NORMSINV(L964)))*(M$7-M$5)*(M$7-M$6))))</f>
        <v>1436.41150708193</v>
      </c>
      <c r="N964" s="2" t="n">
        <v>0.711488036</v>
      </c>
      <c r="O964" s="2" t="n">
        <f aca="false">IF(O$7=O$5,O$6,IF(NORMSDIST(O$9*SQRT($C$11)*NORMSINV($B964)+SQRT(1-O$9^2*$C$11)*NORMSINV(N964))&lt;O$8,O$5+SQRT(NORMSDIST(O$9*SQRT($C$11)*NORMSINV($B964)+SQRT(1-O$9^2*$C$11)*NORMSINV(N964))*(O$7-O$5)*(O$6-O$5)),O$7-SQRT((1-NORMSDIST(O$9*SQRT($C$11)*NORMSINV($B964)+SQRT(1-O$9^2*$C$11)*NORMSINV(N964)))*(O$7-O$5)*(O$7-O$6))))</f>
        <v>0.169035700627353</v>
      </c>
      <c r="P964" s="2" t="n">
        <v>0.505655955</v>
      </c>
      <c r="Q964" s="2" t="n">
        <f aca="false">IF(Q$7=Q$5,Q$6,IF(NORMSDIST(Q$9*SQRT($C$11)*NORMSINV($B964)+SQRT(1-Q$9^2*$C$11)*NORMSINV(P964))&lt;Q$8,Q$5+SQRT(NORMSDIST(Q$9*SQRT($C$11)*NORMSINV($B964)+SQRT(1-Q$9^2*$C$11)*NORMSINV(P964))*(Q$7-Q$5)*(Q$6-Q$5)),Q$7-SQRT((1-NORMSDIST(Q$9*SQRT($C$11)*NORMSINV($B964)+SQRT(1-Q$9^2*$C$11)*NORMSINV(P964)))*(Q$7-Q$5)*(Q$7-Q$6))))</f>
        <v>0.0802268816409877</v>
      </c>
      <c r="R964" s="2" t="n">
        <v>0.579818253</v>
      </c>
      <c r="S964" s="2" t="n">
        <f aca="false">IF(S$7=S$5,S$6,IF(NORMSDIST(S$9*SQRT($C$11)*NORMSINV($B964)+SQRT(1-S$9^2*$C$11)*NORMSINV(R964))&lt;S$8,S$5+SQRT(NORMSDIST(S$9*SQRT($C$11)*NORMSINV($B964)+SQRT(1-S$9^2*$C$11)*NORMSINV(R964))*(S$7-S$5)*(S$6-S$5)),S$7-SQRT((1-NORMSDIST(S$9*SQRT($C$11)*NORMSINV($B964)+SQRT(1-S$9^2*$C$11)*NORMSINV(R964)))*(S$7-S$5)*(S$7-S$6))))</f>
        <v>0.488880606641096</v>
      </c>
      <c r="T964" s="2" t="n">
        <v>0.391724871</v>
      </c>
      <c r="U964" s="2" t="n">
        <f aca="false">IF(U$7=U$5,U$6,IF(NORMSDIST(U$9*SQRT($C$11)*NORMSINV($B964)+SQRT(1-U$9^2*$C$11)*NORMSINV(T964))&lt;U$8,U$5+SQRT(NORMSDIST(U$9*SQRT($C$11)*NORMSINV($B964)+SQRT(1-U$9^2*$C$11)*NORMSINV(T964))*(U$7-U$5)*(U$6-U$5)),U$7-SQRT((1-NORMSDIST(U$9*SQRT($C$11)*NORMSINV($B964)+SQRT(1-U$9^2*$C$11)*NORMSINV(T964)))*(U$7-U$5)*(U$7-U$6))))</f>
        <v>0.409732726441145</v>
      </c>
      <c r="V964" s="2" t="n">
        <v>0.433969353</v>
      </c>
      <c r="W964" s="2" t="n">
        <f aca="false">IF(W$7=W$5,W$6,IF(NORMSDIST(W$9*SQRT($C$11)*NORMSINV($B964)+SQRT(1-W$9^2*$C$11)*NORMSINV(V964))&lt;W$8,W$5+SQRT(NORMSDIST(W$9*SQRT($C$11)*NORMSINV($B964)+SQRT(1-W$9^2*$C$11)*NORMSINV(V964))*(W$7-W$5)*(W$6-W$5)),W$7-SQRT((1-NORMSDIST(W$9*SQRT($C$11)*NORMSINV($B964)+SQRT(1-W$9^2*$C$11)*NORMSINV(V964)))*(W$7-W$5)*(W$7-W$6))))</f>
        <v>9.71332942875257</v>
      </c>
      <c r="X964" s="2" t="n">
        <v>0.12902077</v>
      </c>
      <c r="Y964" s="2" t="n">
        <f aca="false">IF(Y$7=Y$5,Y$6,IF(NORMSDIST(Y$9*SQRT($C$11)*NORMSINV($B964)+SQRT(1-Y$9^2*$C$11)*NORMSINV(X964))&lt;Y$8,Y$5+SQRT(NORMSDIST(Y$9*SQRT($C$11)*NORMSINV($B964)+SQRT(1-Y$9^2*$C$11)*NORMSINV(X964))*(Y$7-Y$5)*(Y$6-Y$5)),Y$7-SQRT((1-NORMSDIST(Y$9*SQRT($C$11)*NORMSINV($B964)+SQRT(1-Y$9^2*$C$11)*NORMSINV(X964)))*(Y$7-Y$5)*(Y$7-Y$6))))</f>
        <v>0.253988946609887</v>
      </c>
      <c r="Z964" s="2" t="n">
        <v>0.667279872</v>
      </c>
      <c r="AA964" s="2" t="n">
        <f aca="false">IF(AA$7=AA$5,AA$6,IF(NORMSDIST(AA$9*SQRT($C$11)*NORMSINV($B964)+SQRT(1-AA$9^2*$C$11)*NORMSINV(Z964))&lt;AA$8,AA$5+SQRT(NORMSDIST(AA$9*SQRT($C$11)*NORMSINV($B964)+SQRT(1-AA$9^2*$C$11)*NORMSINV(Z964))*(AA$7-AA$5)*(AA$6-AA$5)),AA$7-SQRT((1-NORMSDIST(AA$9*SQRT($C$11)*NORMSINV($B964)+SQRT(1-AA$9^2*$C$11)*NORMSINV(Z964)))*(AA$7-AA$5)*(AA$7-AA$6))))</f>
        <v>0.729625606710591</v>
      </c>
      <c r="AB964" s="2" t="n">
        <v>0.195347003</v>
      </c>
      <c r="AC964" s="2" t="n">
        <f aca="false">IF(AC$7=AC$5,AC$6,IF(NORMSDIST(AC$9*SQRT($C$11)*NORMSINV($B964)+SQRT(1-AC$9^2*$C$11)*NORMSINV(AB964))&lt;AC$8,AC$5+SQRT(NORMSDIST(AC$9*SQRT($C$11)*NORMSINV($B964)+SQRT(1-AC$9^2*$C$11)*NORMSINV(AB964))*(AC$7-AC$5)*(AC$6-AC$5)),AC$7-SQRT((1-NORMSDIST(AC$9*SQRT($C$11)*NORMSINV($B964)+SQRT(1-AC$9^2*$C$11)*NORMSINV(AB964)))*(AC$7-AC$5)*(AC$7-AC$6))))</f>
        <v>8.68292911288532</v>
      </c>
      <c r="AD964" s="2" t="n">
        <f aca="false">Entrées!$C$8*(1+E964)</f>
        <v>7445.62690998761</v>
      </c>
      <c r="AE964" s="2" t="n">
        <f aca="false">I964*Hypothèses!$J$24/12/Hypothèses!$J$19</f>
        <v>102.203159941411</v>
      </c>
      <c r="AF964" s="2" t="n">
        <f aca="false">Entrées!$C$36*S964*1000</f>
        <v>244.440303320548</v>
      </c>
      <c r="AG964" s="2" t="n">
        <f aca="false">-AF964/W964</f>
        <v>-25.1654497166519</v>
      </c>
      <c r="AH964" s="2" t="n">
        <f aca="false">AD964+AE964+AG964</f>
        <v>7522.66462021237</v>
      </c>
      <c r="AI964" s="2" t="n">
        <f aca="false">Entrées!$C$16-M964+Hypothèses!$J$22*1000-AF964+Hypothèses!$J$23</f>
        <v>22867.1481895975</v>
      </c>
      <c r="AJ964" s="2" t="n">
        <f aca="false">AI964/AH964</f>
        <v>3.03976706979022</v>
      </c>
      <c r="AK964" s="2" t="n">
        <f aca="false">AI964/(AH964+I964*(12-Hypothèses!$J$24)/12/Hypothèses!$J$19)</f>
        <v>3.01055174732541</v>
      </c>
      <c r="AL964" s="2" t="n">
        <f aca="false">(AD964+AG964+I964/Hypothèses!$J$19)*(1+G964)</f>
        <v>8002.60505436218</v>
      </c>
      <c r="AM964" s="2" t="n">
        <f aca="false">Entrées!$C$54*K964/Hypothèses!$J$19</f>
        <v>20.6111291450546</v>
      </c>
      <c r="AN964" s="2" t="n">
        <f aca="false">Y964*1000/AC964</f>
        <v>29.2515282927937</v>
      </c>
      <c r="AO964" s="2" t="n">
        <f aca="false">(Entrées!$C$36*(1-S964)+MAX(0,Entrées!$C$30-Entrées!$C$35-Entrées!$C$36)*U964)*1000</f>
        <v>829.185513697055</v>
      </c>
      <c r="AP964" s="2" t="n">
        <f aca="false">-AO964/W964</f>
        <v>-85.365735794214</v>
      </c>
      <c r="AQ964" s="2" t="n">
        <f aca="false">AL964+AM964+AN964+AP964</f>
        <v>7967.10197600581</v>
      </c>
      <c r="AR964" s="2" t="n">
        <f aca="false">O964*AQ964-Hypothèses!$J$25/Hypothèses!$J$19</f>
        <v>1327.58950222209</v>
      </c>
      <c r="AS964" s="2" t="n">
        <f aca="false">Entrées!$C$79*(1+Q964)+Hypothèses!$J$20</f>
        <v>1482.16934292345</v>
      </c>
      <c r="AT964" s="2" t="n">
        <f aca="false">AI964-AR964+AS964+Y964*1000-AO964+Hypothèses!$J$23</f>
        <v>22446.5314632117</v>
      </c>
      <c r="AU964" s="2" t="n">
        <f aca="false">AT964/AQ964</f>
        <v>2.81740230397615</v>
      </c>
      <c r="AV964" s="2" t="n">
        <f aca="false">Hypothèses!$J$26*AQ964-AT964</f>
        <v>1454.77446480572</v>
      </c>
      <c r="AW964" s="2" t="n">
        <f aca="false">IF(AC964&gt;Hypothèses!$J$26,MAX(0,AV964)/(1-Hypothèses!$J$26/AC964),0)</f>
        <v>2222.74522560962</v>
      </c>
      <c r="AX964" s="2" t="n">
        <f aca="false">AQ964-Entrées!$C$17*1000</f>
        <v>-32.8980239941893</v>
      </c>
      <c r="AY964" s="2" t="n">
        <f aca="false">AI964+(Entrées!$C$244-Entrées!$C$13)</f>
        <v>28614.1481895975</v>
      </c>
      <c r="AZ964" s="2" t="n">
        <f aca="false">AA964*AH964</f>
        <v>5488.72873760275</v>
      </c>
      <c r="BA964" s="2" t="n">
        <f aca="false">AZ964/AY964</f>
        <v>0.191818701057756</v>
      </c>
      <c r="BB964" s="2" t="n">
        <f aca="false">AZ964/(Entrées!$C$151/100)-AY964</f>
        <v>1878.78924152886</v>
      </c>
      <c r="BC964" s="2" t="n">
        <f aca="false">AT964+(Entrées!$C$244-Entrées!$C$13)</f>
        <v>28193.5314632117</v>
      </c>
      <c r="BD964" s="2" t="n">
        <f aca="false">AA964*AQ964</f>
        <v>5813.00161296839</v>
      </c>
      <c r="BE964" s="2" t="n">
        <f aca="false">BD964/BC964</f>
        <v>0.206182103173328</v>
      </c>
      <c r="BF964" s="2" t="n">
        <f aca="false">BD964/(Entrées!$C$151/100)-BC964</f>
        <v>4100.92194216823</v>
      </c>
      <c r="BG964" s="2" t="n">
        <f aca="false">MIN(AV964,BF964)</f>
        <v>1454.77446480572</v>
      </c>
      <c r="BH964" s="2" t="n">
        <f aca="false">IF(AC964&gt;Hypothèses!$J$26,MAX(0,BG964)/(1-Hypothèses!$J$26/AC964),0)</f>
        <v>2222.74522560962</v>
      </c>
    </row>
    <row r="965" customFormat="false" ht="15" hidden="false" customHeight="false" outlineLevel="0" collapsed="false">
      <c r="A965" s="2" t="n">
        <v>950</v>
      </c>
      <c r="B965" s="2" t="n">
        <v>0.265127882</v>
      </c>
      <c r="C965" s="2"/>
      <c r="D965" s="2" t="n">
        <v>0.451256458</v>
      </c>
      <c r="E965" s="2" t="n">
        <f aca="false">IF(E$7=E$5,E$6,IF(NORMSDIST(E$9*SQRT($C$11)*NORMSINV($B965)+SQRT(1-E$9^2*$C$11)*NORMSINV(D965))&lt;E$8,E$5+SQRT(NORMSDIST(E$9*SQRT($C$11)*NORMSINV($B965)+SQRT(1-E$9^2*$C$11)*NORMSINV(D965))*(E$7-E$5)*(E$6-E$5)),E$7-SQRT((1-NORMSDIST(E$9*SQRT($C$11)*NORMSINV($B965)+SQRT(1-E$9^2*$C$11)*NORMSINV(D965)))*(E$7-E$5)*(E$7-E$6))))</f>
        <v>0.0539460373223975</v>
      </c>
      <c r="F965" s="2" t="n">
        <v>0.353054326</v>
      </c>
      <c r="G965" s="2" t="n">
        <f aca="false">IF(G$7=G$5,G$6,IF(NORMSDIST(G$9*SQRT($C$11)*NORMSINV($B965)+SQRT(1-G$9^2*$C$11)*NORMSINV(F965))&lt;G$8,G$5+SQRT(NORMSDIST(G$9*SQRT($C$11)*NORMSINV($B965)+SQRT(1-G$9^2*$C$11)*NORMSINV(F965))*(G$7-G$5)*(G$6-G$5)),G$7-SQRT((1-NORMSDIST(G$9*SQRT($C$11)*NORMSINV($B965)+SQRT(1-G$9^2*$C$11)*NORMSINV(F965)))*(G$7-G$5)*(G$7-G$6))))</f>
        <v>0.0505086174309692</v>
      </c>
      <c r="H965" s="2" t="n">
        <v>0.866178826</v>
      </c>
      <c r="I965" s="2" t="n">
        <f aca="false">IF(I$7=I$5,I$6,IF(NORMSDIST(I$9*SQRT($C$11)*NORMSINV($B965)+SQRT(1-I$9^2*$C$11)*NORMSINV(H965))&lt;I$8,I$5+SQRT(NORMSDIST(I$9*SQRT($C$11)*NORMSINV($B965)+SQRT(1-I$9^2*$C$11)*NORMSINV(H965))*(I$7-I$5)*(I$6-I$5)),I$7-SQRT((1-NORMSDIST(I$9*SQRT($C$11)*NORMSINV($B965)+SQRT(1-I$9^2*$C$11)*NORMSINV(H965)))*(I$7-I$5)*(I$7-I$6))))</f>
        <v>203.946454285702</v>
      </c>
      <c r="J965" s="2" t="n">
        <v>0.425936314</v>
      </c>
      <c r="K965" s="2" t="n">
        <f aca="false">IF(K$7=K$5,K$6,IF(NORMSDIST(K$9*SQRT($C$11)*NORMSINV($B965)+SQRT(1-K$9^2*$C$11)*NORMSINV(J965))&lt;K$8,K$5+SQRT(NORMSDIST(K$9*SQRT($C$11)*NORMSINV($B965)+SQRT(1-K$9^2*$C$11)*NORMSINV(J965))*(K$7-K$5)*(K$6-K$5)),K$7-SQRT((1-NORMSDIST(K$9*SQRT($C$11)*NORMSINV($B965)+SQRT(1-K$9^2*$C$11)*NORMSINV(J965)))*(K$7-K$5)*(K$7-K$6))))</f>
        <v>0.191720577208254</v>
      </c>
      <c r="L965" s="2" t="n">
        <v>0.723183842</v>
      </c>
      <c r="M965" s="2" t="n">
        <f aca="false">IF(M$7=M$5,M$6,IF(NORMSDIST(M$9*SQRT($C$11)*NORMSINV($B965)+SQRT(1-M$9^2*$C$11)*NORMSINV(L965))&lt;M$8,M$5+SQRT(NORMSDIST(M$9*SQRT($C$11)*NORMSINV($B965)+SQRT(1-M$9^2*$C$11)*NORMSINV(L965))*(M$7-M$5)*(M$6-M$5)),M$7-SQRT((1-NORMSDIST(M$9*SQRT($C$11)*NORMSINV($B965)+SQRT(1-M$9^2*$C$11)*NORMSINV(L965)))*(M$7-M$5)*(M$7-M$6))))</f>
        <v>1592.22758497588</v>
      </c>
      <c r="N965" s="2" t="n">
        <v>0.178918755</v>
      </c>
      <c r="O965" s="2" t="n">
        <f aca="false">IF(O$7=O$5,O$6,IF(NORMSDIST(O$9*SQRT($C$11)*NORMSINV($B965)+SQRT(1-O$9^2*$C$11)*NORMSINV(N965))&lt;O$8,O$5+SQRT(NORMSDIST(O$9*SQRT($C$11)*NORMSINV($B965)+SQRT(1-O$9^2*$C$11)*NORMSINV(N965))*(O$7-O$5)*(O$6-O$5)),O$7-SQRT((1-NORMSDIST(O$9*SQRT($C$11)*NORMSINV($B965)+SQRT(1-O$9^2*$C$11)*NORMSINV(N965)))*(O$7-O$5)*(O$7-O$6))))</f>
        <v>0.153849278568995</v>
      </c>
      <c r="P965" s="2" t="n">
        <v>0.9755402</v>
      </c>
      <c r="Q965" s="2" t="n">
        <f aca="false">IF(Q$7=Q$5,Q$6,IF(NORMSDIST(Q$9*SQRT($C$11)*NORMSINV($B965)+SQRT(1-Q$9^2*$C$11)*NORMSINV(P965))&lt;Q$8,Q$5+SQRT(NORMSDIST(Q$9*SQRT($C$11)*NORMSINV($B965)+SQRT(1-Q$9^2*$C$11)*NORMSINV(P965))*(Q$7-Q$5)*(Q$6-Q$5)),Q$7-SQRT((1-NORMSDIST(Q$9*SQRT($C$11)*NORMSINV($B965)+SQRT(1-Q$9^2*$C$11)*NORMSINV(P965)))*(Q$7-Q$5)*(Q$7-Q$6))))</f>
        <v>0.111152889737321</v>
      </c>
      <c r="R965" s="2" t="n">
        <v>0.938502864</v>
      </c>
      <c r="S965" s="2" t="n">
        <f aca="false">IF(S$7=S$5,S$6,IF(NORMSDIST(S$9*SQRT($C$11)*NORMSINV($B965)+SQRT(1-S$9^2*$C$11)*NORMSINV(R965))&lt;S$8,S$5+SQRT(NORMSDIST(S$9*SQRT($C$11)*NORMSINV($B965)+SQRT(1-S$9^2*$C$11)*NORMSINV(R965))*(S$7-S$5)*(S$6-S$5)),S$7-SQRT((1-NORMSDIST(S$9*SQRT($C$11)*NORMSINV($B965)+SQRT(1-S$9^2*$C$11)*NORMSINV(R965)))*(S$7-S$5)*(S$7-S$6))))</f>
        <v>0.674032121726117</v>
      </c>
      <c r="T965" s="2" t="n">
        <v>0.244092882</v>
      </c>
      <c r="U965" s="2" t="n">
        <f aca="false">IF(U$7=U$5,U$6,IF(NORMSDIST(U$9*SQRT($C$11)*NORMSINV($B965)+SQRT(1-U$9^2*$C$11)*NORMSINV(T965))&lt;U$8,U$5+SQRT(NORMSDIST(U$9*SQRT($C$11)*NORMSINV($B965)+SQRT(1-U$9^2*$C$11)*NORMSINV(T965))*(U$7-U$5)*(U$6-U$5)),U$7-SQRT((1-NORMSDIST(U$9*SQRT($C$11)*NORMSINV($B965)+SQRT(1-U$9^2*$C$11)*NORMSINV(T965)))*(U$7-U$5)*(U$7-U$6))))</f>
        <v>0.295956941301157</v>
      </c>
      <c r="V965" s="2" t="n">
        <v>0.818951731</v>
      </c>
      <c r="W965" s="2" t="n">
        <f aca="false">IF(W$7=W$5,W$6,IF(NORMSDIST(W$9*SQRT($C$11)*NORMSINV($B965)+SQRT(1-W$9^2*$C$11)*NORMSINV(V965))&lt;W$8,W$5+SQRT(NORMSDIST(W$9*SQRT($C$11)*NORMSINV($B965)+SQRT(1-W$9^2*$C$11)*NORMSINV(V965))*(W$7-W$5)*(W$6-W$5)),W$7-SQRT((1-NORMSDIST(W$9*SQRT($C$11)*NORMSINV($B965)+SQRT(1-W$9^2*$C$11)*NORMSINV(V965)))*(W$7-W$5)*(W$7-W$6))))</f>
        <v>10.2595251223734</v>
      </c>
      <c r="X965" s="2" t="n">
        <v>0.728071367</v>
      </c>
      <c r="Y965" s="2" t="n">
        <f aca="false">IF(Y$7=Y$5,Y$6,IF(NORMSDIST(Y$9*SQRT($C$11)*NORMSINV($B965)+SQRT(1-Y$9^2*$C$11)*NORMSINV(X965))&lt;Y$8,Y$5+SQRT(NORMSDIST(Y$9*SQRT($C$11)*NORMSINV($B965)+SQRT(1-Y$9^2*$C$11)*NORMSINV(X965))*(Y$7-Y$5)*(Y$6-Y$5)),Y$7-SQRT((1-NORMSDIST(Y$9*SQRT($C$11)*NORMSINV($B965)+SQRT(1-Y$9^2*$C$11)*NORMSINV(X965)))*(Y$7-Y$5)*(Y$7-Y$6))))</f>
        <v>0.631266605119634</v>
      </c>
      <c r="Z965" s="2" t="n">
        <v>0.816959657</v>
      </c>
      <c r="AA965" s="2" t="n">
        <f aca="false">IF(AA$7=AA$5,AA$6,IF(NORMSDIST(AA$9*SQRT($C$11)*NORMSINV($B965)+SQRT(1-AA$9^2*$C$11)*NORMSINV(Z965))&lt;AA$8,AA$5+SQRT(NORMSDIST(AA$9*SQRT($C$11)*NORMSINV($B965)+SQRT(1-AA$9^2*$C$11)*NORMSINV(Z965))*(AA$7-AA$5)*(AA$6-AA$5)),AA$7-SQRT((1-NORMSDIST(AA$9*SQRT($C$11)*NORMSINV($B965)+SQRT(1-AA$9^2*$C$11)*NORMSINV(Z965)))*(AA$7-AA$5)*(AA$7-AA$6))))</f>
        <v>0.731742356418838</v>
      </c>
      <c r="AB965" s="2" t="n">
        <v>0.024881688</v>
      </c>
      <c r="AC965" s="2" t="n">
        <f aca="false">IF(AC$7=AC$5,AC$6,IF(NORMSDIST(AC$9*SQRT($C$11)*NORMSINV($B965)+SQRT(1-AC$9^2*$C$11)*NORMSINV(AB965))&lt;AC$8,AC$5+SQRT(NORMSDIST(AC$9*SQRT($C$11)*NORMSINV($B965)+SQRT(1-AC$9^2*$C$11)*NORMSINV(AB965))*(AC$7-AC$5)*(AC$6-AC$5)),AC$7-SQRT((1-NORMSDIST(AC$9*SQRT($C$11)*NORMSINV($B965)+SQRT(1-AC$9^2*$C$11)*NORMSINV(AB965)))*(AC$7-AC$5)*(AC$7-AC$6))))</f>
        <v>7.88866871180539</v>
      </c>
      <c r="AD965" s="2" t="n">
        <f aca="false">Entrées!$C$8*(1+E965)</f>
        <v>7430.3195631229</v>
      </c>
      <c r="AE965" s="2" t="n">
        <f aca="false">I965*Hypothèses!$J$24/12/Hypothèses!$J$19</f>
        <v>101.177183215116</v>
      </c>
      <c r="AF965" s="2" t="n">
        <f aca="false">Entrées!$C$36*S965*1000</f>
        <v>337.016060863059</v>
      </c>
      <c r="AG965" s="2" t="n">
        <f aca="false">-AF965/W965</f>
        <v>-32.849089684289</v>
      </c>
      <c r="AH965" s="2" t="n">
        <f aca="false">AD965+AE965+AG965</f>
        <v>7498.64765665373</v>
      </c>
      <c r="AI965" s="2" t="n">
        <f aca="false">Entrées!$C$16-M965+Hypothèses!$J$22*1000-AF965+Hypothèses!$J$23</f>
        <v>22618.7563541611</v>
      </c>
      <c r="AJ965" s="2" t="n">
        <f aca="false">AI965/AH965</f>
        <v>3.01637807106337</v>
      </c>
      <c r="AK965" s="2" t="n">
        <f aca="false">AI965/(AH965+I965*(12-Hypothèses!$J$24)/12/Hypothèses!$J$19)</f>
        <v>2.98758474506621</v>
      </c>
      <c r="AL965" s="2" t="n">
        <f aca="false">(AD965+AG965+I965/Hypothèses!$J$19)*(1+G965)</f>
        <v>7953.31362728962</v>
      </c>
      <c r="AM965" s="2" t="n">
        <f aca="false">Entrées!$C$54*K965/Hypothèses!$J$19</f>
        <v>19.5658898867868</v>
      </c>
      <c r="AN965" s="2" t="n">
        <f aca="false">Y965*1000/AC965</f>
        <v>80.0219439022637</v>
      </c>
      <c r="AO965" s="2" t="n">
        <f aca="false">(Entrées!$C$36*(1-S965)+MAX(0,Entrées!$C$30-Entrées!$C$35-Entrées!$C$36)*U965)*1000</f>
        <v>577.323656958562</v>
      </c>
      <c r="AP965" s="2" t="n">
        <f aca="false">-AO965/W965</f>
        <v>-56.271966789142</v>
      </c>
      <c r="AQ965" s="2" t="n">
        <f aca="false">AL965+AM965+AN965+AP965</f>
        <v>7996.62949428953</v>
      </c>
      <c r="AR965" s="2" t="n">
        <f aca="false">O965*AQ965-Hypothèses!$J$25/Hypothèses!$J$19</f>
        <v>1211.14051641837</v>
      </c>
      <c r="AS965" s="2" t="n">
        <f aca="false">Entrées!$C$79*(1+Q965)+Hypothèses!$J$20</f>
        <v>1516.15702582132</v>
      </c>
      <c r="AT965" s="2" t="n">
        <f aca="false">AI965-AR965+AS965+Y965*1000-AO965+Hypothèses!$J$23</f>
        <v>22977.7158117251</v>
      </c>
      <c r="AU965" s="2" t="n">
        <f aca="false">AT965/AQ965</f>
        <v>2.87342508842428</v>
      </c>
      <c r="AV965" s="2" t="n">
        <f aca="false">Hypothèses!$J$26*AQ965-AT965</f>
        <v>1012.1726711435</v>
      </c>
      <c r="AW965" s="2" t="n">
        <f aca="false">IF(AC965&gt;Hypothèses!$J$26,MAX(0,AV965)/(1-Hypothèses!$J$26/AC965),0)</f>
        <v>1633.30660196148</v>
      </c>
      <c r="AX965" s="2" t="n">
        <f aca="false">AQ965-Entrées!$C$17*1000</f>
        <v>-3.37050571046802</v>
      </c>
      <c r="AY965" s="2" t="n">
        <f aca="false">AI965+(Entrées!$C$244-Entrées!$C$13)</f>
        <v>28365.7563541611</v>
      </c>
      <c r="AZ965" s="2" t="n">
        <f aca="false">AA965*AH965</f>
        <v>5487.0781062344</v>
      </c>
      <c r="BA965" s="2" t="n">
        <f aca="false">AZ965/AY965</f>
        <v>0.193440218470659</v>
      </c>
      <c r="BB965" s="2" t="n">
        <f aca="false">AZ965/(Entrées!$C$151/100)-AY965</f>
        <v>2118.0109026967</v>
      </c>
      <c r="BC965" s="2" t="n">
        <f aca="false">AT965+(Entrées!$C$244-Entrées!$C$13)</f>
        <v>28724.7158117251</v>
      </c>
      <c r="BD965" s="2" t="n">
        <f aca="false">AA965*AQ965</f>
        <v>5851.4725095598</v>
      </c>
      <c r="BE965" s="2" t="n">
        <f aca="false">BD965/BC965</f>
        <v>0.203708630153664</v>
      </c>
      <c r="BF965" s="2" t="n">
        <f aca="false">BD965/(Entrées!$C$151/100)-BC965</f>
        <v>3783.46479694049</v>
      </c>
      <c r="BG965" s="2" t="n">
        <f aca="false">MIN(AV965,BF965)</f>
        <v>1012.1726711435</v>
      </c>
      <c r="BH965" s="2" t="n">
        <f aca="false">IF(AC965&gt;Hypothèses!$J$26,MAX(0,BG965)/(1-Hypothèses!$J$26/AC965),0)</f>
        <v>1633.30660196148</v>
      </c>
    </row>
    <row r="966" customFormat="false" ht="15" hidden="false" customHeight="false" outlineLevel="0" collapsed="false">
      <c r="A966" s="2" t="n">
        <v>951</v>
      </c>
      <c r="B966" s="2" t="n">
        <v>0.268305504</v>
      </c>
      <c r="C966" s="2"/>
      <c r="D966" s="2" t="n">
        <v>0.342581458</v>
      </c>
      <c r="E966" s="2" t="n">
        <f aca="false">IF(E$7=E$5,E$6,IF(NORMSDIST(E$9*SQRT($C$11)*NORMSINV($B966)+SQRT(1-E$9^2*$C$11)*NORMSINV(D966))&lt;E$8,E$5+SQRT(NORMSDIST(E$9*SQRT($C$11)*NORMSINV($B966)+SQRT(1-E$9^2*$C$11)*NORMSINV(D966))*(E$7-E$5)*(E$6-E$5)),E$7-SQRT((1-NORMSDIST(E$9*SQRT($C$11)*NORMSINV($B966)+SQRT(1-E$9^2*$C$11)*NORMSINV(D966)))*(E$7-E$5)*(E$7-E$6))))</f>
        <v>0.0534673236231277</v>
      </c>
      <c r="F966" s="2" t="n">
        <v>0.19644918</v>
      </c>
      <c r="G966" s="2" t="n">
        <f aca="false">IF(G$7=G$5,G$6,IF(NORMSDIST(G$9*SQRT($C$11)*NORMSINV($B966)+SQRT(1-G$9^2*$C$11)*NORMSINV(F966))&lt;G$8,G$5+SQRT(NORMSDIST(G$9*SQRT($C$11)*NORMSINV($B966)+SQRT(1-G$9^2*$C$11)*NORMSINV(F966))*(G$7-G$5)*(G$6-G$5)),G$7-SQRT((1-NORMSDIST(G$9*SQRT($C$11)*NORMSINV($B966)+SQRT(1-G$9^2*$C$11)*NORMSINV(F966)))*(G$7-G$5)*(G$7-G$6))))</f>
        <v>0.0481127151912341</v>
      </c>
      <c r="H966" s="2" t="n">
        <v>0.693106725</v>
      </c>
      <c r="I966" s="2" t="n">
        <f aca="false">IF(I$7=I$5,I$6,IF(NORMSDIST(I$9*SQRT($C$11)*NORMSINV($B966)+SQRT(1-I$9^2*$C$11)*NORMSINV(H966))&lt;I$8,I$5+SQRT(NORMSDIST(I$9*SQRT($C$11)*NORMSINV($B966)+SQRT(1-I$9^2*$C$11)*NORMSINV(H966))*(I$7-I$5)*(I$6-I$5)),I$7-SQRT((1-NORMSDIST(I$9*SQRT($C$11)*NORMSINV($B966)+SQRT(1-I$9^2*$C$11)*NORMSINV(H966)))*(I$7-I$5)*(I$7-I$6))))</f>
        <v>200.000773241024</v>
      </c>
      <c r="J966" s="2" t="n">
        <v>0.246928342</v>
      </c>
      <c r="K966" s="2" t="n">
        <f aca="false">IF(K$7=K$5,K$6,IF(NORMSDIST(K$9*SQRT($C$11)*NORMSINV($B966)+SQRT(1-K$9^2*$C$11)*NORMSINV(J966))&lt;K$8,K$5+SQRT(NORMSDIST(K$9*SQRT($C$11)*NORMSINV($B966)+SQRT(1-K$9^2*$C$11)*NORMSINV(J966))*(K$7-K$5)*(K$6-K$5)),K$7-SQRT((1-NORMSDIST(K$9*SQRT($C$11)*NORMSINV($B966)+SQRT(1-K$9^2*$C$11)*NORMSINV(J966)))*(K$7-K$5)*(K$7-K$6))))</f>
        <v>0.149406875796293</v>
      </c>
      <c r="L966" s="2" t="n">
        <v>0.11240676</v>
      </c>
      <c r="M966" s="2" t="n">
        <f aca="false">IF(M$7=M$5,M$6,IF(NORMSDIST(M$9*SQRT($C$11)*NORMSINV($B966)+SQRT(1-M$9^2*$C$11)*NORMSINV(L966))&lt;M$8,M$5+SQRT(NORMSDIST(M$9*SQRT($C$11)*NORMSINV($B966)+SQRT(1-M$9^2*$C$11)*NORMSINV(L966))*(M$7-M$5)*(M$6-M$5)),M$7-SQRT((1-NORMSDIST(M$9*SQRT($C$11)*NORMSINV($B966)+SQRT(1-M$9^2*$C$11)*NORMSINV(L966)))*(M$7-M$5)*(M$7-M$6))))</f>
        <v>1423.95686774621</v>
      </c>
      <c r="N966" s="2" t="n">
        <v>0.761273212</v>
      </c>
      <c r="O966" s="2" t="n">
        <f aca="false">IF(O$7=O$5,O$6,IF(NORMSDIST(O$9*SQRT($C$11)*NORMSINV($B966)+SQRT(1-O$9^2*$C$11)*NORMSINV(N966))&lt;O$8,O$5+SQRT(NORMSDIST(O$9*SQRT($C$11)*NORMSINV($B966)+SQRT(1-O$9^2*$C$11)*NORMSINV(N966))*(O$7-O$5)*(O$6-O$5)),O$7-SQRT((1-NORMSDIST(O$9*SQRT($C$11)*NORMSINV($B966)+SQRT(1-O$9^2*$C$11)*NORMSINV(N966)))*(O$7-O$5)*(O$7-O$6))))</f>
        <v>0.168430554891451</v>
      </c>
      <c r="P966" s="2" t="n">
        <v>0.238536564</v>
      </c>
      <c r="Q966" s="2" t="n">
        <f aca="false">IF(Q$7=Q$5,Q$6,IF(NORMSDIST(Q$9*SQRT($C$11)*NORMSINV($B966)+SQRT(1-Q$9^2*$C$11)*NORMSINV(P966))&lt;Q$8,Q$5+SQRT(NORMSDIST(Q$9*SQRT($C$11)*NORMSINV($B966)+SQRT(1-Q$9^2*$C$11)*NORMSINV(P966))*(Q$7-Q$5)*(Q$6-Q$5)),Q$7-SQRT((1-NORMSDIST(Q$9*SQRT($C$11)*NORMSINV($B966)+SQRT(1-Q$9^2*$C$11)*NORMSINV(P966)))*(Q$7-Q$5)*(Q$7-Q$6))))</f>
        <v>0.067628192210132</v>
      </c>
      <c r="R966" s="2" t="n">
        <v>0.359856479</v>
      </c>
      <c r="S966" s="2" t="n">
        <f aca="false">IF(S$7=S$5,S$6,IF(NORMSDIST(S$9*SQRT($C$11)*NORMSINV($B966)+SQRT(1-S$9^2*$C$11)*NORMSINV(R966))&lt;S$8,S$5+SQRT(NORMSDIST(S$9*SQRT($C$11)*NORMSINV($B966)+SQRT(1-S$9^2*$C$11)*NORMSINV(R966))*(S$7-S$5)*(S$6-S$5)),S$7-SQRT((1-NORMSDIST(S$9*SQRT($C$11)*NORMSINV($B966)+SQRT(1-S$9^2*$C$11)*NORMSINV(R966)))*(S$7-S$5)*(S$7-S$6))))</f>
        <v>0.354836193119026</v>
      </c>
      <c r="T966" s="2" t="n">
        <v>0.276721955</v>
      </c>
      <c r="U966" s="2" t="n">
        <f aca="false">IF(U$7=U$5,U$6,IF(NORMSDIST(U$9*SQRT($C$11)*NORMSINV($B966)+SQRT(1-U$9^2*$C$11)*NORMSINV(T966))&lt;U$8,U$5+SQRT(NORMSDIST(U$9*SQRT($C$11)*NORMSINV($B966)+SQRT(1-U$9^2*$C$11)*NORMSINV(T966))*(U$7-U$5)*(U$6-U$5)),U$7-SQRT((1-NORMSDIST(U$9*SQRT($C$11)*NORMSINV($B966)+SQRT(1-U$9^2*$C$11)*NORMSINV(T966)))*(U$7-U$5)*(U$7-U$6))))</f>
        <v>0.314406460154457</v>
      </c>
      <c r="V966" s="2" t="n">
        <v>0.380472097</v>
      </c>
      <c r="W966" s="2" t="n">
        <f aca="false">IF(W$7=W$5,W$6,IF(NORMSDIST(W$9*SQRT($C$11)*NORMSINV($B966)+SQRT(1-W$9^2*$C$11)*NORMSINV(V966))&lt;W$8,W$5+SQRT(NORMSDIST(W$9*SQRT($C$11)*NORMSINV($B966)+SQRT(1-W$9^2*$C$11)*NORMSINV(V966))*(W$7-W$5)*(W$6-W$5)),W$7-SQRT((1-NORMSDIST(W$9*SQRT($C$11)*NORMSINV($B966)+SQRT(1-W$9^2*$C$11)*NORMSINV(V966)))*(W$7-W$5)*(W$7-W$6))))</f>
        <v>9.45738843066163</v>
      </c>
      <c r="X966" s="2" t="n">
        <v>0.086692245</v>
      </c>
      <c r="Y966" s="2" t="n">
        <f aca="false">IF(Y$7=Y$5,Y$6,IF(NORMSDIST(Y$9*SQRT($C$11)*NORMSINV($B966)+SQRT(1-Y$9^2*$C$11)*NORMSINV(X966))&lt;Y$8,Y$5+SQRT(NORMSDIST(Y$9*SQRT($C$11)*NORMSINV($B966)+SQRT(1-Y$9^2*$C$11)*NORMSINV(X966))*(Y$7-Y$5)*(Y$6-Y$5)),Y$7-SQRT((1-NORMSDIST(Y$9*SQRT($C$11)*NORMSINV($B966)+SQRT(1-Y$9^2*$C$11)*NORMSINV(X966)))*(Y$7-Y$5)*(Y$7-Y$6))))</f>
        <v>0.208197316265124</v>
      </c>
      <c r="Z966" s="2" t="n">
        <v>0.340987899</v>
      </c>
      <c r="AA966" s="2" t="n">
        <f aca="false">IF(AA$7=AA$5,AA$6,IF(NORMSDIST(AA$9*SQRT($C$11)*NORMSINV($B966)+SQRT(1-AA$9^2*$C$11)*NORMSINV(Z966))&lt;AA$8,AA$5+SQRT(NORMSDIST(AA$9*SQRT($C$11)*NORMSINV($B966)+SQRT(1-AA$9^2*$C$11)*NORMSINV(Z966))*(AA$7-AA$5)*(AA$6-AA$5)),AA$7-SQRT((1-NORMSDIST(AA$9*SQRT($C$11)*NORMSINV($B966)+SQRT(1-AA$9^2*$C$11)*NORMSINV(Z966)))*(AA$7-AA$5)*(AA$7-AA$6))))</f>
        <v>0.717968416231749</v>
      </c>
      <c r="AB966" s="2" t="n">
        <v>0.83374975</v>
      </c>
      <c r="AC966" s="2" t="n">
        <f aca="false">IF(AC$7=AC$5,AC$6,IF(NORMSDIST(AC$9*SQRT($C$11)*NORMSINV($B966)+SQRT(1-AC$9^2*$C$11)*NORMSINV(AB966))&lt;AC$8,AC$5+SQRT(NORMSDIST(AC$9*SQRT($C$11)*NORMSINV($B966)+SQRT(1-AC$9^2*$C$11)*NORMSINV(AB966))*(AC$7-AC$5)*(AC$6-AC$5)),AC$7-SQRT((1-NORMSDIST(AC$9*SQRT($C$11)*NORMSINV($B966)+SQRT(1-AC$9^2*$C$11)*NORMSINV(AB966)))*(AC$7-AC$5)*(AC$7-AC$6))))</f>
        <v>9.75245233787655</v>
      </c>
      <c r="AD966" s="2" t="n">
        <f aca="false">Entrées!$C$8*(1+E966)</f>
        <v>7426.94463154305</v>
      </c>
      <c r="AE966" s="2" t="n">
        <f aca="false">I966*Hypothèses!$J$24/12/Hypothèses!$J$19</f>
        <v>99.2197434774948</v>
      </c>
      <c r="AF966" s="2" t="n">
        <f aca="false">Entrées!$C$36*S966*1000</f>
        <v>177.418096559513</v>
      </c>
      <c r="AG966" s="2" t="n">
        <f aca="false">-AF966/W966</f>
        <v>-18.7597345567735</v>
      </c>
      <c r="AH966" s="2" t="n">
        <f aca="false">AD966+AE966+AG966</f>
        <v>7507.40464046377</v>
      </c>
      <c r="AI966" s="2" t="n">
        <f aca="false">Entrées!$C$16-M966+Hypothèses!$J$22*1000-AF966+Hypothèses!$J$23</f>
        <v>22946.6250356943</v>
      </c>
      <c r="AJ966" s="2" t="n">
        <f aca="false">AI966/AH966</f>
        <v>3.056532335025</v>
      </c>
      <c r="AK966" s="2" t="n">
        <f aca="false">AI966/(AH966+I966*(12-Hypothèses!$J$24)/12/Hypothèses!$J$19)</f>
        <v>3.02794796355679</v>
      </c>
      <c r="AL966" s="2" t="n">
        <f aca="false">(AD966+AG966+I966/Hypothèses!$J$19)*(1+G966)</f>
        <v>7942.88731513917</v>
      </c>
      <c r="AM966" s="2" t="n">
        <f aca="false">Entrées!$C$54*K966/Hypothèses!$J$19</f>
        <v>15.2475989939449</v>
      </c>
      <c r="AN966" s="2" t="n">
        <f aca="false">Y966*1000/AC966</f>
        <v>21.3482013602392</v>
      </c>
      <c r="AO966" s="2" t="n">
        <f aca="false">(Entrées!$C$36*(1-S966)+MAX(0,Entrées!$C$30-Entrées!$C$35-Entrées!$C$36)*U966)*1000</f>
        <v>762.750947656727</v>
      </c>
      <c r="AP966" s="2" t="n">
        <f aca="false">-AO966/W966</f>
        <v>-80.6513291961051</v>
      </c>
      <c r="AQ966" s="2" t="n">
        <f aca="false">AL966+AM966+AN966+AP966</f>
        <v>7898.83178629724</v>
      </c>
      <c r="AR966" s="2" t="n">
        <f aca="false">O966*AQ966-Hypothèses!$J$25/Hypothèses!$J$19</f>
        <v>1311.26945849865</v>
      </c>
      <c r="AS966" s="2" t="n">
        <f aca="false">Entrées!$C$79*(1+Q966)+Hypothèses!$J$20</f>
        <v>1468.32338323894</v>
      </c>
      <c r="AT966" s="2" t="n">
        <f aca="false">AI966-AR966+AS966+Y966*1000-AO966+Hypothèses!$J$23</f>
        <v>22549.125329043</v>
      </c>
      <c r="AU966" s="2" t="n">
        <f aca="false">AT966/AQ966</f>
        <v>2.85474180728355</v>
      </c>
      <c r="AV966" s="2" t="n">
        <f aca="false">Hypothèses!$J$26*AQ966-AT966</f>
        <v>1147.37002984878</v>
      </c>
      <c r="AW966" s="2" t="n">
        <f aca="false">IF(AC966&gt;Hypothèses!$J$26,MAX(0,AV966)/(1-Hypothèses!$J$26/AC966),0)</f>
        <v>1657.12706585753</v>
      </c>
      <c r="AX966" s="2" t="n">
        <f aca="false">AQ966-Entrées!$C$17*1000</f>
        <v>-101.168213702756</v>
      </c>
      <c r="AY966" s="2" t="n">
        <f aca="false">AI966+(Entrées!$C$244-Entrées!$C$13)</f>
        <v>28693.6250356943</v>
      </c>
      <c r="AZ966" s="2" t="n">
        <f aca="false">AA966*AH966</f>
        <v>5390.07941972466</v>
      </c>
      <c r="BA966" s="2" t="n">
        <f aca="false">AZ966/AY966</f>
        <v>0.187849371176333</v>
      </c>
      <c r="BB966" s="2" t="n">
        <f aca="false">AZ966/(Entrées!$C$151/100)-AY966</f>
        <v>1251.2606294427</v>
      </c>
      <c r="BC966" s="2" t="n">
        <f aca="false">AT966+(Entrées!$C$244-Entrées!$C$13)</f>
        <v>28296.125329043</v>
      </c>
      <c r="BD966" s="2" t="n">
        <f aca="false">AA966*AQ966</f>
        <v>5671.11174768883</v>
      </c>
      <c r="BE966" s="2" t="n">
        <f aca="false">BD966/BC966</f>
        <v>0.200420081609832</v>
      </c>
      <c r="BF966" s="2" t="n">
        <f aca="false">BD966/(Entrées!$C$151/100)-BC966</f>
        <v>3210.05104700609</v>
      </c>
      <c r="BG966" s="2" t="n">
        <f aca="false">MIN(AV966,BF966)</f>
        <v>1147.37002984878</v>
      </c>
      <c r="BH966" s="2" t="n">
        <f aca="false">IF(AC966&gt;Hypothèses!$J$26,MAX(0,BG966)/(1-Hypothèses!$J$26/AC966),0)</f>
        <v>1657.12706585753</v>
      </c>
    </row>
    <row r="967" customFormat="false" ht="15" hidden="false" customHeight="false" outlineLevel="0" collapsed="false">
      <c r="A967" s="2" t="n">
        <v>952</v>
      </c>
      <c r="B967" s="2" t="n">
        <v>0.786227741</v>
      </c>
      <c r="C967" s="2"/>
      <c r="D967" s="2" t="n">
        <v>0.789222632</v>
      </c>
      <c r="E967" s="2" t="n">
        <f aca="false">IF(E$7=E$5,E$6,IF(NORMSDIST(E$9*SQRT($C$11)*NORMSINV($B967)+SQRT(1-E$9^2*$C$11)*NORMSINV(D967))&lt;E$8,E$5+SQRT(NORMSDIST(E$9*SQRT($C$11)*NORMSINV($B967)+SQRT(1-E$9^2*$C$11)*NORMSINV(D967))*(E$7-E$5)*(E$6-E$5)),E$7-SQRT((1-NORMSDIST(E$9*SQRT($C$11)*NORMSINV($B967)+SQRT(1-E$9^2*$C$11)*NORMSINV(D967)))*(E$7-E$5)*(E$7-E$6))))</f>
        <v>0.057446264567615</v>
      </c>
      <c r="F967" s="2" t="n">
        <v>0.330589963</v>
      </c>
      <c r="G967" s="2" t="n">
        <f aca="false">IF(G$7=G$5,G$6,IF(NORMSDIST(G$9*SQRT($C$11)*NORMSINV($B967)+SQRT(1-G$9^2*$C$11)*NORMSINV(F967))&lt;G$8,G$5+SQRT(NORMSDIST(G$9*SQRT($C$11)*NORMSINV($B967)+SQRT(1-G$9^2*$C$11)*NORMSINV(F967))*(G$7-G$5)*(G$6-G$5)),G$7-SQRT((1-NORMSDIST(G$9*SQRT($C$11)*NORMSINV($B967)+SQRT(1-G$9^2*$C$11)*NORMSINV(F967)))*(G$7-G$5)*(G$7-G$6))))</f>
        <v>0.0560003124449447</v>
      </c>
      <c r="H967" s="2" t="n">
        <v>0.458411845</v>
      </c>
      <c r="I967" s="2" t="n">
        <f aca="false">IF(I$7=I$5,I$6,IF(NORMSDIST(I$9*SQRT($C$11)*NORMSINV($B967)+SQRT(1-I$9^2*$C$11)*NORMSINV(H967))&lt;I$8,I$5+SQRT(NORMSDIST(I$9*SQRT($C$11)*NORMSINV($B967)+SQRT(1-I$9^2*$C$11)*NORMSINV(H967))*(I$7-I$5)*(I$6-I$5)),I$7-SQRT((1-NORMSDIST(I$9*SQRT($C$11)*NORMSINV($B967)+SQRT(1-I$9^2*$C$11)*NORMSINV(H967)))*(I$7-I$5)*(I$7-I$6))))</f>
        <v>203.582549607458</v>
      </c>
      <c r="J967" s="2" t="n">
        <v>0.500379214</v>
      </c>
      <c r="K967" s="2" t="n">
        <f aca="false">IF(K$7=K$5,K$6,IF(NORMSDIST(K$9*SQRT($C$11)*NORMSINV($B967)+SQRT(1-K$9^2*$C$11)*NORMSINV(J967))&lt;K$8,K$5+SQRT(NORMSDIST(K$9*SQRT($C$11)*NORMSINV($B967)+SQRT(1-K$9^2*$C$11)*NORMSINV(J967))*(K$7-K$5)*(K$6-K$5)),K$7-SQRT((1-NORMSDIST(K$9*SQRT($C$11)*NORMSINV($B967)+SQRT(1-K$9^2*$C$11)*NORMSINV(J967)))*(K$7-K$5)*(K$7-K$6))))</f>
        <v>0.30389782874009</v>
      </c>
      <c r="L967" s="2" t="n">
        <v>0.93778975</v>
      </c>
      <c r="M967" s="2" t="n">
        <f aca="false">IF(M$7=M$5,M$6,IF(NORMSDIST(M$9*SQRT($C$11)*NORMSINV($B967)+SQRT(1-M$9^2*$C$11)*NORMSINV(L967))&lt;M$8,M$5+SQRT(NORMSDIST(M$9*SQRT($C$11)*NORMSINV($B967)+SQRT(1-M$9^2*$C$11)*NORMSINV(L967))*(M$7-M$5)*(M$6-M$5)),M$7-SQRT((1-NORMSDIST(M$9*SQRT($C$11)*NORMSINV($B967)+SQRT(1-M$9^2*$C$11)*NORMSINV(L967)))*(M$7-M$5)*(M$7-M$6))))</f>
        <v>1731.82873207033</v>
      </c>
      <c r="N967" s="2" t="n">
        <v>0.306441685</v>
      </c>
      <c r="O967" s="2" t="n">
        <f aca="false">IF(O$7=O$5,O$6,IF(NORMSDIST(O$9*SQRT($C$11)*NORMSINV($B967)+SQRT(1-O$9^2*$C$11)*NORMSINV(N967))&lt;O$8,O$5+SQRT(NORMSDIST(O$9*SQRT($C$11)*NORMSINV($B967)+SQRT(1-O$9^2*$C$11)*NORMSINV(N967))*(O$7-O$5)*(O$6-O$5)),O$7-SQRT((1-NORMSDIST(O$9*SQRT($C$11)*NORMSINV($B967)+SQRT(1-O$9^2*$C$11)*NORMSINV(N967)))*(O$7-O$5)*(O$7-O$6))))</f>
        <v>0.167931627145232</v>
      </c>
      <c r="P967" s="2" t="n">
        <v>0.435009692</v>
      </c>
      <c r="Q967" s="2" t="n">
        <f aca="false">IF(Q$7=Q$5,Q$6,IF(NORMSDIST(Q$9*SQRT($C$11)*NORMSINV($B967)+SQRT(1-Q$9^2*$C$11)*NORMSINV(P967))&lt;Q$8,Q$5+SQRT(NORMSDIST(Q$9*SQRT($C$11)*NORMSINV($B967)+SQRT(1-Q$9^2*$C$11)*NORMSINV(P967))*(Q$7-Q$5)*(Q$6-Q$5)),Q$7-SQRT((1-NORMSDIST(Q$9*SQRT($C$11)*NORMSINV($B967)+SQRT(1-Q$9^2*$C$11)*NORMSINV(P967)))*(Q$7-Q$5)*(Q$7-Q$6))))</f>
        <v>0.0773099318466277</v>
      </c>
      <c r="R967" s="2" t="n">
        <v>0.516579678</v>
      </c>
      <c r="S967" s="2" t="n">
        <f aca="false">IF(S$7=S$5,S$6,IF(NORMSDIST(S$9*SQRT($C$11)*NORMSINV($B967)+SQRT(1-S$9^2*$C$11)*NORMSINV(R967))&lt;S$8,S$5+SQRT(NORMSDIST(S$9*SQRT($C$11)*NORMSINV($B967)+SQRT(1-S$9^2*$C$11)*NORMSINV(R967))*(S$7-S$5)*(S$6-S$5)),S$7-SQRT((1-NORMSDIST(S$9*SQRT($C$11)*NORMSINV($B967)+SQRT(1-S$9^2*$C$11)*NORMSINV(R967)))*(S$7-S$5)*(S$7-S$6))))</f>
        <v>0.614854727265944</v>
      </c>
      <c r="T967" s="2" t="n">
        <v>0.757645034</v>
      </c>
      <c r="U967" s="2" t="n">
        <f aca="false">IF(U$7=U$5,U$6,IF(NORMSDIST(U$9*SQRT($C$11)*NORMSINV($B967)+SQRT(1-U$9^2*$C$11)*NORMSINV(T967))&lt;U$8,U$5+SQRT(NORMSDIST(U$9*SQRT($C$11)*NORMSINV($B967)+SQRT(1-U$9^2*$C$11)*NORMSINV(T967))*(U$7-U$5)*(U$6-U$5)),U$7-SQRT((1-NORMSDIST(U$9*SQRT($C$11)*NORMSINV($B967)+SQRT(1-U$9^2*$C$11)*NORMSINV(T967)))*(U$7-U$5)*(U$7-U$6))))</f>
        <v>0.727543244819319</v>
      </c>
      <c r="V967" s="2" t="n">
        <v>0.027847196</v>
      </c>
      <c r="W967" s="2" t="n">
        <f aca="false">IF(W$7=W$5,W$6,IF(NORMSDIST(W$9*SQRT($C$11)*NORMSINV($B967)+SQRT(1-W$9^2*$C$11)*NORMSINV(V967))&lt;W$8,W$5+SQRT(NORMSDIST(W$9*SQRT($C$11)*NORMSINV($B967)+SQRT(1-W$9^2*$C$11)*NORMSINV(V967))*(W$7-W$5)*(W$6-W$5)),W$7-SQRT((1-NORMSDIST(W$9*SQRT($C$11)*NORMSINV($B967)+SQRT(1-W$9^2*$C$11)*NORMSINV(V967)))*(W$7-W$5)*(W$7-W$6))))</f>
        <v>9.1435374073337</v>
      </c>
      <c r="X967" s="2" t="n">
        <v>0.425393104</v>
      </c>
      <c r="Y967" s="2" t="n">
        <f aca="false">IF(Y$7=Y$5,Y$6,IF(NORMSDIST(Y$9*SQRT($C$11)*NORMSINV($B967)+SQRT(1-Y$9^2*$C$11)*NORMSINV(X967))&lt;Y$8,Y$5+SQRT(NORMSDIST(Y$9*SQRT($C$11)*NORMSINV($B967)+SQRT(1-Y$9^2*$C$11)*NORMSINV(X967))*(Y$7-Y$5)*(Y$6-Y$5)),Y$7-SQRT((1-NORMSDIST(Y$9*SQRT($C$11)*NORMSINV($B967)+SQRT(1-Y$9^2*$C$11)*NORMSINV(X967)))*(Y$7-Y$5)*(Y$7-Y$6))))</f>
        <v>0.461190364166469</v>
      </c>
      <c r="Z967" s="2" t="n">
        <v>0.558798386</v>
      </c>
      <c r="AA967" s="2" t="n">
        <f aca="false">IF(AA$7=AA$5,AA$6,IF(NORMSDIST(AA$9*SQRT($C$11)*NORMSINV($B967)+SQRT(1-AA$9^2*$C$11)*NORMSINV(Z967))&lt;AA$8,AA$5+SQRT(NORMSDIST(AA$9*SQRT($C$11)*NORMSINV($B967)+SQRT(1-AA$9^2*$C$11)*NORMSINV(Z967))*(AA$7-AA$5)*(AA$6-AA$5)),AA$7-SQRT((1-NORMSDIST(AA$9*SQRT($C$11)*NORMSINV($B967)+SQRT(1-AA$9^2*$C$11)*NORMSINV(Z967)))*(AA$7-AA$5)*(AA$7-AA$6))))</f>
        <v>0.735281425093241</v>
      </c>
      <c r="AB967" s="2" t="n">
        <v>0.853537907</v>
      </c>
      <c r="AC967" s="2" t="n">
        <f aca="false">IF(AC$7=AC$5,AC$6,IF(NORMSDIST(AC$9*SQRT($C$11)*NORMSINV($B967)+SQRT(1-AC$9^2*$C$11)*NORMSINV(AB967))&lt;AC$8,AC$5+SQRT(NORMSDIST(AC$9*SQRT($C$11)*NORMSINV($B967)+SQRT(1-AC$9^2*$C$11)*NORMSINV(AB967))*(AC$7-AC$5)*(AC$6-AC$5)),AC$7-SQRT((1-NORMSDIST(AC$9*SQRT($C$11)*NORMSINV($B967)+SQRT(1-AC$9^2*$C$11)*NORMSINV(AB967)))*(AC$7-AC$5)*(AC$7-AC$6))))</f>
        <v>10.3627201886157</v>
      </c>
      <c r="AD967" s="2" t="n">
        <f aca="false">Entrées!$C$8*(1+E967)</f>
        <v>7454.99616520169</v>
      </c>
      <c r="AE967" s="2" t="n">
        <f aca="false">I967*Hypothèses!$J$24/12/Hypothèses!$J$19</f>
        <v>100.996651268961</v>
      </c>
      <c r="AF967" s="2" t="n">
        <f aca="false">Entrées!$C$36*S967*1000</f>
        <v>307.427363632972</v>
      </c>
      <c r="AG967" s="2" t="n">
        <f aca="false">-AF967/W967</f>
        <v>-33.6223662612673</v>
      </c>
      <c r="AH967" s="2" t="n">
        <f aca="false">AD967+AE967+AG967</f>
        <v>7522.37045020938</v>
      </c>
      <c r="AI967" s="2" t="n">
        <f aca="false">Entrées!$C$16-M967+Hypothèses!$J$22*1000-AF967+Hypothèses!$J$23</f>
        <v>22508.7439042967</v>
      </c>
      <c r="AJ967" s="2" t="n">
        <f aca="false">AI967/AH967</f>
        <v>2.99224081734371</v>
      </c>
      <c r="AK967" s="2" t="n">
        <f aca="false">AI967/(AH967+I967*(12-Hypothèses!$J$24)/12/Hypothèses!$J$19)</f>
        <v>2.96381744065302</v>
      </c>
      <c r="AL967" s="2" t="n">
        <f aca="false">(AD967+AG967+I967/Hypothèses!$J$19)*(1+G967)</f>
        <v>8019.80589953052</v>
      </c>
      <c r="AM967" s="2" t="n">
        <f aca="false">Entrées!$C$54*K967/Hypothèses!$J$19</f>
        <v>31.014049407453</v>
      </c>
      <c r="AN967" s="2" t="n">
        <f aca="false">Y967*1000/AC967</f>
        <v>44.5047589602126</v>
      </c>
      <c r="AO967" s="2" t="n">
        <f aca="false">(Entrées!$C$36*(1-S967)+MAX(0,Entrées!$C$30-Entrées!$C$35-Entrées!$C$36)*U967)*1000</f>
        <v>1211.13317911407</v>
      </c>
      <c r="AP967" s="2" t="n">
        <f aca="false">-AO967/W967</f>
        <v>-132.457836082419</v>
      </c>
      <c r="AQ967" s="2" t="n">
        <f aca="false">AL967+AM967+AN967+AP967</f>
        <v>7962.86687181577</v>
      </c>
      <c r="AR967" s="2" t="n">
        <f aca="false">O967*AQ967-Hypothèses!$J$25/Hypothèses!$J$19</f>
        <v>1318.08202826326</v>
      </c>
      <c r="AS967" s="2" t="n">
        <f aca="false">Entrées!$C$79*(1+Q967)+Hypothèses!$J$20</f>
        <v>1478.96361509944</v>
      </c>
      <c r="AT967" s="2" t="n">
        <f aca="false">AI967-AR967+AS967+Y967*1000-AO967+Hypothèses!$J$23</f>
        <v>21919.6826761853</v>
      </c>
      <c r="AU967" s="2" t="n">
        <f aca="false">AT967/AQ967</f>
        <v>2.75273755407981</v>
      </c>
      <c r="AV967" s="2" t="n">
        <f aca="false">Hypothèses!$J$26*AQ967-AT967</f>
        <v>1968.91793926203</v>
      </c>
      <c r="AW967" s="2" t="n">
        <f aca="false">IF(AC967&gt;Hypothèses!$J$26,MAX(0,AV967)/(1-Hypothèses!$J$26/AC967),0)</f>
        <v>2771.16950749617</v>
      </c>
      <c r="AX967" s="2" t="n">
        <f aca="false">AQ967-Entrées!$C$17*1000</f>
        <v>-37.1331281842313</v>
      </c>
      <c r="AY967" s="2" t="n">
        <f aca="false">AI967+(Entrées!$C$244-Entrées!$C$13)</f>
        <v>28255.7439042967</v>
      </c>
      <c r="AZ967" s="2" t="n">
        <f aca="false">AA967*AH967</f>
        <v>5531.05926470924</v>
      </c>
      <c r="BA967" s="2" t="n">
        <f aca="false">AZ967/AY967</f>
        <v>0.19574990782204</v>
      </c>
      <c r="BB967" s="2" t="n">
        <f aca="false">AZ967/(Entrées!$C$151/100)-AY967</f>
        <v>2472.36312186574</v>
      </c>
      <c r="BC967" s="2" t="n">
        <f aca="false">AT967+(Entrées!$C$244-Entrées!$C$13)</f>
        <v>27666.6826761853</v>
      </c>
      <c r="BD967" s="2" t="n">
        <f aca="false">AA967*AQ967</f>
        <v>5854.94810133646</v>
      </c>
      <c r="BE967" s="2" t="n">
        <f aca="false">BD967/BC967</f>
        <v>0.211624507710722</v>
      </c>
      <c r="BF967" s="2" t="n">
        <f aca="false">BD967/(Entrées!$C$151/100)-BC967</f>
        <v>4860.80677568393</v>
      </c>
      <c r="BG967" s="2" t="n">
        <f aca="false">MIN(AV967,BF967)</f>
        <v>1968.91793926203</v>
      </c>
      <c r="BH967" s="2" t="n">
        <f aca="false">IF(AC967&gt;Hypothèses!$J$26,MAX(0,BG967)/(1-Hypothèses!$J$26/AC967),0)</f>
        <v>2771.16950749617</v>
      </c>
    </row>
    <row r="968" customFormat="false" ht="15" hidden="false" customHeight="false" outlineLevel="0" collapsed="false">
      <c r="A968" s="2" t="n">
        <v>953</v>
      </c>
      <c r="B968" s="2" t="n">
        <v>0.318884347</v>
      </c>
      <c r="C968" s="2"/>
      <c r="D968" s="2" t="n">
        <v>0.13084662</v>
      </c>
      <c r="E968" s="2" t="n">
        <f aca="false">IF(E$7=E$5,E$6,IF(NORMSDIST(E$9*SQRT($C$11)*NORMSINV($B968)+SQRT(1-E$9^2*$C$11)*NORMSINV(D968))&lt;E$8,E$5+SQRT(NORMSDIST(E$9*SQRT($C$11)*NORMSINV($B968)+SQRT(1-E$9^2*$C$11)*NORMSINV(D968))*(E$7-E$5)*(E$6-E$5)),E$7-SQRT((1-NORMSDIST(E$9*SQRT($C$11)*NORMSINV($B968)+SQRT(1-E$9^2*$C$11)*NORMSINV(D968)))*(E$7-E$5)*(E$7-E$6))))</f>
        <v>0.0524654517070083</v>
      </c>
      <c r="F968" s="2" t="n">
        <v>0.259844499</v>
      </c>
      <c r="G968" s="2" t="n">
        <f aca="false">IF(G$7=G$5,G$6,IF(NORMSDIST(G$9*SQRT($C$11)*NORMSINV($B968)+SQRT(1-G$9^2*$C$11)*NORMSINV(F968))&lt;G$8,G$5+SQRT(NORMSDIST(G$9*SQRT($C$11)*NORMSINV($B968)+SQRT(1-G$9^2*$C$11)*NORMSINV(F968))*(G$7-G$5)*(G$6-G$5)),G$7-SQRT((1-NORMSDIST(G$9*SQRT($C$11)*NORMSINV($B968)+SQRT(1-G$9^2*$C$11)*NORMSINV(F968)))*(G$7-G$5)*(G$7-G$6))))</f>
        <v>0.0497874781601664</v>
      </c>
      <c r="H968" s="2" t="n">
        <v>0.917020086</v>
      </c>
      <c r="I968" s="2" t="n">
        <f aca="false">IF(I$7=I$5,I$6,IF(NORMSDIST(I$9*SQRT($C$11)*NORMSINV($B968)+SQRT(1-I$9^2*$C$11)*NORMSINV(H968))&lt;I$8,I$5+SQRT(NORMSDIST(I$9*SQRT($C$11)*NORMSINV($B968)+SQRT(1-I$9^2*$C$11)*NORMSINV(H968))*(I$7-I$5)*(I$6-I$5)),I$7-SQRT((1-NORMSDIST(I$9*SQRT($C$11)*NORMSINV($B968)+SQRT(1-I$9^2*$C$11)*NORMSINV(H968)))*(I$7-I$5)*(I$7-I$6))))</f>
        <v>206.761035115324</v>
      </c>
      <c r="J968" s="2" t="n">
        <v>0.99120965</v>
      </c>
      <c r="K968" s="2" t="n">
        <f aca="false">IF(K$7=K$5,K$6,IF(NORMSDIST(K$9*SQRT($C$11)*NORMSINV($B968)+SQRT(1-K$9^2*$C$11)*NORMSINV(J968))&lt;K$8,K$5+SQRT(NORMSDIST(K$9*SQRT($C$11)*NORMSINV($B968)+SQRT(1-K$9^2*$C$11)*NORMSINV(J968))*(K$7-K$5)*(K$6-K$5)),K$7-SQRT((1-NORMSDIST(K$9*SQRT($C$11)*NORMSINV($B968)+SQRT(1-K$9^2*$C$11)*NORMSINV(J968)))*(K$7-K$5)*(K$7-K$6))))</f>
        <v>0.412241431665091</v>
      </c>
      <c r="L968" s="2" t="n">
        <v>0.814684291</v>
      </c>
      <c r="M968" s="2" t="n">
        <f aca="false">IF(M$7=M$5,M$6,IF(NORMSDIST(M$9*SQRT($C$11)*NORMSINV($B968)+SQRT(1-M$9^2*$C$11)*NORMSINV(L968))&lt;M$8,M$5+SQRT(NORMSDIST(M$9*SQRT($C$11)*NORMSINV($B968)+SQRT(1-M$9^2*$C$11)*NORMSINV(L968))*(M$7-M$5)*(M$6-M$5)),M$7-SQRT((1-NORMSDIST(M$9*SQRT($C$11)*NORMSINV($B968)+SQRT(1-M$9^2*$C$11)*NORMSINV(L968)))*(M$7-M$5)*(M$7-M$6))))</f>
        <v>1625.85128900167</v>
      </c>
      <c r="N968" s="2" t="n">
        <v>0.135007812</v>
      </c>
      <c r="O968" s="2" t="n">
        <f aca="false">IF(O$7=O$5,O$6,IF(NORMSDIST(O$9*SQRT($C$11)*NORMSINV($B968)+SQRT(1-O$9^2*$C$11)*NORMSINV(N968))&lt;O$8,O$5+SQRT(NORMSDIST(O$9*SQRT($C$11)*NORMSINV($B968)+SQRT(1-O$9^2*$C$11)*NORMSINV(N968))*(O$7-O$5)*(O$6-O$5)),O$7-SQRT((1-NORMSDIST(O$9*SQRT($C$11)*NORMSINV($B968)+SQRT(1-O$9^2*$C$11)*NORMSINV(N968)))*(O$7-O$5)*(O$7-O$6))))</f>
        <v>0.153372132790862</v>
      </c>
      <c r="P968" s="2" t="n">
        <v>0.562518277</v>
      </c>
      <c r="Q968" s="2" t="n">
        <f aca="false">IF(Q$7=Q$5,Q$6,IF(NORMSDIST(Q$9*SQRT($C$11)*NORMSINV($B968)+SQRT(1-Q$9^2*$C$11)*NORMSINV(P968))&lt;Q$8,Q$5+SQRT(NORMSDIST(Q$9*SQRT($C$11)*NORMSINV($B968)+SQRT(1-Q$9^2*$C$11)*NORMSINV(P968))*(Q$7-Q$5)*(Q$6-Q$5)),Q$7-SQRT((1-NORMSDIST(Q$9*SQRT($C$11)*NORMSINV($B968)+SQRT(1-Q$9^2*$C$11)*NORMSINV(P968)))*(Q$7-Q$5)*(Q$7-Q$6))))</f>
        <v>0.0825842076978183</v>
      </c>
      <c r="R968" s="2" t="n">
        <v>0.371537728</v>
      </c>
      <c r="S968" s="2" t="n">
        <f aca="false">IF(S$7=S$5,S$6,IF(NORMSDIST(S$9*SQRT($C$11)*NORMSINV($B968)+SQRT(1-S$9^2*$C$11)*NORMSINV(R968))&lt;S$8,S$5+SQRT(NORMSDIST(S$9*SQRT($C$11)*NORMSINV($B968)+SQRT(1-S$9^2*$C$11)*NORMSINV(R968))*(S$7-S$5)*(S$6-S$5)),S$7-SQRT((1-NORMSDIST(S$9*SQRT($C$11)*NORMSINV($B968)+SQRT(1-S$9^2*$C$11)*NORMSINV(R968)))*(S$7-S$5)*(S$7-S$6))))</f>
        <v>0.381173291134085</v>
      </c>
      <c r="T968" s="2" t="n">
        <v>0.583203179</v>
      </c>
      <c r="U968" s="2" t="n">
        <f aca="false">IF(U$7=U$5,U$6,IF(NORMSDIST(U$9*SQRT($C$11)*NORMSINV($B968)+SQRT(1-U$9^2*$C$11)*NORMSINV(T968))&lt;U$8,U$5+SQRT(NORMSDIST(U$9*SQRT($C$11)*NORMSINV($B968)+SQRT(1-U$9^2*$C$11)*NORMSINV(T968))*(U$7-U$5)*(U$6-U$5)),U$7-SQRT((1-NORMSDIST(U$9*SQRT($C$11)*NORMSINV($B968)+SQRT(1-U$9^2*$C$11)*NORMSINV(T968)))*(U$7-U$5)*(U$7-U$6))))</f>
        <v>0.47238348539543</v>
      </c>
      <c r="V968" s="2" t="n">
        <v>0.784250225</v>
      </c>
      <c r="W968" s="2" t="n">
        <f aca="false">IF(W$7=W$5,W$6,IF(NORMSDIST(W$9*SQRT($C$11)*NORMSINV($B968)+SQRT(1-W$9^2*$C$11)*NORMSINV(V968))&lt;W$8,W$5+SQRT(NORMSDIST(W$9*SQRT($C$11)*NORMSINV($B968)+SQRT(1-W$9^2*$C$11)*NORMSINV(V968))*(W$7-W$5)*(W$6-W$5)),W$7-SQRT((1-NORMSDIST(W$9*SQRT($C$11)*NORMSINV($B968)+SQRT(1-W$9^2*$C$11)*NORMSINV(V968)))*(W$7-W$5)*(W$7-W$6))))</f>
        <v>10.2617418877904</v>
      </c>
      <c r="X968" s="2" t="n">
        <v>0.101327455</v>
      </c>
      <c r="Y968" s="2" t="n">
        <f aca="false">IF(Y$7=Y$5,Y$6,IF(NORMSDIST(Y$9*SQRT($C$11)*NORMSINV($B968)+SQRT(1-Y$9^2*$C$11)*NORMSINV(X968))&lt;Y$8,Y$5+SQRT(NORMSDIST(Y$9*SQRT($C$11)*NORMSINV($B968)+SQRT(1-Y$9^2*$C$11)*NORMSINV(X968))*(Y$7-Y$5)*(Y$6-Y$5)),Y$7-SQRT((1-NORMSDIST(Y$9*SQRT($C$11)*NORMSINV($B968)+SQRT(1-Y$9^2*$C$11)*NORMSINV(X968)))*(Y$7-Y$5)*(Y$7-Y$6))))</f>
        <v>0.225086044658482</v>
      </c>
      <c r="Z968" s="2" t="n">
        <v>0.030205324</v>
      </c>
      <c r="AA968" s="2" t="n">
        <f aca="false">IF(AA$7=AA$5,AA$6,IF(NORMSDIST(AA$9*SQRT($C$11)*NORMSINV($B968)+SQRT(1-AA$9^2*$C$11)*NORMSINV(Z968))&lt;AA$8,AA$5+SQRT(NORMSDIST(AA$9*SQRT($C$11)*NORMSINV($B968)+SQRT(1-AA$9^2*$C$11)*NORMSINV(Z968))*(AA$7-AA$5)*(AA$6-AA$5)),AA$7-SQRT((1-NORMSDIST(AA$9*SQRT($C$11)*NORMSINV($B968)+SQRT(1-AA$9^2*$C$11)*NORMSINV(Z968)))*(AA$7-AA$5)*(AA$7-AA$6))))</f>
        <v>0.704561146419241</v>
      </c>
      <c r="AB968" s="2" t="n">
        <v>0.252998564</v>
      </c>
      <c r="AC968" s="2" t="n">
        <f aca="false">IF(AC$7=AC$5,AC$6,IF(NORMSDIST(AC$9*SQRT($C$11)*NORMSINV($B968)+SQRT(1-AC$9^2*$C$11)*NORMSINV(AB968))&lt;AC$8,AC$5+SQRT(NORMSDIST(AC$9*SQRT($C$11)*NORMSINV($B968)+SQRT(1-AC$9^2*$C$11)*NORMSINV(AB968))*(AC$7-AC$5)*(AC$6-AC$5)),AC$7-SQRT((1-NORMSDIST(AC$9*SQRT($C$11)*NORMSINV($B968)+SQRT(1-AC$9^2*$C$11)*NORMSINV(AB968)))*(AC$7-AC$5)*(AC$7-AC$6))))</f>
        <v>8.74096946695101</v>
      </c>
      <c r="AD968" s="2" t="n">
        <f aca="false">Entrées!$C$8*(1+E968)</f>
        <v>7419.88143453441</v>
      </c>
      <c r="AE968" s="2" t="n">
        <f aca="false">I968*Hypothèses!$J$24/12/Hypothèses!$J$19</f>
        <v>102.573487756275</v>
      </c>
      <c r="AF968" s="2" t="n">
        <f aca="false">Entrées!$C$36*S968*1000</f>
        <v>190.586645567042</v>
      </c>
      <c r="AG968" s="2" t="n">
        <f aca="false">-AF968/W968</f>
        <v>-18.5725433022054</v>
      </c>
      <c r="AH968" s="2" t="n">
        <f aca="false">AD968+AE968+AG968</f>
        <v>7503.88237898848</v>
      </c>
      <c r="AI968" s="2" t="n">
        <f aca="false">Entrées!$C$16-M968+Hypothèses!$J$22*1000-AF968+Hypothèses!$J$23</f>
        <v>22731.5620654313</v>
      </c>
      <c r="AJ968" s="2" t="n">
        <f aca="false">AI968/AH968</f>
        <v>3.02930681977127</v>
      </c>
      <c r="AK968" s="2" t="n">
        <f aca="false">AI968/(AH968+I968*(12-Hypothèses!$J$24)/12/Hypothèses!$J$19)</f>
        <v>3.00001512409974</v>
      </c>
      <c r="AL968" s="2" t="n">
        <f aca="false">(AD968+AG968+I968/Hypothèses!$J$19)*(1+G968)</f>
        <v>7954.39630407579</v>
      </c>
      <c r="AM968" s="2" t="n">
        <f aca="false">Entrées!$C$54*K968/Hypothèses!$J$19</f>
        <v>42.0709689913414</v>
      </c>
      <c r="AN968" s="2" t="n">
        <f aca="false">Y968*1000/AC968</f>
        <v>25.750695676208</v>
      </c>
      <c r="AO968" s="2" t="n">
        <f aca="false">(Entrées!$C$36*(1-S968)+MAX(0,Entrées!$C$30-Entrées!$C$35-Entrées!$C$36)*U968)*1000</f>
        <v>970.75023398656</v>
      </c>
      <c r="AP968" s="2" t="n">
        <f aca="false">-AO968/W968</f>
        <v>-94.5989720460203</v>
      </c>
      <c r="AQ968" s="2" t="n">
        <f aca="false">AL968+AM968+AN968+AP968</f>
        <v>7927.61899669732</v>
      </c>
      <c r="AR968" s="2" t="n">
        <f aca="false">O968*AQ968-Hypothèses!$J$25/Hypothèses!$J$19</f>
        <v>1196.7406712152</v>
      </c>
      <c r="AS968" s="2" t="n">
        <f aca="false">Entrées!$C$79*(1+Q968)+Hypothèses!$J$20</f>
        <v>1484.7600442599</v>
      </c>
      <c r="AT968" s="2" t="n">
        <f aca="false">AI968-AR968+AS968+Y968*1000-AO968+Hypothèses!$J$23</f>
        <v>22273.9172491479</v>
      </c>
      <c r="AU968" s="2" t="n">
        <f aca="false">AT968/AQ968</f>
        <v>2.80966041108022</v>
      </c>
      <c r="AV968" s="2" t="n">
        <f aca="false">Hypothèses!$J$26*AQ968-AT968</f>
        <v>1508.93974094405</v>
      </c>
      <c r="AW968" s="2" t="n">
        <f aca="false">IF(AC968&gt;Hypothèses!$J$26,MAX(0,AV968)/(1-Hypothèses!$J$26/AC968),0)</f>
        <v>2297.45102791251</v>
      </c>
      <c r="AX968" s="2" t="n">
        <f aca="false">AQ968-Entrées!$C$17*1000</f>
        <v>-72.3810033026803</v>
      </c>
      <c r="AY968" s="2" t="n">
        <f aca="false">AI968+(Entrées!$C$244-Entrées!$C$13)</f>
        <v>28478.5620654313</v>
      </c>
      <c r="AZ968" s="2" t="n">
        <f aca="false">AA968*AH968</f>
        <v>5286.94397153527</v>
      </c>
      <c r="BA968" s="2" t="n">
        <f aca="false">AZ968/AY968</f>
        <v>0.185646450807038</v>
      </c>
      <c r="BB968" s="2" t="n">
        <f aca="false">AZ968/(Entrées!$C$151/100)-AY968</f>
        <v>893.348887542419</v>
      </c>
      <c r="BC968" s="2" t="n">
        <f aca="false">AT968+(Entrées!$C$244-Entrées!$C$13)</f>
        <v>28020.9172491479</v>
      </c>
      <c r="BD968" s="2" t="n">
        <f aca="false">AA968*AQ968</f>
        <v>5585.49232868802</v>
      </c>
      <c r="BE968" s="2" t="n">
        <f aca="false">BD968/BC968</f>
        <v>0.199332958269161</v>
      </c>
      <c r="BF968" s="2" t="n">
        <f aca="false">BD968/(Entrées!$C$151/100)-BC968</f>
        <v>3009.59568800776</v>
      </c>
      <c r="BG968" s="2" t="n">
        <f aca="false">MIN(AV968,BF968)</f>
        <v>1508.93974094405</v>
      </c>
      <c r="BH968" s="2" t="n">
        <f aca="false">IF(AC968&gt;Hypothèses!$J$26,MAX(0,BG968)/(1-Hypothèses!$J$26/AC968),0)</f>
        <v>2297.45102791251</v>
      </c>
    </row>
    <row r="969" customFormat="false" ht="15" hidden="false" customHeight="false" outlineLevel="0" collapsed="false">
      <c r="A969" s="2" t="n">
        <v>954</v>
      </c>
      <c r="B969" s="2" t="n">
        <v>0.991954243</v>
      </c>
      <c r="C969" s="2"/>
      <c r="D969" s="2" t="n">
        <v>0.244220099</v>
      </c>
      <c r="E969" s="2" t="n">
        <f aca="false">IF(E$7=E$5,E$6,IF(NORMSDIST(E$9*SQRT($C$11)*NORMSINV($B969)+SQRT(1-E$9^2*$C$11)*NORMSINV(D969))&lt;E$8,E$5+SQRT(NORMSDIST(E$9*SQRT($C$11)*NORMSINV($B969)+SQRT(1-E$9^2*$C$11)*NORMSINV(D969))*(E$7-E$5)*(E$6-E$5)),E$7-SQRT((1-NORMSDIST(E$9*SQRT($C$11)*NORMSINV($B969)+SQRT(1-E$9^2*$C$11)*NORMSINV(D969)))*(E$7-E$5)*(E$7-E$6))))</f>
        <v>0.0571524621360966</v>
      </c>
      <c r="F969" s="2" t="n">
        <v>0.348753173</v>
      </c>
      <c r="G969" s="2" t="n">
        <f aca="false">IF(G$7=G$5,G$6,IF(NORMSDIST(G$9*SQRT($C$11)*NORMSINV($B969)+SQRT(1-G$9^2*$C$11)*NORMSINV(F969))&lt;G$8,G$5+SQRT(NORMSDIST(G$9*SQRT($C$11)*NORMSINV($B969)+SQRT(1-G$9^2*$C$11)*NORMSINV(F969))*(G$7-G$5)*(G$6-G$5)),G$7-SQRT((1-NORMSDIST(G$9*SQRT($C$11)*NORMSINV($B969)+SQRT(1-G$9^2*$C$11)*NORMSINV(F969)))*(G$7-G$5)*(G$7-G$6))))</f>
        <v>0.0629319307085087</v>
      </c>
      <c r="H969" s="2" t="n">
        <v>0.422791632</v>
      </c>
      <c r="I969" s="2" t="n">
        <f aca="false">IF(I$7=I$5,I$6,IF(NORMSDIST(I$9*SQRT($C$11)*NORMSINV($B969)+SQRT(1-I$9^2*$C$11)*NORMSINV(H969))&lt;I$8,I$5+SQRT(NORMSDIST(I$9*SQRT($C$11)*NORMSINV($B969)+SQRT(1-I$9^2*$C$11)*NORMSINV(H969))*(I$7-I$5)*(I$6-I$5)),I$7-SQRT((1-NORMSDIST(I$9*SQRT($C$11)*NORMSINV($B969)+SQRT(1-I$9^2*$C$11)*NORMSINV(H969)))*(I$7-I$5)*(I$7-I$6))))</f>
        <v>211.747395498793</v>
      </c>
      <c r="J969" s="2" t="n">
        <v>0.8120681</v>
      </c>
      <c r="K969" s="2" t="n">
        <f aca="false">IF(K$7=K$5,K$6,IF(NORMSDIST(K$9*SQRT($C$11)*NORMSINV($B969)+SQRT(1-K$9^2*$C$11)*NORMSINV(J969))&lt;K$8,K$5+SQRT(NORMSDIST(K$9*SQRT($C$11)*NORMSINV($B969)+SQRT(1-K$9^2*$C$11)*NORMSINV(J969))*(K$7-K$5)*(K$6-K$5)),K$7-SQRT((1-NORMSDIST(K$9*SQRT($C$11)*NORMSINV($B969)+SQRT(1-K$9^2*$C$11)*NORMSINV(J969)))*(K$7-K$5)*(K$7-K$6))))</f>
        <v>0.45874351705189</v>
      </c>
      <c r="L969" s="2" t="n">
        <v>0.757481355</v>
      </c>
      <c r="M969" s="2" t="n">
        <f aca="false">IF(M$7=M$5,M$6,IF(NORMSDIST(M$9*SQRT($C$11)*NORMSINV($B969)+SQRT(1-M$9^2*$C$11)*NORMSINV(L969))&lt;M$8,M$5+SQRT(NORMSDIST(M$9*SQRT($C$11)*NORMSINV($B969)+SQRT(1-M$9^2*$C$11)*NORMSINV(L969))*(M$7-M$5)*(M$6-M$5)),M$7-SQRT((1-NORMSDIST(M$9*SQRT($C$11)*NORMSINV($B969)+SQRT(1-M$9^2*$C$11)*NORMSINV(L969)))*(M$7-M$5)*(M$7-M$6))))</f>
        <v>1752.44561715116</v>
      </c>
      <c r="N969" s="2" t="n">
        <v>0.230823339</v>
      </c>
      <c r="O969" s="2" t="n">
        <f aca="false">IF(O$7=O$5,O$6,IF(NORMSDIST(O$9*SQRT($C$11)*NORMSINV($B969)+SQRT(1-O$9^2*$C$11)*NORMSINV(N969))&lt;O$8,O$5+SQRT(NORMSDIST(O$9*SQRT($C$11)*NORMSINV($B969)+SQRT(1-O$9^2*$C$11)*NORMSINV(N969))*(O$7-O$5)*(O$6-O$5)),O$7-SQRT((1-NORMSDIST(O$9*SQRT($C$11)*NORMSINV($B969)+SQRT(1-O$9^2*$C$11)*NORMSINV(N969)))*(O$7-O$5)*(O$7-O$6))))</f>
        <v>0.176521728088256</v>
      </c>
      <c r="P969" s="2" t="n">
        <v>0.660989111</v>
      </c>
      <c r="Q969" s="2" t="n">
        <f aca="false">IF(Q$7=Q$5,Q$6,IF(NORMSDIST(Q$9*SQRT($C$11)*NORMSINV($B969)+SQRT(1-Q$9^2*$C$11)*NORMSINV(P969))&lt;Q$8,Q$5+SQRT(NORMSDIST(Q$9*SQRT($C$11)*NORMSINV($B969)+SQRT(1-Q$9^2*$C$11)*NORMSINV(P969))*(Q$7-Q$5)*(Q$6-Q$5)),Q$7-SQRT((1-NORMSDIST(Q$9*SQRT($C$11)*NORMSINV($B969)+SQRT(1-Q$9^2*$C$11)*NORMSINV(P969)))*(Q$7-Q$5)*(Q$7-Q$6))))</f>
        <v>0.0870631688713076</v>
      </c>
      <c r="R969" s="2" t="n">
        <v>0.197345285</v>
      </c>
      <c r="S969" s="2" t="n">
        <f aca="false">IF(S$7=S$5,S$6,IF(NORMSDIST(S$9*SQRT($C$11)*NORMSINV($B969)+SQRT(1-S$9^2*$C$11)*NORMSINV(R969))&lt;S$8,S$5+SQRT(NORMSDIST(S$9*SQRT($C$11)*NORMSINV($B969)+SQRT(1-S$9^2*$C$11)*NORMSINV(R969))*(S$7-S$5)*(S$6-S$5)),S$7-SQRT((1-NORMSDIST(S$9*SQRT($C$11)*NORMSINV($B969)+SQRT(1-S$9^2*$C$11)*NORMSINV(R969)))*(S$7-S$5)*(S$7-S$6))))</f>
        <v>0.688479700743246</v>
      </c>
      <c r="T969" s="2" t="n">
        <v>0.2754355</v>
      </c>
      <c r="U969" s="2" t="n">
        <f aca="false">IF(U$7=U$5,U$6,IF(NORMSDIST(U$9*SQRT($C$11)*NORMSINV($B969)+SQRT(1-U$9^2*$C$11)*NORMSINV(T969))&lt;U$8,U$5+SQRT(NORMSDIST(U$9*SQRT($C$11)*NORMSINV($B969)+SQRT(1-U$9^2*$C$11)*NORMSINV(T969))*(U$7-U$5)*(U$6-U$5)),U$7-SQRT((1-NORMSDIST(U$9*SQRT($C$11)*NORMSINV($B969)+SQRT(1-U$9^2*$C$11)*NORMSINV(T969)))*(U$7-U$5)*(U$7-U$6))))</f>
        <v>0.731182015970917</v>
      </c>
      <c r="V969" s="2" t="n">
        <v>0.238655129</v>
      </c>
      <c r="W969" s="2" t="n">
        <f aca="false">IF(W$7=W$5,W$6,IF(NORMSDIST(W$9*SQRT($C$11)*NORMSINV($B969)+SQRT(1-W$9^2*$C$11)*NORMSINV(V969))&lt;W$8,W$5+SQRT(NORMSDIST(W$9*SQRT($C$11)*NORMSINV($B969)+SQRT(1-W$9^2*$C$11)*NORMSINV(V969))*(W$7-W$5)*(W$6-W$5)),W$7-SQRT((1-NORMSDIST(W$9*SQRT($C$11)*NORMSINV($B969)+SQRT(1-W$9^2*$C$11)*NORMSINV(V969)))*(W$7-W$5)*(W$7-W$6))))</f>
        <v>10.8490520121075</v>
      </c>
      <c r="X969" s="2" t="n">
        <v>0.391286137</v>
      </c>
      <c r="Y969" s="2" t="n">
        <f aca="false">IF(Y$7=Y$5,Y$6,IF(NORMSDIST(Y$9*SQRT($C$11)*NORMSINV($B969)+SQRT(1-Y$9^2*$C$11)*NORMSINV(X969))&lt;Y$8,Y$5+SQRT(NORMSDIST(Y$9*SQRT($C$11)*NORMSINV($B969)+SQRT(1-Y$9^2*$C$11)*NORMSINV(X969))*(Y$7-Y$5)*(Y$6-Y$5)),Y$7-SQRT((1-NORMSDIST(Y$9*SQRT($C$11)*NORMSINV($B969)+SQRT(1-Y$9^2*$C$11)*NORMSINV(X969)))*(Y$7-Y$5)*(Y$7-Y$6))))</f>
        <v>0.442315575692288</v>
      </c>
      <c r="Z969" s="2" t="n">
        <v>0.300882514</v>
      </c>
      <c r="AA969" s="2" t="n">
        <f aca="false">IF(AA$7=AA$5,AA$6,IF(NORMSDIST(AA$9*SQRT($C$11)*NORMSINV($B969)+SQRT(1-AA$9^2*$C$11)*NORMSINV(Z969))&lt;AA$8,AA$5+SQRT(NORMSDIST(AA$9*SQRT($C$11)*NORMSINV($B969)+SQRT(1-AA$9^2*$C$11)*NORMSINV(Z969))*(AA$7-AA$5)*(AA$6-AA$5)),AA$7-SQRT((1-NORMSDIST(AA$9*SQRT($C$11)*NORMSINV($B969)+SQRT(1-AA$9^2*$C$11)*NORMSINV(Z969)))*(AA$7-AA$5)*(AA$7-AA$6))))</f>
        <v>0.740855564276534</v>
      </c>
      <c r="AB969" s="2" t="n">
        <v>0.452440679</v>
      </c>
      <c r="AC969" s="2" t="n">
        <f aca="false">IF(AC$7=AC$5,AC$6,IF(NORMSDIST(AC$9*SQRT($C$11)*NORMSINV($B969)+SQRT(1-AC$9^2*$C$11)*NORMSINV(AB969))&lt;AC$8,AC$5+SQRT(NORMSDIST(AC$9*SQRT($C$11)*NORMSINV($B969)+SQRT(1-AC$9^2*$C$11)*NORMSINV(AB969))*(AC$7-AC$5)*(AC$6-AC$5)),AC$7-SQRT((1-NORMSDIST(AC$9*SQRT($C$11)*NORMSINV($B969)+SQRT(1-AC$9^2*$C$11)*NORMSINV(AB969)))*(AC$7-AC$5)*(AC$7-AC$6))))</f>
        <v>10.4254705725108</v>
      </c>
      <c r="AD969" s="2" t="n">
        <f aca="false">Entrées!$C$8*(1+E969)</f>
        <v>7452.92485805948</v>
      </c>
      <c r="AE969" s="2" t="n">
        <f aca="false">I969*Hypothèses!$J$24/12/Hypothèses!$J$19</f>
        <v>105.047205183047</v>
      </c>
      <c r="AF969" s="2" t="n">
        <f aca="false">Entrées!$C$36*S969*1000</f>
        <v>344.239850371623</v>
      </c>
      <c r="AG969" s="2" t="n">
        <f aca="false">-AF969/W969</f>
        <v>-31.7299474633778</v>
      </c>
      <c r="AH969" s="2" t="n">
        <f aca="false">AD969+AE969+AG969</f>
        <v>7526.24211577915</v>
      </c>
      <c r="AI969" s="2" t="n">
        <f aca="false">Entrées!$C$16-M969+Hypothèses!$J$22*1000-AF969+Hypothèses!$J$23</f>
        <v>22451.3145324772</v>
      </c>
      <c r="AJ969" s="2" t="n">
        <f aca="false">AI969/AH969</f>
        <v>2.98307099175123</v>
      </c>
      <c r="AK969" s="2" t="n">
        <f aca="false">AI969/(AH969+I969*(12-Hypothèses!$J$24)/12/Hypothèses!$J$19)</f>
        <v>2.95362449981647</v>
      </c>
      <c r="AL969" s="2" t="n">
        <f aca="false">(AD969+AG969+I969/Hypothèses!$J$19)*(1+G969)</f>
        <v>8079.63879783393</v>
      </c>
      <c r="AM969" s="2" t="n">
        <f aca="false">Entrées!$C$54*K969/Hypothèses!$J$19</f>
        <v>46.8167020547034</v>
      </c>
      <c r="AN969" s="2" t="n">
        <f aca="false">Y969*1000/AC969</f>
        <v>42.4264375037953</v>
      </c>
      <c r="AO969" s="2" t="n">
        <f aca="false">(Entrées!$C$36*(1-S969)+MAX(0,Entrées!$C$30-Entrées!$C$35-Entrées!$C$36)*U969)*1000</f>
        <v>1179.41497198766</v>
      </c>
      <c r="AP969" s="2" t="n">
        <f aca="false">-AO969/W969</f>
        <v>-108.711339080266</v>
      </c>
      <c r="AQ969" s="2" t="n">
        <f aca="false">AL969+AM969+AN969+AP969</f>
        <v>8060.17059831216</v>
      </c>
      <c r="AR969" s="2" t="n">
        <f aca="false">O969*AQ969-Hypothèses!$J$25/Hypothèses!$J$19</f>
        <v>1403.66008043859</v>
      </c>
      <c r="AS969" s="2" t="n">
        <f aca="false">Entrées!$C$79*(1+Q969)+Hypothèses!$J$20</f>
        <v>1489.68242258957</v>
      </c>
      <c r="AT969" s="2" t="n">
        <f aca="false">AI969-AR969+AS969+Y969*1000-AO969+Hypothèses!$J$23</f>
        <v>21800.2374783328</v>
      </c>
      <c r="AU969" s="2" t="n">
        <f aca="false">AT969/AQ969</f>
        <v>2.70468685649134</v>
      </c>
      <c r="AV969" s="2" t="n">
        <f aca="false">Hypothèses!$J$26*AQ969-AT969</f>
        <v>2380.27431660367</v>
      </c>
      <c r="AW969" s="2" t="n">
        <f aca="false">IF(AC969&gt;Hypothèses!$J$26,MAX(0,AV969)/(1-Hypothèses!$J$26/AC969),0)</f>
        <v>3341.94036592402</v>
      </c>
      <c r="AX969" s="2" t="n">
        <f aca="false">AQ969-Entrées!$C$17*1000</f>
        <v>60.1705983121628</v>
      </c>
      <c r="AY969" s="2" t="n">
        <f aca="false">AI969+(Entrées!$C$244-Entrées!$C$13)</f>
        <v>28198.3145324772</v>
      </c>
      <c r="AZ969" s="2" t="n">
        <f aca="false">AA969*AH969</f>
        <v>5575.85834956737</v>
      </c>
      <c r="BA969" s="2" t="n">
        <f aca="false">AZ969/AY969</f>
        <v>0.19773729182095</v>
      </c>
      <c r="BB969" s="2" t="n">
        <f aca="false">AZ969/(Entrées!$C$151/100)-AY969</f>
        <v>2778.67629845264</v>
      </c>
      <c r="BC969" s="2" t="n">
        <f aca="false">AT969+(Entrées!$C$244-Entrées!$C$13)</f>
        <v>27547.2374783328</v>
      </c>
      <c r="BD969" s="2" t="n">
        <f aca="false">AA969*AQ969</f>
        <v>5971.42223677768</v>
      </c>
      <c r="BE969" s="2" t="n">
        <f aca="false">BD969/BC969</f>
        <v>0.216770274749854</v>
      </c>
      <c r="BF969" s="2" t="n">
        <f aca="false">BD969/(Entrées!$C$151/100)-BC969</f>
        <v>5627.33050376542</v>
      </c>
      <c r="BG969" s="2" t="n">
        <f aca="false">MIN(AV969,BF969)</f>
        <v>2380.27431660367</v>
      </c>
      <c r="BH969" s="2" t="n">
        <f aca="false">IF(AC969&gt;Hypothèses!$J$26,MAX(0,BG969)/(1-Hypothèses!$J$26/AC969),0)</f>
        <v>3341.94036592402</v>
      </c>
    </row>
    <row r="970" customFormat="false" ht="15" hidden="false" customHeight="false" outlineLevel="0" collapsed="false">
      <c r="A970" s="2" t="n">
        <v>955</v>
      </c>
      <c r="B970" s="2" t="n">
        <v>0.736641151</v>
      </c>
      <c r="C970" s="2"/>
      <c r="D970" s="2" t="n">
        <v>0.143042065</v>
      </c>
      <c r="E970" s="2" t="n">
        <f aca="false">IF(E$7=E$5,E$6,IF(NORMSDIST(E$9*SQRT($C$11)*NORMSINV($B970)+SQRT(1-E$9^2*$C$11)*NORMSINV(D970))&lt;E$8,E$5+SQRT(NORMSDIST(E$9*SQRT($C$11)*NORMSINV($B970)+SQRT(1-E$9^2*$C$11)*NORMSINV(D970))*(E$7-E$5)*(E$6-E$5)),E$7-SQRT((1-NORMSDIST(E$9*SQRT($C$11)*NORMSINV($B970)+SQRT(1-E$9^2*$C$11)*NORMSINV(D970)))*(E$7-E$5)*(E$7-E$6))))</f>
        <v>0.0540931342689559</v>
      </c>
      <c r="F970" s="2" t="n">
        <v>0.995703209</v>
      </c>
      <c r="G970" s="2" t="n">
        <f aca="false">IF(G$7=G$5,G$6,IF(NORMSDIST(G$9*SQRT($C$11)*NORMSINV($B970)+SQRT(1-G$9^2*$C$11)*NORMSINV(F970))&lt;G$8,G$5+SQRT(NORMSDIST(G$9*SQRT($C$11)*NORMSINV($B970)+SQRT(1-G$9^2*$C$11)*NORMSINV(F970))*(G$7-G$5)*(G$6-G$5)),G$7-SQRT((1-NORMSDIST(G$9*SQRT($C$11)*NORMSINV($B970)+SQRT(1-G$9^2*$C$11)*NORMSINV(F970)))*(G$7-G$5)*(G$7-G$6))))</f>
        <v>0.0681716822054413</v>
      </c>
      <c r="H970" s="2" t="n">
        <v>0.215682084</v>
      </c>
      <c r="I970" s="2" t="n">
        <f aca="false">IF(I$7=I$5,I$6,IF(NORMSDIST(I$9*SQRT($C$11)*NORMSINV($B970)+SQRT(1-I$9^2*$C$11)*NORMSINV(H970))&lt;I$8,I$5+SQRT(NORMSDIST(I$9*SQRT($C$11)*NORMSINV($B970)+SQRT(1-I$9^2*$C$11)*NORMSINV(H970))*(I$7-I$5)*(I$6-I$5)),I$7-SQRT((1-NORMSDIST(I$9*SQRT($C$11)*NORMSINV($B970)+SQRT(1-I$9^2*$C$11)*NORMSINV(H970)))*(I$7-I$5)*(I$7-I$6))))</f>
        <v>198.268440746028</v>
      </c>
      <c r="J970" s="2" t="n">
        <v>0.359761336</v>
      </c>
      <c r="K970" s="2" t="n">
        <f aca="false">IF(K$7=K$5,K$6,IF(NORMSDIST(K$9*SQRT($C$11)*NORMSINV($B970)+SQRT(1-K$9^2*$C$11)*NORMSINV(J970))&lt;K$8,K$5+SQRT(NORMSDIST(K$9*SQRT($C$11)*NORMSINV($B970)+SQRT(1-K$9^2*$C$11)*NORMSINV(J970))*(K$7-K$5)*(K$6-K$5)),K$7-SQRT((1-NORMSDIST(K$9*SQRT($C$11)*NORMSINV($B970)+SQRT(1-K$9^2*$C$11)*NORMSINV(J970)))*(K$7-K$5)*(K$7-K$6))))</f>
        <v>0.262468820615655</v>
      </c>
      <c r="L970" s="2" t="n">
        <v>0.636707598</v>
      </c>
      <c r="M970" s="2" t="n">
        <f aca="false">IF(M$7=M$5,M$6,IF(NORMSDIST(M$9*SQRT($C$11)*NORMSINV($B970)+SQRT(1-M$9^2*$C$11)*NORMSINV(L970))&lt;M$8,M$5+SQRT(NORMSDIST(M$9*SQRT($C$11)*NORMSINV($B970)+SQRT(1-M$9^2*$C$11)*NORMSINV(L970))*(M$7-M$5)*(M$6-M$5)),M$7-SQRT((1-NORMSDIST(M$9*SQRT($C$11)*NORMSINV($B970)+SQRT(1-M$9^2*$C$11)*NORMSINV(L970)))*(M$7-M$5)*(M$7-M$6))))</f>
        <v>1650.53079264427</v>
      </c>
      <c r="N970" s="2" t="n">
        <v>0.59352252</v>
      </c>
      <c r="O970" s="2" t="n">
        <f aca="false">IF(O$7=O$5,O$6,IF(NORMSDIST(O$9*SQRT($C$11)*NORMSINV($B970)+SQRT(1-O$9^2*$C$11)*NORMSINV(N970))&lt;O$8,O$5+SQRT(NORMSDIST(O$9*SQRT($C$11)*NORMSINV($B970)+SQRT(1-O$9^2*$C$11)*NORMSINV(N970))*(O$7-O$5)*(O$6-O$5)),O$7-SQRT((1-NORMSDIST(O$9*SQRT($C$11)*NORMSINV($B970)+SQRT(1-O$9^2*$C$11)*NORMSINV(N970)))*(O$7-O$5)*(O$7-O$6))))</f>
        <v>0.17273836298386</v>
      </c>
      <c r="P970" s="2" t="n">
        <v>0.578157454</v>
      </c>
      <c r="Q970" s="2" t="n">
        <f aca="false">IF(Q$7=Q$5,Q$6,IF(NORMSDIST(Q$9*SQRT($C$11)*NORMSINV($B970)+SQRT(1-Q$9^2*$C$11)*NORMSINV(P970))&lt;Q$8,Q$5+SQRT(NORMSDIST(Q$9*SQRT($C$11)*NORMSINV($B970)+SQRT(1-Q$9^2*$C$11)*NORMSINV(P970))*(Q$7-Q$5)*(Q$6-Q$5)),Q$7-SQRT((1-NORMSDIST(Q$9*SQRT($C$11)*NORMSINV($B970)+SQRT(1-Q$9^2*$C$11)*NORMSINV(P970)))*(Q$7-Q$5)*(Q$7-Q$6))))</f>
        <v>0.0832590671430352</v>
      </c>
      <c r="R970" s="2" t="n">
        <v>0.196952268</v>
      </c>
      <c r="S970" s="2" t="n">
        <f aca="false">IF(S$7=S$5,S$6,IF(NORMSDIST(S$9*SQRT($C$11)*NORMSINV($B970)+SQRT(1-S$9^2*$C$11)*NORMSINV(R970))&lt;S$8,S$5+SQRT(NORMSDIST(S$9*SQRT($C$11)*NORMSINV($B970)+SQRT(1-S$9^2*$C$11)*NORMSINV(R970))*(S$7-S$5)*(S$6-S$5)),S$7-SQRT((1-NORMSDIST(S$9*SQRT($C$11)*NORMSINV($B970)+SQRT(1-S$9^2*$C$11)*NORMSINV(R970)))*(S$7-S$5)*(S$7-S$6))))</f>
        <v>0.445769459372587</v>
      </c>
      <c r="T970" s="2" t="n">
        <v>0.610254836</v>
      </c>
      <c r="U970" s="2" t="n">
        <f aca="false">IF(U$7=U$5,U$6,IF(NORMSDIST(U$9*SQRT($C$11)*NORMSINV($B970)+SQRT(1-U$9^2*$C$11)*NORMSINV(T970))&lt;U$8,U$5+SQRT(NORMSDIST(U$9*SQRT($C$11)*NORMSINV($B970)+SQRT(1-U$9^2*$C$11)*NORMSINV(T970))*(U$7-U$5)*(U$6-U$5)),U$7-SQRT((1-NORMSDIST(U$9*SQRT($C$11)*NORMSINV($B970)+SQRT(1-U$9^2*$C$11)*NORMSINV(T970)))*(U$7-U$5)*(U$7-U$6))))</f>
        <v>0.633571136370624</v>
      </c>
      <c r="V970" s="2" t="n">
        <v>0.171130144</v>
      </c>
      <c r="W970" s="2" t="n">
        <f aca="false">IF(W$7=W$5,W$6,IF(NORMSDIST(W$9*SQRT($C$11)*NORMSINV($B970)+SQRT(1-W$9^2*$C$11)*NORMSINV(V970))&lt;W$8,W$5+SQRT(NORMSDIST(W$9*SQRT($C$11)*NORMSINV($B970)+SQRT(1-W$9^2*$C$11)*NORMSINV(V970))*(W$7-W$5)*(W$6-W$5)),W$7-SQRT((1-NORMSDIST(W$9*SQRT($C$11)*NORMSINV($B970)+SQRT(1-W$9^2*$C$11)*NORMSINV(V970)))*(W$7-W$5)*(W$7-W$6))))</f>
        <v>9.71745488722164</v>
      </c>
      <c r="X970" s="2" t="n">
        <v>0.325859072</v>
      </c>
      <c r="Y970" s="2" t="n">
        <f aca="false">IF(Y$7=Y$5,Y$6,IF(NORMSDIST(Y$9*SQRT($C$11)*NORMSINV($B970)+SQRT(1-Y$9^2*$C$11)*NORMSINV(X970))&lt;Y$8,Y$5+SQRT(NORMSDIST(Y$9*SQRT($C$11)*NORMSINV($B970)+SQRT(1-Y$9^2*$C$11)*NORMSINV(X970))*(Y$7-Y$5)*(Y$6-Y$5)),Y$7-SQRT((1-NORMSDIST(Y$9*SQRT($C$11)*NORMSINV($B970)+SQRT(1-Y$9^2*$C$11)*NORMSINV(X970)))*(Y$7-Y$5)*(Y$7-Y$6))))</f>
        <v>0.403645309646972</v>
      </c>
      <c r="Z970" s="2" t="n">
        <v>0.668911792</v>
      </c>
      <c r="AA970" s="2" t="n">
        <f aca="false">IF(AA$7=AA$5,AA$6,IF(NORMSDIST(AA$9*SQRT($C$11)*NORMSINV($B970)+SQRT(1-AA$9^2*$C$11)*NORMSINV(Z970))&lt;AA$8,AA$5+SQRT(NORMSDIST(AA$9*SQRT($C$11)*NORMSINV($B970)+SQRT(1-AA$9^2*$C$11)*NORMSINV(Z970))*(AA$7-AA$5)*(AA$6-AA$5)),AA$7-SQRT((1-NORMSDIST(AA$9*SQRT($C$11)*NORMSINV($B970)+SQRT(1-AA$9^2*$C$11)*NORMSINV(Z970)))*(AA$7-AA$5)*(AA$7-AA$6))))</f>
        <v>0.736675577853105</v>
      </c>
      <c r="AB970" s="2" t="n">
        <v>0.281030962</v>
      </c>
      <c r="AC970" s="2" t="n">
        <f aca="false">IF(AC$7=AC$5,AC$6,IF(NORMSDIST(AC$9*SQRT($C$11)*NORMSINV($B970)+SQRT(1-AC$9^2*$C$11)*NORMSINV(AB970))&lt;AC$8,AC$5+SQRT(NORMSDIST(AC$9*SQRT($C$11)*NORMSINV($B970)+SQRT(1-AC$9^2*$C$11)*NORMSINV(AB970))*(AC$7-AC$5)*(AC$6-AC$5)),AC$7-SQRT((1-NORMSDIST(AC$9*SQRT($C$11)*NORMSINV($B970)+SQRT(1-AC$9^2*$C$11)*NORMSINV(AB970)))*(AC$7-AC$5)*(AC$7-AC$6))))</f>
        <v>9.43766447607976</v>
      </c>
      <c r="AD970" s="2" t="n">
        <f aca="false">Entrées!$C$8*(1+E970)</f>
        <v>7431.35659659614</v>
      </c>
      <c r="AE970" s="2" t="n">
        <f aca="false">I970*Hypothèses!$J$24/12/Hypothèses!$J$19</f>
        <v>98.3603388712733</v>
      </c>
      <c r="AF970" s="2" t="n">
        <f aca="false">Entrées!$C$36*S970*1000</f>
        <v>222.884729686293</v>
      </c>
      <c r="AG970" s="2" t="n">
        <f aca="false">-AF970/W970</f>
        <v>-22.9365335134599</v>
      </c>
      <c r="AH970" s="2" t="n">
        <f aca="false">AD970+AE970+AG970</f>
        <v>7506.78040195395</v>
      </c>
      <c r="AI970" s="2" t="n">
        <f aca="false">Entrées!$C$16-M970+Hypothèses!$J$22*1000-AF970+Hypothèses!$J$23</f>
        <v>22674.5844776694</v>
      </c>
      <c r="AJ970" s="2" t="n">
        <f aca="false">AI970/AH970</f>
        <v>3.02054719380994</v>
      </c>
      <c r="AK970" s="2" t="n">
        <f aca="false">AI970/(AH970+I970*(12-Hypothèses!$J$24)/12/Hypothèses!$J$19)</f>
        <v>2.99253944819774</v>
      </c>
      <c r="AL970" s="2" t="n">
        <f aca="false">(AD970+AG970+I970/Hypothèses!$J$19)*(1+G970)</f>
        <v>8093.57719892658</v>
      </c>
      <c r="AM970" s="2" t="n">
        <f aca="false">Entrées!$C$54*K970/Hypothèses!$J$19</f>
        <v>26.7860451791902</v>
      </c>
      <c r="AN970" s="2" t="n">
        <f aca="false">Y970*1000/AC970</f>
        <v>42.7696185502284</v>
      </c>
      <c r="AO970" s="2" t="n">
        <f aca="false">(Entrées!$C$36*(1-S970)+MAX(0,Entrées!$C$30-Entrées!$C$35-Entrées!$C$36)*U970)*1000</f>
        <v>1164.11486123258</v>
      </c>
      <c r="AP970" s="2" t="n">
        <f aca="false">-AO970/W970</f>
        <v>-119.796271219471</v>
      </c>
      <c r="AQ970" s="2" t="n">
        <f aca="false">AL970+AM970+AN970+AP970</f>
        <v>8043.33659143653</v>
      </c>
      <c r="AR970" s="2" t="n">
        <f aca="false">O970*AQ970-Hypothèses!$J$25/Hypothèses!$J$19</f>
        <v>1370.2576334713</v>
      </c>
      <c r="AS970" s="2" t="n">
        <f aca="false">Entrées!$C$79*(1+Q970)+Hypothèses!$J$20</f>
        <v>1485.5017147902</v>
      </c>
      <c r="AT970" s="2" t="n">
        <f aca="false">AI970-AR970+AS970+Y970*1000-AO970+Hypothèses!$J$23</f>
        <v>22029.3590074027</v>
      </c>
      <c r="AU970" s="2" t="n">
        <f aca="false">AT970/AQ970</f>
        <v>2.73883341284718</v>
      </c>
      <c r="AV970" s="2" t="n">
        <f aca="false">Hypothèses!$J$26*AQ970-AT970</f>
        <v>2100.65076690687</v>
      </c>
      <c r="AW970" s="2" t="n">
        <f aca="false">IF(AC970&gt;Hypothèses!$J$26,MAX(0,AV970)/(1-Hypothèses!$J$26/AC970),0)</f>
        <v>3079.5698025504</v>
      </c>
      <c r="AX970" s="2" t="n">
        <f aca="false">AQ970-Entrées!$C$17*1000</f>
        <v>43.3365914365277</v>
      </c>
      <c r="AY970" s="2" t="n">
        <f aca="false">AI970+(Entrées!$C$244-Entrées!$C$13)</f>
        <v>28421.5844776694</v>
      </c>
      <c r="AZ970" s="2" t="n">
        <f aca="false">AA970*AH970</f>
        <v>5530.06179042579</v>
      </c>
      <c r="BA970" s="2" t="n">
        <f aca="false">AZ970/AY970</f>
        <v>0.194572607124374</v>
      </c>
      <c r="BB970" s="2" t="n">
        <f aca="false">AZ970/(Entrées!$C$151/100)-AY970</f>
        <v>2300.98102469607</v>
      </c>
      <c r="BC970" s="2" t="n">
        <f aca="false">AT970+(Entrées!$C$244-Entrées!$C$13)</f>
        <v>27776.3590074027</v>
      </c>
      <c r="BD970" s="2" t="n">
        <f aca="false">AA970*AQ970</f>
        <v>5925.32963136353</v>
      </c>
      <c r="BE970" s="2" t="n">
        <f aca="false">BD970/BC970</f>
        <v>0.213322762345646</v>
      </c>
      <c r="BF970" s="2" t="n">
        <f aca="false">BD970/(Entrées!$C$151/100)-BC970</f>
        <v>5142.13894461688</v>
      </c>
      <c r="BG970" s="2" t="n">
        <f aca="false">MIN(AV970,BF970)</f>
        <v>2100.65076690687</v>
      </c>
      <c r="BH970" s="2" t="n">
        <f aca="false">IF(AC970&gt;Hypothèses!$J$26,MAX(0,BG970)/(1-Hypothèses!$J$26/AC970),0)</f>
        <v>3079.5698025504</v>
      </c>
    </row>
    <row r="971" customFormat="false" ht="15" hidden="false" customHeight="false" outlineLevel="0" collapsed="false">
      <c r="A971" s="2" t="n">
        <v>956</v>
      </c>
      <c r="B971" s="2" t="n">
        <v>0.954859672</v>
      </c>
      <c r="C971" s="2"/>
      <c r="D971" s="2" t="n">
        <v>0.609603591</v>
      </c>
      <c r="E971" s="2" t="n">
        <f aca="false">IF(E$7=E$5,E$6,IF(NORMSDIST(E$9*SQRT($C$11)*NORMSINV($B971)+SQRT(1-E$9^2*$C$11)*NORMSINV(D971))&lt;E$8,E$5+SQRT(NORMSDIST(E$9*SQRT($C$11)*NORMSINV($B971)+SQRT(1-E$9^2*$C$11)*NORMSINV(D971))*(E$7-E$5)*(E$6-E$5)),E$7-SQRT((1-NORMSDIST(E$9*SQRT($C$11)*NORMSINV($B971)+SQRT(1-E$9^2*$C$11)*NORMSINV(D971)))*(E$7-E$5)*(E$7-E$6))))</f>
        <v>0.0577743913432115</v>
      </c>
      <c r="F971" s="2" t="n">
        <v>0.723450593</v>
      </c>
      <c r="G971" s="2" t="n">
        <f aca="false">IF(G$7=G$5,G$6,IF(NORMSDIST(G$9*SQRT($C$11)*NORMSINV($B971)+SQRT(1-G$9^2*$C$11)*NORMSINV(F971))&lt;G$8,G$5+SQRT(NORMSDIST(G$9*SQRT($C$11)*NORMSINV($B971)+SQRT(1-G$9^2*$C$11)*NORMSINV(F971))*(G$7-G$5)*(G$6-G$5)),G$7-SQRT((1-NORMSDIST(G$9*SQRT($C$11)*NORMSINV($B971)+SQRT(1-G$9^2*$C$11)*NORMSINV(F971)))*(G$7-G$5)*(G$7-G$6))))</f>
        <v>0.0646791465089651</v>
      </c>
      <c r="H971" s="2" t="n">
        <v>0.382286787</v>
      </c>
      <c r="I971" s="2" t="n">
        <f aca="false">IF(I$7=I$5,I$6,IF(NORMSDIST(I$9*SQRT($C$11)*NORMSINV($B971)+SQRT(1-I$9^2*$C$11)*NORMSINV(H971))&lt;I$8,I$5+SQRT(NORMSDIST(I$9*SQRT($C$11)*NORMSINV($B971)+SQRT(1-I$9^2*$C$11)*NORMSINV(H971))*(I$7-I$5)*(I$6-I$5)),I$7-SQRT((1-NORMSDIST(I$9*SQRT($C$11)*NORMSINV($B971)+SQRT(1-I$9^2*$C$11)*NORMSINV(H971)))*(I$7-I$5)*(I$7-I$6))))</f>
        <v>207.330796562511</v>
      </c>
      <c r="J971" s="2" t="n">
        <v>0.415875211</v>
      </c>
      <c r="K971" s="2" t="n">
        <f aca="false">IF(K$7=K$5,K$6,IF(NORMSDIST(K$9*SQRT($C$11)*NORMSINV($B971)+SQRT(1-K$9^2*$C$11)*NORMSINV(J971))&lt;K$8,K$5+SQRT(NORMSDIST(K$9*SQRT($C$11)*NORMSINV($B971)+SQRT(1-K$9^2*$C$11)*NORMSINV(J971))*(K$7-K$5)*(K$6-K$5)),K$7-SQRT((1-NORMSDIST(K$9*SQRT($C$11)*NORMSINV($B971)+SQRT(1-K$9^2*$C$11)*NORMSINV(J971)))*(K$7-K$5)*(K$7-K$6))))</f>
        <v>0.349058420676554</v>
      </c>
      <c r="L971" s="2" t="n">
        <v>0.190791551</v>
      </c>
      <c r="M971" s="2" t="n">
        <f aca="false">IF(M$7=M$5,M$6,IF(NORMSDIST(M$9*SQRT($C$11)*NORMSINV($B971)+SQRT(1-M$9^2*$C$11)*NORMSINV(L971))&lt;M$8,M$5+SQRT(NORMSDIST(M$9*SQRT($C$11)*NORMSINV($B971)+SQRT(1-M$9^2*$C$11)*NORMSINV(L971))*(M$7-M$5)*(M$6-M$5)),M$7-SQRT((1-NORMSDIST(M$9*SQRT($C$11)*NORMSINV($B971)+SQRT(1-M$9^2*$C$11)*NORMSINV(L971)))*(M$7-M$5)*(M$7-M$6))))</f>
        <v>1625.65573885665</v>
      </c>
      <c r="N971" s="2" t="n">
        <v>0.919986448</v>
      </c>
      <c r="O971" s="2" t="n">
        <f aca="false">IF(O$7=O$5,O$6,IF(NORMSDIST(O$9*SQRT($C$11)*NORMSINV($B971)+SQRT(1-O$9^2*$C$11)*NORMSINV(N971))&lt;O$8,O$5+SQRT(NORMSDIST(O$9*SQRT($C$11)*NORMSINV($B971)+SQRT(1-O$9^2*$C$11)*NORMSINV(N971))*(O$7-O$5)*(O$6-O$5)),O$7-SQRT((1-NORMSDIST(O$9*SQRT($C$11)*NORMSINV($B971)+SQRT(1-O$9^2*$C$11)*NORMSINV(N971)))*(O$7-O$5)*(O$7-O$6))))</f>
        <v>0.185949710017203</v>
      </c>
      <c r="P971" s="2" t="n">
        <v>0.838734161</v>
      </c>
      <c r="Q971" s="2" t="n">
        <f aca="false">IF(Q$7=Q$5,Q$6,IF(NORMSDIST(Q$9*SQRT($C$11)*NORMSINV($B971)+SQRT(1-Q$9^2*$C$11)*NORMSINV(P971))&lt;Q$8,Q$5+SQRT(NORMSDIST(Q$9*SQRT($C$11)*NORMSINV($B971)+SQRT(1-Q$9^2*$C$11)*NORMSINV(P971))*(Q$7-Q$5)*(Q$6-Q$5)),Q$7-SQRT((1-NORMSDIST(Q$9*SQRT($C$11)*NORMSINV($B971)+SQRT(1-Q$9^2*$C$11)*NORMSINV(P971)))*(Q$7-Q$5)*(Q$7-Q$6))))</f>
        <v>0.0972832510072414</v>
      </c>
      <c r="R971" s="2" t="n">
        <v>0.993166531</v>
      </c>
      <c r="S971" s="2" t="n">
        <f aca="false">IF(S$7=S$5,S$6,IF(NORMSDIST(S$9*SQRT($C$11)*NORMSINV($B971)+SQRT(1-S$9^2*$C$11)*NORMSINV(R971))&lt;S$8,S$5+SQRT(NORMSDIST(S$9*SQRT($C$11)*NORMSINV($B971)+SQRT(1-S$9^2*$C$11)*NORMSINV(R971))*(S$7-S$5)*(S$6-S$5)),S$7-SQRT((1-NORMSDIST(S$9*SQRT($C$11)*NORMSINV($B971)+SQRT(1-S$9^2*$C$11)*NORMSINV(R971)))*(S$7-S$5)*(S$7-S$6))))</f>
        <v>0.973217192434417</v>
      </c>
      <c r="T971" s="2" t="n">
        <v>0.487193617</v>
      </c>
      <c r="U971" s="2" t="n">
        <f aca="false">IF(U$7=U$5,U$6,IF(NORMSDIST(U$9*SQRT($C$11)*NORMSINV($B971)+SQRT(1-U$9^2*$C$11)*NORMSINV(T971))&lt;U$8,U$5+SQRT(NORMSDIST(U$9*SQRT($C$11)*NORMSINV($B971)+SQRT(1-U$9^2*$C$11)*NORMSINV(T971))*(U$7-U$5)*(U$6-U$5)),U$7-SQRT((1-NORMSDIST(U$9*SQRT($C$11)*NORMSINV($B971)+SQRT(1-U$9^2*$C$11)*NORMSINV(T971)))*(U$7-U$5)*(U$7-U$6))))</f>
        <v>0.728269825796679</v>
      </c>
      <c r="V971" s="2" t="n">
        <v>0.216702218</v>
      </c>
      <c r="W971" s="2" t="n">
        <f aca="false">IF(W$7=W$5,W$6,IF(NORMSDIST(W$9*SQRT($C$11)*NORMSINV($B971)+SQRT(1-W$9^2*$C$11)*NORMSINV(V971))&lt;W$8,W$5+SQRT(NORMSDIST(W$9*SQRT($C$11)*NORMSINV($B971)+SQRT(1-W$9^2*$C$11)*NORMSINV(V971))*(W$7-W$5)*(W$6-W$5)),W$7-SQRT((1-NORMSDIST(W$9*SQRT($C$11)*NORMSINV($B971)+SQRT(1-W$9^2*$C$11)*NORMSINV(V971)))*(W$7-W$5)*(W$7-W$6))))</f>
        <v>10.3971634404992</v>
      </c>
      <c r="X971" s="2" t="n">
        <v>0.750111847</v>
      </c>
      <c r="Y971" s="2" t="n">
        <f aca="false">IF(Y$7=Y$5,Y$6,IF(NORMSDIST(Y$9*SQRT($C$11)*NORMSINV($B971)+SQRT(1-Y$9^2*$C$11)*NORMSINV(X971))&lt;Y$8,Y$5+SQRT(NORMSDIST(Y$9*SQRT($C$11)*NORMSINV($B971)+SQRT(1-Y$9^2*$C$11)*NORMSINV(X971))*(Y$7-Y$5)*(Y$6-Y$5)),Y$7-SQRT((1-NORMSDIST(Y$9*SQRT($C$11)*NORMSINV($B971)+SQRT(1-Y$9^2*$C$11)*NORMSINV(X971)))*(Y$7-Y$5)*(Y$7-Y$6))))</f>
        <v>0.646525706026591</v>
      </c>
      <c r="Z971" s="2" t="n">
        <v>0.919977536</v>
      </c>
      <c r="AA971" s="2" t="n">
        <f aca="false">IF(AA$7=AA$5,AA$6,IF(NORMSDIST(AA$9*SQRT($C$11)*NORMSINV($B971)+SQRT(1-AA$9^2*$C$11)*NORMSINV(Z971))&lt;AA$8,AA$5+SQRT(NORMSDIST(AA$9*SQRT($C$11)*NORMSINV($B971)+SQRT(1-AA$9^2*$C$11)*NORMSINV(Z971))*(AA$7-AA$5)*(AA$6-AA$5)),AA$7-SQRT((1-NORMSDIST(AA$9*SQRT($C$11)*NORMSINV($B971)+SQRT(1-AA$9^2*$C$11)*NORMSINV(Z971)))*(AA$7-AA$5)*(AA$7-AA$6))))</f>
        <v>0.749422280932485</v>
      </c>
      <c r="AB971" s="2" t="n">
        <v>0.610184893</v>
      </c>
      <c r="AC971" s="2" t="n">
        <f aca="false">IF(AC$7=AC$5,AC$6,IF(NORMSDIST(AC$9*SQRT($C$11)*NORMSINV($B971)+SQRT(1-AC$9^2*$C$11)*NORMSINV(AB971))&lt;AC$8,AC$5+SQRT(NORMSDIST(AC$9*SQRT($C$11)*NORMSINV($B971)+SQRT(1-AC$9^2*$C$11)*NORMSINV(AB971))*(AC$7-AC$5)*(AC$6-AC$5)),AC$7-SQRT((1-NORMSDIST(AC$9*SQRT($C$11)*NORMSINV($B971)+SQRT(1-AC$9^2*$C$11)*NORMSINV(AB971)))*(AC$7-AC$5)*(AC$7-AC$6))))</f>
        <v>10.3464825063258</v>
      </c>
      <c r="AD971" s="2" t="n">
        <f aca="false">Entrées!$C$8*(1+E971)</f>
        <v>7457.30945896964</v>
      </c>
      <c r="AE971" s="2" t="n">
        <f aca="false">I971*Hypothèses!$J$24/12/Hypothèses!$J$19</f>
        <v>102.856144586632</v>
      </c>
      <c r="AF971" s="2" t="n">
        <f aca="false">Entrées!$C$36*S971*1000</f>
        <v>486.608596217209</v>
      </c>
      <c r="AG971" s="2" t="n">
        <f aca="false">-AF971/W971</f>
        <v>-46.8020531755576</v>
      </c>
      <c r="AH971" s="2" t="n">
        <f aca="false">AD971+AE971+AG971</f>
        <v>7513.36355038072</v>
      </c>
      <c r="AI971" s="2" t="n">
        <f aca="false">Entrées!$C$16-M971+Hypothèses!$J$22*1000-AF971+Hypothèses!$J$23</f>
        <v>22435.7356649261</v>
      </c>
      <c r="AJ971" s="2" t="n">
        <f aca="false">AI971/AH971</f>
        <v>2.98611074979718</v>
      </c>
      <c r="AK971" s="2" t="n">
        <f aca="false">AI971/(AH971+I971*(12-Hypothèses!$J$24)/12/Hypothèses!$J$19)</f>
        <v>2.9571941225672</v>
      </c>
      <c r="AL971" s="2" t="n">
        <f aca="false">(AD971+AG971+I971/Hypothèses!$J$19)*(1+G971)</f>
        <v>8077.5420581107</v>
      </c>
      <c r="AM971" s="2" t="n">
        <f aca="false">Entrées!$C$54*K971/Hypothèses!$J$19</f>
        <v>35.6228774316413</v>
      </c>
      <c r="AN971" s="2" t="n">
        <f aca="false">Y971*1000/AC971</f>
        <v>62.4874884417299</v>
      </c>
      <c r="AO971" s="2" t="n">
        <f aca="false">(Entrées!$C$36*(1-S971)+MAX(0,Entrées!$C$30-Entrées!$C$35-Entrées!$C$36)*U971)*1000</f>
        <v>1032.96915989814</v>
      </c>
      <c r="AP971" s="2" t="n">
        <f aca="false">-AO971/W971</f>
        <v>-99.351055295957</v>
      </c>
      <c r="AQ971" s="2" t="n">
        <f aca="false">AL971+AM971+AN971+AP971</f>
        <v>8076.30136868811</v>
      </c>
      <c r="AR971" s="2" t="n">
        <f aca="false">O971*AQ971-Hypothèses!$J$25/Hypothèses!$J$19</f>
        <v>1482.65073525747</v>
      </c>
      <c r="AS971" s="2" t="n">
        <f aca="false">Entrées!$C$79*(1+Q971)+Hypothèses!$J$20</f>
        <v>1500.91429285696</v>
      </c>
      <c r="AT971" s="2" t="n">
        <f aca="false">AI971-AR971+AS971+Y971*1000-AO971+Hypothèses!$J$23</f>
        <v>22067.5557686541</v>
      </c>
      <c r="AU971" s="2" t="n">
        <f aca="false">AT971/AQ971</f>
        <v>2.73238389223688</v>
      </c>
      <c r="AV971" s="2" t="n">
        <f aca="false">Hypothèses!$J$26*AQ971-AT971</f>
        <v>2161.34833741024</v>
      </c>
      <c r="AW971" s="2" t="n">
        <f aca="false">IF(AC971&gt;Hypothèses!$J$26,MAX(0,AV971)/(1-Hypothèses!$J$26/AC971),0)</f>
        <v>3043.95372123135</v>
      </c>
      <c r="AX971" s="2" t="n">
        <f aca="false">AQ971-Entrées!$C$17*1000</f>
        <v>76.3013686881086</v>
      </c>
      <c r="AY971" s="2" t="n">
        <f aca="false">AI971+(Entrées!$C$244-Entrées!$C$13)</f>
        <v>28182.7356649261</v>
      </c>
      <c r="AZ971" s="2" t="n">
        <f aca="false">AA971*AH971</f>
        <v>5630.68204940131</v>
      </c>
      <c r="BA971" s="2" t="n">
        <f aca="false">AZ971/AY971</f>
        <v>0.199791890906062</v>
      </c>
      <c r="BB971" s="2" t="n">
        <f aca="false">AZ971/(Entrées!$C$151/100)-AY971</f>
        <v>3098.83127619225</v>
      </c>
      <c r="BC971" s="2" t="n">
        <f aca="false">AT971+(Entrées!$C$244-Entrées!$C$13)</f>
        <v>27814.5557686541</v>
      </c>
      <c r="BD971" s="2" t="n">
        <f aca="false">AA971*AQ971</f>
        <v>6052.56019322039</v>
      </c>
      <c r="BE971" s="2" t="n">
        <f aca="false">BD971/BC971</f>
        <v>0.217604057514425</v>
      </c>
      <c r="BF971" s="2" t="n">
        <f aca="false">BD971/(Entrées!$C$151/100)-BC971</f>
        <v>5810.77863812587</v>
      </c>
      <c r="BG971" s="2" t="n">
        <f aca="false">MIN(AV971,BF971)</f>
        <v>2161.34833741024</v>
      </c>
      <c r="BH971" s="2" t="n">
        <f aca="false">IF(AC971&gt;Hypothèses!$J$26,MAX(0,BG971)/(1-Hypothèses!$J$26/AC971),0)</f>
        <v>3043.95372123135</v>
      </c>
    </row>
    <row r="972" customFormat="false" ht="15" hidden="false" customHeight="false" outlineLevel="0" collapsed="false">
      <c r="A972" s="2" t="n">
        <v>957</v>
      </c>
      <c r="B972" s="2" t="n">
        <v>0.309598103</v>
      </c>
      <c r="C972" s="2"/>
      <c r="D972" s="2" t="n">
        <v>0.194597895</v>
      </c>
      <c r="E972" s="2" t="n">
        <f aca="false">IF(E$7=E$5,E$6,IF(NORMSDIST(E$9*SQRT($C$11)*NORMSINV($B972)+SQRT(1-E$9^2*$C$11)*NORMSINV(D972))&lt;E$8,E$5+SQRT(NORMSDIST(E$9*SQRT($C$11)*NORMSINV($B972)+SQRT(1-E$9^2*$C$11)*NORMSINV(D972))*(E$7-E$5)*(E$6-E$5)),E$7-SQRT((1-NORMSDIST(E$9*SQRT($C$11)*NORMSINV($B972)+SQRT(1-E$9^2*$C$11)*NORMSINV(D972)))*(E$7-E$5)*(E$7-E$6))))</f>
        <v>0.0528567434691452</v>
      </c>
      <c r="F972" s="2" t="n">
        <v>0.621364455</v>
      </c>
      <c r="G972" s="2" t="n">
        <f aca="false">IF(G$7=G$5,G$6,IF(NORMSDIST(G$9*SQRT($C$11)*NORMSINV($B972)+SQRT(1-G$9^2*$C$11)*NORMSINV(F972))&lt;G$8,G$5+SQRT(NORMSDIST(G$9*SQRT($C$11)*NORMSINV($B972)+SQRT(1-G$9^2*$C$11)*NORMSINV(F972))*(G$7-G$5)*(G$6-G$5)),G$7-SQRT((1-NORMSDIST(G$9*SQRT($C$11)*NORMSINV($B972)+SQRT(1-G$9^2*$C$11)*NORMSINV(F972)))*(G$7-G$5)*(G$7-G$6))))</f>
        <v>0.0545451788779964</v>
      </c>
      <c r="H972" s="2" t="n">
        <v>0.024097889</v>
      </c>
      <c r="I972" s="2" t="n">
        <f aca="false">IF(I$7=I$5,I$6,IF(NORMSDIST(I$9*SQRT($C$11)*NORMSINV($B972)+SQRT(1-I$9^2*$C$11)*NORMSINV(H972))&lt;I$8,I$5+SQRT(NORMSDIST(I$9*SQRT($C$11)*NORMSINV($B972)+SQRT(1-I$9^2*$C$11)*NORMSINV(H972))*(I$7-I$5)*(I$6-I$5)),I$7-SQRT((1-NORMSDIST(I$9*SQRT($C$11)*NORMSINV($B972)+SQRT(1-I$9^2*$C$11)*NORMSINV(H972)))*(I$7-I$5)*(I$7-I$6))))</f>
        <v>185.102507244274</v>
      </c>
      <c r="J972" s="2" t="n">
        <v>0.452459664</v>
      </c>
      <c r="K972" s="2" t="n">
        <f aca="false">IF(K$7=K$5,K$6,IF(NORMSDIST(K$9*SQRT($C$11)*NORMSINV($B972)+SQRT(1-K$9^2*$C$11)*NORMSINV(J972))&lt;K$8,K$5+SQRT(NORMSDIST(K$9*SQRT($C$11)*NORMSINV($B972)+SQRT(1-K$9^2*$C$11)*NORMSINV(J972))*(K$7-K$5)*(K$6-K$5)),K$7-SQRT((1-NORMSDIST(K$9*SQRT($C$11)*NORMSINV($B972)+SQRT(1-K$9^2*$C$11)*NORMSINV(J972)))*(K$7-K$5)*(K$7-K$6))))</f>
        <v>0.206778690706322</v>
      </c>
      <c r="L972" s="2" t="n">
        <v>0.62507367</v>
      </c>
      <c r="M972" s="2" t="n">
        <f aca="false">IF(M$7=M$5,M$6,IF(NORMSDIST(M$9*SQRT($C$11)*NORMSINV($B972)+SQRT(1-M$9^2*$C$11)*NORMSINV(L972))&lt;M$8,M$5+SQRT(NORMSDIST(M$9*SQRT($C$11)*NORMSINV($B972)+SQRT(1-M$9^2*$C$11)*NORMSINV(L972))*(M$7-M$5)*(M$6-M$5)),M$7-SQRT((1-NORMSDIST(M$9*SQRT($C$11)*NORMSINV($B972)+SQRT(1-M$9^2*$C$11)*NORMSINV(L972)))*(M$7-M$5)*(M$7-M$6))))</f>
        <v>1577.67048490346</v>
      </c>
      <c r="N972" s="2" t="n">
        <v>0.212077984</v>
      </c>
      <c r="O972" s="2" t="n">
        <f aca="false">IF(O$7=O$5,O$6,IF(NORMSDIST(O$9*SQRT($C$11)*NORMSINV($B972)+SQRT(1-O$9^2*$C$11)*NORMSINV(N972))&lt;O$8,O$5+SQRT(NORMSDIST(O$9*SQRT($C$11)*NORMSINV($B972)+SQRT(1-O$9^2*$C$11)*NORMSINV(N972))*(O$7-O$5)*(O$6-O$5)),O$7-SQRT((1-NORMSDIST(O$9*SQRT($C$11)*NORMSINV($B972)+SQRT(1-O$9^2*$C$11)*NORMSINV(N972)))*(O$7-O$5)*(O$7-O$6))))</f>
        <v>0.155859727585003</v>
      </c>
      <c r="P972" s="2" t="n">
        <v>0.406335679</v>
      </c>
      <c r="Q972" s="2" t="n">
        <f aca="false">IF(Q$7=Q$5,Q$6,IF(NORMSDIST(Q$9*SQRT($C$11)*NORMSINV($B972)+SQRT(1-Q$9^2*$C$11)*NORMSINV(P972))&lt;Q$8,Q$5+SQRT(NORMSDIST(Q$9*SQRT($C$11)*NORMSINV($B972)+SQRT(1-Q$9^2*$C$11)*NORMSINV(P972))*(Q$7-Q$5)*(Q$6-Q$5)),Q$7-SQRT((1-NORMSDIST(Q$9*SQRT($C$11)*NORMSINV($B972)+SQRT(1-Q$9^2*$C$11)*NORMSINV(P972)))*(Q$7-Q$5)*(Q$7-Q$6))))</f>
        <v>0.0760593146468426</v>
      </c>
      <c r="R972" s="2" t="n">
        <v>0.949811955</v>
      </c>
      <c r="S972" s="2" t="n">
        <f aca="false">IF(S$7=S$5,S$6,IF(NORMSDIST(S$9*SQRT($C$11)*NORMSINV($B972)+SQRT(1-S$9^2*$C$11)*NORMSINV(R972))&lt;S$8,S$5+SQRT(NORMSDIST(S$9*SQRT($C$11)*NORMSINV($B972)+SQRT(1-S$9^2*$C$11)*NORMSINV(R972))*(S$7-S$5)*(S$6-S$5)),S$7-SQRT((1-NORMSDIST(S$9*SQRT($C$11)*NORMSINV($B972)+SQRT(1-S$9^2*$C$11)*NORMSINV(R972)))*(S$7-S$5)*(S$7-S$6))))</f>
        <v>0.709363087689884</v>
      </c>
      <c r="T972" s="2" t="n">
        <v>0.479080059</v>
      </c>
      <c r="U972" s="2" t="n">
        <f aca="false">IF(U$7=U$5,U$6,IF(NORMSDIST(U$9*SQRT($C$11)*NORMSINV($B972)+SQRT(1-U$9^2*$C$11)*NORMSINV(T972))&lt;U$8,U$5+SQRT(NORMSDIST(U$9*SQRT($C$11)*NORMSINV($B972)+SQRT(1-U$9^2*$C$11)*NORMSINV(T972))*(U$7-U$5)*(U$6-U$5)),U$7-SQRT((1-NORMSDIST(U$9*SQRT($C$11)*NORMSINV($B972)+SQRT(1-U$9^2*$C$11)*NORMSINV(T972)))*(U$7-U$5)*(U$7-U$6))))</f>
        <v>0.425034872732105</v>
      </c>
      <c r="V972" s="2" t="n">
        <v>0.577293775</v>
      </c>
      <c r="W972" s="2" t="n">
        <f aca="false">IF(W$7=W$5,W$6,IF(NORMSDIST(W$9*SQRT($C$11)*NORMSINV($B972)+SQRT(1-W$9^2*$C$11)*NORMSINV(V972))&lt;W$8,W$5+SQRT(NORMSDIST(W$9*SQRT($C$11)*NORMSINV($B972)+SQRT(1-W$9^2*$C$11)*NORMSINV(V972))*(W$7-W$5)*(W$6-W$5)),W$7-SQRT((1-NORMSDIST(W$9*SQRT($C$11)*NORMSINV($B972)+SQRT(1-W$9^2*$C$11)*NORMSINV(V972)))*(W$7-W$5)*(W$7-W$6))))</f>
        <v>9.86578096463982</v>
      </c>
      <c r="X972" s="2" t="n">
        <v>0.195228632</v>
      </c>
      <c r="Y972" s="2" t="n">
        <f aca="false">IF(Y$7=Y$5,Y$6,IF(NORMSDIST(Y$9*SQRT($C$11)*NORMSINV($B972)+SQRT(1-Y$9^2*$C$11)*NORMSINV(X972))&lt;Y$8,Y$5+SQRT(NORMSDIST(Y$9*SQRT($C$11)*NORMSINV($B972)+SQRT(1-Y$9^2*$C$11)*NORMSINV(X972))*(Y$7-Y$5)*(Y$6-Y$5)),Y$7-SQRT((1-NORMSDIST(Y$9*SQRT($C$11)*NORMSINV($B972)+SQRT(1-Y$9^2*$C$11)*NORMSINV(X972)))*(Y$7-Y$5)*(Y$7-Y$6))))</f>
        <v>0.3124328983958</v>
      </c>
      <c r="Z972" s="2" t="n">
        <v>0.747931102</v>
      </c>
      <c r="AA972" s="2" t="n">
        <f aca="false">IF(AA$7=AA$5,AA$6,IF(NORMSDIST(AA$9*SQRT($C$11)*NORMSINV($B972)+SQRT(1-AA$9^2*$C$11)*NORMSINV(Z972))&lt;AA$8,AA$5+SQRT(NORMSDIST(AA$9*SQRT($C$11)*NORMSINV($B972)+SQRT(1-AA$9^2*$C$11)*NORMSINV(Z972))*(AA$7-AA$5)*(AA$6-AA$5)),AA$7-SQRT((1-NORMSDIST(AA$9*SQRT($C$11)*NORMSINV($B972)+SQRT(1-AA$9^2*$C$11)*NORMSINV(Z972)))*(AA$7-AA$5)*(AA$7-AA$6))))</f>
        <v>0.730587184750695</v>
      </c>
      <c r="AB972" s="2" t="n">
        <v>0.498221653</v>
      </c>
      <c r="AC972" s="2" t="n">
        <f aca="false">IF(AC$7=AC$5,AC$6,IF(NORMSDIST(AC$9*SQRT($C$11)*NORMSINV($B972)+SQRT(1-AC$9^2*$C$11)*NORMSINV(AB972))&lt;AC$8,AC$5+SQRT(NORMSDIST(AC$9*SQRT($C$11)*NORMSINV($B972)+SQRT(1-AC$9^2*$C$11)*NORMSINV(AB972))*(AC$7-AC$5)*(AC$6-AC$5)),AC$7-SQRT((1-NORMSDIST(AC$9*SQRT($C$11)*NORMSINV($B972)+SQRT(1-AC$9^2*$C$11)*NORMSINV(AB972)))*(AC$7-AC$5)*(AC$7-AC$6))))</f>
        <v>9.20078485738956</v>
      </c>
      <c r="AD972" s="2" t="n">
        <f aca="false">Entrées!$C$8*(1+E972)</f>
        <v>7422.64004145747</v>
      </c>
      <c r="AE972" s="2" t="n">
        <f aca="false">I972*Hypothèses!$J$24/12/Hypothèses!$J$19</f>
        <v>91.8287614002624</v>
      </c>
      <c r="AF972" s="2" t="n">
        <f aca="false">Entrées!$C$36*S972*1000</f>
        <v>354.681543844942</v>
      </c>
      <c r="AG972" s="2" t="n">
        <f aca="false">-AF972/W972</f>
        <v>-35.9506809563445</v>
      </c>
      <c r="AH972" s="2" t="n">
        <f aca="false">AD972+AE972+AG972</f>
        <v>7478.51812190139</v>
      </c>
      <c r="AI972" s="2" t="n">
        <f aca="false">Entrées!$C$16-M972+Hypothèses!$J$22*1000-AF972+Hypothèses!$J$23</f>
        <v>22615.6479712516</v>
      </c>
      <c r="AJ972" s="2" t="n">
        <f aca="false">AI972/AH972</f>
        <v>3.02408145606013</v>
      </c>
      <c r="AK972" s="2" t="n">
        <f aca="false">AI972/(AH972+I972*(12-Hypothèses!$J$24)/12/Hypothèses!$J$19)</f>
        <v>2.99778869720481</v>
      </c>
      <c r="AL972" s="2" t="n">
        <f aca="false">(AD972+AG972+I972/Hypothèses!$J$19)*(1+G972)</f>
        <v>7955.60492890069</v>
      </c>
      <c r="AM972" s="2" t="n">
        <f aca="false">Entrées!$C$54*K972/Hypothèses!$J$19</f>
        <v>21.1026335941976</v>
      </c>
      <c r="AN972" s="2" t="n">
        <f aca="false">Y972*1000/AC972</f>
        <v>33.9572007430291</v>
      </c>
      <c r="AO972" s="2" t="n">
        <f aca="false">(Entrées!$C$36*(1-S972)+MAX(0,Entrées!$C$30-Entrées!$C$35-Entrées!$C$36)*U972)*1000</f>
        <v>740.367277980005</v>
      </c>
      <c r="AP972" s="2" t="n">
        <f aca="false">-AO972/W972</f>
        <v>-75.0439605981091</v>
      </c>
      <c r="AQ972" s="2" t="n">
        <f aca="false">AL972+AM972+AN972+AP972</f>
        <v>7935.6208026398</v>
      </c>
      <c r="AR972" s="2" t="n">
        <f aca="false">O972*AQ972-Hypothèses!$J$25/Hypothèses!$J$19</f>
        <v>1217.70853425569</v>
      </c>
      <c r="AS972" s="2" t="n">
        <f aca="false">Entrées!$C$79*(1+Q972)+Hypothèses!$J$20</f>
        <v>1477.58918679688</v>
      </c>
      <c r="AT972" s="2" t="n">
        <f aca="false">AI972-AR972+AS972+Y972*1000-AO972+Hypothèses!$J$23</f>
        <v>22447.5942442086</v>
      </c>
      <c r="AU972" s="2" t="n">
        <f aca="false">AT972/AQ972</f>
        <v>2.82871306511286</v>
      </c>
      <c r="AV972" s="2" t="n">
        <f aca="false">Hypothèses!$J$26*AQ972-AT972</f>
        <v>1359.26816371083</v>
      </c>
      <c r="AW972" s="2" t="n">
        <f aca="false">IF(AC972&gt;Hypothèses!$J$26,MAX(0,AV972)/(1-Hypothèses!$J$26/AC972),0)</f>
        <v>2016.89531654987</v>
      </c>
      <c r="AX972" s="2" t="n">
        <f aca="false">AQ972-Entrées!$C$17*1000</f>
        <v>-64.3791973601965</v>
      </c>
      <c r="AY972" s="2" t="n">
        <f aca="false">AI972+(Entrées!$C$244-Entrées!$C$13)</f>
        <v>28362.6479712516</v>
      </c>
      <c r="AZ972" s="2" t="n">
        <f aca="false">AA972*AH972</f>
        <v>5463.70950078699</v>
      </c>
      <c r="BA972" s="2" t="n">
        <f aca="false">AZ972/AY972</f>
        <v>0.192637496552685</v>
      </c>
      <c r="BB972" s="2" t="n">
        <f aca="false">AZ972/(Entrées!$C$151/100)-AY972</f>
        <v>1991.29369978723</v>
      </c>
      <c r="BC972" s="2" t="n">
        <f aca="false">AT972+(Entrées!$C$244-Entrées!$C$13)</f>
        <v>28194.5942442086</v>
      </c>
      <c r="BD972" s="2" t="n">
        <f aca="false">AA972*AQ972</f>
        <v>5797.66286144966</v>
      </c>
      <c r="BE972" s="2" t="n">
        <f aca="false">BD972/BC972</f>
        <v>0.205630299596901</v>
      </c>
      <c r="BF972" s="2" t="n">
        <f aca="false">BD972/(Entrées!$C$151/100)-BC972</f>
        <v>4014.64387495621</v>
      </c>
      <c r="BG972" s="2" t="n">
        <f aca="false">MIN(AV972,BF972)</f>
        <v>1359.26816371083</v>
      </c>
      <c r="BH972" s="2" t="n">
        <f aca="false">IF(AC972&gt;Hypothèses!$J$26,MAX(0,BG972)/(1-Hypothèses!$J$26/AC972),0)</f>
        <v>2016.89531654987</v>
      </c>
    </row>
    <row r="973" customFormat="false" ht="15" hidden="false" customHeight="false" outlineLevel="0" collapsed="false">
      <c r="A973" s="2" t="n">
        <v>958</v>
      </c>
      <c r="B973" s="2" t="n">
        <v>0.860129092</v>
      </c>
      <c r="C973" s="2"/>
      <c r="D973" s="2" t="n">
        <v>0.495424611</v>
      </c>
      <c r="E973" s="2" t="n">
        <f aca="false">IF(E$7=E$5,E$6,IF(NORMSDIST(E$9*SQRT($C$11)*NORMSINV($B973)+SQRT(1-E$9^2*$C$11)*NORMSINV(D973))&lt;E$8,E$5+SQRT(NORMSDIST(E$9*SQRT($C$11)*NORMSINV($B973)+SQRT(1-E$9^2*$C$11)*NORMSINV(D973))*(E$7-E$5)*(E$6-E$5)),E$7-SQRT((1-NORMSDIST(E$9*SQRT($C$11)*NORMSINV($B973)+SQRT(1-E$9^2*$C$11)*NORMSINV(D973)))*(E$7-E$5)*(E$7-E$6))))</f>
        <v>0.0564650216373013</v>
      </c>
      <c r="F973" s="2" t="n">
        <v>0.74268511</v>
      </c>
      <c r="G973" s="2" t="n">
        <f aca="false">IF(G$7=G$5,G$6,IF(NORMSDIST(G$9*SQRT($C$11)*NORMSINV($B973)+SQRT(1-G$9^2*$C$11)*NORMSINV(F973))&lt;G$8,G$5+SQRT(NORMSDIST(G$9*SQRT($C$11)*NORMSINV($B973)+SQRT(1-G$9^2*$C$11)*NORMSINV(F973))*(G$7-G$5)*(G$6-G$5)),G$7-SQRT((1-NORMSDIST(G$9*SQRT($C$11)*NORMSINV($B973)+SQRT(1-G$9^2*$C$11)*NORMSINV(F973)))*(G$7-G$5)*(G$7-G$6))))</f>
        <v>0.0627333959082482</v>
      </c>
      <c r="H973" s="2" t="n">
        <v>0.23020833</v>
      </c>
      <c r="I973" s="2" t="n">
        <f aca="false">IF(I$7=I$5,I$6,IF(NORMSDIST(I$9*SQRT($C$11)*NORMSINV($B973)+SQRT(1-I$9^2*$C$11)*NORMSINV(H973))&lt;I$8,I$5+SQRT(NORMSDIST(I$9*SQRT($C$11)*NORMSINV($B973)+SQRT(1-I$9^2*$C$11)*NORMSINV(H973))*(I$7-I$5)*(I$6-I$5)),I$7-SQRT((1-NORMSDIST(I$9*SQRT($C$11)*NORMSINV($B973)+SQRT(1-I$9^2*$C$11)*NORMSINV(H973)))*(I$7-I$5)*(I$7-I$6))))</f>
        <v>200.911289221897</v>
      </c>
      <c r="J973" s="2" t="n">
        <v>0.987336652</v>
      </c>
      <c r="K973" s="2" t="n">
        <f aca="false">IF(K$7=K$5,K$6,IF(NORMSDIST(K$9*SQRT($C$11)*NORMSINV($B973)+SQRT(1-K$9^2*$C$11)*NORMSINV(J973))&lt;K$8,K$5+SQRT(NORMSDIST(K$9*SQRT($C$11)*NORMSINV($B973)+SQRT(1-K$9^2*$C$11)*NORMSINV(J973))*(K$7-K$5)*(K$6-K$5)),K$7-SQRT((1-NORMSDIST(K$9*SQRT($C$11)*NORMSINV($B973)+SQRT(1-K$9^2*$C$11)*NORMSINV(J973)))*(K$7-K$5)*(K$7-K$6))))</f>
        <v>0.468679383843279</v>
      </c>
      <c r="L973" s="2" t="n">
        <v>0.753281082</v>
      </c>
      <c r="M973" s="2" t="n">
        <f aca="false">IF(M$7=M$5,M$6,IF(NORMSDIST(M$9*SQRT($C$11)*NORMSINV($B973)+SQRT(1-M$9^2*$C$11)*NORMSINV(L973))&lt;M$8,M$5+SQRT(NORMSDIST(M$9*SQRT($C$11)*NORMSINV($B973)+SQRT(1-M$9^2*$C$11)*NORMSINV(L973))*(M$7-M$5)*(M$6-M$5)),M$7-SQRT((1-NORMSDIST(M$9*SQRT($C$11)*NORMSINV($B973)+SQRT(1-M$9^2*$C$11)*NORMSINV(L973)))*(M$7-M$5)*(M$7-M$6))))</f>
        <v>1697.32510320369</v>
      </c>
      <c r="N973" s="2" t="n">
        <v>0.124782951</v>
      </c>
      <c r="O973" s="2" t="n">
        <f aca="false">IF(O$7=O$5,O$6,IF(NORMSDIST(O$9*SQRT($C$11)*NORMSINV($B973)+SQRT(1-O$9^2*$C$11)*NORMSINV(N973))&lt;O$8,O$5+SQRT(NORMSDIST(O$9*SQRT($C$11)*NORMSINV($B973)+SQRT(1-O$9^2*$C$11)*NORMSINV(N973))*(O$7-O$5)*(O$6-O$5)),O$7-SQRT((1-NORMSDIST(O$9*SQRT($C$11)*NORMSINV($B973)+SQRT(1-O$9^2*$C$11)*NORMSINV(N973)))*(O$7-O$5)*(O$7-O$6))))</f>
        <v>0.164475683338895</v>
      </c>
      <c r="P973" s="2" t="n">
        <v>0.631481606</v>
      </c>
      <c r="Q973" s="2" t="n">
        <f aca="false">IF(Q$7=Q$5,Q$6,IF(NORMSDIST(Q$9*SQRT($C$11)*NORMSINV($B973)+SQRT(1-Q$9^2*$C$11)*NORMSINV(P973))&lt;Q$8,Q$5+SQRT(NORMSDIST(Q$9*SQRT($C$11)*NORMSINV($B973)+SQRT(1-Q$9^2*$C$11)*NORMSINV(P973))*(Q$7-Q$5)*(Q$6-Q$5)),Q$7-SQRT((1-NORMSDIST(Q$9*SQRT($C$11)*NORMSINV($B973)+SQRT(1-Q$9^2*$C$11)*NORMSINV(P973)))*(Q$7-Q$5)*(Q$7-Q$6))))</f>
        <v>0.0856596613179194</v>
      </c>
      <c r="R973" s="2" t="n">
        <v>0.218805399</v>
      </c>
      <c r="S973" s="2" t="n">
        <f aca="false">IF(S$7=S$5,S$6,IF(NORMSDIST(S$9*SQRT($C$11)*NORMSINV($B973)+SQRT(1-S$9^2*$C$11)*NORMSINV(R973))&lt;S$8,S$5+SQRT(NORMSDIST(S$9*SQRT($C$11)*NORMSINV($B973)+SQRT(1-S$9^2*$C$11)*NORMSINV(R973))*(S$7-S$5)*(S$6-S$5)),S$7-SQRT((1-NORMSDIST(S$9*SQRT($C$11)*NORMSINV($B973)+SQRT(1-S$9^2*$C$11)*NORMSINV(R973)))*(S$7-S$5)*(S$7-S$6))))</f>
        <v>0.516686860840782</v>
      </c>
      <c r="T973" s="2" t="n">
        <v>0.54144302</v>
      </c>
      <c r="U973" s="2" t="n">
        <f aca="false">IF(U$7=U$5,U$6,IF(NORMSDIST(U$9*SQRT($C$11)*NORMSINV($B973)+SQRT(1-U$9^2*$C$11)*NORMSINV(T973))&lt;U$8,U$5+SQRT(NORMSDIST(U$9*SQRT($C$11)*NORMSINV($B973)+SQRT(1-U$9^2*$C$11)*NORMSINV(T973))*(U$7-U$5)*(U$6-U$5)),U$7-SQRT((1-NORMSDIST(U$9*SQRT($C$11)*NORMSINV($B973)+SQRT(1-U$9^2*$C$11)*NORMSINV(T973)))*(U$7-U$5)*(U$7-U$6))))</f>
        <v>0.666560197146549</v>
      </c>
      <c r="V973" s="2" t="n">
        <v>0.324998097</v>
      </c>
      <c r="W973" s="2" t="n">
        <f aca="false">IF(W$7=W$5,W$6,IF(NORMSDIST(W$9*SQRT($C$11)*NORMSINV($B973)+SQRT(1-W$9^2*$C$11)*NORMSINV(V973))&lt;W$8,W$5+SQRT(NORMSDIST(W$9*SQRT($C$11)*NORMSINV($B973)+SQRT(1-W$9^2*$C$11)*NORMSINV(V973))*(W$7-W$5)*(W$6-W$5)),W$7-SQRT((1-NORMSDIST(W$9*SQRT($C$11)*NORMSINV($B973)+SQRT(1-W$9^2*$C$11)*NORMSINV(V973)))*(W$7-W$5)*(W$7-W$6))))</f>
        <v>10.2797814057112</v>
      </c>
      <c r="X973" s="2" t="n">
        <v>0.949075275</v>
      </c>
      <c r="Y973" s="2" t="n">
        <f aca="false">IF(Y$7=Y$5,Y$6,IF(NORMSDIST(Y$9*SQRT($C$11)*NORMSINV($B973)+SQRT(1-Y$9^2*$C$11)*NORMSINV(X973))&lt;Y$8,Y$5+SQRT(NORMSDIST(Y$9*SQRT($C$11)*NORMSINV($B973)+SQRT(1-Y$9^2*$C$11)*NORMSINV(X973))*(Y$7-Y$5)*(Y$6-Y$5)),Y$7-SQRT((1-NORMSDIST(Y$9*SQRT($C$11)*NORMSINV($B973)+SQRT(1-Y$9^2*$C$11)*NORMSINV(X973)))*(Y$7-Y$5)*(Y$7-Y$6))))</f>
        <v>0.840430696874367</v>
      </c>
      <c r="Z973" s="2" t="n">
        <v>0.920463705</v>
      </c>
      <c r="AA973" s="2" t="n">
        <f aca="false">IF(AA$7=AA$5,AA$6,IF(NORMSDIST(AA$9*SQRT($C$11)*NORMSINV($B973)+SQRT(1-AA$9^2*$C$11)*NORMSINV(Z973))&lt;AA$8,AA$5+SQRT(NORMSDIST(AA$9*SQRT($C$11)*NORMSINV($B973)+SQRT(1-AA$9^2*$C$11)*NORMSINV(Z973))*(AA$7-AA$5)*(AA$6-AA$5)),AA$7-SQRT((1-NORMSDIST(AA$9*SQRT($C$11)*NORMSINV($B973)+SQRT(1-AA$9^2*$C$11)*NORMSINV(Z973)))*(AA$7-AA$5)*(AA$7-AA$6))))</f>
        <v>0.746882831989318</v>
      </c>
      <c r="AB973" s="2" t="n">
        <v>0.487627082</v>
      </c>
      <c r="AC973" s="2" t="n">
        <f aca="false">IF(AC$7=AC$5,AC$6,IF(NORMSDIST(AC$9*SQRT($C$11)*NORMSINV($B973)+SQRT(1-AC$9^2*$C$11)*NORMSINV(AB973))&lt;AC$8,AC$5+SQRT(NORMSDIST(AC$9*SQRT($C$11)*NORMSINV($B973)+SQRT(1-AC$9^2*$C$11)*NORMSINV(AB973))*(AC$7-AC$5)*(AC$6-AC$5)),AC$7-SQRT((1-NORMSDIST(AC$9*SQRT($C$11)*NORMSINV($B973)+SQRT(1-AC$9^2*$C$11)*NORMSINV(AB973)))*(AC$7-AC$5)*(AC$7-AC$6))))</f>
        <v>9.95092808346028</v>
      </c>
      <c r="AD973" s="2" t="n">
        <f aca="false">Entrées!$C$8*(1+E973)</f>
        <v>7448.07840254297</v>
      </c>
      <c r="AE973" s="2" t="n">
        <f aca="false">I973*Hypothèses!$J$24/12/Hypothèses!$J$19</f>
        <v>99.6714475413863</v>
      </c>
      <c r="AF973" s="2" t="n">
        <f aca="false">Entrées!$C$36*S973*1000</f>
        <v>258.343430420391</v>
      </c>
      <c r="AG973" s="2" t="n">
        <f aca="false">-AF973/W973</f>
        <v>-25.1312182841613</v>
      </c>
      <c r="AH973" s="2" t="n">
        <f aca="false">AD973+AE973+AG973</f>
        <v>7522.6186318002</v>
      </c>
      <c r="AI973" s="2" t="n">
        <f aca="false">Entrées!$C$16-M973+Hypothèses!$J$22*1000-AF973+Hypothèses!$J$23</f>
        <v>22592.3314663759</v>
      </c>
      <c r="AJ973" s="2" t="n">
        <f aca="false">AI973/AH973</f>
        <v>3.00325359720774</v>
      </c>
      <c r="AK973" s="2" t="n">
        <f aca="false">AI973/(AH973+I973*(12-Hypothèses!$J$24)/12/Hypothèses!$J$19)</f>
        <v>2.97509734382336</v>
      </c>
      <c r="AL973" s="2" t="n">
        <f aca="false">(AD973+AG973+I973/Hypothèses!$J$19)*(1+G973)</f>
        <v>8070.19817035336</v>
      </c>
      <c r="AM973" s="2" t="n">
        <f aca="false">Entrées!$C$54*K973/Hypothèses!$J$19</f>
        <v>47.8306989787735</v>
      </c>
      <c r="AN973" s="2" t="n">
        <f aca="false">Y973*1000/AC973</f>
        <v>84.4575189193931</v>
      </c>
      <c r="AO973" s="2" t="n">
        <f aca="false">(Entrées!$C$36*(1-S973)+MAX(0,Entrées!$C$30-Entrées!$C$35-Entrées!$C$36)*U973)*1000</f>
        <v>1174.84084558478</v>
      </c>
      <c r="AP973" s="2" t="n">
        <f aca="false">-AO973/W973</f>
        <v>-114.286559141429</v>
      </c>
      <c r="AQ973" s="2" t="n">
        <f aca="false">AL973+AM973+AN973+AP973</f>
        <v>8088.1998291101</v>
      </c>
      <c r="AR973" s="2" t="n">
        <f aca="false">O973*AQ973-Hypothèses!$J$25/Hypothèses!$J$19</f>
        <v>1311.17703161279</v>
      </c>
      <c r="AS973" s="2" t="n">
        <f aca="false">Entrées!$C$79*(1+Q973)+Hypothèses!$J$20</f>
        <v>1488.13996778839</v>
      </c>
      <c r="AT973" s="2" t="n">
        <f aca="false">AI973-AR973+AS973+Y973*1000-AO973+Hypothèses!$J$23</f>
        <v>22434.8842538411</v>
      </c>
      <c r="AU973" s="2" t="n">
        <f aca="false">AT973/AQ973</f>
        <v>2.77377967011845</v>
      </c>
      <c r="AV973" s="2" t="n">
        <f aca="false">Hypothèses!$J$26*AQ973-AT973</f>
        <v>1829.71523348919</v>
      </c>
      <c r="AW973" s="2" t="n">
        <f aca="false">IF(AC973&gt;Hypothèses!$J$26,MAX(0,AV973)/(1-Hypothèses!$J$26/AC973),0)</f>
        <v>2619.41491597173</v>
      </c>
      <c r="AX973" s="2" t="n">
        <f aca="false">AQ973-Entrées!$C$17*1000</f>
        <v>88.1998291100999</v>
      </c>
      <c r="AY973" s="2" t="n">
        <f aca="false">AI973+(Entrées!$C$244-Entrées!$C$13)</f>
        <v>28339.3314663759</v>
      </c>
      <c r="AZ973" s="2" t="n">
        <f aca="false">AA973*AH973</f>
        <v>5618.51470769454</v>
      </c>
      <c r="BA973" s="2" t="n">
        <f aca="false">AZ973/AY973</f>
        <v>0.198258547995771</v>
      </c>
      <c r="BB973" s="2" t="n">
        <f aca="false">AZ973/(Entrées!$C$151/100)-AY973</f>
        <v>2874.63913192708</v>
      </c>
      <c r="BC973" s="2" t="n">
        <f aca="false">AT973+(Entrées!$C$244-Entrées!$C$13)</f>
        <v>28181.8842538411</v>
      </c>
      <c r="BD973" s="2" t="n">
        <f aca="false">AA973*AQ973</f>
        <v>6040.93759406127</v>
      </c>
      <c r="BE973" s="2" t="n">
        <f aca="false">BD973/BC973</f>
        <v>0.214355347557639</v>
      </c>
      <c r="BF973" s="2" t="n">
        <f aca="false">BD973/(Entrées!$C$151/100)-BC973</f>
        <v>5378.88015761038</v>
      </c>
      <c r="BG973" s="2" t="n">
        <f aca="false">MIN(AV973,BF973)</f>
        <v>1829.71523348919</v>
      </c>
      <c r="BH973" s="2" t="n">
        <f aca="false">IF(AC973&gt;Hypothèses!$J$26,MAX(0,BG973)/(1-Hypothèses!$J$26/AC973),0)</f>
        <v>2619.41491597173</v>
      </c>
    </row>
    <row r="974" customFormat="false" ht="15" hidden="false" customHeight="false" outlineLevel="0" collapsed="false">
      <c r="A974" s="2" t="n">
        <v>959</v>
      </c>
      <c r="B974" s="2" t="n">
        <v>0.026316682</v>
      </c>
      <c r="C974" s="2"/>
      <c r="D974" s="2" t="n">
        <v>0.93335265</v>
      </c>
      <c r="E974" s="2" t="n">
        <f aca="false">IF(E$7=E$5,E$6,IF(NORMSDIST(E$9*SQRT($C$11)*NORMSINV($B974)+SQRT(1-E$9^2*$C$11)*NORMSINV(D974))&lt;E$8,E$5+SQRT(NORMSDIST(E$9*SQRT($C$11)*NORMSINV($B974)+SQRT(1-E$9^2*$C$11)*NORMSINV(D974))*(E$7-E$5)*(E$6-E$5)),E$7-SQRT((1-NORMSDIST(E$9*SQRT($C$11)*NORMSINV($B974)+SQRT(1-E$9^2*$C$11)*NORMSINV(D974)))*(E$7-E$5)*(E$7-E$6))))</f>
        <v>0.0548732183002162</v>
      </c>
      <c r="F974" s="2" t="n">
        <v>0.903296346</v>
      </c>
      <c r="G974" s="2" t="n">
        <f aca="false">IF(G$7=G$5,G$6,IF(NORMSDIST(G$9*SQRT($C$11)*NORMSINV($B974)+SQRT(1-G$9^2*$C$11)*NORMSINV(F974))&lt;G$8,G$5+SQRT(NORMSDIST(G$9*SQRT($C$11)*NORMSINV($B974)+SQRT(1-G$9^2*$C$11)*NORMSINV(F974))*(G$7-G$5)*(G$6-G$5)),G$7-SQRT((1-NORMSDIST(G$9*SQRT($C$11)*NORMSINV($B974)+SQRT(1-G$9^2*$C$11)*NORMSINV(F974)))*(G$7-G$5)*(G$7-G$6))))</f>
        <v>0.0536429743670049</v>
      </c>
      <c r="H974" s="2" t="n">
        <v>0.149531655</v>
      </c>
      <c r="I974" s="2" t="n">
        <f aca="false">IF(I$7=I$5,I$6,IF(NORMSDIST(I$9*SQRT($C$11)*NORMSINV($B974)+SQRT(1-I$9^2*$C$11)*NORMSINV(H974))&lt;I$8,I$5+SQRT(NORMSDIST(I$9*SQRT($C$11)*NORMSINV($B974)+SQRT(1-I$9^2*$C$11)*NORMSINV(H974))*(I$7-I$5)*(I$6-I$5)),I$7-SQRT((1-NORMSDIST(I$9*SQRT($C$11)*NORMSINV($B974)+SQRT(1-I$9^2*$C$11)*NORMSINV(H974)))*(I$7-I$5)*(I$7-I$6))))</f>
        <v>184.11603392017</v>
      </c>
      <c r="J974" s="2" t="n">
        <v>0.071528296</v>
      </c>
      <c r="K974" s="2" t="n">
        <f aca="false">IF(K$7=K$5,K$6,IF(NORMSDIST(K$9*SQRT($C$11)*NORMSINV($B974)+SQRT(1-K$9^2*$C$11)*NORMSINV(J974))&lt;K$8,K$5+SQRT(NORMSDIST(K$9*SQRT($C$11)*NORMSINV($B974)+SQRT(1-K$9^2*$C$11)*NORMSINV(J974))*(K$7-K$5)*(K$6-K$5)),K$7-SQRT((1-NORMSDIST(K$9*SQRT($C$11)*NORMSINV($B974)+SQRT(1-K$9^2*$C$11)*NORMSINV(J974)))*(K$7-K$5)*(K$7-K$6))))</f>
        <v>0.0337941402631771</v>
      </c>
      <c r="L974" s="2" t="n">
        <v>0.403177333</v>
      </c>
      <c r="M974" s="2" t="n">
        <f aca="false">IF(M$7=M$5,M$6,IF(NORMSDIST(M$9*SQRT($C$11)*NORMSINV($B974)+SQRT(1-M$9^2*$C$11)*NORMSINV(L974))&lt;M$8,M$5+SQRT(NORMSDIST(M$9*SQRT($C$11)*NORMSINV($B974)+SQRT(1-M$9^2*$C$11)*NORMSINV(L974))*(M$7-M$5)*(M$6-M$5)),M$7-SQRT((1-NORMSDIST(M$9*SQRT($C$11)*NORMSINV($B974)+SQRT(1-M$9^2*$C$11)*NORMSINV(L974)))*(M$7-M$5)*(M$7-M$6))))</f>
        <v>1414.96703459912</v>
      </c>
      <c r="N974" s="2" t="n">
        <v>0.210969849</v>
      </c>
      <c r="O974" s="2" t="n">
        <f aca="false">IF(O$7=O$5,O$6,IF(NORMSDIST(O$9*SQRT($C$11)*NORMSINV($B974)+SQRT(1-O$9^2*$C$11)*NORMSINV(N974))&lt;O$8,O$5+SQRT(NORMSDIST(O$9*SQRT($C$11)*NORMSINV($B974)+SQRT(1-O$9^2*$C$11)*NORMSINV(N974))*(O$7-O$5)*(O$6-O$5)),O$7-SQRT((1-NORMSDIST(O$9*SQRT($C$11)*NORMSINV($B974)+SQRT(1-O$9^2*$C$11)*NORMSINV(N974)))*(O$7-O$5)*(O$7-O$6))))</f>
        <v>0.146810142536578</v>
      </c>
      <c r="P974" s="2" t="n">
        <v>0.426483337</v>
      </c>
      <c r="Q974" s="2" t="n">
        <f aca="false">IF(Q$7=Q$5,Q$6,IF(NORMSDIST(Q$9*SQRT($C$11)*NORMSINV($B974)+SQRT(1-Q$9^2*$C$11)*NORMSINV(P974))&lt;Q$8,Q$5+SQRT(NORMSDIST(Q$9*SQRT($C$11)*NORMSINV($B974)+SQRT(1-Q$9^2*$C$11)*NORMSINV(P974))*(Q$7-Q$5)*(Q$6-Q$5)),Q$7-SQRT((1-NORMSDIST(Q$9*SQRT($C$11)*NORMSINV($B974)+SQRT(1-Q$9^2*$C$11)*NORMSINV(P974)))*(Q$7-Q$5)*(Q$7-Q$6))))</f>
        <v>0.0769424779677812</v>
      </c>
      <c r="R974" s="2" t="n">
        <v>0.78744648</v>
      </c>
      <c r="S974" s="2" t="n">
        <f aca="false">IF(S$7=S$5,S$6,IF(NORMSDIST(S$9*SQRT($C$11)*NORMSINV($B974)+SQRT(1-S$9^2*$C$11)*NORMSINV(R974))&lt;S$8,S$5+SQRT(NORMSDIST(S$9*SQRT($C$11)*NORMSINV($B974)+SQRT(1-S$9^2*$C$11)*NORMSINV(R974))*(S$7-S$5)*(S$6-S$5)),S$7-SQRT((1-NORMSDIST(S$9*SQRT($C$11)*NORMSINV($B974)+SQRT(1-S$9^2*$C$11)*NORMSINV(R974)))*(S$7-S$5)*(S$7-S$6))))</f>
        <v>0.368543656064422</v>
      </c>
      <c r="T974" s="2" t="n">
        <v>0.504366537</v>
      </c>
      <c r="U974" s="2" t="n">
        <f aca="false">IF(U$7=U$5,U$6,IF(NORMSDIST(U$9*SQRT($C$11)*NORMSINV($B974)+SQRT(1-U$9^2*$C$11)*NORMSINV(T974))&lt;U$8,U$5+SQRT(NORMSDIST(U$9*SQRT($C$11)*NORMSINV($B974)+SQRT(1-U$9^2*$C$11)*NORMSINV(T974))*(U$7-U$5)*(U$6-U$5)),U$7-SQRT((1-NORMSDIST(U$9*SQRT($C$11)*NORMSINV($B974)+SQRT(1-U$9^2*$C$11)*NORMSINV(T974)))*(U$7-U$5)*(U$7-U$6))))</f>
        <v>0.236400264390897</v>
      </c>
      <c r="V974" s="2" t="n">
        <v>0.807104978</v>
      </c>
      <c r="W974" s="2" t="n">
        <f aca="false">IF(W$7=W$5,W$6,IF(NORMSDIST(W$9*SQRT($C$11)*NORMSINV($B974)+SQRT(1-W$9^2*$C$11)*NORMSINV(V974))&lt;W$8,W$5+SQRT(NORMSDIST(W$9*SQRT($C$11)*NORMSINV($B974)+SQRT(1-W$9^2*$C$11)*NORMSINV(V974))*(W$7-W$5)*(W$6-W$5)),W$7-SQRT((1-NORMSDIST(W$9*SQRT($C$11)*NORMSINV($B974)+SQRT(1-W$9^2*$C$11)*NORMSINV(V974)))*(W$7-W$5)*(W$7-W$6))))</f>
        <v>9.52273089733293</v>
      </c>
      <c r="X974" s="2" t="n">
        <v>0.290732644</v>
      </c>
      <c r="Y974" s="2" t="n">
        <f aca="false">IF(Y$7=Y$5,Y$6,IF(NORMSDIST(Y$9*SQRT($C$11)*NORMSINV($B974)+SQRT(1-Y$9^2*$C$11)*NORMSINV(X974))&lt;Y$8,Y$5+SQRT(NORMSDIST(Y$9*SQRT($C$11)*NORMSINV($B974)+SQRT(1-Y$9^2*$C$11)*NORMSINV(X974))*(Y$7-Y$5)*(Y$6-Y$5)),Y$7-SQRT((1-NORMSDIST(Y$9*SQRT($C$11)*NORMSINV($B974)+SQRT(1-Y$9^2*$C$11)*NORMSINV(X974)))*(Y$7-Y$5)*(Y$7-Y$6))))</f>
        <v>0.381269356229949</v>
      </c>
      <c r="Z974" s="2" t="n">
        <v>0.723736399</v>
      </c>
      <c r="AA974" s="2" t="n">
        <f aca="false">IF(AA$7=AA$5,AA$6,IF(NORMSDIST(AA$9*SQRT($C$11)*NORMSINV($B974)+SQRT(1-AA$9^2*$C$11)*NORMSINV(Z974))&lt;AA$8,AA$5+SQRT(NORMSDIST(AA$9*SQRT($C$11)*NORMSINV($B974)+SQRT(1-AA$9^2*$C$11)*NORMSINV(Z974))*(AA$7-AA$5)*(AA$6-AA$5)),AA$7-SQRT((1-NORMSDIST(AA$9*SQRT($C$11)*NORMSINV($B974)+SQRT(1-AA$9^2*$C$11)*NORMSINV(Z974)))*(AA$7-AA$5)*(AA$7-AA$6))))</f>
        <v>0.717128300303412</v>
      </c>
      <c r="AB974" s="2" t="n">
        <v>0.901444209</v>
      </c>
      <c r="AC974" s="2" t="n">
        <f aca="false">IF(AC$7=AC$5,AC$6,IF(NORMSDIST(AC$9*SQRT($C$11)*NORMSINV($B974)+SQRT(1-AC$9^2*$C$11)*NORMSINV(AB974))&lt;AC$8,AC$5+SQRT(NORMSDIST(AC$9*SQRT($C$11)*NORMSINV($B974)+SQRT(1-AC$9^2*$C$11)*NORMSINV(AB974))*(AC$7-AC$5)*(AC$6-AC$5)),AC$7-SQRT((1-NORMSDIST(AC$9*SQRT($C$11)*NORMSINV($B974)+SQRT(1-AC$9^2*$C$11)*NORMSINV(AB974)))*(AC$7-AC$5)*(AC$7-AC$6))))</f>
        <v>9.28301195972784</v>
      </c>
      <c r="AD974" s="2" t="n">
        <f aca="false">Entrées!$C$8*(1+E974)</f>
        <v>7436.85618901652</v>
      </c>
      <c r="AE974" s="2" t="n">
        <f aca="false">I974*Hypothèses!$J$24/12/Hypothèses!$J$19</f>
        <v>91.3393751415051</v>
      </c>
      <c r="AF974" s="2" t="n">
        <f aca="false">Entrées!$C$36*S974*1000</f>
        <v>184.271828032211</v>
      </c>
      <c r="AG974" s="2" t="n">
        <f aca="false">-AF974/W974</f>
        <v>-19.350733525802</v>
      </c>
      <c r="AH974" s="2" t="n">
        <f aca="false">AD974+AE974+AG974</f>
        <v>7508.84483063223</v>
      </c>
      <c r="AI974" s="2" t="n">
        <f aca="false">Entrées!$C$16-M974+Hypothèses!$J$22*1000-AF974+Hypothèses!$J$23</f>
        <v>22948.7611373687</v>
      </c>
      <c r="AJ974" s="2" t="n">
        <f aca="false">AI974/AH974</f>
        <v>3.05623057274396</v>
      </c>
      <c r="AK974" s="2" t="n">
        <f aca="false">AI974/(AH974+I974*(12-Hypothèses!$J$24)/12/Hypothèses!$J$19)</f>
        <v>3.02990451599058</v>
      </c>
      <c r="AL974" s="2" t="n">
        <f aca="false">(AD974+AG974+I974/Hypothèses!$J$19)*(1+G974)</f>
        <v>7980.38380919402</v>
      </c>
      <c r="AM974" s="2" t="n">
        <f aca="false">Entrées!$C$54*K974/Hypothèses!$J$19</f>
        <v>3.44883390628288</v>
      </c>
      <c r="AN974" s="2" t="n">
        <f aca="false">Y974*1000/AC974</f>
        <v>41.0717295080515</v>
      </c>
      <c r="AO974" s="2" t="n">
        <f aca="false">(Entrées!$C$36*(1-S974)+MAX(0,Entrées!$C$30-Entrées!$C$35-Entrées!$C$36)*U974)*1000</f>
        <v>646.688542115045</v>
      </c>
      <c r="AP974" s="2" t="n">
        <f aca="false">-AO974/W974</f>
        <v>-67.909988120757</v>
      </c>
      <c r="AQ974" s="2" t="n">
        <f aca="false">AL974+AM974+AN974+AP974</f>
        <v>7956.9943844876</v>
      </c>
      <c r="AR974" s="2" t="n">
        <f aca="false">O974*AQ974-Hypothèses!$J$25/Hypothèses!$J$19</f>
        <v>1149.03231748775</v>
      </c>
      <c r="AS974" s="2" t="n">
        <f aca="false">Entrées!$C$79*(1+Q974)+Hypothèses!$J$20</f>
        <v>1478.55978328659</v>
      </c>
      <c r="AT974" s="2" t="n">
        <f aca="false">AI974-AR974+AS974+Y974*1000-AO974+Hypothèses!$J$23</f>
        <v>23012.8694172824</v>
      </c>
      <c r="AU974" s="2" t="n">
        <f aca="false">AT974/AQ974</f>
        <v>2.89215604602495</v>
      </c>
      <c r="AV974" s="2" t="n">
        <f aca="false">Hypothèses!$J$26*AQ974-AT974</f>
        <v>858.113736180381</v>
      </c>
      <c r="AW974" s="2" t="n">
        <f aca="false">IF(AC974&gt;Hypothèses!$J$26,MAX(0,AV974)/(1-Hypothèses!$J$26/AC974),0)</f>
        <v>1267.84416882031</v>
      </c>
      <c r="AX974" s="2" t="n">
        <f aca="false">AQ974-Entrées!$C$17*1000</f>
        <v>-43.0056155124039</v>
      </c>
      <c r="AY974" s="2" t="n">
        <f aca="false">AI974+(Entrées!$C$244-Entrées!$C$13)</f>
        <v>28695.7611373687</v>
      </c>
      <c r="AZ974" s="2" t="n">
        <f aca="false">AA974*AH974</f>
        <v>5384.80513063335</v>
      </c>
      <c r="BA974" s="2" t="n">
        <f aca="false">AZ974/AY974</f>
        <v>0.187651587454185</v>
      </c>
      <c r="BB974" s="2" t="n">
        <f aca="false">AZ974/(Entrées!$C$151/100)-AY974</f>
        <v>1219.82292170548</v>
      </c>
      <c r="BC974" s="2" t="n">
        <f aca="false">AT974+(Entrées!$C$244-Entrées!$C$13)</f>
        <v>28759.8694172824</v>
      </c>
      <c r="BD974" s="2" t="n">
        <f aca="false">AA974*AQ974</f>
        <v>5706.18585847138</v>
      </c>
      <c r="BE974" s="2" t="n">
        <f aca="false">BD974/BC974</f>
        <v>0.198407919579858</v>
      </c>
      <c r="BF974" s="2" t="n">
        <f aca="false">BD974/(Entrées!$C$151/100)-BC974</f>
        <v>2941.16312978081</v>
      </c>
      <c r="BG974" s="2" t="n">
        <f aca="false">MIN(AV974,BF974)</f>
        <v>858.113736180381</v>
      </c>
      <c r="BH974" s="2" t="n">
        <f aca="false">IF(AC974&gt;Hypothèses!$J$26,MAX(0,BG974)/(1-Hypothèses!$J$26/AC974),0)</f>
        <v>1267.84416882031</v>
      </c>
    </row>
    <row r="975" customFormat="false" ht="15" hidden="false" customHeight="false" outlineLevel="0" collapsed="false">
      <c r="A975" s="2" t="n">
        <v>960</v>
      </c>
      <c r="B975" s="2" t="n">
        <v>0.262347613</v>
      </c>
      <c r="C975" s="2"/>
      <c r="D975" s="2" t="n">
        <v>0.409940754</v>
      </c>
      <c r="E975" s="2" t="n">
        <f aca="false">IF(E$7=E$5,E$6,IF(NORMSDIST(E$9*SQRT($C$11)*NORMSINV($B975)+SQRT(1-E$9^2*$C$11)*NORMSINV(D975))&lt;E$8,E$5+SQRT(NORMSDIST(E$9*SQRT($C$11)*NORMSINV($B975)+SQRT(1-E$9^2*$C$11)*NORMSINV(D975))*(E$7-E$5)*(E$6-E$5)),E$7-SQRT((1-NORMSDIST(E$9*SQRT($C$11)*NORMSINV($B975)+SQRT(1-E$9^2*$C$11)*NORMSINV(D975)))*(E$7-E$5)*(E$7-E$6))))</f>
        <v>0.0537509850995966</v>
      </c>
      <c r="F975" s="2" t="n">
        <v>0.304176632</v>
      </c>
      <c r="G975" s="2" t="n">
        <f aca="false">IF(G$7=G$5,G$6,IF(NORMSDIST(G$9*SQRT($C$11)*NORMSINV($B975)+SQRT(1-G$9^2*$C$11)*NORMSINV(F975))&lt;G$8,G$5+SQRT(NORMSDIST(G$9*SQRT($C$11)*NORMSINV($B975)+SQRT(1-G$9^2*$C$11)*NORMSINV(F975))*(G$7-G$5)*(G$6-G$5)),G$7-SQRT((1-NORMSDIST(G$9*SQRT($C$11)*NORMSINV($B975)+SQRT(1-G$9^2*$C$11)*NORMSINV(F975)))*(G$7-G$5)*(G$7-G$6))))</f>
        <v>0.0497690105613846</v>
      </c>
      <c r="H975" s="2" t="n">
        <v>0.638278503</v>
      </c>
      <c r="I975" s="2" t="n">
        <f aca="false">IF(I$7=I$5,I$6,IF(NORMSDIST(I$9*SQRT($C$11)*NORMSINV($B975)+SQRT(1-I$9^2*$C$11)*NORMSINV(H975))&lt;I$8,I$5+SQRT(NORMSDIST(I$9*SQRT($C$11)*NORMSINV($B975)+SQRT(1-I$9^2*$C$11)*NORMSINV(H975))*(I$7-I$5)*(I$6-I$5)),I$7-SQRT((1-NORMSDIST(I$9*SQRT($C$11)*NORMSINV($B975)+SQRT(1-I$9^2*$C$11)*NORMSINV(H975)))*(I$7-I$5)*(I$7-I$6))))</f>
        <v>198.952299763994</v>
      </c>
      <c r="J975" s="2" t="n">
        <v>0.112793254</v>
      </c>
      <c r="K975" s="2" t="n">
        <f aca="false">IF(K$7=K$5,K$6,IF(NORMSDIST(K$9*SQRT($C$11)*NORMSINV($B975)+SQRT(1-K$9^2*$C$11)*NORMSINV(J975))&lt;K$8,K$5+SQRT(NORMSDIST(K$9*SQRT($C$11)*NORMSINV($B975)+SQRT(1-K$9^2*$C$11)*NORMSINV(J975))*(K$7-K$5)*(K$6-K$5)),K$7-SQRT((1-NORMSDIST(K$9*SQRT($C$11)*NORMSINV($B975)+SQRT(1-K$9^2*$C$11)*NORMSINV(J975)))*(K$7-K$5)*(K$7-K$6))))</f>
        <v>0.106044329587966</v>
      </c>
      <c r="L975" s="2" t="n">
        <v>0.073206769</v>
      </c>
      <c r="M975" s="2" t="n">
        <f aca="false">IF(M$7=M$5,M$6,IF(NORMSDIST(M$9*SQRT($C$11)*NORMSINV($B975)+SQRT(1-M$9^2*$C$11)*NORMSINV(L975))&lt;M$8,M$5+SQRT(NORMSDIST(M$9*SQRT($C$11)*NORMSINV($B975)+SQRT(1-M$9^2*$C$11)*NORMSINV(L975))*(M$7-M$5)*(M$6-M$5)),M$7-SQRT((1-NORMSDIST(M$9*SQRT($C$11)*NORMSINV($B975)+SQRT(1-M$9^2*$C$11)*NORMSINV(L975)))*(M$7-M$5)*(M$7-M$6))))</f>
        <v>1403.62808161815</v>
      </c>
      <c r="N975" s="2" t="n">
        <v>0.630659027</v>
      </c>
      <c r="O975" s="2" t="n">
        <f aca="false">IF(O$7=O$5,O$6,IF(NORMSDIST(O$9*SQRT($C$11)*NORMSINV($B975)+SQRT(1-O$9^2*$C$11)*NORMSINV(N975))&lt;O$8,O$5+SQRT(NORMSDIST(O$9*SQRT($C$11)*NORMSINV($B975)+SQRT(1-O$9^2*$C$11)*NORMSINV(N975))*(O$7-O$5)*(O$6-O$5)),O$7-SQRT((1-NORMSDIST(O$9*SQRT($C$11)*NORMSINV($B975)+SQRT(1-O$9^2*$C$11)*NORMSINV(N975)))*(O$7-O$5)*(O$7-O$6))))</f>
        <v>0.165205434281802</v>
      </c>
      <c r="P975" s="2" t="n">
        <v>0.231812266</v>
      </c>
      <c r="Q975" s="2" t="n">
        <f aca="false">IF(Q$7=Q$5,Q$6,IF(NORMSDIST(Q$9*SQRT($C$11)*NORMSINV($B975)+SQRT(1-Q$9^2*$C$11)*NORMSINV(P975))&lt;Q$8,Q$5+SQRT(NORMSDIST(Q$9*SQRT($C$11)*NORMSINV($B975)+SQRT(1-Q$9^2*$C$11)*NORMSINV(P975))*(Q$7-Q$5)*(Q$6-Q$5)),Q$7-SQRT((1-NORMSDIST(Q$9*SQRT($C$11)*NORMSINV($B975)+SQRT(1-Q$9^2*$C$11)*NORMSINV(P975)))*(Q$7-Q$5)*(Q$7-Q$6))))</f>
        <v>0.0672359918343357</v>
      </c>
      <c r="R975" s="2" t="n">
        <v>0.733791538</v>
      </c>
      <c r="S975" s="2" t="n">
        <f aca="false">IF(S$7=S$5,S$6,IF(NORMSDIST(S$9*SQRT($C$11)*NORMSINV($B975)+SQRT(1-S$9^2*$C$11)*NORMSINV(R975))&lt;S$8,S$5+SQRT(NORMSDIST(S$9*SQRT($C$11)*NORMSINV($B975)+SQRT(1-S$9^2*$C$11)*NORMSINV(R975))*(S$7-S$5)*(S$6-S$5)),S$7-SQRT((1-NORMSDIST(S$9*SQRT($C$11)*NORMSINV($B975)+SQRT(1-S$9^2*$C$11)*NORMSINV(R975)))*(S$7-S$5)*(S$7-S$6))))</f>
        <v>0.516465560455869</v>
      </c>
      <c r="T975" s="2" t="n">
        <v>0.165931021</v>
      </c>
      <c r="U975" s="2" t="n">
        <f aca="false">IF(U$7=U$5,U$6,IF(NORMSDIST(U$9*SQRT($C$11)*NORMSINV($B975)+SQRT(1-U$9^2*$C$11)*NORMSINV(T975))&lt;U$8,U$5+SQRT(NORMSDIST(U$9*SQRT($C$11)*NORMSINV($B975)+SQRT(1-U$9^2*$C$11)*NORMSINV(T975))*(U$7-U$5)*(U$6-U$5)),U$7-SQRT((1-NORMSDIST(U$9*SQRT($C$11)*NORMSINV($B975)+SQRT(1-U$9^2*$C$11)*NORMSINV(T975)))*(U$7-U$5)*(U$7-U$6))))</f>
        <v>0.249255954306982</v>
      </c>
      <c r="V975" s="2" t="n">
        <v>0.697122663</v>
      </c>
      <c r="W975" s="2" t="n">
        <f aca="false">IF(W$7=W$5,W$6,IF(NORMSDIST(W$9*SQRT($C$11)*NORMSINV($B975)+SQRT(1-W$9^2*$C$11)*NORMSINV(V975))&lt;W$8,W$5+SQRT(NORMSDIST(W$9*SQRT($C$11)*NORMSINV($B975)+SQRT(1-W$9^2*$C$11)*NORMSINV(V975))*(W$7-W$5)*(W$6-W$5)),W$7-SQRT((1-NORMSDIST(W$9*SQRT($C$11)*NORMSINV($B975)+SQRT(1-W$9^2*$C$11)*NORMSINV(V975)))*(W$7-W$5)*(W$7-W$6))))</f>
        <v>9.99798990877735</v>
      </c>
      <c r="X975" s="2" t="n">
        <v>0.377209331</v>
      </c>
      <c r="Y975" s="2" t="n">
        <f aca="false">IF(Y$7=Y$5,Y$6,IF(NORMSDIST(Y$9*SQRT($C$11)*NORMSINV($B975)+SQRT(1-Y$9^2*$C$11)*NORMSINV(X975))&lt;Y$8,Y$5+SQRT(NORMSDIST(Y$9*SQRT($C$11)*NORMSINV($B975)+SQRT(1-Y$9^2*$C$11)*NORMSINV(X975))*(Y$7-Y$5)*(Y$6-Y$5)),Y$7-SQRT((1-NORMSDIST(Y$9*SQRT($C$11)*NORMSINV($B975)+SQRT(1-Y$9^2*$C$11)*NORMSINV(X975)))*(Y$7-Y$5)*(Y$7-Y$6))))</f>
        <v>0.43428638650089</v>
      </c>
      <c r="Z975" s="2" t="n">
        <v>0.490569531</v>
      </c>
      <c r="AA975" s="2" t="n">
        <f aca="false">IF(AA$7=AA$5,AA$6,IF(NORMSDIST(AA$9*SQRT($C$11)*NORMSINV($B975)+SQRT(1-AA$9^2*$C$11)*NORMSINV(Z975))&lt;AA$8,AA$5+SQRT(NORMSDIST(AA$9*SQRT($C$11)*NORMSINV($B975)+SQRT(1-AA$9^2*$C$11)*NORMSINV(Z975))*(AA$7-AA$5)*(AA$6-AA$5)),AA$7-SQRT((1-NORMSDIST(AA$9*SQRT($C$11)*NORMSINV($B975)+SQRT(1-AA$9^2*$C$11)*NORMSINV(Z975)))*(AA$7-AA$5)*(AA$7-AA$6))))</f>
        <v>0.722191957045895</v>
      </c>
      <c r="AB975" s="2" t="n">
        <v>0.025028804</v>
      </c>
      <c r="AC975" s="2" t="n">
        <f aca="false">IF(AC$7=AC$5,AC$6,IF(NORMSDIST(AC$9*SQRT($C$11)*NORMSINV($B975)+SQRT(1-AC$9^2*$C$11)*NORMSINV(AB975))&lt;AC$8,AC$5+SQRT(NORMSDIST(AC$9*SQRT($C$11)*NORMSINV($B975)+SQRT(1-AC$9^2*$C$11)*NORMSINV(AB975))*(AC$7-AC$5)*(AC$6-AC$5)),AC$7-SQRT((1-NORMSDIST(AC$9*SQRT($C$11)*NORMSINV($B975)+SQRT(1-AC$9^2*$C$11)*NORMSINV(AB975)))*(AC$7-AC$5)*(AC$7-AC$6))))</f>
        <v>7.88674466654055</v>
      </c>
      <c r="AD975" s="2" t="n">
        <f aca="false">Entrées!$C$8*(1+E975)</f>
        <v>7428.94444495216</v>
      </c>
      <c r="AE975" s="2" t="n">
        <f aca="false">I975*Hypothèses!$J$24/12/Hypothèses!$J$19</f>
        <v>98.6995991413102</v>
      </c>
      <c r="AF975" s="2" t="n">
        <f aca="false">Entrées!$C$36*S975*1000</f>
        <v>258.232780227935</v>
      </c>
      <c r="AG975" s="2" t="n">
        <f aca="false">-AF975/W975</f>
        <v>-25.8284697808336</v>
      </c>
      <c r="AH975" s="2" t="n">
        <f aca="false">AD975+AE975+AG975</f>
        <v>7501.81557431263</v>
      </c>
      <c r="AI975" s="2" t="n">
        <f aca="false">Entrées!$C$16-M975+Hypothèses!$J$22*1000-AF975+Hypothèses!$J$23</f>
        <v>22886.1391381539</v>
      </c>
      <c r="AJ975" s="2" t="n">
        <f aca="false">AI975/AH975</f>
        <v>3.05074670410715</v>
      </c>
      <c r="AK975" s="2" t="n">
        <f aca="false">AI975/(AH975+I975*(12-Hypothèses!$J$24)/12/Hypothèses!$J$19)</f>
        <v>3.02234366475302</v>
      </c>
      <c r="AL975" s="2" t="n">
        <f aca="false">(AD975+AG975+I975/Hypothèses!$J$19)*(1+G975)</f>
        <v>7949.18192752686</v>
      </c>
      <c r="AM975" s="2" t="n">
        <f aca="false">Entrées!$C$54*K975/Hypothèses!$J$19</f>
        <v>10.8222690858191</v>
      </c>
      <c r="AN975" s="2" t="n">
        <f aca="false">Y975*1000/AC975</f>
        <v>55.0653539404345</v>
      </c>
      <c r="AO975" s="2" t="n">
        <f aca="false">(Entrées!$C$36*(1-S975)+MAX(0,Entrées!$C$30-Entrées!$C$35-Entrées!$C$36)*U975)*1000</f>
        <v>590.72555580184</v>
      </c>
      <c r="AP975" s="2" t="n">
        <f aca="false">-AO975/W975</f>
        <v>-59.0844320900179</v>
      </c>
      <c r="AQ975" s="2" t="n">
        <f aca="false">AL975+AM975+AN975+AP975</f>
        <v>7955.98511846309</v>
      </c>
      <c r="AR975" s="2" t="n">
        <f aca="false">O975*AQ975-Hypothèses!$J$25/Hypothèses!$J$19</f>
        <v>1295.23681437362</v>
      </c>
      <c r="AS975" s="2" t="n">
        <f aca="false">Entrées!$C$79*(1+Q975)+Hypothèses!$J$20</f>
        <v>1467.89235502593</v>
      </c>
      <c r="AT975" s="2" t="n">
        <f aca="false">AI975-AR975+AS975+Y975*1000-AO975+Hypothèses!$J$23</f>
        <v>22902.3555095053</v>
      </c>
      <c r="AU975" s="2" t="n">
        <f aca="false">AT975/AQ975</f>
        <v>2.87863227098764</v>
      </c>
      <c r="AV975" s="2" t="n">
        <f aca="false">Hypothèses!$J$26*AQ975-AT975</f>
        <v>965.599845883993</v>
      </c>
      <c r="AW975" s="2" t="n">
        <f aca="false">IF(AC975&gt;Hypothèses!$J$26,MAX(0,AV975)/(1-Hypothèses!$J$26/AC975),0)</f>
        <v>1558.38701511882</v>
      </c>
      <c r="AX975" s="2" t="n">
        <f aca="false">AQ975-Entrées!$C$17*1000</f>
        <v>-44.0148815369084</v>
      </c>
      <c r="AY975" s="2" t="n">
        <f aca="false">AI975+(Entrées!$C$244-Entrées!$C$13)</f>
        <v>28633.1391381539</v>
      </c>
      <c r="AZ975" s="2" t="n">
        <f aca="false">AA975*AH975</f>
        <v>5417.75087101021</v>
      </c>
      <c r="BA975" s="2" t="n">
        <f aca="false">AZ975/AY975</f>
        <v>0.189212605885431</v>
      </c>
      <c r="BB975" s="2" t="n">
        <f aca="false">AZ975/(Entrées!$C$151/100)-AY975</f>
        <v>1465.47681190282</v>
      </c>
      <c r="BC975" s="2" t="n">
        <f aca="false">AT975+(Entrées!$C$244-Entrées!$C$13)</f>
        <v>28649.3555095053</v>
      </c>
      <c r="BD975" s="2" t="n">
        <f aca="false">AA975*AQ975</f>
        <v>5745.74846293088</v>
      </c>
      <c r="BE975" s="2" t="n">
        <f aca="false">BD975/BC975</f>
        <v>0.200554196097869</v>
      </c>
      <c r="BF975" s="2" t="n">
        <f aca="false">BD975/(Entrées!$C$151/100)-BC975</f>
        <v>3271.46928455514</v>
      </c>
      <c r="BG975" s="2" t="n">
        <f aca="false">MIN(AV975,BF975)</f>
        <v>965.599845883993</v>
      </c>
      <c r="BH975" s="2" t="n">
        <f aca="false">IF(AC975&gt;Hypothèses!$J$26,MAX(0,BG975)/(1-Hypothèses!$J$26/AC975),0)</f>
        <v>1558.38701511882</v>
      </c>
    </row>
    <row r="976" customFormat="false" ht="15" hidden="false" customHeight="false" outlineLevel="0" collapsed="false">
      <c r="A976" s="2" t="n">
        <v>961</v>
      </c>
      <c r="B976" s="2" t="n">
        <v>0.890184366</v>
      </c>
      <c r="C976" s="2"/>
      <c r="D976" s="2" t="n">
        <v>0.077995625</v>
      </c>
      <c r="E976" s="2" t="n">
        <f aca="false">IF(E$7=E$5,E$6,IF(NORMSDIST(E$9*SQRT($C$11)*NORMSINV($B976)+SQRT(1-E$9^2*$C$11)*NORMSINV(D976))&lt;E$8,E$5+SQRT(NORMSDIST(E$9*SQRT($C$11)*NORMSINV($B976)+SQRT(1-E$9^2*$C$11)*NORMSINV(D976))*(E$7-E$5)*(E$6-E$5)),E$7-SQRT((1-NORMSDIST(E$9*SQRT($C$11)*NORMSINV($B976)+SQRT(1-E$9^2*$C$11)*NORMSINV(D976)))*(E$7-E$5)*(E$7-E$6))))</f>
        <v>0.0543215346011295</v>
      </c>
      <c r="F976" s="2" t="n">
        <v>0.47315082</v>
      </c>
      <c r="G976" s="2" t="n">
        <f aca="false">IF(G$7=G$5,G$6,IF(NORMSDIST(G$9*SQRT($C$11)*NORMSINV($B976)+SQRT(1-G$9^2*$C$11)*NORMSINV(F976))&lt;G$8,G$5+SQRT(NORMSDIST(G$9*SQRT($C$11)*NORMSINV($B976)+SQRT(1-G$9^2*$C$11)*NORMSINV(F976))*(G$7-G$5)*(G$6-G$5)),G$7-SQRT((1-NORMSDIST(G$9*SQRT($C$11)*NORMSINV($B976)+SQRT(1-G$9^2*$C$11)*NORMSINV(F976)))*(G$7-G$5)*(G$7-G$6))))</f>
        <v>0.0597279170821318</v>
      </c>
      <c r="H976" s="2" t="n">
        <v>0.607085375</v>
      </c>
      <c r="I976" s="2" t="n">
        <f aca="false">IF(I$7=I$5,I$6,IF(NORMSDIST(I$9*SQRT($C$11)*NORMSINV($B976)+SQRT(1-I$9^2*$C$11)*NORMSINV(H976))&lt;I$8,I$5+SQRT(NORMSDIST(I$9*SQRT($C$11)*NORMSINV($B976)+SQRT(1-I$9^2*$C$11)*NORMSINV(H976))*(I$7-I$5)*(I$6-I$5)),I$7-SQRT((1-NORMSDIST(I$9*SQRT($C$11)*NORMSINV($B976)+SQRT(1-I$9^2*$C$11)*NORMSINV(H976)))*(I$7-I$5)*(I$7-I$6))))</f>
        <v>208.620585394687</v>
      </c>
      <c r="J976" s="2" t="n">
        <v>0.971484599</v>
      </c>
      <c r="K976" s="2" t="n">
        <f aca="false">IF(K$7=K$5,K$6,IF(NORMSDIST(K$9*SQRT($C$11)*NORMSINV($B976)+SQRT(1-K$9^2*$C$11)*NORMSINV(J976))&lt;K$8,K$5+SQRT(NORMSDIST(K$9*SQRT($C$11)*NORMSINV($B976)+SQRT(1-K$9^2*$C$11)*NORMSINV(J976))*(K$7-K$5)*(K$6-K$5)),K$7-SQRT((1-NORMSDIST(K$9*SQRT($C$11)*NORMSINV($B976)+SQRT(1-K$9^2*$C$11)*NORMSINV(J976)))*(K$7-K$5)*(K$7-K$6))))</f>
        <v>0.460932956783856</v>
      </c>
      <c r="L976" s="2" t="n">
        <v>0.098787597</v>
      </c>
      <c r="M976" s="2" t="n">
        <f aca="false">IF(M$7=M$5,M$6,IF(NORMSDIST(M$9*SQRT($C$11)*NORMSINV($B976)+SQRT(1-M$9^2*$C$11)*NORMSINV(L976))&lt;M$8,M$5+SQRT(NORMSDIST(M$9*SQRT($C$11)*NORMSINV($B976)+SQRT(1-M$9^2*$C$11)*NORMSINV(L976))*(M$7-M$5)*(M$6-M$5)),M$7-SQRT((1-NORMSDIST(M$9*SQRT($C$11)*NORMSINV($B976)+SQRT(1-M$9^2*$C$11)*NORMSINV(L976)))*(M$7-M$5)*(M$7-M$6))))</f>
        <v>1559.40424725346</v>
      </c>
      <c r="N976" s="2" t="n">
        <v>0.204865998</v>
      </c>
      <c r="O976" s="2" t="n">
        <f aca="false">IF(O$7=O$5,O$6,IF(NORMSDIST(O$9*SQRT($C$11)*NORMSINV($B976)+SQRT(1-O$9^2*$C$11)*NORMSINV(N976))&lt;O$8,O$5+SQRT(NORMSDIST(O$9*SQRT($C$11)*NORMSINV($B976)+SQRT(1-O$9^2*$C$11)*NORMSINV(N976))*(O$7-O$5)*(O$6-O$5)),O$7-SQRT((1-NORMSDIST(O$9*SQRT($C$11)*NORMSINV($B976)+SQRT(1-O$9^2*$C$11)*NORMSINV(N976)))*(O$7-O$5)*(O$7-O$6))))</f>
        <v>0.168214092580271</v>
      </c>
      <c r="P976" s="2" t="n">
        <v>0.535126761</v>
      </c>
      <c r="Q976" s="2" t="n">
        <f aca="false">IF(Q$7=Q$5,Q$6,IF(NORMSDIST(Q$9*SQRT($C$11)*NORMSINV($B976)+SQRT(1-Q$9^2*$C$11)*NORMSINV(P976))&lt;Q$8,Q$5+SQRT(NORMSDIST(Q$9*SQRT($C$11)*NORMSINV($B976)+SQRT(1-Q$9^2*$C$11)*NORMSINV(P976))*(Q$7-Q$5)*(Q$6-Q$5)),Q$7-SQRT((1-NORMSDIST(Q$9*SQRT($C$11)*NORMSINV($B976)+SQRT(1-Q$9^2*$C$11)*NORMSINV(P976)))*(Q$7-Q$5)*(Q$7-Q$6))))</f>
        <v>0.0814306551157529</v>
      </c>
      <c r="R976" s="2" t="n">
        <v>0.141193977</v>
      </c>
      <c r="S976" s="2" t="n">
        <f aca="false">IF(S$7=S$5,S$6,IF(NORMSDIST(S$9*SQRT($C$11)*NORMSINV($B976)+SQRT(1-S$9^2*$C$11)*NORMSINV(R976))&lt;S$8,S$5+SQRT(NORMSDIST(S$9*SQRT($C$11)*NORMSINV($B976)+SQRT(1-S$9^2*$C$11)*NORMSINV(R976))*(S$7-S$5)*(S$6-S$5)),S$7-SQRT((1-NORMSDIST(S$9*SQRT($C$11)*NORMSINV($B976)+SQRT(1-S$9^2*$C$11)*NORMSINV(R976)))*(S$7-S$5)*(S$7-S$6))))</f>
        <v>0.488642009292848</v>
      </c>
      <c r="T976" s="2" t="n">
        <v>0.253209953</v>
      </c>
      <c r="U976" s="2" t="n">
        <f aca="false">IF(U$7=U$5,U$6,IF(NORMSDIST(U$9*SQRT($C$11)*NORMSINV($B976)+SQRT(1-U$9^2*$C$11)*NORMSINV(T976))&lt;U$8,U$5+SQRT(NORMSDIST(U$9*SQRT($C$11)*NORMSINV($B976)+SQRT(1-U$9^2*$C$11)*NORMSINV(T976))*(U$7-U$5)*(U$6-U$5)),U$7-SQRT((1-NORMSDIST(U$9*SQRT($C$11)*NORMSINV($B976)+SQRT(1-U$9^2*$C$11)*NORMSINV(T976)))*(U$7-U$5)*(U$7-U$6))))</f>
        <v>0.554588973851843</v>
      </c>
      <c r="V976" s="2" t="n">
        <v>0.199777902</v>
      </c>
      <c r="W976" s="2" t="n">
        <f aca="false">IF(W$7=W$5,W$6,IF(NORMSDIST(W$9*SQRT($C$11)*NORMSINV($B976)+SQRT(1-W$9^2*$C$11)*NORMSINV(V976))&lt;W$8,W$5+SQRT(NORMSDIST(W$9*SQRT($C$11)*NORMSINV($B976)+SQRT(1-W$9^2*$C$11)*NORMSINV(V976))*(W$7-W$5)*(W$6-W$5)),W$7-SQRT((1-NORMSDIST(W$9*SQRT($C$11)*NORMSINV($B976)+SQRT(1-W$9^2*$C$11)*NORMSINV(V976)))*(W$7-W$5)*(W$7-W$6))))</f>
        <v>10.101091763163</v>
      </c>
      <c r="X976" s="2" t="n">
        <v>0.559134311</v>
      </c>
      <c r="Y976" s="2" t="n">
        <f aca="false">IF(Y$7=Y$5,Y$6,IF(NORMSDIST(Y$9*SQRT($C$11)*NORMSINV($B976)+SQRT(1-Y$9^2*$C$11)*NORMSINV(X976))&lt;Y$8,Y$5+SQRT(NORMSDIST(Y$9*SQRT($C$11)*NORMSINV($B976)+SQRT(1-Y$9^2*$C$11)*NORMSINV(X976))*(Y$7-Y$5)*(Y$6-Y$5)),Y$7-SQRT((1-NORMSDIST(Y$9*SQRT($C$11)*NORMSINV($B976)+SQRT(1-Y$9^2*$C$11)*NORMSINV(X976)))*(Y$7-Y$5)*(Y$7-Y$6))))</f>
        <v>0.530497236962337</v>
      </c>
      <c r="Z976" s="2" t="n">
        <v>0.389087133</v>
      </c>
      <c r="AA976" s="2" t="n">
        <f aca="false">IF(AA$7=AA$5,AA$6,IF(NORMSDIST(AA$9*SQRT($C$11)*NORMSINV($B976)+SQRT(1-AA$9^2*$C$11)*NORMSINV(Z976))&lt;AA$8,AA$5+SQRT(NORMSDIST(AA$9*SQRT($C$11)*NORMSINV($B976)+SQRT(1-AA$9^2*$C$11)*NORMSINV(Z976))*(AA$7-AA$5)*(AA$6-AA$5)),AA$7-SQRT((1-NORMSDIST(AA$9*SQRT($C$11)*NORMSINV($B976)+SQRT(1-AA$9^2*$C$11)*NORMSINV(Z976)))*(AA$7-AA$5)*(AA$7-AA$6))))</f>
        <v>0.734617315476355</v>
      </c>
      <c r="AB976" s="2" t="n">
        <v>0.095107531</v>
      </c>
      <c r="AC976" s="2" t="n">
        <f aca="false">IF(AC$7=AC$5,AC$6,IF(NORMSDIST(AC$9*SQRT($C$11)*NORMSINV($B976)+SQRT(1-AC$9^2*$C$11)*NORMSINV(AB976))&lt;AC$8,AC$5+SQRT(NORMSDIST(AC$9*SQRT($C$11)*NORMSINV($B976)+SQRT(1-AC$9^2*$C$11)*NORMSINV(AB976))*(AC$7-AC$5)*(AC$6-AC$5)),AC$7-SQRT((1-NORMSDIST(AC$9*SQRT($C$11)*NORMSINV($B976)+SQRT(1-AC$9^2*$C$11)*NORMSINV(AB976)))*(AC$7-AC$5)*(AC$7-AC$6))))</f>
        <v>9.27248814244481</v>
      </c>
      <c r="AD976" s="2" t="n">
        <f aca="false">Entrées!$C$8*(1+E976)</f>
        <v>7432.96681893796</v>
      </c>
      <c r="AE976" s="2" t="n">
        <f aca="false">I976*Hypothèses!$J$24/12/Hypothèses!$J$19</f>
        <v>103.496004698145</v>
      </c>
      <c r="AF976" s="2" t="n">
        <f aca="false">Entrées!$C$36*S976*1000</f>
        <v>244.321004646424</v>
      </c>
      <c r="AG976" s="2" t="n">
        <f aca="false">-AF976/W976</f>
        <v>-24.1875839141885</v>
      </c>
      <c r="AH976" s="2" t="n">
        <f aca="false">AD976+AE976+AG976</f>
        <v>7512.27523972192</v>
      </c>
      <c r="AI976" s="2" t="n">
        <f aca="false">Entrées!$C$16-M976+Hypothèses!$J$22*1000-AF976+Hypothèses!$J$23</f>
        <v>22744.2747481001</v>
      </c>
      <c r="AJ976" s="2" t="n">
        <f aca="false">AI976/AH976</f>
        <v>3.0276146736261</v>
      </c>
      <c r="AK976" s="2" t="n">
        <f aca="false">AI976/(AH976+I976*(12-Hypothèses!$J$24)/12/Hypothèses!$J$19)</f>
        <v>2.99811129126808</v>
      </c>
      <c r="AL976" s="2" t="n">
        <f aca="false">(AD976+AG976+I976/Hypothèses!$J$19)*(1+G976)</f>
        <v>8039.30893911325</v>
      </c>
      <c r="AM976" s="2" t="n">
        <f aca="false">Entrées!$C$54*K976/Hypothèses!$J$19</f>
        <v>47.0401435722139</v>
      </c>
      <c r="AN976" s="2" t="n">
        <f aca="false">Y976*1000/AC976</f>
        <v>57.2119617531767</v>
      </c>
      <c r="AO976" s="2" t="n">
        <f aca="false">(Entrées!$C$36*(1-S976)+MAX(0,Entrées!$C$30-Entrées!$C$35-Entrées!$C$36)*U976)*1000</f>
        <v>1032.10355874616</v>
      </c>
      <c r="AP976" s="2" t="n">
        <f aca="false">-AO976/W976</f>
        <v>-102.177426257037</v>
      </c>
      <c r="AQ976" s="2" t="n">
        <f aca="false">AL976+AM976+AN976+AP976</f>
        <v>8041.3836181816</v>
      </c>
      <c r="AR976" s="2" t="n">
        <f aca="false">O976*AQ976-Hypothèses!$J$25/Hypothèses!$J$19</f>
        <v>1333.53888616065</v>
      </c>
      <c r="AS976" s="2" t="n">
        <f aca="false">Entrées!$C$79*(1+Q976)+Hypothèses!$J$20</f>
        <v>1483.49228997221</v>
      </c>
      <c r="AT976" s="2" t="n">
        <f aca="false">AI976-AR976+AS976+Y976*1000-AO976+Hypothèses!$J$23</f>
        <v>22392.6218301279</v>
      </c>
      <c r="AU976" s="2" t="n">
        <f aca="false">AT976/AQ976</f>
        <v>2.78467274953754</v>
      </c>
      <c r="AV976" s="2" t="n">
        <f aca="false">Hypothèses!$J$26*AQ976-AT976</f>
        <v>1731.52902441694</v>
      </c>
      <c r="AW976" s="2" t="n">
        <f aca="false">IF(AC976&gt;Hypothèses!$J$26,MAX(0,AV976)/(1-Hypothèses!$J$26/AC976),0)</f>
        <v>2559.68317238575</v>
      </c>
      <c r="AX976" s="2" t="n">
        <f aca="false">AQ976-Entrées!$C$17*1000</f>
        <v>41.3836181815996</v>
      </c>
      <c r="AY976" s="2" t="n">
        <f aca="false">AI976+(Entrées!$C$244-Entrées!$C$13)</f>
        <v>28491.2747481001</v>
      </c>
      <c r="AZ976" s="2" t="n">
        <f aca="false">AA976*AH976</f>
        <v>5518.64746972401</v>
      </c>
      <c r="BA976" s="2" t="n">
        <f aca="false">AZ976/AY976</f>
        <v>0.193696053213344</v>
      </c>
      <c r="BB976" s="2" t="n">
        <f aca="false">AZ976/(Entrées!$C$151/100)-AY976</f>
        <v>2167.8778614777</v>
      </c>
      <c r="BC976" s="2" t="n">
        <f aca="false">AT976+(Entrées!$C$244-Entrées!$C$13)</f>
        <v>28139.6218301279</v>
      </c>
      <c r="BD976" s="2" t="n">
        <f aca="false">AA976*AQ976</f>
        <v>5907.3396463041</v>
      </c>
      <c r="BE976" s="2" t="n">
        <f aca="false">BD976/BC976</f>
        <v>0.209929603246458</v>
      </c>
      <c r="BF976" s="2" t="n">
        <f aca="false">BD976/(Entrées!$C$151/100)-BC976</f>
        <v>4678.9317604505</v>
      </c>
      <c r="BG976" s="2" t="n">
        <f aca="false">MIN(AV976,BF976)</f>
        <v>1731.52902441694</v>
      </c>
      <c r="BH976" s="2" t="n">
        <f aca="false">IF(AC976&gt;Hypothèses!$J$26,MAX(0,BG976)/(1-Hypothèses!$J$26/AC976),0)</f>
        <v>2559.68317238575</v>
      </c>
    </row>
    <row r="977" customFormat="false" ht="15" hidden="false" customHeight="false" outlineLevel="0" collapsed="false">
      <c r="A977" s="2" t="n">
        <v>962</v>
      </c>
      <c r="B977" s="2" t="n">
        <v>0.108843004</v>
      </c>
      <c r="C977" s="2"/>
      <c r="D977" s="2" t="n">
        <v>0.925119005</v>
      </c>
      <c r="E977" s="2" t="n">
        <f aca="false">IF(E$7=E$5,E$6,IF(NORMSDIST(E$9*SQRT($C$11)*NORMSINV($B977)+SQRT(1-E$9^2*$C$11)*NORMSINV(D977))&lt;E$8,E$5+SQRT(NORMSDIST(E$9*SQRT($C$11)*NORMSINV($B977)+SQRT(1-E$9^2*$C$11)*NORMSINV(D977))*(E$7-E$5)*(E$6-E$5)),E$7-SQRT((1-NORMSDIST(E$9*SQRT($C$11)*NORMSINV($B977)+SQRT(1-E$9^2*$C$11)*NORMSINV(D977)))*(E$7-E$5)*(E$7-E$6))))</f>
        <v>0.0557081100891208</v>
      </c>
      <c r="F977" s="2" t="n">
        <v>0.904072495</v>
      </c>
      <c r="G977" s="2" t="n">
        <f aca="false">IF(G$7=G$5,G$6,IF(NORMSDIST(G$9*SQRT($C$11)*NORMSINV($B977)+SQRT(1-G$9^2*$C$11)*NORMSINV(F977))&lt;G$8,G$5+SQRT(NORMSDIST(G$9*SQRT($C$11)*NORMSINV($B977)+SQRT(1-G$9^2*$C$11)*NORMSINV(F977))*(G$7-G$5)*(G$6-G$5)),G$7-SQRT((1-NORMSDIST(G$9*SQRT($C$11)*NORMSINV($B977)+SQRT(1-G$9^2*$C$11)*NORMSINV(F977)))*(G$7-G$5)*(G$7-G$6))))</f>
        <v>0.0564411390830205</v>
      </c>
      <c r="H977" s="2" t="n">
        <v>0.397436729</v>
      </c>
      <c r="I977" s="2" t="n">
        <f aca="false">IF(I$7=I$5,I$6,IF(NORMSDIST(I$9*SQRT($C$11)*NORMSINV($B977)+SQRT(1-I$9^2*$C$11)*NORMSINV(H977))&lt;I$8,I$5+SQRT(NORMSDIST(I$9*SQRT($C$11)*NORMSINV($B977)+SQRT(1-I$9^2*$C$11)*NORMSINV(H977))*(I$7-I$5)*(I$6-I$5)),I$7-SQRT((1-NORMSDIST(I$9*SQRT($C$11)*NORMSINV($B977)+SQRT(1-I$9^2*$C$11)*NORMSINV(H977)))*(I$7-I$5)*(I$7-I$6))))</f>
        <v>191.429518584767</v>
      </c>
      <c r="J977" s="2" t="n">
        <v>0.667343219</v>
      </c>
      <c r="K977" s="2" t="n">
        <f aca="false">IF(K$7=K$5,K$6,IF(NORMSDIST(K$9*SQRT($C$11)*NORMSINV($B977)+SQRT(1-K$9^2*$C$11)*NORMSINV(J977))&lt;K$8,K$5+SQRT(NORMSDIST(K$9*SQRT($C$11)*NORMSINV($B977)+SQRT(1-K$9^2*$C$11)*NORMSINV(J977))*(K$7-K$5)*(K$6-K$5)),K$7-SQRT((1-NORMSDIST(K$9*SQRT($C$11)*NORMSINV($B977)+SQRT(1-K$9^2*$C$11)*NORMSINV(J977)))*(K$7-K$5)*(K$7-K$6))))</f>
        <v>0.202584195449118</v>
      </c>
      <c r="L977" s="2" t="n">
        <v>0.310859287</v>
      </c>
      <c r="M977" s="2" t="n">
        <f aca="false">IF(M$7=M$5,M$6,IF(NORMSDIST(M$9*SQRT($C$11)*NORMSINV($B977)+SQRT(1-M$9^2*$C$11)*NORMSINV(L977))&lt;M$8,M$5+SQRT(NORMSDIST(M$9*SQRT($C$11)*NORMSINV($B977)+SQRT(1-M$9^2*$C$11)*NORMSINV(L977))*(M$7-M$5)*(M$6-M$5)),M$7-SQRT((1-NORMSDIST(M$9*SQRT($C$11)*NORMSINV($B977)+SQRT(1-M$9^2*$C$11)*NORMSINV(L977)))*(M$7-M$5)*(M$7-M$6))))</f>
        <v>1442.94450310992</v>
      </c>
      <c r="N977" s="2" t="n">
        <v>0.797496368</v>
      </c>
      <c r="O977" s="2" t="n">
        <f aca="false">IF(O$7=O$5,O$6,IF(NORMSDIST(O$9*SQRT($C$11)*NORMSINV($B977)+SQRT(1-O$9^2*$C$11)*NORMSINV(N977))&lt;O$8,O$5+SQRT(NORMSDIST(O$9*SQRT($C$11)*NORMSINV($B977)+SQRT(1-O$9^2*$C$11)*NORMSINV(N977))*(O$7-O$5)*(O$6-O$5)),O$7-SQRT((1-NORMSDIST(O$9*SQRT($C$11)*NORMSINV($B977)+SQRT(1-O$9^2*$C$11)*NORMSINV(N977)))*(O$7-O$5)*(O$7-O$6))))</f>
        <v>0.16530980590493</v>
      </c>
      <c r="P977" s="2" t="n">
        <v>0.747414451</v>
      </c>
      <c r="Q977" s="2" t="n">
        <f aca="false">IF(Q$7=Q$5,Q$6,IF(NORMSDIST(Q$9*SQRT($C$11)*NORMSINV($B977)+SQRT(1-Q$9^2*$C$11)*NORMSINV(P977))&lt;Q$8,Q$5+SQRT(NORMSDIST(Q$9*SQRT($C$11)*NORMSINV($B977)+SQRT(1-Q$9^2*$C$11)*NORMSINV(P977))*(Q$7-Q$5)*(Q$6-Q$5)),Q$7-SQRT((1-NORMSDIST(Q$9*SQRT($C$11)*NORMSINV($B977)+SQRT(1-Q$9^2*$C$11)*NORMSINV(P977)))*(Q$7-Q$5)*(Q$7-Q$6))))</f>
        <v>0.0915698442353898</v>
      </c>
      <c r="R977" s="2" t="n">
        <v>0.466121345</v>
      </c>
      <c r="S977" s="2" t="n">
        <f aca="false">IF(S$7=S$5,S$6,IF(NORMSDIST(S$9*SQRT($C$11)*NORMSINV($B977)+SQRT(1-S$9^2*$C$11)*NORMSINV(R977))&lt;S$8,S$5+SQRT(NORMSDIST(S$9*SQRT($C$11)*NORMSINV($B977)+SQRT(1-S$9^2*$C$11)*NORMSINV(R977))*(S$7-S$5)*(S$6-S$5)),S$7-SQRT((1-NORMSDIST(S$9*SQRT($C$11)*NORMSINV($B977)+SQRT(1-S$9^2*$C$11)*NORMSINV(R977)))*(S$7-S$5)*(S$7-S$6))))</f>
        <v>0.31537178380755</v>
      </c>
      <c r="T977" s="2" t="n">
        <v>0.534785765</v>
      </c>
      <c r="U977" s="2" t="n">
        <f aca="false">IF(U$7=U$5,U$6,IF(NORMSDIST(U$9*SQRT($C$11)*NORMSINV($B977)+SQRT(1-U$9^2*$C$11)*NORMSINV(T977))&lt;U$8,U$5+SQRT(NORMSDIST(U$9*SQRT($C$11)*NORMSINV($B977)+SQRT(1-U$9^2*$C$11)*NORMSINV(T977))*(U$7-U$5)*(U$6-U$5)),U$7-SQRT((1-NORMSDIST(U$9*SQRT($C$11)*NORMSINV($B977)+SQRT(1-U$9^2*$C$11)*NORMSINV(T977)))*(U$7-U$5)*(U$7-U$6))))</f>
        <v>0.345131228200187</v>
      </c>
      <c r="V977" s="2" t="n">
        <v>0.67358721</v>
      </c>
      <c r="W977" s="2" t="n">
        <f aca="false">IF(W$7=W$5,W$6,IF(NORMSDIST(W$9*SQRT($C$11)*NORMSINV($B977)+SQRT(1-W$9^2*$C$11)*NORMSINV(V977))&lt;W$8,W$5+SQRT(NORMSDIST(W$9*SQRT($C$11)*NORMSINV($B977)+SQRT(1-W$9^2*$C$11)*NORMSINV(V977))*(W$7-W$5)*(W$6-W$5)),W$7-SQRT((1-NORMSDIST(W$9*SQRT($C$11)*NORMSINV($B977)+SQRT(1-W$9^2*$C$11)*NORMSINV(V977)))*(W$7-W$5)*(W$7-W$6))))</f>
        <v>9.63258461203897</v>
      </c>
      <c r="X977" s="2" t="n">
        <v>0.664109609</v>
      </c>
      <c r="Y977" s="2" t="n">
        <f aca="false">IF(Y$7=Y$5,Y$6,IF(NORMSDIST(Y$9*SQRT($C$11)*NORMSINV($B977)+SQRT(1-Y$9^2*$C$11)*NORMSINV(X977))&lt;Y$8,Y$5+SQRT(NORMSDIST(Y$9*SQRT($C$11)*NORMSINV($B977)+SQRT(1-Y$9^2*$C$11)*NORMSINV(X977))*(Y$7-Y$5)*(Y$6-Y$5)),Y$7-SQRT((1-NORMSDIST(Y$9*SQRT($C$11)*NORMSINV($B977)+SQRT(1-Y$9^2*$C$11)*NORMSINV(X977)))*(Y$7-Y$5)*(Y$7-Y$6))))</f>
        <v>0.590188829459225</v>
      </c>
      <c r="Z977" s="2" t="n">
        <v>0.2097324</v>
      </c>
      <c r="AA977" s="2" t="n">
        <f aca="false">IF(AA$7=AA$5,AA$6,IF(NORMSDIST(AA$9*SQRT($C$11)*NORMSINV($B977)+SQRT(1-AA$9^2*$C$11)*NORMSINV(Z977))&lt;AA$8,AA$5+SQRT(NORMSDIST(AA$9*SQRT($C$11)*NORMSINV($B977)+SQRT(1-AA$9^2*$C$11)*NORMSINV(Z977))*(AA$7-AA$5)*(AA$6-AA$5)),AA$7-SQRT((1-NORMSDIST(AA$9*SQRT($C$11)*NORMSINV($B977)+SQRT(1-AA$9^2*$C$11)*NORMSINV(Z977)))*(AA$7-AA$5)*(AA$7-AA$6))))</f>
        <v>0.708412892549459</v>
      </c>
      <c r="AB977" s="2" t="n">
        <v>0.893830672</v>
      </c>
      <c r="AC977" s="2" t="n">
        <f aca="false">IF(AC$7=AC$5,AC$6,IF(NORMSDIST(AC$9*SQRT($C$11)*NORMSINV($B977)+SQRT(1-AC$9^2*$C$11)*NORMSINV(AB977))&lt;AC$8,AC$5+SQRT(NORMSDIST(AC$9*SQRT($C$11)*NORMSINV($B977)+SQRT(1-AC$9^2*$C$11)*NORMSINV(AB977))*(AC$7-AC$5)*(AC$6-AC$5)),AC$7-SQRT((1-NORMSDIST(AC$9*SQRT($C$11)*NORMSINV($B977)+SQRT(1-AC$9^2*$C$11)*NORMSINV(AB977)))*(AC$7-AC$5)*(AC$7-AC$6))))</f>
        <v>9.6268467229741</v>
      </c>
      <c r="AD977" s="2" t="n">
        <f aca="false">Entrées!$C$8*(1+E977)</f>
        <v>7442.7421761283</v>
      </c>
      <c r="AE977" s="2" t="n">
        <f aca="false">I977*Hypothèses!$J$24/12/Hypothèses!$J$19</f>
        <v>94.9675714758936</v>
      </c>
      <c r="AF977" s="2" t="n">
        <f aca="false">Entrées!$C$36*S977*1000</f>
        <v>157.685891903775</v>
      </c>
      <c r="AG977" s="2" t="n">
        <f aca="false">-AF977/W977</f>
        <v>-16.3700500182159</v>
      </c>
      <c r="AH977" s="2" t="n">
        <f aca="false">AD977+AE977+AG977</f>
        <v>7521.33969758598</v>
      </c>
      <c r="AI977" s="2" t="n">
        <f aca="false">Entrées!$C$16-M977+Hypothèses!$J$22*1000-AF977+Hypothèses!$J$23</f>
        <v>22947.3696049863</v>
      </c>
      <c r="AJ977" s="2" t="n">
        <f aca="false">AI977/AH977</f>
        <v>3.05096838165033</v>
      </c>
      <c r="AK977" s="2" t="n">
        <f aca="false">AI977/(AH977+I977*(12-Hypothèses!$J$24)/12/Hypothèses!$J$19)</f>
        <v>3.02369804421415</v>
      </c>
      <c r="AL977" s="2" t="n">
        <f aca="false">(AD977+AG977+I977/Hypothèses!$J$19)*(1+G977)</f>
        <v>8017.51528425232</v>
      </c>
      <c r="AM977" s="2" t="n">
        <f aca="false">Entrées!$C$54*K977/Hypothèses!$J$19</f>
        <v>20.6745677416523</v>
      </c>
      <c r="AN977" s="2" t="n">
        <f aca="false">Y977*1000/AC977</f>
        <v>61.306557218862</v>
      </c>
      <c r="AO977" s="2" t="n">
        <f aca="false">(Entrées!$C$36*(1-S977)+MAX(0,Entrées!$C$30-Entrées!$C$35-Entrées!$C$36)*U977)*1000</f>
        <v>825.497827576488</v>
      </c>
      <c r="AP977" s="2" t="n">
        <f aca="false">-AO977/W977</f>
        <v>-85.698476662719</v>
      </c>
      <c r="AQ977" s="2" t="n">
        <f aca="false">AL977+AM977+AN977+AP977</f>
        <v>8013.79793255011</v>
      </c>
      <c r="AR977" s="2" t="n">
        <f aca="false">O977*AQ977-Hypothèses!$J$25/Hypothèses!$J$19</f>
        <v>1305.62421852956</v>
      </c>
      <c r="AS977" s="2" t="n">
        <f aca="false">Entrées!$C$79*(1+Q977)+Hypothèses!$J$20</f>
        <v>1494.63525881469</v>
      </c>
      <c r="AT977" s="2" t="n">
        <f aca="false">AI977-AR977+AS977+Y977*1000-AO977+Hypothèses!$J$23</f>
        <v>22901.0716471542</v>
      </c>
      <c r="AU977" s="2" t="n">
        <f aca="false">AT977/AQ977</f>
        <v>2.85770515302558</v>
      </c>
      <c r="AV977" s="2" t="n">
        <f aca="false">Hypothèses!$J$26*AQ977-AT977</f>
        <v>1140.32215049615</v>
      </c>
      <c r="AW977" s="2" t="n">
        <f aca="false">IF(AC977&gt;Hypothèses!$J$26,MAX(0,AV977)/(1-Hypothèses!$J$26/AC977),0)</f>
        <v>1656.55054606603</v>
      </c>
      <c r="AX977" s="2" t="n">
        <f aca="false">AQ977-Entrées!$C$17*1000</f>
        <v>13.7979325501101</v>
      </c>
      <c r="AY977" s="2" t="n">
        <f aca="false">AI977+(Entrées!$C$244-Entrées!$C$13)</f>
        <v>28694.3696049863</v>
      </c>
      <c r="AZ977" s="2" t="n">
        <f aca="false">AA977*AH977</f>
        <v>5328.21401101395</v>
      </c>
      <c r="BA977" s="2" t="n">
        <f aca="false">AZ977/AY977</f>
        <v>0.185688484687534</v>
      </c>
      <c r="BB977" s="2" t="n">
        <f aca="false">AZ977/(Entrées!$C$151/100)-AY977</f>
        <v>906.819345091208</v>
      </c>
      <c r="BC977" s="2" t="n">
        <f aca="false">AT977+(Entrées!$C$244-Entrées!$C$13)</f>
        <v>28648.0716471542</v>
      </c>
      <c r="BD977" s="2" t="n">
        <f aca="false">AA977*AQ977</f>
        <v>5677.07777370469</v>
      </c>
      <c r="BE977" s="2" t="n">
        <f aca="false">BD977/BC977</f>
        <v>0.198166139893351</v>
      </c>
      <c r="BF977" s="2" t="n">
        <f aca="false">BD977/(Entrées!$C$151/100)-BC977</f>
        <v>2891.2493178719</v>
      </c>
      <c r="BG977" s="2" t="n">
        <f aca="false">MIN(AV977,BF977)</f>
        <v>1140.32215049615</v>
      </c>
      <c r="BH977" s="2" t="n">
        <f aca="false">IF(AC977&gt;Hypothèses!$J$26,MAX(0,BG977)/(1-Hypothèses!$J$26/AC977),0)</f>
        <v>1656.55054606603</v>
      </c>
    </row>
    <row r="978" customFormat="false" ht="15" hidden="false" customHeight="false" outlineLevel="0" collapsed="false">
      <c r="A978" s="2" t="n">
        <v>963</v>
      </c>
      <c r="B978" s="2" t="n">
        <v>0.663012468</v>
      </c>
      <c r="C978" s="2"/>
      <c r="D978" s="2" t="n">
        <v>0.052173427</v>
      </c>
      <c r="E978" s="2" t="n">
        <f aca="false">IF(E$7=E$5,E$6,IF(NORMSDIST(E$9*SQRT($C$11)*NORMSINV($B978)+SQRT(1-E$9^2*$C$11)*NORMSINV(D978))&lt;E$8,E$5+SQRT(NORMSDIST(E$9*SQRT($C$11)*NORMSINV($B978)+SQRT(1-E$9^2*$C$11)*NORMSINV(D978))*(E$7-E$5)*(E$6-E$5)),E$7-SQRT((1-NORMSDIST(E$9*SQRT($C$11)*NORMSINV($B978)+SQRT(1-E$9^2*$C$11)*NORMSINV(D978)))*(E$7-E$5)*(E$7-E$6))))</f>
        <v>0.0528337644062376</v>
      </c>
      <c r="F978" s="2" t="n">
        <v>0.230619487</v>
      </c>
      <c r="G978" s="2" t="n">
        <f aca="false">IF(G$7=G$5,G$6,IF(NORMSDIST(G$9*SQRT($C$11)*NORMSINV($B978)+SQRT(1-G$9^2*$C$11)*NORMSINV(F978))&lt;G$8,G$5+SQRT(NORMSDIST(G$9*SQRT($C$11)*NORMSINV($B978)+SQRT(1-G$9^2*$C$11)*NORMSINV(F978))*(G$7-G$5)*(G$6-G$5)),G$7-SQRT((1-NORMSDIST(G$9*SQRT($C$11)*NORMSINV($B978)+SQRT(1-G$9^2*$C$11)*NORMSINV(F978)))*(G$7-G$5)*(G$7-G$6))))</f>
        <v>0.0530821002288843</v>
      </c>
      <c r="H978" s="2" t="n">
        <v>0.558826815</v>
      </c>
      <c r="I978" s="2" t="n">
        <f aca="false">IF(I$7=I$5,I$6,IF(NORMSDIST(I$9*SQRT($C$11)*NORMSINV($B978)+SQRT(1-I$9^2*$C$11)*NORMSINV(H978))&lt;I$8,I$5+SQRT(NORMSDIST(I$9*SQRT($C$11)*NORMSINV($B978)+SQRT(1-I$9^2*$C$11)*NORMSINV(H978))*(I$7-I$5)*(I$6-I$5)),I$7-SQRT((1-NORMSDIST(I$9*SQRT($C$11)*NORMSINV($B978)+SQRT(1-I$9^2*$C$11)*NORMSINV(H978)))*(I$7-I$5)*(I$7-I$6))))</f>
        <v>203.225991251264</v>
      </c>
      <c r="J978" s="2" t="n">
        <v>0.530246798</v>
      </c>
      <c r="K978" s="2" t="n">
        <f aca="false">IF(K$7=K$5,K$6,IF(NORMSDIST(K$9*SQRT($C$11)*NORMSINV($B978)+SQRT(1-K$9^2*$C$11)*NORMSINV(J978))&lt;K$8,K$5+SQRT(NORMSDIST(K$9*SQRT($C$11)*NORMSINV($B978)+SQRT(1-K$9^2*$C$11)*NORMSINV(J978))*(K$7-K$5)*(K$6-K$5)),K$7-SQRT((1-NORMSDIST(K$9*SQRT($C$11)*NORMSINV($B978)+SQRT(1-K$9^2*$C$11)*NORMSINV(J978)))*(K$7-K$5)*(K$7-K$6))))</f>
        <v>0.284174717013931</v>
      </c>
      <c r="L978" s="2" t="n">
        <v>0.011991788</v>
      </c>
      <c r="M978" s="2" t="n">
        <f aca="false">IF(M$7=M$5,M$6,IF(NORMSDIST(M$9*SQRT($C$11)*NORMSINV($B978)+SQRT(1-M$9^2*$C$11)*NORMSINV(L978))&lt;M$8,M$5+SQRT(NORMSDIST(M$9*SQRT($C$11)*NORMSINV($B978)+SQRT(1-M$9^2*$C$11)*NORMSINV(L978))*(M$7-M$5)*(M$6-M$5)),M$7-SQRT((1-NORMSDIST(M$9*SQRT($C$11)*NORMSINV($B978)+SQRT(1-M$9^2*$C$11)*NORMSINV(L978)))*(M$7-M$5)*(M$7-M$6))))</f>
        <v>1408.09364860925</v>
      </c>
      <c r="N978" s="2" t="n">
        <v>0.037290093</v>
      </c>
      <c r="O978" s="2" t="n">
        <f aca="false">IF(O$7=O$5,O$6,IF(NORMSDIST(O$9*SQRT($C$11)*NORMSINV($B978)+SQRT(1-O$9^2*$C$11)*NORMSINV(N978))&lt;O$8,O$5+SQRT(NORMSDIST(O$9*SQRT($C$11)*NORMSINV($B978)+SQRT(1-O$9^2*$C$11)*NORMSINV(N978))*(O$7-O$5)*(O$6-O$5)),O$7-SQRT((1-NORMSDIST(O$9*SQRT($C$11)*NORMSINV($B978)+SQRT(1-O$9^2*$C$11)*NORMSINV(N978)))*(O$7-O$5)*(O$7-O$6))))</f>
        <v>0.153783582072913</v>
      </c>
      <c r="P978" s="2" t="n">
        <v>0.953565708</v>
      </c>
      <c r="Q978" s="2" t="n">
        <f aca="false">IF(Q$7=Q$5,Q$6,IF(NORMSDIST(Q$9*SQRT($C$11)*NORMSINV($B978)+SQRT(1-Q$9^2*$C$11)*NORMSINV(P978))&lt;Q$8,Q$5+SQRT(NORMSDIST(Q$9*SQRT($C$11)*NORMSINV($B978)+SQRT(1-Q$9^2*$C$11)*NORMSINV(P978))*(Q$7-Q$5)*(Q$6-Q$5)),Q$7-SQRT((1-NORMSDIST(Q$9*SQRT($C$11)*NORMSINV($B978)+SQRT(1-Q$9^2*$C$11)*NORMSINV(P978)))*(Q$7-Q$5)*(Q$7-Q$6))))</f>
        <v>0.107810261102058</v>
      </c>
      <c r="R978" s="2" t="n">
        <v>0.49795475</v>
      </c>
      <c r="S978" s="2" t="n">
        <f aca="false">IF(S$7=S$5,S$6,IF(NORMSDIST(S$9*SQRT($C$11)*NORMSINV($B978)+SQRT(1-S$9^2*$C$11)*NORMSINV(R978))&lt;S$8,S$5+SQRT(NORMSDIST(S$9*SQRT($C$11)*NORMSINV($B978)+SQRT(1-S$9^2*$C$11)*NORMSINV(R978))*(S$7-S$5)*(S$6-S$5)),S$7-SQRT((1-NORMSDIST(S$9*SQRT($C$11)*NORMSINV($B978)+SQRT(1-S$9^2*$C$11)*NORMSINV(R978)))*(S$7-S$5)*(S$7-S$6))))</f>
        <v>0.554679131800896</v>
      </c>
      <c r="T978" s="2" t="n">
        <v>0.80806918</v>
      </c>
      <c r="U978" s="2" t="n">
        <f aca="false">IF(U$7=U$5,U$6,IF(NORMSDIST(U$9*SQRT($C$11)*NORMSINV($B978)+SQRT(1-U$9^2*$C$11)*NORMSINV(T978))&lt;U$8,U$5+SQRT(NORMSDIST(U$9*SQRT($C$11)*NORMSINV($B978)+SQRT(1-U$9^2*$C$11)*NORMSINV(T978))*(U$7-U$5)*(U$6-U$5)),U$7-SQRT((1-NORMSDIST(U$9*SQRT($C$11)*NORMSINV($B978)+SQRT(1-U$9^2*$C$11)*NORMSINV(T978)))*(U$7-U$5)*(U$7-U$6))))</f>
        <v>0.705503519502056</v>
      </c>
      <c r="V978" s="2" t="n">
        <v>0.726532586</v>
      </c>
      <c r="W978" s="2" t="n">
        <f aca="false">IF(W$7=W$5,W$6,IF(NORMSDIST(W$9*SQRT($C$11)*NORMSINV($B978)+SQRT(1-W$9^2*$C$11)*NORMSINV(V978))&lt;W$8,W$5+SQRT(NORMSDIST(W$9*SQRT($C$11)*NORMSINV($B978)+SQRT(1-W$9^2*$C$11)*NORMSINV(V978))*(W$7-W$5)*(W$6-W$5)),W$7-SQRT((1-NORMSDIST(W$9*SQRT($C$11)*NORMSINV($B978)+SQRT(1-W$9^2*$C$11)*NORMSINV(V978)))*(W$7-W$5)*(W$7-W$6))))</f>
        <v>10.6379919840862</v>
      </c>
      <c r="X978" s="2" t="n">
        <v>0.380992577</v>
      </c>
      <c r="Y978" s="2" t="n">
        <f aca="false">IF(Y$7=Y$5,Y$6,IF(NORMSDIST(Y$9*SQRT($C$11)*NORMSINV($B978)+SQRT(1-Y$9^2*$C$11)*NORMSINV(X978))&lt;Y$8,Y$5+SQRT(NORMSDIST(Y$9*SQRT($C$11)*NORMSINV($B978)+SQRT(1-Y$9^2*$C$11)*NORMSINV(X978))*(Y$7-Y$5)*(Y$6-Y$5)),Y$7-SQRT((1-NORMSDIST(Y$9*SQRT($C$11)*NORMSINV($B978)+SQRT(1-Y$9^2*$C$11)*NORMSINV(X978)))*(Y$7-Y$5)*(Y$7-Y$6))))</f>
        <v>0.4364588050435</v>
      </c>
      <c r="Z978" s="2" t="n">
        <v>0.073696147</v>
      </c>
      <c r="AA978" s="2" t="n">
        <f aca="false">IF(AA$7=AA$5,AA$6,IF(NORMSDIST(AA$9*SQRT($C$11)*NORMSINV($B978)+SQRT(1-AA$9^2*$C$11)*NORMSINV(Z978))&lt;AA$8,AA$5+SQRT(NORMSDIST(AA$9*SQRT($C$11)*NORMSINV($B978)+SQRT(1-AA$9^2*$C$11)*NORMSINV(Z978))*(AA$7-AA$5)*(AA$6-AA$5)),AA$7-SQRT((1-NORMSDIST(AA$9*SQRT($C$11)*NORMSINV($B978)+SQRT(1-AA$9^2*$C$11)*NORMSINV(Z978)))*(AA$7-AA$5)*(AA$7-AA$6))))</f>
        <v>0.715810313822297</v>
      </c>
      <c r="AB978" s="2" t="n">
        <v>0.806786244</v>
      </c>
      <c r="AC978" s="2" t="n">
        <f aca="false">IF(AC$7=AC$5,AC$6,IF(NORMSDIST(AC$9*SQRT($C$11)*NORMSINV($B978)+SQRT(1-AC$9^2*$C$11)*NORMSINV(AB978))&lt;AC$8,AC$5+SQRT(NORMSDIST(AC$9*SQRT($C$11)*NORMSINV($B978)+SQRT(1-AC$9^2*$C$11)*NORMSINV(AB978))*(AC$7-AC$5)*(AC$6-AC$5)),AC$7-SQRT((1-NORMSDIST(AC$9*SQRT($C$11)*NORMSINV($B978)+SQRT(1-AC$9^2*$C$11)*NORMSINV(AB978)))*(AC$7-AC$5)*(AC$7-AC$6))))</f>
        <v>10.1320367625667</v>
      </c>
      <c r="AD978" s="2" t="n">
        <f aca="false">Entrées!$C$8*(1+E978)</f>
        <v>7422.47803906397</v>
      </c>
      <c r="AE978" s="2" t="n">
        <f aca="false">I978*Hypothèses!$J$24/12/Hypothèses!$J$19</f>
        <v>100.819763809663</v>
      </c>
      <c r="AF978" s="2" t="n">
        <f aca="false">Entrées!$C$36*S978*1000</f>
        <v>277.339565900448</v>
      </c>
      <c r="AG978" s="2" t="n">
        <f aca="false">-AF978/W978</f>
        <v>-26.070668817511</v>
      </c>
      <c r="AH978" s="2" t="n">
        <f aca="false">AD978+AE978+AG978</f>
        <v>7497.22713405613</v>
      </c>
      <c r="AI978" s="2" t="n">
        <f aca="false">Entrées!$C$16-M978+Hypothèses!$J$22*1000-AF978+Hypothèses!$J$23</f>
        <v>22862.5667854903</v>
      </c>
      <c r="AJ978" s="2" t="n">
        <f aca="false">AI978/AH978</f>
        <v>3.04946967414622</v>
      </c>
      <c r="AK978" s="2" t="n">
        <f aca="false">AI978/(AH978+I978*(12-Hypothèses!$J$24)/12/Hypothèses!$J$19)</f>
        <v>3.02045687634536</v>
      </c>
      <c r="AL978" s="2" t="n">
        <f aca="false">(AD978+AG978+I978/Hypothèses!$J$19)*(1+G978)</f>
        <v>7971.03247380856</v>
      </c>
      <c r="AM978" s="2" t="n">
        <f aca="false">Entrées!$C$54*K978/Hypothèses!$J$19</f>
        <v>29.0012230438038</v>
      </c>
      <c r="AN978" s="2" t="n">
        <f aca="false">Y978*1000/AC978</f>
        <v>43.0771043642497</v>
      </c>
      <c r="AO978" s="2" t="n">
        <f aca="false">(Entrées!$C$36*(1-S978)+MAX(0,Entrées!$C$30-Entrées!$C$35-Entrées!$C$36)*U978)*1000</f>
        <v>1210.36536140243</v>
      </c>
      <c r="AP978" s="2" t="n">
        <f aca="false">-AO978/W978</f>
        <v>-113.777615476028</v>
      </c>
      <c r="AQ978" s="2" t="n">
        <f aca="false">AL978+AM978+AN978+AP978</f>
        <v>7929.33318574059</v>
      </c>
      <c r="AR978" s="2" t="n">
        <f aca="false">O978*AQ978-Hypothèses!$J$25/Hypothèses!$J$19</f>
        <v>1200.26609849119</v>
      </c>
      <c r="AS978" s="2" t="n">
        <f aca="false">Entrées!$C$79*(1+Q978)+Hypothèses!$J$20</f>
        <v>1512.48347695116</v>
      </c>
      <c r="AT978" s="2" t="n">
        <f aca="false">AI978-AR978+AS978+Y978*1000-AO978+Hypothèses!$J$23</f>
        <v>22400.8776075914</v>
      </c>
      <c r="AU978" s="2" t="n">
        <f aca="false">AT978/AQ978</f>
        <v>2.82506448939176</v>
      </c>
      <c r="AV978" s="2" t="n">
        <f aca="false">Hypothèses!$J$26*AQ978-AT978</f>
        <v>1387.12194963041</v>
      </c>
      <c r="AW978" s="2" t="n">
        <f aca="false">IF(AC978&gt;Hypothèses!$J$26,MAX(0,AV978)/(1-Hypothèses!$J$26/AC978),0)</f>
        <v>1970.59704761821</v>
      </c>
      <c r="AX978" s="2" t="n">
        <f aca="false">AQ978-Entrées!$C$17*1000</f>
        <v>-70.6668142594144</v>
      </c>
      <c r="AY978" s="2" t="n">
        <f aca="false">AI978+(Entrées!$C$244-Entrées!$C$13)</f>
        <v>28609.5667854903</v>
      </c>
      <c r="AZ978" s="2" t="n">
        <f aca="false">AA978*AH978</f>
        <v>5366.59250762576</v>
      </c>
      <c r="BA978" s="2" t="n">
        <f aca="false">AZ978/AY978</f>
        <v>0.187580348484951</v>
      </c>
      <c r="BB978" s="2" t="n">
        <f aca="false">AZ978/(Entrées!$C$151/100)-AY978</f>
        <v>1204.83603465279</v>
      </c>
      <c r="BC978" s="2" t="n">
        <f aca="false">AT978+(Entrées!$C$244-Entrées!$C$13)</f>
        <v>28147.8776075914</v>
      </c>
      <c r="BD978" s="2" t="n">
        <f aca="false">AA978*AQ978</f>
        <v>5675.89847608652</v>
      </c>
      <c r="BE978" s="2" t="n">
        <f aca="false">BD978/BC978</f>
        <v>0.201645699729622</v>
      </c>
      <c r="BF978" s="2" t="n">
        <f aca="false">BD978/(Entrées!$C$151/100)-BC978</f>
        <v>3384.89170400045</v>
      </c>
      <c r="BG978" s="2" t="n">
        <f aca="false">MIN(AV978,BF978)</f>
        <v>1387.12194963041</v>
      </c>
      <c r="BH978" s="2" t="n">
        <f aca="false">IF(AC978&gt;Hypothèses!$J$26,MAX(0,BG978)/(1-Hypothèses!$J$26/AC978),0)</f>
        <v>1970.59704761821</v>
      </c>
    </row>
    <row r="979" customFormat="false" ht="15" hidden="false" customHeight="false" outlineLevel="0" collapsed="false">
      <c r="A979" s="2" t="n">
        <v>964</v>
      </c>
      <c r="B979" s="2" t="n">
        <v>0.281772624</v>
      </c>
      <c r="C979" s="2"/>
      <c r="D979" s="2" t="n">
        <v>0.199261635</v>
      </c>
      <c r="E979" s="2" t="n">
        <f aca="false">IF(E$7=E$5,E$6,IF(NORMSDIST(E$9*SQRT($C$11)*NORMSINV($B979)+SQRT(1-E$9^2*$C$11)*NORMSINV(D979))&lt;E$8,E$5+SQRT(NORMSDIST(E$9*SQRT($C$11)*NORMSINV($B979)+SQRT(1-E$9^2*$C$11)*NORMSINV(D979))*(E$7-E$5)*(E$6-E$5)),E$7-SQRT((1-NORMSDIST(E$9*SQRT($C$11)*NORMSINV($B979)+SQRT(1-E$9^2*$C$11)*NORMSINV(D979)))*(E$7-E$5)*(E$7-E$6))))</f>
        <v>0.052775249646845</v>
      </c>
      <c r="F979" s="2" t="n">
        <v>0.311938351</v>
      </c>
      <c r="G979" s="2" t="n">
        <f aca="false">IF(G$7=G$5,G$6,IF(NORMSDIST(G$9*SQRT($C$11)*NORMSINV($B979)+SQRT(1-G$9^2*$C$11)*NORMSINV(F979))&lt;G$8,G$5+SQRT(NORMSDIST(G$9*SQRT($C$11)*NORMSINV($B979)+SQRT(1-G$9^2*$C$11)*NORMSINV(F979))*(G$7-G$5)*(G$6-G$5)),G$7-SQRT((1-NORMSDIST(G$9*SQRT($C$11)*NORMSINV($B979)+SQRT(1-G$9^2*$C$11)*NORMSINV(F979)))*(G$7-G$5)*(G$7-G$6))))</f>
        <v>0.0501313112692708</v>
      </c>
      <c r="H979" s="2" t="n">
        <v>0.521096113</v>
      </c>
      <c r="I979" s="2" t="n">
        <f aca="false">IF(I$7=I$5,I$6,IF(NORMSDIST(I$9*SQRT($C$11)*NORMSINV($B979)+SQRT(1-I$9^2*$C$11)*NORMSINV(H979))&lt;I$8,I$5+SQRT(NORMSDIST(I$9*SQRT($C$11)*NORMSINV($B979)+SQRT(1-I$9^2*$C$11)*NORMSINV(H979))*(I$7-I$5)*(I$6-I$5)),I$7-SQRT((1-NORMSDIST(I$9*SQRT($C$11)*NORMSINV($B979)+SQRT(1-I$9^2*$C$11)*NORMSINV(H979)))*(I$7-I$5)*(I$7-I$6))))</f>
        <v>197.270769836204</v>
      </c>
      <c r="J979" s="2" t="n">
        <v>0.912436344</v>
      </c>
      <c r="K979" s="2" t="n">
        <f aca="false">IF(K$7=K$5,K$6,IF(NORMSDIST(K$9*SQRT($C$11)*NORMSINV($B979)+SQRT(1-K$9^2*$C$11)*NORMSINV(J979))&lt;K$8,K$5+SQRT(NORMSDIST(K$9*SQRT($C$11)*NORMSINV($B979)+SQRT(1-K$9^2*$C$11)*NORMSINV(J979))*(K$7-K$5)*(K$6-K$5)),K$7-SQRT((1-NORMSDIST(K$9*SQRT($C$11)*NORMSINV($B979)+SQRT(1-K$9^2*$C$11)*NORMSINV(J979)))*(K$7-K$5)*(K$7-K$6))))</f>
        <v>0.324402605866652</v>
      </c>
      <c r="L979" s="2" t="n">
        <v>0.090932598</v>
      </c>
      <c r="M979" s="2" t="n">
        <f aca="false">IF(M$7=M$5,M$6,IF(NORMSDIST(M$9*SQRT($C$11)*NORMSINV($B979)+SQRT(1-M$9^2*$C$11)*NORMSINV(L979))&lt;M$8,M$5+SQRT(NORMSDIST(M$9*SQRT($C$11)*NORMSINV($B979)+SQRT(1-M$9^2*$C$11)*NORMSINV(L979))*(M$7-M$5)*(M$6-M$5)),M$7-SQRT((1-NORMSDIST(M$9*SQRT($C$11)*NORMSINV($B979)+SQRT(1-M$9^2*$C$11)*NORMSINV(L979)))*(M$7-M$5)*(M$7-M$6))))</f>
        <v>1416.65504733302</v>
      </c>
      <c r="N979" s="2" t="n">
        <v>0.862140829</v>
      </c>
      <c r="O979" s="2" t="n">
        <f aca="false">IF(O$7=O$5,O$6,IF(NORMSDIST(O$9*SQRT($C$11)*NORMSINV($B979)+SQRT(1-O$9^2*$C$11)*NORMSINV(N979))&lt;O$8,O$5+SQRT(NORMSDIST(O$9*SQRT($C$11)*NORMSINV($B979)+SQRT(1-O$9^2*$C$11)*NORMSINV(N979))*(O$7-O$5)*(O$6-O$5)),O$7-SQRT((1-NORMSDIST(O$9*SQRT($C$11)*NORMSINV($B979)+SQRT(1-O$9^2*$C$11)*NORMSINV(N979)))*(O$7-O$5)*(O$7-O$6))))</f>
        <v>0.17165435297485</v>
      </c>
      <c r="P979" s="2" t="n">
        <v>0.657333645</v>
      </c>
      <c r="Q979" s="2" t="n">
        <f aca="false">IF(Q$7=Q$5,Q$6,IF(NORMSDIST(Q$9*SQRT($C$11)*NORMSINV($B979)+SQRT(1-Q$9^2*$C$11)*NORMSINV(P979))&lt;Q$8,Q$5+SQRT(NORMSDIST(Q$9*SQRT($C$11)*NORMSINV($B979)+SQRT(1-Q$9^2*$C$11)*NORMSINV(P979))*(Q$7-Q$5)*(Q$6-Q$5)),Q$7-SQRT((1-NORMSDIST(Q$9*SQRT($C$11)*NORMSINV($B979)+SQRT(1-Q$9^2*$C$11)*NORMSINV(P979)))*(Q$7-Q$5)*(Q$7-Q$6))))</f>
        <v>0.0868860703630632</v>
      </c>
      <c r="R979" s="2" t="n">
        <v>0.446778226</v>
      </c>
      <c r="S979" s="2" t="n">
        <f aca="false">IF(S$7=S$5,S$6,IF(NORMSDIST(S$9*SQRT($C$11)*NORMSINV($B979)+SQRT(1-S$9^2*$C$11)*NORMSINV(R979))&lt;S$8,S$5+SQRT(NORMSDIST(S$9*SQRT($C$11)*NORMSINV($B979)+SQRT(1-S$9^2*$C$11)*NORMSINV(R979))*(S$7-S$5)*(S$6-S$5)),S$7-SQRT((1-NORMSDIST(S$9*SQRT($C$11)*NORMSINV($B979)+SQRT(1-S$9^2*$C$11)*NORMSINV(R979)))*(S$7-S$5)*(S$7-S$6))))</f>
        <v>0.399722299942711</v>
      </c>
      <c r="T979" s="2" t="n">
        <v>0.942459832</v>
      </c>
      <c r="U979" s="2" t="n">
        <f aca="false">IF(U$7=U$5,U$6,IF(NORMSDIST(U$9*SQRT($C$11)*NORMSINV($B979)+SQRT(1-U$9^2*$C$11)*NORMSINV(T979))&lt;U$8,U$5+SQRT(NORMSDIST(U$9*SQRT($C$11)*NORMSINV($B979)+SQRT(1-U$9^2*$C$11)*NORMSINV(T979))*(U$7-U$5)*(U$6-U$5)),U$7-SQRT((1-NORMSDIST(U$9*SQRT($C$11)*NORMSINV($B979)+SQRT(1-U$9^2*$C$11)*NORMSINV(T979)))*(U$7-U$5)*(U$7-U$6))))</f>
        <v>0.686793469510707</v>
      </c>
      <c r="V979" s="2" t="n">
        <v>0.373566333</v>
      </c>
      <c r="W979" s="2" t="n">
        <f aca="false">IF(W$7=W$5,W$6,IF(NORMSDIST(W$9*SQRT($C$11)*NORMSINV($B979)+SQRT(1-W$9^2*$C$11)*NORMSINV(V979))&lt;W$8,W$5+SQRT(NORMSDIST(W$9*SQRT($C$11)*NORMSINV($B979)+SQRT(1-W$9^2*$C$11)*NORMSINV(V979))*(W$7-W$5)*(W$6-W$5)),W$7-SQRT((1-NORMSDIST(W$9*SQRT($C$11)*NORMSINV($B979)+SQRT(1-W$9^2*$C$11)*NORMSINV(V979)))*(W$7-W$5)*(W$7-W$6))))</f>
        <v>9.46768674637903</v>
      </c>
      <c r="X979" s="2" t="n">
        <v>0.780668696</v>
      </c>
      <c r="Y979" s="2" t="n">
        <f aca="false">IF(Y$7=Y$5,Y$6,IF(NORMSDIST(Y$9*SQRT($C$11)*NORMSINV($B979)+SQRT(1-Y$9^2*$C$11)*NORMSINV(X979))&lt;Y$8,Y$5+SQRT(NORMSDIST(Y$9*SQRT($C$11)*NORMSINV($B979)+SQRT(1-Y$9^2*$C$11)*NORMSINV(X979))*(Y$7-Y$5)*(Y$6-Y$5)),Y$7-SQRT((1-NORMSDIST(Y$9*SQRT($C$11)*NORMSINV($B979)+SQRT(1-Y$9^2*$C$11)*NORMSINV(X979)))*(Y$7-Y$5)*(Y$7-Y$6))))</f>
        <v>0.668841953140196</v>
      </c>
      <c r="Z979" s="2" t="n">
        <v>0.946068728</v>
      </c>
      <c r="AA979" s="2" t="n">
        <f aca="false">IF(AA$7=AA$5,AA$6,IF(NORMSDIST(AA$9*SQRT($C$11)*NORMSINV($B979)+SQRT(1-AA$9^2*$C$11)*NORMSINV(Z979))&lt;AA$8,AA$5+SQRT(NORMSDIST(AA$9*SQRT($C$11)*NORMSINV($B979)+SQRT(1-AA$9^2*$C$11)*NORMSINV(Z979))*(AA$7-AA$5)*(AA$6-AA$5)),AA$7-SQRT((1-NORMSDIST(AA$9*SQRT($C$11)*NORMSINV($B979)+SQRT(1-AA$9^2*$C$11)*NORMSINV(Z979)))*(AA$7-AA$5)*(AA$7-AA$6))))</f>
        <v>0.738268161808906</v>
      </c>
      <c r="AB979" s="2" t="n">
        <v>0.122434186</v>
      </c>
      <c r="AC979" s="2" t="n">
        <f aca="false">IF(AC$7=AC$5,AC$6,IF(NORMSDIST(AC$9*SQRT($C$11)*NORMSINV($B979)+SQRT(1-AC$9^2*$C$11)*NORMSINV(AB979))&lt;AC$8,AC$5+SQRT(NORMSDIST(AC$9*SQRT($C$11)*NORMSINV($B979)+SQRT(1-AC$9^2*$C$11)*NORMSINV(AB979))*(AC$7-AC$5)*(AC$6-AC$5)),AC$7-SQRT((1-NORMSDIST(AC$9*SQRT($C$11)*NORMSINV($B979)+SQRT(1-AC$9^2*$C$11)*NORMSINV(AB979)))*(AC$7-AC$5)*(AC$7-AC$6))))</f>
        <v>8.34217639103127</v>
      </c>
      <c r="AD979" s="2" t="n">
        <f aca="false">Entrées!$C$8*(1+E979)</f>
        <v>7422.06551001026</v>
      </c>
      <c r="AE979" s="2" t="n">
        <f aca="false">I979*Hypothèses!$J$24/12/Hypothèses!$J$19</f>
        <v>97.8653975260795</v>
      </c>
      <c r="AF979" s="2" t="n">
        <f aca="false">Entrées!$C$36*S979*1000</f>
        <v>199.861149971356</v>
      </c>
      <c r="AG979" s="2" t="n">
        <f aca="false">-AF979/W979</f>
        <v>-21.1098186204559</v>
      </c>
      <c r="AH979" s="2" t="n">
        <f aca="false">AD979+AE979+AG979</f>
        <v>7498.82108891588</v>
      </c>
      <c r="AI979" s="2" t="n">
        <f aca="false">Entrées!$C$16-M979+Hypothèses!$J$22*1000-AF979+Hypothèses!$J$23</f>
        <v>22931.4838026956</v>
      </c>
      <c r="AJ979" s="2" t="n">
        <f aca="false">AI979/AH979</f>
        <v>3.05801185690255</v>
      </c>
      <c r="AK979" s="2" t="n">
        <f aca="false">AI979/(AH979+I979*(12-Hypothèses!$J$24)/12/Hypothèses!$J$19)</f>
        <v>3.0297684182579</v>
      </c>
      <c r="AL979" s="2" t="n">
        <f aca="false">(AD979+AG979+I979/Hypothèses!$J$19)*(1+G979)</f>
        <v>7948.15505038543</v>
      </c>
      <c r="AM979" s="2" t="n">
        <f aca="false">Entrées!$C$54*K979/Hypothèses!$J$19</f>
        <v>33.1066480072143</v>
      </c>
      <c r="AN979" s="2" t="n">
        <f aca="false">Y979*1000/AC979</f>
        <v>80.1759543060337</v>
      </c>
      <c r="AO979" s="2" t="n">
        <f aca="false">(Entrées!$C$36*(1-S979)+MAX(0,Entrées!$C$30-Entrées!$C$35-Entrées!$C$36)*U979)*1000</f>
        <v>1261.64970734363</v>
      </c>
      <c r="AP979" s="2" t="n">
        <f aca="false">-AO979/W979</f>
        <v>-133.258497153611</v>
      </c>
      <c r="AQ979" s="2" t="n">
        <f aca="false">AL979+AM979+AN979+AP979</f>
        <v>7928.17915554507</v>
      </c>
      <c r="AR979" s="2" t="n">
        <f aca="false">O979*AQ979-Hypothèses!$J$25/Hypothèses!$J$19</f>
        <v>1341.77130095215</v>
      </c>
      <c r="AS979" s="2" t="n">
        <f aca="false">Entrées!$C$79*(1+Q979)+Hypothèses!$J$20</f>
        <v>1489.48779132901</v>
      </c>
      <c r="AT979" s="2" t="n">
        <f aca="false">AI979-AR979+AS979+Y979*1000-AO979+Hypothèses!$J$23</f>
        <v>22486.392538869</v>
      </c>
      <c r="AU979" s="2" t="n">
        <f aca="false">AT979/AQ979</f>
        <v>2.83626190802484</v>
      </c>
      <c r="AV979" s="2" t="n">
        <f aca="false">Hypothèses!$J$26*AQ979-AT979</f>
        <v>1298.14492776615</v>
      </c>
      <c r="AW979" s="2" t="n">
        <f aca="false">IF(AC979&gt;Hypothèses!$J$26,MAX(0,AV979)/(1-Hypothèses!$J$26/AC979),0)</f>
        <v>2027.14271784973</v>
      </c>
      <c r="AX979" s="2" t="n">
        <f aca="false">AQ979-Entrées!$C$17*1000</f>
        <v>-71.8208444549346</v>
      </c>
      <c r="AY979" s="2" t="n">
        <f aca="false">AI979+(Entrées!$C$244-Entrées!$C$13)</f>
        <v>28678.4838026956</v>
      </c>
      <c r="AZ979" s="2" t="n">
        <f aca="false">AA979*AH979</f>
        <v>5536.14086104779</v>
      </c>
      <c r="BA979" s="2" t="n">
        <f aca="false">AZ979/AY979</f>
        <v>0.193041616116659</v>
      </c>
      <c r="BB979" s="2" t="n">
        <f aca="false">AZ979/(Entrées!$C$151/100)-AY979</f>
        <v>2077.85431423653</v>
      </c>
      <c r="BC979" s="2" t="n">
        <f aca="false">AT979+(Entrées!$C$244-Entrées!$C$13)</f>
        <v>28233.392538869</v>
      </c>
      <c r="BD979" s="2" t="n">
        <f aca="false">AA979*AQ979</f>
        <v>5853.12225165594</v>
      </c>
      <c r="BE979" s="2" t="n">
        <f aca="false">BD979/BC979</f>
        <v>0.207312041710819</v>
      </c>
      <c r="BF979" s="2" t="n">
        <f aca="false">BD979/(Entrées!$C$151/100)-BC979</f>
        <v>4283.95330366398</v>
      </c>
      <c r="BG979" s="2" t="n">
        <f aca="false">MIN(AV979,BF979)</f>
        <v>1298.14492776615</v>
      </c>
      <c r="BH979" s="2" t="n">
        <f aca="false">IF(AC979&gt;Hypothèses!$J$26,MAX(0,BG979)/(1-Hypothèses!$J$26/AC979),0)</f>
        <v>2027.14271784973</v>
      </c>
    </row>
    <row r="980" customFormat="false" ht="15" hidden="false" customHeight="false" outlineLevel="0" collapsed="false">
      <c r="A980" s="2" t="n">
        <v>965</v>
      </c>
      <c r="B980" s="2" t="n">
        <v>0.196482616</v>
      </c>
      <c r="C980" s="2"/>
      <c r="D980" s="2" t="n">
        <v>0.09609021</v>
      </c>
      <c r="E980" s="2" t="n">
        <f aca="false">IF(E$7=E$5,E$6,IF(NORMSDIST(E$9*SQRT($C$11)*NORMSINV($B980)+SQRT(1-E$9^2*$C$11)*NORMSINV(D980))&lt;E$8,E$5+SQRT(NORMSDIST(E$9*SQRT($C$11)*NORMSINV($B980)+SQRT(1-E$9^2*$C$11)*NORMSINV(D980))*(E$7-E$5)*(E$6-E$5)),E$7-SQRT((1-NORMSDIST(E$9*SQRT($C$11)*NORMSINV($B980)+SQRT(1-E$9^2*$C$11)*NORMSINV(D980)))*(E$7-E$5)*(E$7-E$6))))</f>
        <v>0.0517394568811827</v>
      </c>
      <c r="F980" s="2" t="n">
        <v>0.713297999</v>
      </c>
      <c r="G980" s="2" t="n">
        <f aca="false">IF(G$7=G$5,G$6,IF(NORMSDIST(G$9*SQRT($C$11)*NORMSINV($B980)+SQRT(1-G$9^2*$C$11)*NORMSINV(F980))&lt;G$8,G$5+SQRT(NORMSDIST(G$9*SQRT($C$11)*NORMSINV($B980)+SQRT(1-G$9^2*$C$11)*NORMSINV(F980))*(G$7-G$5)*(G$6-G$5)),G$7-SQRT((1-NORMSDIST(G$9*SQRT($C$11)*NORMSINV($B980)+SQRT(1-G$9^2*$C$11)*NORMSINV(F980)))*(G$7-G$5)*(G$7-G$6))))</f>
        <v>0.0543644519001994</v>
      </c>
      <c r="H980" s="2" t="n">
        <v>0.155107054</v>
      </c>
      <c r="I980" s="2" t="n">
        <f aca="false">IF(I$7=I$5,I$6,IF(NORMSDIST(I$9*SQRT($C$11)*NORMSINV($B980)+SQRT(1-I$9^2*$C$11)*NORMSINV(H980))&lt;I$8,I$5+SQRT(NORMSDIST(I$9*SQRT($C$11)*NORMSINV($B980)+SQRT(1-I$9^2*$C$11)*NORMSINV(H980))*(I$7-I$5)*(I$6-I$5)),I$7-SQRT((1-NORMSDIST(I$9*SQRT($C$11)*NORMSINV($B980)+SQRT(1-I$9^2*$C$11)*NORMSINV(H980)))*(I$7-I$5)*(I$7-I$6))))</f>
        <v>188.596161115983</v>
      </c>
      <c r="J980" s="2" t="n">
        <v>0.541374847</v>
      </c>
      <c r="K980" s="2" t="n">
        <f aca="false">IF(K$7=K$5,K$6,IF(NORMSDIST(K$9*SQRT($C$11)*NORMSINV($B980)+SQRT(1-K$9^2*$C$11)*NORMSINV(J980))&lt;K$8,K$5+SQRT(NORMSDIST(K$9*SQRT($C$11)*NORMSINV($B980)+SQRT(1-K$9^2*$C$11)*NORMSINV(J980))*(K$7-K$5)*(K$6-K$5)),K$7-SQRT((1-NORMSDIST(K$9*SQRT($C$11)*NORMSINV($B980)+SQRT(1-K$9^2*$C$11)*NORMSINV(J980)))*(K$7-K$5)*(K$7-K$6))))</f>
        <v>0.200882669842326</v>
      </c>
      <c r="L980" s="2" t="n">
        <v>0.059474693</v>
      </c>
      <c r="M980" s="2" t="n">
        <f aca="false">IF(M$7=M$5,M$6,IF(NORMSDIST(M$9*SQRT($C$11)*NORMSINV($B980)+SQRT(1-M$9^2*$C$11)*NORMSINV(L980))&lt;M$8,M$5+SQRT(NORMSDIST(M$9*SQRT($C$11)*NORMSINV($B980)+SQRT(1-M$9^2*$C$11)*NORMSINV(L980))*(M$7-M$5)*(M$6-M$5)),M$7-SQRT((1-NORMSDIST(M$9*SQRT($C$11)*NORMSINV($B980)+SQRT(1-M$9^2*$C$11)*NORMSINV(L980)))*(M$7-M$5)*(M$7-M$6))))</f>
        <v>1383.23319698977</v>
      </c>
      <c r="N980" s="2" t="n">
        <v>0.879573048</v>
      </c>
      <c r="O980" s="2" t="n">
        <f aca="false">IF(O$7=O$5,O$6,IF(NORMSDIST(O$9*SQRT($C$11)*NORMSINV($B980)+SQRT(1-O$9^2*$C$11)*NORMSINV(N980))&lt;O$8,O$5+SQRT(NORMSDIST(O$9*SQRT($C$11)*NORMSINV($B980)+SQRT(1-O$9^2*$C$11)*NORMSINV(N980))*(O$7-O$5)*(O$6-O$5)),O$7-SQRT((1-NORMSDIST(O$9*SQRT($C$11)*NORMSINV($B980)+SQRT(1-O$9^2*$C$11)*NORMSINV(N980)))*(O$7-O$5)*(O$7-O$6))))</f>
        <v>0.170517054628927</v>
      </c>
      <c r="P980" s="2" t="n">
        <v>0.336668587</v>
      </c>
      <c r="Q980" s="2" t="n">
        <f aca="false">IF(Q$7=Q$5,Q$6,IF(NORMSDIST(Q$9*SQRT($C$11)*NORMSINV($B980)+SQRT(1-Q$9^2*$C$11)*NORMSINV(P980))&lt;Q$8,Q$5+SQRT(NORMSDIST(Q$9*SQRT($C$11)*NORMSINV($B980)+SQRT(1-Q$9^2*$C$11)*NORMSINV(P980))*(Q$7-Q$5)*(Q$6-Q$5)),Q$7-SQRT((1-NORMSDIST(Q$9*SQRT($C$11)*NORMSINV($B980)+SQRT(1-Q$9^2*$C$11)*NORMSINV(P980)))*(Q$7-Q$5)*(Q$7-Q$6))))</f>
        <v>0.0728228499432941</v>
      </c>
      <c r="R980" s="2" t="n">
        <v>0.046483042</v>
      </c>
      <c r="S980" s="2" t="n">
        <f aca="false">IF(S$7=S$5,S$6,IF(NORMSDIST(S$9*SQRT($C$11)*NORMSINV($B980)+SQRT(1-S$9^2*$C$11)*NORMSINV(R980))&lt;S$8,S$5+SQRT(NORMSDIST(S$9*SQRT($C$11)*NORMSINV($B980)+SQRT(1-S$9^2*$C$11)*NORMSINV(R980))*(S$7-S$5)*(S$6-S$5)),S$7-SQRT((1-NORMSDIST(S$9*SQRT($C$11)*NORMSINV($B980)+SQRT(1-S$9^2*$C$11)*NORMSINV(R980)))*(S$7-S$5)*(S$7-S$6))))</f>
        <v>0.128002872357665</v>
      </c>
      <c r="T980" s="2" t="n">
        <v>0.445088996</v>
      </c>
      <c r="U980" s="2" t="n">
        <f aca="false">IF(U$7=U$5,U$6,IF(NORMSDIST(U$9*SQRT($C$11)*NORMSINV($B980)+SQRT(1-U$9^2*$C$11)*NORMSINV(T980))&lt;U$8,U$5+SQRT(NORMSDIST(U$9*SQRT($C$11)*NORMSINV($B980)+SQRT(1-U$9^2*$C$11)*NORMSINV(T980))*(U$7-U$5)*(U$6-U$5)),U$7-SQRT((1-NORMSDIST(U$9*SQRT($C$11)*NORMSINV($B980)+SQRT(1-U$9^2*$C$11)*NORMSINV(T980)))*(U$7-U$5)*(U$7-U$6))))</f>
        <v>0.359681019777407</v>
      </c>
      <c r="V980" s="2" t="n">
        <v>0.815554732</v>
      </c>
      <c r="W980" s="2" t="n">
        <f aca="false">IF(W$7=W$5,W$6,IF(NORMSDIST(W$9*SQRT($C$11)*NORMSINV($B980)+SQRT(1-W$9^2*$C$11)*NORMSINV(V980))&lt;W$8,W$5+SQRT(NORMSDIST(W$9*SQRT($C$11)*NORMSINV($B980)+SQRT(1-W$9^2*$C$11)*NORMSINV(V980))*(W$7-W$5)*(W$6-W$5)),W$7-SQRT((1-NORMSDIST(W$9*SQRT($C$11)*NORMSINV($B980)+SQRT(1-W$9^2*$C$11)*NORMSINV(V980)))*(W$7-W$5)*(W$7-W$6))))</f>
        <v>10.1278483161199</v>
      </c>
      <c r="X980" s="2" t="n">
        <v>0.927974398</v>
      </c>
      <c r="Y980" s="2" t="n">
        <f aca="false">IF(Y$7=Y$5,Y$6,IF(NORMSDIST(Y$9*SQRT($C$11)*NORMSINV($B980)+SQRT(1-Y$9^2*$C$11)*NORMSINV(X980))&lt;Y$8,Y$5+SQRT(NORMSDIST(Y$9*SQRT($C$11)*NORMSINV($B980)+SQRT(1-Y$9^2*$C$11)*NORMSINV(X980))*(Y$7-Y$5)*(Y$6-Y$5)),Y$7-SQRT((1-NORMSDIST(Y$9*SQRT($C$11)*NORMSINV($B980)+SQRT(1-Y$9^2*$C$11)*NORMSINV(X980)))*(Y$7-Y$5)*(Y$7-Y$6))))</f>
        <v>0.810229609791201</v>
      </c>
      <c r="Z980" s="2" t="n">
        <v>0.544965458</v>
      </c>
      <c r="AA980" s="2" t="n">
        <f aca="false">IF(AA$7=AA$5,AA$6,IF(NORMSDIST(AA$9*SQRT($C$11)*NORMSINV($B980)+SQRT(1-AA$9^2*$C$11)*NORMSINV(Z980))&lt;AA$8,AA$5+SQRT(NORMSDIST(AA$9*SQRT($C$11)*NORMSINV($B980)+SQRT(1-AA$9^2*$C$11)*NORMSINV(Z980))*(AA$7-AA$5)*(AA$6-AA$5)),AA$7-SQRT((1-NORMSDIST(AA$9*SQRT($C$11)*NORMSINV($B980)+SQRT(1-AA$9^2*$C$11)*NORMSINV(Z980)))*(AA$7-AA$5)*(AA$7-AA$6))))</f>
        <v>0.721722997098286</v>
      </c>
      <c r="AB980" s="2" t="n">
        <v>0.979931333</v>
      </c>
      <c r="AC980" s="2" t="n">
        <f aca="false">IF(AC$7=AC$5,AC$6,IF(NORMSDIST(AC$9*SQRT($C$11)*NORMSINV($B980)+SQRT(1-AC$9^2*$C$11)*NORMSINV(AB980))&lt;AC$8,AC$5+SQRT(NORMSDIST(AC$9*SQRT($C$11)*NORMSINV($B980)+SQRT(1-AC$9^2*$C$11)*NORMSINV(AB980))*(AC$7-AC$5)*(AC$6-AC$5)),AC$7-SQRT((1-NORMSDIST(AC$9*SQRT($C$11)*NORMSINV($B980)+SQRT(1-AC$9^2*$C$11)*NORMSINV(AB980)))*(AC$7-AC$5)*(AC$7-AC$6))))</f>
        <v>10.2031474731839</v>
      </c>
      <c r="AD980" s="2" t="n">
        <f aca="false">Entrées!$C$8*(1+E980)</f>
        <v>7414.76317101234</v>
      </c>
      <c r="AE980" s="2" t="n">
        <f aca="false">I980*Hypothèses!$J$24/12/Hypothèses!$J$19</f>
        <v>93.5619519041428</v>
      </c>
      <c r="AF980" s="2" t="n">
        <f aca="false">Entrées!$C$36*S980*1000</f>
        <v>64.0014361788326</v>
      </c>
      <c r="AG980" s="2" t="n">
        <f aca="false">-AF980/W980</f>
        <v>-6.31935176961183</v>
      </c>
      <c r="AH980" s="2" t="n">
        <f aca="false">AD980+AE980+AG980</f>
        <v>7502.00577114687</v>
      </c>
      <c r="AI980" s="2" t="n">
        <f aca="false">Entrées!$C$16-M980+Hypothèses!$J$22*1000-AF980+Hypothèses!$J$23</f>
        <v>23100.7653668314</v>
      </c>
      <c r="AJ980" s="2" t="n">
        <f aca="false">AI980/AH980</f>
        <v>3.07927853850476</v>
      </c>
      <c r="AK980" s="2" t="n">
        <f aca="false">AI980/(AH980+I980*(12-Hypothèses!$J$24)/12/Hypothèses!$J$19)</f>
        <v>3.05208967008451</v>
      </c>
      <c r="AL980" s="2" t="n">
        <f aca="false">(AD980+AG980+I980/Hypothèses!$J$19)*(1+G980)</f>
        <v>7980.31134314606</v>
      </c>
      <c r="AM980" s="2" t="n">
        <f aca="false">Entrées!$C$54*K980/Hypothèses!$J$19</f>
        <v>20.5009199092349</v>
      </c>
      <c r="AN980" s="2" t="n">
        <f aca="false">Y980*1000/AC980</f>
        <v>79.4097715357604</v>
      </c>
      <c r="AO980" s="2" t="n">
        <f aca="false">(Entrées!$C$36*(1-S980)+MAX(0,Entrées!$C$30-Entrées!$C$35-Entrées!$C$36)*U980)*1000</f>
        <v>939.551991509537</v>
      </c>
      <c r="AP980" s="2" t="n">
        <f aca="false">-AO980/W980</f>
        <v>-92.7691610481673</v>
      </c>
      <c r="AQ980" s="2" t="n">
        <f aca="false">AL980+AM980+AN980+AP980</f>
        <v>7987.45287354289</v>
      </c>
      <c r="AR980" s="2" t="n">
        <f aca="false">O980*AQ980-Hypothèses!$J$25/Hypothèses!$J$19</f>
        <v>1342.86177572227</v>
      </c>
      <c r="AS980" s="2" t="n">
        <f aca="false">Entrées!$C$79*(1+Q980)+Hypothèses!$J$20</f>
        <v>1474.03231208768</v>
      </c>
      <c r="AT980" s="2" t="n">
        <f aca="false">AI980-AR980+AS980+Y980*1000-AO980+Hypothèses!$J$23</f>
        <v>23102.6135214785</v>
      </c>
      <c r="AU980" s="2" t="n">
        <f aca="false">AT980/AQ980</f>
        <v>2.89236304579675</v>
      </c>
      <c r="AV980" s="2" t="n">
        <f aca="false">Hypothèses!$J$26*AQ980-AT980</f>
        <v>859.74509915019</v>
      </c>
      <c r="AW980" s="2" t="n">
        <f aca="false">IF(AC980&gt;Hypothèses!$J$26,MAX(0,AV980)/(1-Hypothèses!$J$26/AC980),0)</f>
        <v>1217.81569357473</v>
      </c>
      <c r="AX980" s="2" t="n">
        <f aca="false">AQ980-Entrées!$C$17*1000</f>
        <v>-12.5471264571106</v>
      </c>
      <c r="AY980" s="2" t="n">
        <f aca="false">AI980+(Entrées!$C$244-Entrées!$C$13)</f>
        <v>28847.7653668314</v>
      </c>
      <c r="AZ980" s="2" t="n">
        <f aca="false">AA980*AH980</f>
        <v>5414.37008940076</v>
      </c>
      <c r="BA980" s="2" t="n">
        <f aca="false">AZ980/AY980</f>
        <v>0.187687677730009</v>
      </c>
      <c r="BB980" s="2" t="n">
        <f aca="false">AZ980/(Entrées!$C$151/100)-AY980</f>
        <v>1232.06846317281</v>
      </c>
      <c r="BC980" s="2" t="n">
        <f aca="false">AT980+(Entrées!$C$244-Entrées!$C$13)</f>
        <v>28849.6135214785</v>
      </c>
      <c r="BD980" s="2" t="n">
        <f aca="false">AA980*AQ980</f>
        <v>5764.72842707469</v>
      </c>
      <c r="BE980" s="2" t="n">
        <f aca="false">BD980/BC980</f>
        <v>0.199819953316978</v>
      </c>
      <c r="BF980" s="2" t="n">
        <f aca="false">BD980/(Entrées!$C$151/100)-BC980</f>
        <v>3176.65551782538</v>
      </c>
      <c r="BG980" s="2" t="n">
        <f aca="false">MIN(AV980,BF980)</f>
        <v>859.74509915019</v>
      </c>
      <c r="BH980" s="2" t="n">
        <f aca="false">IF(AC980&gt;Hypothèses!$J$26,MAX(0,BG980)/(1-Hypothèses!$J$26/AC980),0)</f>
        <v>1217.81569357473</v>
      </c>
    </row>
    <row r="981" customFormat="false" ht="15" hidden="false" customHeight="false" outlineLevel="0" collapsed="false">
      <c r="A981" s="2" t="n">
        <v>966</v>
      </c>
      <c r="B981" s="2" t="n">
        <v>0.172129966</v>
      </c>
      <c r="C981" s="2"/>
      <c r="D981" s="2" t="n">
        <v>0.815946821</v>
      </c>
      <c r="E981" s="2" t="n">
        <f aca="false">IF(E$7=E$5,E$6,IF(NORMSDIST(E$9*SQRT($C$11)*NORMSINV($B981)+SQRT(1-E$9^2*$C$11)*NORMSINV(D981))&lt;E$8,E$5+SQRT(NORMSDIST(E$9*SQRT($C$11)*NORMSINV($B981)+SQRT(1-E$9^2*$C$11)*NORMSINV(D981))*(E$7-E$5)*(E$6-E$5)),E$7-SQRT((1-NORMSDIST(E$9*SQRT($C$11)*NORMSINV($B981)+SQRT(1-E$9^2*$C$11)*NORMSINV(D981)))*(E$7-E$5)*(E$7-E$6))))</f>
        <v>0.0552011867385259</v>
      </c>
      <c r="F981" s="2" t="n">
        <v>0.148657494</v>
      </c>
      <c r="G981" s="2" t="n">
        <f aca="false">IF(G$7=G$5,G$6,IF(NORMSDIST(G$9*SQRT($C$11)*NORMSINV($B981)+SQRT(1-G$9^2*$C$11)*NORMSINV(F981))&lt;G$8,G$5+SQRT(NORMSDIST(G$9*SQRT($C$11)*NORMSINV($B981)+SQRT(1-G$9^2*$C$11)*NORMSINV(F981))*(G$7-G$5)*(G$6-G$5)),G$7-SQRT((1-NORMSDIST(G$9*SQRT($C$11)*NORMSINV($B981)+SQRT(1-G$9^2*$C$11)*NORMSINV(F981)))*(G$7-G$5)*(G$7-G$6))))</f>
        <v>0.04599785599704</v>
      </c>
      <c r="H981" s="2" t="n">
        <v>0.45374101</v>
      </c>
      <c r="I981" s="2" t="n">
        <f aca="false">IF(I$7=I$5,I$6,IF(NORMSDIST(I$9*SQRT($C$11)*NORMSINV($B981)+SQRT(1-I$9^2*$C$11)*NORMSINV(H981))&lt;I$8,I$5+SQRT(NORMSDIST(I$9*SQRT($C$11)*NORMSINV($B981)+SQRT(1-I$9^2*$C$11)*NORMSINV(H981))*(I$7-I$5)*(I$6-I$5)),I$7-SQRT((1-NORMSDIST(I$9*SQRT($C$11)*NORMSINV($B981)+SQRT(1-I$9^2*$C$11)*NORMSINV(H981)))*(I$7-I$5)*(I$7-I$6))))</f>
        <v>194.019079015648</v>
      </c>
      <c r="J981" s="2" t="n">
        <v>0.693642187</v>
      </c>
      <c r="K981" s="2" t="n">
        <f aca="false">IF(K$7=K$5,K$6,IF(NORMSDIST(K$9*SQRT($C$11)*NORMSINV($B981)+SQRT(1-K$9^2*$C$11)*NORMSINV(J981))&lt;K$8,K$5+SQRT(NORMSDIST(K$9*SQRT($C$11)*NORMSINV($B981)+SQRT(1-K$9^2*$C$11)*NORMSINV(J981))*(K$7-K$5)*(K$6-K$5)),K$7-SQRT((1-NORMSDIST(K$9*SQRT($C$11)*NORMSINV($B981)+SQRT(1-K$9^2*$C$11)*NORMSINV(J981)))*(K$7-K$5)*(K$7-K$6))))</f>
        <v>0.228683928365033</v>
      </c>
      <c r="L981" s="2" t="n">
        <v>0.891123241</v>
      </c>
      <c r="M981" s="2" t="n">
        <f aca="false">IF(M$7=M$5,M$6,IF(NORMSDIST(M$9*SQRT($C$11)*NORMSINV($B981)+SQRT(1-M$9^2*$C$11)*NORMSINV(L981))&lt;M$8,M$5+SQRT(NORMSDIST(M$9*SQRT($C$11)*NORMSINV($B981)+SQRT(1-M$9^2*$C$11)*NORMSINV(L981))*(M$7-M$5)*(M$6-M$5)),M$7-SQRT((1-NORMSDIST(M$9*SQRT($C$11)*NORMSINV($B981)+SQRT(1-M$9^2*$C$11)*NORMSINV(L981)))*(M$7-M$5)*(M$7-M$6))))</f>
        <v>1622.23872877845</v>
      </c>
      <c r="N981" s="2" t="n">
        <v>0.483441943</v>
      </c>
      <c r="O981" s="2" t="n">
        <f aca="false">IF(O$7=O$5,O$6,IF(NORMSDIST(O$9*SQRT($C$11)*NORMSINV($B981)+SQRT(1-O$9^2*$C$11)*NORMSINV(N981))&lt;O$8,O$5+SQRT(NORMSDIST(O$9*SQRT($C$11)*NORMSINV($B981)+SQRT(1-O$9^2*$C$11)*NORMSINV(N981))*(O$7-O$5)*(O$6-O$5)),O$7-SQRT((1-NORMSDIST(O$9*SQRT($C$11)*NORMSINV($B981)+SQRT(1-O$9^2*$C$11)*NORMSINV(N981)))*(O$7-O$5)*(O$7-O$6))))</f>
        <v>0.159471476708373</v>
      </c>
      <c r="P981" s="2" t="n">
        <v>0.616875448</v>
      </c>
      <c r="Q981" s="2" t="n">
        <f aca="false">IF(Q$7=Q$5,Q$6,IF(NORMSDIST(Q$9*SQRT($C$11)*NORMSINV($B981)+SQRT(1-Q$9^2*$C$11)*NORMSINV(P981))&lt;Q$8,Q$5+SQRT(NORMSDIST(Q$9*SQRT($C$11)*NORMSINV($B981)+SQRT(1-Q$9^2*$C$11)*NORMSINV(P981))*(Q$7-Q$5)*(Q$6-Q$5)),Q$7-SQRT((1-NORMSDIST(Q$9*SQRT($C$11)*NORMSINV($B981)+SQRT(1-Q$9^2*$C$11)*NORMSINV(P981)))*(Q$7-Q$5)*(Q$7-Q$6))))</f>
        <v>0.0849857376716287</v>
      </c>
      <c r="R981" s="2" t="n">
        <v>0.980994529</v>
      </c>
      <c r="S981" s="2" t="n">
        <f aca="false">IF(S$7=S$5,S$6,IF(NORMSDIST(S$9*SQRT($C$11)*NORMSINV($B981)+SQRT(1-S$9^2*$C$11)*NORMSINV(R981))&lt;S$8,S$5+SQRT(NORMSDIST(S$9*SQRT($C$11)*NORMSINV($B981)+SQRT(1-S$9^2*$C$11)*NORMSINV(R981))*(S$7-S$5)*(S$6-S$5)),S$7-SQRT((1-NORMSDIST(S$9*SQRT($C$11)*NORMSINV($B981)+SQRT(1-S$9^2*$C$11)*NORMSINV(R981)))*(S$7-S$5)*(S$7-S$6))))</f>
        <v>0.720262019695679</v>
      </c>
      <c r="T981" s="2" t="n">
        <v>0.115681657</v>
      </c>
      <c r="U981" s="2" t="n">
        <f aca="false">IF(U$7=U$5,U$6,IF(NORMSDIST(U$9*SQRT($C$11)*NORMSINV($B981)+SQRT(1-U$9^2*$C$11)*NORMSINV(T981))&lt;U$8,U$5+SQRT(NORMSDIST(U$9*SQRT($C$11)*NORMSINV($B981)+SQRT(1-U$9^2*$C$11)*NORMSINV(T981))*(U$7-U$5)*(U$6-U$5)),U$7-SQRT((1-NORMSDIST(U$9*SQRT($C$11)*NORMSINV($B981)+SQRT(1-U$9^2*$C$11)*NORMSINV(T981)))*(U$7-U$5)*(U$7-U$6))))</f>
        <v>0.178324264897235</v>
      </c>
      <c r="V981" s="2" t="n">
        <v>0.094184238</v>
      </c>
      <c r="W981" s="2" t="n">
        <f aca="false">IF(W$7=W$5,W$6,IF(NORMSDIST(W$9*SQRT($C$11)*NORMSINV($B981)+SQRT(1-W$9^2*$C$11)*NORMSINV(V981))&lt;W$8,W$5+SQRT(NORMSDIST(W$9*SQRT($C$11)*NORMSINV($B981)+SQRT(1-W$9^2*$C$11)*NORMSINV(V981))*(W$7-W$5)*(W$6-W$5)),W$7-SQRT((1-NORMSDIST(W$9*SQRT($C$11)*NORMSINV($B981)+SQRT(1-W$9^2*$C$11)*NORMSINV(V981)))*(W$7-W$5)*(W$7-W$6))))</f>
        <v>8.65072210902947</v>
      </c>
      <c r="X981" s="2" t="n">
        <v>0.832614831</v>
      </c>
      <c r="Y981" s="2" t="n">
        <f aca="false">IF(Y$7=Y$5,Y$6,IF(NORMSDIST(Y$9*SQRT($C$11)*NORMSINV($B981)+SQRT(1-Y$9^2*$C$11)*NORMSINV(X981))&lt;Y$8,Y$5+SQRT(NORMSDIST(Y$9*SQRT($C$11)*NORMSINV($B981)+SQRT(1-Y$9^2*$C$11)*NORMSINV(X981))*(Y$7-Y$5)*(Y$6-Y$5)),Y$7-SQRT((1-NORMSDIST(Y$9*SQRT($C$11)*NORMSINV($B981)+SQRT(1-Y$9^2*$C$11)*NORMSINV(X981)))*(Y$7-Y$5)*(Y$7-Y$6))))</f>
        <v>0.710703293312903</v>
      </c>
      <c r="Z981" s="2" t="n">
        <v>0.287476421</v>
      </c>
      <c r="AA981" s="2" t="n">
        <f aca="false">IF(AA$7=AA$5,AA$6,IF(NORMSDIST(AA$9*SQRT($C$11)*NORMSINV($B981)+SQRT(1-AA$9^2*$C$11)*NORMSINV(Z981))&lt;AA$8,AA$5+SQRT(NORMSDIST(AA$9*SQRT($C$11)*NORMSINV($B981)+SQRT(1-AA$9^2*$C$11)*NORMSINV(Z981))*(AA$7-AA$5)*(AA$6-AA$5)),AA$7-SQRT((1-NORMSDIST(AA$9*SQRT($C$11)*NORMSINV($B981)+SQRT(1-AA$9^2*$C$11)*NORMSINV(Z981)))*(AA$7-AA$5)*(AA$7-AA$6))))</f>
        <v>0.713301645501196</v>
      </c>
      <c r="AB981" s="2" t="n">
        <v>0.097383659</v>
      </c>
      <c r="AC981" s="2" t="n">
        <f aca="false">IF(AC$7=AC$5,AC$6,IF(NORMSDIST(AC$9*SQRT($C$11)*NORMSINV($B981)+SQRT(1-AC$9^2*$C$11)*NORMSINV(AB981))&lt;AC$8,AC$5+SQRT(NORMSDIST(AC$9*SQRT($C$11)*NORMSINV($B981)+SQRT(1-AC$9^2*$C$11)*NORMSINV(AB981))*(AC$7-AC$5)*(AC$6-AC$5)),AC$7-SQRT((1-NORMSDIST(AC$9*SQRT($C$11)*NORMSINV($B981)+SQRT(1-AC$9^2*$C$11)*NORMSINV(AB981)))*(AC$7-AC$5)*(AC$7-AC$6))))</f>
        <v>8.08634166135104</v>
      </c>
      <c r="AD981" s="2" t="n">
        <f aca="false">Entrées!$C$8*(1+E981)</f>
        <v>7439.16836650661</v>
      </c>
      <c r="AE981" s="2" t="n">
        <f aca="false">I981*Hypothèses!$J$24/12/Hypothèses!$J$19</f>
        <v>96.2522441174428</v>
      </c>
      <c r="AF981" s="2" t="n">
        <f aca="false">Entrées!$C$36*S981*1000</f>
        <v>360.131009847839</v>
      </c>
      <c r="AG981" s="2" t="n">
        <f aca="false">-AF981/W981</f>
        <v>-41.630167436767</v>
      </c>
      <c r="AH981" s="2" t="n">
        <f aca="false">AD981+AE981+AG981</f>
        <v>7493.79044318728</v>
      </c>
      <c r="AI981" s="2" t="n">
        <f aca="false">Entrées!$C$16-M981+Hypothèses!$J$22*1000-AF981+Hypothèses!$J$23</f>
        <v>22565.6302613737</v>
      </c>
      <c r="AJ981" s="2" t="n">
        <f aca="false">AI981/AH981</f>
        <v>3.01124383347128</v>
      </c>
      <c r="AK981" s="2" t="n">
        <f aca="false">AI981/(AH981+I981*(12-Hypothèses!$J$24)/12/Hypothèses!$J$19)</f>
        <v>2.98386840347239</v>
      </c>
      <c r="AL981" s="2" t="n">
        <f aca="false">(AD981+AG981+I981/Hypothèses!$J$19)*(1+G981)</f>
        <v>7910.40276613768</v>
      </c>
      <c r="AM981" s="2" t="n">
        <f aca="false">Entrées!$C$54*K981/Hypothèses!$J$19</f>
        <v>23.3381550714185</v>
      </c>
      <c r="AN981" s="2" t="n">
        <f aca="false">Y981*1000/AC981</f>
        <v>87.8893476279558</v>
      </c>
      <c r="AO981" s="2" t="n">
        <f aca="false">(Entrées!$C$36*(1-S981)+MAX(0,Entrées!$C$30-Entrées!$C$35-Entrées!$C$36)*U981)*1000</f>
        <v>389.52296100829</v>
      </c>
      <c r="AP981" s="2" t="n">
        <f aca="false">-AO981/W981</f>
        <v>-45.0277972288247</v>
      </c>
      <c r="AQ981" s="2" t="n">
        <f aca="false">AL981+AM981+AN981+AP981</f>
        <v>7976.60247160823</v>
      </c>
      <c r="AR981" s="2" t="n">
        <f aca="false">O981*AQ981-Hypothèses!$J$25/Hypothèses!$J$19</f>
        <v>1252.9054130014</v>
      </c>
      <c r="AS981" s="2" t="n">
        <f aca="false">Entrées!$C$79*(1+Q981)+Hypothèses!$J$20</f>
        <v>1487.39932570112</v>
      </c>
      <c r="AT981" s="2" t="n">
        <f aca="false">AI981-AR981+AS981+Y981*1000-AO981+Hypothèses!$J$23</f>
        <v>23121.3045063781</v>
      </c>
      <c r="AU981" s="2" t="n">
        <f aca="false">AT981/AQ981</f>
        <v>2.8986406917827</v>
      </c>
      <c r="AV981" s="2" t="n">
        <f aca="false">Hypothèses!$J$26*AQ981-AT981</f>
        <v>808.502908446648</v>
      </c>
      <c r="AW981" s="2" t="n">
        <f aca="false">IF(AC981&gt;Hypothèses!$J$26,MAX(0,AV981)/(1-Hypothèses!$J$26/AC981),0)</f>
        <v>1285.36995490764</v>
      </c>
      <c r="AX981" s="2" t="n">
        <f aca="false">AQ981-Entrées!$C$17*1000</f>
        <v>-23.397528391768</v>
      </c>
      <c r="AY981" s="2" t="n">
        <f aca="false">AI981+(Entrées!$C$244-Entrées!$C$13)</f>
        <v>28312.6302613737</v>
      </c>
      <c r="AZ981" s="2" t="n">
        <f aca="false">AA981*AH981</f>
        <v>5345.33305416662</v>
      </c>
      <c r="BA981" s="2" t="n">
        <f aca="false">AZ981/AY981</f>
        <v>0.188796766842929</v>
      </c>
      <c r="BB981" s="2" t="n">
        <f aca="false">AZ981/(Entrées!$C$151/100)-AY981</f>
        <v>1383.66448399642</v>
      </c>
      <c r="BC981" s="2" t="n">
        <f aca="false">AT981+(Entrées!$C$244-Entrées!$C$13)</f>
        <v>28868.3045063781</v>
      </c>
      <c r="BD981" s="2" t="n">
        <f aca="false">AA981*AQ981</f>
        <v>5689.72366850706</v>
      </c>
      <c r="BE981" s="2" t="n">
        <f aca="false">BD981/BC981</f>
        <v>0.197092408639724</v>
      </c>
      <c r="BF981" s="2" t="n">
        <f aca="false">BD981/(Entrées!$C$151/100)-BC981</f>
        <v>2741.27142977226</v>
      </c>
      <c r="BG981" s="2" t="n">
        <f aca="false">MIN(AV981,BF981)</f>
        <v>808.502908446648</v>
      </c>
      <c r="BH981" s="2" t="n">
        <f aca="false">IF(AC981&gt;Hypothèses!$J$26,MAX(0,BG981)/(1-Hypothèses!$J$26/AC981),0)</f>
        <v>1285.36995490764</v>
      </c>
    </row>
    <row r="982" customFormat="false" ht="15" hidden="false" customHeight="false" outlineLevel="0" collapsed="false">
      <c r="A982" s="2" t="n">
        <v>967</v>
      </c>
      <c r="B982" s="2" t="n">
        <v>0.554207159</v>
      </c>
      <c r="C982" s="2"/>
      <c r="D982" s="2" t="n">
        <v>0.776673041</v>
      </c>
      <c r="E982" s="2" t="n">
        <f aca="false">IF(E$7=E$5,E$6,IF(NORMSDIST(E$9*SQRT($C$11)*NORMSINV($B982)+SQRT(1-E$9^2*$C$11)*NORMSINV(D982))&lt;E$8,E$5+SQRT(NORMSDIST(E$9*SQRT($C$11)*NORMSINV($B982)+SQRT(1-E$9^2*$C$11)*NORMSINV(D982))*(E$7-E$5)*(E$6-E$5)),E$7-SQRT((1-NORMSDIST(E$9*SQRT($C$11)*NORMSINV($B982)+SQRT(1-E$9^2*$C$11)*NORMSINV(D982)))*(E$7-E$5)*(E$7-E$6))))</f>
        <v>0.0564671283947636</v>
      </c>
      <c r="F982" s="2" t="n">
        <v>0.851775025</v>
      </c>
      <c r="G982" s="2" t="n">
        <f aca="false">IF(G$7=G$5,G$6,IF(NORMSDIST(G$9*SQRT($C$11)*NORMSINV($B982)+SQRT(1-G$9^2*$C$11)*NORMSINV(F982))&lt;G$8,G$5+SQRT(NORMSDIST(G$9*SQRT($C$11)*NORMSINV($B982)+SQRT(1-G$9^2*$C$11)*NORMSINV(F982))*(G$7-G$5)*(G$6-G$5)),G$7-SQRT((1-NORMSDIST(G$9*SQRT($C$11)*NORMSINV($B982)+SQRT(1-G$9^2*$C$11)*NORMSINV(F982)))*(G$7-G$5)*(G$7-G$6))))</f>
        <v>0.0608657661918287</v>
      </c>
      <c r="H982" s="2" t="n">
        <v>0.609755668</v>
      </c>
      <c r="I982" s="2" t="n">
        <f aca="false">IF(I$7=I$5,I$6,IF(NORMSDIST(I$9*SQRT($C$11)*NORMSINV($B982)+SQRT(1-I$9^2*$C$11)*NORMSINV(H982))&lt;I$8,I$5+SQRT(NORMSDIST(I$9*SQRT($C$11)*NORMSINV($B982)+SQRT(1-I$9^2*$C$11)*NORMSINV(H982))*(I$7-I$5)*(I$6-I$5)),I$7-SQRT((1-NORMSDIST(I$9*SQRT($C$11)*NORMSINV($B982)+SQRT(1-I$9^2*$C$11)*NORMSINV(H982)))*(I$7-I$5)*(I$7-I$6))))</f>
        <v>202.534610099325</v>
      </c>
      <c r="J982" s="2" t="n">
        <v>0.692378759</v>
      </c>
      <c r="K982" s="2" t="n">
        <f aca="false">IF(K$7=K$5,K$6,IF(NORMSDIST(K$9*SQRT($C$11)*NORMSINV($B982)+SQRT(1-K$9^2*$C$11)*NORMSINV(J982))&lt;K$8,K$5+SQRT(NORMSDIST(K$9*SQRT($C$11)*NORMSINV($B982)+SQRT(1-K$9^2*$C$11)*NORMSINV(J982))*(K$7-K$5)*(K$6-K$5)),K$7-SQRT((1-NORMSDIST(K$9*SQRT($C$11)*NORMSINV($B982)+SQRT(1-K$9^2*$C$11)*NORMSINV(J982)))*(K$7-K$5)*(K$7-K$6))))</f>
        <v>0.300874137477307</v>
      </c>
      <c r="L982" s="2" t="n">
        <v>0.097144382</v>
      </c>
      <c r="M982" s="2" t="n">
        <f aca="false">IF(M$7=M$5,M$6,IF(NORMSDIST(M$9*SQRT($C$11)*NORMSINV($B982)+SQRT(1-M$9^2*$C$11)*NORMSINV(L982))&lt;M$8,M$5+SQRT(NORMSDIST(M$9*SQRT($C$11)*NORMSINV($B982)+SQRT(1-M$9^2*$C$11)*NORMSINV(L982))*(M$7-M$5)*(M$6-M$5)),M$7-SQRT((1-NORMSDIST(M$9*SQRT($C$11)*NORMSINV($B982)+SQRT(1-M$9^2*$C$11)*NORMSINV(L982)))*(M$7-M$5)*(M$7-M$6))))</f>
        <v>1472.01504399064</v>
      </c>
      <c r="N982" s="2" t="n">
        <v>0.903568667</v>
      </c>
      <c r="O982" s="2" t="n">
        <f aca="false">IF(O$7=O$5,O$6,IF(NORMSDIST(O$9*SQRT($C$11)*NORMSINV($B982)+SQRT(1-O$9^2*$C$11)*NORMSINV(N982))&lt;O$8,O$5+SQRT(NORMSDIST(O$9*SQRT($C$11)*NORMSINV($B982)+SQRT(1-O$9^2*$C$11)*NORMSINV(N982))*(O$7-O$5)*(O$6-O$5)),O$7-SQRT((1-NORMSDIST(O$9*SQRT($C$11)*NORMSINV($B982)+SQRT(1-O$9^2*$C$11)*NORMSINV(N982)))*(O$7-O$5)*(O$7-O$6))))</f>
        <v>0.177929055791315</v>
      </c>
      <c r="P982" s="2" t="n">
        <v>0.964257029</v>
      </c>
      <c r="Q982" s="2" t="n">
        <f aca="false">IF(Q$7=Q$5,Q$6,IF(NORMSDIST(Q$9*SQRT($C$11)*NORMSINV($B982)+SQRT(1-Q$9^2*$C$11)*NORMSINV(P982))&lt;Q$8,Q$5+SQRT(NORMSDIST(Q$9*SQRT($C$11)*NORMSINV($B982)+SQRT(1-Q$9^2*$C$11)*NORMSINV(P982))*(Q$7-Q$5)*(Q$6-Q$5)),Q$7-SQRT((1-NORMSDIST(Q$9*SQRT($C$11)*NORMSINV($B982)+SQRT(1-Q$9^2*$C$11)*NORMSINV(P982)))*(Q$7-Q$5)*(Q$7-Q$6))))</f>
        <v>0.109305257964775</v>
      </c>
      <c r="R982" s="2" t="n">
        <v>0.508859376</v>
      </c>
      <c r="S982" s="2" t="n">
        <f aca="false">IF(S$7=S$5,S$6,IF(NORMSDIST(S$9*SQRT($C$11)*NORMSINV($B982)+SQRT(1-S$9^2*$C$11)*NORMSINV(R982))&lt;S$8,S$5+SQRT(NORMSDIST(S$9*SQRT($C$11)*NORMSINV($B982)+SQRT(1-S$9^2*$C$11)*NORMSINV(R982))*(S$7-S$5)*(S$6-S$5)),S$7-SQRT((1-NORMSDIST(S$9*SQRT($C$11)*NORMSINV($B982)+SQRT(1-S$9^2*$C$11)*NORMSINV(R982)))*(S$7-S$5)*(S$7-S$6))))</f>
        <v>0.521032050539978</v>
      </c>
      <c r="T982" s="2" t="n">
        <v>0.566927977</v>
      </c>
      <c r="U982" s="2" t="n">
        <f aca="false">IF(U$7=U$5,U$6,IF(NORMSDIST(U$9*SQRT($C$11)*NORMSINV($B982)+SQRT(1-U$9^2*$C$11)*NORMSINV(T982))&lt;U$8,U$5+SQRT(NORMSDIST(U$9*SQRT($C$11)*NORMSINV($B982)+SQRT(1-U$9^2*$C$11)*NORMSINV(T982))*(U$7-U$5)*(U$6-U$5)),U$7-SQRT((1-NORMSDIST(U$9*SQRT($C$11)*NORMSINV($B982)+SQRT(1-U$9^2*$C$11)*NORMSINV(T982)))*(U$7-U$5)*(U$7-U$6))))</f>
        <v>0.544920393478798</v>
      </c>
      <c r="V982" s="2" t="n">
        <v>0.419863955</v>
      </c>
      <c r="W982" s="2" t="n">
        <f aca="false">IF(W$7=W$5,W$6,IF(NORMSDIST(W$9*SQRT($C$11)*NORMSINV($B982)+SQRT(1-W$9^2*$C$11)*NORMSINV(V982))&lt;W$8,W$5+SQRT(NORMSDIST(W$9*SQRT($C$11)*NORMSINV($B982)+SQRT(1-W$9^2*$C$11)*NORMSINV(V982))*(W$7-W$5)*(W$6-W$5)),W$7-SQRT((1-NORMSDIST(W$9*SQRT($C$11)*NORMSINV($B982)+SQRT(1-W$9^2*$C$11)*NORMSINV(V982)))*(W$7-W$5)*(W$7-W$6))))</f>
        <v>9.94302133000677</v>
      </c>
      <c r="X982" s="2" t="n">
        <v>0.656555981</v>
      </c>
      <c r="Y982" s="2" t="n">
        <f aca="false">IF(Y$7=Y$5,Y$6,IF(NORMSDIST(Y$9*SQRT($C$11)*NORMSINV($B982)+SQRT(1-Y$9^2*$C$11)*NORMSINV(X982))&lt;Y$8,Y$5+SQRT(NORMSDIST(Y$9*SQRT($C$11)*NORMSINV($B982)+SQRT(1-Y$9^2*$C$11)*NORMSINV(X982))*(Y$7-Y$5)*(Y$6-Y$5)),Y$7-SQRT((1-NORMSDIST(Y$9*SQRT($C$11)*NORMSINV($B982)+SQRT(1-Y$9^2*$C$11)*NORMSINV(X982)))*(Y$7-Y$5)*(Y$7-Y$6))))</f>
        <v>0.585606455769398</v>
      </c>
      <c r="Z982" s="2" t="n">
        <v>0.82175691</v>
      </c>
      <c r="AA982" s="2" t="n">
        <f aca="false">IF(AA$7=AA$5,AA$6,IF(NORMSDIST(AA$9*SQRT($C$11)*NORMSINV($B982)+SQRT(1-AA$9^2*$C$11)*NORMSINV(Z982))&lt;AA$8,AA$5+SQRT(NORMSDIST(AA$9*SQRT($C$11)*NORMSINV($B982)+SQRT(1-AA$9^2*$C$11)*NORMSINV(Z982))*(AA$7-AA$5)*(AA$6-AA$5)),AA$7-SQRT((1-NORMSDIST(AA$9*SQRT($C$11)*NORMSINV($B982)+SQRT(1-AA$9^2*$C$11)*NORMSINV(Z982)))*(AA$7-AA$5)*(AA$7-AA$6))))</f>
        <v>0.737373468178191</v>
      </c>
      <c r="AB982" s="2" t="n">
        <v>0.688576396</v>
      </c>
      <c r="AC982" s="2" t="n">
        <f aca="false">IF(AC$7=AC$5,AC$6,IF(NORMSDIST(AC$9*SQRT($C$11)*NORMSINV($B982)+SQRT(1-AC$9^2*$C$11)*NORMSINV(AB982))&lt;AC$8,AC$5+SQRT(NORMSDIST(AC$9*SQRT($C$11)*NORMSINV($B982)+SQRT(1-AC$9^2*$C$11)*NORMSINV(AB982))*(AC$7-AC$5)*(AC$6-AC$5)),AC$7-SQRT((1-NORMSDIST(AC$9*SQRT($C$11)*NORMSINV($B982)+SQRT(1-AC$9^2*$C$11)*NORMSINV(AB982)))*(AC$7-AC$5)*(AC$7-AC$6))))</f>
        <v>9.82389352184756</v>
      </c>
      <c r="AD982" s="2" t="n">
        <f aca="false">Entrées!$C$8*(1+E982)</f>
        <v>7448.09325518309</v>
      </c>
      <c r="AE982" s="2" t="n">
        <f aca="false">I982*Hypothèses!$J$24/12/Hypothèses!$J$19</f>
        <v>100.476771833037</v>
      </c>
      <c r="AF982" s="2" t="n">
        <f aca="false">Entrées!$C$36*S982*1000</f>
        <v>260.516025269989</v>
      </c>
      <c r="AG982" s="2" t="n">
        <f aca="false">-AF982/W982</f>
        <v>-26.2008917233019</v>
      </c>
      <c r="AH982" s="2" t="n">
        <f aca="false">AD982+AE982+AG982</f>
        <v>7522.36913529282</v>
      </c>
      <c r="AI982" s="2" t="n">
        <f aca="false">Entrées!$C$16-M982+Hypothèses!$J$22*1000-AF982+Hypothèses!$J$23</f>
        <v>22815.4689307394</v>
      </c>
      <c r="AJ982" s="2" t="n">
        <f aca="false">AI982/AH982</f>
        <v>3.03301639688162</v>
      </c>
      <c r="AK982" s="2" t="n">
        <f aca="false">AI982/(AH982+I982*(12-Hypothèses!$J$24)/12/Hypothèses!$J$19)</f>
        <v>3.00435258821003</v>
      </c>
      <c r="AL982" s="2" t="n">
        <f aca="false">(AD982+AG982+I982/Hypothèses!$J$19)*(1+G982)</f>
        <v>8056.36130167242</v>
      </c>
      <c r="AM982" s="2" t="n">
        <f aca="false">Entrées!$C$54*K982/Hypothèses!$J$19</f>
        <v>30.7054690184268</v>
      </c>
      <c r="AN982" s="2" t="n">
        <f aca="false">Y982*1000/AC982</f>
        <v>59.610423755821</v>
      </c>
      <c r="AO982" s="2" t="n">
        <f aca="false">(Entrées!$C$36*(1-S982)+MAX(0,Entrées!$C$30-Entrées!$C$35-Entrées!$C$36)*U982)*1000</f>
        <v>1002.37252560033</v>
      </c>
      <c r="AP982" s="2" t="n">
        <f aca="false">-AO982/W982</f>
        <v>-100.811664013563</v>
      </c>
      <c r="AQ982" s="2" t="n">
        <f aca="false">AL982+AM982+AN982+AP982</f>
        <v>8045.86553043311</v>
      </c>
      <c r="AR982" s="2" t="n">
        <f aca="false">O982*AQ982-Hypothèses!$J$25/Hypothèses!$J$19</f>
        <v>1412.45809459222</v>
      </c>
      <c r="AS982" s="2" t="n">
        <f aca="false">Entrées!$C$79*(1+Q982)+Hypothèses!$J$20</f>
        <v>1514.12647850329</v>
      </c>
      <c r="AT982" s="2" t="n">
        <f aca="false">AI982-AR982+AS982+Y982*1000-AO982+Hypothèses!$J$23</f>
        <v>22500.3712448195</v>
      </c>
      <c r="AU982" s="2" t="n">
        <f aca="false">AT982/AQ982</f>
        <v>2.79651345895764</v>
      </c>
      <c r="AV982" s="2" t="n">
        <f aca="false">Hypothèses!$J$26*AQ982-AT982</f>
        <v>1637.22534647982</v>
      </c>
      <c r="AW982" s="2" t="n">
        <f aca="false">IF(AC982&gt;Hypothèses!$J$26,MAX(0,AV982)/(1-Hypothèses!$J$26/AC982),0)</f>
        <v>2357.00153051817</v>
      </c>
      <c r="AX982" s="2" t="n">
        <f aca="false">AQ982-Entrées!$C$17*1000</f>
        <v>45.8655304331078</v>
      </c>
      <c r="AY982" s="2" t="n">
        <f aca="false">AI982+(Entrées!$C$244-Entrées!$C$13)</f>
        <v>28562.4689307394</v>
      </c>
      <c r="AZ982" s="2" t="n">
        <f aca="false">AA982*AH982</f>
        <v>5546.79541820745</v>
      </c>
      <c r="BA982" s="2" t="n">
        <f aca="false">AZ982/AY982</f>
        <v>0.194198737919253</v>
      </c>
      <c r="BB982" s="2" t="n">
        <f aca="false">AZ982/(Entrées!$C$151/100)-AY982</f>
        <v>2253.06117041312</v>
      </c>
      <c r="BC982" s="2" t="n">
        <f aca="false">AT982+(Entrées!$C$244-Entrées!$C$13)</f>
        <v>28247.3712448195</v>
      </c>
      <c r="BD982" s="2" t="n">
        <f aca="false">AA982*AQ982</f>
        <v>5932.80777067082</v>
      </c>
      <c r="BE982" s="2" t="n">
        <f aca="false">BD982/BC982</f>
        <v>0.21003043855838</v>
      </c>
      <c r="BF982" s="2" t="n">
        <f aca="false">BD982/(Entrées!$C$151/100)-BC982</f>
        <v>4712.67192557395</v>
      </c>
      <c r="BG982" s="2" t="n">
        <f aca="false">MIN(AV982,BF982)</f>
        <v>1637.22534647982</v>
      </c>
      <c r="BH982" s="2" t="n">
        <f aca="false">IF(AC982&gt;Hypothèses!$J$26,MAX(0,BG982)/(1-Hypothèses!$J$26/AC982),0)</f>
        <v>2357.00153051817</v>
      </c>
    </row>
    <row r="983" customFormat="false" ht="15" hidden="false" customHeight="false" outlineLevel="0" collapsed="false">
      <c r="A983" s="2" t="n">
        <v>968</v>
      </c>
      <c r="B983" s="2" t="n">
        <v>0.709387183</v>
      </c>
      <c r="C983" s="2"/>
      <c r="D983" s="2" t="n">
        <v>0.115698043</v>
      </c>
      <c r="E983" s="2" t="n">
        <f aca="false">IF(E$7=E$5,E$6,IF(NORMSDIST(E$9*SQRT($C$11)*NORMSINV($B983)+SQRT(1-E$9^2*$C$11)*NORMSINV(D983))&lt;E$8,E$5+SQRT(NORMSDIST(E$9*SQRT($C$11)*NORMSINV($B983)+SQRT(1-E$9^2*$C$11)*NORMSINV(D983))*(E$7-E$5)*(E$6-E$5)),E$7-SQRT((1-NORMSDIST(E$9*SQRT($C$11)*NORMSINV($B983)+SQRT(1-E$9^2*$C$11)*NORMSINV(D983)))*(E$7-E$5)*(E$7-E$6))))</f>
        <v>0.0537521980837713</v>
      </c>
      <c r="F983" s="2" t="n">
        <v>0.060530031</v>
      </c>
      <c r="G983" s="2" t="n">
        <f aca="false">IF(G$7=G$5,G$6,IF(NORMSDIST(G$9*SQRT($C$11)*NORMSINV($B983)+SQRT(1-G$9^2*$C$11)*NORMSINV(F983))&lt;G$8,G$5+SQRT(NORMSDIST(G$9*SQRT($C$11)*NORMSINV($B983)+SQRT(1-G$9^2*$C$11)*NORMSINV(F983))*(G$7-G$5)*(G$6-G$5)),G$7-SQRT((1-NORMSDIST(G$9*SQRT($C$11)*NORMSINV($B983)+SQRT(1-G$9^2*$C$11)*NORMSINV(F983)))*(G$7-G$5)*(G$7-G$6))))</f>
        <v>0.0494177832783281</v>
      </c>
      <c r="H983" s="2" t="n">
        <v>0.856207931</v>
      </c>
      <c r="I983" s="2" t="n">
        <f aca="false">IF(I$7=I$5,I$6,IF(NORMSDIST(I$9*SQRT($C$11)*NORMSINV($B983)+SQRT(1-I$9^2*$C$11)*NORMSINV(H983))&lt;I$8,I$5+SQRT(NORMSDIST(I$9*SQRT($C$11)*NORMSINV($B983)+SQRT(1-I$9^2*$C$11)*NORMSINV(H983))*(I$7-I$5)*(I$6-I$5)),I$7-SQRT((1-NORMSDIST(I$9*SQRT($C$11)*NORMSINV($B983)+SQRT(1-I$9^2*$C$11)*NORMSINV(H983)))*(I$7-I$5)*(I$7-I$6))))</f>
        <v>210.182489883337</v>
      </c>
      <c r="J983" s="2" t="n">
        <v>0.28433482</v>
      </c>
      <c r="K983" s="2" t="n">
        <f aca="false">IF(K$7=K$5,K$6,IF(NORMSDIST(K$9*SQRT($C$11)*NORMSINV($B983)+SQRT(1-K$9^2*$C$11)*NORMSINV(J983))&lt;K$8,K$5+SQRT(NORMSDIST(K$9*SQRT($C$11)*NORMSINV($B983)+SQRT(1-K$9^2*$C$11)*NORMSINV(J983))*(K$7-K$5)*(K$6-K$5)),K$7-SQRT((1-NORMSDIST(K$9*SQRT($C$11)*NORMSINV($B983)+SQRT(1-K$9^2*$C$11)*NORMSINV(J983)))*(K$7-K$5)*(K$7-K$6))))</f>
        <v>0.240593784035123</v>
      </c>
      <c r="L983" s="2" t="n">
        <v>0.632467022</v>
      </c>
      <c r="M983" s="2" t="n">
        <f aca="false">IF(M$7=M$5,M$6,IF(NORMSDIST(M$9*SQRT($C$11)*NORMSINV($B983)+SQRT(1-M$9^2*$C$11)*NORMSINV(L983))&lt;M$8,M$5+SQRT(NORMSDIST(M$9*SQRT($C$11)*NORMSINV($B983)+SQRT(1-M$9^2*$C$11)*NORMSINV(L983))*(M$7-M$5)*(M$6-M$5)),M$7-SQRT((1-NORMSDIST(M$9*SQRT($C$11)*NORMSINV($B983)+SQRT(1-M$9^2*$C$11)*NORMSINV(L983)))*(M$7-M$5)*(M$7-M$6))))</f>
        <v>1645.12533827476</v>
      </c>
      <c r="N983" s="2" t="n">
        <v>0.496582259</v>
      </c>
      <c r="O983" s="2" t="n">
        <f aca="false">IF(O$7=O$5,O$6,IF(NORMSDIST(O$9*SQRT($C$11)*NORMSINV($B983)+SQRT(1-O$9^2*$C$11)*NORMSINV(N983))&lt;O$8,O$5+SQRT(NORMSDIST(O$9*SQRT($C$11)*NORMSINV($B983)+SQRT(1-O$9^2*$C$11)*NORMSINV(N983))*(O$7-O$5)*(O$6-O$5)),O$7-SQRT((1-NORMSDIST(O$9*SQRT($C$11)*NORMSINV($B983)+SQRT(1-O$9^2*$C$11)*NORMSINV(N983)))*(O$7-O$5)*(O$7-O$6))))</f>
        <v>0.170252750837382</v>
      </c>
      <c r="P983" s="2" t="n">
        <v>0.276090979</v>
      </c>
      <c r="Q983" s="2" t="n">
        <f aca="false">IF(Q$7=Q$5,Q$6,IF(NORMSDIST(Q$9*SQRT($C$11)*NORMSINV($B983)+SQRT(1-Q$9^2*$C$11)*NORMSINV(P983))&lt;Q$8,Q$5+SQRT(NORMSDIST(Q$9*SQRT($C$11)*NORMSINV($B983)+SQRT(1-Q$9^2*$C$11)*NORMSINV(P983))*(Q$7-Q$5)*(Q$6-Q$5)),Q$7-SQRT((1-NORMSDIST(Q$9*SQRT($C$11)*NORMSINV($B983)+SQRT(1-Q$9^2*$C$11)*NORMSINV(P983)))*(Q$7-Q$5)*(Q$7-Q$6))))</f>
        <v>0.0697235787347352</v>
      </c>
      <c r="R983" s="2" t="n">
        <v>0.498984174</v>
      </c>
      <c r="S983" s="2" t="n">
        <f aca="false">IF(S$7=S$5,S$6,IF(NORMSDIST(S$9*SQRT($C$11)*NORMSINV($B983)+SQRT(1-S$9^2*$C$11)*NORMSINV(R983))&lt;S$8,S$5+SQRT(NORMSDIST(S$9*SQRT($C$11)*NORMSINV($B983)+SQRT(1-S$9^2*$C$11)*NORMSINV(R983))*(S$7-S$5)*(S$6-S$5)),S$7-SQRT((1-NORMSDIST(S$9*SQRT($C$11)*NORMSINV($B983)+SQRT(1-S$9^2*$C$11)*NORMSINV(R983)))*(S$7-S$5)*(S$7-S$6))))</f>
        <v>0.573187368360069</v>
      </c>
      <c r="T983" s="2" t="n">
        <v>0.080631936</v>
      </c>
      <c r="U983" s="2" t="n">
        <f aca="false">IF(U$7=U$5,U$6,IF(NORMSDIST(U$9*SQRT($C$11)*NORMSINV($B983)+SQRT(1-U$9^2*$C$11)*NORMSINV(T983))&lt;U$8,U$5+SQRT(NORMSDIST(U$9*SQRT($C$11)*NORMSINV($B983)+SQRT(1-U$9^2*$C$11)*NORMSINV(T983))*(U$7-U$5)*(U$6-U$5)),U$7-SQRT((1-NORMSDIST(U$9*SQRT($C$11)*NORMSINV($B983)+SQRT(1-U$9^2*$C$11)*NORMSINV(T983)))*(U$7-U$5)*(U$7-U$6))))</f>
        <v>0.339704264933776</v>
      </c>
      <c r="V983" s="2" t="n">
        <v>0.409563429</v>
      </c>
      <c r="W983" s="2" t="n">
        <f aca="false">IF(W$7=W$5,W$6,IF(NORMSDIST(W$9*SQRT($C$11)*NORMSINV($B983)+SQRT(1-W$9^2*$C$11)*NORMSINV(V983))&lt;W$8,W$5+SQRT(NORMSDIST(W$9*SQRT($C$11)*NORMSINV($B983)+SQRT(1-W$9^2*$C$11)*NORMSINV(V983))*(W$7-W$5)*(W$6-W$5)),W$7-SQRT((1-NORMSDIST(W$9*SQRT($C$11)*NORMSINV($B983)+SQRT(1-W$9^2*$C$11)*NORMSINV(V983)))*(W$7-W$5)*(W$7-W$6))))</f>
        <v>10.1413481204591</v>
      </c>
      <c r="X983" s="2" t="n">
        <v>0.196473022</v>
      </c>
      <c r="Y983" s="2" t="n">
        <f aca="false">IF(Y$7=Y$5,Y$6,IF(NORMSDIST(Y$9*SQRT($C$11)*NORMSINV($B983)+SQRT(1-Y$9^2*$C$11)*NORMSINV(X983))&lt;Y$8,Y$5+SQRT(NORMSDIST(Y$9*SQRT($C$11)*NORMSINV($B983)+SQRT(1-Y$9^2*$C$11)*NORMSINV(X983))*(Y$7-Y$5)*(Y$6-Y$5)),Y$7-SQRT((1-NORMSDIST(Y$9*SQRT($C$11)*NORMSINV($B983)+SQRT(1-Y$9^2*$C$11)*NORMSINV(X983)))*(Y$7-Y$5)*(Y$7-Y$6))))</f>
        <v>0.313427042547385</v>
      </c>
      <c r="Z983" s="2" t="n">
        <v>0.263993634</v>
      </c>
      <c r="AA983" s="2" t="n">
        <f aca="false">IF(AA$7=AA$5,AA$6,IF(NORMSDIST(AA$9*SQRT($C$11)*NORMSINV($B983)+SQRT(1-AA$9^2*$C$11)*NORMSINV(Z983))&lt;AA$8,AA$5+SQRT(NORMSDIST(AA$9*SQRT($C$11)*NORMSINV($B983)+SQRT(1-AA$9^2*$C$11)*NORMSINV(Z983))*(AA$7-AA$5)*(AA$6-AA$5)),AA$7-SQRT((1-NORMSDIST(AA$9*SQRT($C$11)*NORMSINV($B983)+SQRT(1-AA$9^2*$C$11)*NORMSINV(Z983)))*(AA$7-AA$5)*(AA$7-AA$6))))</f>
        <v>0.726175772496361</v>
      </c>
      <c r="AB983" s="2" t="n">
        <v>0.874332699</v>
      </c>
      <c r="AC983" s="2" t="n">
        <f aca="false">IF(AC$7=AC$5,AC$6,IF(NORMSDIST(AC$9*SQRT($C$11)*NORMSINV($B983)+SQRT(1-AC$9^2*$C$11)*NORMSINV(AB983))&lt;AC$8,AC$5+SQRT(NORMSDIST(AC$9*SQRT($C$11)*NORMSINV($B983)+SQRT(1-AC$9^2*$C$11)*NORMSINV(AB983))*(AC$7-AC$5)*(AC$6-AC$5)),AC$7-SQRT((1-NORMSDIST(AC$9*SQRT($C$11)*NORMSINV($B983)+SQRT(1-AC$9^2*$C$11)*NORMSINV(AB983)))*(AC$7-AC$5)*(AC$7-AC$6))))</f>
        <v>10.3170509692644</v>
      </c>
      <c r="AD983" s="2" t="n">
        <f aca="false">Entrées!$C$8*(1+E983)</f>
        <v>7428.95299649059</v>
      </c>
      <c r="AE983" s="2" t="n">
        <f aca="false">I983*Hypothèses!$J$24/12/Hypothèses!$J$19</f>
        <v>104.270860515894</v>
      </c>
      <c r="AF983" s="2" t="n">
        <f aca="false">Entrées!$C$36*S983*1000</f>
        <v>286.593684180034</v>
      </c>
      <c r="AG983" s="2" t="n">
        <f aca="false">-AF983/W983</f>
        <v>-28.2599197637109</v>
      </c>
      <c r="AH983" s="2" t="n">
        <f aca="false">AD983+AE983+AG983</f>
        <v>7504.96393724277</v>
      </c>
      <c r="AI983" s="2" t="n">
        <f aca="false">Entrées!$C$16-M983+Hypothèses!$J$22*1000-AF983+Hypothèses!$J$23</f>
        <v>22616.2809775452</v>
      </c>
      <c r="AJ983" s="2" t="n">
        <f aca="false">AI983/AH983</f>
        <v>3.01350961399211</v>
      </c>
      <c r="AK983" s="2" t="n">
        <f aca="false">AI983/(AH983+I983*(12-Hypothèses!$J$24)/12/Hypothèses!$J$19)</f>
        <v>2.98389744596726</v>
      </c>
      <c r="AL983" s="2" t="n">
        <f aca="false">(AD983+AG983+I983/Hypothèses!$J$19)*(1+G983)</f>
        <v>7954.00240096447</v>
      </c>
      <c r="AM983" s="2" t="n">
        <f aca="false">Entrées!$C$54*K983/Hypothèses!$J$19</f>
        <v>24.5536058488036</v>
      </c>
      <c r="AN983" s="2" t="n">
        <f aca="false">Y983*1000/AC983</f>
        <v>30.379518670705</v>
      </c>
      <c r="AO983" s="2" t="n">
        <f aca="false">(Entrées!$C$36*(1-S983)+MAX(0,Entrées!$C$30-Entrées!$C$35-Entrées!$C$36)*U983)*1000</f>
        <v>688.992286727252</v>
      </c>
      <c r="AP983" s="2" t="n">
        <f aca="false">-AO983/W983</f>
        <v>-67.9389247409113</v>
      </c>
      <c r="AQ983" s="2" t="n">
        <f aca="false">AL983+AM983+AN983+AP983</f>
        <v>7940.99660074306</v>
      </c>
      <c r="AR983" s="2" t="n">
        <f aca="false">O983*AQ983-Hypothèses!$J$25/Hypothèses!$J$19</f>
        <v>1332.84135340518</v>
      </c>
      <c r="AS983" s="2" t="n">
        <f aca="false">Entrées!$C$79*(1+Q983)+Hypothèses!$J$20</f>
        <v>1470.62621302947</v>
      </c>
      <c r="AT983" s="2" t="n">
        <f aca="false">AI983-AR983+AS983+Y983*1000-AO983+Hypothèses!$J$23</f>
        <v>22378.5005929896</v>
      </c>
      <c r="AU983" s="2" t="n">
        <f aca="false">AT983/AQ983</f>
        <v>2.81809723868861</v>
      </c>
      <c r="AV983" s="2" t="n">
        <f aca="false">Hypothèses!$J$26*AQ983-AT983</f>
        <v>1444.48920923956</v>
      </c>
      <c r="AW983" s="2" t="n">
        <f aca="false">IF(AC983&gt;Hypothèses!$J$26,MAX(0,AV983)/(1-Hypothèses!$J$26/AC983),0)</f>
        <v>2036.7315820099</v>
      </c>
      <c r="AX983" s="2" t="n">
        <f aca="false">AQ983-Entrées!$C$17*1000</f>
        <v>-59.0033992569361</v>
      </c>
      <c r="AY983" s="2" t="n">
        <f aca="false">AI983+(Entrées!$C$244-Entrées!$C$13)</f>
        <v>28363.2809775452</v>
      </c>
      <c r="AZ983" s="2" t="n">
        <f aca="false">AA983*AH983</f>
        <v>5449.9229846846</v>
      </c>
      <c r="BA983" s="2" t="n">
        <f aca="false">AZ983/AY983</f>
        <v>0.192147128147806</v>
      </c>
      <c r="BB983" s="2" t="n">
        <f aca="false">AZ983/(Entrées!$C$151/100)-AY983</f>
        <v>1914.06893736926</v>
      </c>
      <c r="BC983" s="2" t="n">
        <f aca="false">AT983+(Entrées!$C$244-Entrées!$C$13)</f>
        <v>28125.5005929896</v>
      </c>
      <c r="BD983" s="2" t="n">
        <f aca="false">AA983*AQ983</f>
        <v>5766.55934093558</v>
      </c>
      <c r="BE983" s="2" t="n">
        <f aca="false">BD983/BC983</f>
        <v>0.20502957171802</v>
      </c>
      <c r="BF983" s="2" t="n">
        <f aca="false">BD983/(Entrées!$C$151/100)-BC983</f>
        <v>3910.94018998579</v>
      </c>
      <c r="BG983" s="2" t="n">
        <f aca="false">MIN(AV983,BF983)</f>
        <v>1444.48920923956</v>
      </c>
      <c r="BH983" s="2" t="n">
        <f aca="false">IF(AC983&gt;Hypothèses!$J$26,MAX(0,BG983)/(1-Hypothèses!$J$26/AC983),0)</f>
        <v>2036.7315820099</v>
      </c>
    </row>
    <row r="984" customFormat="false" ht="15" hidden="false" customHeight="false" outlineLevel="0" collapsed="false">
      <c r="A984" s="2" t="n">
        <v>969</v>
      </c>
      <c r="B984" s="2" t="n">
        <v>0.277254844</v>
      </c>
      <c r="C984" s="2"/>
      <c r="D984" s="2" t="n">
        <v>0.474916154</v>
      </c>
      <c r="E984" s="2" t="n">
        <f aca="false">IF(E$7=E$5,E$6,IF(NORMSDIST(E$9*SQRT($C$11)*NORMSINV($B984)+SQRT(1-E$9^2*$C$11)*NORMSINV(D984))&lt;E$8,E$5+SQRT(NORMSDIST(E$9*SQRT($C$11)*NORMSINV($B984)+SQRT(1-E$9^2*$C$11)*NORMSINV(D984))*(E$7-E$5)*(E$6-E$5)),E$7-SQRT((1-NORMSDIST(E$9*SQRT($C$11)*NORMSINV($B984)+SQRT(1-E$9^2*$C$11)*NORMSINV(D984)))*(E$7-E$5)*(E$7-E$6))))</f>
        <v>0.0541007330071219</v>
      </c>
      <c r="F984" s="2" t="n">
        <v>0.614880959</v>
      </c>
      <c r="G984" s="2" t="n">
        <f aca="false">IF(G$7=G$5,G$6,IF(NORMSDIST(G$9*SQRT($C$11)*NORMSINV($B984)+SQRT(1-G$9^2*$C$11)*NORMSINV(F984))&lt;G$8,G$5+SQRT(NORMSDIST(G$9*SQRT($C$11)*NORMSINV($B984)+SQRT(1-G$9^2*$C$11)*NORMSINV(F984))*(G$7-G$5)*(G$6-G$5)),G$7-SQRT((1-NORMSDIST(G$9*SQRT($C$11)*NORMSINV($B984)+SQRT(1-G$9^2*$C$11)*NORMSINV(F984)))*(G$7-G$5)*(G$7-G$6))))</f>
        <v>0.0540927380358962</v>
      </c>
      <c r="H984" s="2" t="n">
        <v>0.868497536</v>
      </c>
      <c r="I984" s="2" t="n">
        <f aca="false">IF(I$7=I$5,I$6,IF(NORMSDIST(I$9*SQRT($C$11)*NORMSINV($B984)+SQRT(1-I$9^2*$C$11)*NORMSINV(H984))&lt;I$8,I$5+SQRT(NORMSDIST(I$9*SQRT($C$11)*NORMSINV($B984)+SQRT(1-I$9^2*$C$11)*NORMSINV(H984))*(I$7-I$5)*(I$6-I$5)),I$7-SQRT((1-NORMSDIST(I$9*SQRT($C$11)*NORMSINV($B984)+SQRT(1-I$9^2*$C$11)*NORMSINV(H984)))*(I$7-I$5)*(I$7-I$6))))</f>
        <v>204.228486558153</v>
      </c>
      <c r="J984" s="2" t="n">
        <v>0.442064027</v>
      </c>
      <c r="K984" s="2" t="n">
        <f aca="false">IF(K$7=K$5,K$6,IF(NORMSDIST(K$9*SQRT($C$11)*NORMSINV($B984)+SQRT(1-K$9^2*$C$11)*NORMSINV(J984))&lt;K$8,K$5+SQRT(NORMSDIST(K$9*SQRT($C$11)*NORMSINV($B984)+SQRT(1-K$9^2*$C$11)*NORMSINV(J984))*(K$7-K$5)*(K$6-K$5)),K$7-SQRT((1-NORMSDIST(K$9*SQRT($C$11)*NORMSINV($B984)+SQRT(1-K$9^2*$C$11)*NORMSINV(J984)))*(K$7-K$5)*(K$7-K$6))))</f>
        <v>0.197877067912322</v>
      </c>
      <c r="L984" s="2" t="n">
        <v>0.950747027</v>
      </c>
      <c r="M984" s="2" t="n">
        <f aca="false">IF(M$7=M$5,M$6,IF(NORMSDIST(M$9*SQRT($C$11)*NORMSINV($B984)+SQRT(1-M$9^2*$C$11)*NORMSINV(L984))&lt;M$8,M$5+SQRT(NORMSDIST(M$9*SQRT($C$11)*NORMSINV($B984)+SQRT(1-M$9^2*$C$11)*NORMSINV(L984))*(M$7-M$5)*(M$6-M$5)),M$7-SQRT((1-NORMSDIST(M$9*SQRT($C$11)*NORMSINV($B984)+SQRT(1-M$9^2*$C$11)*NORMSINV(L984)))*(M$7-M$5)*(M$7-M$6))))</f>
        <v>1671.37132118141</v>
      </c>
      <c r="N984" s="2" t="n">
        <v>0.851293686</v>
      </c>
      <c r="O984" s="2" t="n">
        <f aca="false">IF(O$7=O$5,O$6,IF(NORMSDIST(O$9*SQRT($C$11)*NORMSINV($B984)+SQRT(1-O$9^2*$C$11)*NORMSINV(N984))&lt;O$8,O$5+SQRT(NORMSDIST(O$9*SQRT($C$11)*NORMSINV($B984)+SQRT(1-O$9^2*$C$11)*NORMSINV(N984))*(O$7-O$5)*(O$6-O$5)),O$7-SQRT((1-NORMSDIST(O$9*SQRT($C$11)*NORMSINV($B984)+SQRT(1-O$9^2*$C$11)*NORMSINV(N984)))*(O$7-O$5)*(O$7-O$6))))</f>
        <v>0.171183770182141</v>
      </c>
      <c r="P984" s="2" t="n">
        <v>0.480187246</v>
      </c>
      <c r="Q984" s="2" t="n">
        <f aca="false">IF(Q$7=Q$5,Q$6,IF(NORMSDIST(Q$9*SQRT($C$11)*NORMSINV($B984)+SQRT(1-Q$9^2*$C$11)*NORMSINV(P984))&lt;Q$8,Q$5+SQRT(NORMSDIST(Q$9*SQRT($C$11)*NORMSINV($B984)+SQRT(1-Q$9^2*$C$11)*NORMSINV(P984))*(Q$7-Q$5)*(Q$6-Q$5)),Q$7-SQRT((1-NORMSDIST(Q$9*SQRT($C$11)*NORMSINV($B984)+SQRT(1-Q$9^2*$C$11)*NORMSINV(P984)))*(Q$7-Q$5)*(Q$7-Q$6))))</f>
        <v>0.0791994794251148</v>
      </c>
      <c r="R984" s="2" t="n">
        <v>0.836740959</v>
      </c>
      <c r="S984" s="2" t="n">
        <f aca="false">IF(S$7=S$5,S$6,IF(NORMSDIST(S$9*SQRT($C$11)*NORMSINV($B984)+SQRT(1-S$9^2*$C$11)*NORMSINV(R984))&lt;S$8,S$5+SQRT(NORMSDIST(S$9*SQRT($C$11)*NORMSINV($B984)+SQRT(1-S$9^2*$C$11)*NORMSINV(R984))*(S$7-S$5)*(S$6-S$5)),S$7-SQRT((1-NORMSDIST(S$9*SQRT($C$11)*NORMSINV($B984)+SQRT(1-S$9^2*$C$11)*NORMSINV(R984)))*(S$7-S$5)*(S$7-S$6))))</f>
        <v>0.581865853957951</v>
      </c>
      <c r="T984" s="2" t="n">
        <v>0.434194059</v>
      </c>
      <c r="U984" s="2" t="n">
        <f aca="false">IF(U$7=U$5,U$6,IF(NORMSDIST(U$9*SQRT($C$11)*NORMSINV($B984)+SQRT(1-U$9^2*$C$11)*NORMSINV(T984))&lt;U$8,U$5+SQRT(NORMSDIST(U$9*SQRT($C$11)*NORMSINV($B984)+SQRT(1-U$9^2*$C$11)*NORMSINV(T984))*(U$7-U$5)*(U$6-U$5)),U$7-SQRT((1-NORMSDIST(U$9*SQRT($C$11)*NORMSINV($B984)+SQRT(1-U$9^2*$C$11)*NORMSINV(T984)))*(U$7-U$5)*(U$7-U$6))))</f>
        <v>0.392289501963924</v>
      </c>
      <c r="V984" s="2" t="n">
        <v>0.377688855</v>
      </c>
      <c r="W984" s="2" t="n">
        <f aca="false">IF(W$7=W$5,W$6,IF(NORMSDIST(W$9*SQRT($C$11)*NORMSINV($B984)+SQRT(1-W$9^2*$C$11)*NORMSINV(V984))&lt;W$8,W$5+SQRT(NORMSDIST(W$9*SQRT($C$11)*NORMSINV($B984)+SQRT(1-W$9^2*$C$11)*NORMSINV(V984))*(W$7-W$5)*(W$6-W$5)),W$7-SQRT((1-NORMSDIST(W$9*SQRT($C$11)*NORMSINV($B984)+SQRT(1-W$9^2*$C$11)*NORMSINV(V984)))*(W$7-W$5)*(W$7-W$6))))</f>
        <v>9.46761608668068</v>
      </c>
      <c r="X984" s="2" t="n">
        <v>0.546642618</v>
      </c>
      <c r="Y984" s="2" t="n">
        <f aca="false">IF(Y$7=Y$5,Y$6,IF(NORMSDIST(Y$9*SQRT($C$11)*NORMSINV($B984)+SQRT(1-Y$9^2*$C$11)*NORMSINV(X984))&lt;Y$8,Y$5+SQRT(NORMSDIST(Y$9*SQRT($C$11)*NORMSINV($B984)+SQRT(1-Y$9^2*$C$11)*NORMSINV(X984))*(Y$7-Y$5)*(Y$6-Y$5)),Y$7-SQRT((1-NORMSDIST(Y$9*SQRT($C$11)*NORMSINV($B984)+SQRT(1-Y$9^2*$C$11)*NORMSINV(X984)))*(Y$7-Y$5)*(Y$7-Y$6))))</f>
        <v>0.52389214352208</v>
      </c>
      <c r="Z984" s="2" t="n">
        <v>0.551613816</v>
      </c>
      <c r="AA984" s="2" t="n">
        <f aca="false">IF(AA$7=AA$5,AA$6,IF(NORMSDIST(AA$9*SQRT($C$11)*NORMSINV($B984)+SQRT(1-AA$9^2*$C$11)*NORMSINV(Z984))&lt;AA$8,AA$5+SQRT(NORMSDIST(AA$9*SQRT($C$11)*NORMSINV($B984)+SQRT(1-AA$9^2*$C$11)*NORMSINV(Z984))*(AA$7-AA$5)*(AA$6-AA$5)),AA$7-SQRT((1-NORMSDIST(AA$9*SQRT($C$11)*NORMSINV($B984)+SQRT(1-AA$9^2*$C$11)*NORMSINV(Z984)))*(AA$7-AA$5)*(AA$7-AA$6))))</f>
        <v>0.724313071209971</v>
      </c>
      <c r="AB984" s="2" t="n">
        <v>0.649470065</v>
      </c>
      <c r="AC984" s="2" t="n">
        <f aca="false">IF(AC$7=AC$5,AC$6,IF(NORMSDIST(AC$9*SQRT($C$11)*NORMSINV($B984)+SQRT(1-AC$9^2*$C$11)*NORMSINV(AB984))&lt;AC$8,AC$5+SQRT(NORMSDIST(AC$9*SQRT($C$11)*NORMSINV($B984)+SQRT(1-AC$9^2*$C$11)*NORMSINV(AB984))*(AC$7-AC$5)*(AC$6-AC$5)),AC$7-SQRT((1-NORMSDIST(AC$9*SQRT($C$11)*NORMSINV($B984)+SQRT(1-AC$9^2*$C$11)*NORMSINV(AB984)))*(AC$7-AC$5)*(AC$7-AC$6))))</f>
        <v>9.41415195782979</v>
      </c>
      <c r="AD984" s="2" t="n">
        <f aca="false">Entrées!$C$8*(1+E984)</f>
        <v>7431.41016770021</v>
      </c>
      <c r="AE984" s="2" t="n">
        <f aca="false">I984*Hypothèses!$J$24/12/Hypothèses!$J$19</f>
        <v>101.3170985228</v>
      </c>
      <c r="AF984" s="2" t="n">
        <f aca="false">Entrées!$C$36*S984*1000</f>
        <v>290.932926978976</v>
      </c>
      <c r="AG984" s="2" t="n">
        <f aca="false">-AF984/W984</f>
        <v>-30.7292695769813</v>
      </c>
      <c r="AH984" s="2" t="n">
        <f aca="false">AD984+AE984+AG984</f>
        <v>7501.99799664603</v>
      </c>
      <c r="AI984" s="2" t="n">
        <f aca="false">Entrées!$C$16-M984+Hypothèses!$J$22*1000-AF984+Hypothèses!$J$23</f>
        <v>22585.6957518396</v>
      </c>
      <c r="AJ984" s="2" t="n">
        <f aca="false">AI984/AH984</f>
        <v>3.01062407133902</v>
      </c>
      <c r="AK984" s="2" t="n">
        <f aca="false">AI984/(AH984+I984*(12-Hypothèses!$J$24)/12/Hypothèses!$J$19)</f>
        <v>2.9818590385226</v>
      </c>
      <c r="AL984" s="2" t="n">
        <f aca="false">(AD984+AG984+I984/Hypothèses!$J$19)*(1+G984)</f>
        <v>7984.08562173281</v>
      </c>
      <c r="AM984" s="2" t="n">
        <f aca="false">Entrées!$C$54*K984/Hypothèses!$J$19</f>
        <v>20.194185612571</v>
      </c>
      <c r="AN984" s="2" t="n">
        <f aca="false">Y984*1000/AC984</f>
        <v>55.6494250219061</v>
      </c>
      <c r="AO984" s="2" t="n">
        <f aca="false">(Entrées!$C$36*(1-S984)+MAX(0,Entrées!$C$30-Entrées!$C$35-Entrées!$C$36)*U984)*1000</f>
        <v>758.272375770518</v>
      </c>
      <c r="AP984" s="2" t="n">
        <f aca="false">-AO984/W984</f>
        <v>-80.0911622131867</v>
      </c>
      <c r="AQ984" s="2" t="n">
        <f aca="false">AL984+AM984+AN984+AP984</f>
        <v>7979.8380701541</v>
      </c>
      <c r="AR984" s="2" t="n">
        <f aca="false">O984*AQ984-Hypothèses!$J$25/Hypothèses!$J$19</f>
        <v>1346.88360403034</v>
      </c>
      <c r="AS984" s="2" t="n">
        <f aca="false">Entrées!$C$79*(1+Q984)+Hypothèses!$J$20</f>
        <v>1481.0402278882</v>
      </c>
      <c r="AT984" s="2" t="n">
        <f aca="false">AI984-AR984+AS984+Y984*1000-AO984+Hypothèses!$J$23</f>
        <v>22485.472143449</v>
      </c>
      <c r="AU984" s="2" t="n">
        <f aca="false">AT984/AQ984</f>
        <v>2.81778551717088</v>
      </c>
      <c r="AV984" s="2" t="n">
        <f aca="false">Hypothèses!$J$26*AQ984-AT984</f>
        <v>1454.04206701327</v>
      </c>
      <c r="AW984" s="2" t="n">
        <f aca="false">IF(AC984&gt;Hypothèses!$J$26,MAX(0,AV984)/(1-Hypothèses!$J$26/AC984),0)</f>
        <v>2134.12046704477</v>
      </c>
      <c r="AX984" s="2" t="n">
        <f aca="false">AQ984-Entrées!$C$17*1000</f>
        <v>-20.1619298458963</v>
      </c>
      <c r="AY984" s="2" t="n">
        <f aca="false">AI984+(Entrées!$C$244-Entrées!$C$13)</f>
        <v>28332.6957518396</v>
      </c>
      <c r="AZ984" s="2" t="n">
        <f aca="false">AA984*AH984</f>
        <v>5433.79520916174</v>
      </c>
      <c r="BA984" s="2" t="n">
        <f aca="false">AZ984/AY984</f>
        <v>0.191785323103571</v>
      </c>
      <c r="BB984" s="2" t="n">
        <f aca="false">AZ984/(Entrées!$C$151/100)-AY984</f>
        <v>1855.05541017003</v>
      </c>
      <c r="BC984" s="2" t="n">
        <f aca="false">AT984+(Entrées!$C$244-Entrées!$C$13)</f>
        <v>28232.472143449</v>
      </c>
      <c r="BD984" s="2" t="n">
        <f aca="false">AA984*AQ984</f>
        <v>5779.90102035157</v>
      </c>
      <c r="BE984" s="2" t="n">
        <f aca="false">BD984/BC984</f>
        <v>0.204725289056655</v>
      </c>
      <c r="BF984" s="2" t="n">
        <f aca="false">BD984/(Entrées!$C$151/100)-BC984</f>
        <v>3878.08908072635</v>
      </c>
      <c r="BG984" s="2" t="n">
        <f aca="false">MIN(AV984,BF984)</f>
        <v>1454.04206701327</v>
      </c>
      <c r="BH984" s="2" t="n">
        <f aca="false">IF(AC984&gt;Hypothèses!$J$26,MAX(0,BG984)/(1-Hypothèses!$J$26/AC984),0)</f>
        <v>2134.12046704477</v>
      </c>
    </row>
    <row r="985" customFormat="false" ht="15" hidden="false" customHeight="false" outlineLevel="0" collapsed="false">
      <c r="A985" s="2" t="n">
        <v>970</v>
      </c>
      <c r="B985" s="2" t="n">
        <v>0.367306308</v>
      </c>
      <c r="C985" s="2"/>
      <c r="D985" s="2" t="n">
        <v>0.013025815</v>
      </c>
      <c r="E985" s="2" t="n">
        <f aca="false">IF(E$7=E$5,E$6,IF(NORMSDIST(E$9*SQRT($C$11)*NORMSINV($B985)+SQRT(1-E$9^2*$C$11)*NORMSINV(D985))&lt;E$8,E$5+SQRT(NORMSDIST(E$9*SQRT($C$11)*NORMSINV($B985)+SQRT(1-E$9^2*$C$11)*NORMSINV(D985))*(E$7-E$5)*(E$6-E$5)),E$7-SQRT((1-NORMSDIST(E$9*SQRT($C$11)*NORMSINV($B985)+SQRT(1-E$9^2*$C$11)*NORMSINV(D985)))*(E$7-E$5)*(E$7-E$6))))</f>
        <v>0.0511466959236807</v>
      </c>
      <c r="F985" s="2" t="n">
        <v>0.551283343</v>
      </c>
      <c r="G985" s="2" t="n">
        <f aca="false">IF(G$7=G$5,G$6,IF(NORMSDIST(G$9*SQRT($C$11)*NORMSINV($B985)+SQRT(1-G$9^2*$C$11)*NORMSINV(F985))&lt;G$8,G$5+SQRT(NORMSDIST(G$9*SQRT($C$11)*NORMSINV($B985)+SQRT(1-G$9^2*$C$11)*NORMSINV(F985))*(G$7-G$5)*(G$6-G$5)),G$7-SQRT((1-NORMSDIST(G$9*SQRT($C$11)*NORMSINV($B985)+SQRT(1-G$9^2*$C$11)*NORMSINV(F985)))*(G$7-G$5)*(G$7-G$6))))</f>
        <v>0.0542996577345369</v>
      </c>
      <c r="H985" s="2" t="n">
        <v>0.634518772</v>
      </c>
      <c r="I985" s="2" t="n">
        <f aca="false">IF(I$7=I$5,I$6,IF(NORMSDIST(I$9*SQRT($C$11)*NORMSINV($B985)+SQRT(1-I$9^2*$C$11)*NORMSINV(H985))&lt;I$8,I$5+SQRT(NORMSDIST(I$9*SQRT($C$11)*NORMSINV($B985)+SQRT(1-I$9^2*$C$11)*NORMSINV(H985))*(I$7-I$5)*(I$6-I$5)),I$7-SQRT((1-NORMSDIST(I$9*SQRT($C$11)*NORMSINV($B985)+SQRT(1-I$9^2*$C$11)*NORMSINV(H985)))*(I$7-I$5)*(I$7-I$6))))</f>
        <v>200.418628996324</v>
      </c>
      <c r="J985" s="2" t="n">
        <v>0.138970946</v>
      </c>
      <c r="K985" s="2" t="n">
        <f aca="false">IF(K$7=K$5,K$6,IF(NORMSDIST(K$9*SQRT($C$11)*NORMSINV($B985)+SQRT(1-K$9^2*$C$11)*NORMSINV(J985))&lt;K$8,K$5+SQRT(NORMSDIST(K$9*SQRT($C$11)*NORMSINV($B985)+SQRT(1-K$9^2*$C$11)*NORMSINV(J985))*(K$7-K$5)*(K$6-K$5)),K$7-SQRT((1-NORMSDIST(K$9*SQRT($C$11)*NORMSINV($B985)+SQRT(1-K$9^2*$C$11)*NORMSINV(J985)))*(K$7-K$5)*(K$7-K$6))))</f>
        <v>0.134980528899656</v>
      </c>
      <c r="L985" s="2" t="n">
        <v>0.903876265</v>
      </c>
      <c r="M985" s="2" t="n">
        <f aca="false">IF(M$7=M$5,M$6,IF(NORMSDIST(M$9*SQRT($C$11)*NORMSINV($B985)+SQRT(1-M$9^2*$C$11)*NORMSINV(L985))&lt;M$8,M$5+SQRT(NORMSDIST(M$9*SQRT($C$11)*NORMSINV($B985)+SQRT(1-M$9^2*$C$11)*NORMSINV(L985))*(M$7-M$5)*(M$6-M$5)),M$7-SQRT((1-NORMSDIST(M$9*SQRT($C$11)*NORMSINV($B985)+SQRT(1-M$9^2*$C$11)*NORMSINV(L985)))*(M$7-M$5)*(M$7-M$6))))</f>
        <v>1661.64519861175</v>
      </c>
      <c r="N985" s="2" t="n">
        <v>0.965147345</v>
      </c>
      <c r="O985" s="2" t="n">
        <f aca="false">IF(O$7=O$5,O$6,IF(NORMSDIST(O$9*SQRT($C$11)*NORMSINV($B985)+SQRT(1-O$9^2*$C$11)*NORMSINV(N985))&lt;O$8,O$5+SQRT(NORMSDIST(O$9*SQRT($C$11)*NORMSINV($B985)+SQRT(1-O$9^2*$C$11)*NORMSINV(N985))*(O$7-O$5)*(O$6-O$5)),O$7-SQRT((1-NORMSDIST(O$9*SQRT($C$11)*NORMSINV($B985)+SQRT(1-O$9^2*$C$11)*NORMSINV(N985)))*(O$7-O$5)*(O$7-O$6))))</f>
        <v>0.17884071277708</v>
      </c>
      <c r="P985" s="2" t="n">
        <v>0.160037526</v>
      </c>
      <c r="Q985" s="2" t="n">
        <f aca="false">IF(Q$7=Q$5,Q$6,IF(NORMSDIST(Q$9*SQRT($C$11)*NORMSINV($B985)+SQRT(1-Q$9^2*$C$11)*NORMSINV(P985))&lt;Q$8,Q$5+SQRT(NORMSDIST(Q$9*SQRT($C$11)*NORMSINV($B985)+SQRT(1-Q$9^2*$C$11)*NORMSINV(P985))*(Q$7-Q$5)*(Q$6-Q$5)),Q$7-SQRT((1-NORMSDIST(Q$9*SQRT($C$11)*NORMSINV($B985)+SQRT(1-Q$9^2*$C$11)*NORMSINV(P985)))*(Q$7-Q$5)*(Q$7-Q$6))))</f>
        <v>0.0626300703313092</v>
      </c>
      <c r="R985" s="2" t="n">
        <v>0.785327757</v>
      </c>
      <c r="S985" s="2" t="n">
        <f aca="false">IF(S$7=S$5,S$6,IF(NORMSDIST(S$9*SQRT($C$11)*NORMSINV($B985)+SQRT(1-S$9^2*$C$11)*NORMSINV(R985))&lt;S$8,S$5+SQRT(NORMSDIST(S$9*SQRT($C$11)*NORMSINV($B985)+SQRT(1-S$9^2*$C$11)*NORMSINV(R985))*(S$7-S$5)*(S$6-S$5)),S$7-SQRT((1-NORMSDIST(S$9*SQRT($C$11)*NORMSINV($B985)+SQRT(1-S$9^2*$C$11)*NORMSINV(R985)))*(S$7-S$5)*(S$7-S$6))))</f>
        <v>0.584429181320856</v>
      </c>
      <c r="T985" s="2" t="n">
        <v>0.431780649</v>
      </c>
      <c r="U985" s="2" t="n">
        <f aca="false">IF(U$7=U$5,U$6,IF(NORMSDIST(U$9*SQRT($C$11)*NORMSINV($B985)+SQRT(1-U$9^2*$C$11)*NORMSINV(T985))&lt;U$8,U$5+SQRT(NORMSDIST(U$9*SQRT($C$11)*NORMSINV($B985)+SQRT(1-U$9^2*$C$11)*NORMSINV(T985))*(U$7-U$5)*(U$6-U$5)),U$7-SQRT((1-NORMSDIST(U$9*SQRT($C$11)*NORMSINV($B985)+SQRT(1-U$9^2*$C$11)*NORMSINV(T985)))*(U$7-U$5)*(U$7-U$6))))</f>
        <v>0.426675870977617</v>
      </c>
      <c r="V985" s="2" t="n">
        <v>0.454777182</v>
      </c>
      <c r="W985" s="2" t="n">
        <f aca="false">IF(W$7=W$5,W$6,IF(NORMSDIST(W$9*SQRT($C$11)*NORMSINV($B985)+SQRT(1-W$9^2*$C$11)*NORMSINV(V985))&lt;W$8,W$5+SQRT(NORMSDIST(W$9*SQRT($C$11)*NORMSINV($B985)+SQRT(1-W$9^2*$C$11)*NORMSINV(V985))*(W$7-W$5)*(W$6-W$5)),W$7-SQRT((1-NORMSDIST(W$9*SQRT($C$11)*NORMSINV($B985)+SQRT(1-W$9^2*$C$11)*NORMSINV(V985)))*(W$7-W$5)*(W$7-W$6))))</f>
        <v>9.74625450369911</v>
      </c>
      <c r="X985" s="2" t="n">
        <v>0.015208261</v>
      </c>
      <c r="Y985" s="2" t="n">
        <f aca="false">IF(Y$7=Y$5,Y$6,IF(NORMSDIST(Y$9*SQRT($C$11)*NORMSINV($B985)+SQRT(1-Y$9^2*$C$11)*NORMSINV(X985))&lt;Y$8,Y$5+SQRT(NORMSDIST(Y$9*SQRT($C$11)*NORMSINV($B985)+SQRT(1-Y$9^2*$C$11)*NORMSINV(X985))*(Y$7-Y$5)*(Y$6-Y$5)),Y$7-SQRT((1-NORMSDIST(Y$9*SQRT($C$11)*NORMSINV($B985)+SQRT(1-Y$9^2*$C$11)*NORMSINV(X985)))*(Y$7-Y$5)*(Y$7-Y$6))))</f>
        <v>0.0872016656951001</v>
      </c>
      <c r="Z985" s="2" t="n">
        <v>0.408739623</v>
      </c>
      <c r="AA985" s="2" t="n">
        <f aca="false">IF(AA$7=AA$5,AA$6,IF(NORMSDIST(AA$9*SQRT($C$11)*NORMSINV($B985)+SQRT(1-AA$9^2*$C$11)*NORMSINV(Z985))&lt;AA$8,AA$5+SQRT(NORMSDIST(AA$9*SQRT($C$11)*NORMSINV($B985)+SQRT(1-AA$9^2*$C$11)*NORMSINV(Z985))*(AA$7-AA$5)*(AA$6-AA$5)),AA$7-SQRT((1-NORMSDIST(AA$9*SQRT($C$11)*NORMSINV($B985)+SQRT(1-AA$9^2*$C$11)*NORMSINV(Z985)))*(AA$7-AA$5)*(AA$7-AA$6))))</f>
        <v>0.72259111687985</v>
      </c>
      <c r="AB985" s="2" t="n">
        <v>0.041723099</v>
      </c>
      <c r="AC985" s="2" t="n">
        <f aca="false">IF(AC$7=AC$5,AC$6,IF(NORMSDIST(AC$9*SQRT($C$11)*NORMSINV($B985)+SQRT(1-AC$9^2*$C$11)*NORMSINV(AB985))&lt;AC$8,AC$5+SQRT(NORMSDIST(AC$9*SQRT($C$11)*NORMSINV($B985)+SQRT(1-AC$9^2*$C$11)*NORMSINV(AB985))*(AC$7-AC$5)*(AC$6-AC$5)),AC$7-SQRT((1-NORMSDIST(AC$9*SQRT($C$11)*NORMSINV($B985)+SQRT(1-AC$9^2*$C$11)*NORMSINV(AB985)))*(AC$7-AC$5)*(AC$7-AC$6))))</f>
        <v>8.1196588170357</v>
      </c>
      <c r="AD985" s="2" t="n">
        <f aca="false">Entrées!$C$8*(1+E985)</f>
        <v>7410.58420626195</v>
      </c>
      <c r="AE985" s="2" t="n">
        <f aca="false">I985*Hypothèses!$J$24/12/Hypothèses!$J$19</f>
        <v>99.4270403802999</v>
      </c>
      <c r="AF985" s="2" t="n">
        <f aca="false">Entrées!$C$36*S985*1000</f>
        <v>292.214590660428</v>
      </c>
      <c r="AG985" s="2" t="n">
        <f aca="false">-AF985/W985</f>
        <v>-29.9822450305931</v>
      </c>
      <c r="AH985" s="2" t="n">
        <f aca="false">AD985+AE985+AG985</f>
        <v>7480.02900161166</v>
      </c>
      <c r="AI985" s="2" t="n">
        <f aca="false">Entrées!$C$16-M985+Hypothèses!$J$22*1000-AF985+Hypothèses!$J$23</f>
        <v>22594.1402107278</v>
      </c>
      <c r="AJ985" s="2" t="n">
        <f aca="false">AI985/AH985</f>
        <v>3.02059526852899</v>
      </c>
      <c r="AK985" s="2" t="n">
        <f aca="false">AI985/(AH985+I985*(12-Hypothèses!$J$24)/12/Hypothèses!$J$19)</f>
        <v>2.99218588793123</v>
      </c>
      <c r="AL985" s="2" t="n">
        <f aca="false">(AD985+AG985+I985/Hypothèses!$J$19)*(1+G985)</f>
        <v>7961.06765527394</v>
      </c>
      <c r="AM985" s="2" t="n">
        <f aca="false">Entrées!$C$54*K985/Hypothèses!$J$19</f>
        <v>13.7753297208267</v>
      </c>
      <c r="AN985" s="2" t="n">
        <f aca="false">Y985*1000/AC985</f>
        <v>10.7395726421588</v>
      </c>
      <c r="AO985" s="2" t="n">
        <f aca="false">(Entrées!$C$36*(1-S985)+MAX(0,Entrées!$C$30-Entrées!$C$35-Entrées!$C$36)*U985)*1000</f>
        <v>805.131628708235</v>
      </c>
      <c r="AP985" s="2" t="n">
        <f aca="false">-AO985/W985</f>
        <v>-82.6093376078631</v>
      </c>
      <c r="AQ985" s="2" t="n">
        <f aca="false">AL985+AM985+AN985+AP985</f>
        <v>7902.97322002906</v>
      </c>
      <c r="AR985" s="2" t="n">
        <f aca="false">O985*AQ985-Hypothèses!$J$25/Hypothèses!$J$19</f>
        <v>1394.23820146655</v>
      </c>
      <c r="AS985" s="2" t="n">
        <f aca="false">Entrées!$C$79*(1+Q985)+Hypothèses!$J$20</f>
        <v>1462.83044729411</v>
      </c>
      <c r="AT985" s="2" t="n">
        <f aca="false">AI985-AR985+AS985+Y985*1000-AO985+Hypothèses!$J$23</f>
        <v>21944.8024935423</v>
      </c>
      <c r="AU985" s="2" t="n">
        <f aca="false">AT985/AQ985</f>
        <v>2.77677804069056</v>
      </c>
      <c r="AV985" s="2" t="n">
        <f aca="false">Hypothèses!$J$26*AQ985-AT985</f>
        <v>1764.11716654494</v>
      </c>
      <c r="AW985" s="2" t="n">
        <f aca="false">IF(AC985&gt;Hypothèses!$J$26,MAX(0,AV985)/(1-Hypothèses!$J$26/AC985),0)</f>
        <v>2797.84845387692</v>
      </c>
      <c r="AX985" s="2" t="n">
        <f aca="false">AQ985-Entrées!$C$17*1000</f>
        <v>-97.0267799709363</v>
      </c>
      <c r="AY985" s="2" t="n">
        <f aca="false">AI985+(Entrées!$C$244-Entrées!$C$13)</f>
        <v>28341.1402107278</v>
      </c>
      <c r="AZ985" s="2" t="n">
        <f aca="false">AA985*AH985</f>
        <v>5405.00251056823</v>
      </c>
      <c r="BA985" s="2" t="n">
        <f aca="false">AZ985/AY985</f>
        <v>0.190712246239208</v>
      </c>
      <c r="BB985" s="2" t="n">
        <f aca="false">AZ985/(Entrées!$C$151/100)-AY985</f>
        <v>1686.65151465124</v>
      </c>
      <c r="BC985" s="2" t="n">
        <f aca="false">AT985+(Entrées!$C$244-Entrées!$C$13)</f>
        <v>27691.8024935423</v>
      </c>
      <c r="BD985" s="2" t="n">
        <f aca="false">AA985*AQ985</f>
        <v>5710.61824573234</v>
      </c>
      <c r="BE985" s="2" t="n">
        <f aca="false">BD985/BC985</f>
        <v>0.206220532125493</v>
      </c>
      <c r="BF985" s="2" t="n">
        <f aca="false">BD985/(Entrées!$C$151/100)-BC985</f>
        <v>4033.85442719298</v>
      </c>
      <c r="BG985" s="2" t="n">
        <f aca="false">MIN(AV985,BF985)</f>
        <v>1764.11716654494</v>
      </c>
      <c r="BH985" s="2" t="n">
        <f aca="false">IF(AC985&gt;Hypothèses!$J$26,MAX(0,BG985)/(1-Hypothèses!$J$26/AC985),0)</f>
        <v>2797.84845387692</v>
      </c>
    </row>
    <row r="986" customFormat="false" ht="15" hidden="false" customHeight="false" outlineLevel="0" collapsed="false">
      <c r="A986" s="2" t="n">
        <v>971</v>
      </c>
      <c r="B986" s="2" t="n">
        <v>0.372984911</v>
      </c>
      <c r="C986" s="2"/>
      <c r="D986" s="2" t="n">
        <v>0.897264351</v>
      </c>
      <c r="E986" s="2" t="n">
        <f aca="false">IF(E$7=E$5,E$6,IF(NORMSDIST(E$9*SQRT($C$11)*NORMSINV($B986)+SQRT(1-E$9^2*$C$11)*NORMSINV(D986))&lt;E$8,E$5+SQRT(NORMSDIST(E$9*SQRT($C$11)*NORMSINV($B986)+SQRT(1-E$9^2*$C$11)*NORMSINV(D986))*(E$7-E$5)*(E$6-E$5)),E$7-SQRT((1-NORMSDIST(E$9*SQRT($C$11)*NORMSINV($B986)+SQRT(1-E$9^2*$C$11)*NORMSINV(D986)))*(E$7-E$5)*(E$7-E$6))))</f>
        <v>0.0566915146330897</v>
      </c>
      <c r="F986" s="2" t="n">
        <v>0.44742053</v>
      </c>
      <c r="G986" s="2" t="n">
        <f aca="false">IF(G$7=G$5,G$6,IF(NORMSDIST(G$9*SQRT($C$11)*NORMSINV($B986)+SQRT(1-G$9^2*$C$11)*NORMSINV(F986))&lt;G$8,G$5+SQRT(NORMSDIST(G$9*SQRT($C$11)*NORMSINV($B986)+SQRT(1-G$9^2*$C$11)*NORMSINV(F986))*(G$7-G$5)*(G$6-G$5)),G$7-SQRT((1-NORMSDIST(G$9*SQRT($C$11)*NORMSINV($B986)+SQRT(1-G$9^2*$C$11)*NORMSINV(F986)))*(G$7-G$5)*(G$7-G$6))))</f>
        <v>0.0530649332696121</v>
      </c>
      <c r="H986" s="2" t="n">
        <v>0.658153534</v>
      </c>
      <c r="I986" s="2" t="n">
        <f aca="false">IF(I$7=I$5,I$6,IF(NORMSDIST(I$9*SQRT($C$11)*NORMSINV($B986)+SQRT(1-I$9^2*$C$11)*NORMSINV(H986))&lt;I$8,I$5+SQRT(NORMSDIST(I$9*SQRT($C$11)*NORMSINV($B986)+SQRT(1-I$9^2*$C$11)*NORMSINV(H986))*(I$7-I$5)*(I$6-I$5)),I$7-SQRT((1-NORMSDIST(I$9*SQRT($C$11)*NORMSINV($B986)+SQRT(1-I$9^2*$C$11)*NORMSINV(H986)))*(I$7-I$5)*(I$7-I$6))))</f>
        <v>200.901822197569</v>
      </c>
      <c r="J986" s="2" t="n">
        <v>0.725022985</v>
      </c>
      <c r="K986" s="2" t="n">
        <f aca="false">IF(K$7=K$5,K$6,IF(NORMSDIST(K$9*SQRT($C$11)*NORMSINV($B986)+SQRT(1-K$9^2*$C$11)*NORMSINV(J986))&lt;K$8,K$5+SQRT(NORMSDIST(K$9*SQRT($C$11)*NORMSINV($B986)+SQRT(1-K$9^2*$C$11)*NORMSINV(J986))*(K$7-K$5)*(K$6-K$5)),K$7-SQRT((1-NORMSDIST(K$9*SQRT($C$11)*NORMSINV($B986)+SQRT(1-K$9^2*$C$11)*NORMSINV(J986)))*(K$7-K$5)*(K$7-K$6))))</f>
        <v>0.276916167639441</v>
      </c>
      <c r="L986" s="2" t="n">
        <v>0.88795448</v>
      </c>
      <c r="M986" s="2" t="n">
        <f aca="false">IF(M$7=M$5,M$6,IF(NORMSDIST(M$9*SQRT($C$11)*NORMSINV($B986)+SQRT(1-M$9^2*$C$11)*NORMSINV(L986))&lt;M$8,M$5+SQRT(NORMSDIST(M$9*SQRT($C$11)*NORMSINV($B986)+SQRT(1-M$9^2*$C$11)*NORMSINV(L986))*(M$7-M$5)*(M$6-M$5)),M$7-SQRT((1-NORMSDIST(M$9*SQRT($C$11)*NORMSINV($B986)+SQRT(1-M$9^2*$C$11)*NORMSINV(L986)))*(M$7-M$5)*(M$7-M$6))))</f>
        <v>1656.40268003718</v>
      </c>
      <c r="N986" s="2" t="n">
        <v>0.863318224</v>
      </c>
      <c r="O986" s="2" t="n">
        <f aca="false">IF(O$7=O$5,O$6,IF(NORMSDIST(O$9*SQRT($C$11)*NORMSINV($B986)+SQRT(1-O$9^2*$C$11)*NORMSINV(N986))&lt;O$8,O$5+SQRT(NORMSDIST(O$9*SQRT($C$11)*NORMSINV($B986)+SQRT(1-O$9^2*$C$11)*NORMSINV(N986))*(O$7-O$5)*(O$6-O$5)),O$7-SQRT((1-NORMSDIST(O$9*SQRT($C$11)*NORMSINV($B986)+SQRT(1-O$9^2*$C$11)*NORMSINV(N986)))*(O$7-O$5)*(O$7-O$6))))</f>
        <v>0.173360547344417</v>
      </c>
      <c r="P986" s="2" t="n">
        <v>0.327122971</v>
      </c>
      <c r="Q986" s="2" t="n">
        <f aca="false">IF(Q$7=Q$5,Q$6,IF(NORMSDIST(Q$9*SQRT($C$11)*NORMSINV($B986)+SQRT(1-Q$9^2*$C$11)*NORMSINV(P986))&lt;Q$8,Q$5+SQRT(NORMSDIST(Q$9*SQRT($C$11)*NORMSINV($B986)+SQRT(1-Q$9^2*$C$11)*NORMSINV(P986))*(Q$7-Q$5)*(Q$6-Q$5)),Q$7-SQRT((1-NORMSDIST(Q$9*SQRT($C$11)*NORMSINV($B986)+SQRT(1-Q$9^2*$C$11)*NORMSINV(P986)))*(Q$7-Q$5)*(Q$7-Q$6))))</f>
        <v>0.0723541884027401</v>
      </c>
      <c r="R986" s="2" t="n">
        <v>0.657944246</v>
      </c>
      <c r="S986" s="2" t="n">
        <f aca="false">IF(S$7=S$5,S$6,IF(NORMSDIST(S$9*SQRT($C$11)*NORMSINV($B986)+SQRT(1-S$9^2*$C$11)*NORMSINV(R986))&lt;S$8,S$5+SQRT(NORMSDIST(S$9*SQRT($C$11)*NORMSINV($B986)+SQRT(1-S$9^2*$C$11)*NORMSINV(R986))*(S$7-S$5)*(S$6-S$5)),S$7-SQRT((1-NORMSDIST(S$9*SQRT($C$11)*NORMSINV($B986)+SQRT(1-S$9^2*$C$11)*NORMSINV(R986)))*(S$7-S$5)*(S$7-S$6))))</f>
        <v>0.522453905164148</v>
      </c>
      <c r="T986" s="2" t="n">
        <v>0.752170417</v>
      </c>
      <c r="U986" s="2" t="n">
        <f aca="false">IF(U$7=U$5,U$6,IF(NORMSDIST(U$9*SQRT($C$11)*NORMSINV($B986)+SQRT(1-U$9^2*$C$11)*NORMSINV(T986))&lt;U$8,U$5+SQRT(NORMSDIST(U$9*SQRT($C$11)*NORMSINV($B986)+SQRT(1-U$9^2*$C$11)*NORMSINV(T986))*(U$7-U$5)*(U$6-U$5)),U$7-SQRT((1-NORMSDIST(U$9*SQRT($C$11)*NORMSINV($B986)+SQRT(1-U$9^2*$C$11)*NORMSINV(T986)))*(U$7-U$5)*(U$7-U$6))))</f>
        <v>0.567914141948083</v>
      </c>
      <c r="V986" s="2" t="n">
        <v>0.05468151</v>
      </c>
      <c r="W986" s="2" t="n">
        <f aca="false">IF(W$7=W$5,W$6,IF(NORMSDIST(W$9*SQRT($C$11)*NORMSINV($B986)+SQRT(1-W$9^2*$C$11)*NORMSINV(V986))&lt;W$8,W$5+SQRT(NORMSDIST(W$9*SQRT($C$11)*NORMSINV($B986)+SQRT(1-W$9^2*$C$11)*NORMSINV(V986))*(W$7-W$5)*(W$6-W$5)),W$7-SQRT((1-NORMSDIST(W$9*SQRT($C$11)*NORMSINV($B986)+SQRT(1-W$9^2*$C$11)*NORMSINV(V986)))*(W$7-W$5)*(W$7-W$6))))</f>
        <v>8.77055587887054</v>
      </c>
      <c r="X986" s="2" t="n">
        <v>0.048469889</v>
      </c>
      <c r="Y986" s="2" t="n">
        <f aca="false">IF(Y$7=Y$5,Y$6,IF(NORMSDIST(Y$9*SQRT($C$11)*NORMSINV($B986)+SQRT(1-Y$9^2*$C$11)*NORMSINV(X986))&lt;Y$8,Y$5+SQRT(NORMSDIST(Y$9*SQRT($C$11)*NORMSINV($B986)+SQRT(1-Y$9^2*$C$11)*NORMSINV(X986))*(Y$7-Y$5)*(Y$6-Y$5)),Y$7-SQRT((1-NORMSDIST(Y$9*SQRT($C$11)*NORMSINV($B986)+SQRT(1-Y$9^2*$C$11)*NORMSINV(X986)))*(Y$7-Y$5)*(Y$7-Y$6))))</f>
        <v>0.155675767221491</v>
      </c>
      <c r="Z986" s="2" t="n">
        <v>0.628296087</v>
      </c>
      <c r="AA986" s="2" t="n">
        <f aca="false">IF(AA$7=AA$5,AA$6,IF(NORMSDIST(AA$9*SQRT($C$11)*NORMSINV($B986)+SQRT(1-AA$9^2*$C$11)*NORMSINV(Z986))&lt;AA$8,AA$5+SQRT(NORMSDIST(AA$9*SQRT($C$11)*NORMSINV($B986)+SQRT(1-AA$9^2*$C$11)*NORMSINV(Z986))*(AA$7-AA$5)*(AA$6-AA$5)),AA$7-SQRT((1-NORMSDIST(AA$9*SQRT($C$11)*NORMSINV($B986)+SQRT(1-AA$9^2*$C$11)*NORMSINV(Z986)))*(AA$7-AA$5)*(AA$7-AA$6))))</f>
        <v>0.728680630302116</v>
      </c>
      <c r="AB986" s="2" t="n">
        <v>0.44281765</v>
      </c>
      <c r="AC986" s="2" t="n">
        <f aca="false">IF(AC$7=AC$5,AC$6,IF(NORMSDIST(AC$9*SQRT($C$11)*NORMSINV($B986)+SQRT(1-AC$9^2*$C$11)*NORMSINV(AB986))&lt;AC$8,AC$5+SQRT(NORMSDIST(AC$9*SQRT($C$11)*NORMSINV($B986)+SQRT(1-AC$9^2*$C$11)*NORMSINV(AB986))*(AC$7-AC$5)*(AC$6-AC$5)),AC$7-SQRT((1-NORMSDIST(AC$9*SQRT($C$11)*NORMSINV($B986)+SQRT(1-AC$9^2*$C$11)*NORMSINV(AB986)))*(AC$7-AC$5)*(AC$7-AC$6))))</f>
        <v>9.2021296971176</v>
      </c>
      <c r="AD986" s="2" t="n">
        <f aca="false">Entrées!$C$8*(1+E986)</f>
        <v>7449.67517816328</v>
      </c>
      <c r="AE986" s="2" t="n">
        <f aca="false">I986*Hypothèses!$J$24/12/Hypothèses!$J$19</f>
        <v>99.6667509809173</v>
      </c>
      <c r="AF986" s="2" t="n">
        <f aca="false">Entrées!$C$36*S986*1000</f>
        <v>261.226952582074</v>
      </c>
      <c r="AG986" s="2" t="n">
        <f aca="false">-AF986/W986</f>
        <v>-29.7845377408067</v>
      </c>
      <c r="AH986" s="2" t="n">
        <f aca="false">AD986+AE986+AG986</f>
        <v>7519.55739140339</v>
      </c>
      <c r="AI986" s="2" t="n">
        <f aca="false">Entrées!$C$16-M986+Hypothèses!$J$22*1000-AF986+Hypothèses!$J$23</f>
        <v>22630.3703673807</v>
      </c>
      <c r="AJ986" s="2" t="n">
        <f aca="false">AI986/AH986</f>
        <v>3.00953489539857</v>
      </c>
      <c r="AK986" s="2" t="n">
        <f aca="false">AI986/(AH986+I986*(12-Hypothèses!$J$24)/12/Hypothèses!$J$19)</f>
        <v>2.98130969208524</v>
      </c>
      <c r="AL986" s="2" t="n">
        <f aca="false">(AD986+AG986+I986/Hypothèses!$J$19)*(1+G986)</f>
        <v>7993.55046007446</v>
      </c>
      <c r="AM986" s="2" t="n">
        <f aca="false">Entrées!$C$54*K986/Hypothèses!$J$19</f>
        <v>28.2604576034577</v>
      </c>
      <c r="AN986" s="2" t="n">
        <f aca="false">Y986*1000/AC986</f>
        <v>16.9173628654956</v>
      </c>
      <c r="AO986" s="2" t="n">
        <f aca="false">(Entrées!$C$36*(1-S986)+MAX(0,Entrées!$C$30-Entrées!$C$35-Entrées!$C$36)*U986)*1000</f>
        <v>1033.85284614524</v>
      </c>
      <c r="AP986" s="2" t="n">
        <f aca="false">-AO986/W986</f>
        <v>-117.877687620226</v>
      </c>
      <c r="AQ986" s="2" t="n">
        <f aca="false">AL986+AM986+AN986+AP986</f>
        <v>7920.85059292319</v>
      </c>
      <c r="AR986" s="2" t="n">
        <f aca="false">O986*AQ986-Hypothèses!$J$25/Hypothèses!$J$19</f>
        <v>1354.02783196089</v>
      </c>
      <c r="AS986" s="2" t="n">
        <f aca="false">Entrées!$C$79*(1+Q986)+Hypothèses!$J$20</f>
        <v>1473.51725305461</v>
      </c>
      <c r="AT986" s="2" t="n">
        <f aca="false">AI986-AR986+AS986+Y986*1000-AO986+Hypothèses!$J$23</f>
        <v>21871.6827095507</v>
      </c>
      <c r="AU986" s="2" t="n">
        <f aca="false">AT986/AQ986</f>
        <v>2.76127954352425</v>
      </c>
      <c r="AV986" s="2" t="n">
        <f aca="false">Hypothèses!$J$26*AQ986-AT986</f>
        <v>1890.86906921885</v>
      </c>
      <c r="AW986" s="2" t="n">
        <f aca="false">IF(AC986&gt;Hypothèses!$J$26,MAX(0,AV986)/(1-Hypothèses!$J$26/AC986),0)</f>
        <v>2805.49154322046</v>
      </c>
      <c r="AX986" s="2" t="n">
        <f aca="false">AQ986-Entrées!$C$17*1000</f>
        <v>-79.1494070768131</v>
      </c>
      <c r="AY986" s="2" t="n">
        <f aca="false">AI986+(Entrées!$C$244-Entrées!$C$13)</f>
        <v>28377.3703673807</v>
      </c>
      <c r="AZ986" s="2" t="n">
        <f aca="false">AA986*AH986</f>
        <v>5479.35581956076</v>
      </c>
      <c r="BA986" s="2" t="n">
        <f aca="false">AZ986/AY986</f>
        <v>0.193088920806389</v>
      </c>
      <c r="BB986" s="2" t="n">
        <f aca="false">AZ986/(Entrées!$C$151/100)-AY986</f>
        <v>2063.4952968457</v>
      </c>
      <c r="BC986" s="2" t="n">
        <f aca="false">AT986+(Entrées!$C$244-Entrées!$C$13)</f>
        <v>27618.6827095507</v>
      </c>
      <c r="BD986" s="2" t="n">
        <f aca="false">AA986*AQ986</f>
        <v>5771.77040258016</v>
      </c>
      <c r="BE986" s="2" t="n">
        <f aca="false">BD986/BC986</f>
        <v>0.208980654989177</v>
      </c>
      <c r="BF986" s="2" t="n">
        <f aca="false">BD986/(Entrées!$C$151/100)-BC986</f>
        <v>4446.7084158946</v>
      </c>
      <c r="BG986" s="2" t="n">
        <f aca="false">MIN(AV986,BF986)</f>
        <v>1890.86906921885</v>
      </c>
      <c r="BH986" s="2" t="n">
        <f aca="false">IF(AC986&gt;Hypothèses!$J$26,MAX(0,BG986)/(1-Hypothèses!$J$26/AC986),0)</f>
        <v>2805.49154322046</v>
      </c>
    </row>
    <row r="987" customFormat="false" ht="15" hidden="false" customHeight="false" outlineLevel="0" collapsed="false">
      <c r="A987" s="2" t="n">
        <v>972</v>
      </c>
      <c r="B987" s="2" t="n">
        <v>0.406722231</v>
      </c>
      <c r="C987" s="2"/>
      <c r="D987" s="2" t="n">
        <v>0.468630328</v>
      </c>
      <c r="E987" s="2" t="n">
        <f aca="false">IF(E$7=E$5,E$6,IF(NORMSDIST(E$9*SQRT($C$11)*NORMSINV($B987)+SQRT(1-E$9^2*$C$11)*NORMSINV(D987))&lt;E$8,E$5+SQRT(NORMSDIST(E$9*SQRT($C$11)*NORMSINV($B987)+SQRT(1-E$9^2*$C$11)*NORMSINV(D987))*(E$7-E$5)*(E$6-E$5)),E$7-SQRT((1-NORMSDIST(E$9*SQRT($C$11)*NORMSINV($B987)+SQRT(1-E$9^2*$C$11)*NORMSINV(D987)))*(E$7-E$5)*(E$7-E$6))))</f>
        <v>0.0545647979626331</v>
      </c>
      <c r="F987" s="2" t="n">
        <v>0.178681952</v>
      </c>
      <c r="G987" s="2" t="n">
        <f aca="false">IF(G$7=G$5,G$6,IF(NORMSDIST(G$9*SQRT($C$11)*NORMSINV($B987)+SQRT(1-G$9^2*$C$11)*NORMSINV(F987))&lt;G$8,G$5+SQRT(NORMSDIST(G$9*SQRT($C$11)*NORMSINV($B987)+SQRT(1-G$9^2*$C$11)*NORMSINV(F987))*(G$7-G$5)*(G$6-G$5)),G$7-SQRT((1-NORMSDIST(G$9*SQRT($C$11)*NORMSINV($B987)+SQRT(1-G$9^2*$C$11)*NORMSINV(F987)))*(G$7-G$5)*(G$7-G$6))))</f>
        <v>0.049350473690505</v>
      </c>
      <c r="H987" s="2" t="n">
        <v>0.620007024</v>
      </c>
      <c r="I987" s="2" t="n">
        <f aca="false">IF(I$7=I$5,I$6,IF(NORMSDIST(I$9*SQRT($C$11)*NORMSINV($B987)+SQRT(1-I$9^2*$C$11)*NORMSINV(H987))&lt;I$8,I$5+SQRT(NORMSDIST(I$9*SQRT($C$11)*NORMSINV($B987)+SQRT(1-I$9^2*$C$11)*NORMSINV(H987))*(I$7-I$5)*(I$6-I$5)),I$7-SQRT((1-NORMSDIST(I$9*SQRT($C$11)*NORMSINV($B987)+SQRT(1-I$9^2*$C$11)*NORMSINV(H987)))*(I$7-I$5)*(I$7-I$6))))</f>
        <v>200.708940153622</v>
      </c>
      <c r="J987" s="2" t="n">
        <v>0.504644735</v>
      </c>
      <c r="K987" s="2" t="n">
        <f aca="false">IF(K$7=K$5,K$6,IF(NORMSDIST(K$9*SQRT($C$11)*NORMSINV($B987)+SQRT(1-K$9^2*$C$11)*NORMSINV(J987))&lt;K$8,K$5+SQRT(NORMSDIST(K$9*SQRT($C$11)*NORMSINV($B987)+SQRT(1-K$9^2*$C$11)*NORMSINV(J987))*(K$7-K$5)*(K$6-K$5)),K$7-SQRT((1-NORMSDIST(K$9*SQRT($C$11)*NORMSINV($B987)+SQRT(1-K$9^2*$C$11)*NORMSINV(J987)))*(K$7-K$5)*(K$7-K$6))))</f>
        <v>0.235647671387409</v>
      </c>
      <c r="L987" s="2" t="n">
        <v>0.368866585</v>
      </c>
      <c r="M987" s="2" t="n">
        <f aca="false">IF(M$7=M$5,M$6,IF(NORMSDIST(M$9*SQRT($C$11)*NORMSINV($B987)+SQRT(1-M$9^2*$C$11)*NORMSINV(L987))&lt;M$8,M$5+SQRT(NORMSDIST(M$9*SQRT($C$11)*NORMSINV($B987)+SQRT(1-M$9^2*$C$11)*NORMSINV(L987))*(M$7-M$5)*(M$6-M$5)),M$7-SQRT((1-NORMSDIST(M$9*SQRT($C$11)*NORMSINV($B987)+SQRT(1-M$9^2*$C$11)*NORMSINV(L987)))*(M$7-M$5)*(M$7-M$6))))</f>
        <v>1536.3483328368</v>
      </c>
      <c r="N987" s="2" t="n">
        <v>0.876264588</v>
      </c>
      <c r="O987" s="2" t="n">
        <f aca="false">IF(O$7=O$5,O$6,IF(NORMSDIST(O$9*SQRT($C$11)*NORMSINV($B987)+SQRT(1-O$9^2*$C$11)*NORMSINV(N987))&lt;O$8,O$5+SQRT(NORMSDIST(O$9*SQRT($C$11)*NORMSINV($B987)+SQRT(1-O$9^2*$C$11)*NORMSINV(N987))*(O$7-O$5)*(O$6-O$5)),O$7-SQRT((1-NORMSDIST(O$9*SQRT($C$11)*NORMSINV($B987)+SQRT(1-O$9^2*$C$11)*NORMSINV(N987)))*(O$7-O$5)*(O$7-O$6))))</f>
        <v>0.174427684289011</v>
      </c>
      <c r="P987" s="2" t="n">
        <v>0.169710403</v>
      </c>
      <c r="Q987" s="2" t="n">
        <f aca="false">IF(Q$7=Q$5,Q$6,IF(NORMSDIST(Q$9*SQRT($C$11)*NORMSINV($B987)+SQRT(1-Q$9^2*$C$11)*NORMSINV(P987))&lt;Q$8,Q$5+SQRT(NORMSDIST(Q$9*SQRT($C$11)*NORMSINV($B987)+SQRT(1-Q$9^2*$C$11)*NORMSINV(P987))*(Q$7-Q$5)*(Q$6-Q$5)),Q$7-SQRT((1-NORMSDIST(Q$9*SQRT($C$11)*NORMSINV($B987)+SQRT(1-Q$9^2*$C$11)*NORMSINV(P987)))*(Q$7-Q$5)*(Q$7-Q$6))))</f>
        <v>0.0633039329212904</v>
      </c>
      <c r="R987" s="2" t="n">
        <v>0.435825456</v>
      </c>
      <c r="S987" s="2" t="n">
        <f aca="false">IF(S$7=S$5,S$6,IF(NORMSDIST(S$9*SQRT($C$11)*NORMSINV($B987)+SQRT(1-S$9^2*$C$11)*NORMSINV(R987))&lt;S$8,S$5+SQRT(NORMSDIST(S$9*SQRT($C$11)*NORMSINV($B987)+SQRT(1-S$9^2*$C$11)*NORMSINV(R987))*(S$7-S$5)*(S$6-S$5)),S$7-SQRT((1-NORMSDIST(S$9*SQRT($C$11)*NORMSINV($B987)+SQRT(1-S$9^2*$C$11)*NORMSINV(R987)))*(S$7-S$5)*(S$7-S$6))))</f>
        <v>0.442657024546187</v>
      </c>
      <c r="T987" s="2" t="n">
        <v>0.564078898</v>
      </c>
      <c r="U987" s="2" t="n">
        <f aca="false">IF(U$7=U$5,U$6,IF(NORMSDIST(U$9*SQRT($C$11)*NORMSINV($B987)+SQRT(1-U$9^2*$C$11)*NORMSINV(T987))&lt;U$8,U$5+SQRT(NORMSDIST(U$9*SQRT($C$11)*NORMSINV($B987)+SQRT(1-U$9^2*$C$11)*NORMSINV(T987))*(U$7-U$5)*(U$6-U$5)),U$7-SQRT((1-NORMSDIST(U$9*SQRT($C$11)*NORMSINV($B987)+SQRT(1-U$9^2*$C$11)*NORMSINV(T987)))*(U$7-U$5)*(U$7-U$6))))</f>
        <v>0.495131061795231</v>
      </c>
      <c r="V987" s="2" t="n">
        <v>0.461838423</v>
      </c>
      <c r="W987" s="2" t="n">
        <f aca="false">IF(W$7=W$5,W$6,IF(NORMSDIST(W$9*SQRT($C$11)*NORMSINV($B987)+SQRT(1-W$9^2*$C$11)*NORMSINV(V987))&lt;W$8,W$5+SQRT(NORMSDIST(W$9*SQRT($C$11)*NORMSINV($B987)+SQRT(1-W$9^2*$C$11)*NORMSINV(V987))*(W$7-W$5)*(W$6-W$5)),W$7-SQRT((1-NORMSDIST(W$9*SQRT($C$11)*NORMSINV($B987)+SQRT(1-W$9^2*$C$11)*NORMSINV(V987)))*(W$7-W$5)*(W$7-W$6))))</f>
        <v>9.8145836698999</v>
      </c>
      <c r="X987" s="2" t="n">
        <v>0.324352811</v>
      </c>
      <c r="Y987" s="2" t="n">
        <f aca="false">IF(Y$7=Y$5,Y$6,IF(NORMSDIST(Y$9*SQRT($C$11)*NORMSINV($B987)+SQRT(1-Y$9^2*$C$11)*NORMSINV(X987))&lt;Y$8,Y$5+SQRT(NORMSDIST(Y$9*SQRT($C$11)*NORMSINV($B987)+SQRT(1-Y$9^2*$C$11)*NORMSINV(X987))*(Y$7-Y$5)*(Y$6-Y$5)),Y$7-SQRT((1-NORMSDIST(Y$9*SQRT($C$11)*NORMSINV($B987)+SQRT(1-Y$9^2*$C$11)*NORMSINV(X987)))*(Y$7-Y$5)*(Y$7-Y$6))))</f>
        <v>0.402711317819601</v>
      </c>
      <c r="Z987" s="2" t="n">
        <v>0.838882279</v>
      </c>
      <c r="AA987" s="2" t="n">
        <f aca="false">IF(AA$7=AA$5,AA$6,IF(NORMSDIST(AA$9*SQRT($C$11)*NORMSINV($B987)+SQRT(1-AA$9^2*$C$11)*NORMSINV(Z987))&lt;AA$8,AA$5+SQRT(NORMSDIST(AA$9*SQRT($C$11)*NORMSINV($B987)+SQRT(1-AA$9^2*$C$11)*NORMSINV(Z987))*(AA$7-AA$5)*(AA$6-AA$5)),AA$7-SQRT((1-NORMSDIST(AA$9*SQRT($C$11)*NORMSINV($B987)+SQRT(1-AA$9^2*$C$11)*NORMSINV(Z987)))*(AA$7-AA$5)*(AA$7-AA$6))))</f>
        <v>0.735294340549337</v>
      </c>
      <c r="AB987" s="2" t="n">
        <v>0.523664305</v>
      </c>
      <c r="AC987" s="2" t="n">
        <f aca="false">IF(AC$7=AC$5,AC$6,IF(NORMSDIST(AC$9*SQRT($C$11)*NORMSINV($B987)+SQRT(1-AC$9^2*$C$11)*NORMSINV(AB987))&lt;AC$8,AC$5+SQRT(NORMSDIST(AC$9*SQRT($C$11)*NORMSINV($B987)+SQRT(1-AC$9^2*$C$11)*NORMSINV(AB987))*(AC$7-AC$5)*(AC$6-AC$5)),AC$7-SQRT((1-NORMSDIST(AC$9*SQRT($C$11)*NORMSINV($B987)+SQRT(1-AC$9^2*$C$11)*NORMSINV(AB987)))*(AC$7-AC$5)*(AC$7-AC$6))))</f>
        <v>9.39114409679929</v>
      </c>
      <c r="AD987" s="2" t="n">
        <f aca="false">Entrées!$C$8*(1+E987)</f>
        <v>7434.68182563656</v>
      </c>
      <c r="AE987" s="2" t="n">
        <f aca="false">I987*Hypothèses!$J$24/12/Hypothèses!$J$19</f>
        <v>99.5710628162581</v>
      </c>
      <c r="AF987" s="2" t="n">
        <f aca="false">Entrées!$C$36*S987*1000</f>
        <v>221.328512273093</v>
      </c>
      <c r="AG987" s="2" t="n">
        <f aca="false">-AF987/W987</f>
        <v>-22.5509832833644</v>
      </c>
      <c r="AH987" s="2" t="n">
        <f aca="false">AD987+AE987+AG987</f>
        <v>7511.70190516946</v>
      </c>
      <c r="AI987" s="2" t="n">
        <f aca="false">Entrées!$C$16-M987+Hypothèses!$J$22*1000-AF987+Hypothèses!$J$23</f>
        <v>22790.3231548901</v>
      </c>
      <c r="AJ987" s="2" t="n">
        <f aca="false">AI987/AH987</f>
        <v>3.03397598075692</v>
      </c>
      <c r="AK987" s="2" t="n">
        <f aca="false">AI987/(AH987+I987*(12-Hypothèses!$J$24)/12/Hypothèses!$J$19)</f>
        <v>3.00551916748844</v>
      </c>
      <c r="AL987" s="2" t="n">
        <f aca="false">(AD987+AG987+I987/Hypothèses!$J$19)*(1+G987)</f>
        <v>7957.04005379152</v>
      </c>
      <c r="AM987" s="2" t="n">
        <f aca="false">Entrées!$C$54*K987/Hypothèses!$J$19</f>
        <v>24.0488342857194</v>
      </c>
      <c r="AN987" s="2" t="n">
        <f aca="false">Y987*1000/AC987</f>
        <v>42.882029459739</v>
      </c>
      <c r="AO987" s="2" t="n">
        <f aca="false">(Entrées!$C$36*(1-S987)+MAX(0,Entrées!$C$30-Entrées!$C$35-Entrées!$C$36)*U987)*1000</f>
        <v>971.854974240231</v>
      </c>
      <c r="AP987" s="2" t="n">
        <f aca="false">-AO987/W987</f>
        <v>-99.0215180722121</v>
      </c>
      <c r="AQ987" s="2" t="n">
        <f aca="false">AL987+AM987+AN987+AP987</f>
        <v>7924.94939946476</v>
      </c>
      <c r="AR987" s="2" t="n">
        <f aca="false">O987*AQ987-Hypothèses!$J$25/Hypothèses!$J$19</f>
        <v>1363.1954095946</v>
      </c>
      <c r="AS987" s="2" t="n">
        <f aca="false">Entrées!$C$79*(1+Q987)+Hypothèses!$J$20</f>
        <v>1463.5710222805</v>
      </c>
      <c r="AT987" s="2" t="n">
        <f aca="false">AI987-AR987+AS987+Y987*1000-AO987+Hypothèses!$J$23</f>
        <v>22321.5551111554</v>
      </c>
      <c r="AU987" s="2" t="n">
        <f aca="false">AT987/AQ987</f>
        <v>2.81661799792223</v>
      </c>
      <c r="AV987" s="2" t="n">
        <f aca="false">Hypothèses!$J$26*AQ987-AT987</f>
        <v>1453.2930872389</v>
      </c>
      <c r="AW987" s="2" t="n">
        <f aca="false">IF(AC987&gt;Hypothèses!$J$26,MAX(0,AV987)/(1-Hypothèses!$J$26/AC987),0)</f>
        <v>2135.46817133693</v>
      </c>
      <c r="AX987" s="2" t="n">
        <f aca="false">AQ987-Entrées!$C$17*1000</f>
        <v>-75.0506005352381</v>
      </c>
      <c r="AY987" s="2" t="n">
        <f aca="false">AI987+(Entrées!$C$244-Entrées!$C$13)</f>
        <v>28537.3231548901</v>
      </c>
      <c r="AZ987" s="2" t="n">
        <f aca="false">AA987*AH987</f>
        <v>5523.31189876478</v>
      </c>
      <c r="BA987" s="2" t="n">
        <f aca="false">AZ987/AY987</f>
        <v>0.193546951435713</v>
      </c>
      <c r="BB987" s="2" t="n">
        <f aca="false">AZ987/(Entrées!$C$151/100)-AY987</f>
        <v>2147.74294935865</v>
      </c>
      <c r="BC987" s="2" t="n">
        <f aca="false">AT987+(Entrées!$C$244-Entrées!$C$13)</f>
        <v>28068.5551111554</v>
      </c>
      <c r="BD987" s="2" t="n">
        <f aca="false">AA987*AQ987</f>
        <v>5827.17044256631</v>
      </c>
      <c r="BE987" s="2" t="n">
        <f aca="false">BD987/BC987</f>
        <v>0.207604930837726</v>
      </c>
      <c r="BF987" s="2" t="n">
        <f aca="false">BD987/(Entrées!$C$151/100)-BC987</f>
        <v>4304.614014213</v>
      </c>
      <c r="BG987" s="2" t="n">
        <f aca="false">MIN(AV987,BF987)</f>
        <v>1453.2930872389</v>
      </c>
      <c r="BH987" s="2" t="n">
        <f aca="false">IF(AC987&gt;Hypothèses!$J$26,MAX(0,BG987)/(1-Hypothèses!$J$26/AC987),0)</f>
        <v>2135.46817133693</v>
      </c>
    </row>
    <row r="988" customFormat="false" ht="15" hidden="false" customHeight="false" outlineLevel="0" collapsed="false">
      <c r="A988" s="2" t="n">
        <v>973</v>
      </c>
      <c r="B988" s="2" t="n">
        <v>0.977040512</v>
      </c>
      <c r="C988" s="2"/>
      <c r="D988" s="2" t="n">
        <v>0.97398202</v>
      </c>
      <c r="E988" s="2" t="n">
        <f aca="false">IF(E$7=E$5,E$6,IF(NORMSDIST(E$9*SQRT($C$11)*NORMSINV($B988)+SQRT(1-E$9^2*$C$11)*NORMSINV(D988))&lt;E$8,E$5+SQRT(NORMSDIST(E$9*SQRT($C$11)*NORMSINV($B988)+SQRT(1-E$9^2*$C$11)*NORMSINV(D988))*(E$7-E$5)*(E$6-E$5)),E$7-SQRT((1-NORMSDIST(E$9*SQRT($C$11)*NORMSINV($B988)+SQRT(1-E$9^2*$C$11)*NORMSINV(D988)))*(E$7-E$5)*(E$7-E$6))))</f>
        <v>0.0596241396170184</v>
      </c>
      <c r="F988" s="2" t="n">
        <v>0.412882383</v>
      </c>
      <c r="G988" s="2" t="n">
        <f aca="false">IF(G$7=G$5,G$6,IF(NORMSDIST(G$9*SQRT($C$11)*NORMSINV($B988)+SQRT(1-G$9^2*$C$11)*NORMSINV(F988))&lt;G$8,G$5+SQRT(NORMSDIST(G$9*SQRT($C$11)*NORMSINV($B988)+SQRT(1-G$9^2*$C$11)*NORMSINV(F988))*(G$7-G$5)*(G$6-G$5)),G$7-SQRT((1-NORMSDIST(G$9*SQRT($C$11)*NORMSINV($B988)+SQRT(1-G$9^2*$C$11)*NORMSINV(F988)))*(G$7-G$5)*(G$7-G$6))))</f>
        <v>0.0621360129718285</v>
      </c>
      <c r="H988" s="2" t="n">
        <v>0.672037059</v>
      </c>
      <c r="I988" s="2" t="n">
        <f aca="false">IF(I$7=I$5,I$6,IF(NORMSDIST(I$9*SQRT($C$11)*NORMSINV($B988)+SQRT(1-I$9^2*$C$11)*NORMSINV(H988))&lt;I$8,I$5+SQRT(NORMSDIST(I$9*SQRT($C$11)*NORMSINV($B988)+SQRT(1-I$9^2*$C$11)*NORMSINV(H988))*(I$7-I$5)*(I$6-I$5)),I$7-SQRT((1-NORMSDIST(I$9*SQRT($C$11)*NORMSINV($B988)+SQRT(1-I$9^2*$C$11)*NORMSINV(H988)))*(I$7-I$5)*(I$7-I$6))))</f>
        <v>213.429584043666</v>
      </c>
      <c r="J988" s="2" t="n">
        <v>0.397412856</v>
      </c>
      <c r="K988" s="2" t="n">
        <f aca="false">IF(K$7=K$5,K$6,IF(NORMSDIST(K$9*SQRT($C$11)*NORMSINV($B988)+SQRT(1-K$9^2*$C$11)*NORMSINV(J988))&lt;K$8,K$5+SQRT(NORMSDIST(K$9*SQRT($C$11)*NORMSINV($B988)+SQRT(1-K$9^2*$C$11)*NORMSINV(J988))*(K$7-K$5)*(K$6-K$5)),K$7-SQRT((1-NORMSDIST(K$9*SQRT($C$11)*NORMSINV($B988)+SQRT(1-K$9^2*$C$11)*NORMSINV(J988)))*(K$7-K$5)*(K$7-K$6))))</f>
        <v>0.365678996675212</v>
      </c>
      <c r="L988" s="2" t="n">
        <v>0.702183295</v>
      </c>
      <c r="M988" s="2" t="n">
        <f aca="false">IF(M$7=M$5,M$6,IF(NORMSDIST(M$9*SQRT($C$11)*NORMSINV($B988)+SQRT(1-M$9^2*$C$11)*NORMSINV(L988))&lt;M$8,M$5+SQRT(NORMSDIST(M$9*SQRT($C$11)*NORMSINV($B988)+SQRT(1-M$9^2*$C$11)*NORMSINV(L988))*(M$7-M$5)*(M$6-M$5)),M$7-SQRT((1-NORMSDIST(M$9*SQRT($C$11)*NORMSINV($B988)+SQRT(1-M$9^2*$C$11)*NORMSINV(L988)))*(M$7-M$5)*(M$7-M$6))))</f>
        <v>1730.65916634904</v>
      </c>
      <c r="N988" s="2" t="n">
        <v>0.69377177</v>
      </c>
      <c r="O988" s="2" t="n">
        <f aca="false">IF(O$7=O$5,O$6,IF(NORMSDIST(O$9*SQRT($C$11)*NORMSINV($B988)+SQRT(1-O$9^2*$C$11)*NORMSINV(N988))&lt;O$8,O$5+SQRT(NORMSDIST(O$9*SQRT($C$11)*NORMSINV($B988)+SQRT(1-O$9^2*$C$11)*NORMSINV(N988))*(O$7-O$5)*(O$6-O$5)),O$7-SQRT((1-NORMSDIST(O$9*SQRT($C$11)*NORMSINV($B988)+SQRT(1-O$9^2*$C$11)*NORMSINV(N988)))*(O$7-O$5)*(O$7-O$6))))</f>
        <v>0.182777168693014</v>
      </c>
      <c r="P988" s="2" t="n">
        <v>0.565591316</v>
      </c>
      <c r="Q988" s="2" t="n">
        <f aca="false">IF(Q$7=Q$5,Q$6,IF(NORMSDIST(Q$9*SQRT($C$11)*NORMSINV($B988)+SQRT(1-Q$9^2*$C$11)*NORMSINV(P988))&lt;Q$8,Q$5+SQRT(NORMSDIST(Q$9*SQRT($C$11)*NORMSINV($B988)+SQRT(1-Q$9^2*$C$11)*NORMSINV(P988))*(Q$7-Q$5)*(Q$6-Q$5)),Q$7-SQRT((1-NORMSDIST(Q$9*SQRT($C$11)*NORMSINV($B988)+SQRT(1-Q$9^2*$C$11)*NORMSINV(P988)))*(Q$7-Q$5)*(Q$7-Q$6))))</f>
        <v>0.0827158507030132</v>
      </c>
      <c r="R988" s="2" t="n">
        <v>0.686535932</v>
      </c>
      <c r="S988" s="2" t="n">
        <f aca="false">IF(S$7=S$5,S$6,IF(NORMSDIST(S$9*SQRT($C$11)*NORMSINV($B988)+SQRT(1-S$9^2*$C$11)*NORMSINV(R988))&lt;S$8,S$5+SQRT(NORMSDIST(S$9*SQRT($C$11)*NORMSINV($B988)+SQRT(1-S$9^2*$C$11)*NORMSINV(R988))*(S$7-S$5)*(S$6-S$5)),S$7-SQRT((1-NORMSDIST(S$9*SQRT($C$11)*NORMSINV($B988)+SQRT(1-S$9^2*$C$11)*NORMSINV(R988)))*(S$7-S$5)*(S$7-S$6))))</f>
        <v>0.840924069456994</v>
      </c>
      <c r="T988" s="2" t="n">
        <v>0.73834074</v>
      </c>
      <c r="U988" s="2" t="n">
        <f aca="false">IF(U$7=U$5,U$6,IF(NORMSDIST(U$9*SQRT($C$11)*NORMSINV($B988)+SQRT(1-U$9^2*$C$11)*NORMSINV(T988))&lt;U$8,U$5+SQRT(NORMSDIST(U$9*SQRT($C$11)*NORMSINV($B988)+SQRT(1-U$9^2*$C$11)*NORMSINV(T988))*(U$7-U$5)*(U$6-U$5)),U$7-SQRT((1-NORMSDIST(U$9*SQRT($C$11)*NORMSINV($B988)+SQRT(1-U$9^2*$C$11)*NORMSINV(T988)))*(U$7-U$5)*(U$7-U$6))))</f>
        <v>0.859514982364324</v>
      </c>
      <c r="V988" s="2" t="n">
        <v>0.51100956</v>
      </c>
      <c r="W988" s="2" t="n">
        <f aca="false">IF(W$7=W$5,W$6,IF(NORMSDIST(W$9*SQRT($C$11)*NORMSINV($B988)+SQRT(1-W$9^2*$C$11)*NORMSINV(V988))&lt;W$8,W$5+SQRT(NORMSDIST(W$9*SQRT($C$11)*NORMSINV($B988)+SQRT(1-W$9^2*$C$11)*NORMSINV(V988))*(W$7-W$5)*(W$6-W$5)),W$7-SQRT((1-NORMSDIST(W$9*SQRT($C$11)*NORMSINV($B988)+SQRT(1-W$9^2*$C$11)*NORMSINV(V988)))*(W$7-W$5)*(W$7-W$6))))</f>
        <v>11.1073737556628</v>
      </c>
      <c r="X988" s="2" t="n">
        <v>0.660799162</v>
      </c>
      <c r="Y988" s="2" t="n">
        <f aca="false">IF(Y$7=Y$5,Y$6,IF(NORMSDIST(Y$9*SQRT($C$11)*NORMSINV($B988)+SQRT(1-Y$9^2*$C$11)*NORMSINV(X988))&lt;Y$8,Y$5+SQRT(NORMSDIST(Y$9*SQRT($C$11)*NORMSINV($B988)+SQRT(1-Y$9^2*$C$11)*NORMSINV(X988))*(Y$7-Y$5)*(Y$6-Y$5)),Y$7-SQRT((1-NORMSDIST(Y$9*SQRT($C$11)*NORMSINV($B988)+SQRT(1-Y$9^2*$C$11)*NORMSINV(X988)))*(Y$7-Y$5)*(Y$7-Y$6))))</f>
        <v>0.588174285649864</v>
      </c>
      <c r="Z988" s="2" t="n">
        <v>0.103252148</v>
      </c>
      <c r="AA988" s="2" t="n">
        <f aca="false">IF(AA$7=AA$5,AA$6,IF(NORMSDIST(AA$9*SQRT($C$11)*NORMSINV($B988)+SQRT(1-AA$9^2*$C$11)*NORMSINV(Z988))&lt;AA$8,AA$5+SQRT(NORMSDIST(AA$9*SQRT($C$11)*NORMSINV($B988)+SQRT(1-AA$9^2*$C$11)*NORMSINV(Z988))*(AA$7-AA$5)*(AA$6-AA$5)),AA$7-SQRT((1-NORMSDIST(AA$9*SQRT($C$11)*NORMSINV($B988)+SQRT(1-AA$9^2*$C$11)*NORMSINV(Z988)))*(AA$7-AA$5)*(AA$7-AA$6))))</f>
        <v>0.731525881123345</v>
      </c>
      <c r="AB988" s="2" t="n">
        <v>0.452330742</v>
      </c>
      <c r="AC988" s="2" t="n">
        <f aca="false">IF(AC$7=AC$5,AC$6,IF(NORMSDIST(AC$9*SQRT($C$11)*NORMSINV($B988)+SQRT(1-AC$9^2*$C$11)*NORMSINV(AB988))&lt;AC$8,AC$5+SQRT(NORMSDIST(AC$9*SQRT($C$11)*NORMSINV($B988)+SQRT(1-AC$9^2*$C$11)*NORMSINV(AB988))*(AC$7-AC$5)*(AC$6-AC$5)),AC$7-SQRT((1-NORMSDIST(AC$9*SQRT($C$11)*NORMSINV($B988)+SQRT(1-AC$9^2*$C$11)*NORMSINV(AB988)))*(AC$7-AC$5)*(AC$7-AC$6))))</f>
        <v>10.276818943029</v>
      </c>
      <c r="AD988" s="2" t="n">
        <f aca="false">Entrées!$C$8*(1+E988)</f>
        <v>7470.35018429998</v>
      </c>
      <c r="AE988" s="2" t="n">
        <f aca="false">I988*Hypothèses!$J$24/12/Hypothèses!$J$19</f>
        <v>105.881733536104</v>
      </c>
      <c r="AF988" s="2" t="n">
        <f aca="false">Entrées!$C$36*S988*1000</f>
        <v>420.462034728497</v>
      </c>
      <c r="AG988" s="2" t="n">
        <f aca="false">-AF988/W988</f>
        <v>-37.854315878597</v>
      </c>
      <c r="AH988" s="2" t="n">
        <f aca="false">AD988+AE988+AG988</f>
        <v>7538.37760195749</v>
      </c>
      <c r="AI988" s="2" t="n">
        <f aca="false">Entrées!$C$16-M988+Hypothèses!$J$22*1000-AF988+Hypothèses!$J$23</f>
        <v>22396.8787989225</v>
      </c>
      <c r="AJ988" s="2" t="n">
        <f aca="false">AI988/AH988</f>
        <v>2.97104761548515</v>
      </c>
      <c r="AK988" s="2" t="n">
        <f aca="false">AI988/(AH988+I988*(12-Hypothèses!$J$24)/12/Hypothèses!$J$19)</f>
        <v>2.94153624866766</v>
      </c>
      <c r="AL988" s="2" t="n">
        <f aca="false">(AD988+AG988+I988/Hypothèses!$J$19)*(1+G988)</f>
        <v>8087.11147492253</v>
      </c>
      <c r="AM988" s="2" t="n">
        <f aca="false">Entrées!$C$54*K988/Hypothèses!$J$19</f>
        <v>37.3190769975934</v>
      </c>
      <c r="AN988" s="2" t="n">
        <f aca="false">Y988*1000/AC988</f>
        <v>57.2331077262812</v>
      </c>
      <c r="AO988" s="2" t="n">
        <f aca="false">(Entrées!$C$36*(1-S988)+MAX(0,Entrées!$C$30-Entrées!$C$35-Entrées!$C$36)*U988)*1000</f>
        <v>1282.85894058156</v>
      </c>
      <c r="AP988" s="2" t="n">
        <f aca="false">-AO988/W988</f>
        <v>-115.496153168298</v>
      </c>
      <c r="AQ988" s="2" t="n">
        <f aca="false">AL988+AM988+AN988+AP988</f>
        <v>8066.16750647811</v>
      </c>
      <c r="AR988" s="2" t="n">
        <f aca="false">O988*AQ988-Hypothèses!$J$25/Hypothèses!$J$19</f>
        <v>1455.17609677603</v>
      </c>
      <c r="AS988" s="2" t="n">
        <f aca="false">Entrées!$C$79*(1+Q988)+Hypothèses!$J$20</f>
        <v>1484.90471992261</v>
      </c>
      <c r="AT988" s="2" t="n">
        <f aca="false">AI988-AR988+AS988+Y988*1000-AO988+Hypothèses!$J$23</f>
        <v>21731.9227671374</v>
      </c>
      <c r="AU988" s="2" t="n">
        <f aca="false">AT988/AQ988</f>
        <v>2.69420672824907</v>
      </c>
      <c r="AV988" s="2" t="n">
        <f aca="false">Hypothèses!$J$26*AQ988-AT988</f>
        <v>2466.57975229697</v>
      </c>
      <c r="AW988" s="2" t="n">
        <f aca="false">IF(AC988&gt;Hypothèses!$J$26,MAX(0,AV988)/(1-Hypothèses!$J$26/AC988),0)</f>
        <v>3483.47179191268</v>
      </c>
      <c r="AX988" s="2" t="n">
        <f aca="false">AQ988-Entrées!$C$17*1000</f>
        <v>66.1675064781084</v>
      </c>
      <c r="AY988" s="2" t="n">
        <f aca="false">AI988+(Entrées!$C$244-Entrées!$C$13)</f>
        <v>28143.8787989225</v>
      </c>
      <c r="AZ988" s="2" t="n">
        <f aca="false">AA988*AH988</f>
        <v>5514.51831751244</v>
      </c>
      <c r="BA988" s="2" t="n">
        <f aca="false">AZ988/AY988</f>
        <v>0.195940238263234</v>
      </c>
      <c r="BB988" s="2" t="n">
        <f aca="false">AZ988/(Entrées!$C$151/100)-AY988</f>
        <v>2492.33407614664</v>
      </c>
      <c r="BC988" s="2" t="n">
        <f aca="false">AT988+(Entrées!$C$244-Entrées!$C$13)</f>
        <v>27478.9227671374</v>
      </c>
      <c r="BD988" s="2" t="n">
        <f aca="false">AA988*AQ988</f>
        <v>5900.61029246489</v>
      </c>
      <c r="BE988" s="2" t="n">
        <f aca="false">BD988/BC988</f>
        <v>0.214732227404546</v>
      </c>
      <c r="BF988" s="2" t="n">
        <f aca="false">BD988/(Entrées!$C$151/100)-BC988</f>
        <v>5302.24552433427</v>
      </c>
      <c r="BG988" s="2" t="n">
        <f aca="false">MIN(AV988,BF988)</f>
        <v>2466.57975229697</v>
      </c>
      <c r="BH988" s="2" t="n">
        <f aca="false">IF(AC988&gt;Hypothèses!$J$26,MAX(0,BG988)/(1-Hypothèses!$J$26/AC988),0)</f>
        <v>3483.47179191268</v>
      </c>
    </row>
    <row r="989" customFormat="false" ht="15" hidden="false" customHeight="false" outlineLevel="0" collapsed="false">
      <c r="A989" s="2" t="n">
        <v>974</v>
      </c>
      <c r="B989" s="2" t="n">
        <v>0.899038485</v>
      </c>
      <c r="C989" s="2"/>
      <c r="D989" s="2" t="n">
        <v>0.699951759</v>
      </c>
      <c r="E989" s="2" t="n">
        <f aca="false">IF(E$7=E$5,E$6,IF(NORMSDIST(E$9*SQRT($C$11)*NORMSINV($B989)+SQRT(1-E$9^2*$C$11)*NORMSINV(D989))&lt;E$8,E$5+SQRT(NORMSDIST(E$9*SQRT($C$11)*NORMSINV($B989)+SQRT(1-E$9^2*$C$11)*NORMSINV(D989))*(E$7-E$5)*(E$6-E$5)),E$7-SQRT((1-NORMSDIST(E$9*SQRT($C$11)*NORMSINV($B989)+SQRT(1-E$9^2*$C$11)*NORMSINV(D989)))*(E$7-E$5)*(E$7-E$6))))</f>
        <v>0.0576279356085678</v>
      </c>
      <c r="F989" s="2" t="n">
        <v>0.827577051</v>
      </c>
      <c r="G989" s="2" t="n">
        <f aca="false">IF(G$7=G$5,G$6,IF(NORMSDIST(G$9*SQRT($C$11)*NORMSINV($B989)+SQRT(1-G$9^2*$C$11)*NORMSINV(F989))&lt;G$8,G$5+SQRT(NORMSDIST(G$9*SQRT($C$11)*NORMSINV($B989)+SQRT(1-G$9^2*$C$11)*NORMSINV(F989))*(G$7-G$5)*(G$6-G$5)),G$7-SQRT((1-NORMSDIST(G$9*SQRT($C$11)*NORMSINV($B989)+SQRT(1-G$9^2*$C$11)*NORMSINV(F989)))*(G$7-G$5)*(G$7-G$6))))</f>
        <v>0.064720987891289</v>
      </c>
      <c r="H989" s="2" t="n">
        <v>0.748315934</v>
      </c>
      <c r="I989" s="2" t="n">
        <f aca="false">IF(I$7=I$5,I$6,IF(NORMSDIST(I$9*SQRT($C$11)*NORMSINV($B989)+SQRT(1-I$9^2*$C$11)*NORMSINV(H989))&lt;I$8,I$5+SQRT(NORMSDIST(I$9*SQRT($C$11)*NORMSINV($B989)+SQRT(1-I$9^2*$C$11)*NORMSINV(H989))*(I$7-I$5)*(I$6-I$5)),I$7-SQRT((1-NORMSDIST(I$9*SQRT($C$11)*NORMSINV($B989)+SQRT(1-I$9^2*$C$11)*NORMSINV(H989)))*(I$7-I$5)*(I$7-I$6))))</f>
        <v>211.397019765439</v>
      </c>
      <c r="J989" s="2" t="n">
        <v>0.186029168</v>
      </c>
      <c r="K989" s="2" t="n">
        <f aca="false">IF(K$7=K$5,K$6,IF(NORMSDIST(K$9*SQRT($C$11)*NORMSINV($B989)+SQRT(1-K$9^2*$C$11)*NORMSINV(J989))&lt;K$8,K$5+SQRT(NORMSDIST(K$9*SQRT($C$11)*NORMSINV($B989)+SQRT(1-K$9^2*$C$11)*NORMSINV(J989))*(K$7-K$5)*(K$6-K$5)),K$7-SQRT((1-NORMSDIST(K$9*SQRT($C$11)*NORMSINV($B989)+SQRT(1-K$9^2*$C$11)*NORMSINV(J989)))*(K$7-K$5)*(K$7-K$6))))</f>
        <v>0.261786344917298</v>
      </c>
      <c r="L989" s="2" t="n">
        <v>0.535933211</v>
      </c>
      <c r="M989" s="2" t="n">
        <f aca="false">IF(M$7=M$5,M$6,IF(NORMSDIST(M$9*SQRT($C$11)*NORMSINV($B989)+SQRT(1-M$9^2*$C$11)*NORMSINV(L989))&lt;M$8,M$5+SQRT(NORMSDIST(M$9*SQRT($C$11)*NORMSINV($B989)+SQRT(1-M$9^2*$C$11)*NORMSINV(L989))*(M$7-M$5)*(M$6-M$5)),M$7-SQRT((1-NORMSDIST(M$9*SQRT($C$11)*NORMSINV($B989)+SQRT(1-M$9^2*$C$11)*NORMSINV(L989)))*(M$7-M$5)*(M$7-M$6))))</f>
        <v>1668.8287492835</v>
      </c>
      <c r="N989" s="2" t="n">
        <v>0.043474561</v>
      </c>
      <c r="O989" s="2" t="n">
        <f aca="false">IF(O$7=O$5,O$6,IF(NORMSDIST(O$9*SQRT($C$11)*NORMSINV($B989)+SQRT(1-O$9^2*$C$11)*NORMSINV(N989))&lt;O$8,O$5+SQRT(NORMSDIST(O$9*SQRT($C$11)*NORMSINV($B989)+SQRT(1-O$9^2*$C$11)*NORMSINV(N989))*(O$7-O$5)*(O$6-O$5)),O$7-SQRT((1-NORMSDIST(O$9*SQRT($C$11)*NORMSINV($B989)+SQRT(1-O$9^2*$C$11)*NORMSINV(N989)))*(O$7-O$5)*(O$7-O$6))))</f>
        <v>0.160814290018312</v>
      </c>
      <c r="P989" s="2" t="n">
        <v>0.050029582</v>
      </c>
      <c r="Q989" s="2" t="n">
        <f aca="false">IF(Q$7=Q$5,Q$6,IF(NORMSDIST(Q$9*SQRT($C$11)*NORMSINV($B989)+SQRT(1-Q$9^2*$C$11)*NORMSINV(P989))&lt;Q$8,Q$5+SQRT(NORMSDIST(Q$9*SQRT($C$11)*NORMSINV($B989)+SQRT(1-Q$9^2*$C$11)*NORMSINV(P989))*(Q$7-Q$5)*(Q$6-Q$5)),Q$7-SQRT((1-NORMSDIST(Q$9*SQRT($C$11)*NORMSINV($B989)+SQRT(1-Q$9^2*$C$11)*NORMSINV(P989)))*(Q$7-Q$5)*(Q$7-Q$6))))</f>
        <v>0.0526528519472884</v>
      </c>
      <c r="R989" s="2" t="n">
        <v>0.861726693</v>
      </c>
      <c r="S989" s="2" t="n">
        <f aca="false">IF(S$7=S$5,S$6,IF(NORMSDIST(S$9*SQRT($C$11)*NORMSINV($B989)+SQRT(1-S$9^2*$C$11)*NORMSINV(R989))&lt;S$8,S$5+SQRT(NORMSDIST(S$9*SQRT($C$11)*NORMSINV($B989)+SQRT(1-S$9^2*$C$11)*NORMSINV(R989))*(S$7-S$5)*(S$6-S$5)),S$7-SQRT((1-NORMSDIST(S$9*SQRT($C$11)*NORMSINV($B989)+SQRT(1-S$9^2*$C$11)*NORMSINV(R989)))*(S$7-S$5)*(S$7-S$6))))</f>
        <v>0.842710634104923</v>
      </c>
      <c r="T989" s="2" t="n">
        <v>0.567543531</v>
      </c>
      <c r="U989" s="2" t="n">
        <f aca="false">IF(U$7=U$5,U$6,IF(NORMSDIST(U$9*SQRT($C$11)*NORMSINV($B989)+SQRT(1-U$9^2*$C$11)*NORMSINV(T989))&lt;U$8,U$5+SQRT(NORMSDIST(U$9*SQRT($C$11)*NORMSINV($B989)+SQRT(1-U$9^2*$C$11)*NORMSINV(T989))*(U$7-U$5)*(U$6-U$5)),U$7-SQRT((1-NORMSDIST(U$9*SQRT($C$11)*NORMSINV($B989)+SQRT(1-U$9^2*$C$11)*NORMSINV(T989)))*(U$7-U$5)*(U$7-U$6))))</f>
        <v>0.705123541514437</v>
      </c>
      <c r="V989" s="2" t="n">
        <v>0.035137615</v>
      </c>
      <c r="W989" s="2" t="n">
        <f aca="false">IF(W$7=W$5,W$6,IF(NORMSDIST(W$9*SQRT($C$11)*NORMSINV($B989)+SQRT(1-W$9^2*$C$11)*NORMSINV(V989))&lt;W$8,W$5+SQRT(NORMSDIST(W$9*SQRT($C$11)*NORMSINV($B989)+SQRT(1-W$9^2*$C$11)*NORMSINV(V989))*(W$7-W$5)*(W$6-W$5)),W$7-SQRT((1-NORMSDIST(W$9*SQRT($C$11)*NORMSINV($B989)+SQRT(1-W$9^2*$C$11)*NORMSINV(V989)))*(W$7-W$5)*(W$7-W$6))))</f>
        <v>9.48567721446278</v>
      </c>
      <c r="X989" s="2" t="n">
        <v>0.629104956</v>
      </c>
      <c r="Y989" s="2" t="n">
        <f aca="false">IF(Y$7=Y$5,Y$6,IF(NORMSDIST(Y$9*SQRT($C$11)*NORMSINV($B989)+SQRT(1-Y$9^2*$C$11)*NORMSINV(X989))&lt;Y$8,Y$5+SQRT(NORMSDIST(Y$9*SQRT($C$11)*NORMSINV($B989)+SQRT(1-Y$9^2*$C$11)*NORMSINV(X989))*(Y$7-Y$5)*(Y$6-Y$5)),Y$7-SQRT((1-NORMSDIST(Y$9*SQRT($C$11)*NORMSINV($B989)+SQRT(1-Y$9^2*$C$11)*NORMSINV(X989)))*(Y$7-Y$5)*(Y$7-Y$6))))</f>
        <v>0.569363817126336</v>
      </c>
      <c r="Z989" s="2" t="n">
        <v>0.70660357</v>
      </c>
      <c r="AA989" s="2" t="n">
        <f aca="false">IF(AA$7=AA$5,AA$6,IF(NORMSDIST(AA$9*SQRT($C$11)*NORMSINV($B989)+SQRT(1-AA$9^2*$C$11)*NORMSINV(Z989))&lt;AA$8,AA$5+SQRT(NORMSDIST(AA$9*SQRT($C$11)*NORMSINV($B989)+SQRT(1-AA$9^2*$C$11)*NORMSINV(Z989))*(AA$7-AA$5)*(AA$6-AA$5)),AA$7-SQRT((1-NORMSDIST(AA$9*SQRT($C$11)*NORMSINV($B989)+SQRT(1-AA$9^2*$C$11)*NORMSINV(Z989)))*(AA$7-AA$5)*(AA$7-AA$6))))</f>
        <v>0.741995661591106</v>
      </c>
      <c r="AB989" s="2" t="n">
        <v>0.809399753</v>
      </c>
      <c r="AC989" s="2" t="n">
        <f aca="false">IF(AC$7=AC$5,AC$6,IF(NORMSDIST(AC$9*SQRT($C$11)*NORMSINV($B989)+SQRT(1-AC$9^2*$C$11)*NORMSINV(AB989))&lt;AC$8,AC$5+SQRT(NORMSDIST(AC$9*SQRT($C$11)*NORMSINV($B989)+SQRT(1-AC$9^2*$C$11)*NORMSINV(AB989))*(AC$7-AC$5)*(AC$6-AC$5)),AC$7-SQRT((1-NORMSDIST(AC$9*SQRT($C$11)*NORMSINV($B989)+SQRT(1-AC$9^2*$C$11)*NORMSINV(AB989)))*(AC$7-AC$5)*(AC$7-AC$6))))</f>
        <v>10.4551330233162</v>
      </c>
      <c r="AD989" s="2" t="n">
        <f aca="false">Entrées!$C$8*(1+E989)</f>
        <v>7456.2769460404</v>
      </c>
      <c r="AE989" s="2" t="n">
        <f aca="false">I989*Hypothèses!$J$24/12/Hypothèses!$J$19</f>
        <v>104.873384903151</v>
      </c>
      <c r="AF989" s="2" t="n">
        <f aca="false">Entrées!$C$36*S989*1000</f>
        <v>421.355317052461</v>
      </c>
      <c r="AG989" s="2" t="n">
        <f aca="false">-AF989/W989</f>
        <v>-44.4201618425327</v>
      </c>
      <c r="AH989" s="2" t="n">
        <f aca="false">AD989+AE989+AG989</f>
        <v>7516.73016910102</v>
      </c>
      <c r="AI989" s="2" t="n">
        <f aca="false">Entrées!$C$16-M989+Hypothèses!$J$22*1000-AF989+Hypothèses!$J$23</f>
        <v>22457.815933664</v>
      </c>
      <c r="AJ989" s="2" t="n">
        <f aca="false">AI989/AH989</f>
        <v>2.98771080355941</v>
      </c>
      <c r="AK989" s="2" t="n">
        <f aca="false">AI989/(AH989+I989*(12-Hypothèses!$J$24)/12/Hypothèses!$J$19)</f>
        <v>2.95822993887186</v>
      </c>
      <c r="AL989" s="2" t="n">
        <f aca="false">(AD989+AG989+I989/Hypothèses!$J$19)*(1+G989)</f>
        <v>8082.97815277006</v>
      </c>
      <c r="AM989" s="2" t="n">
        <f aca="false">Entrées!$C$54*K989/Hypothèses!$J$19</f>
        <v>26.7163956686425</v>
      </c>
      <c r="AN989" s="2" t="n">
        <f aca="false">Y989*1000/AC989</f>
        <v>54.4578262042756</v>
      </c>
      <c r="AO989" s="2" t="n">
        <f aca="false">(Entrées!$C$36*(1-S989)+MAX(0,Entrées!$C$30-Entrées!$C$35-Entrées!$C$36)*U989)*1000</f>
        <v>1065.81764106775</v>
      </c>
      <c r="AP989" s="2" t="n">
        <f aca="false">-AO989/W989</f>
        <v>-112.360732604595</v>
      </c>
      <c r="AQ989" s="2" t="n">
        <f aca="false">AL989+AM989+AN989+AP989</f>
        <v>8051.79164203838</v>
      </c>
      <c r="AR989" s="2" t="n">
        <f aca="false">O989*AQ989-Hypothèses!$J$25/Hypothèses!$J$19</f>
        <v>1275.70799402815</v>
      </c>
      <c r="AS989" s="2" t="n">
        <f aca="false">Entrées!$C$79*(1+Q989)+Hypothèses!$J$20</f>
        <v>1451.86548429007</v>
      </c>
      <c r="AT989" s="2" t="n">
        <f aca="false">AI989-AR989+AS989+Y989*1000-AO989+Hypothèses!$J$23</f>
        <v>22137.5195999845</v>
      </c>
      <c r="AU989" s="2" t="n">
        <f aca="false">AT989/AQ989</f>
        <v>2.74939051880138</v>
      </c>
      <c r="AV989" s="2" t="n">
        <f aca="false">Hypothèses!$J$26*AQ989-AT989</f>
        <v>2017.8553261306</v>
      </c>
      <c r="AW989" s="2" t="n">
        <f aca="false">IF(AC989&gt;Hypothèses!$J$26,MAX(0,AV989)/(1-Hypothèses!$J$26/AC989),0)</f>
        <v>2829.85505295761</v>
      </c>
      <c r="AX989" s="2" t="n">
        <f aca="false">AQ989-Entrées!$C$17*1000</f>
        <v>51.7916420383826</v>
      </c>
      <c r="AY989" s="2" t="n">
        <f aca="false">AI989+(Entrées!$C$244-Entrées!$C$13)</f>
        <v>28204.815933664</v>
      </c>
      <c r="AZ989" s="2" t="n">
        <f aca="false">AA989*AH989</f>
        <v>5577.38117482394</v>
      </c>
      <c r="BA989" s="2" t="n">
        <f aca="false">AZ989/AY989</f>
        <v>0.197745703710373</v>
      </c>
      <c r="BB989" s="2" t="n">
        <f aca="false">AZ989/(Entrées!$C$151/100)-AY989</f>
        <v>2780.63503758006</v>
      </c>
      <c r="BC989" s="2" t="n">
        <f aca="false">AT989+(Entrées!$C$244-Entrées!$C$13)</f>
        <v>27884.5195999845</v>
      </c>
      <c r="BD989" s="2" t="n">
        <f aca="false">AA989*AQ989</f>
        <v>5974.39446642801</v>
      </c>
      <c r="BE989" s="2" t="n">
        <f aca="false">BD989/BC989</f>
        <v>0.214254882355274</v>
      </c>
      <c r="BF989" s="2" t="n">
        <f aca="false">BD989/(Entrées!$C$151/100)-BC989</f>
        <v>5306.56076905994</v>
      </c>
      <c r="BG989" s="2" t="n">
        <f aca="false">MIN(AV989,BF989)</f>
        <v>2017.8553261306</v>
      </c>
      <c r="BH989" s="2" t="n">
        <f aca="false">IF(AC989&gt;Hypothèses!$J$26,MAX(0,BG989)/(1-Hypothèses!$J$26/AC989),0)</f>
        <v>2829.85505295761</v>
      </c>
    </row>
    <row r="990" customFormat="false" ht="15" hidden="false" customHeight="false" outlineLevel="0" collapsed="false">
      <c r="A990" s="2" t="n">
        <v>975</v>
      </c>
      <c r="B990" s="2" t="n">
        <v>0.823621609</v>
      </c>
      <c r="C990" s="2"/>
      <c r="D990" s="2" t="n">
        <v>0.54457254</v>
      </c>
      <c r="E990" s="2" t="n">
        <f aca="false">IF(E$7=E$5,E$6,IF(NORMSDIST(E$9*SQRT($C$11)*NORMSINV($B990)+SQRT(1-E$9^2*$C$11)*NORMSINV(D990))&lt;E$8,E$5+SQRT(NORMSDIST(E$9*SQRT($C$11)*NORMSINV($B990)+SQRT(1-E$9^2*$C$11)*NORMSINV(D990))*(E$7-E$5)*(E$6-E$5)),E$7-SQRT((1-NORMSDIST(E$9*SQRT($C$11)*NORMSINV($B990)+SQRT(1-E$9^2*$C$11)*NORMSINV(D990)))*(E$7-E$5)*(E$7-E$6))))</f>
        <v>0.0564643469150427</v>
      </c>
      <c r="F990" s="2" t="n">
        <v>0.36595844</v>
      </c>
      <c r="G990" s="2" t="n">
        <f aca="false">IF(G$7=G$5,G$6,IF(NORMSDIST(G$9*SQRT($C$11)*NORMSINV($B990)+SQRT(1-G$9^2*$C$11)*NORMSINV(F990))&lt;G$8,G$5+SQRT(NORMSDIST(G$9*SQRT($C$11)*NORMSINV($B990)+SQRT(1-G$9^2*$C$11)*NORMSINV(F990))*(G$7-G$5)*(G$6-G$5)),G$7-SQRT((1-NORMSDIST(G$9*SQRT($C$11)*NORMSINV($B990)+SQRT(1-G$9^2*$C$11)*NORMSINV(F990)))*(G$7-G$5)*(G$7-G$6))))</f>
        <v>0.0570340235502337</v>
      </c>
      <c r="H990" s="2" t="n">
        <v>0.786970458</v>
      </c>
      <c r="I990" s="2" t="n">
        <f aca="false">IF(I$7=I$5,I$6,IF(NORMSDIST(I$9*SQRT($C$11)*NORMSINV($B990)+SQRT(1-I$9^2*$C$11)*NORMSINV(H990))&lt;I$8,I$5+SQRT(NORMSDIST(I$9*SQRT($C$11)*NORMSINV($B990)+SQRT(1-I$9^2*$C$11)*NORMSINV(H990))*(I$7-I$5)*(I$6-I$5)),I$7-SQRT((1-NORMSDIST(I$9*SQRT($C$11)*NORMSINV($B990)+SQRT(1-I$9^2*$C$11)*NORMSINV(H990)))*(I$7-I$5)*(I$7-I$6))))</f>
        <v>210.439857483046</v>
      </c>
      <c r="J990" s="2" t="n">
        <v>0.230928981</v>
      </c>
      <c r="K990" s="2" t="n">
        <f aca="false">IF(K$7=K$5,K$6,IF(NORMSDIST(K$9*SQRT($C$11)*NORMSINV($B990)+SQRT(1-K$9^2*$C$11)*NORMSINV(J990))&lt;K$8,K$5+SQRT(NORMSDIST(K$9*SQRT($C$11)*NORMSINV($B990)+SQRT(1-K$9^2*$C$11)*NORMSINV(J990))*(K$7-K$5)*(K$6-K$5)),K$7-SQRT((1-NORMSDIST(K$9*SQRT($C$11)*NORMSINV($B990)+SQRT(1-K$9^2*$C$11)*NORMSINV(J990)))*(K$7-K$5)*(K$7-K$6))))</f>
        <v>0.251778684097142</v>
      </c>
      <c r="L990" s="2" t="n">
        <v>0.588450751</v>
      </c>
      <c r="M990" s="2" t="n">
        <f aca="false">IF(M$7=M$5,M$6,IF(NORMSDIST(M$9*SQRT($C$11)*NORMSINV($B990)+SQRT(1-M$9^2*$C$11)*NORMSINV(L990))&lt;M$8,M$5+SQRT(NORMSDIST(M$9*SQRT($C$11)*NORMSINV($B990)+SQRT(1-M$9^2*$C$11)*NORMSINV(L990))*(M$7-M$5)*(M$6-M$5)),M$7-SQRT((1-NORMSDIST(M$9*SQRT($C$11)*NORMSINV($B990)+SQRT(1-M$9^2*$C$11)*NORMSINV(L990)))*(M$7-M$5)*(M$7-M$6))))</f>
        <v>1658.55157757052</v>
      </c>
      <c r="N990" s="2" t="n">
        <v>0.055134662</v>
      </c>
      <c r="O990" s="2" t="n">
        <f aca="false">IF(O$7=O$5,O$6,IF(NORMSDIST(O$9*SQRT($C$11)*NORMSINV($B990)+SQRT(1-O$9^2*$C$11)*NORMSINV(N990))&lt;O$8,O$5+SQRT(NORMSDIST(O$9*SQRT($C$11)*NORMSINV($B990)+SQRT(1-O$9^2*$C$11)*NORMSINV(N990))*(O$7-O$5)*(O$6-O$5)),O$7-SQRT((1-NORMSDIST(O$9*SQRT($C$11)*NORMSINV($B990)+SQRT(1-O$9^2*$C$11)*NORMSINV(N990)))*(O$7-O$5)*(O$7-O$6))))</f>
        <v>0.159242768543151</v>
      </c>
      <c r="P990" s="2" t="n">
        <v>0.739708201</v>
      </c>
      <c r="Q990" s="2" t="n">
        <f aca="false">IF(Q$7=Q$5,Q$6,IF(NORMSDIST(Q$9*SQRT($C$11)*NORMSINV($B990)+SQRT(1-Q$9^2*$C$11)*NORMSINV(P990))&lt;Q$8,Q$5+SQRT(NORMSDIST(Q$9*SQRT($C$11)*NORMSINV($B990)+SQRT(1-Q$9^2*$C$11)*NORMSINV(P990))*(Q$7-Q$5)*(Q$6-Q$5)),Q$7-SQRT((1-NORMSDIST(Q$9*SQRT($C$11)*NORMSINV($B990)+SQRT(1-Q$9^2*$C$11)*NORMSINV(P990)))*(Q$7-Q$5)*(Q$7-Q$6))))</f>
        <v>0.0911394082389151</v>
      </c>
      <c r="R990" s="2" t="n">
        <v>0.454194236</v>
      </c>
      <c r="S990" s="2" t="n">
        <f aca="false">IF(S$7=S$5,S$6,IF(NORMSDIST(S$9*SQRT($C$11)*NORMSINV($B990)+SQRT(1-S$9^2*$C$11)*NORMSINV(R990))&lt;S$8,S$5+SQRT(NORMSDIST(S$9*SQRT($C$11)*NORMSINV($B990)+SQRT(1-S$9^2*$C$11)*NORMSINV(R990))*(S$7-S$5)*(S$6-S$5)),S$7-SQRT((1-NORMSDIST(S$9*SQRT($C$11)*NORMSINV($B990)+SQRT(1-S$9^2*$C$11)*NORMSINV(R990)))*(S$7-S$5)*(S$7-S$6))))</f>
        <v>0.606910881814807</v>
      </c>
      <c r="T990" s="2" t="n">
        <v>0.542774562</v>
      </c>
      <c r="U990" s="2" t="n">
        <f aca="false">IF(U$7=U$5,U$6,IF(NORMSDIST(U$9*SQRT($C$11)*NORMSINV($B990)+SQRT(1-U$9^2*$C$11)*NORMSINV(T990))&lt;U$8,U$5+SQRT(NORMSDIST(U$9*SQRT($C$11)*NORMSINV($B990)+SQRT(1-U$9^2*$C$11)*NORMSINV(T990))*(U$7-U$5)*(U$6-U$5)),U$7-SQRT((1-NORMSDIST(U$9*SQRT($C$11)*NORMSINV($B990)+SQRT(1-U$9^2*$C$11)*NORMSINV(T990)))*(U$7-U$5)*(U$7-U$6))))</f>
        <v>0.645645467950989</v>
      </c>
      <c r="V990" s="2" t="n">
        <v>0.78575056</v>
      </c>
      <c r="W990" s="2" t="n">
        <f aca="false">IF(W$7=W$5,W$6,IF(NORMSDIST(W$9*SQRT($C$11)*NORMSINV($B990)+SQRT(1-W$9^2*$C$11)*NORMSINV(V990))&lt;W$8,W$5+SQRT(NORMSDIST(W$9*SQRT($C$11)*NORMSINV($B990)+SQRT(1-W$9^2*$C$11)*NORMSINV(V990))*(W$7-W$5)*(W$6-W$5)),W$7-SQRT((1-NORMSDIST(W$9*SQRT($C$11)*NORMSINV($B990)+SQRT(1-W$9^2*$C$11)*NORMSINV(V990)))*(W$7-W$5)*(W$7-W$6))))</f>
        <v>11.0413604291917</v>
      </c>
      <c r="X990" s="2" t="n">
        <v>0.426992432</v>
      </c>
      <c r="Y990" s="2" t="n">
        <f aca="false">IF(Y$7=Y$5,Y$6,IF(NORMSDIST(Y$9*SQRT($C$11)*NORMSINV($B990)+SQRT(1-Y$9^2*$C$11)*NORMSINV(X990))&lt;Y$8,Y$5+SQRT(NORMSDIST(Y$9*SQRT($C$11)*NORMSINV($B990)+SQRT(1-Y$9^2*$C$11)*NORMSINV(X990))*(Y$7-Y$5)*(Y$6-Y$5)),Y$7-SQRT((1-NORMSDIST(Y$9*SQRT($C$11)*NORMSINV($B990)+SQRT(1-Y$9^2*$C$11)*NORMSINV(X990)))*(Y$7-Y$5)*(Y$7-Y$6))))</f>
        <v>0.462056507366794</v>
      </c>
      <c r="Z990" s="2" t="n">
        <v>0.294041766</v>
      </c>
      <c r="AA990" s="2" t="n">
        <f aca="false">IF(AA$7=AA$5,AA$6,IF(NORMSDIST(AA$9*SQRT($C$11)*NORMSINV($B990)+SQRT(1-AA$9^2*$C$11)*NORMSINV(Z990))&lt;AA$8,AA$5+SQRT(NORMSDIST(AA$9*SQRT($C$11)*NORMSINV($B990)+SQRT(1-AA$9^2*$C$11)*NORMSINV(Z990))*(AA$7-AA$5)*(AA$6-AA$5)),AA$7-SQRT((1-NORMSDIST(AA$9*SQRT($C$11)*NORMSINV($B990)+SQRT(1-AA$9^2*$C$11)*NORMSINV(Z990)))*(AA$7-AA$5)*(AA$7-AA$6))))</f>
        <v>0.73016871734244</v>
      </c>
      <c r="AB990" s="2" t="n">
        <v>0.311783156</v>
      </c>
      <c r="AC990" s="2" t="n">
        <f aca="false">IF(AC$7=AC$5,AC$6,IF(NORMSDIST(AC$9*SQRT($C$11)*NORMSINV($B990)+SQRT(1-AC$9^2*$C$11)*NORMSINV(AB990))&lt;AC$8,AC$5+SQRT(NORMSDIST(AC$9*SQRT($C$11)*NORMSINV($B990)+SQRT(1-AC$9^2*$C$11)*NORMSINV(AB990))*(AC$7-AC$5)*(AC$6-AC$5)),AC$7-SQRT((1-NORMSDIST(AC$9*SQRT($C$11)*NORMSINV($B990)+SQRT(1-AC$9^2*$C$11)*NORMSINV(AB990)))*(AC$7-AC$5)*(AC$7-AC$6))))</f>
        <v>9.64282307982093</v>
      </c>
      <c r="AD990" s="2" t="n">
        <f aca="false">Entrées!$C$8*(1+E990)</f>
        <v>7448.07364575105</v>
      </c>
      <c r="AE990" s="2" t="n">
        <f aca="false">I990*Hypothèses!$J$24/12/Hypothèses!$J$19</f>
        <v>104.398539758373</v>
      </c>
      <c r="AF990" s="2" t="n">
        <f aca="false">Entrées!$C$36*S990*1000</f>
        <v>303.455440907404</v>
      </c>
      <c r="AG990" s="2" t="n">
        <f aca="false">-AF990/W990</f>
        <v>-27.4835191599319</v>
      </c>
      <c r="AH990" s="2" t="n">
        <f aca="false">AD990+AE990+AG990</f>
        <v>7524.98866634949</v>
      </c>
      <c r="AI990" s="2" t="n">
        <f aca="false">Entrées!$C$16-M990+Hypothèses!$J$22*1000-AF990+Hypothèses!$J$23</f>
        <v>22585.9929815221</v>
      </c>
      <c r="AJ990" s="2" t="n">
        <f aca="false">AI990/AH990</f>
        <v>3.00146538193777</v>
      </c>
      <c r="AK990" s="2" t="n">
        <f aca="false">AI990/(AH990+I990*(12-Hypothèses!$J$24)/12/Hypothèses!$J$19)</f>
        <v>2.97201361648758</v>
      </c>
      <c r="AL990" s="2" t="n">
        <f aca="false">(AD990+AG990+I990/Hypothèses!$J$19)*(1+G990)</f>
        <v>8032.99248182814</v>
      </c>
      <c r="AM990" s="2" t="n">
        <f aca="false">Entrées!$C$54*K990/Hypothèses!$J$19</f>
        <v>25.6950718624932</v>
      </c>
      <c r="AN990" s="2" t="n">
        <f aca="false">Y990*1000/AC990</f>
        <v>47.9171403998604</v>
      </c>
      <c r="AO990" s="2" t="n">
        <f aca="false">(Entrées!$C$36*(1-S990)+MAX(0,Entrées!$C$30-Entrées!$C$35-Entrées!$C$36)*U990)*1000</f>
        <v>1100.44821422398</v>
      </c>
      <c r="AP990" s="2" t="n">
        <f aca="false">-AO990/W990</f>
        <v>-99.6659987037978</v>
      </c>
      <c r="AQ990" s="2" t="n">
        <f aca="false">AL990+AM990+AN990+AP990</f>
        <v>8006.9386953867</v>
      </c>
      <c r="AR990" s="2" t="n">
        <f aca="false">O990*AQ990-Hypothèses!$J$25/Hypothèses!$J$19</f>
        <v>1255.91192314704</v>
      </c>
      <c r="AS990" s="2" t="n">
        <f aca="false">Entrées!$C$79*(1+Q990)+Hypothèses!$J$20</f>
        <v>1494.16220965457</v>
      </c>
      <c r="AT990" s="2" t="n">
        <f aca="false">AI990-AR990+AS990+Y990*1000-AO990+Hypothèses!$J$23</f>
        <v>22185.8515611724</v>
      </c>
      <c r="AU990" s="2" t="n">
        <f aca="false">AT990/AQ990</f>
        <v>2.7708282035374</v>
      </c>
      <c r="AV990" s="2" t="n">
        <f aca="false">Hypothèses!$J$26*AQ990-AT990</f>
        <v>1834.96452498767</v>
      </c>
      <c r="AW990" s="2" t="n">
        <f aca="false">IF(AC990&gt;Hypothèses!$J$26,MAX(0,AV990)/(1-Hypothèses!$J$26/AC990),0)</f>
        <v>2663.66243080506</v>
      </c>
      <c r="AX990" s="2" t="n">
        <f aca="false">AQ990-Entrées!$C$17*1000</f>
        <v>6.93869538669605</v>
      </c>
      <c r="AY990" s="2" t="n">
        <f aca="false">AI990+(Entrées!$C$244-Entrées!$C$13)</f>
        <v>28332.9929815221</v>
      </c>
      <c r="AZ990" s="2" t="n">
        <f aca="false">AA990*AH990</f>
        <v>5494.51132252481</v>
      </c>
      <c r="BA990" s="2" t="n">
        <f aca="false">AZ990/AY990</f>
        <v>0.193926258553347</v>
      </c>
      <c r="BB990" s="2" t="n">
        <f aca="false">AZ990/(Entrées!$C$151/100)-AY990</f>
        <v>2192.06992139352</v>
      </c>
      <c r="BC990" s="2" t="n">
        <f aca="false">AT990+(Entrées!$C$244-Entrées!$C$13)</f>
        <v>27932.8515611724</v>
      </c>
      <c r="BD990" s="2" t="n">
        <f aca="false">AA990*AQ990</f>
        <v>5846.41615705005</v>
      </c>
      <c r="BE990" s="2" t="n">
        <f aca="false">BD990/BC990</f>
        <v>0.209302517655475</v>
      </c>
      <c r="BF990" s="2" t="n">
        <f aca="false">BD990/(Entrées!$C$151/100)-BC990</f>
        <v>4547.23820021677</v>
      </c>
      <c r="BG990" s="2" t="n">
        <f aca="false">MIN(AV990,BF990)</f>
        <v>1834.96452498767</v>
      </c>
      <c r="BH990" s="2" t="n">
        <f aca="false">IF(AC990&gt;Hypothèses!$J$26,MAX(0,BG990)/(1-Hypothèses!$J$26/AC990),0)</f>
        <v>2663.66243080506</v>
      </c>
    </row>
    <row r="991" customFormat="false" ht="15" hidden="false" customHeight="false" outlineLevel="0" collapsed="false">
      <c r="A991" s="2" t="n">
        <v>976</v>
      </c>
      <c r="B991" s="2" t="n">
        <v>0.000716995</v>
      </c>
      <c r="C991" s="2"/>
      <c r="D991" s="2" t="n">
        <v>0.254480505</v>
      </c>
      <c r="E991" s="2" t="n">
        <f aca="false">IF(E$7=E$5,E$6,IF(NORMSDIST(E$9*SQRT($C$11)*NORMSINV($B991)+SQRT(1-E$9^2*$C$11)*NORMSINV(D991))&lt;E$8,E$5+SQRT(NORMSDIST(E$9*SQRT($C$11)*NORMSINV($B991)+SQRT(1-E$9^2*$C$11)*NORMSINV(D991))*(E$7-E$5)*(E$6-E$5)),E$7-SQRT((1-NORMSDIST(E$9*SQRT($C$11)*NORMSINV($B991)+SQRT(1-E$9^2*$C$11)*NORMSINV(D991)))*(E$7-E$5)*(E$7-E$6))))</f>
        <v>0.0505357688909167</v>
      </c>
      <c r="F991" s="2" t="n">
        <v>0.868909001</v>
      </c>
      <c r="G991" s="2" t="n">
        <f aca="false">IF(G$7=G$5,G$6,IF(NORMSDIST(G$9*SQRT($C$11)*NORMSINV($B991)+SQRT(1-G$9^2*$C$11)*NORMSINV(F991))&lt;G$8,G$5+SQRT(NORMSDIST(G$9*SQRT($C$11)*NORMSINV($B991)+SQRT(1-G$9^2*$C$11)*NORMSINV(F991))*(G$7-G$5)*(G$6-G$5)),G$7-SQRT((1-NORMSDIST(G$9*SQRT($C$11)*NORMSINV($B991)+SQRT(1-G$9^2*$C$11)*NORMSINV(F991)))*(G$7-G$5)*(G$7-G$6))))</f>
        <v>0.0475171349237893</v>
      </c>
      <c r="H991" s="2" t="n">
        <v>0.91053277</v>
      </c>
      <c r="I991" s="2" t="n">
        <f aca="false">IF(I$7=I$5,I$6,IF(NORMSDIST(I$9*SQRT($C$11)*NORMSINV($B991)+SQRT(1-I$9^2*$C$11)*NORMSINV(H991))&lt;I$8,I$5+SQRT(NORMSDIST(I$9*SQRT($C$11)*NORMSINV($B991)+SQRT(1-I$9^2*$C$11)*NORMSINV(H991))*(I$7-I$5)*(I$6-I$5)),I$7-SQRT((1-NORMSDIST(I$9*SQRT($C$11)*NORMSINV($B991)+SQRT(1-I$9^2*$C$11)*NORMSINV(H991)))*(I$7-I$5)*(I$7-I$6))))</f>
        <v>191.481465458027</v>
      </c>
      <c r="J991" s="2" t="n">
        <v>0.281457781</v>
      </c>
      <c r="K991" s="2" t="n">
        <f aca="false">IF(K$7=K$5,K$6,IF(NORMSDIST(K$9*SQRT($C$11)*NORMSINV($B991)+SQRT(1-K$9^2*$C$11)*NORMSINV(J991))&lt;K$8,K$5+SQRT(NORMSDIST(K$9*SQRT($C$11)*NORMSINV($B991)+SQRT(1-K$9^2*$C$11)*NORMSINV(J991))*(K$7-K$5)*(K$6-K$5)),K$7-SQRT((1-NORMSDIST(K$9*SQRT($C$11)*NORMSINV($B991)+SQRT(1-K$9^2*$C$11)*NORMSINV(J991)))*(K$7-K$5)*(K$7-K$6))))</f>
        <v>0.0292955036843148</v>
      </c>
      <c r="L991" s="2" t="n">
        <v>0.810930483</v>
      </c>
      <c r="M991" s="2" t="n">
        <f aca="false">IF(M$7=M$5,M$6,IF(NORMSDIST(M$9*SQRT($C$11)*NORMSINV($B991)+SQRT(1-M$9^2*$C$11)*NORMSINV(L991))&lt;M$8,M$5+SQRT(NORMSDIST(M$9*SQRT($C$11)*NORMSINV($B991)+SQRT(1-M$9^2*$C$11)*NORMSINV(L991))*(M$7-M$5)*(M$6-M$5)),M$7-SQRT((1-NORMSDIST(M$9*SQRT($C$11)*NORMSINV($B991)+SQRT(1-M$9^2*$C$11)*NORMSINV(L991)))*(M$7-M$5)*(M$7-M$6))))</f>
        <v>1423.70042116784</v>
      </c>
      <c r="N991" s="2" t="n">
        <v>0.069951254</v>
      </c>
      <c r="O991" s="2" t="n">
        <f aca="false">IF(O$7=O$5,O$6,IF(NORMSDIST(O$9*SQRT($C$11)*NORMSINV($B991)+SQRT(1-O$9^2*$C$11)*NORMSINV(N991))&lt;O$8,O$5+SQRT(NORMSDIST(O$9*SQRT($C$11)*NORMSINV($B991)+SQRT(1-O$9^2*$C$11)*NORMSINV(N991))*(O$7-O$5)*(O$6-O$5)),O$7-SQRT((1-NORMSDIST(O$9*SQRT($C$11)*NORMSINV($B991)+SQRT(1-O$9^2*$C$11)*NORMSINV(N991)))*(O$7-O$5)*(O$7-O$6))))</f>
        <v>0.141064769042719</v>
      </c>
      <c r="P991" s="2" t="n">
        <v>0.608988351</v>
      </c>
      <c r="Q991" s="2" t="n">
        <f aca="false">IF(Q$7=Q$5,Q$6,IF(NORMSDIST(Q$9*SQRT($C$11)*NORMSINV($B991)+SQRT(1-Q$9^2*$C$11)*NORMSINV(P991))&lt;Q$8,Q$5+SQRT(NORMSDIST(Q$9*SQRT($C$11)*NORMSINV($B991)+SQRT(1-Q$9^2*$C$11)*NORMSINV(P991))*(Q$7-Q$5)*(Q$6-Q$5)),Q$7-SQRT((1-NORMSDIST(Q$9*SQRT($C$11)*NORMSINV($B991)+SQRT(1-Q$9^2*$C$11)*NORMSINV(P991)))*(Q$7-Q$5)*(Q$7-Q$6))))</f>
        <v>0.08462716753213</v>
      </c>
      <c r="R991" s="2" t="n">
        <v>0.48808694</v>
      </c>
      <c r="S991" s="2" t="n">
        <f aca="false">IF(S$7=S$5,S$6,IF(NORMSDIST(S$9*SQRT($C$11)*NORMSINV($B991)+SQRT(1-S$9^2*$C$11)*NORMSINV(R991))&lt;S$8,S$5+SQRT(NORMSDIST(S$9*SQRT($C$11)*NORMSINV($B991)+SQRT(1-S$9^2*$C$11)*NORMSINV(R991))*(S$7-S$5)*(S$6-S$5)),S$7-SQRT((1-NORMSDIST(S$9*SQRT($C$11)*NORMSINV($B991)+SQRT(1-S$9^2*$C$11)*NORMSINV(R991)))*(S$7-S$5)*(S$7-S$6))))</f>
        <v>0.10176874084003</v>
      </c>
      <c r="T991" s="2" t="n">
        <v>0.745797033</v>
      </c>
      <c r="U991" s="2" t="n">
        <f aca="false">IF(U$7=U$5,U$6,IF(NORMSDIST(U$9*SQRT($C$11)*NORMSINV($B991)+SQRT(1-U$9^2*$C$11)*NORMSINV(T991))&lt;U$8,U$5+SQRT(NORMSDIST(U$9*SQRT($C$11)*NORMSINV($B991)+SQRT(1-U$9^2*$C$11)*NORMSINV(T991))*(U$7-U$5)*(U$6-U$5)),U$7-SQRT((1-NORMSDIST(U$9*SQRT($C$11)*NORMSINV($B991)+SQRT(1-U$9^2*$C$11)*NORMSINV(T991)))*(U$7-U$5)*(U$7-U$6))))</f>
        <v>0.182087993784243</v>
      </c>
      <c r="V991" s="2" t="n">
        <v>0.234556018</v>
      </c>
      <c r="W991" s="2" t="n">
        <f aca="false">IF(W$7=W$5,W$6,IF(NORMSDIST(W$9*SQRT($C$11)*NORMSINV($B991)+SQRT(1-W$9^2*$C$11)*NORMSINV(V991))&lt;W$8,W$5+SQRT(NORMSDIST(W$9*SQRT($C$11)*NORMSINV($B991)+SQRT(1-W$9^2*$C$11)*NORMSINV(V991))*(W$7-W$5)*(W$6-W$5)),W$7-SQRT((1-NORMSDIST(W$9*SQRT($C$11)*NORMSINV($B991)+SQRT(1-W$9^2*$C$11)*NORMSINV(V991)))*(W$7-W$5)*(W$7-W$6))))</f>
        <v>8.199707551214</v>
      </c>
      <c r="X991" s="2" t="n">
        <v>0.411257769</v>
      </c>
      <c r="Y991" s="2" t="n">
        <f aca="false">IF(Y$7=Y$5,Y$6,IF(NORMSDIST(Y$9*SQRT($C$11)*NORMSINV($B991)+SQRT(1-Y$9^2*$C$11)*NORMSINV(X991))&lt;Y$8,Y$5+SQRT(NORMSDIST(Y$9*SQRT($C$11)*NORMSINV($B991)+SQRT(1-Y$9^2*$C$11)*NORMSINV(X991))*(Y$7-Y$5)*(Y$6-Y$5)),Y$7-SQRT((1-NORMSDIST(Y$9*SQRT($C$11)*NORMSINV($B991)+SQRT(1-Y$9^2*$C$11)*NORMSINV(X991)))*(Y$7-Y$5)*(Y$7-Y$6))))</f>
        <v>0.453463211848547</v>
      </c>
      <c r="Z991" s="2" t="n">
        <v>0.72787271</v>
      </c>
      <c r="AA991" s="2" t="n">
        <f aca="false">IF(AA$7=AA$5,AA$6,IF(NORMSDIST(AA$9*SQRT($C$11)*NORMSINV($B991)+SQRT(1-AA$9^2*$C$11)*NORMSINV(Z991))&lt;AA$8,AA$5+SQRT(NORMSDIST(AA$9*SQRT($C$11)*NORMSINV($B991)+SQRT(1-AA$9^2*$C$11)*NORMSINV(Z991))*(AA$7-AA$5)*(AA$6-AA$5)),AA$7-SQRT((1-NORMSDIST(AA$9*SQRT($C$11)*NORMSINV($B991)+SQRT(1-AA$9^2*$C$11)*NORMSINV(Z991)))*(AA$7-AA$5)*(AA$7-AA$6))))</f>
        <v>0.706752598035813</v>
      </c>
      <c r="AB991" s="2" t="n">
        <v>0.74020356</v>
      </c>
      <c r="AC991" s="2" t="n">
        <f aca="false">IF(AC$7=AC$5,AC$6,IF(NORMSDIST(AC$9*SQRT($C$11)*NORMSINV($B991)+SQRT(1-AC$9^2*$C$11)*NORMSINV(AB991))&lt;AC$8,AC$5+SQRT(NORMSDIST(AC$9*SQRT($C$11)*NORMSINV($B991)+SQRT(1-AC$9^2*$C$11)*NORMSINV(AB991))*(AC$7-AC$5)*(AC$6-AC$5)),AC$7-SQRT((1-NORMSDIST(AC$9*SQRT($C$11)*NORMSINV($B991)+SQRT(1-AC$9^2*$C$11)*NORMSINV(AB991)))*(AC$7-AC$5)*(AC$7-AC$6))))</f>
        <v>8.1470845377876</v>
      </c>
      <c r="AD991" s="2" t="n">
        <f aca="false">Entrées!$C$8*(1+E991)</f>
        <v>7406.27717068096</v>
      </c>
      <c r="AE991" s="2" t="n">
        <f aca="false">I991*Hypothèses!$J$24/12/Hypothèses!$J$19</f>
        <v>94.9933421534551</v>
      </c>
      <c r="AF991" s="2" t="n">
        <f aca="false">Entrées!$C$36*S991*1000</f>
        <v>50.8843704200149</v>
      </c>
      <c r="AG991" s="2" t="n">
        <f aca="false">-AF991/W991</f>
        <v>-6.20563234751967</v>
      </c>
      <c r="AH991" s="2" t="n">
        <f aca="false">AD991+AE991+AG991</f>
        <v>7495.0648804869</v>
      </c>
      <c r="AI991" s="2" t="n">
        <f aca="false">Entrées!$C$16-M991+Hypothèses!$J$22*1000-AF991+Hypothèses!$J$23</f>
        <v>23073.4152084121</v>
      </c>
      <c r="AJ991" s="2" t="n">
        <f aca="false">AI991/AH991</f>
        <v>3.07848105070883</v>
      </c>
      <c r="AK991" s="2" t="n">
        <f aca="false">AI991/(AH991+I991*(12-Hypothèses!$J$24)/12/Hypothèses!$J$19)</f>
        <v>3.05086177616075</v>
      </c>
      <c r="AL991" s="2" t="n">
        <f aca="false">(AD991+AG991+I991/Hypothèses!$J$19)*(1+G991)</f>
        <v>7922.28542796799</v>
      </c>
      <c r="AM991" s="2" t="n">
        <f aca="false">Entrées!$C$54*K991/Hypothèses!$J$19</f>
        <v>2.9897291548556</v>
      </c>
      <c r="AN991" s="2" t="n">
        <f aca="false">Y991*1000/AC991</f>
        <v>55.6595687384003</v>
      </c>
      <c r="AO991" s="2" t="n">
        <f aca="false">(Entrées!$C$36*(1-S991)+MAX(0,Entrées!$C$30-Entrées!$C$35-Entrées!$C$36)*U991)*1000</f>
        <v>704.038820877926</v>
      </c>
      <c r="AP991" s="2" t="n">
        <f aca="false">-AO991/W991</f>
        <v>-85.861454994659</v>
      </c>
      <c r="AQ991" s="2" t="n">
        <f aca="false">AL991+AM991+AN991+AP991</f>
        <v>7895.07327086659</v>
      </c>
      <c r="AR991" s="2" t="n">
        <f aca="false">O991*AQ991-Hypothèses!$J$25/Hypothèses!$J$19</f>
        <v>1094.58152526851</v>
      </c>
      <c r="AS991" s="2" t="n">
        <f aca="false">Entrées!$C$79*(1+Q991)+Hypothèses!$J$20</f>
        <v>1487.00525711781</v>
      </c>
      <c r="AT991" s="2" t="n">
        <f aca="false">AI991-AR991+AS991+Y991*1000-AO991+Hypothèses!$J$23</f>
        <v>23215.2633312321</v>
      </c>
      <c r="AU991" s="2" t="n">
        <f aca="false">AT991/AQ991</f>
        <v>2.94047471565566</v>
      </c>
      <c r="AV991" s="2" t="n">
        <f aca="false">Hypothèses!$J$26*AQ991-AT991</f>
        <v>469.956481367717</v>
      </c>
      <c r="AW991" s="2" t="n">
        <f aca="false">IF(AC991&gt;Hypothèses!$J$26,MAX(0,AV991)/(1-Hypothèses!$J$26/AC991),0)</f>
        <v>743.872604903773</v>
      </c>
      <c r="AX991" s="2" t="n">
        <f aca="false">AQ991-Entrées!$C$17*1000</f>
        <v>-104.926729133409</v>
      </c>
      <c r="AY991" s="2" t="n">
        <f aca="false">AI991+(Entrées!$C$244-Entrées!$C$13)</f>
        <v>28820.4152084121</v>
      </c>
      <c r="AZ991" s="2" t="n">
        <f aca="false">AA991*AH991</f>
        <v>5297.1565767311</v>
      </c>
      <c r="BA991" s="2" t="n">
        <f aca="false">AZ991/AY991</f>
        <v>0.183798759956274</v>
      </c>
      <c r="BB991" s="2" t="n">
        <f aca="false">AZ991/(Entrées!$C$151/100)-AY991</f>
        <v>608.232440093958</v>
      </c>
      <c r="BC991" s="2" t="n">
        <f aca="false">AT991+(Entrées!$C$244-Entrées!$C$13)</f>
        <v>28962.2633312321</v>
      </c>
      <c r="BD991" s="2" t="n">
        <f aca="false">AA991*AQ991</f>
        <v>5579.86354586807</v>
      </c>
      <c r="BE991" s="2" t="n">
        <f aca="false">BD991/BC991</f>
        <v>0.192659789121208</v>
      </c>
      <c r="BF991" s="2" t="n">
        <f aca="false">BD991/(Entrées!$C$151/100)-BC991</f>
        <v>2036.97859025722</v>
      </c>
      <c r="BG991" s="2" t="n">
        <f aca="false">MIN(AV991,BF991)</f>
        <v>469.956481367717</v>
      </c>
      <c r="BH991" s="2" t="n">
        <f aca="false">IF(AC991&gt;Hypothèses!$J$26,MAX(0,BG991)/(1-Hypothèses!$J$26/AC991),0)</f>
        <v>743.872604903773</v>
      </c>
    </row>
    <row r="992" customFormat="false" ht="15" hidden="false" customHeight="false" outlineLevel="0" collapsed="false">
      <c r="A992" s="2" t="n">
        <v>977</v>
      </c>
      <c r="B992" s="2" t="n">
        <v>0.527299338</v>
      </c>
      <c r="C992" s="2"/>
      <c r="D992" s="2" t="n">
        <v>0.077888082</v>
      </c>
      <c r="E992" s="2" t="n">
        <f aca="false">IF(E$7=E$5,E$6,IF(NORMSDIST(E$9*SQRT($C$11)*NORMSINV($B992)+SQRT(1-E$9^2*$C$11)*NORMSINV(D992))&lt;E$8,E$5+SQRT(NORMSDIST(E$9*SQRT($C$11)*NORMSINV($B992)+SQRT(1-E$9^2*$C$11)*NORMSINV(D992))*(E$7-E$5)*(E$6-E$5)),E$7-SQRT((1-NORMSDIST(E$9*SQRT($C$11)*NORMSINV($B992)+SQRT(1-E$9^2*$C$11)*NORMSINV(D992)))*(E$7-E$5)*(E$7-E$6))))</f>
        <v>0.0526967201750875</v>
      </c>
      <c r="F992" s="2" t="n">
        <v>0.993618182</v>
      </c>
      <c r="G992" s="2" t="n">
        <f aca="false">IF(G$7=G$5,G$6,IF(NORMSDIST(G$9*SQRT($C$11)*NORMSINV($B992)+SQRT(1-G$9^2*$C$11)*NORMSINV(F992))&lt;G$8,G$5+SQRT(NORMSDIST(G$9*SQRT($C$11)*NORMSINV($B992)+SQRT(1-G$9^2*$C$11)*NORMSINV(F992))*(G$7-G$5)*(G$6-G$5)),G$7-SQRT((1-NORMSDIST(G$9*SQRT($C$11)*NORMSINV($B992)+SQRT(1-G$9^2*$C$11)*NORMSINV(F992)))*(G$7-G$5)*(G$7-G$6))))</f>
        <v>0.0666939808267686</v>
      </c>
      <c r="H992" s="2" t="n">
        <v>0.956586162</v>
      </c>
      <c r="I992" s="2" t="n">
        <f aca="false">IF(I$7=I$5,I$6,IF(NORMSDIST(I$9*SQRT($C$11)*NORMSINV($B992)+SQRT(1-I$9^2*$C$11)*NORMSINV(H992))&lt;I$8,I$5+SQRT(NORMSDIST(I$9*SQRT($C$11)*NORMSINV($B992)+SQRT(1-I$9^2*$C$11)*NORMSINV(H992))*(I$7-I$5)*(I$6-I$5)),I$7-SQRT((1-NORMSDIST(I$9*SQRT($C$11)*NORMSINV($B992)+SQRT(1-I$9^2*$C$11)*NORMSINV(H992)))*(I$7-I$5)*(I$7-I$6))))</f>
        <v>211.73496876045</v>
      </c>
      <c r="J992" s="2" t="n">
        <v>0.63664457</v>
      </c>
      <c r="K992" s="2" t="n">
        <f aca="false">IF(K$7=K$5,K$6,IF(NORMSDIST(K$9*SQRT($C$11)*NORMSINV($B992)+SQRT(1-K$9^2*$C$11)*NORMSINV(J992))&lt;K$8,K$5+SQRT(NORMSDIST(K$9*SQRT($C$11)*NORMSINV($B992)+SQRT(1-K$9^2*$C$11)*NORMSINV(J992))*(K$7-K$5)*(K$6-K$5)),K$7-SQRT((1-NORMSDIST(K$9*SQRT($C$11)*NORMSINV($B992)+SQRT(1-K$9^2*$C$11)*NORMSINV(J992)))*(K$7-K$5)*(K$7-K$6))))</f>
        <v>0.282990079397819</v>
      </c>
      <c r="L992" s="2" t="n">
        <v>0.224566564</v>
      </c>
      <c r="M992" s="2" t="n">
        <f aca="false">IF(M$7=M$5,M$6,IF(NORMSDIST(M$9*SQRT($C$11)*NORMSINV($B992)+SQRT(1-M$9^2*$C$11)*NORMSINV(L992))&lt;M$8,M$5+SQRT(NORMSDIST(M$9*SQRT($C$11)*NORMSINV($B992)+SQRT(1-M$9^2*$C$11)*NORMSINV(L992))*(M$7-M$5)*(M$6-M$5)),M$7-SQRT((1-NORMSDIST(M$9*SQRT($C$11)*NORMSINV($B992)+SQRT(1-M$9^2*$C$11)*NORMSINV(L992)))*(M$7-M$5)*(M$7-M$6))))</f>
        <v>1519.40293216128</v>
      </c>
      <c r="N992" s="2" t="n">
        <v>0.827766831</v>
      </c>
      <c r="O992" s="2" t="n">
        <f aca="false">IF(O$7=O$5,O$6,IF(NORMSDIST(O$9*SQRT($C$11)*NORMSINV($B992)+SQRT(1-O$9^2*$C$11)*NORMSINV(N992))&lt;O$8,O$5+SQRT(NORMSDIST(O$9*SQRT($C$11)*NORMSINV($B992)+SQRT(1-O$9^2*$C$11)*NORMSINV(N992))*(O$7-O$5)*(O$6-O$5)),O$7-SQRT((1-NORMSDIST(O$9*SQRT($C$11)*NORMSINV($B992)+SQRT(1-O$9^2*$C$11)*NORMSINV(N992)))*(O$7-O$5)*(O$7-O$6))))</f>
        <v>0.174726904465479</v>
      </c>
      <c r="P992" s="2" t="n">
        <v>0.323530519</v>
      </c>
      <c r="Q992" s="2" t="n">
        <f aca="false">IF(Q$7=Q$5,Q$6,IF(NORMSDIST(Q$9*SQRT($C$11)*NORMSINV($B992)+SQRT(1-Q$9^2*$C$11)*NORMSINV(P992))&lt;Q$8,Q$5+SQRT(NORMSDIST(Q$9*SQRT($C$11)*NORMSINV($B992)+SQRT(1-Q$9^2*$C$11)*NORMSINV(P992))*(Q$7-Q$5)*(Q$6-Q$5)),Q$7-SQRT((1-NORMSDIST(Q$9*SQRT($C$11)*NORMSINV($B992)+SQRT(1-Q$9^2*$C$11)*NORMSINV(P992)))*(Q$7-Q$5)*(Q$7-Q$6))))</f>
        <v>0.07217604172051</v>
      </c>
      <c r="R992" s="2" t="n">
        <v>0.138745153</v>
      </c>
      <c r="S992" s="2" t="n">
        <f aca="false">IF(S$7=S$5,S$6,IF(NORMSDIST(S$9*SQRT($C$11)*NORMSINV($B992)+SQRT(1-S$9^2*$C$11)*NORMSINV(R992))&lt;S$8,S$5+SQRT(NORMSDIST(S$9*SQRT($C$11)*NORMSINV($B992)+SQRT(1-S$9^2*$C$11)*NORMSINV(R992))*(S$7-S$5)*(S$6-S$5)),S$7-SQRT((1-NORMSDIST(S$9*SQRT($C$11)*NORMSINV($B992)+SQRT(1-S$9^2*$C$11)*NORMSINV(R992)))*(S$7-S$5)*(S$7-S$6))))</f>
        <v>0.325937191956919</v>
      </c>
      <c r="T992" s="2" t="n">
        <v>0.960307255</v>
      </c>
      <c r="U992" s="2" t="n">
        <f aca="false">IF(U$7=U$5,U$6,IF(NORMSDIST(U$9*SQRT($C$11)*NORMSINV($B992)+SQRT(1-U$9^2*$C$11)*NORMSINV(T992))&lt;U$8,U$5+SQRT(NORMSDIST(U$9*SQRT($C$11)*NORMSINV($B992)+SQRT(1-U$9^2*$C$11)*NORMSINV(T992))*(U$7-U$5)*(U$6-U$5)),U$7-SQRT((1-NORMSDIST(U$9*SQRT($C$11)*NORMSINV($B992)+SQRT(1-U$9^2*$C$11)*NORMSINV(T992)))*(U$7-U$5)*(U$7-U$6))))</f>
        <v>0.799458268669162</v>
      </c>
      <c r="V992" s="2" t="n">
        <v>0.681647809</v>
      </c>
      <c r="W992" s="2" t="n">
        <f aca="false">IF(W$7=W$5,W$6,IF(NORMSDIST(W$9*SQRT($C$11)*NORMSINV($B992)+SQRT(1-W$9^2*$C$11)*NORMSINV(V992))&lt;W$8,W$5+SQRT(NORMSDIST(W$9*SQRT($C$11)*NORMSINV($B992)+SQRT(1-W$9^2*$C$11)*NORMSINV(V992))*(W$7-W$5)*(W$6-W$5)),W$7-SQRT((1-NORMSDIST(W$9*SQRT($C$11)*NORMSINV($B992)+SQRT(1-W$9^2*$C$11)*NORMSINV(V992)))*(W$7-W$5)*(W$7-W$6))))</f>
        <v>10.3478259031695</v>
      </c>
      <c r="X992" s="2" t="n">
        <v>0.411588432</v>
      </c>
      <c r="Y992" s="2" t="n">
        <f aca="false">IF(Y$7=Y$5,Y$6,IF(NORMSDIST(Y$9*SQRT($C$11)*NORMSINV($B992)+SQRT(1-Y$9^2*$C$11)*NORMSINV(X992))&lt;Y$8,Y$5+SQRT(NORMSDIST(Y$9*SQRT($C$11)*NORMSINV($B992)+SQRT(1-Y$9^2*$C$11)*NORMSINV(X992))*(Y$7-Y$5)*(Y$6-Y$5)),Y$7-SQRT((1-NORMSDIST(Y$9*SQRT($C$11)*NORMSINV($B992)+SQRT(1-Y$9^2*$C$11)*NORMSINV(X992)))*(Y$7-Y$5)*(Y$7-Y$6))))</f>
        <v>0.453645473911071</v>
      </c>
      <c r="Z992" s="2" t="n">
        <v>0.447292775</v>
      </c>
      <c r="AA992" s="2" t="n">
        <f aca="false">IF(AA$7=AA$5,AA$6,IF(NORMSDIST(AA$9*SQRT($C$11)*NORMSINV($B992)+SQRT(1-AA$9^2*$C$11)*NORMSINV(Z992))&lt;AA$8,AA$5+SQRT(NORMSDIST(AA$9*SQRT($C$11)*NORMSINV($B992)+SQRT(1-AA$9^2*$C$11)*NORMSINV(Z992))*(AA$7-AA$5)*(AA$6-AA$5)),AA$7-SQRT((1-NORMSDIST(AA$9*SQRT($C$11)*NORMSINV($B992)+SQRT(1-AA$9^2*$C$11)*NORMSINV(Z992)))*(AA$7-AA$5)*(AA$7-AA$6))))</f>
        <v>0.727267771281611</v>
      </c>
      <c r="AB992" s="2" t="n">
        <v>0.053712127</v>
      </c>
      <c r="AC992" s="2" t="n">
        <f aca="false">IF(AC$7=AC$5,AC$6,IF(NORMSDIST(AC$9*SQRT($C$11)*NORMSINV($B992)+SQRT(1-AC$9^2*$C$11)*NORMSINV(AB992))&lt;AC$8,AC$5+SQRT(NORMSDIST(AC$9*SQRT($C$11)*NORMSINV($B992)+SQRT(1-AC$9^2*$C$11)*NORMSINV(AB992))*(AC$7-AC$5)*(AC$6-AC$5)),AC$7-SQRT((1-NORMSDIST(AC$9*SQRT($C$11)*NORMSINV($B992)+SQRT(1-AC$9^2*$C$11)*NORMSINV(AB992)))*(AC$7-AC$5)*(AC$7-AC$6))))</f>
        <v>8.39399038866216</v>
      </c>
      <c r="AD992" s="2" t="n">
        <f aca="false">Entrées!$C$8*(1+E992)</f>
        <v>7421.51187723437</v>
      </c>
      <c r="AE992" s="2" t="n">
        <f aca="false">I992*Hypothèses!$J$24/12/Hypothèses!$J$19</f>
        <v>105.041040317928</v>
      </c>
      <c r="AF992" s="2" t="n">
        <f aca="false">Entrées!$C$36*S992*1000</f>
        <v>162.968595978459</v>
      </c>
      <c r="AG992" s="2" t="n">
        <f aca="false">-AF992/W992</f>
        <v>-15.7490662776364</v>
      </c>
      <c r="AH992" s="2" t="n">
        <f aca="false">AD992+AE992+AG992</f>
        <v>7510.80385127466</v>
      </c>
      <c r="AI992" s="2" t="n">
        <f aca="false">Entrées!$C$16-M992+Hypothèses!$J$22*1000-AF992+Hypothèses!$J$23</f>
        <v>22865.6284718603</v>
      </c>
      <c r="AJ992" s="2" t="n">
        <f aca="false">AI992/AH992</f>
        <v>3.04436501400309</v>
      </c>
      <c r="AK992" s="2" t="n">
        <f aca="false">AI992/(AH992+I992*(12-Hypothèses!$J$24)/12/Hypothèses!$J$19)</f>
        <v>3.0142540670398</v>
      </c>
      <c r="AL992" s="2" t="n">
        <f aca="false">(AD992+AG992+I992/Hypothèses!$J$19)*(1+G992)</f>
        <v>8091.76257750156</v>
      </c>
      <c r="AM992" s="2" t="n">
        <f aca="false">Entrées!$C$54*K992/Hypothèses!$J$19</f>
        <v>28.8803258011076</v>
      </c>
      <c r="AN992" s="2" t="n">
        <f aca="false">Y992*1000/AC992</f>
        <v>54.044078311528</v>
      </c>
      <c r="AO992" s="2" t="n">
        <f aca="false">(Entrées!$C$36*(1-S992)+MAX(0,Entrées!$C$30-Entrées!$C$35-Entrées!$C$36)*U992)*1000</f>
        <v>1456.27298015837</v>
      </c>
      <c r="AP992" s="2" t="n">
        <f aca="false">-AO992/W992</f>
        <v>-140.73226528795</v>
      </c>
      <c r="AQ992" s="2" t="n">
        <f aca="false">AL992+AM992+AN992+AP992</f>
        <v>8033.95471632624</v>
      </c>
      <c r="AR992" s="2" t="n">
        <f aca="false">O992*AQ992-Hypothèses!$J$25/Hypothèses!$J$19</f>
        <v>1384.61287593789</v>
      </c>
      <c r="AS992" s="2" t="n">
        <f aca="false">Entrées!$C$79*(1+Q992)+Hypothèses!$J$20</f>
        <v>1473.32146985084</v>
      </c>
      <c r="AT992" s="2" t="n">
        <f aca="false">AI992-AR992+AS992+Y992*1000-AO992+Hypothèses!$J$23</f>
        <v>21951.7095595259</v>
      </c>
      <c r="AU992" s="2" t="n">
        <f aca="false">AT992/AQ992</f>
        <v>2.73236660332633</v>
      </c>
      <c r="AV992" s="2" t="n">
        <f aca="false">Hypothèses!$J$26*AQ992-AT992</f>
        <v>2150.15458945282</v>
      </c>
      <c r="AW992" s="2" t="n">
        <f aca="false">IF(AC992&gt;Hypothèses!$J$26,MAX(0,AV992)/(1-Hypothèses!$J$26/AC992),0)</f>
        <v>3346.01578006913</v>
      </c>
      <c r="AX992" s="2" t="n">
        <f aca="false">AQ992-Entrées!$C$17*1000</f>
        <v>33.9547163262441</v>
      </c>
      <c r="AY992" s="2" t="n">
        <f aca="false">AI992+(Entrées!$C$244-Entrées!$C$13)</f>
        <v>28612.6284718603</v>
      </c>
      <c r="AZ992" s="2" t="n">
        <f aca="false">AA992*AH992</f>
        <v>5462.36557744986</v>
      </c>
      <c r="BA992" s="2" t="n">
        <f aca="false">AZ992/AY992</f>
        <v>0.190907507250582</v>
      </c>
      <c r="BB992" s="2" t="n">
        <f aca="false">AZ992/(Entrées!$C$151/100)-AY992</f>
        <v>1733.84695841675</v>
      </c>
      <c r="BC992" s="2" t="n">
        <f aca="false">AT992+(Entrées!$C$244-Entrées!$C$13)</f>
        <v>27698.7095595259</v>
      </c>
      <c r="BD992" s="2" t="n">
        <f aca="false">AA992*AQ992</f>
        <v>5842.83634111998</v>
      </c>
      <c r="BE992" s="2" t="n">
        <f aca="false">BD992/BC992</f>
        <v>0.210942546928529</v>
      </c>
      <c r="BF992" s="2" t="n">
        <f aca="false">BD992/(Entrées!$C$151/100)-BC992</f>
        <v>4761.49233558507</v>
      </c>
      <c r="BG992" s="2" t="n">
        <f aca="false">MIN(AV992,BF992)</f>
        <v>2150.15458945282</v>
      </c>
      <c r="BH992" s="2" t="n">
        <f aca="false">IF(AC992&gt;Hypothèses!$J$26,MAX(0,BG992)/(1-Hypothèses!$J$26/AC992),0)</f>
        <v>3346.01578006913</v>
      </c>
    </row>
    <row r="993" customFormat="false" ht="15" hidden="false" customHeight="false" outlineLevel="0" collapsed="false">
      <c r="A993" s="2" t="n">
        <v>978</v>
      </c>
      <c r="B993" s="2" t="n">
        <v>0.930777358</v>
      </c>
      <c r="C993" s="2"/>
      <c r="D993" s="2" t="n">
        <v>0.581251528</v>
      </c>
      <c r="E993" s="2" t="n">
        <f aca="false">IF(E$7=E$5,E$6,IF(NORMSDIST(E$9*SQRT($C$11)*NORMSINV($B993)+SQRT(1-E$9^2*$C$11)*NORMSINV(D993))&lt;E$8,E$5+SQRT(NORMSDIST(E$9*SQRT($C$11)*NORMSINV($B993)+SQRT(1-E$9^2*$C$11)*NORMSINV(D993))*(E$7-E$5)*(E$6-E$5)),E$7-SQRT((1-NORMSDIST(E$9*SQRT($C$11)*NORMSINV($B993)+SQRT(1-E$9^2*$C$11)*NORMSINV(D993)))*(E$7-E$5)*(E$7-E$6))))</f>
        <v>0.0573869781447174</v>
      </c>
      <c r="F993" s="2" t="n">
        <v>0.769119634</v>
      </c>
      <c r="G993" s="2" t="n">
        <f aca="false">IF(G$7=G$5,G$6,IF(NORMSDIST(G$9*SQRT($C$11)*NORMSINV($B993)+SQRT(1-G$9^2*$C$11)*NORMSINV(F993))&lt;G$8,G$5+SQRT(NORMSDIST(G$9*SQRT($C$11)*NORMSINV($B993)+SQRT(1-G$9^2*$C$11)*NORMSINV(F993))*(G$7-G$5)*(G$6-G$5)),G$7-SQRT((1-NORMSDIST(G$9*SQRT($C$11)*NORMSINV($B993)+SQRT(1-G$9^2*$C$11)*NORMSINV(F993)))*(G$7-G$5)*(G$7-G$6))))</f>
        <v>0.0645547458729211</v>
      </c>
      <c r="H993" s="2" t="n">
        <v>0.495014296</v>
      </c>
      <c r="I993" s="2" t="n">
        <f aca="false">IF(I$7=I$5,I$6,IF(NORMSDIST(I$9*SQRT($C$11)*NORMSINV($B993)+SQRT(1-I$9^2*$C$11)*NORMSINV(H993))&lt;I$8,I$5+SQRT(NORMSDIST(I$9*SQRT($C$11)*NORMSINV($B993)+SQRT(1-I$9^2*$C$11)*NORMSINV(H993))*(I$7-I$5)*(I$6-I$5)),I$7-SQRT((1-NORMSDIST(I$9*SQRT($C$11)*NORMSINV($B993)+SQRT(1-I$9^2*$C$11)*NORMSINV(H993)))*(I$7-I$5)*(I$7-I$6))))</f>
        <v>208.104875246207</v>
      </c>
      <c r="J993" s="2" t="n">
        <v>0.972752878</v>
      </c>
      <c r="K993" s="2" t="n">
        <f aca="false">IF(K$7=K$5,K$6,IF(NORMSDIST(K$9*SQRT($C$11)*NORMSINV($B993)+SQRT(1-K$9^2*$C$11)*NORMSINV(J993))&lt;K$8,K$5+SQRT(NORMSDIST(K$9*SQRT($C$11)*NORMSINV($B993)+SQRT(1-K$9^2*$C$11)*NORMSINV(J993))*(K$7-K$5)*(K$6-K$5)),K$7-SQRT((1-NORMSDIST(K$9*SQRT($C$11)*NORMSINV($B993)+SQRT(1-K$9^2*$C$11)*NORMSINV(J993)))*(K$7-K$5)*(K$7-K$6))))</f>
        <v>0.469132573714201</v>
      </c>
      <c r="L993" s="2" t="n">
        <v>0.593586502</v>
      </c>
      <c r="M993" s="2" t="n">
        <f aca="false">IF(M$7=M$5,M$6,IF(NORMSDIST(M$9*SQRT($C$11)*NORMSINV($B993)+SQRT(1-M$9^2*$C$11)*NORMSINV(L993))&lt;M$8,M$5+SQRT(NORMSDIST(M$9*SQRT($C$11)*NORMSINV($B993)+SQRT(1-M$9^2*$C$11)*NORMSINV(L993))*(M$7-M$5)*(M$6-M$5)),M$7-SQRT((1-NORMSDIST(M$9*SQRT($C$11)*NORMSINV($B993)+SQRT(1-M$9^2*$C$11)*NORMSINV(L993)))*(M$7-M$5)*(M$7-M$6))))</f>
        <v>1689.67752237269</v>
      </c>
      <c r="N993" s="2" t="n">
        <v>0.049031082</v>
      </c>
      <c r="O993" s="2" t="n">
        <f aca="false">IF(O$7=O$5,O$6,IF(NORMSDIST(O$9*SQRT($C$11)*NORMSINV($B993)+SQRT(1-O$9^2*$C$11)*NORMSINV(N993))&lt;O$8,O$5+SQRT(NORMSDIST(O$9*SQRT($C$11)*NORMSINV($B993)+SQRT(1-O$9^2*$C$11)*NORMSINV(N993))*(O$7-O$5)*(O$6-O$5)),O$7-SQRT((1-NORMSDIST(O$9*SQRT($C$11)*NORMSINV($B993)+SQRT(1-O$9^2*$C$11)*NORMSINV(N993)))*(O$7-O$5)*(O$7-O$6))))</f>
        <v>0.162893436798945</v>
      </c>
      <c r="P993" s="2" t="n">
        <v>0.888835534</v>
      </c>
      <c r="Q993" s="2" t="n">
        <f aca="false">IF(Q$7=Q$5,Q$6,IF(NORMSDIST(Q$9*SQRT($C$11)*NORMSINV($B993)+SQRT(1-Q$9^2*$C$11)*NORMSINV(P993))&lt;Q$8,Q$5+SQRT(NORMSDIST(Q$9*SQRT($C$11)*NORMSINV($B993)+SQRT(1-Q$9^2*$C$11)*NORMSINV(P993))*(Q$7-Q$5)*(Q$6-Q$5)),Q$7-SQRT((1-NORMSDIST(Q$9*SQRT($C$11)*NORMSINV($B993)+SQRT(1-Q$9^2*$C$11)*NORMSINV(P993)))*(Q$7-Q$5)*(Q$7-Q$6))))</f>
        <v>0.101139292399276</v>
      </c>
      <c r="R993" s="2" t="n">
        <v>0.631437296</v>
      </c>
      <c r="S993" s="2" t="n">
        <f aca="false">IF(S$7=S$5,S$6,IF(NORMSDIST(S$9*SQRT($C$11)*NORMSINV($B993)+SQRT(1-S$9^2*$C$11)*NORMSINV(R993))&lt;S$8,S$5+SQRT(NORMSDIST(S$9*SQRT($C$11)*NORMSINV($B993)+SQRT(1-S$9^2*$C$11)*NORMSINV(R993))*(S$7-S$5)*(S$6-S$5)),S$7-SQRT((1-NORMSDIST(S$9*SQRT($C$11)*NORMSINV($B993)+SQRT(1-S$9^2*$C$11)*NORMSINV(R993)))*(S$7-S$5)*(S$7-S$6))))</f>
        <v>0.759538967513275</v>
      </c>
      <c r="T993" s="2" t="n">
        <v>0.08243451</v>
      </c>
      <c r="U993" s="2" t="n">
        <f aca="false">IF(U$7=U$5,U$6,IF(NORMSDIST(U$9*SQRT($C$11)*NORMSINV($B993)+SQRT(1-U$9^2*$C$11)*NORMSINV(T993))&lt;U$8,U$5+SQRT(NORMSDIST(U$9*SQRT($C$11)*NORMSINV($B993)+SQRT(1-U$9^2*$C$11)*NORMSINV(T993))*(U$7-U$5)*(U$6-U$5)),U$7-SQRT((1-NORMSDIST(U$9*SQRT($C$11)*NORMSINV($B993)+SQRT(1-U$9^2*$C$11)*NORMSINV(T993)))*(U$7-U$5)*(U$7-U$6))))</f>
        <v>0.471600920295599</v>
      </c>
      <c r="V993" s="2" t="n">
        <v>0.871394018</v>
      </c>
      <c r="W993" s="2" t="n">
        <f aca="false">IF(W$7=W$5,W$6,IF(NORMSDIST(W$9*SQRT($C$11)*NORMSINV($B993)+SQRT(1-W$9^2*$C$11)*NORMSINV(V993))&lt;W$8,W$5+SQRT(NORMSDIST(W$9*SQRT($C$11)*NORMSINV($B993)+SQRT(1-W$9^2*$C$11)*NORMSINV(V993))*(W$7-W$5)*(W$6-W$5)),W$7-SQRT((1-NORMSDIST(W$9*SQRT($C$11)*NORMSINV($B993)+SQRT(1-W$9^2*$C$11)*NORMSINV(V993)))*(W$7-W$5)*(W$7-W$6))))</f>
        <v>11.4724609945059</v>
      </c>
      <c r="X993" s="2" t="n">
        <v>0.814870266</v>
      </c>
      <c r="Y993" s="2" t="n">
        <f aca="false">IF(Y$7=Y$5,Y$6,IF(NORMSDIST(Y$9*SQRT($C$11)*NORMSINV($B993)+SQRT(1-Y$9^2*$C$11)*NORMSINV(X993))&lt;Y$8,Y$5+SQRT(NORMSDIST(Y$9*SQRT($C$11)*NORMSINV($B993)+SQRT(1-Y$9^2*$C$11)*NORMSINV(X993))*(Y$7-Y$5)*(Y$6-Y$5)),Y$7-SQRT((1-NORMSDIST(Y$9*SQRT($C$11)*NORMSINV($B993)+SQRT(1-Y$9^2*$C$11)*NORMSINV(X993)))*(Y$7-Y$5)*(Y$7-Y$6))))</f>
        <v>0.695755251483284</v>
      </c>
      <c r="Z993" s="2" t="n">
        <v>0.784352805</v>
      </c>
      <c r="AA993" s="2" t="n">
        <f aca="false">IF(AA$7=AA$5,AA$6,IF(NORMSDIST(AA$9*SQRT($C$11)*NORMSINV($B993)+SQRT(1-AA$9^2*$C$11)*NORMSINV(Z993))&lt;AA$8,AA$5+SQRT(NORMSDIST(AA$9*SQRT($C$11)*NORMSINV($B993)+SQRT(1-AA$9^2*$C$11)*NORMSINV(Z993))*(AA$7-AA$5)*(AA$6-AA$5)),AA$7-SQRT((1-NORMSDIST(AA$9*SQRT($C$11)*NORMSINV($B993)+SQRT(1-AA$9^2*$C$11)*NORMSINV(Z993)))*(AA$7-AA$5)*(AA$7-AA$6))))</f>
        <v>0.745018290215213</v>
      </c>
      <c r="AB993" s="2" t="n">
        <v>0.148757349</v>
      </c>
      <c r="AC993" s="2" t="n">
        <f aca="false">IF(AC$7=AC$5,AC$6,IF(NORMSDIST(AC$9*SQRT($C$11)*NORMSINV($B993)+SQRT(1-AC$9^2*$C$11)*NORMSINV(AB993))&lt;AC$8,AC$5+SQRT(NORMSDIST(AC$9*SQRT($C$11)*NORMSINV($B993)+SQRT(1-AC$9^2*$C$11)*NORMSINV(AB993))*(AC$7-AC$5)*(AC$6-AC$5)),AC$7-SQRT((1-NORMSDIST(AC$9*SQRT($C$11)*NORMSINV($B993)+SQRT(1-AC$9^2*$C$11)*NORMSINV(AB993)))*(AC$7-AC$5)*(AC$7-AC$6))))</f>
        <v>9.58337981960973</v>
      </c>
      <c r="AD993" s="2" t="n">
        <f aca="false">Entrées!$C$8*(1+E993)</f>
        <v>7454.57819592026</v>
      </c>
      <c r="AE993" s="2" t="n">
        <f aca="false">I993*Hypothèses!$J$24/12/Hypothèses!$J$19</f>
        <v>103.240162544078</v>
      </c>
      <c r="AF993" s="2" t="n">
        <f aca="false">Entrées!$C$36*S993*1000</f>
        <v>379.769483756637</v>
      </c>
      <c r="AG993" s="2" t="n">
        <f aca="false">-AF993/W993</f>
        <v>-33.1027042879907</v>
      </c>
      <c r="AH993" s="2" t="n">
        <f aca="false">AD993+AE993+AG993</f>
        <v>7524.71565417635</v>
      </c>
      <c r="AI993" s="2" t="n">
        <f aca="false">Entrées!$C$16-M993+Hypothèses!$J$22*1000-AF993+Hypothèses!$J$23</f>
        <v>22478.5529938707</v>
      </c>
      <c r="AJ993" s="2" t="n">
        <f aca="false">AI993/AH993</f>
        <v>2.98729600252665</v>
      </c>
      <c r="AK993" s="2" t="n">
        <f aca="false">AI993/(AH993+I993*(12-Hypothèses!$J$24)/12/Hypothèses!$J$19)</f>
        <v>2.95830432145116</v>
      </c>
      <c r="AL993" s="2" t="n">
        <f aca="false">(AD993+AG993+I993/Hypothèses!$J$19)*(1+G993)</f>
        <v>8088.97519314125</v>
      </c>
      <c r="AM993" s="2" t="n">
        <f aca="false">Entrées!$C$54*K993/Hypothèses!$J$19</f>
        <v>47.8769489079223</v>
      </c>
      <c r="AN993" s="2" t="n">
        <f aca="false">Y993*1000/AC993</f>
        <v>72.6001958160537</v>
      </c>
      <c r="AO993" s="2" t="n">
        <f aca="false">(Entrées!$C$36*(1-S993)+MAX(0,Entrées!$C$30-Entrées!$C$35-Entrées!$C$36)*U993)*1000</f>
        <v>780.471804657202</v>
      </c>
      <c r="AP993" s="2" t="n">
        <f aca="false">-AO993/W993</f>
        <v>-68.0300246852846</v>
      </c>
      <c r="AQ993" s="2" t="n">
        <f aca="false">AL993+AM993+AN993+AP993</f>
        <v>8141.42231317995</v>
      </c>
      <c r="AR993" s="2" t="n">
        <f aca="false">O993*AQ993-Hypothèses!$J$25/Hypothèses!$J$19</f>
        <v>1307.04909876387</v>
      </c>
      <c r="AS993" s="2" t="n">
        <f aca="false">Entrées!$C$79*(1+Q993)+Hypothèses!$J$20</f>
        <v>1505.1520823468</v>
      </c>
      <c r="AT993" s="2" t="n">
        <f aca="false">AI993-AR993+AS993+Y993*1000-AO993+Hypothèses!$J$23</f>
        <v>22591.9394242797</v>
      </c>
      <c r="AU993" s="2" t="n">
        <f aca="false">AT993/AQ993</f>
        <v>2.77493766509399</v>
      </c>
      <c r="AV993" s="2" t="n">
        <f aca="false">Hypothèses!$J$26*AQ993-AT993</f>
        <v>1832.32751526015</v>
      </c>
      <c r="AW993" s="2" t="n">
        <f aca="false">IF(AC993&gt;Hypothèses!$J$26,MAX(0,AV993)/(1-Hypothèses!$J$26/AC993),0)</f>
        <v>2667.30630980071</v>
      </c>
      <c r="AX993" s="2" t="n">
        <f aca="false">AQ993-Entrées!$C$17*1000</f>
        <v>141.422313179945</v>
      </c>
      <c r="AY993" s="2" t="n">
        <f aca="false">AI993+(Entrées!$C$244-Entrées!$C$13)</f>
        <v>28225.5529938707</v>
      </c>
      <c r="AZ993" s="2" t="n">
        <f aca="false">AA993*AH993</f>
        <v>5606.05079103011</v>
      </c>
      <c r="BA993" s="2" t="n">
        <f aca="false">AZ993/AY993</f>
        <v>0.198616154384911</v>
      </c>
      <c r="BB993" s="2" t="n">
        <f aca="false">AZ993/(Entrées!$C$151/100)-AY993</f>
        <v>2919.17362296327</v>
      </c>
      <c r="BC993" s="2" t="n">
        <f aca="false">AT993+(Entrées!$C$244-Entrées!$C$13)</f>
        <v>28338.9394242797</v>
      </c>
      <c r="BD993" s="2" t="n">
        <f aca="false">AA993*AQ993</f>
        <v>6065.50853168531</v>
      </c>
      <c r="BE993" s="2" t="n">
        <f aca="false">BD993/BC993</f>
        <v>0.214034422420502</v>
      </c>
      <c r="BF993" s="2" t="n">
        <f aca="false">BD993/(Entrées!$C$151/100)-BC993</f>
        <v>5358.33019619424</v>
      </c>
      <c r="BG993" s="2" t="n">
        <f aca="false">MIN(AV993,BF993)</f>
        <v>1832.32751526015</v>
      </c>
      <c r="BH993" s="2" t="n">
        <f aca="false">IF(AC993&gt;Hypothèses!$J$26,MAX(0,BG993)/(1-Hypothèses!$J$26/AC993),0)</f>
        <v>2667.30630980071</v>
      </c>
    </row>
    <row r="994" customFormat="false" ht="15" hidden="false" customHeight="false" outlineLevel="0" collapsed="false">
      <c r="A994" s="2" t="n">
        <v>979</v>
      </c>
      <c r="B994" s="2" t="n">
        <v>0.584697023</v>
      </c>
      <c r="C994" s="2"/>
      <c r="D994" s="2" t="n">
        <v>0.453900061</v>
      </c>
      <c r="E994" s="2" t="n">
        <f aca="false">IF(E$7=E$5,E$6,IF(NORMSDIST(E$9*SQRT($C$11)*NORMSINV($B994)+SQRT(1-E$9^2*$C$11)*NORMSINV(D994))&lt;E$8,E$5+SQRT(NORMSDIST(E$9*SQRT($C$11)*NORMSINV($B994)+SQRT(1-E$9^2*$C$11)*NORMSINV(D994))*(E$7-E$5)*(E$6-E$5)),E$7-SQRT((1-NORMSDIST(E$9*SQRT($C$11)*NORMSINV($B994)+SQRT(1-E$9^2*$C$11)*NORMSINV(D994)))*(E$7-E$5)*(E$7-E$6))))</f>
        <v>0.0550917466389151</v>
      </c>
      <c r="F994" s="2" t="n">
        <v>0.694248375</v>
      </c>
      <c r="G994" s="2" t="n">
        <f aca="false">IF(G$7=G$5,G$6,IF(NORMSDIST(G$9*SQRT($C$11)*NORMSINV($B994)+SQRT(1-G$9^2*$C$11)*NORMSINV(F994))&lt;G$8,G$5+SQRT(NORMSDIST(G$9*SQRT($C$11)*NORMSINV($B994)+SQRT(1-G$9^2*$C$11)*NORMSINV(F994))*(G$7-G$5)*(G$6-G$5)),G$7-SQRT((1-NORMSDIST(G$9*SQRT($C$11)*NORMSINV($B994)+SQRT(1-G$9^2*$C$11)*NORMSINV(F994)))*(G$7-G$5)*(G$7-G$6))))</f>
        <v>0.0584102558641702</v>
      </c>
      <c r="H994" s="2" t="n">
        <v>0.993599746</v>
      </c>
      <c r="I994" s="2" t="n">
        <f aca="false">IF(I$7=I$5,I$6,IF(NORMSDIST(I$9*SQRT($C$11)*NORMSINV($B994)+SQRT(1-I$9^2*$C$11)*NORMSINV(H994))&lt;I$8,I$5+SQRT(NORMSDIST(I$9*SQRT($C$11)*NORMSINV($B994)+SQRT(1-I$9^2*$C$11)*NORMSINV(H994))*(I$7-I$5)*(I$6-I$5)),I$7-SQRT((1-NORMSDIST(I$9*SQRT($C$11)*NORMSINV($B994)+SQRT(1-I$9^2*$C$11)*NORMSINV(H994)))*(I$7-I$5)*(I$7-I$6))))</f>
        <v>216.046919692701</v>
      </c>
      <c r="J994" s="2" t="n">
        <v>0.754590504</v>
      </c>
      <c r="K994" s="2" t="n">
        <f aca="false">IF(K$7=K$5,K$6,IF(NORMSDIST(K$9*SQRT($C$11)*NORMSINV($B994)+SQRT(1-K$9^2*$C$11)*NORMSINV(J994))&lt;K$8,K$5+SQRT(NORMSDIST(K$9*SQRT($C$11)*NORMSINV($B994)+SQRT(1-K$9^2*$C$11)*NORMSINV(J994))*(K$7-K$5)*(K$6-K$5)),K$7-SQRT((1-NORMSDIST(K$9*SQRT($C$11)*NORMSINV($B994)+SQRT(1-K$9^2*$C$11)*NORMSINV(J994)))*(K$7-K$5)*(K$7-K$6))))</f>
        <v>0.322606471449654</v>
      </c>
      <c r="L994" s="2" t="n">
        <v>0.882323554</v>
      </c>
      <c r="M994" s="2" t="n">
        <f aca="false">IF(M$7=M$5,M$6,IF(NORMSDIST(M$9*SQRT($C$11)*NORMSINV($B994)+SQRT(1-M$9^2*$C$11)*NORMSINV(L994))&lt;M$8,M$5+SQRT(NORMSDIST(M$9*SQRT($C$11)*NORMSINV($B994)+SQRT(1-M$9^2*$C$11)*NORMSINV(L994))*(M$7-M$5)*(M$6-M$5)),M$7-SQRT((1-NORMSDIST(M$9*SQRT($C$11)*NORMSINV($B994)+SQRT(1-M$9^2*$C$11)*NORMSINV(L994)))*(M$7-M$5)*(M$7-M$6))))</f>
        <v>1684.15393786281</v>
      </c>
      <c r="N994" s="2" t="n">
        <v>0.612448019</v>
      </c>
      <c r="O994" s="2" t="n">
        <f aca="false">IF(O$7=O$5,O$6,IF(NORMSDIST(O$9*SQRT($C$11)*NORMSINV($B994)+SQRT(1-O$9^2*$C$11)*NORMSINV(N994))&lt;O$8,O$5+SQRT(NORMSDIST(O$9*SQRT($C$11)*NORMSINV($B994)+SQRT(1-O$9^2*$C$11)*NORMSINV(N994))*(O$7-O$5)*(O$6-O$5)),O$7-SQRT((1-NORMSDIST(O$9*SQRT($C$11)*NORMSINV($B994)+SQRT(1-O$9^2*$C$11)*NORMSINV(N994)))*(O$7-O$5)*(O$7-O$6))))</f>
        <v>0.170398856230325</v>
      </c>
      <c r="P994" s="2" t="n">
        <v>0.631478226</v>
      </c>
      <c r="Q994" s="2" t="n">
        <f aca="false">IF(Q$7=Q$5,Q$6,IF(NORMSDIST(Q$9*SQRT($C$11)*NORMSINV($B994)+SQRT(1-Q$9^2*$C$11)*NORMSINV(P994))&lt;Q$8,Q$5+SQRT(NORMSDIST(Q$9*SQRT($C$11)*NORMSINV($B994)+SQRT(1-Q$9^2*$C$11)*NORMSINV(P994))*(Q$7-Q$5)*(Q$6-Q$5)),Q$7-SQRT((1-NORMSDIST(Q$9*SQRT($C$11)*NORMSINV($B994)+SQRT(1-Q$9^2*$C$11)*NORMSINV(P994)))*(Q$7-Q$5)*(Q$7-Q$6))))</f>
        <v>0.08565950383585</v>
      </c>
      <c r="R994" s="2" t="n">
        <v>0.865212596</v>
      </c>
      <c r="S994" s="2" t="n">
        <f aca="false">IF(S$7=S$5,S$6,IF(NORMSDIST(S$9*SQRT($C$11)*NORMSINV($B994)+SQRT(1-S$9^2*$C$11)*NORMSINV(R994))&lt;S$8,S$5+SQRT(NORMSDIST(S$9*SQRT($C$11)*NORMSINV($B994)+SQRT(1-S$9^2*$C$11)*NORMSINV(R994))*(S$7-S$5)*(S$6-S$5)),S$7-SQRT((1-NORMSDIST(S$9*SQRT($C$11)*NORMSINV($B994)+SQRT(1-S$9^2*$C$11)*NORMSINV(R994)))*(S$7-S$5)*(S$7-S$6))))</f>
        <v>0.716302523156517</v>
      </c>
      <c r="T994" s="2" t="n">
        <v>0.223807364</v>
      </c>
      <c r="U994" s="2" t="n">
        <f aca="false">IF(U$7=U$5,U$6,IF(NORMSDIST(U$9*SQRT($C$11)*NORMSINV($B994)+SQRT(1-U$9^2*$C$11)*NORMSINV(T994))&lt;U$8,U$5+SQRT(NORMSDIST(U$9*SQRT($C$11)*NORMSINV($B994)+SQRT(1-U$9^2*$C$11)*NORMSINV(T994))*(U$7-U$5)*(U$6-U$5)),U$7-SQRT((1-NORMSDIST(U$9*SQRT($C$11)*NORMSINV($B994)+SQRT(1-U$9^2*$C$11)*NORMSINV(T994)))*(U$7-U$5)*(U$7-U$6))))</f>
        <v>0.403298819702805</v>
      </c>
      <c r="V994" s="2" t="n">
        <v>0.140381013</v>
      </c>
      <c r="W994" s="2" t="n">
        <f aca="false">IF(W$7=W$5,W$6,IF(NORMSDIST(W$9*SQRT($C$11)*NORMSINV($B994)+SQRT(1-W$9^2*$C$11)*NORMSINV(V994))&lt;W$8,W$5+SQRT(NORMSDIST(W$9*SQRT($C$11)*NORMSINV($B994)+SQRT(1-W$9^2*$C$11)*NORMSINV(V994))*(W$7-W$5)*(W$6-W$5)),W$7-SQRT((1-NORMSDIST(W$9*SQRT($C$11)*NORMSINV($B994)+SQRT(1-W$9^2*$C$11)*NORMSINV(V994)))*(W$7-W$5)*(W$7-W$6))))</f>
        <v>9.39112773964563</v>
      </c>
      <c r="X994" s="2" t="n">
        <v>0.860164582</v>
      </c>
      <c r="Y994" s="2" t="n">
        <f aca="false">IF(Y$7=Y$5,Y$6,IF(NORMSDIST(Y$9*SQRT($C$11)*NORMSINV($B994)+SQRT(1-Y$9^2*$C$11)*NORMSINV(X994))&lt;Y$8,Y$5+SQRT(NORMSDIST(Y$9*SQRT($C$11)*NORMSINV($B994)+SQRT(1-Y$9^2*$C$11)*NORMSINV(X994))*(Y$7-Y$5)*(Y$6-Y$5)),Y$7-SQRT((1-NORMSDIST(Y$9*SQRT($C$11)*NORMSINV($B994)+SQRT(1-Y$9^2*$C$11)*NORMSINV(X994)))*(Y$7-Y$5)*(Y$7-Y$6))))</f>
        <v>0.735580429998081</v>
      </c>
      <c r="Z994" s="2" t="n">
        <v>0.457308825</v>
      </c>
      <c r="AA994" s="2" t="n">
        <f aca="false">IF(AA$7=AA$5,AA$6,IF(NORMSDIST(AA$9*SQRT($C$11)*NORMSINV($B994)+SQRT(1-AA$9^2*$C$11)*NORMSINV(Z994))&lt;AA$8,AA$5+SQRT(NORMSDIST(AA$9*SQRT($C$11)*NORMSINV($B994)+SQRT(1-AA$9^2*$C$11)*NORMSINV(Z994))*(AA$7-AA$5)*(AA$6-AA$5)),AA$7-SQRT((1-NORMSDIST(AA$9*SQRT($C$11)*NORMSINV($B994)+SQRT(1-AA$9^2*$C$11)*NORMSINV(Z994)))*(AA$7-AA$5)*(AA$7-AA$6))))</f>
        <v>0.728726383924172</v>
      </c>
      <c r="AB994" s="2" t="n">
        <v>0.292289845</v>
      </c>
      <c r="AC994" s="2" t="n">
        <f aca="false">IF(AC$7=AC$5,AC$6,IF(NORMSDIST(AC$9*SQRT($C$11)*NORMSINV($B994)+SQRT(1-AC$9^2*$C$11)*NORMSINV(AB994))&lt;AC$8,AC$5+SQRT(NORMSDIST(AC$9*SQRT($C$11)*NORMSINV($B994)+SQRT(1-AC$9^2*$C$11)*NORMSINV(AB994))*(AC$7-AC$5)*(AC$6-AC$5)),AC$7-SQRT((1-NORMSDIST(AC$9*SQRT($C$11)*NORMSINV($B994)+SQRT(1-AC$9^2*$C$11)*NORMSINV(AB994)))*(AC$7-AC$5)*(AC$7-AC$6))))</f>
        <v>9.22763846383917</v>
      </c>
      <c r="AD994" s="2" t="n">
        <f aca="false">Entrées!$C$8*(1+E994)</f>
        <v>7438.39681380435</v>
      </c>
      <c r="AE994" s="2" t="n">
        <f aca="false">I994*Hypothèses!$J$24/12/Hypothèses!$J$19</f>
        <v>107.180185374482</v>
      </c>
      <c r="AF994" s="2" t="n">
        <f aca="false">Entrées!$C$36*S994*1000</f>
        <v>358.151261578258</v>
      </c>
      <c r="AG994" s="2" t="n">
        <f aca="false">-AF994/W994</f>
        <v>-38.1371941163451</v>
      </c>
      <c r="AH994" s="2" t="n">
        <f aca="false">AD994+AE994+AG994</f>
        <v>7507.43980506249</v>
      </c>
      <c r="AI994" s="2" t="n">
        <f aca="false">Entrées!$C$16-M994+Hypothèses!$J$22*1000-AF994+Hypothèses!$J$23</f>
        <v>22505.6948005589</v>
      </c>
      <c r="AJ994" s="2" t="n">
        <f aca="false">AI994/AH994</f>
        <v>2.99778558136193</v>
      </c>
      <c r="AK994" s="2" t="n">
        <f aca="false">AI994/(AH994+I994*(12-Hypothèses!$J$24)/12/Hypothèses!$J$19)</f>
        <v>2.96752419102721</v>
      </c>
      <c r="AL994" s="2" t="n">
        <f aca="false">(AD994+AG994+I994/Hypothèses!$J$19)*(1+G994)</f>
        <v>8026.98029026517</v>
      </c>
      <c r="AM994" s="2" t="n">
        <f aca="false">Entrées!$C$54*K994/Hypothèses!$J$19</f>
        <v>32.9233449484786</v>
      </c>
      <c r="AN994" s="2" t="n">
        <f aca="false">Y994*1000/AC994</f>
        <v>79.7149165391165</v>
      </c>
      <c r="AO994" s="2" t="n">
        <f aca="false">(Entrées!$C$36*(1-S994)+MAX(0,Entrées!$C$30-Entrées!$C$35-Entrées!$C$36)*U994)*1000</f>
        <v>706.467086005668</v>
      </c>
      <c r="AP994" s="2" t="n">
        <f aca="false">-AO994/W994</f>
        <v>-75.2270766186305</v>
      </c>
      <c r="AQ994" s="2" t="n">
        <f aca="false">AL994+AM994+AN994+AP994</f>
        <v>8064.39147513413</v>
      </c>
      <c r="AR994" s="2" t="n">
        <f aca="false">O994*AQ994-Hypothèses!$J$25/Hypothèses!$J$19</f>
        <v>1355.02792129482</v>
      </c>
      <c r="AS994" s="2" t="n">
        <f aca="false">Entrées!$C$79*(1+Q994)+Hypothèses!$J$20</f>
        <v>1488.1397947156</v>
      </c>
      <c r="AT994" s="2" t="n">
        <f aca="false">AI994-AR994+AS994+Y994*1000-AO994+Hypothèses!$J$23</f>
        <v>22667.9200179721</v>
      </c>
      <c r="AU994" s="2" t="n">
        <f aca="false">AT994/AQ994</f>
        <v>2.81086553001138</v>
      </c>
      <c r="AV994" s="2" t="n">
        <f aca="false">Hypothèses!$J$26*AQ994-AT994</f>
        <v>1525.25440743027</v>
      </c>
      <c r="AW994" s="2" t="n">
        <f aca="false">IF(AC994&gt;Hypothèses!$J$26,MAX(0,AV994)/(1-Hypothèses!$J$26/AC994),0)</f>
        <v>2260.00534855507</v>
      </c>
      <c r="AX994" s="2" t="n">
        <f aca="false">AQ994-Entrées!$C$17*1000</f>
        <v>64.3914751341335</v>
      </c>
      <c r="AY994" s="2" t="n">
        <f aca="false">AI994+(Entrées!$C$244-Entrées!$C$13)</f>
        <v>28252.6948005589</v>
      </c>
      <c r="AZ994" s="2" t="n">
        <f aca="false">AA994*AH994</f>
        <v>5470.86946167158</v>
      </c>
      <c r="BA994" s="2" t="n">
        <f aca="false">AZ994/AY994</f>
        <v>0.193640624382611</v>
      </c>
      <c r="BB994" s="2" t="n">
        <f aca="false">AZ994/(Entrées!$C$151/100)-AY994</f>
        <v>2141.02443094983</v>
      </c>
      <c r="BC994" s="2" t="n">
        <f aca="false">AT994+(Entrées!$C$244-Entrées!$C$13)</f>
        <v>28414.9200179721</v>
      </c>
      <c r="BD994" s="2" t="n">
        <f aca="false">AA994*AQ994</f>
        <v>5876.73483822342</v>
      </c>
      <c r="BE994" s="2" t="n">
        <f aca="false">BD994/BC994</f>
        <v>0.206818630300787</v>
      </c>
      <c r="BF994" s="2" t="n">
        <f aca="false">BD994/(Entrées!$C$151/100)-BC994</f>
        <v>4233.60686104684</v>
      </c>
      <c r="BG994" s="2" t="n">
        <f aca="false">MIN(AV994,BF994)</f>
        <v>1525.25440743027</v>
      </c>
      <c r="BH994" s="2" t="n">
        <f aca="false">IF(AC994&gt;Hypothèses!$J$26,MAX(0,BG994)/(1-Hypothèses!$J$26/AC994),0)</f>
        <v>2260.00534855507</v>
      </c>
    </row>
    <row r="995" customFormat="false" ht="15" hidden="false" customHeight="false" outlineLevel="0" collapsed="false">
      <c r="A995" s="2" t="n">
        <v>980</v>
      </c>
      <c r="B995" s="2" t="n">
        <v>0.489370822</v>
      </c>
      <c r="C995" s="2"/>
      <c r="D995" s="2" t="n">
        <v>0.35428668</v>
      </c>
      <c r="E995" s="2" t="n">
        <f aca="false">IF(E$7=E$5,E$6,IF(NORMSDIST(E$9*SQRT($C$11)*NORMSINV($B995)+SQRT(1-E$9^2*$C$11)*NORMSINV(D995))&lt;E$8,E$5+SQRT(NORMSDIST(E$9*SQRT($C$11)*NORMSINV($B995)+SQRT(1-E$9^2*$C$11)*NORMSINV(D995))*(E$7-E$5)*(E$6-E$5)),E$7-SQRT((1-NORMSDIST(E$9*SQRT($C$11)*NORMSINV($B995)+SQRT(1-E$9^2*$C$11)*NORMSINV(D995)))*(E$7-E$5)*(E$7-E$6))))</f>
        <v>0.054356943994502</v>
      </c>
      <c r="F995" s="2" t="n">
        <v>0.900485159</v>
      </c>
      <c r="G995" s="2" t="n">
        <f aca="false">IF(G$7=G$5,G$6,IF(NORMSDIST(G$9*SQRT($C$11)*NORMSINV($B995)+SQRT(1-G$9^2*$C$11)*NORMSINV(F995))&lt;G$8,G$5+SQRT(NORMSDIST(G$9*SQRT($C$11)*NORMSINV($B995)+SQRT(1-G$9^2*$C$11)*NORMSINV(F995))*(G$7-G$5)*(G$6-G$5)),G$7-SQRT((1-NORMSDIST(G$9*SQRT($C$11)*NORMSINV($B995)+SQRT(1-G$9^2*$C$11)*NORMSINV(F995)))*(G$7-G$5)*(G$7-G$6))))</f>
        <v>0.0614081914036185</v>
      </c>
      <c r="H995" s="2" t="n">
        <v>0.464547206</v>
      </c>
      <c r="I995" s="2" t="n">
        <f aca="false">IF(I$7=I$5,I$6,IF(NORMSDIST(I$9*SQRT($C$11)*NORMSINV($B995)+SQRT(1-I$9^2*$C$11)*NORMSINV(H995))&lt;I$8,I$5+SQRT(NORMSDIST(I$9*SQRT($C$11)*NORMSINV($B995)+SQRT(1-I$9^2*$C$11)*NORMSINV(H995))*(I$7-I$5)*(I$6-I$5)),I$7-SQRT((1-NORMSDIST(I$9*SQRT($C$11)*NORMSINV($B995)+SQRT(1-I$9^2*$C$11)*NORMSINV(H995)))*(I$7-I$5)*(I$7-I$6))))</f>
        <v>199.304316224677</v>
      </c>
      <c r="J995" s="2" t="n">
        <v>0.571164852</v>
      </c>
      <c r="K995" s="2" t="n">
        <f aca="false">IF(K$7=K$5,K$6,IF(NORMSDIST(K$9*SQRT($C$11)*NORMSINV($B995)+SQRT(1-K$9^2*$C$11)*NORMSINV(J995))&lt;K$8,K$5+SQRT(NORMSDIST(K$9*SQRT($C$11)*NORMSINV($B995)+SQRT(1-K$9^2*$C$11)*NORMSINV(J995))*(K$7-K$5)*(K$6-K$5)),K$7-SQRT((1-NORMSDIST(K$9*SQRT($C$11)*NORMSINV($B995)+SQRT(1-K$9^2*$C$11)*NORMSINV(J995)))*(K$7-K$5)*(K$7-K$6))))</f>
        <v>0.262454155211003</v>
      </c>
      <c r="L995" s="2" t="n">
        <v>0.063448161</v>
      </c>
      <c r="M995" s="2" t="n">
        <f aca="false">IF(M$7=M$5,M$6,IF(NORMSDIST(M$9*SQRT($C$11)*NORMSINV($B995)+SQRT(1-M$9^2*$C$11)*NORMSINV(L995))&lt;M$8,M$5+SQRT(NORMSDIST(M$9*SQRT($C$11)*NORMSINV($B995)+SQRT(1-M$9^2*$C$11)*NORMSINV(L995))*(M$7-M$5)*(M$6-M$5)),M$7-SQRT((1-NORMSDIST(M$9*SQRT($C$11)*NORMSINV($B995)+SQRT(1-M$9^2*$C$11)*NORMSINV(L995)))*(M$7-M$5)*(M$7-M$6))))</f>
        <v>1438.6426339497</v>
      </c>
      <c r="N995" s="2" t="n">
        <v>0.019231321</v>
      </c>
      <c r="O995" s="2" t="n">
        <f aca="false">IF(O$7=O$5,O$6,IF(NORMSDIST(O$9*SQRT($C$11)*NORMSINV($B995)+SQRT(1-O$9^2*$C$11)*NORMSINV(N995))&lt;O$8,O$5+SQRT(NORMSDIST(O$9*SQRT($C$11)*NORMSINV($B995)+SQRT(1-O$9^2*$C$11)*NORMSINV(N995))*(O$7-O$5)*(O$6-O$5)),O$7-SQRT((1-NORMSDIST(O$9*SQRT($C$11)*NORMSINV($B995)+SQRT(1-O$9^2*$C$11)*NORMSINV(N995)))*(O$7-O$5)*(O$7-O$6))))</f>
        <v>0.148687142420492</v>
      </c>
      <c r="P995" s="2" t="n">
        <v>0.07289759</v>
      </c>
      <c r="Q995" s="2" t="n">
        <f aca="false">IF(Q$7=Q$5,Q$6,IF(NORMSDIST(Q$9*SQRT($C$11)*NORMSINV($B995)+SQRT(1-Q$9^2*$C$11)*NORMSINV(P995))&lt;Q$8,Q$5+SQRT(NORMSDIST(Q$9*SQRT($C$11)*NORMSINV($B995)+SQRT(1-Q$9^2*$C$11)*NORMSINV(P995))*(Q$7-Q$5)*(Q$6-Q$5)),Q$7-SQRT((1-NORMSDIST(Q$9*SQRT($C$11)*NORMSINV($B995)+SQRT(1-Q$9^2*$C$11)*NORMSINV(P995)))*(Q$7-Q$5)*(Q$7-Q$6))))</f>
        <v>0.0552732540082328</v>
      </c>
      <c r="R995" s="2" t="n">
        <v>0.329978183</v>
      </c>
      <c r="S995" s="2" t="n">
        <f aca="false">IF(S$7=S$5,S$6,IF(NORMSDIST(S$9*SQRT($C$11)*NORMSINV($B995)+SQRT(1-S$9^2*$C$11)*NORMSINV(R995))&lt;S$8,S$5+SQRT(NORMSDIST(S$9*SQRT($C$11)*NORMSINV($B995)+SQRT(1-S$9^2*$C$11)*NORMSINV(R995))*(S$7-S$5)*(S$6-S$5)),S$7-SQRT((1-NORMSDIST(S$9*SQRT($C$11)*NORMSINV($B995)+SQRT(1-S$9^2*$C$11)*NORMSINV(R995)))*(S$7-S$5)*(S$7-S$6))))</f>
        <v>0.424441321143437</v>
      </c>
      <c r="T995" s="2" t="n">
        <v>0.771305421</v>
      </c>
      <c r="U995" s="2" t="n">
        <f aca="false">IF(U$7=U$5,U$6,IF(NORMSDIST(U$9*SQRT($C$11)*NORMSINV($B995)+SQRT(1-U$9^2*$C$11)*NORMSINV(T995))&lt;U$8,U$5+SQRT(NORMSDIST(U$9*SQRT($C$11)*NORMSINV($B995)+SQRT(1-U$9^2*$C$11)*NORMSINV(T995))*(U$7-U$5)*(U$6-U$5)),U$7-SQRT((1-NORMSDIST(U$9*SQRT($C$11)*NORMSINV($B995)+SQRT(1-U$9^2*$C$11)*NORMSINV(T995)))*(U$7-U$5)*(U$7-U$6))))</f>
        <v>0.620426423140823</v>
      </c>
      <c r="V995" s="2" t="n">
        <v>0.244522126</v>
      </c>
      <c r="W995" s="2" t="n">
        <f aca="false">IF(W$7=W$5,W$6,IF(NORMSDIST(W$9*SQRT($C$11)*NORMSINV($B995)+SQRT(1-W$9^2*$C$11)*NORMSINV(V995))&lt;W$8,W$5+SQRT(NORMSDIST(W$9*SQRT($C$11)*NORMSINV($B995)+SQRT(1-W$9^2*$C$11)*NORMSINV(V995))*(W$7-W$5)*(W$6-W$5)),W$7-SQRT((1-NORMSDIST(W$9*SQRT($C$11)*NORMSINV($B995)+SQRT(1-W$9^2*$C$11)*NORMSINV(V995)))*(W$7-W$5)*(W$7-W$6))))</f>
        <v>9.52373257669599</v>
      </c>
      <c r="X995" s="2" t="n">
        <v>0.461353692</v>
      </c>
      <c r="Y995" s="2" t="n">
        <f aca="false">IF(Y$7=Y$5,Y$6,IF(NORMSDIST(Y$9*SQRT($C$11)*NORMSINV($B995)+SQRT(1-Y$9^2*$C$11)*NORMSINV(X995))&lt;Y$8,Y$5+SQRT(NORMSDIST(Y$9*SQRT($C$11)*NORMSINV($B995)+SQRT(1-Y$9^2*$C$11)*NORMSINV(X995))*(Y$7-Y$5)*(Y$6-Y$5)),Y$7-SQRT((1-NORMSDIST(Y$9*SQRT($C$11)*NORMSINV($B995)+SQRT(1-Y$9^2*$C$11)*NORMSINV(X995)))*(Y$7-Y$5)*(Y$7-Y$6))))</f>
        <v>0.480288294673106</v>
      </c>
      <c r="Z995" s="2" t="n">
        <v>0.756169196</v>
      </c>
      <c r="AA995" s="2" t="n">
        <f aca="false">IF(AA$7=AA$5,AA$6,IF(NORMSDIST(AA$9*SQRT($C$11)*NORMSINV($B995)+SQRT(1-AA$9^2*$C$11)*NORMSINV(Z995))&lt;AA$8,AA$5+SQRT(NORMSDIST(AA$9*SQRT($C$11)*NORMSINV($B995)+SQRT(1-AA$9^2*$C$11)*NORMSINV(Z995))*(AA$7-AA$5)*(AA$6-AA$5)),AA$7-SQRT((1-NORMSDIST(AA$9*SQRT($C$11)*NORMSINV($B995)+SQRT(1-AA$9^2*$C$11)*NORMSINV(Z995)))*(AA$7-AA$5)*(AA$7-AA$6))))</f>
        <v>0.73419137939782</v>
      </c>
      <c r="AB995" s="2" t="n">
        <v>0.932927352</v>
      </c>
      <c r="AC995" s="2" t="n">
        <f aca="false">IF(AC$7=AC$5,AC$6,IF(NORMSDIST(AC$9*SQRT($C$11)*NORMSINV($B995)+SQRT(1-AC$9^2*$C$11)*NORMSINV(AB995))&lt;AC$8,AC$5+SQRT(NORMSDIST(AC$9*SQRT($C$11)*NORMSINV($B995)+SQRT(1-AC$9^2*$C$11)*NORMSINV(AB995))*(AC$7-AC$5)*(AC$6-AC$5)),AC$7-SQRT((1-NORMSDIST(AC$9*SQRT($C$11)*NORMSINV($B995)+SQRT(1-AC$9^2*$C$11)*NORMSINV(AB995)))*(AC$7-AC$5)*(AC$7-AC$6))))</f>
        <v>10.2609780154084</v>
      </c>
      <c r="AD995" s="2" t="n">
        <f aca="false">Entrées!$C$8*(1+E995)</f>
        <v>7433.21645516124</v>
      </c>
      <c r="AE995" s="2" t="n">
        <f aca="false">I995*Hypothèses!$J$24/12/Hypothèses!$J$19</f>
        <v>98.8742333807825</v>
      </c>
      <c r="AF995" s="2" t="n">
        <f aca="false">Entrées!$C$36*S995*1000</f>
        <v>212.220660571718</v>
      </c>
      <c r="AG995" s="2" t="n">
        <f aca="false">-AF995/W995</f>
        <v>-22.2833493971691</v>
      </c>
      <c r="AH995" s="2" t="n">
        <f aca="false">AD995+AE995+AG995</f>
        <v>7509.80733914485</v>
      </c>
      <c r="AI995" s="2" t="n">
        <f aca="false">Entrées!$C$16-M995+Hypothèses!$J$22*1000-AF995+Hypothèses!$J$23</f>
        <v>22897.1367054786</v>
      </c>
      <c r="AJ995" s="2" t="n">
        <f aca="false">AI995/AH995</f>
        <v>3.04896459675168</v>
      </c>
      <c r="AK995" s="2" t="n">
        <f aca="false">AI995/(AH995+I995*(12-Hypothèses!$J$24)/12/Hypothèses!$J$19)</f>
        <v>3.02055837122273</v>
      </c>
      <c r="AL995" s="2" t="n">
        <f aca="false">(AD995+AG995+I995/Hypothèses!$J$19)*(1+G995)</f>
        <v>8045.93239793787</v>
      </c>
      <c r="AM995" s="2" t="n">
        <f aca="false">Entrées!$C$54*K995/Hypothèses!$J$19</f>
        <v>26.7845485130693</v>
      </c>
      <c r="AN995" s="2" t="n">
        <f aca="false">Y995*1000/AC995</f>
        <v>46.8072628117788</v>
      </c>
      <c r="AO995" s="2" t="n">
        <f aca="false">(Entrées!$C$36*(1-S995)+MAX(0,Entrées!$C$30-Entrées!$C$35-Entrées!$C$36)*U995)*1000</f>
        <v>1156.37633182543</v>
      </c>
      <c r="AP995" s="2" t="n">
        <f aca="false">-AO995/W995</f>
        <v>-121.420495852122</v>
      </c>
      <c r="AQ995" s="2" t="n">
        <f aca="false">AL995+AM995+AN995+AP995</f>
        <v>7998.10371341059</v>
      </c>
      <c r="AR995" s="2" t="n">
        <f aca="false">O995*AQ995-Hypothèses!$J$25/Hypothèses!$J$19</f>
        <v>1170.08002366812</v>
      </c>
      <c r="AS995" s="2" t="n">
        <f aca="false">Entrées!$C$79*(1+Q995)+Hypothèses!$J$20</f>
        <v>1454.74530615505</v>
      </c>
      <c r="AT995" s="2" t="n">
        <f aca="false">AI995-AR995+AS995+Y995*1000-AO995+Hypothèses!$J$23</f>
        <v>22505.7139508132</v>
      </c>
      <c r="AU995" s="2" t="n">
        <f aca="false">AT995/AQ995</f>
        <v>2.81388123450779</v>
      </c>
      <c r="AV995" s="2" t="n">
        <f aca="false">Hypothèses!$J$26*AQ995-AT995</f>
        <v>1488.59718941861</v>
      </c>
      <c r="AW995" s="2" t="n">
        <f aca="false">IF(AC995&gt;Hypothèses!$J$26,MAX(0,AV995)/(1-Hypothèses!$J$26/AC995),0)</f>
        <v>2103.63714116878</v>
      </c>
      <c r="AX995" s="2" t="n">
        <f aca="false">AQ995-Entrées!$C$17*1000</f>
        <v>-1.89628658940546</v>
      </c>
      <c r="AY995" s="2" t="n">
        <f aca="false">AI995+(Entrées!$C$244-Entrées!$C$13)</f>
        <v>28644.1367054786</v>
      </c>
      <c r="AZ995" s="2" t="n">
        <f aca="false">AA995*AH995</f>
        <v>5513.63580933863</v>
      </c>
      <c r="BA995" s="2" t="n">
        <f aca="false">AZ995/AY995</f>
        <v>0.192487414301583</v>
      </c>
      <c r="BB995" s="2" t="n">
        <f aca="false">AZ995/(Entrées!$C$151/100)-AY995</f>
        <v>1987.17334640272</v>
      </c>
      <c r="BC995" s="2" t="n">
        <f aca="false">AT995+(Entrées!$C$244-Entrées!$C$13)</f>
        <v>28252.7139508132</v>
      </c>
      <c r="BD995" s="2" t="n">
        <f aca="false">AA995*AQ995</f>
        <v>5872.13879791575</v>
      </c>
      <c r="BE995" s="2" t="n">
        <f aca="false">BD995/BC995</f>
        <v>0.207843352965627</v>
      </c>
      <c r="BF995" s="2" t="n">
        <f aca="false">BD995/(Entrées!$C$151/100)-BC995</f>
        <v>4370.27937094101</v>
      </c>
      <c r="BG995" s="2" t="n">
        <f aca="false">MIN(AV995,BF995)</f>
        <v>1488.59718941861</v>
      </c>
      <c r="BH995" s="2" t="n">
        <f aca="false">IF(AC995&gt;Hypothèses!$J$26,MAX(0,BG995)/(1-Hypothèses!$J$26/AC995),0)</f>
        <v>2103.63714116878</v>
      </c>
    </row>
    <row r="996" customFormat="false" ht="15" hidden="false" customHeight="false" outlineLevel="0" collapsed="false">
      <c r="A996" s="2" t="n">
        <v>981</v>
      </c>
      <c r="B996" s="2" t="n">
        <v>0.300199428</v>
      </c>
      <c r="C996" s="2"/>
      <c r="D996" s="2" t="n">
        <v>0.653677835</v>
      </c>
      <c r="E996" s="2" t="n">
        <f aca="false">IF(E$7=E$5,E$6,IF(NORMSDIST(E$9*SQRT($C$11)*NORMSINV($B996)+SQRT(1-E$9^2*$C$11)*NORMSINV(D996))&lt;E$8,E$5+SQRT(NORMSDIST(E$9*SQRT($C$11)*NORMSINV($B996)+SQRT(1-E$9^2*$C$11)*NORMSINV(D996))*(E$7-E$5)*(E$6-E$5)),E$7-SQRT((1-NORMSDIST(E$9*SQRT($C$11)*NORMSINV($B996)+SQRT(1-E$9^2*$C$11)*NORMSINV(D996)))*(E$7-E$5)*(E$7-E$6))))</f>
        <v>0.0549496381044466</v>
      </c>
      <c r="F996" s="2" t="n">
        <v>0.997496993</v>
      </c>
      <c r="G996" s="2" t="n">
        <f aca="false">IF(G$7=G$5,G$6,IF(NORMSDIST(G$9*SQRT($C$11)*NORMSINV($B996)+SQRT(1-G$9^2*$C$11)*NORMSINV(F996))&lt;G$8,G$5+SQRT(NORMSDIST(G$9*SQRT($C$11)*NORMSINV($B996)+SQRT(1-G$9^2*$C$11)*NORMSINV(F996))*(G$7-G$5)*(G$6-G$5)),G$7-SQRT((1-NORMSDIST(G$9*SQRT($C$11)*NORMSINV($B996)+SQRT(1-G$9^2*$C$11)*NORMSINV(F996)))*(G$7-G$5)*(G$7-G$6))))</f>
        <v>0.0661648767279438</v>
      </c>
      <c r="H996" s="2" t="n">
        <v>0.074232122</v>
      </c>
      <c r="I996" s="2" t="n">
        <f aca="false">IF(I$7=I$5,I$6,IF(NORMSDIST(I$9*SQRT($C$11)*NORMSINV($B996)+SQRT(1-I$9^2*$C$11)*NORMSINV(H996))&lt;I$8,I$5+SQRT(NORMSDIST(I$9*SQRT($C$11)*NORMSINV($B996)+SQRT(1-I$9^2*$C$11)*NORMSINV(H996))*(I$7-I$5)*(I$6-I$5)),I$7-SQRT((1-NORMSDIST(I$9*SQRT($C$11)*NORMSINV($B996)+SQRT(1-I$9^2*$C$11)*NORMSINV(H996)))*(I$7-I$5)*(I$7-I$6))))</f>
        <v>187.665483422284</v>
      </c>
      <c r="J996" s="2" t="n">
        <v>0.293081648</v>
      </c>
      <c r="K996" s="2" t="n">
        <f aca="false">IF(K$7=K$5,K$6,IF(NORMSDIST(K$9*SQRT($C$11)*NORMSINV($B996)+SQRT(1-K$9^2*$C$11)*NORMSINV(J996))&lt;K$8,K$5+SQRT(NORMSDIST(K$9*SQRT($C$11)*NORMSINV($B996)+SQRT(1-K$9^2*$C$11)*NORMSINV(J996))*(K$7-K$5)*(K$6-K$5)),K$7-SQRT((1-NORMSDIST(K$9*SQRT($C$11)*NORMSINV($B996)+SQRT(1-K$9^2*$C$11)*NORMSINV(J996)))*(K$7-K$5)*(K$7-K$6))))</f>
        <v>0.167976057503235</v>
      </c>
      <c r="L996" s="2" t="n">
        <v>0.783094464</v>
      </c>
      <c r="M996" s="2" t="n">
        <f aca="false">IF(M$7=M$5,M$6,IF(NORMSDIST(M$9*SQRT($C$11)*NORMSINV($B996)+SQRT(1-M$9^2*$C$11)*NORMSINV(L996))&lt;M$8,M$5+SQRT(NORMSDIST(M$9*SQRT($C$11)*NORMSINV($B996)+SQRT(1-M$9^2*$C$11)*NORMSINV(L996))*(M$7-M$5)*(M$6-M$5)),M$7-SQRT((1-NORMSDIST(M$9*SQRT($C$11)*NORMSINV($B996)+SQRT(1-M$9^2*$C$11)*NORMSINV(L996)))*(M$7-M$5)*(M$7-M$6))))</f>
        <v>1614.41917964517</v>
      </c>
      <c r="N996" s="2" t="n">
        <v>0.309756123</v>
      </c>
      <c r="O996" s="2" t="n">
        <f aca="false">IF(O$7=O$5,O$6,IF(NORMSDIST(O$9*SQRT($C$11)*NORMSINV($B996)+SQRT(1-O$9^2*$C$11)*NORMSINV(N996))&lt;O$8,O$5+SQRT(NORMSDIST(O$9*SQRT($C$11)*NORMSINV($B996)+SQRT(1-O$9^2*$C$11)*NORMSINV(N996))*(O$7-O$5)*(O$6-O$5)),O$7-SQRT((1-NORMSDIST(O$9*SQRT($C$11)*NORMSINV($B996)+SQRT(1-O$9^2*$C$11)*NORMSINV(N996)))*(O$7-O$5)*(O$7-O$6))))</f>
        <v>0.158441326842532</v>
      </c>
      <c r="P996" s="2" t="n">
        <v>0.558698056</v>
      </c>
      <c r="Q996" s="2" t="n">
        <f aca="false">IF(Q$7=Q$5,Q$6,IF(NORMSDIST(Q$9*SQRT($C$11)*NORMSINV($B996)+SQRT(1-Q$9^2*$C$11)*NORMSINV(P996))&lt;Q$8,Q$5+SQRT(NORMSDIST(Q$9*SQRT($C$11)*NORMSINV($B996)+SQRT(1-Q$9^2*$C$11)*NORMSINV(P996))*(Q$7-Q$5)*(Q$6-Q$5)),Q$7-SQRT((1-NORMSDIST(Q$9*SQRT($C$11)*NORMSINV($B996)+SQRT(1-Q$9^2*$C$11)*NORMSINV(P996)))*(Q$7-Q$5)*(Q$7-Q$6))))</f>
        <v>0.082421199848851</v>
      </c>
      <c r="R996" s="2" t="n">
        <v>0.382064201</v>
      </c>
      <c r="S996" s="2" t="n">
        <f aca="false">IF(S$7=S$5,S$6,IF(NORMSDIST(S$9*SQRT($C$11)*NORMSINV($B996)+SQRT(1-S$9^2*$C$11)*NORMSINV(R996))&lt;S$8,S$5+SQRT(NORMSDIST(S$9*SQRT($C$11)*NORMSINV($B996)+SQRT(1-S$9^2*$C$11)*NORMSINV(R996))*(S$7-S$5)*(S$6-S$5)),S$7-SQRT((1-NORMSDIST(S$9*SQRT($C$11)*NORMSINV($B996)+SQRT(1-S$9^2*$C$11)*NORMSINV(R996)))*(S$7-S$5)*(S$7-S$6))))</f>
        <v>0.378464248602785</v>
      </c>
      <c r="T996" s="2" t="n">
        <v>0.673201635</v>
      </c>
      <c r="U996" s="2" t="n">
        <f aca="false">IF(U$7=U$5,U$6,IF(NORMSDIST(U$9*SQRT($C$11)*NORMSINV($B996)+SQRT(1-U$9^2*$C$11)*NORMSINV(T996))&lt;U$8,U$5+SQRT(NORMSDIST(U$9*SQRT($C$11)*NORMSINV($B996)+SQRT(1-U$9^2*$C$11)*NORMSINV(T996))*(U$7-U$5)*(U$6-U$5)),U$7-SQRT((1-NORMSDIST(U$9*SQRT($C$11)*NORMSINV($B996)+SQRT(1-U$9^2*$C$11)*NORMSINV(T996)))*(U$7-U$5)*(U$7-U$6))))</f>
        <v>0.503265762761749</v>
      </c>
      <c r="V996" s="2" t="n">
        <v>0.30800334</v>
      </c>
      <c r="W996" s="2" t="n">
        <f aca="false">IF(W$7=W$5,W$6,IF(NORMSDIST(W$9*SQRT($C$11)*NORMSINV($B996)+SQRT(1-W$9^2*$C$11)*NORMSINV(V996))&lt;W$8,W$5+SQRT(NORMSDIST(W$9*SQRT($C$11)*NORMSINV($B996)+SQRT(1-W$9^2*$C$11)*NORMSINV(V996))*(W$7-W$5)*(W$6-W$5)),W$7-SQRT((1-NORMSDIST(W$9*SQRT($C$11)*NORMSINV($B996)+SQRT(1-W$9^2*$C$11)*NORMSINV(V996)))*(W$7-W$5)*(W$7-W$6))))</f>
        <v>9.37355852927742</v>
      </c>
      <c r="X996" s="2" t="n">
        <v>0.101049359</v>
      </c>
      <c r="Y996" s="2" t="n">
        <f aca="false">IF(Y$7=Y$5,Y$6,IF(NORMSDIST(Y$9*SQRT($C$11)*NORMSINV($B996)+SQRT(1-Y$9^2*$C$11)*NORMSINV(X996))&lt;Y$8,Y$5+SQRT(NORMSDIST(Y$9*SQRT($C$11)*NORMSINV($B996)+SQRT(1-Y$9^2*$C$11)*NORMSINV(X996))*(Y$7-Y$5)*(Y$6-Y$5)),Y$7-SQRT((1-NORMSDIST(Y$9*SQRT($C$11)*NORMSINV($B996)+SQRT(1-Y$9^2*$C$11)*NORMSINV(X996)))*(Y$7-Y$5)*(Y$7-Y$6))))</f>
        <v>0.224776955002064</v>
      </c>
      <c r="Z996" s="2" t="n">
        <v>0.505928143</v>
      </c>
      <c r="AA996" s="2" t="n">
        <f aca="false">IF(AA$7=AA$5,AA$6,IF(NORMSDIST(AA$9*SQRT($C$11)*NORMSINV($B996)+SQRT(1-AA$9^2*$C$11)*NORMSINV(Z996))&lt;AA$8,AA$5+SQRT(NORMSDIST(AA$9*SQRT($C$11)*NORMSINV($B996)+SQRT(1-AA$9^2*$C$11)*NORMSINV(Z996))*(AA$7-AA$5)*(AA$6-AA$5)),AA$7-SQRT((1-NORMSDIST(AA$9*SQRT($C$11)*NORMSINV($B996)+SQRT(1-AA$9^2*$C$11)*NORMSINV(Z996)))*(AA$7-AA$5)*(AA$7-AA$6))))</f>
        <v>0.723649646327808</v>
      </c>
      <c r="AB996" s="2" t="n">
        <v>0.272590215</v>
      </c>
      <c r="AC996" s="2" t="n">
        <f aca="false">IF(AC$7=AC$5,AC$6,IF(NORMSDIST(AC$9*SQRT($C$11)*NORMSINV($B996)+SQRT(1-AC$9^2*$C$11)*NORMSINV(AB996))&lt;AC$8,AC$5+SQRT(NORMSDIST(AC$9*SQRT($C$11)*NORMSINV($B996)+SQRT(1-AC$9^2*$C$11)*NORMSINV(AB996))*(AC$7-AC$5)*(AC$6-AC$5)),AC$7-SQRT((1-NORMSDIST(AC$9*SQRT($C$11)*NORMSINV($B996)+SQRT(1-AC$9^2*$C$11)*NORMSINV(AB996)))*(AC$7-AC$5)*(AC$7-AC$6))))</f>
        <v>8.75300197072443</v>
      </c>
      <c r="AD996" s="2" t="n">
        <f aca="false">Entrées!$C$8*(1+E996)</f>
        <v>7437.39494863635</v>
      </c>
      <c r="AE996" s="2" t="n">
        <f aca="false">I996*Hypothèses!$J$24/12/Hypothèses!$J$19</f>
        <v>93.1002456790489</v>
      </c>
      <c r="AF996" s="2" t="n">
        <f aca="false">Entrées!$C$36*S996*1000</f>
        <v>189.232124301392</v>
      </c>
      <c r="AG996" s="2" t="n">
        <f aca="false">-AF996/W996</f>
        <v>-20.1878639483974</v>
      </c>
      <c r="AH996" s="2" t="n">
        <f aca="false">AD996+AE996+AG996</f>
        <v>7510.307330367</v>
      </c>
      <c r="AI996" s="2" t="n">
        <f aca="false">Entrées!$C$16-M996+Hypothèses!$J$22*1000-AF996+Hypothèses!$J$23</f>
        <v>22744.3486960534</v>
      </c>
      <c r="AJ996" s="2" t="n">
        <f aca="false">AI996/AH996</f>
        <v>3.02841783905293</v>
      </c>
      <c r="AK996" s="2" t="n">
        <f aca="false">AI996/(AH996+I996*(12-Hypothèses!$J$24)/12/Hypothèses!$J$19)</f>
        <v>3.00183800083169</v>
      </c>
      <c r="AL996" s="2" t="n">
        <f aca="false">(AD996+AG996+I996/Hypothèses!$J$19)*(1+G996)</f>
        <v>8078.12604046809</v>
      </c>
      <c r="AM996" s="2" t="n">
        <f aca="false">Entrées!$C$54*K996/Hypothèses!$J$19</f>
        <v>17.1426619540939</v>
      </c>
      <c r="AN996" s="2" t="n">
        <f aca="false">Y996*1000/AC996</f>
        <v>25.6799845074708</v>
      </c>
      <c r="AO996" s="2" t="n">
        <f aca="false">(Entrées!$C$36*(1-S996)+MAX(0,Entrées!$C$30-Entrées!$C$35-Entrées!$C$36)*U996)*1000</f>
        <v>1015.33994356506</v>
      </c>
      <c r="AP996" s="2" t="n">
        <f aca="false">-AO996/W996</f>
        <v>-108.31958219429</v>
      </c>
      <c r="AQ996" s="2" t="n">
        <f aca="false">AL996+AM996+AN996+AP996</f>
        <v>8012.62910473537</v>
      </c>
      <c r="AR996" s="2" t="n">
        <f aca="false">O996*AQ996-Hypothèses!$J$25/Hypothèses!$J$19</f>
        <v>1250.39642458973</v>
      </c>
      <c r="AS996" s="2" t="n">
        <f aca="false">Entrées!$C$79*(1+Q996)+Hypothèses!$J$20</f>
        <v>1484.58089863389</v>
      </c>
      <c r="AT996" s="2" t="n">
        <f aca="false">AI996-AR996+AS996+Y996*1000-AO996+Hypothèses!$J$23</f>
        <v>22187.9701815346</v>
      </c>
      <c r="AU996" s="2" t="n">
        <f aca="false">AT996/AQ996</f>
        <v>2.76912482675902</v>
      </c>
      <c r="AV996" s="2" t="n">
        <f aca="false">Hypothèses!$J$26*AQ996-AT996</f>
        <v>1849.91713267151</v>
      </c>
      <c r="AW996" s="2" t="n">
        <f aca="false">IF(AC996&gt;Hypothèses!$J$26,MAX(0,AV996)/(1-Hypothèses!$J$26/AC996),0)</f>
        <v>2814.58765186406</v>
      </c>
      <c r="AX996" s="2" t="n">
        <f aca="false">AQ996-Entrées!$C$17*1000</f>
        <v>12.629104735367</v>
      </c>
      <c r="AY996" s="2" t="n">
        <f aca="false">AI996+(Entrées!$C$244-Entrées!$C$13)</f>
        <v>28491.3486960534</v>
      </c>
      <c r="AZ996" s="2" t="n">
        <f aca="false">AA996*AH996</f>
        <v>5434.83124343323</v>
      </c>
      <c r="BA996" s="2" t="n">
        <f aca="false">AZ996/AY996</f>
        <v>0.19075373726292</v>
      </c>
      <c r="BB996" s="2" t="n">
        <f aca="false">AZ996/(Entrées!$C$151/100)-AY996</f>
        <v>1702.15821190893</v>
      </c>
      <c r="BC996" s="2" t="n">
        <f aca="false">AT996+(Entrées!$C$244-Entrées!$C$13)</f>
        <v>27934.9701815346</v>
      </c>
      <c r="BD996" s="2" t="n">
        <f aca="false">AA996*AQ996</f>
        <v>5798.33621779765</v>
      </c>
      <c r="BE996" s="2" t="n">
        <f aca="false">BD996/BC996</f>
        <v>0.207565505891624</v>
      </c>
      <c r="BF996" s="2" t="n">
        <f aca="false">BD996/(Entrées!$C$151/100)-BC996</f>
        <v>4278.00880623013</v>
      </c>
      <c r="BG996" s="2" t="n">
        <f aca="false">MIN(AV996,BF996)</f>
        <v>1849.91713267151</v>
      </c>
      <c r="BH996" s="2" t="n">
        <f aca="false">IF(AC996&gt;Hypothèses!$J$26,MAX(0,BG996)/(1-Hypothèses!$J$26/AC996),0)</f>
        <v>2814.58765186406</v>
      </c>
    </row>
    <row r="997" customFormat="false" ht="15" hidden="false" customHeight="false" outlineLevel="0" collapsed="false">
      <c r="A997" s="2" t="n">
        <v>982</v>
      </c>
      <c r="B997" s="2" t="n">
        <v>0.709652493</v>
      </c>
      <c r="C997" s="2"/>
      <c r="D997" s="2" t="n">
        <v>0.474986004</v>
      </c>
      <c r="E997" s="2" t="n">
        <f aca="false">IF(E$7=E$5,E$6,IF(NORMSDIST(E$9*SQRT($C$11)*NORMSINV($B997)+SQRT(1-E$9^2*$C$11)*NORMSINV(D997))&lt;E$8,E$5+SQRT(NORMSDIST(E$9*SQRT($C$11)*NORMSINV($B997)+SQRT(1-E$9^2*$C$11)*NORMSINV(D997))*(E$7-E$5)*(E$6-E$5)),E$7-SQRT((1-NORMSDIST(E$9*SQRT($C$11)*NORMSINV($B997)+SQRT(1-E$9^2*$C$11)*NORMSINV(D997)))*(E$7-E$5)*(E$7-E$6))))</f>
        <v>0.0556307740786231</v>
      </c>
      <c r="F997" s="2" t="n">
        <v>0.027014123</v>
      </c>
      <c r="G997" s="2" t="n">
        <f aca="false">IF(G$7=G$5,G$6,IF(NORMSDIST(G$9*SQRT($C$11)*NORMSINV($B997)+SQRT(1-G$9^2*$C$11)*NORMSINV(F997))&lt;G$8,G$5+SQRT(NORMSDIST(G$9*SQRT($C$11)*NORMSINV($B997)+SQRT(1-G$9^2*$C$11)*NORMSINV(F997))*(G$7-G$5)*(G$6-G$5)),G$7-SQRT((1-NORMSDIST(G$9*SQRT($C$11)*NORMSINV($B997)+SQRT(1-G$9^2*$C$11)*NORMSINV(F997)))*(G$7-G$5)*(G$7-G$6))))</f>
        <v>0.0475454635886307</v>
      </c>
      <c r="H997" s="2" t="n">
        <v>0.417328123</v>
      </c>
      <c r="I997" s="2" t="n">
        <f aca="false">IF(I$7=I$5,I$6,IF(NORMSDIST(I$9*SQRT($C$11)*NORMSINV($B997)+SQRT(1-I$9^2*$C$11)*NORMSINV(H997))&lt;I$8,I$5+SQRT(NORMSDIST(I$9*SQRT($C$11)*NORMSINV($B997)+SQRT(1-I$9^2*$C$11)*NORMSINV(H997))*(I$7-I$5)*(I$6-I$5)),I$7-SQRT((1-NORMSDIST(I$9*SQRT($C$11)*NORMSINV($B997)+SQRT(1-I$9^2*$C$11)*NORMSINV(H997)))*(I$7-I$5)*(I$7-I$6))))</f>
        <v>201.548558325435</v>
      </c>
      <c r="J997" s="2" t="n">
        <v>0.667957111</v>
      </c>
      <c r="K997" s="2" t="n">
        <f aca="false">IF(K$7=K$5,K$6,IF(NORMSDIST(K$9*SQRT($C$11)*NORMSINV($B997)+SQRT(1-K$9^2*$C$11)*NORMSINV(J997))&lt;K$8,K$5+SQRT(NORMSDIST(K$9*SQRT($C$11)*NORMSINV($B997)+SQRT(1-K$9^2*$C$11)*NORMSINV(J997))*(K$7-K$5)*(K$6-K$5)),K$7-SQRT((1-NORMSDIST(K$9*SQRT($C$11)*NORMSINV($B997)+SQRT(1-K$9^2*$C$11)*NORMSINV(J997)))*(K$7-K$5)*(K$7-K$6))))</f>
        <v>0.324487042365616</v>
      </c>
      <c r="L997" s="2" t="n">
        <v>0.491235176</v>
      </c>
      <c r="M997" s="2" t="n">
        <f aca="false">IF(M$7=M$5,M$6,IF(NORMSDIST(M$9*SQRT($C$11)*NORMSINV($B997)+SQRT(1-M$9^2*$C$11)*NORMSINV(L997))&lt;M$8,M$5+SQRT(NORMSDIST(M$9*SQRT($C$11)*NORMSINV($B997)+SQRT(1-M$9^2*$C$11)*NORMSINV(L997))*(M$7-M$5)*(M$6-M$5)),M$7-SQRT((1-NORMSDIST(M$9*SQRT($C$11)*NORMSINV($B997)+SQRT(1-M$9^2*$C$11)*NORMSINV(L997)))*(M$7-M$5)*(M$7-M$6))))</f>
        <v>1619.95902452193</v>
      </c>
      <c r="N997" s="2" t="n">
        <v>0.935627326</v>
      </c>
      <c r="O997" s="2" t="n">
        <f aca="false">IF(O$7=O$5,O$6,IF(NORMSDIST(O$9*SQRT($C$11)*NORMSINV($B997)+SQRT(1-O$9^2*$C$11)*NORMSINV(N997))&lt;O$8,O$5+SQRT(NORMSDIST(O$9*SQRT($C$11)*NORMSINV($B997)+SQRT(1-O$9^2*$C$11)*NORMSINV(N997))*(O$7-O$5)*(O$6-O$5)),O$7-SQRT((1-NORMSDIST(O$9*SQRT($C$11)*NORMSINV($B997)+SQRT(1-O$9^2*$C$11)*NORMSINV(N997)))*(O$7-O$5)*(O$7-O$6))))</f>
        <v>0.18177550124788</v>
      </c>
      <c r="P997" s="2" t="n">
        <v>0.854872168</v>
      </c>
      <c r="Q997" s="2" t="n">
        <f aca="false">IF(Q$7=Q$5,Q$6,IF(NORMSDIST(Q$9*SQRT($C$11)*NORMSINV($B997)+SQRT(1-Q$9^2*$C$11)*NORMSINV(P997))&lt;Q$8,Q$5+SQRT(NORMSDIST(Q$9*SQRT($C$11)*NORMSINV($B997)+SQRT(1-Q$9^2*$C$11)*NORMSINV(P997))*(Q$7-Q$5)*(Q$6-Q$5)),Q$7-SQRT((1-NORMSDIST(Q$9*SQRT($C$11)*NORMSINV($B997)+SQRT(1-Q$9^2*$C$11)*NORMSINV(P997)))*(Q$7-Q$5)*(Q$7-Q$6))))</f>
        <v>0.0984498477406771</v>
      </c>
      <c r="R997" s="2" t="n">
        <v>0.956352486</v>
      </c>
      <c r="S997" s="2" t="n">
        <f aca="false">IF(S$7=S$5,S$6,IF(NORMSDIST(S$9*SQRT($C$11)*NORMSINV($B997)+SQRT(1-S$9^2*$C$11)*NORMSINV(R997))&lt;S$8,S$5+SQRT(NORMSDIST(S$9*SQRT($C$11)*NORMSINV($B997)+SQRT(1-S$9^2*$C$11)*NORMSINV(R997))*(S$7-S$5)*(S$6-S$5)),S$7-SQRT((1-NORMSDIST(S$9*SQRT($C$11)*NORMSINV($B997)+SQRT(1-S$9^2*$C$11)*NORMSINV(R997)))*(S$7-S$5)*(S$7-S$6))))</f>
        <v>0.846562420461152</v>
      </c>
      <c r="T997" s="2" t="n">
        <v>0.62114454</v>
      </c>
      <c r="U997" s="2" t="n">
        <f aca="false">IF(U$7=U$5,U$6,IF(NORMSDIST(U$9*SQRT($C$11)*NORMSINV($B997)+SQRT(1-U$9^2*$C$11)*NORMSINV(T997))&lt;U$8,U$5+SQRT(NORMSDIST(U$9*SQRT($C$11)*NORMSINV($B997)+SQRT(1-U$9^2*$C$11)*NORMSINV(T997))*(U$7-U$5)*(U$6-U$5)),U$7-SQRT((1-NORMSDIST(U$9*SQRT($C$11)*NORMSINV($B997)+SQRT(1-U$9^2*$C$11)*NORMSINV(T997)))*(U$7-U$5)*(U$7-U$6))))</f>
        <v>0.627062746783988</v>
      </c>
      <c r="V997" s="2" t="n">
        <v>0.415910388</v>
      </c>
      <c r="W997" s="2" t="n">
        <f aca="false">IF(W$7=W$5,W$6,IF(NORMSDIST(W$9*SQRT($C$11)*NORMSINV($B997)+SQRT(1-W$9^2*$C$11)*NORMSINV(V997))&lt;W$8,W$5+SQRT(NORMSDIST(W$9*SQRT($C$11)*NORMSINV($B997)+SQRT(1-W$9^2*$C$11)*NORMSINV(V997))*(W$7-W$5)*(W$6-W$5)),W$7-SQRT((1-NORMSDIST(W$9*SQRT($C$11)*NORMSINV($B997)+SQRT(1-W$9^2*$C$11)*NORMSINV(V997)))*(W$7-W$5)*(W$7-W$6))))</f>
        <v>10.1524652024263</v>
      </c>
      <c r="X997" s="2" t="n">
        <v>0.648457444</v>
      </c>
      <c r="Y997" s="2" t="n">
        <f aca="false">IF(Y$7=Y$5,Y$6,IF(NORMSDIST(Y$9*SQRT($C$11)*NORMSINV($B997)+SQRT(1-Y$9^2*$C$11)*NORMSINV(X997))&lt;Y$8,Y$5+SQRT(NORMSDIST(Y$9*SQRT($C$11)*NORMSINV($B997)+SQRT(1-Y$9^2*$C$11)*NORMSINV(X997))*(Y$7-Y$5)*(Y$6-Y$5)),Y$7-SQRT((1-NORMSDIST(Y$9*SQRT($C$11)*NORMSINV($B997)+SQRT(1-Y$9^2*$C$11)*NORMSINV(X997)))*(Y$7-Y$5)*(Y$7-Y$6))))</f>
        <v>0.580749146691387</v>
      </c>
      <c r="Z997" s="2" t="n">
        <v>0.737750758</v>
      </c>
      <c r="AA997" s="2" t="n">
        <f aca="false">IF(AA$7=AA$5,AA$6,IF(NORMSDIST(AA$9*SQRT($C$11)*NORMSINV($B997)+SQRT(1-AA$9^2*$C$11)*NORMSINV(Z997))&lt;AA$8,AA$5+SQRT(NORMSDIST(AA$9*SQRT($C$11)*NORMSINV($B997)+SQRT(1-AA$9^2*$C$11)*NORMSINV(Z997))*(AA$7-AA$5)*(AA$6-AA$5)),AA$7-SQRT((1-NORMSDIST(AA$9*SQRT($C$11)*NORMSINV($B997)+SQRT(1-AA$9^2*$C$11)*NORMSINV(Z997)))*(AA$7-AA$5)*(AA$7-AA$6))))</f>
        <v>0.737844766205224</v>
      </c>
      <c r="AB997" s="2" t="n">
        <v>0.32336679</v>
      </c>
      <c r="AC997" s="2" t="n">
        <f aca="false">IF(AC$7=AC$5,AC$6,IF(NORMSDIST(AC$9*SQRT($C$11)*NORMSINV($B997)+SQRT(1-AC$9^2*$C$11)*NORMSINV(AB997))&lt;AC$8,AC$5+SQRT(NORMSDIST(AC$9*SQRT($C$11)*NORMSINV($B997)+SQRT(1-AC$9^2*$C$11)*NORMSINV(AB997))*(AC$7-AC$5)*(AC$6-AC$5)),AC$7-SQRT((1-NORMSDIST(AC$9*SQRT($C$11)*NORMSINV($B997)+SQRT(1-AC$9^2*$C$11)*NORMSINV(AB997)))*(AC$7-AC$5)*(AC$7-AC$6))))</f>
        <v>9.47376920521828</v>
      </c>
      <c r="AD997" s="2" t="n">
        <f aca="false">Entrées!$C$8*(1+E997)</f>
        <v>7442.19695725429</v>
      </c>
      <c r="AE997" s="2" t="n">
        <f aca="false">I997*Hypothèses!$J$24/12/Hypothèses!$J$19</f>
        <v>99.987594703992</v>
      </c>
      <c r="AF997" s="2" t="n">
        <f aca="false">Entrées!$C$36*S997*1000</f>
        <v>423.281210230576</v>
      </c>
      <c r="AG997" s="2" t="n">
        <f aca="false">-AF997/W997</f>
        <v>-41.6924561464557</v>
      </c>
      <c r="AH997" s="2" t="n">
        <f aca="false">AD997+AE997+AG997</f>
        <v>7500.49209581183</v>
      </c>
      <c r="AI997" s="2" t="n">
        <f aca="false">Entrées!$C$16-M997+Hypothèses!$J$22*1000-AF997+Hypothèses!$J$23</f>
        <v>22504.7597652475</v>
      </c>
      <c r="AJ997" s="2" t="n">
        <f aca="false">AI997/AH997</f>
        <v>3.00043776831841</v>
      </c>
      <c r="AK997" s="2" t="n">
        <f aca="false">AI997/(AH997+I997*(12-Hypothèses!$J$24)/12/Hypothèses!$J$19)</f>
        <v>2.97213706933028</v>
      </c>
      <c r="AL997" s="2" t="n">
        <f aca="false">(AD997+AG997+I997/Hypothèses!$J$19)*(1+G997)</f>
        <v>7931.92186339814</v>
      </c>
      <c r="AM997" s="2" t="n">
        <f aca="false">Entrées!$C$54*K997/Hypothèses!$J$19</f>
        <v>33.1152651064595</v>
      </c>
      <c r="AN997" s="2" t="n">
        <f aca="false">Y997*1000/AC997</f>
        <v>61.3007488478295</v>
      </c>
      <c r="AO997" s="2" t="n">
        <f aca="false">(Entrées!$C$36*(1-S997)+MAX(0,Entrées!$C$30-Entrées!$C$35-Entrées!$C$36)*U997)*1000</f>
        <v>954.606635267007</v>
      </c>
      <c r="AP997" s="2" t="n">
        <f aca="false">-AO997/W997</f>
        <v>-94.027077781943</v>
      </c>
      <c r="AQ997" s="2" t="n">
        <f aca="false">AL997+AM997+AN997+AP997</f>
        <v>7932.31079957048</v>
      </c>
      <c r="AR997" s="2" t="n">
        <f aca="false">O997*AQ997-Hypothèses!$J$25/Hypothèses!$J$19</f>
        <v>1422.76460938427</v>
      </c>
      <c r="AS997" s="2" t="n">
        <f aca="false">Entrées!$C$79*(1+Q997)+Hypothèses!$J$20</f>
        <v>1502.196382667</v>
      </c>
      <c r="AT997" s="2" t="n">
        <f aca="false">AI997-AR997+AS997+Y997*1000-AO997+Hypothèses!$J$23</f>
        <v>22210.3340499546</v>
      </c>
      <c r="AU997" s="2" t="n">
        <f aca="false">AT997/AQ997</f>
        <v>2.79998283112624</v>
      </c>
      <c r="AV997" s="2" t="n">
        <f aca="false">Hypothèses!$J$26*AQ997-AT997</f>
        <v>1586.59834875684</v>
      </c>
      <c r="AW997" s="2" t="n">
        <f aca="false">IF(AC997&gt;Hypothèses!$J$26,MAX(0,AV997)/(1-Hypothèses!$J$26/AC997),0)</f>
        <v>2321.84158888251</v>
      </c>
      <c r="AX997" s="2" t="n">
        <f aca="false">AQ997-Entrées!$C$17*1000</f>
        <v>-67.689200429516</v>
      </c>
      <c r="AY997" s="2" t="n">
        <f aca="false">AI997+(Entrées!$C$244-Entrées!$C$13)</f>
        <v>28251.7597652475</v>
      </c>
      <c r="AZ997" s="2" t="n">
        <f aca="false">AA997*AH997</f>
        <v>5534.19883685841</v>
      </c>
      <c r="BA997" s="2" t="n">
        <f aca="false">AZ997/AY997</f>
        <v>0.195888641374688</v>
      </c>
      <c r="BB997" s="2" t="n">
        <f aca="false">AZ997/(Entrées!$C$151/100)-AY997</f>
        <v>2493.78932841033</v>
      </c>
      <c r="BC997" s="2" t="n">
        <f aca="false">AT997+(Entrées!$C$244-Entrées!$C$13)</f>
        <v>27957.3340499546</v>
      </c>
      <c r="BD997" s="2" t="n">
        <f aca="false">AA997*AQ997</f>
        <v>5852.81400737626</v>
      </c>
      <c r="BE997" s="2" t="n">
        <f aca="false">BD997/BC997</f>
        <v>0.209348072921343</v>
      </c>
      <c r="BF997" s="2" t="n">
        <f aca="false">BD997/(Entrées!$C$151/100)-BC997</f>
        <v>4558.29932435793</v>
      </c>
      <c r="BG997" s="2" t="n">
        <f aca="false">MIN(AV997,BF997)</f>
        <v>1586.59834875684</v>
      </c>
      <c r="BH997" s="2" t="n">
        <f aca="false">IF(AC997&gt;Hypothèses!$J$26,MAX(0,BG997)/(1-Hypothèses!$J$26/AC997),0)</f>
        <v>2321.84158888251</v>
      </c>
    </row>
    <row r="998" customFormat="false" ht="15" hidden="false" customHeight="false" outlineLevel="0" collapsed="false">
      <c r="A998" s="2" t="n">
        <v>983</v>
      </c>
      <c r="B998" s="2" t="n">
        <v>0.076559748</v>
      </c>
      <c r="C998" s="2"/>
      <c r="D998" s="2" t="n">
        <v>0.036112687</v>
      </c>
      <c r="E998" s="2" t="n">
        <f aca="false">IF(E$7=E$5,E$6,IF(NORMSDIST(E$9*SQRT($C$11)*NORMSINV($B998)+SQRT(1-E$9^2*$C$11)*NORMSINV(D998))&lt;E$8,E$5+SQRT(NORMSDIST(E$9*SQRT($C$11)*NORMSINV($B998)+SQRT(1-E$9^2*$C$11)*NORMSINV(D998))*(E$7-E$5)*(E$6-E$5)),E$7-SQRT((1-NORMSDIST(E$9*SQRT($C$11)*NORMSINV($B998)+SQRT(1-E$9^2*$C$11)*NORMSINV(D998)))*(E$7-E$5)*(E$7-E$6))))</f>
        <v>0.0507361231031308</v>
      </c>
      <c r="F998" s="2" t="n">
        <v>0.94434695</v>
      </c>
      <c r="G998" s="2" t="n">
        <f aca="false">IF(G$7=G$5,G$6,IF(NORMSDIST(G$9*SQRT($C$11)*NORMSINV($B998)+SQRT(1-G$9^2*$C$11)*NORMSINV(F998))&lt;G$8,G$5+SQRT(NORMSDIST(G$9*SQRT($C$11)*NORMSINV($B998)+SQRT(1-G$9^2*$C$11)*NORMSINV(F998))*(G$7-G$5)*(G$6-G$5)),G$7-SQRT((1-NORMSDIST(G$9*SQRT($C$11)*NORMSINV($B998)+SQRT(1-G$9^2*$C$11)*NORMSINV(F998)))*(G$7-G$5)*(G$7-G$6))))</f>
        <v>0.0570836774394167</v>
      </c>
      <c r="H998" s="2" t="n">
        <v>0.223161986</v>
      </c>
      <c r="I998" s="2" t="n">
        <f aca="false">IF(I$7=I$5,I$6,IF(NORMSDIST(I$9*SQRT($C$11)*NORMSINV($B998)+SQRT(1-I$9^2*$C$11)*NORMSINV(H998))&lt;I$8,I$5+SQRT(NORMSDIST(I$9*SQRT($C$11)*NORMSINV($B998)+SQRT(1-I$9^2*$C$11)*NORMSINV(H998))*(I$7-I$5)*(I$6-I$5)),I$7-SQRT((1-NORMSDIST(I$9*SQRT($C$11)*NORMSINV($B998)+SQRT(1-I$9^2*$C$11)*NORMSINV(H998)))*(I$7-I$5)*(I$7-I$6))))</f>
        <v>187.357331975672</v>
      </c>
      <c r="J998" s="2" t="n">
        <v>0.291693169</v>
      </c>
      <c r="K998" s="2" t="n">
        <f aca="false">IF(K$7=K$5,K$6,IF(NORMSDIST(K$9*SQRT($C$11)*NORMSINV($B998)+SQRT(1-K$9^2*$C$11)*NORMSINV(J998))&lt;K$8,K$5+SQRT(NORMSDIST(K$9*SQRT($C$11)*NORMSINV($B998)+SQRT(1-K$9^2*$C$11)*NORMSINV(J998))*(K$7-K$5)*(K$6-K$5)),K$7-SQRT((1-NORMSDIST(K$9*SQRT($C$11)*NORMSINV($B998)+SQRT(1-K$9^2*$C$11)*NORMSINV(J998)))*(K$7-K$5)*(K$7-K$6))))</f>
        <v>0.107256351663806</v>
      </c>
      <c r="L998" s="2" t="n">
        <v>0.526911913</v>
      </c>
      <c r="M998" s="2" t="n">
        <f aca="false">IF(M$7=M$5,M$6,IF(NORMSDIST(M$9*SQRT($C$11)*NORMSINV($B998)+SQRT(1-M$9^2*$C$11)*NORMSINV(L998))&lt;M$8,M$5+SQRT(NORMSDIST(M$9*SQRT($C$11)*NORMSINV($B998)+SQRT(1-M$9^2*$C$11)*NORMSINV(L998))*(M$7-M$5)*(M$6-M$5)),M$7-SQRT((1-NORMSDIST(M$9*SQRT($C$11)*NORMSINV($B998)+SQRT(1-M$9^2*$C$11)*NORMSINV(L998)))*(M$7-M$5)*(M$7-M$6))))</f>
        <v>1480.44838105458</v>
      </c>
      <c r="N998" s="2" t="n">
        <v>0.638505662</v>
      </c>
      <c r="O998" s="2" t="n">
        <f aca="false">IF(O$7=O$5,O$6,IF(NORMSDIST(O$9*SQRT($C$11)*NORMSINV($B998)+SQRT(1-O$9^2*$C$11)*NORMSINV(N998))&lt;O$8,O$5+SQRT(NORMSDIST(O$9*SQRT($C$11)*NORMSINV($B998)+SQRT(1-O$9^2*$C$11)*NORMSINV(N998))*(O$7-O$5)*(O$6-O$5)),O$7-SQRT((1-NORMSDIST(O$9*SQRT($C$11)*NORMSINV($B998)+SQRT(1-O$9^2*$C$11)*NORMSINV(N998)))*(O$7-O$5)*(O$7-O$6))))</f>
        <v>0.159487955747402</v>
      </c>
      <c r="P998" s="2" t="n">
        <v>0.077840126</v>
      </c>
      <c r="Q998" s="2" t="n">
        <f aca="false">IF(Q$7=Q$5,Q$6,IF(NORMSDIST(Q$9*SQRT($C$11)*NORMSINV($B998)+SQRT(1-Q$9^2*$C$11)*NORMSINV(P998))&lt;Q$8,Q$5+SQRT(NORMSDIST(Q$9*SQRT($C$11)*NORMSINV($B998)+SQRT(1-Q$9^2*$C$11)*NORMSINV(P998))*(Q$7-Q$5)*(Q$6-Q$5)),Q$7-SQRT((1-NORMSDIST(Q$9*SQRT($C$11)*NORMSINV($B998)+SQRT(1-Q$9^2*$C$11)*NORMSINV(P998)))*(Q$7-Q$5)*(Q$7-Q$6))))</f>
        <v>0.0557825347520606</v>
      </c>
      <c r="R998" s="2" t="n">
        <v>0.939871922</v>
      </c>
      <c r="S998" s="2" t="n">
        <f aca="false">IF(S$7=S$5,S$6,IF(NORMSDIST(S$9*SQRT($C$11)*NORMSINV($B998)+SQRT(1-S$9^2*$C$11)*NORMSINV(R998))&lt;S$8,S$5+SQRT(NORMSDIST(S$9*SQRT($C$11)*NORMSINV($B998)+SQRT(1-S$9^2*$C$11)*NORMSINV(R998))*(S$7-S$5)*(S$6-S$5)),S$7-SQRT((1-NORMSDIST(S$9*SQRT($C$11)*NORMSINV($B998)+SQRT(1-S$9^2*$C$11)*NORMSINV(R998)))*(S$7-S$5)*(S$7-S$6))))</f>
        <v>0.562906212948528</v>
      </c>
      <c r="T998" s="2" t="n">
        <v>0.966655936</v>
      </c>
      <c r="U998" s="2" t="n">
        <f aca="false">IF(U$7=U$5,U$6,IF(NORMSDIST(U$9*SQRT($C$11)*NORMSINV($B998)+SQRT(1-U$9^2*$C$11)*NORMSINV(T998))&lt;U$8,U$5+SQRT(NORMSDIST(U$9*SQRT($C$11)*NORMSINV($B998)+SQRT(1-U$9^2*$C$11)*NORMSINV(T998))*(U$7-U$5)*(U$6-U$5)),U$7-SQRT((1-NORMSDIST(U$9*SQRT($C$11)*NORMSINV($B998)+SQRT(1-U$9^2*$C$11)*NORMSINV(T998)))*(U$7-U$5)*(U$7-U$6))))</f>
        <v>0.611020176958044</v>
      </c>
      <c r="V998" s="2" t="n">
        <v>0.836964069</v>
      </c>
      <c r="W998" s="2" t="n">
        <f aca="false">IF(W$7=W$5,W$6,IF(NORMSDIST(W$9*SQRT($C$11)*NORMSINV($B998)+SQRT(1-W$9^2*$C$11)*NORMSINV(V998))&lt;W$8,W$5+SQRT(NORMSDIST(W$9*SQRT($C$11)*NORMSINV($B998)+SQRT(1-W$9^2*$C$11)*NORMSINV(V998))*(W$7-W$5)*(W$6-W$5)),W$7-SQRT((1-NORMSDIST(W$9*SQRT($C$11)*NORMSINV($B998)+SQRT(1-W$9^2*$C$11)*NORMSINV(V998)))*(W$7-W$5)*(W$7-W$6))))</f>
        <v>9.88300445700118</v>
      </c>
      <c r="X998" s="2" t="n">
        <v>0.613037556</v>
      </c>
      <c r="Y998" s="2" t="n">
        <f aca="false">IF(Y$7=Y$5,Y$6,IF(NORMSDIST(Y$9*SQRT($C$11)*NORMSINV($B998)+SQRT(1-Y$9^2*$C$11)*NORMSINV(X998))&lt;Y$8,Y$5+SQRT(NORMSDIST(Y$9*SQRT($C$11)*NORMSINV($B998)+SQRT(1-Y$9^2*$C$11)*NORMSINV(X998))*(Y$7-Y$5)*(Y$6-Y$5)),Y$7-SQRT((1-NORMSDIST(Y$9*SQRT($C$11)*NORMSINV($B998)+SQRT(1-Y$9^2*$C$11)*NORMSINV(X998)))*(Y$7-Y$5)*(Y$7-Y$6))))</f>
        <v>0.560134995708911</v>
      </c>
      <c r="Z998" s="2" t="n">
        <v>0.26068755</v>
      </c>
      <c r="AA998" s="2" t="n">
        <f aca="false">IF(AA$7=AA$5,AA$6,IF(NORMSDIST(AA$9*SQRT($C$11)*NORMSINV($B998)+SQRT(1-AA$9^2*$C$11)*NORMSINV(Z998))&lt;AA$8,AA$5+SQRT(NORMSDIST(AA$9*SQRT($C$11)*NORMSINV($B998)+SQRT(1-AA$9^2*$C$11)*NORMSINV(Z998))*(AA$7-AA$5)*(AA$6-AA$5)),AA$7-SQRT((1-NORMSDIST(AA$9*SQRT($C$11)*NORMSINV($B998)+SQRT(1-AA$9^2*$C$11)*NORMSINV(Z998)))*(AA$7-AA$5)*(AA$7-AA$6))))</f>
        <v>0.708471156515872</v>
      </c>
      <c r="AB998" s="2" t="n">
        <v>0.12886156</v>
      </c>
      <c r="AC998" s="2" t="n">
        <f aca="false">IF(AC$7=AC$5,AC$6,IF(NORMSDIST(AC$9*SQRT($C$11)*NORMSINV($B998)+SQRT(1-AC$9^2*$C$11)*NORMSINV(AB998))&lt;AC$8,AC$5+SQRT(NORMSDIST(AC$9*SQRT($C$11)*NORMSINV($B998)+SQRT(1-AC$9^2*$C$11)*NORMSINV(AB998))*(AC$7-AC$5)*(AC$6-AC$5)),AC$7-SQRT((1-NORMSDIST(AC$9*SQRT($C$11)*NORMSINV($B998)+SQRT(1-AC$9^2*$C$11)*NORMSINV(AB998)))*(AC$7-AC$5)*(AC$7-AC$6))))</f>
        <v>7.96937064055668</v>
      </c>
      <c r="AD998" s="2" t="n">
        <f aca="false">Entrées!$C$8*(1+E998)</f>
        <v>7407.68966787707</v>
      </c>
      <c r="AE998" s="2" t="n">
        <f aca="false">I998*Hypothèses!$J$24/12/Hypothèses!$J$19</f>
        <v>92.9473727326614</v>
      </c>
      <c r="AF998" s="2" t="n">
        <f aca="false">Entrées!$C$36*S998*1000</f>
        <v>281.453106474264</v>
      </c>
      <c r="AG998" s="2" t="n">
        <f aca="false">-AF998/W998</f>
        <v>-28.4784963619925</v>
      </c>
      <c r="AH998" s="2" t="n">
        <f aca="false">AD998+AE998+AG998</f>
        <v>7472.15854424774</v>
      </c>
      <c r="AI998" s="2" t="n">
        <f aca="false">Entrées!$C$16-M998+Hypothèses!$J$22*1000-AF998+Hypothèses!$J$23</f>
        <v>22786.0985124712</v>
      </c>
      <c r="AJ998" s="2" t="n">
        <f aca="false">AI998/AH998</f>
        <v>3.04946668055009</v>
      </c>
      <c r="AK998" s="2" t="n">
        <f aca="false">AI998/(AH998+I998*(12-Hypothèses!$J$24)/12/Hypothèses!$J$19)</f>
        <v>3.02261044218093</v>
      </c>
      <c r="AL998" s="2" t="n">
        <f aca="false">(AD998+AG998+I998/Hypothèses!$J$19)*(1+G998)</f>
        <v>7968.87765420417</v>
      </c>
      <c r="AM998" s="2" t="n">
        <f aca="false">Entrées!$C$54*K998/Hypothèses!$J$19</f>
        <v>10.9459610276103</v>
      </c>
      <c r="AN998" s="2" t="n">
        <f aca="false">Y998*1000/AC998</f>
        <v>70.285976267479</v>
      </c>
      <c r="AO998" s="2" t="n">
        <f aca="false">(Entrées!$C$36*(1-S998)+MAX(0,Entrées!$C$30-Entrées!$C$35-Entrées!$C$36)*U998)*1000</f>
        <v>1073.975141267</v>
      </c>
      <c r="AP998" s="2" t="n">
        <f aca="false">-AO998/W998</f>
        <v>-108.668891726158</v>
      </c>
      <c r="AQ998" s="2" t="n">
        <f aca="false">AL998+AM998+AN998+AP998</f>
        <v>7941.4406997731</v>
      </c>
      <c r="AR998" s="2" t="n">
        <f aca="false">O998*AQ998-Hypothèses!$J$25/Hypothèses!$J$19</f>
        <v>1247.4289806344</v>
      </c>
      <c r="AS998" s="2" t="n">
        <f aca="false">Entrées!$C$79*(1+Q998)+Hypothèses!$J$20</f>
        <v>1455.30500569251</v>
      </c>
      <c r="AT998" s="2" t="n">
        <f aca="false">AI998-AR998+AS998+Y998*1000-AO998+Hypothèses!$J$23</f>
        <v>22480.1343919712</v>
      </c>
      <c r="AU998" s="2" t="n">
        <f aca="false">AT998/AQ998</f>
        <v>2.83073755025502</v>
      </c>
      <c r="AV998" s="2" t="n">
        <f aca="false">Hypothèses!$J$26*AQ998-AT998</f>
        <v>1344.18770734812</v>
      </c>
      <c r="AW998" s="2" t="n">
        <f aca="false">IF(AC998&gt;Hypothèses!$J$26,MAX(0,AV998)/(1-Hypothèses!$J$26/AC998),0)</f>
        <v>2155.67137675552</v>
      </c>
      <c r="AX998" s="2" t="n">
        <f aca="false">AQ998-Entrées!$C$17*1000</f>
        <v>-58.5593002268988</v>
      </c>
      <c r="AY998" s="2" t="n">
        <f aca="false">AI998+(Entrées!$C$244-Entrées!$C$13)</f>
        <v>28533.0985124712</v>
      </c>
      <c r="AZ998" s="2" t="n">
        <f aca="false">AA998*AH998</f>
        <v>5293.80880551315</v>
      </c>
      <c r="BA998" s="2" t="n">
        <f aca="false">AZ998/AY998</f>
        <v>0.185532209311209</v>
      </c>
      <c r="BB998" s="2" t="n">
        <f aca="false">AZ998/(Entrées!$C$151/100)-AY998</f>
        <v>876.950407046355</v>
      </c>
      <c r="BC998" s="2" t="n">
        <f aca="false">AT998+(Entrées!$C$244-Entrées!$C$13)</f>
        <v>28227.1343919712</v>
      </c>
      <c r="BD998" s="2" t="n">
        <f aca="false">AA998*AQ998</f>
        <v>5626.28167697047</v>
      </c>
      <c r="BE998" s="2" t="n">
        <f aca="false">BD998/BC998</f>
        <v>0.199321744773737</v>
      </c>
      <c r="BF998" s="2" t="n">
        <f aca="false">BD998/(Entrées!$C$151/100)-BC998</f>
        <v>3029.98603564252</v>
      </c>
      <c r="BG998" s="2" t="n">
        <f aca="false">MIN(AV998,BF998)</f>
        <v>1344.18770734812</v>
      </c>
      <c r="BH998" s="2" t="n">
        <f aca="false">IF(AC998&gt;Hypothèses!$J$26,MAX(0,BG998)/(1-Hypothèses!$J$26/AC998),0)</f>
        <v>2155.67137675552</v>
      </c>
    </row>
    <row r="999" customFormat="false" ht="15" hidden="false" customHeight="false" outlineLevel="0" collapsed="false">
      <c r="A999" s="2" t="n">
        <v>984</v>
      </c>
      <c r="B999" s="2" t="n">
        <v>0.004872935</v>
      </c>
      <c r="C999" s="2"/>
      <c r="D999" s="2" t="n">
        <v>0.349449109</v>
      </c>
      <c r="E999" s="2" t="n">
        <f aca="false">IF(E$7=E$5,E$6,IF(NORMSDIST(E$9*SQRT($C$11)*NORMSINV($B999)+SQRT(1-E$9^2*$C$11)*NORMSINV(D999))&lt;E$8,E$5+SQRT(NORMSDIST(E$9*SQRT($C$11)*NORMSINV($B999)+SQRT(1-E$9^2*$C$11)*NORMSINV(D999))*(E$7-E$5)*(E$6-E$5)),E$7-SQRT((1-NORMSDIST(E$9*SQRT($C$11)*NORMSINV($B999)+SQRT(1-E$9^2*$C$11)*NORMSINV(D999)))*(E$7-E$5)*(E$7-E$6))))</f>
        <v>0.0511518615780313</v>
      </c>
      <c r="F999" s="2" t="n">
        <v>0.390661005</v>
      </c>
      <c r="G999" s="2" t="n">
        <f aca="false">IF(G$7=G$5,G$6,IF(NORMSDIST(G$9*SQRT($C$11)*NORMSINV($B999)+SQRT(1-G$9^2*$C$11)*NORMSINV(F999))&lt;G$8,G$5+SQRT(NORMSDIST(G$9*SQRT($C$11)*NORMSINV($B999)+SQRT(1-G$9^2*$C$11)*NORMSINV(F999))*(G$7-G$5)*(G$6-G$5)),G$7-SQRT((1-NORMSDIST(G$9*SQRT($C$11)*NORMSINV($B999)+SQRT(1-G$9^2*$C$11)*NORMSINV(F999)))*(G$7-G$5)*(G$7-G$6))))</f>
        <v>0.0438051063065187</v>
      </c>
      <c r="H999" s="2" t="n">
        <v>0.331349194</v>
      </c>
      <c r="I999" s="2" t="n">
        <f aca="false">IF(I$7=I$5,I$6,IF(NORMSDIST(I$9*SQRT($C$11)*NORMSINV($B999)+SQRT(1-I$9^2*$C$11)*NORMSINV(H999))&lt;I$8,I$5+SQRT(NORMSDIST(I$9*SQRT($C$11)*NORMSINV($B999)+SQRT(1-I$9^2*$C$11)*NORMSINV(H999))*(I$7-I$5)*(I$6-I$5)),I$7-SQRT((1-NORMSDIST(I$9*SQRT($C$11)*NORMSINV($B999)+SQRT(1-I$9^2*$C$11)*NORMSINV(H999)))*(I$7-I$5)*(I$7-I$6))))</f>
        <v>184.406458030668</v>
      </c>
      <c r="J999" s="2" t="n">
        <v>0.224296869</v>
      </c>
      <c r="K999" s="2" t="n">
        <f aca="false">IF(K$7=K$5,K$6,IF(NORMSDIST(K$9*SQRT($C$11)*NORMSINV($B999)+SQRT(1-K$9^2*$C$11)*NORMSINV(J999))&lt;K$8,K$5+SQRT(NORMSDIST(K$9*SQRT($C$11)*NORMSINV($B999)+SQRT(1-K$9^2*$C$11)*NORMSINV(J999))*(K$7-K$5)*(K$6-K$5)),K$7-SQRT((1-NORMSDIST(K$9*SQRT($C$11)*NORMSINV($B999)+SQRT(1-K$9^2*$C$11)*NORMSINV(J999)))*(K$7-K$5)*(K$7-K$6))))</f>
        <v>0.0405470605443895</v>
      </c>
      <c r="L999" s="2" t="n">
        <v>0.789656458</v>
      </c>
      <c r="M999" s="2" t="n">
        <f aca="false">IF(M$7=M$5,M$6,IF(NORMSDIST(M$9*SQRT($C$11)*NORMSINV($B999)+SQRT(1-M$9^2*$C$11)*NORMSINV(L999))&lt;M$8,M$5+SQRT(NORMSDIST(M$9*SQRT($C$11)*NORMSINV($B999)+SQRT(1-M$9^2*$C$11)*NORMSINV(L999))*(M$7-M$5)*(M$6-M$5)),M$7-SQRT((1-NORMSDIST(M$9*SQRT($C$11)*NORMSINV($B999)+SQRT(1-M$9^2*$C$11)*NORMSINV(L999)))*(M$7-M$5)*(M$7-M$6))))</f>
        <v>1460.80627418427</v>
      </c>
      <c r="N999" s="2" t="n">
        <v>0.932877736</v>
      </c>
      <c r="O999" s="2" t="n">
        <f aca="false">IF(O$7=O$5,O$6,IF(NORMSDIST(O$9*SQRT($C$11)*NORMSINV($B999)+SQRT(1-O$9^2*$C$11)*NORMSINV(N999))&lt;O$8,O$5+SQRT(NORMSDIST(O$9*SQRT($C$11)*NORMSINV($B999)+SQRT(1-O$9^2*$C$11)*NORMSINV(N999))*(O$7-O$5)*(O$6-O$5)),O$7-SQRT((1-NORMSDIST(O$9*SQRT($C$11)*NORMSINV($B999)+SQRT(1-O$9^2*$C$11)*NORMSINV(N999)))*(O$7-O$5)*(O$7-O$6))))</f>
        <v>0.161343683542271</v>
      </c>
      <c r="P999" s="2" t="n">
        <v>0.641762928</v>
      </c>
      <c r="Q999" s="2" t="n">
        <f aca="false">IF(Q$7=Q$5,Q$6,IF(NORMSDIST(Q$9*SQRT($C$11)*NORMSINV($B999)+SQRT(1-Q$9^2*$C$11)*NORMSINV(P999))&lt;Q$8,Q$5+SQRT(NORMSDIST(Q$9*SQRT($C$11)*NORMSINV($B999)+SQRT(1-Q$9^2*$C$11)*NORMSINV(P999))*(Q$7-Q$5)*(Q$6-Q$5)),Q$7-SQRT((1-NORMSDIST(Q$9*SQRT($C$11)*NORMSINV($B999)+SQRT(1-Q$9^2*$C$11)*NORMSINV(P999)))*(Q$7-Q$5)*(Q$7-Q$6))))</f>
        <v>0.086142081717861</v>
      </c>
      <c r="R999" s="2" t="n">
        <v>0.280440925</v>
      </c>
      <c r="S999" s="2" t="n">
        <f aca="false">IF(S$7=S$5,S$6,IF(NORMSDIST(S$9*SQRT($C$11)*NORMSINV($B999)+SQRT(1-S$9^2*$C$11)*NORMSINV(R999))&lt;S$8,S$5+SQRT(NORMSDIST(S$9*SQRT($C$11)*NORMSINV($B999)+SQRT(1-S$9^2*$C$11)*NORMSINV(R999))*(S$7-S$5)*(S$6-S$5)),S$7-SQRT((1-NORMSDIST(S$9*SQRT($C$11)*NORMSINV($B999)+SQRT(1-S$9^2*$C$11)*NORMSINV(R999)))*(S$7-S$5)*(S$7-S$6))))</f>
        <v>0.0962466748316975</v>
      </c>
      <c r="T999" s="2" t="n">
        <v>0.73674529</v>
      </c>
      <c r="U999" s="2" t="n">
        <f aca="false">IF(U$7=U$5,U$6,IF(NORMSDIST(U$9*SQRT($C$11)*NORMSINV($B999)+SQRT(1-U$9^2*$C$11)*NORMSINV(T999))&lt;U$8,U$5+SQRT(NORMSDIST(U$9*SQRT($C$11)*NORMSINV($B999)+SQRT(1-U$9^2*$C$11)*NORMSINV(T999))*(U$7-U$5)*(U$6-U$5)),U$7-SQRT((1-NORMSDIST(U$9*SQRT($C$11)*NORMSINV($B999)+SQRT(1-U$9^2*$C$11)*NORMSINV(T999)))*(U$7-U$5)*(U$7-U$6))))</f>
        <v>0.25128086735066</v>
      </c>
      <c r="V999" s="2" t="n">
        <v>0.982282091</v>
      </c>
      <c r="W999" s="2" t="n">
        <f aca="false">IF(W$7=W$5,W$6,IF(NORMSDIST(W$9*SQRT($C$11)*NORMSINV($B999)+SQRT(1-W$9^2*$C$11)*NORMSINV(V999))&lt;W$8,W$5+SQRT(NORMSDIST(W$9*SQRT($C$11)*NORMSINV($B999)+SQRT(1-W$9^2*$C$11)*NORMSINV(V999))*(W$7-W$5)*(W$6-W$5)),W$7-SQRT((1-NORMSDIST(W$9*SQRT($C$11)*NORMSINV($B999)+SQRT(1-W$9^2*$C$11)*NORMSINV(V999)))*(W$7-W$5)*(W$7-W$6))))</f>
        <v>9.9956253529035</v>
      </c>
      <c r="X999" s="2" t="n">
        <v>0.769979114</v>
      </c>
      <c r="Y999" s="2" t="n">
        <f aca="false">IF(Y$7=Y$5,Y$6,IF(NORMSDIST(Y$9*SQRT($C$11)*NORMSINV($B999)+SQRT(1-Y$9^2*$C$11)*NORMSINV(X999))&lt;Y$8,Y$5+SQRT(NORMSDIST(Y$9*SQRT($C$11)*NORMSINV($B999)+SQRT(1-Y$9^2*$C$11)*NORMSINV(X999))*(Y$7-Y$5)*(Y$6-Y$5)),Y$7-SQRT((1-NORMSDIST(Y$9*SQRT($C$11)*NORMSINV($B999)+SQRT(1-Y$9^2*$C$11)*NORMSINV(X999)))*(Y$7-Y$5)*(Y$7-Y$6))))</f>
        <v>0.660868103829793</v>
      </c>
      <c r="Z999" s="2" t="n">
        <v>0.404110937</v>
      </c>
      <c r="AA999" s="2" t="n">
        <f aca="false">IF(AA$7=AA$5,AA$6,IF(NORMSDIST(AA$9*SQRT($C$11)*NORMSINV($B999)+SQRT(1-AA$9^2*$C$11)*NORMSINV(Z999))&lt;AA$8,AA$5+SQRT(NORMSDIST(AA$9*SQRT($C$11)*NORMSINV($B999)+SQRT(1-AA$9^2*$C$11)*NORMSINV(Z999))*(AA$7-AA$5)*(AA$6-AA$5)),AA$7-SQRT((1-NORMSDIST(AA$9*SQRT($C$11)*NORMSINV($B999)+SQRT(1-AA$9^2*$C$11)*NORMSINV(Z999)))*(AA$7-AA$5)*(AA$7-AA$6))))</f>
        <v>0.703876254095162</v>
      </c>
      <c r="AB999" s="2" t="n">
        <v>0.231100551</v>
      </c>
      <c r="AC999" s="2" t="n">
        <f aca="false">IF(AC$7=AC$5,AC$6,IF(NORMSDIST(AC$9*SQRT($C$11)*NORMSINV($B999)+SQRT(1-AC$9^2*$C$11)*NORMSINV(AB999))&lt;AC$8,AC$5+SQRT(NORMSDIST(AC$9*SQRT($C$11)*NORMSINV($B999)+SQRT(1-AC$9^2*$C$11)*NORMSINV(AB999))*(AC$7-AC$5)*(AC$6-AC$5)),AC$7-SQRT((1-NORMSDIST(AC$9*SQRT($C$11)*NORMSINV($B999)+SQRT(1-AC$9^2*$C$11)*NORMSINV(AB999)))*(AC$7-AC$5)*(AC$7-AC$6))))</f>
        <v>7.74472773954336</v>
      </c>
      <c r="AD999" s="2" t="n">
        <f aca="false">Entrées!$C$8*(1+E999)</f>
        <v>7410.62062412512</v>
      </c>
      <c r="AE999" s="2" t="n">
        <f aca="false">I999*Hypothèses!$J$24/12/Hypothèses!$J$19</f>
        <v>91.4834536131846</v>
      </c>
      <c r="AF999" s="2" t="n">
        <f aca="false">Entrées!$C$36*S999*1000</f>
        <v>48.1233374158488</v>
      </c>
      <c r="AG999" s="2" t="n">
        <f aca="false">-AF999/W999</f>
        <v>-4.8144398891331</v>
      </c>
      <c r="AH999" s="2" t="n">
        <f aca="false">AD999+AE999+AG999</f>
        <v>7497.28963784917</v>
      </c>
      <c r="AI999" s="2" t="n">
        <f aca="false">Entrées!$C$16-M999+Hypothèses!$J$22*1000-AF999+Hypothèses!$J$23</f>
        <v>23039.0703883999</v>
      </c>
      <c r="AJ999" s="2" t="n">
        <f aca="false">AI999/AH999</f>
        <v>3.07298657265285</v>
      </c>
      <c r="AK999" s="2" t="n">
        <f aca="false">AI999/(AH999+I999*(12-Hypothèses!$J$24)/12/Hypothèses!$J$19)</f>
        <v>3.0464342791362</v>
      </c>
      <c r="AL999" s="2" t="n">
        <f aca="false">(AD999+AG999+I999/Hypothèses!$J$19)*(1+G999)</f>
        <v>7893.9169903202</v>
      </c>
      <c r="AM999" s="2" t="n">
        <f aca="false">Entrées!$C$54*K999/Hypothèses!$J$19</f>
        <v>4.13799777466061</v>
      </c>
      <c r="AN999" s="2" t="n">
        <f aca="false">Y999*1000/AC999</f>
        <v>85.331353929397</v>
      </c>
      <c r="AO999" s="2" t="n">
        <f aca="false">(Entrées!$C$36*(1-S999)+MAX(0,Entrées!$C$30-Entrées!$C$35-Entrées!$C$36)*U999)*1000</f>
        <v>803.669876875075</v>
      </c>
      <c r="AP999" s="2" t="n">
        <f aca="false">-AO999/W999</f>
        <v>-80.4021607954351</v>
      </c>
      <c r="AQ999" s="2" t="n">
        <f aca="false">AL999+AM999+AN999+AP999</f>
        <v>7902.98418122882</v>
      </c>
      <c r="AR999" s="2" t="n">
        <f aca="false">O999*AQ999-Hypothèses!$J$25/Hypothèses!$J$19</f>
        <v>1255.96141651413</v>
      </c>
      <c r="AS999" s="2" t="n">
        <f aca="false">Entrées!$C$79*(1+Q999)+Hypothèses!$J$20</f>
        <v>1488.67014780793</v>
      </c>
      <c r="AT999" s="2" t="n">
        <f aca="false">AI999-AR999+AS999+Y999*1000-AO999+Hypothèses!$J$23</f>
        <v>23128.9773466484</v>
      </c>
      <c r="AU999" s="2" t="n">
        <f aca="false">AT999/AQ999</f>
        <v>2.92661313957636</v>
      </c>
      <c r="AV999" s="2" t="n">
        <f aca="false">Hypothèses!$J$26*AQ999-AT999</f>
        <v>579.975197038068</v>
      </c>
      <c r="AW999" s="2" t="n">
        <f aca="false">IF(AC999&gt;Hypothèses!$J$26,MAX(0,AV999)/(1-Hypothèses!$J$26/AC999),0)</f>
        <v>946.682347927542</v>
      </c>
      <c r="AX999" s="2" t="n">
        <f aca="false">AQ999-Entrées!$C$17*1000</f>
        <v>-97.0158187711768</v>
      </c>
      <c r="AY999" s="2" t="n">
        <f aca="false">AI999+(Entrées!$C$244-Entrées!$C$13)</f>
        <v>28786.0703883999</v>
      </c>
      <c r="AZ999" s="2" t="n">
        <f aca="false">AA999*AH999</f>
        <v>5277.16414615575</v>
      </c>
      <c r="BA999" s="2" t="n">
        <f aca="false">AZ999/AY999</f>
        <v>0.18332353374229</v>
      </c>
      <c r="BB999" s="2" t="n">
        <f aca="false">AZ999/(Entrées!$C$151/100)-AY999</f>
        <v>531.508201354274</v>
      </c>
      <c r="BC999" s="2" t="n">
        <f aca="false">AT999+(Entrées!$C$244-Entrées!$C$13)</f>
        <v>28875.9773466484</v>
      </c>
      <c r="BD999" s="2" t="n">
        <f aca="false">AA999*AQ999</f>
        <v>5562.72290165666</v>
      </c>
      <c r="BE999" s="2" t="n">
        <f aca="false">BD999/BC999</f>
        <v>0.192641891731582</v>
      </c>
      <c r="BF999" s="2" t="n">
        <f aca="false">BD999/(Entrées!$C$151/100)-BC999</f>
        <v>2028.03877366639</v>
      </c>
      <c r="BG999" s="2" t="n">
        <f aca="false">MIN(AV999,BF999)</f>
        <v>579.975197038068</v>
      </c>
      <c r="BH999" s="2" t="n">
        <f aca="false">IF(AC999&gt;Hypothèses!$J$26,MAX(0,BG999)/(1-Hypothèses!$J$26/AC999),0)</f>
        <v>946.682347927542</v>
      </c>
    </row>
    <row r="1000" customFormat="false" ht="15" hidden="false" customHeight="false" outlineLevel="0" collapsed="false">
      <c r="A1000" s="2" t="n">
        <v>985</v>
      </c>
      <c r="B1000" s="2" t="n">
        <v>0.784454279</v>
      </c>
      <c r="C1000" s="2"/>
      <c r="D1000" s="2" t="n">
        <v>0.816271732</v>
      </c>
      <c r="E1000" s="2" t="n">
        <f aca="false">IF(E$7=E$5,E$6,IF(NORMSDIST(E$9*SQRT($C$11)*NORMSINV($B1000)+SQRT(1-E$9^2*$C$11)*NORMSINV(D1000))&lt;E$8,E$5+SQRT(NORMSDIST(E$9*SQRT($C$11)*NORMSINV($B1000)+SQRT(1-E$9^2*$C$11)*NORMSINV(D1000))*(E$7-E$5)*(E$6-E$5)),E$7-SQRT((1-NORMSDIST(E$9*SQRT($C$11)*NORMSINV($B1000)+SQRT(1-E$9^2*$C$11)*NORMSINV(D1000)))*(E$7-E$5)*(E$7-E$6))))</f>
        <v>0.0575933616990271</v>
      </c>
      <c r="F1000" s="2" t="n">
        <v>0.58252166</v>
      </c>
      <c r="G1000" s="2" t="n">
        <f aca="false">IF(G$7=G$5,G$6,IF(NORMSDIST(G$9*SQRT($C$11)*NORMSINV($B1000)+SQRT(1-G$9^2*$C$11)*NORMSINV(F1000))&lt;G$8,G$5+SQRT(NORMSDIST(G$9*SQRT($C$11)*NORMSINV($B1000)+SQRT(1-G$9^2*$C$11)*NORMSINV(F1000))*(G$7-G$5)*(G$6-G$5)),G$7-SQRT((1-NORMSDIST(G$9*SQRT($C$11)*NORMSINV($B1000)+SQRT(1-G$9^2*$C$11)*NORMSINV(F1000)))*(G$7-G$5)*(G$7-G$6))))</f>
        <v>0.0592912081382668</v>
      </c>
      <c r="H1000" s="2" t="n">
        <v>0.029143527</v>
      </c>
      <c r="I1000" s="2" t="n">
        <f aca="false">IF(I$7=I$5,I$6,IF(NORMSDIST(I$9*SQRT($C$11)*NORMSINV($B1000)+SQRT(1-I$9^2*$C$11)*NORMSINV(H1000))&lt;I$8,I$5+SQRT(NORMSDIST(I$9*SQRT($C$11)*NORMSINV($B1000)+SQRT(1-I$9^2*$C$11)*NORMSINV(H1000))*(I$7-I$5)*(I$6-I$5)),I$7-SQRT((1-NORMSDIST(I$9*SQRT($C$11)*NORMSINV($B1000)+SQRT(1-I$9^2*$C$11)*NORMSINV(H1000)))*(I$7-I$5)*(I$7-I$6))))</f>
        <v>191.535285096016</v>
      </c>
      <c r="J1000" s="2" t="n">
        <v>0.0907426</v>
      </c>
      <c r="K1000" s="2" t="n">
        <f aca="false">IF(K$7=K$5,K$6,IF(NORMSDIST(K$9*SQRT($C$11)*NORMSINV($B1000)+SQRT(1-K$9^2*$C$11)*NORMSINV(J1000))&lt;K$8,K$5+SQRT(NORMSDIST(K$9*SQRT($C$11)*NORMSINV($B1000)+SQRT(1-K$9^2*$C$11)*NORMSINV(J1000))*(K$7-K$5)*(K$6-K$5)),K$7-SQRT((1-NORMSDIST(K$9*SQRT($C$11)*NORMSINV($B1000)+SQRT(1-K$9^2*$C$11)*NORMSINV(J1000)))*(K$7-K$5)*(K$7-K$6))))</f>
        <v>0.192227548873171</v>
      </c>
      <c r="L1000" s="2" t="n">
        <v>0.032698023</v>
      </c>
      <c r="M1000" s="2" t="n">
        <f aca="false">IF(M$7=M$5,M$6,IF(NORMSDIST(M$9*SQRT($C$11)*NORMSINV($B1000)+SQRT(1-M$9^2*$C$11)*NORMSINV(L1000))&lt;M$8,M$5+SQRT(NORMSDIST(M$9*SQRT($C$11)*NORMSINV($B1000)+SQRT(1-M$9^2*$C$11)*NORMSINV(L1000))*(M$7-M$5)*(M$6-M$5)),M$7-SQRT((1-NORMSDIST(M$9*SQRT($C$11)*NORMSINV($B1000)+SQRT(1-M$9^2*$C$11)*NORMSINV(L1000)))*(M$7-M$5)*(M$7-M$6))))</f>
        <v>1470.77614510945</v>
      </c>
      <c r="N1000" s="2" t="n">
        <v>0.30156991</v>
      </c>
      <c r="O1000" s="2" t="n">
        <f aca="false">IF(O$7=O$5,O$6,IF(NORMSDIST(O$9*SQRT($C$11)*NORMSINV($B1000)+SQRT(1-O$9^2*$C$11)*NORMSINV(N1000))&lt;O$8,O$5+SQRT(NORMSDIST(O$9*SQRT($C$11)*NORMSINV($B1000)+SQRT(1-O$9^2*$C$11)*NORMSINV(N1000))*(O$7-O$5)*(O$6-O$5)),O$7-SQRT((1-NORMSDIST(O$9*SQRT($C$11)*NORMSINV($B1000)+SQRT(1-O$9^2*$C$11)*NORMSINV(N1000)))*(O$7-O$5)*(O$7-O$6))))</f>
        <v>0.167782092389327</v>
      </c>
      <c r="P1000" s="2" t="n">
        <v>0.497473771</v>
      </c>
      <c r="Q1000" s="2" t="n">
        <f aca="false">IF(Q$7=Q$5,Q$6,IF(NORMSDIST(Q$9*SQRT($C$11)*NORMSINV($B1000)+SQRT(1-Q$9^2*$C$11)*NORMSINV(P1000))&lt;Q$8,Q$5+SQRT(NORMSDIST(Q$9*SQRT($C$11)*NORMSINV($B1000)+SQRT(1-Q$9^2*$C$11)*NORMSINV(P1000))*(Q$7-Q$5)*(Q$6-Q$5)),Q$7-SQRT((1-NORMSDIST(Q$9*SQRT($C$11)*NORMSINV($B1000)+SQRT(1-Q$9^2*$C$11)*NORMSINV(P1000)))*(Q$7-Q$5)*(Q$7-Q$6))))</f>
        <v>0.0798988228798796</v>
      </c>
      <c r="R1000" s="2" t="n">
        <v>0.876977051</v>
      </c>
      <c r="S1000" s="2" t="n">
        <f aca="false">IF(S$7=S$5,S$6,IF(NORMSDIST(S$9*SQRT($C$11)*NORMSINV($B1000)+SQRT(1-S$9^2*$C$11)*NORMSINV(R1000))&lt;S$8,S$5+SQRT(NORMSDIST(S$9*SQRT($C$11)*NORMSINV($B1000)+SQRT(1-S$9^2*$C$11)*NORMSINV(R1000))*(S$7-S$5)*(S$6-S$5)),S$7-SQRT((1-NORMSDIST(S$9*SQRT($C$11)*NORMSINV($B1000)+SQRT(1-S$9^2*$C$11)*NORMSINV(R1000)))*(S$7-S$5)*(S$7-S$6))))</f>
        <v>0.79840125640046</v>
      </c>
      <c r="T1000" s="2" t="n">
        <v>0.967531502</v>
      </c>
      <c r="U1000" s="2" t="n">
        <f aca="false">IF(U$7=U$5,U$6,IF(NORMSDIST(U$9*SQRT($C$11)*NORMSINV($B1000)+SQRT(1-U$9^2*$C$11)*NORMSINV(T1000))&lt;U$8,U$5+SQRT(NORMSDIST(U$9*SQRT($C$11)*NORMSINV($B1000)+SQRT(1-U$9^2*$C$11)*NORMSINV(T1000))*(U$7-U$5)*(U$6-U$5)),U$7-SQRT((1-NORMSDIST(U$9*SQRT($C$11)*NORMSINV($B1000)+SQRT(1-U$9^2*$C$11)*NORMSINV(T1000)))*(U$7-U$5)*(U$7-U$6))))</f>
        <v>0.883914846092752</v>
      </c>
      <c r="V1000" s="2" t="n">
        <v>0.162196478</v>
      </c>
      <c r="W1000" s="2" t="n">
        <f aca="false">IF(W$7=W$5,W$6,IF(NORMSDIST(W$9*SQRT($C$11)*NORMSINV($B1000)+SQRT(1-W$9^2*$C$11)*NORMSINV(V1000))&lt;W$8,W$5+SQRT(NORMSDIST(W$9*SQRT($C$11)*NORMSINV($B1000)+SQRT(1-W$9^2*$C$11)*NORMSINV(V1000))*(W$7-W$5)*(W$6-W$5)),W$7-SQRT((1-NORMSDIST(W$9*SQRT($C$11)*NORMSINV($B1000)+SQRT(1-W$9^2*$C$11)*NORMSINV(V1000)))*(W$7-W$5)*(W$7-W$6))))</f>
        <v>9.77843297438223</v>
      </c>
      <c r="X1000" s="2" t="n">
        <v>0.555554516</v>
      </c>
      <c r="Y1000" s="2" t="n">
        <f aca="false">IF(Y$7=Y$5,Y$6,IF(NORMSDIST(Y$9*SQRT($C$11)*NORMSINV($B1000)+SQRT(1-Y$9^2*$C$11)*NORMSINV(X1000))&lt;Y$8,Y$5+SQRT(NORMSDIST(Y$9*SQRT($C$11)*NORMSINV($B1000)+SQRT(1-Y$9^2*$C$11)*NORMSINV(X1000))*(Y$7-Y$5)*(Y$6-Y$5)),Y$7-SQRT((1-NORMSDIST(Y$9*SQRT($C$11)*NORMSINV($B1000)+SQRT(1-Y$9^2*$C$11)*NORMSINV(X1000)))*(Y$7-Y$5)*(Y$7-Y$6))))</f>
        <v>0.528594927901704</v>
      </c>
      <c r="Z1000" s="2" t="n">
        <v>0.621049382</v>
      </c>
      <c r="AA1000" s="2" t="n">
        <f aca="false">IF(AA$7=AA$5,AA$6,IF(NORMSDIST(AA$9*SQRT($C$11)*NORMSINV($B1000)+SQRT(1-AA$9^2*$C$11)*NORMSINV(Z1000))&lt;AA$8,AA$5+SQRT(NORMSDIST(AA$9*SQRT($C$11)*NORMSINV($B1000)+SQRT(1-AA$9^2*$C$11)*NORMSINV(Z1000))*(AA$7-AA$5)*(AA$6-AA$5)),AA$7-SQRT((1-NORMSDIST(AA$9*SQRT($C$11)*NORMSINV($B1000)+SQRT(1-AA$9^2*$C$11)*NORMSINV(Z1000)))*(AA$7-AA$5)*(AA$7-AA$6))))</f>
        <v>0.736651957925405</v>
      </c>
      <c r="AB1000" s="2" t="n">
        <v>0.969574226</v>
      </c>
      <c r="AC1000" s="2" t="n">
        <f aca="false">IF(AC$7=AC$5,AC$6,IF(NORMSDIST(AC$9*SQRT($C$11)*NORMSINV($B1000)+SQRT(1-AC$9^2*$C$11)*NORMSINV(AB1000))&lt;AC$8,AC$5+SQRT(NORMSDIST(AC$9*SQRT($C$11)*NORMSINV($B1000)+SQRT(1-AC$9^2*$C$11)*NORMSINV(AB1000))*(AC$7-AC$5)*(AC$6-AC$5)),AC$7-SQRT((1-NORMSDIST(AC$9*SQRT($C$11)*NORMSINV($B1000)+SQRT(1-AC$9^2*$C$11)*NORMSINV(AB1000)))*(AC$7-AC$5)*(AC$7-AC$6))))</f>
        <v>10.6675183671546</v>
      </c>
      <c r="AD1000" s="2" t="n">
        <f aca="false">Entrées!$C$8*(1+E1000)</f>
        <v>7456.03319997814</v>
      </c>
      <c r="AE1000" s="2" t="n">
        <f aca="false">I1000*Hypothèses!$J$24/12/Hypothèses!$J$19</f>
        <v>95.0200419036049</v>
      </c>
      <c r="AF1000" s="2" t="n">
        <f aca="false">Entrées!$C$36*S1000*1000</f>
        <v>399.20062820023</v>
      </c>
      <c r="AG1000" s="2" t="n">
        <f aca="false">-AF1000/W1000</f>
        <v>-40.8246013697763</v>
      </c>
      <c r="AH1000" s="2" t="n">
        <f aca="false">AD1000+AE1000+AG1000</f>
        <v>7510.22864051197</v>
      </c>
      <c r="AI1000" s="2" t="n">
        <f aca="false">Entrées!$C$16-M1000+Hypothèses!$J$22*1000-AF1000+Hypothèses!$J$23</f>
        <v>22678.0232266903</v>
      </c>
      <c r="AJ1000" s="2" t="n">
        <f aca="false">AI1000/AH1000</f>
        <v>3.01961821832689</v>
      </c>
      <c r="AK1000" s="2" t="n">
        <f aca="false">AI1000/(AH1000+I1000*(12-Hypothèses!$J$24)/12/Hypothèses!$J$19)</f>
        <v>2.99257372301527</v>
      </c>
      <c r="AL1000" s="2" t="n">
        <f aca="false">(AD1000+AG1000+I1000/Hypothèses!$J$19)*(1+G1000)</f>
        <v>8027.41480927784</v>
      </c>
      <c r="AM1000" s="2" t="n">
        <f aca="false">Entrées!$C$54*K1000/Hypothèses!$J$19</f>
        <v>19.6176284738281</v>
      </c>
      <c r="AN1000" s="2" t="n">
        <f aca="false">Y1000*1000/AC1000</f>
        <v>49.5518179307059</v>
      </c>
      <c r="AO1000" s="2" t="n">
        <f aca="false">(Entrées!$C$36*(1-S1000)+MAX(0,Entrées!$C$30-Entrées!$C$35-Entrées!$C$36)*U1000)*1000</f>
        <v>1338.28015632962</v>
      </c>
      <c r="AP1000" s="2" t="n">
        <f aca="false">-AO1000/W1000</f>
        <v>-136.860390599975</v>
      </c>
      <c r="AQ1000" s="2" t="n">
        <f aca="false">AL1000+AM1000+AN1000+AP1000</f>
        <v>7959.7238650824</v>
      </c>
      <c r="AR1000" s="2" t="n">
        <f aca="false">O1000*AQ1000-Hypothèses!$J$25/Hypothèses!$J$19</f>
        <v>1316.36396266316</v>
      </c>
      <c r="AS1000" s="2" t="n">
        <f aca="false">Entrées!$C$79*(1+Q1000)+Hypothèses!$J$20</f>
        <v>1481.80880634499</v>
      </c>
      <c r="AT1000" s="2" t="n">
        <f aca="false">AI1000-AR1000+AS1000+Y1000*1000-AO1000+Hypothèses!$J$23</f>
        <v>22033.7828419442</v>
      </c>
      <c r="AU1000" s="2" t="n">
        <f aca="false">AT1000/AQ1000</f>
        <v>2.76815919941667</v>
      </c>
      <c r="AV1000" s="2" t="n">
        <f aca="false">Hypothèses!$J$26*AQ1000-AT1000</f>
        <v>1845.38875330296</v>
      </c>
      <c r="AW1000" s="2" t="n">
        <f aca="false">IF(AC1000&gt;Hypothèses!$J$26,MAX(0,AV1000)/(1-Hypothèses!$J$26/AC1000),0)</f>
        <v>2567.41718477359</v>
      </c>
      <c r="AX1000" s="2" t="n">
        <f aca="false">AQ1000-Entrées!$C$17*1000</f>
        <v>-40.2761349176035</v>
      </c>
      <c r="AY1000" s="2" t="n">
        <f aca="false">AI1000+(Entrées!$C$244-Entrées!$C$13)</f>
        <v>28425.0232266903</v>
      </c>
      <c r="AZ1000" s="2" t="n">
        <f aca="false">AA1000*AH1000</f>
        <v>5532.4246325006</v>
      </c>
      <c r="BA1000" s="2" t="n">
        <f aca="false">AZ1000/AY1000</f>
        <v>0.194632193908141</v>
      </c>
      <c r="BB1000" s="2" t="n">
        <f aca="false">AZ1000/(Entrées!$C$151/100)-AY1000</f>
        <v>2310.66917609076</v>
      </c>
      <c r="BC1000" s="2" t="n">
        <f aca="false">AT1000+(Entrées!$C$244-Entrées!$C$13)</f>
        <v>27780.7828419442</v>
      </c>
      <c r="BD1000" s="2" t="n">
        <f aca="false">AA1000*AQ1000</f>
        <v>5863.54616975852</v>
      </c>
      <c r="BE1000" s="2" t="n">
        <f aca="false">BD1000/BC1000</f>
        <v>0.211064828630587</v>
      </c>
      <c r="BF1000" s="2" t="n">
        <f aca="false">BD1000/(Entrées!$C$151/100)-BC1000</f>
        <v>4794.47365671421</v>
      </c>
      <c r="BG1000" s="2" t="n">
        <f aca="false">MIN(AV1000,BF1000)</f>
        <v>1845.38875330296</v>
      </c>
      <c r="BH1000" s="2" t="n">
        <f aca="false">IF(AC1000&gt;Hypothèses!$J$26,MAX(0,BG1000)/(1-Hypothèses!$J$26/AC1000),0)</f>
        <v>2567.41718477359</v>
      </c>
    </row>
    <row r="1001" customFormat="false" ht="15" hidden="false" customHeight="false" outlineLevel="0" collapsed="false">
      <c r="A1001" s="2" t="n">
        <v>986</v>
      </c>
      <c r="B1001" s="2" t="n">
        <v>0.056120806</v>
      </c>
      <c r="C1001" s="2"/>
      <c r="D1001" s="2" t="n">
        <v>0.851653756</v>
      </c>
      <c r="E1001" s="2" t="n">
        <f aca="false">IF(E$7=E$5,E$6,IF(NORMSDIST(E$9*SQRT($C$11)*NORMSINV($B1001)+SQRT(1-E$9^2*$C$11)*NORMSINV(D1001))&lt;E$8,E$5+SQRT(NORMSDIST(E$9*SQRT($C$11)*NORMSINV($B1001)+SQRT(1-E$9^2*$C$11)*NORMSINV(D1001))*(E$7-E$5)*(E$6-E$5)),E$7-SQRT((1-NORMSDIST(E$9*SQRT($C$11)*NORMSINV($B1001)+SQRT(1-E$9^2*$C$11)*NORMSINV(D1001)))*(E$7-E$5)*(E$7-E$6))))</f>
        <v>0.0545948522084443</v>
      </c>
      <c r="F1001" s="2" t="n">
        <v>0.19444209</v>
      </c>
      <c r="G1001" s="2" t="n">
        <f aca="false">IF(G$7=G$5,G$6,IF(NORMSDIST(G$9*SQRT($C$11)*NORMSINV($B1001)+SQRT(1-G$9^2*$C$11)*NORMSINV(F1001))&lt;G$8,G$5+SQRT(NORMSDIST(G$9*SQRT($C$11)*NORMSINV($B1001)+SQRT(1-G$9^2*$C$11)*NORMSINV(F1001))*(G$7-G$5)*(G$6-G$5)),G$7-SQRT((1-NORMSDIST(G$9*SQRT($C$11)*NORMSINV($B1001)+SQRT(1-G$9^2*$C$11)*NORMSINV(F1001)))*(G$7-G$5)*(G$7-G$6))))</f>
        <v>0.044612250127423</v>
      </c>
      <c r="H1001" s="2" t="n">
        <v>0.014506444</v>
      </c>
      <c r="I1001" s="2" t="n">
        <f aca="false">IF(I$7=I$5,I$6,IF(NORMSDIST(I$9*SQRT($C$11)*NORMSINV($B1001)+SQRT(1-I$9^2*$C$11)*NORMSINV(H1001))&lt;I$8,I$5+SQRT(NORMSDIST(I$9*SQRT($C$11)*NORMSINV($B1001)+SQRT(1-I$9^2*$C$11)*NORMSINV(H1001))*(I$7-I$5)*(I$6-I$5)),I$7-SQRT((1-NORMSDIST(I$9*SQRT($C$11)*NORMSINV($B1001)+SQRT(1-I$9^2*$C$11)*NORMSINV(H1001)))*(I$7-I$5)*(I$7-I$6))))</f>
        <v>181.67632209388</v>
      </c>
      <c r="J1001" s="2" t="n">
        <v>0.124800677</v>
      </c>
      <c r="K1001" s="2" t="n">
        <f aca="false">IF(K$7=K$5,K$6,IF(NORMSDIST(K$9*SQRT($C$11)*NORMSINV($B1001)+SQRT(1-K$9^2*$C$11)*NORMSINV(J1001))&lt;K$8,K$5+SQRT(NORMSDIST(K$9*SQRT($C$11)*NORMSINV($B1001)+SQRT(1-K$9^2*$C$11)*NORMSINV(J1001))*(K$7-K$5)*(K$6-K$5)),K$7-SQRT((1-NORMSDIST(K$9*SQRT($C$11)*NORMSINV($B1001)+SQRT(1-K$9^2*$C$11)*NORMSINV(J1001)))*(K$7-K$5)*(K$7-K$6))))</f>
        <v>0.0601685761020767</v>
      </c>
      <c r="L1001" s="2" t="n">
        <v>0.653235008</v>
      </c>
      <c r="M1001" s="2" t="n">
        <f aca="false">IF(M$7=M$5,M$6,IF(NORMSDIST(M$9*SQRT($C$11)*NORMSINV($B1001)+SQRT(1-M$9^2*$C$11)*NORMSINV(L1001))&lt;M$8,M$5+SQRT(NORMSDIST(M$9*SQRT($C$11)*NORMSINV($B1001)+SQRT(1-M$9^2*$C$11)*NORMSINV(L1001))*(M$7-M$5)*(M$6-M$5)),M$7-SQRT((1-NORMSDIST(M$9*SQRT($C$11)*NORMSINV($B1001)+SQRT(1-M$9^2*$C$11)*NORMSINV(L1001)))*(M$7-M$5)*(M$7-M$6))))</f>
        <v>1499.57687525051</v>
      </c>
      <c r="N1001" s="2" t="n">
        <v>0.922157438</v>
      </c>
      <c r="O1001" s="2" t="n">
        <f aca="false">IF(O$7=O$5,O$6,IF(NORMSDIST(O$9*SQRT($C$11)*NORMSINV($B1001)+SQRT(1-O$9^2*$C$11)*NORMSINV(N1001))&lt;O$8,O$5+SQRT(NORMSDIST(O$9*SQRT($C$11)*NORMSINV($B1001)+SQRT(1-O$9^2*$C$11)*NORMSINV(N1001))*(O$7-O$5)*(O$6-O$5)),O$7-SQRT((1-NORMSDIST(O$9*SQRT($C$11)*NORMSINV($B1001)+SQRT(1-O$9^2*$C$11)*NORMSINV(N1001)))*(O$7-O$5)*(O$7-O$6))))</f>
        <v>0.167782236244293</v>
      </c>
      <c r="P1001" s="2" t="n">
        <v>0.691704749</v>
      </c>
      <c r="Q1001" s="2" t="n">
        <f aca="false">IF(Q$7=Q$5,Q$6,IF(NORMSDIST(Q$9*SQRT($C$11)*NORMSINV($B1001)+SQRT(1-Q$9^2*$C$11)*NORMSINV(P1001))&lt;Q$8,Q$5+SQRT(NORMSDIST(Q$9*SQRT($C$11)*NORMSINV($B1001)+SQRT(1-Q$9^2*$C$11)*NORMSINV(P1001))*(Q$7-Q$5)*(Q$6-Q$5)),Q$7-SQRT((1-NORMSDIST(Q$9*SQRT($C$11)*NORMSINV($B1001)+SQRT(1-Q$9^2*$C$11)*NORMSINV(P1001)))*(Q$7-Q$5)*(Q$7-Q$6))))</f>
        <v>0.0885906892275555</v>
      </c>
      <c r="R1001" s="2" t="n">
        <v>0.65267087</v>
      </c>
      <c r="S1001" s="2" t="n">
        <f aca="false">IF(S$7=S$5,S$6,IF(NORMSDIST(S$9*SQRT($C$11)*NORMSINV($B1001)+SQRT(1-S$9^2*$C$11)*NORMSINV(R1001))&lt;S$8,S$5+SQRT(NORMSDIST(S$9*SQRT($C$11)*NORMSINV($B1001)+SQRT(1-S$9^2*$C$11)*NORMSINV(R1001))*(S$7-S$5)*(S$6-S$5)),S$7-SQRT((1-NORMSDIST(S$9*SQRT($C$11)*NORMSINV($B1001)+SQRT(1-S$9^2*$C$11)*NORMSINV(R1001)))*(S$7-S$5)*(S$7-S$6))))</f>
        <v>0.347733911031648</v>
      </c>
      <c r="T1001" s="2" t="n">
        <v>0.118300994</v>
      </c>
      <c r="U1001" s="2" t="n">
        <f aca="false">IF(U$7=U$5,U$6,IF(NORMSDIST(U$9*SQRT($C$11)*NORMSINV($B1001)+SQRT(1-U$9^2*$C$11)*NORMSINV(T1001))&lt;U$8,U$5+SQRT(NORMSDIST(U$9*SQRT($C$11)*NORMSINV($B1001)+SQRT(1-U$9^2*$C$11)*NORMSINV(T1001))*(U$7-U$5)*(U$6-U$5)),U$7-SQRT((1-NORMSDIST(U$9*SQRT($C$11)*NORMSINV($B1001)+SQRT(1-U$9^2*$C$11)*NORMSINV(T1001)))*(U$7-U$5)*(U$7-U$6))))</f>
        <v>0.116944760938965</v>
      </c>
      <c r="V1001" s="2" t="n">
        <v>0.017210609</v>
      </c>
      <c r="W1001" s="2" t="n">
        <f aca="false">IF(W$7=W$5,W$6,IF(NORMSDIST(W$9*SQRT($C$11)*NORMSINV($B1001)+SQRT(1-W$9^2*$C$11)*NORMSINV(V1001))&lt;W$8,W$5+SQRT(NORMSDIST(W$9*SQRT($C$11)*NORMSINV($B1001)+SQRT(1-W$9^2*$C$11)*NORMSINV(V1001))*(W$7-W$5)*(W$6-W$5)),W$7-SQRT((1-NORMSDIST(W$9*SQRT($C$11)*NORMSINV($B1001)+SQRT(1-W$9^2*$C$11)*NORMSINV(V1001)))*(W$7-W$5)*(W$7-W$6))))</f>
        <v>8.18135021485408</v>
      </c>
      <c r="X1001" s="2" t="n">
        <v>0.770823298</v>
      </c>
      <c r="Y1001" s="2" t="n">
        <f aca="false">IF(Y$7=Y$5,Y$6,IF(NORMSDIST(Y$9*SQRT($C$11)*NORMSINV($B1001)+SQRT(1-Y$9^2*$C$11)*NORMSINV(X1001))&lt;Y$8,Y$5+SQRT(NORMSDIST(Y$9*SQRT($C$11)*NORMSINV($B1001)+SQRT(1-Y$9^2*$C$11)*NORMSINV(X1001))*(Y$7-Y$5)*(Y$6-Y$5)),Y$7-SQRT((1-NORMSDIST(Y$9*SQRT($C$11)*NORMSINV($B1001)+SQRT(1-Y$9^2*$C$11)*NORMSINV(X1001)))*(Y$7-Y$5)*(Y$7-Y$6))))</f>
        <v>0.661490988303118</v>
      </c>
      <c r="Z1001" s="2" t="n">
        <v>0.849321851</v>
      </c>
      <c r="AA1001" s="2" t="n">
        <f aca="false">IF(AA$7=AA$5,AA$6,IF(NORMSDIST(AA$9*SQRT($C$11)*NORMSINV($B1001)+SQRT(1-AA$9^2*$C$11)*NORMSINV(Z1001))&lt;AA$8,AA$5+SQRT(NORMSDIST(AA$9*SQRT($C$11)*NORMSINV($B1001)+SQRT(1-AA$9^2*$C$11)*NORMSINV(Z1001))*(AA$7-AA$5)*(AA$6-AA$5)),AA$7-SQRT((1-NORMSDIST(AA$9*SQRT($C$11)*NORMSINV($B1001)+SQRT(1-AA$9^2*$C$11)*NORMSINV(Z1001)))*(AA$7-AA$5)*(AA$7-AA$6))))</f>
        <v>0.725290766468998</v>
      </c>
      <c r="AB1001" s="2" t="n">
        <v>0.981740885</v>
      </c>
      <c r="AC1001" s="2" t="n">
        <f aca="false">IF(AC$7=AC$5,AC$6,IF(NORMSDIST(AC$9*SQRT($C$11)*NORMSINV($B1001)+SQRT(1-AC$9^2*$C$11)*NORMSINV(AB1001))&lt;AC$8,AC$5+SQRT(NORMSDIST(AC$9*SQRT($C$11)*NORMSINV($B1001)+SQRT(1-AC$9^2*$C$11)*NORMSINV(AB1001))*(AC$7-AC$5)*(AC$6-AC$5)),AC$7-SQRT((1-NORMSDIST(AC$9*SQRT($C$11)*NORMSINV($B1001)+SQRT(1-AC$9^2*$C$11)*NORMSINV(AB1001)))*(AC$7-AC$5)*(AC$7-AC$6))))</f>
        <v>9.92164603527888</v>
      </c>
      <c r="AD1001" s="2" t="n">
        <f aca="false">Entrées!$C$8*(1+E1001)</f>
        <v>7434.89370806953</v>
      </c>
      <c r="AE1001" s="2" t="n">
        <f aca="false">I1001*Hypothèses!$J$24/12/Hypothèses!$J$19</f>
        <v>90.129041913084</v>
      </c>
      <c r="AF1001" s="2" t="n">
        <f aca="false">Entrées!$C$36*S1001*1000</f>
        <v>173.866955515824</v>
      </c>
      <c r="AG1001" s="2" t="n">
        <f aca="false">-AF1001/W1001</f>
        <v>-21.2516211810797</v>
      </c>
      <c r="AH1001" s="2" t="n">
        <f aca="false">AD1001+AE1001+AG1001</f>
        <v>7503.77112880154</v>
      </c>
      <c r="AI1001" s="2" t="n">
        <f aca="false">Entrées!$C$16-M1001+Hypothèses!$J$22*1000-AF1001+Hypothèses!$J$23</f>
        <v>22874.5561692337</v>
      </c>
      <c r="AJ1001" s="2" t="n">
        <f aca="false">AI1001/AH1001</f>
        <v>3.04840803065472</v>
      </c>
      <c r="AK1001" s="2" t="n">
        <f aca="false">AI1001/(AH1001+I1001*(12-Hypothèses!$J$24)/12/Hypothèses!$J$19)</f>
        <v>3.02247697835095</v>
      </c>
      <c r="AL1001" s="2" t="n">
        <f aca="false">(AD1001+AG1001+I1001/Hypothèses!$J$19)*(1+G1001)</f>
        <v>7905.78117278046</v>
      </c>
      <c r="AM1001" s="2" t="n">
        <f aca="false">Entrées!$C$54*K1001/Hypothèses!$J$19</f>
        <v>6.14045582274255</v>
      </c>
      <c r="AN1001" s="2" t="n">
        <f aca="false">Y1001*1000/AC1001</f>
        <v>66.6714964382948</v>
      </c>
      <c r="AO1001" s="2" t="n">
        <f aca="false">(Entrées!$C$36*(1-S1001)+MAX(0,Entrées!$C$30-Entrées!$C$35-Entrées!$C$36)*U1001)*1000</f>
        <v>489.855709798727</v>
      </c>
      <c r="AP1001" s="2" t="n">
        <f aca="false">-AO1001/W1001</f>
        <v>-59.8746780096694</v>
      </c>
      <c r="AQ1001" s="2" t="n">
        <f aca="false">AL1001+AM1001+AN1001+AP1001</f>
        <v>7918.71844703183</v>
      </c>
      <c r="AR1001" s="2" t="n">
        <f aca="false">O1001*AQ1001-Hypothèses!$J$25/Hypothèses!$J$19</f>
        <v>1309.48512697031</v>
      </c>
      <c r="AS1001" s="2" t="n">
        <f aca="false">Entrées!$C$79*(1+Q1001)+Hypothèses!$J$20</f>
        <v>1491.36116746108</v>
      </c>
      <c r="AT1001" s="2" t="n">
        <f aca="false">AI1001-AR1001+AS1001+Y1001*1000-AO1001+Hypothèses!$J$23</f>
        <v>23228.0674882288</v>
      </c>
      <c r="AU1001" s="2" t="n">
        <f aca="false">AT1001/AQ1001</f>
        <v>2.93331144977574</v>
      </c>
      <c r="AV1001" s="2" t="n">
        <f aca="false">Hypothèses!$J$26*AQ1001-AT1001</f>
        <v>528.087852866665</v>
      </c>
      <c r="AW1001" s="2" t="n">
        <f aca="false">IF(AC1001&gt;Hypothèses!$J$26,MAX(0,AV1001)/(1-Hypothèses!$J$26/AC1001),0)</f>
        <v>756.973229340004</v>
      </c>
      <c r="AX1001" s="2" t="n">
        <f aca="false">AQ1001-Entrées!$C$17*1000</f>
        <v>-81.2815529681684</v>
      </c>
      <c r="AY1001" s="2" t="n">
        <f aca="false">AI1001+(Entrées!$C$244-Entrées!$C$13)</f>
        <v>28621.5561692337</v>
      </c>
      <c r="AZ1001" s="2" t="n">
        <f aca="false">AA1001*AH1001</f>
        <v>5442.4159134164</v>
      </c>
      <c r="BA1001" s="2" t="n">
        <f aca="false">AZ1001/AY1001</f>
        <v>0.190150943618735</v>
      </c>
      <c r="BB1001" s="2" t="n">
        <f aca="false">AZ1001/(Entrées!$C$151/100)-AY1001</f>
        <v>1614.08779419079</v>
      </c>
      <c r="BC1001" s="2" t="n">
        <f aca="false">AT1001+(Entrées!$C$244-Entrées!$C$13)</f>
        <v>28975.0674882288</v>
      </c>
      <c r="BD1001" s="2" t="n">
        <f aca="false">AA1001*AQ1001</f>
        <v>5743.37337189991</v>
      </c>
      <c r="BE1001" s="2" t="n">
        <f aca="false">BD1001/BC1001</f>
        <v>0.198217773754389</v>
      </c>
      <c r="BF1001" s="2" t="n">
        <f aca="false">BD1001/(Entrées!$C$151/100)-BC1001</f>
        <v>2932.56235565955</v>
      </c>
      <c r="BG1001" s="2" t="n">
        <f aca="false">MIN(AV1001,BF1001)</f>
        <v>528.087852866665</v>
      </c>
      <c r="BH1001" s="2" t="n">
        <f aca="false">IF(AC1001&gt;Hypothèses!$J$26,MAX(0,BG1001)/(1-Hypothèses!$J$26/AC1001),0)</f>
        <v>756.973229340004</v>
      </c>
    </row>
    <row r="1002" customFormat="false" ht="15" hidden="false" customHeight="false" outlineLevel="0" collapsed="false">
      <c r="A1002" s="2" t="n">
        <v>987</v>
      </c>
      <c r="B1002" s="2" t="n">
        <v>0.768202548</v>
      </c>
      <c r="C1002" s="2"/>
      <c r="D1002" s="2" t="n">
        <v>0.329905235</v>
      </c>
      <c r="E1002" s="2" t="n">
        <f aca="false">IF(E$7=E$5,E$6,IF(NORMSDIST(E$9*SQRT($C$11)*NORMSINV($B1002)+SQRT(1-E$9^2*$C$11)*NORMSINV(D1002))&lt;E$8,E$5+SQRT(NORMSDIST(E$9*SQRT($C$11)*NORMSINV($B1002)+SQRT(1-E$9^2*$C$11)*NORMSINV(D1002))*(E$7-E$5)*(E$6-E$5)),E$7-SQRT((1-NORMSDIST(E$9*SQRT($C$11)*NORMSINV($B1002)+SQRT(1-E$9^2*$C$11)*NORMSINV(D1002)))*(E$7-E$5)*(E$7-E$6))))</f>
        <v>0.0552501881051461</v>
      </c>
      <c r="F1002" s="2" t="n">
        <v>0.866725517</v>
      </c>
      <c r="G1002" s="2" t="n">
        <f aca="false">IF(G$7=G$5,G$6,IF(NORMSDIST(G$9*SQRT($C$11)*NORMSINV($B1002)+SQRT(1-G$9^2*$C$11)*NORMSINV(F1002))&lt;G$8,G$5+SQRT(NORMSDIST(G$9*SQRT($C$11)*NORMSINV($B1002)+SQRT(1-G$9^2*$C$11)*NORMSINV(F1002))*(G$7-G$5)*(G$6-G$5)),G$7-SQRT((1-NORMSDIST(G$9*SQRT($C$11)*NORMSINV($B1002)+SQRT(1-G$9^2*$C$11)*NORMSINV(F1002)))*(G$7-G$5)*(G$7-G$6))))</f>
        <v>0.0635404379788544</v>
      </c>
      <c r="H1002" s="2" t="n">
        <v>0.574962059</v>
      </c>
      <c r="I1002" s="2" t="n">
        <f aca="false">IF(I$7=I$5,I$6,IF(NORMSDIST(I$9*SQRT($C$11)*NORMSINV($B1002)+SQRT(1-I$9^2*$C$11)*NORMSINV(H1002))&lt;I$8,I$5+SQRT(NORMSDIST(I$9*SQRT($C$11)*NORMSINV($B1002)+SQRT(1-I$9^2*$C$11)*NORMSINV(H1002))*(I$7-I$5)*(I$6-I$5)),I$7-SQRT((1-NORMSDIST(I$9*SQRT($C$11)*NORMSINV($B1002)+SQRT(1-I$9^2*$C$11)*NORMSINV(H1002)))*(I$7-I$5)*(I$7-I$6))))</f>
        <v>205.277455698561</v>
      </c>
      <c r="J1002" s="2" t="n">
        <v>0.494635041</v>
      </c>
      <c r="K1002" s="2" t="n">
        <f aca="false">IF(K$7=K$5,K$6,IF(NORMSDIST(K$9*SQRT($C$11)*NORMSINV($B1002)+SQRT(1-K$9^2*$C$11)*NORMSINV(J1002))&lt;K$8,K$5+SQRT(NORMSDIST(K$9*SQRT($C$11)*NORMSINV($B1002)+SQRT(1-K$9^2*$C$11)*NORMSINV(J1002))*(K$7-K$5)*(K$6-K$5)),K$7-SQRT((1-NORMSDIST(K$9*SQRT($C$11)*NORMSINV($B1002)+SQRT(1-K$9^2*$C$11)*NORMSINV(J1002)))*(K$7-K$5)*(K$7-K$6))))</f>
        <v>0.298373563955198</v>
      </c>
      <c r="L1002" s="2" t="n">
        <v>0.331129212</v>
      </c>
      <c r="M1002" s="2" t="n">
        <f aca="false">IF(M$7=M$5,M$6,IF(NORMSDIST(M$9*SQRT($C$11)*NORMSINV($B1002)+SQRT(1-M$9^2*$C$11)*NORMSINV(L1002))&lt;M$8,M$5+SQRT(NORMSDIST(M$9*SQRT($C$11)*NORMSINV($B1002)+SQRT(1-M$9^2*$C$11)*NORMSINV(L1002))*(M$7-M$5)*(M$6-M$5)),M$7-SQRT((1-NORMSDIST(M$9*SQRT($C$11)*NORMSINV($B1002)+SQRT(1-M$9^2*$C$11)*NORMSINV(L1002)))*(M$7-M$5)*(M$7-M$6))))</f>
        <v>1599.07452591206</v>
      </c>
      <c r="N1002" s="2" t="n">
        <v>0.094713292</v>
      </c>
      <c r="O1002" s="2" t="n">
        <f aca="false">IF(O$7=O$5,O$6,IF(NORMSDIST(O$9*SQRT($C$11)*NORMSINV($B1002)+SQRT(1-O$9^2*$C$11)*NORMSINV(N1002))&lt;O$8,O$5+SQRT(NORMSDIST(O$9*SQRT($C$11)*NORMSINV($B1002)+SQRT(1-O$9^2*$C$11)*NORMSINV(N1002))*(O$7-O$5)*(O$6-O$5)),O$7-SQRT((1-NORMSDIST(O$9*SQRT($C$11)*NORMSINV($B1002)+SQRT(1-O$9^2*$C$11)*NORMSINV(N1002)))*(O$7-O$5)*(O$7-O$6))))</f>
        <v>0.160403894245072</v>
      </c>
      <c r="P1002" s="2" t="n">
        <v>0.991103608</v>
      </c>
      <c r="Q1002" s="2" t="n">
        <f aca="false">IF(Q$7=Q$5,Q$6,IF(NORMSDIST(Q$9*SQRT($C$11)*NORMSINV($B1002)+SQRT(1-Q$9^2*$C$11)*NORMSINV(P1002))&lt;Q$8,Q$5+SQRT(NORMSDIST(Q$9*SQRT($C$11)*NORMSINV($B1002)+SQRT(1-Q$9^2*$C$11)*NORMSINV(P1002))*(Q$7-Q$5)*(Q$6-Q$5)),Q$7-SQRT((1-NORMSDIST(Q$9*SQRT($C$11)*NORMSINV($B1002)+SQRT(1-Q$9^2*$C$11)*NORMSINV(P1002)))*(Q$7-Q$5)*(Q$7-Q$6))))</f>
        <v>0.114664416208136</v>
      </c>
      <c r="R1002" s="2" t="n">
        <v>0.278841204</v>
      </c>
      <c r="S1002" s="2" t="n">
        <f aca="false">IF(S$7=S$5,S$6,IF(NORMSDIST(S$9*SQRT($C$11)*NORMSINV($B1002)+SQRT(1-S$9^2*$C$11)*NORMSINV(R1002))&lt;S$8,S$5+SQRT(NORMSDIST(S$9*SQRT($C$11)*NORMSINV($B1002)+SQRT(1-S$9^2*$C$11)*NORMSINV(R1002))*(S$7-S$5)*(S$6-S$5)),S$7-SQRT((1-NORMSDIST(S$9*SQRT($C$11)*NORMSINV($B1002)+SQRT(1-S$9^2*$C$11)*NORMSINV(R1002)))*(S$7-S$5)*(S$7-S$6))))</f>
        <v>0.501881699149324</v>
      </c>
      <c r="T1002" s="2" t="n">
        <v>0.210702824</v>
      </c>
      <c r="U1002" s="2" t="n">
        <f aca="false">IF(U$7=U$5,U$6,IF(NORMSDIST(U$9*SQRT($C$11)*NORMSINV($B1002)+SQRT(1-U$9^2*$C$11)*NORMSINV(T1002))&lt;U$8,U$5+SQRT(NORMSDIST(U$9*SQRT($C$11)*NORMSINV($B1002)+SQRT(1-U$9^2*$C$11)*NORMSINV(T1002))*(U$7-U$5)*(U$6-U$5)),U$7-SQRT((1-NORMSDIST(U$9*SQRT($C$11)*NORMSINV($B1002)+SQRT(1-U$9^2*$C$11)*NORMSINV(T1002)))*(U$7-U$5)*(U$7-U$6))))</f>
        <v>0.467306602974336</v>
      </c>
      <c r="V1002" s="2" t="n">
        <v>0.635968061</v>
      </c>
      <c r="W1002" s="2" t="n">
        <f aca="false">IF(W$7=W$5,W$6,IF(NORMSDIST(W$9*SQRT($C$11)*NORMSINV($B1002)+SQRT(1-W$9^2*$C$11)*NORMSINV(V1002))&lt;W$8,W$5+SQRT(NORMSDIST(W$9*SQRT($C$11)*NORMSINV($B1002)+SQRT(1-W$9^2*$C$11)*NORMSINV(V1002))*(W$7-W$5)*(W$6-W$5)),W$7-SQRT((1-NORMSDIST(W$9*SQRT($C$11)*NORMSINV($B1002)+SQRT(1-W$9^2*$C$11)*NORMSINV(V1002)))*(W$7-W$5)*(W$7-W$6))))</f>
        <v>10.6381909038051</v>
      </c>
      <c r="X1002" s="2" t="n">
        <v>0.477171244</v>
      </c>
      <c r="Y1002" s="2" t="n">
        <f aca="false">IF(Y$7=Y$5,Y$6,IF(NORMSDIST(Y$9*SQRT($C$11)*NORMSINV($B1002)+SQRT(1-Y$9^2*$C$11)*NORMSINV(X1002))&lt;Y$8,Y$5+SQRT(NORMSDIST(Y$9*SQRT($C$11)*NORMSINV($B1002)+SQRT(1-Y$9^2*$C$11)*NORMSINV(X1002))*(Y$7-Y$5)*(Y$6-Y$5)),Y$7-SQRT((1-NORMSDIST(Y$9*SQRT($C$11)*NORMSINV($B1002)+SQRT(1-Y$9^2*$C$11)*NORMSINV(X1002)))*(Y$7-Y$5)*(Y$7-Y$6))))</f>
        <v>0.488452271977519</v>
      </c>
      <c r="Z1002" s="2" t="n">
        <v>0.875143732</v>
      </c>
      <c r="AA1002" s="2" t="n">
        <f aca="false">IF(AA$7=AA$5,AA$6,IF(NORMSDIST(AA$9*SQRT($C$11)*NORMSINV($B1002)+SQRT(1-AA$9^2*$C$11)*NORMSINV(Z1002))&lt;AA$8,AA$5+SQRT(NORMSDIST(AA$9*SQRT($C$11)*NORMSINV($B1002)+SQRT(1-AA$9^2*$C$11)*NORMSINV(Z1002))*(AA$7-AA$5)*(AA$6-AA$5)),AA$7-SQRT((1-NORMSDIST(AA$9*SQRT($C$11)*NORMSINV($B1002)+SQRT(1-AA$9^2*$C$11)*NORMSINV(Z1002)))*(AA$7-AA$5)*(AA$7-AA$6))))</f>
        <v>0.743254685702234</v>
      </c>
      <c r="AB1002" s="2" t="n">
        <v>0.32455289</v>
      </c>
      <c r="AC1002" s="2" t="n">
        <f aca="false">IF(AC$7=AC$5,AC$6,IF(NORMSDIST(AC$9*SQRT($C$11)*NORMSINV($B1002)+SQRT(1-AC$9^2*$C$11)*NORMSINV(AB1002))&lt;AC$8,AC$5+SQRT(NORMSDIST(AC$9*SQRT($C$11)*NORMSINV($B1002)+SQRT(1-AC$9^2*$C$11)*NORMSINV(AB1002))*(AC$7-AC$5)*(AC$6-AC$5)),AC$7-SQRT((1-NORMSDIST(AC$9*SQRT($C$11)*NORMSINV($B1002)+SQRT(1-AC$9^2*$C$11)*NORMSINV(AB1002)))*(AC$7-AC$5)*(AC$7-AC$6))))</f>
        <v>9.56845186699167</v>
      </c>
      <c r="AD1002" s="2" t="n">
        <f aca="false">Entrées!$C$8*(1+E1002)</f>
        <v>7439.51382614128</v>
      </c>
      <c r="AE1002" s="2" t="n">
        <f aca="false">I1002*Hypothèses!$J$24/12/Hypothèses!$J$19</f>
        <v>101.837488756</v>
      </c>
      <c r="AF1002" s="2" t="n">
        <f aca="false">Entrées!$C$36*S1002*1000</f>
        <v>250.940849574662</v>
      </c>
      <c r="AG1002" s="2" t="n">
        <f aca="false">-AF1002/W1002</f>
        <v>-23.5886770451643</v>
      </c>
      <c r="AH1002" s="2" t="n">
        <f aca="false">AD1002+AE1002+AG1002</f>
        <v>7517.76263785212</v>
      </c>
      <c r="AI1002" s="2" t="n">
        <f aca="false">Entrées!$C$16-M1002+Hypothèses!$J$22*1000-AF1002+Hypothèses!$J$23</f>
        <v>22697.9846245133</v>
      </c>
      <c r="AJ1002" s="2" t="n">
        <f aca="false">AI1002/AH1002</f>
        <v>3.0192473103937</v>
      </c>
      <c r="AK1002" s="2" t="n">
        <f aca="false">AI1002/(AH1002+I1002*(12-Hypothèses!$J$24)/12/Hypothèses!$J$19)</f>
        <v>2.99031335967567</v>
      </c>
      <c r="AL1002" s="2" t="n">
        <f aca="false">(AD1002+AG1002+I1002/Hypothèses!$J$19)*(1+G1002)</f>
        <v>8072.80763090675</v>
      </c>
      <c r="AM1002" s="2" t="n">
        <f aca="false">Entrées!$C$54*K1002/Hypothèses!$J$19</f>
        <v>30.4502749912659</v>
      </c>
      <c r="AN1002" s="2" t="n">
        <f aca="false">Y1002*1000/AC1002</f>
        <v>51.0482028615867</v>
      </c>
      <c r="AO1002" s="2" t="n">
        <f aca="false">(Entrées!$C$36*(1-S1002)+MAX(0,Entrées!$C$30-Entrées!$C$35-Entrées!$C$36)*U1002)*1000</f>
        <v>903.288394589409</v>
      </c>
      <c r="AP1002" s="2" t="n">
        <f aca="false">-AO1002/W1002</f>
        <v>-84.9099628646748</v>
      </c>
      <c r="AQ1002" s="2" t="n">
        <f aca="false">AL1002+AM1002+AN1002+AP1002</f>
        <v>8069.39614589493</v>
      </c>
      <c r="AR1002" s="2" t="n">
        <f aca="false">O1002*AQ1002-Hypothèses!$J$25/Hypothèses!$J$19</f>
        <v>1275.2274037461</v>
      </c>
      <c r="AS1002" s="2" t="n">
        <f aca="false">Entrées!$C$79*(1+Q1002)+Hypothèses!$J$20</f>
        <v>1520.01619341274</v>
      </c>
      <c r="AT1002" s="2" t="n">
        <f aca="false">AI1002-AR1002+AS1002+Y1002*1000-AO1002+Hypothèses!$J$23</f>
        <v>22527.937291568</v>
      </c>
      <c r="AU1002" s="2" t="n">
        <f aca="false">AT1002/AQ1002</f>
        <v>2.79177485951393</v>
      </c>
      <c r="AV1002" s="2" t="n">
        <f aca="false">Hypothèses!$J$26*AQ1002-AT1002</f>
        <v>1680.25114611676</v>
      </c>
      <c r="AW1002" s="2" t="n">
        <f aca="false">IF(AC1002&gt;Hypothèses!$J$26,MAX(0,AV1002)/(1-Hypothèses!$J$26/AC1002),0)</f>
        <v>2447.66994440033</v>
      </c>
      <c r="AX1002" s="2" t="n">
        <f aca="false">AQ1002-Entrées!$C$17*1000</f>
        <v>69.3961458949307</v>
      </c>
      <c r="AY1002" s="2" t="n">
        <f aca="false">AI1002+(Entrées!$C$244-Entrées!$C$13)</f>
        <v>28444.9846245133</v>
      </c>
      <c r="AZ1002" s="2" t="n">
        <f aca="false">AA1002*AH1002</f>
        <v>5587.61230658077</v>
      </c>
      <c r="BA1002" s="2" t="n">
        <f aca="false">AZ1002/AY1002</f>
        <v>0.196435764699464</v>
      </c>
      <c r="BB1002" s="2" t="n">
        <f aca="false">AZ1002/(Entrées!$C$151/100)-AY1002</f>
        <v>2597.30596760213</v>
      </c>
      <c r="BC1002" s="2" t="n">
        <f aca="false">AT1002+(Entrées!$C$244-Entrées!$C$13)</f>
        <v>28274.937291568</v>
      </c>
      <c r="BD1002" s="2" t="n">
        <f aca="false">AA1002*AQ1002</f>
        <v>5997.61649622396</v>
      </c>
      <c r="BE1002" s="2" t="n">
        <f aca="false">BD1002/BC1002</f>
        <v>0.212117764731967</v>
      </c>
      <c r="BF1002" s="2" t="n">
        <f aca="false">BD1002/(Entrées!$C$151/100)-BC1002</f>
        <v>5045.15435412061</v>
      </c>
      <c r="BG1002" s="2" t="n">
        <f aca="false">MIN(AV1002,BF1002)</f>
        <v>1680.25114611676</v>
      </c>
      <c r="BH1002" s="2" t="n">
        <f aca="false">IF(AC1002&gt;Hypothèses!$J$26,MAX(0,BG1002)/(1-Hypothèses!$J$26/AC1002),0)</f>
        <v>2447.66994440033</v>
      </c>
    </row>
    <row r="1003" customFormat="false" ht="15" hidden="false" customHeight="false" outlineLevel="0" collapsed="false">
      <c r="A1003" s="2" t="n">
        <v>988</v>
      </c>
      <c r="B1003" s="2" t="n">
        <v>0.001719621</v>
      </c>
      <c r="C1003" s="2"/>
      <c r="D1003" s="2" t="n">
        <v>0.245991142</v>
      </c>
      <c r="E1003" s="2" t="n">
        <f aca="false">IF(E$7=E$5,E$6,IF(NORMSDIST(E$9*SQRT($C$11)*NORMSINV($B1003)+SQRT(1-E$9^2*$C$11)*NORMSINV(D1003))&lt;E$8,E$5+SQRT(NORMSDIST(E$9*SQRT($C$11)*NORMSINV($B1003)+SQRT(1-E$9^2*$C$11)*NORMSINV(D1003))*(E$7-E$5)*(E$6-E$5)),E$7-SQRT((1-NORMSDIST(E$9*SQRT($C$11)*NORMSINV($B1003)+SQRT(1-E$9^2*$C$11)*NORMSINV(D1003)))*(E$7-E$5)*(E$7-E$6))))</f>
        <v>0.0506556515406538</v>
      </c>
      <c r="F1003" s="2" t="n">
        <v>0.428587798</v>
      </c>
      <c r="G1003" s="2" t="n">
        <f aca="false">IF(G$7=G$5,G$6,IF(NORMSDIST(G$9*SQRT($C$11)*NORMSINV($B1003)+SQRT(1-G$9^2*$C$11)*NORMSINV(F1003))&lt;G$8,G$5+SQRT(NORMSDIST(G$9*SQRT($C$11)*NORMSINV($B1003)+SQRT(1-G$9^2*$C$11)*NORMSINV(F1003))*(G$7-G$5)*(G$6-G$5)),G$7-SQRT((1-NORMSDIST(G$9*SQRT($C$11)*NORMSINV($B1003)+SQRT(1-G$9^2*$C$11)*NORMSINV(F1003)))*(G$7-G$5)*(G$7-G$6))))</f>
        <v>0.0432391131504638</v>
      </c>
      <c r="H1003" s="2" t="n">
        <v>0.024679503</v>
      </c>
      <c r="I1003" s="2" t="n">
        <f aca="false">IF(I$7=I$5,I$6,IF(NORMSDIST(I$9*SQRT($C$11)*NORMSINV($B1003)+SQRT(1-I$9^2*$C$11)*NORMSINV(H1003))&lt;I$8,I$5+SQRT(NORMSDIST(I$9*SQRT($C$11)*NORMSINV($B1003)+SQRT(1-I$9^2*$C$11)*NORMSINV(H1003))*(I$7-I$5)*(I$6-I$5)),I$7-SQRT((1-NORMSDIST(I$9*SQRT($C$11)*NORMSINV($B1003)+SQRT(1-I$9^2*$C$11)*NORMSINV(H1003)))*(I$7-I$5)*(I$7-I$6))))</f>
        <v>180.545666591199</v>
      </c>
      <c r="J1003" s="2" t="n">
        <v>0.841965114</v>
      </c>
      <c r="K1003" s="2" t="n">
        <f aca="false">IF(K$7=K$5,K$6,IF(NORMSDIST(K$9*SQRT($C$11)*NORMSINV($B1003)+SQRT(1-K$9^2*$C$11)*NORMSINV(J1003))&lt;K$8,K$5+SQRT(NORMSDIST(K$9*SQRT($C$11)*NORMSINV($B1003)+SQRT(1-K$9^2*$C$11)*NORMSINV(J1003))*(K$7-K$5)*(K$6-K$5)),K$7-SQRT((1-NORMSDIST(K$9*SQRT($C$11)*NORMSINV($B1003)+SQRT(1-K$9^2*$C$11)*NORMSINV(J1003)))*(K$7-K$5)*(K$7-K$6))))</f>
        <v>0.132989405758044</v>
      </c>
      <c r="L1003" s="2" t="n">
        <v>0.694894278</v>
      </c>
      <c r="M1003" s="2" t="n">
        <f aca="false">IF(M$7=M$5,M$6,IF(NORMSDIST(M$9*SQRT($C$11)*NORMSINV($B1003)+SQRT(1-M$9^2*$C$11)*NORMSINV(L1003))&lt;M$8,M$5+SQRT(NORMSDIST(M$9*SQRT($C$11)*NORMSINV($B1003)+SQRT(1-M$9^2*$C$11)*NORMSINV(L1003))*(M$7-M$5)*(M$6-M$5)),M$7-SQRT((1-NORMSDIST(M$9*SQRT($C$11)*NORMSINV($B1003)+SQRT(1-M$9^2*$C$11)*NORMSINV(L1003)))*(M$7-M$5)*(M$7-M$6))))</f>
        <v>1410.84981655339</v>
      </c>
      <c r="N1003" s="2" t="n">
        <v>0.883934101</v>
      </c>
      <c r="O1003" s="2" t="n">
        <f aca="false">IF(O$7=O$5,O$6,IF(NORMSDIST(O$9*SQRT($C$11)*NORMSINV($B1003)+SQRT(1-O$9^2*$C$11)*NORMSINV(N1003))&lt;O$8,O$5+SQRT(NORMSDIST(O$9*SQRT($C$11)*NORMSINV($B1003)+SQRT(1-O$9^2*$C$11)*NORMSINV(N1003))*(O$7-O$5)*(O$6-O$5)),O$7-SQRT((1-NORMSDIST(O$9*SQRT($C$11)*NORMSINV($B1003)+SQRT(1-O$9^2*$C$11)*NORMSINV(N1003)))*(O$7-O$5)*(O$7-O$6))))</f>
        <v>0.155961651824675</v>
      </c>
      <c r="P1003" s="2" t="n">
        <v>0.37170738</v>
      </c>
      <c r="Q1003" s="2" t="n">
        <f aca="false">IF(Q$7=Q$5,Q$6,IF(NORMSDIST(Q$9*SQRT($C$11)*NORMSINV($B1003)+SQRT(1-Q$9^2*$C$11)*NORMSINV(P1003))&lt;Q$8,Q$5+SQRT(NORMSDIST(Q$9*SQRT($C$11)*NORMSINV($B1003)+SQRT(1-Q$9^2*$C$11)*NORMSINV(P1003))*(Q$7-Q$5)*(Q$6-Q$5)),Q$7-SQRT((1-NORMSDIST(Q$9*SQRT($C$11)*NORMSINV($B1003)+SQRT(1-Q$9^2*$C$11)*NORMSINV(P1003)))*(Q$7-Q$5)*(Q$7-Q$6))))</f>
        <v>0.0744886012473687</v>
      </c>
      <c r="R1003" s="2" t="n">
        <v>0.18429586</v>
      </c>
      <c r="S1003" s="2" t="n">
        <f aca="false">IF(S$7=S$5,S$6,IF(NORMSDIST(S$9*SQRT($C$11)*NORMSINV($B1003)+SQRT(1-S$9^2*$C$11)*NORMSINV(R1003))&lt;S$8,S$5+SQRT(NORMSDIST(S$9*SQRT($C$11)*NORMSINV($B1003)+SQRT(1-S$9^2*$C$11)*NORMSINV(R1003))*(S$7-S$5)*(S$6-S$5)),S$7-SQRT((1-NORMSDIST(S$9*SQRT($C$11)*NORMSINV($B1003)+SQRT(1-S$9^2*$C$11)*NORMSINV(R1003)))*(S$7-S$5)*(S$7-S$6))))</f>
        <v>0.0521418069164114</v>
      </c>
      <c r="T1003" s="2" t="n">
        <v>0.638822694</v>
      </c>
      <c r="U1003" s="2" t="n">
        <f aca="false">IF(U$7=U$5,U$6,IF(NORMSDIST(U$9*SQRT($C$11)*NORMSINV($B1003)+SQRT(1-U$9^2*$C$11)*NORMSINV(T1003))&lt;U$8,U$5+SQRT(NORMSDIST(U$9*SQRT($C$11)*NORMSINV($B1003)+SQRT(1-U$9^2*$C$11)*NORMSINV(T1003))*(U$7-U$5)*(U$6-U$5)),U$7-SQRT((1-NORMSDIST(U$9*SQRT($C$11)*NORMSINV($B1003)+SQRT(1-U$9^2*$C$11)*NORMSINV(T1003)))*(U$7-U$5)*(U$7-U$6))))</f>
        <v>0.16974518520029</v>
      </c>
      <c r="V1003" s="2" t="n">
        <v>0.469211896</v>
      </c>
      <c r="W1003" s="2" t="n">
        <f aca="false">IF(W$7=W$5,W$6,IF(NORMSDIST(W$9*SQRT($C$11)*NORMSINV($B1003)+SQRT(1-W$9^2*$C$11)*NORMSINV(V1003))&lt;W$8,W$5+SQRT(NORMSDIST(W$9*SQRT($C$11)*NORMSINV($B1003)+SQRT(1-W$9^2*$C$11)*NORMSINV(V1003))*(W$7-W$5)*(W$6-W$5)),W$7-SQRT((1-NORMSDIST(W$9*SQRT($C$11)*NORMSINV($B1003)+SQRT(1-W$9^2*$C$11)*NORMSINV(V1003)))*(W$7-W$5)*(W$7-W$6))))</f>
        <v>8.47380818038944</v>
      </c>
      <c r="X1003" s="2" t="n">
        <v>0.261224041</v>
      </c>
      <c r="Y1003" s="2" t="n">
        <f aca="false">IF(Y$7=Y$5,Y$6,IF(NORMSDIST(Y$9*SQRT($C$11)*NORMSINV($B1003)+SQRT(1-Y$9^2*$C$11)*NORMSINV(X1003))&lt;Y$8,Y$5+SQRT(NORMSDIST(Y$9*SQRT($C$11)*NORMSINV($B1003)+SQRT(1-Y$9^2*$C$11)*NORMSINV(X1003))*(Y$7-Y$5)*(Y$6-Y$5)),Y$7-SQRT((1-NORMSDIST(Y$9*SQRT($C$11)*NORMSINV($B1003)+SQRT(1-Y$9^2*$C$11)*NORMSINV(X1003)))*(Y$7-Y$5)*(Y$7-Y$6))))</f>
        <v>0.361402850708181</v>
      </c>
      <c r="Z1003" s="2" t="n">
        <v>0.574353965</v>
      </c>
      <c r="AA1003" s="2" t="n">
        <f aca="false">IF(AA$7=AA$5,AA$6,IF(NORMSDIST(AA$9*SQRT($C$11)*NORMSINV($B1003)+SQRT(1-AA$9^2*$C$11)*NORMSINV(Z1003))&lt;AA$8,AA$5+SQRT(NORMSDIST(AA$9*SQRT($C$11)*NORMSINV($B1003)+SQRT(1-AA$9^2*$C$11)*NORMSINV(Z1003))*(AA$7-AA$5)*(AA$6-AA$5)),AA$7-SQRT((1-NORMSDIST(AA$9*SQRT($C$11)*NORMSINV($B1003)+SQRT(1-AA$9^2*$C$11)*NORMSINV(Z1003)))*(AA$7-AA$5)*(AA$7-AA$6))))</f>
        <v>0.705039582202474</v>
      </c>
      <c r="AB1003" s="2" t="n">
        <v>0.901949806</v>
      </c>
      <c r="AC1003" s="2" t="n">
        <f aca="false">IF(AC$7=AC$5,AC$6,IF(NORMSDIST(AC$9*SQRT($C$11)*NORMSINV($B1003)+SQRT(1-AC$9^2*$C$11)*NORMSINV(AB1003))&lt;AC$8,AC$5+SQRT(NORMSDIST(AC$9*SQRT($C$11)*NORMSINV($B1003)+SQRT(1-AC$9^2*$C$11)*NORMSINV(AB1003))*(AC$7-AC$5)*(AC$6-AC$5)),AC$7-SQRT((1-NORMSDIST(AC$9*SQRT($C$11)*NORMSINV($B1003)+SQRT(1-AC$9^2*$C$11)*NORMSINV(AB1003)))*(AC$7-AC$5)*(AC$7-AC$6))))</f>
        <v>8.70785627997166</v>
      </c>
      <c r="AD1003" s="2" t="n">
        <f aca="false">Entrées!$C$8*(1+E1003)</f>
        <v>7407.12234336161</v>
      </c>
      <c r="AE1003" s="2" t="n">
        <f aca="false">I1003*Hypothèses!$J$24/12/Hypothèses!$J$19</f>
        <v>89.5681273370077</v>
      </c>
      <c r="AF1003" s="2" t="n">
        <f aca="false">Entrées!$C$36*S1003*1000</f>
        <v>26.0709034582057</v>
      </c>
      <c r="AG1003" s="2" t="n">
        <f aca="false">-AF1003/W1003</f>
        <v>-3.07664545894966</v>
      </c>
      <c r="AH1003" s="2" t="n">
        <f aca="false">AD1003+AE1003+AG1003</f>
        <v>7493.61382523967</v>
      </c>
      <c r="AI1003" s="2" t="n">
        <f aca="false">Entrées!$C$16-M1003+Hypothèses!$J$22*1000-AF1003+Hypothèses!$J$23</f>
        <v>23111.0792799884</v>
      </c>
      <c r="AJ1003" s="2" t="n">
        <f aca="false">AI1003/AH1003</f>
        <v>3.08410332036949</v>
      </c>
      <c r="AK1003" s="2" t="n">
        <f aca="false">AI1003/(AH1003+I1003*(12-Hypothèses!$J$24)/12/Hypothèses!$J$19)</f>
        <v>3.05799547758118</v>
      </c>
      <c r="AL1003" s="2" t="n">
        <f aca="false">(AD1003+AG1003+I1003/Hypothèses!$J$19)*(1+G1003)</f>
        <v>7884.37459399909</v>
      </c>
      <c r="AM1003" s="2" t="n">
        <f aca="false">Entrées!$C$54*K1003/Hypothèses!$J$19</f>
        <v>13.5721272440394</v>
      </c>
      <c r="AN1003" s="2" t="n">
        <f aca="false">Y1003*1000/AC1003</f>
        <v>41.503079413405</v>
      </c>
      <c r="AO1003" s="2" t="n">
        <f aca="false">(Entrées!$C$36*(1-S1003)+MAX(0,Entrées!$C$30-Entrées!$C$35-Entrées!$C$36)*U1003)*1000</f>
        <v>711.572355822201</v>
      </c>
      <c r="AP1003" s="2" t="n">
        <f aca="false">-AO1003/W1003</f>
        <v>-83.973148869355</v>
      </c>
      <c r="AQ1003" s="2" t="n">
        <f aca="false">AL1003+AM1003+AN1003+AP1003</f>
        <v>7855.47665178718</v>
      </c>
      <c r="AR1003" s="2" t="n">
        <f aca="false">O1003*AQ1003-Hypothèses!$J$25/Hypothèses!$J$19</f>
        <v>1206.01795222127</v>
      </c>
      <c r="AS1003" s="2" t="n">
        <f aca="false">Entrées!$C$79*(1+Q1003)+Hypothèses!$J$20</f>
        <v>1475.86297277086</v>
      </c>
      <c r="AT1003" s="2" t="n">
        <f aca="false">AI1003-AR1003+AS1003+Y1003*1000-AO1003+Hypothèses!$J$23</f>
        <v>23030.754795424</v>
      </c>
      <c r="AU1003" s="2" t="n">
        <f aca="false">AT1003/AQ1003</f>
        <v>2.93180870064508</v>
      </c>
      <c r="AV1003" s="2" t="n">
        <f aca="false">Hypothèses!$J$26*AQ1003-AT1003</f>
        <v>535.675159937568</v>
      </c>
      <c r="AW1003" s="2" t="n">
        <f aca="false">IF(AC1003&gt;Hypothèses!$J$26,MAX(0,AV1003)/(1-Hypothèses!$J$26/AC1003),0)</f>
        <v>817.221400940798</v>
      </c>
      <c r="AX1003" s="2" t="n">
        <f aca="false">AQ1003-Entrées!$C$17*1000</f>
        <v>-144.523348212819</v>
      </c>
      <c r="AY1003" s="2" t="n">
        <f aca="false">AI1003+(Entrées!$C$244-Entrées!$C$13)</f>
        <v>28858.0792799884</v>
      </c>
      <c r="AZ1003" s="2" t="n">
        <f aca="false">AA1003*AH1003</f>
        <v>5283.29436053366</v>
      </c>
      <c r="BA1003" s="2" t="n">
        <f aca="false">AZ1003/AY1003</f>
        <v>0.18307851708611</v>
      </c>
      <c r="BB1003" s="2" t="n">
        <f aca="false">AZ1003/(Entrées!$C$151/100)-AY1003</f>
        <v>493.55605630971</v>
      </c>
      <c r="BC1003" s="2" t="n">
        <f aca="false">AT1003+(Entrées!$C$244-Entrées!$C$13)</f>
        <v>28777.754795424</v>
      </c>
      <c r="BD1003" s="2" t="n">
        <f aca="false">AA1003*AQ1003</f>
        <v>5538.42197657733</v>
      </c>
      <c r="BE1003" s="2" t="n">
        <f aca="false">BD1003/BC1003</f>
        <v>0.192454971416255</v>
      </c>
      <c r="BF1003" s="2" t="n">
        <f aca="false">BD1003/(Entrées!$C$151/100)-BC1003</f>
        <v>1991.25618556117</v>
      </c>
      <c r="BG1003" s="2" t="n">
        <f aca="false">MIN(AV1003,BF1003)</f>
        <v>535.675159937568</v>
      </c>
      <c r="BH1003" s="2" t="n">
        <f aca="false">IF(AC1003&gt;Hypothèses!$J$26,MAX(0,BG1003)/(1-Hypothèses!$J$26/AC1003),0)</f>
        <v>817.221400940798</v>
      </c>
    </row>
    <row r="1004" customFormat="false" ht="15" hidden="false" customHeight="false" outlineLevel="0" collapsed="false">
      <c r="A1004" s="2" t="n">
        <v>989</v>
      </c>
      <c r="B1004" s="2" t="n">
        <v>0.961317757</v>
      </c>
      <c r="C1004" s="2"/>
      <c r="D1004" s="2" t="n">
        <v>0.022628794</v>
      </c>
      <c r="E1004" s="2" t="n">
        <f aca="false">IF(E$7=E$5,E$6,IF(NORMSDIST(E$9*SQRT($C$11)*NORMSINV($B1004)+SQRT(1-E$9^2*$C$11)*NORMSINV(D1004))&lt;E$8,E$5+SQRT(NORMSDIST(E$9*SQRT($C$11)*NORMSINV($B1004)+SQRT(1-E$9^2*$C$11)*NORMSINV(D1004))*(E$7-E$5)*(E$6-E$5)),E$7-SQRT((1-NORMSDIST(E$9*SQRT($C$11)*NORMSINV($B1004)+SQRT(1-E$9^2*$C$11)*NORMSINV(D1004)))*(E$7-E$5)*(E$7-E$6))))</f>
        <v>0.0540754098734461</v>
      </c>
      <c r="F1004" s="2" t="n">
        <v>0.665626491</v>
      </c>
      <c r="G1004" s="2" t="n">
        <f aca="false">IF(G$7=G$5,G$6,IF(NORMSDIST(G$9*SQRT($C$11)*NORMSINV($B1004)+SQRT(1-G$9^2*$C$11)*NORMSINV(F1004))&lt;G$8,G$5+SQRT(NORMSDIST(G$9*SQRT($C$11)*NORMSINV($B1004)+SQRT(1-G$9^2*$C$11)*NORMSINV(F1004))*(G$7-G$5)*(G$6-G$5)),G$7-SQRT((1-NORMSDIST(G$9*SQRT($C$11)*NORMSINV($B1004)+SQRT(1-G$9^2*$C$11)*NORMSINV(F1004)))*(G$7-G$5)*(G$7-G$6))))</f>
        <v>0.0642393667246533</v>
      </c>
      <c r="H1004" s="2" t="n">
        <v>0.795066775</v>
      </c>
      <c r="I1004" s="2" t="n">
        <f aca="false">IF(I$7=I$5,I$6,IF(NORMSDIST(I$9*SQRT($C$11)*NORMSINV($B1004)+SQRT(1-I$9^2*$C$11)*NORMSINV(H1004))&lt;I$8,I$5+SQRT(NORMSDIST(I$9*SQRT($C$11)*NORMSINV($B1004)+SQRT(1-I$9^2*$C$11)*NORMSINV(H1004))*(I$7-I$5)*(I$6-I$5)),I$7-SQRT((1-NORMSDIST(I$9*SQRT($C$11)*NORMSINV($B1004)+SQRT(1-I$9^2*$C$11)*NORMSINV(H1004)))*(I$7-I$5)*(I$7-I$6))))</f>
        <v>214.371836448695</v>
      </c>
      <c r="J1004" s="2" t="n">
        <v>0.432547175</v>
      </c>
      <c r="K1004" s="2" t="n">
        <f aca="false">IF(K$7=K$5,K$6,IF(NORMSDIST(K$9*SQRT($C$11)*NORMSINV($B1004)+SQRT(1-K$9^2*$C$11)*NORMSINV(J1004))&lt;K$8,K$5+SQRT(NORMSDIST(K$9*SQRT($C$11)*NORMSINV($B1004)+SQRT(1-K$9^2*$C$11)*NORMSINV(J1004))*(K$7-K$5)*(K$6-K$5)),K$7-SQRT((1-NORMSDIST(K$9*SQRT($C$11)*NORMSINV($B1004)+SQRT(1-K$9^2*$C$11)*NORMSINV(J1004)))*(K$7-K$5)*(K$7-K$6))))</f>
        <v>0.357607531826569</v>
      </c>
      <c r="L1004" s="2" t="n">
        <v>0.388023938</v>
      </c>
      <c r="M1004" s="2" t="n">
        <f aca="false">IF(M$7=M$5,M$6,IF(NORMSDIST(M$9*SQRT($C$11)*NORMSINV($B1004)+SQRT(1-M$9^2*$C$11)*NORMSINV(L1004))&lt;M$8,M$5+SQRT(NORMSDIST(M$9*SQRT($C$11)*NORMSINV($B1004)+SQRT(1-M$9^2*$C$11)*NORMSINV(L1004))*(M$7-M$5)*(M$6-M$5)),M$7-SQRT((1-NORMSDIST(M$9*SQRT($C$11)*NORMSINV($B1004)+SQRT(1-M$9^2*$C$11)*NORMSINV(L1004)))*(M$7-M$5)*(M$7-M$6))))</f>
        <v>1670.56057242797</v>
      </c>
      <c r="N1004" s="2" t="n">
        <v>0.435736253</v>
      </c>
      <c r="O1004" s="2" t="n">
        <f aca="false">IF(O$7=O$5,O$6,IF(NORMSDIST(O$9*SQRT($C$11)*NORMSINV($B1004)+SQRT(1-O$9^2*$C$11)*NORMSINV(N1004))&lt;O$8,O$5+SQRT(NORMSDIST(O$9*SQRT($C$11)*NORMSINV($B1004)+SQRT(1-O$9^2*$C$11)*NORMSINV(N1004))*(O$7-O$5)*(O$6-O$5)),O$7-SQRT((1-NORMSDIST(O$9*SQRT($C$11)*NORMSINV($B1004)+SQRT(1-O$9^2*$C$11)*NORMSINV(N1004)))*(O$7-O$5)*(O$7-O$6))))</f>
        <v>0.176917905574909</v>
      </c>
      <c r="P1004" s="2" t="n">
        <v>0.279272628</v>
      </c>
      <c r="Q1004" s="2" t="n">
        <f aca="false">IF(Q$7=Q$5,Q$6,IF(NORMSDIST(Q$9*SQRT($C$11)*NORMSINV($B1004)+SQRT(1-Q$9^2*$C$11)*NORMSINV(P1004))&lt;Q$8,Q$5+SQRT(NORMSDIST(Q$9*SQRT($C$11)*NORMSINV($B1004)+SQRT(1-Q$9^2*$C$11)*NORMSINV(P1004))*(Q$7-Q$5)*(Q$6-Q$5)),Q$7-SQRT((1-NORMSDIST(Q$9*SQRT($C$11)*NORMSINV($B1004)+SQRT(1-Q$9^2*$C$11)*NORMSINV(P1004)))*(Q$7-Q$5)*(Q$7-Q$6))))</f>
        <v>0.0698943541425467</v>
      </c>
      <c r="R1004" s="2" t="n">
        <v>0.097810198</v>
      </c>
      <c r="S1004" s="2" t="n">
        <f aca="false">IF(S$7=S$5,S$6,IF(NORMSDIST(S$9*SQRT($C$11)*NORMSINV($B1004)+SQRT(1-S$9^2*$C$11)*NORMSINV(R1004))&lt;S$8,S$5+SQRT(NORMSDIST(S$9*SQRT($C$11)*NORMSINV($B1004)+SQRT(1-S$9^2*$C$11)*NORMSINV(R1004))*(S$7-S$5)*(S$6-S$5)),S$7-SQRT((1-NORMSDIST(S$9*SQRT($C$11)*NORMSINV($B1004)+SQRT(1-S$9^2*$C$11)*NORMSINV(R1004)))*(S$7-S$5)*(S$7-S$6))))</f>
        <v>0.523356082048771</v>
      </c>
      <c r="T1004" s="2" t="n">
        <v>0.066266911</v>
      </c>
      <c r="U1004" s="2" t="n">
        <f aca="false">IF(U$7=U$5,U$6,IF(NORMSDIST(U$9*SQRT($C$11)*NORMSINV($B1004)+SQRT(1-U$9^2*$C$11)*NORMSINV(T1004))&lt;U$8,U$5+SQRT(NORMSDIST(U$9*SQRT($C$11)*NORMSINV($B1004)+SQRT(1-U$9^2*$C$11)*NORMSINV(T1004))*(U$7-U$5)*(U$6-U$5)),U$7-SQRT((1-NORMSDIST(U$9*SQRT($C$11)*NORMSINV($B1004)+SQRT(1-U$9^2*$C$11)*NORMSINV(T1004)))*(U$7-U$5)*(U$7-U$6))))</f>
        <v>0.490314994568034</v>
      </c>
      <c r="V1004" s="2" t="n">
        <v>0.439105035</v>
      </c>
      <c r="W1004" s="2" t="n">
        <f aca="false">IF(W$7=W$5,W$6,IF(NORMSDIST(W$9*SQRT($C$11)*NORMSINV($B1004)+SQRT(1-W$9^2*$C$11)*NORMSINV(V1004))&lt;W$8,W$5+SQRT(NORMSDIST(W$9*SQRT($C$11)*NORMSINV($B1004)+SQRT(1-W$9^2*$C$11)*NORMSINV(V1004))*(W$7-W$5)*(W$6-W$5)),W$7-SQRT((1-NORMSDIST(W$9*SQRT($C$11)*NORMSINV($B1004)+SQRT(1-W$9^2*$C$11)*NORMSINV(V1004)))*(W$7-W$5)*(W$7-W$6))))</f>
        <v>10.8719642150977</v>
      </c>
      <c r="X1004" s="2" t="n">
        <v>0.765081985</v>
      </c>
      <c r="Y1004" s="2" t="n">
        <f aca="false">IF(Y$7=Y$5,Y$6,IF(NORMSDIST(Y$9*SQRT($C$11)*NORMSINV($B1004)+SQRT(1-Y$9^2*$C$11)*NORMSINV(X1004))&lt;Y$8,Y$5+SQRT(NORMSDIST(Y$9*SQRT($C$11)*NORMSINV($B1004)+SQRT(1-Y$9^2*$C$11)*NORMSINV(X1004))*(Y$7-Y$5)*(Y$6-Y$5)),Y$7-SQRT((1-NORMSDIST(Y$9*SQRT($C$11)*NORMSINV($B1004)+SQRT(1-Y$9^2*$C$11)*NORMSINV(X1004)))*(Y$7-Y$5)*(Y$7-Y$6))))</f>
        <v>0.65727706890259</v>
      </c>
      <c r="Z1004" s="2" t="n">
        <v>0.002190469</v>
      </c>
      <c r="AA1004" s="2" t="n">
        <f aca="false">IF(AA$7=AA$5,AA$6,IF(NORMSDIST(AA$9*SQRT($C$11)*NORMSINV($B1004)+SQRT(1-AA$9^2*$C$11)*NORMSINV(Z1004))&lt;AA$8,AA$5+SQRT(NORMSDIST(AA$9*SQRT($C$11)*NORMSINV($B1004)+SQRT(1-AA$9^2*$C$11)*NORMSINV(Z1004))*(AA$7-AA$5)*(AA$6-AA$5)),AA$7-SQRT((1-NORMSDIST(AA$9*SQRT($C$11)*NORMSINV($B1004)+SQRT(1-AA$9^2*$C$11)*NORMSINV(Z1004)))*(AA$7-AA$5)*(AA$7-AA$6))))</f>
        <v>0.712505517196728</v>
      </c>
      <c r="AB1004" s="2" t="n">
        <v>0.410706647</v>
      </c>
      <c r="AC1004" s="2" t="n">
        <f aca="false">IF(AC$7=AC$5,AC$6,IF(NORMSDIST(AC$9*SQRT($C$11)*NORMSINV($B1004)+SQRT(1-AC$9^2*$C$11)*NORMSINV(AB1004))&lt;AC$8,AC$5+SQRT(NORMSDIST(AC$9*SQRT($C$11)*NORMSINV($B1004)+SQRT(1-AC$9^2*$C$11)*NORMSINV(AB1004))*(AC$7-AC$5)*(AC$6-AC$5)),AC$7-SQRT((1-NORMSDIST(AC$9*SQRT($C$11)*NORMSINV($B1004)+SQRT(1-AC$9^2*$C$11)*NORMSINV(AB1004)))*(AC$7-AC$5)*(AC$7-AC$6))))</f>
        <v>10.1353790093007</v>
      </c>
      <c r="AD1004" s="2" t="n">
        <f aca="false">Entrées!$C$8*(1+E1004)</f>
        <v>7431.2316396078</v>
      </c>
      <c r="AE1004" s="2" t="n">
        <f aca="false">I1004*Hypothèses!$J$24/12/Hypothèses!$J$19</f>
        <v>106.349181938443</v>
      </c>
      <c r="AF1004" s="2" t="n">
        <f aca="false">Entrées!$C$36*S1004*1000</f>
        <v>261.678041024385</v>
      </c>
      <c r="AG1004" s="2" t="n">
        <f aca="false">-AF1004/W1004</f>
        <v>-24.069067543563</v>
      </c>
      <c r="AH1004" s="2" t="n">
        <f aca="false">AD1004+AE1004+AG1004</f>
        <v>7513.51175400268</v>
      </c>
      <c r="AI1004" s="2" t="n">
        <f aca="false">Entrées!$C$16-M1004+Hypothèses!$J$22*1000-AF1004+Hypothèses!$J$23</f>
        <v>22615.7613865476</v>
      </c>
      <c r="AJ1004" s="2" t="n">
        <f aca="false">AI1004/AH1004</f>
        <v>3.01001211244523</v>
      </c>
      <c r="AK1004" s="2" t="n">
        <f aca="false">AI1004/(AH1004+I1004*(12-Hypothèses!$J$24)/12/Hypothèses!$J$19)</f>
        <v>2.97988464677018</v>
      </c>
      <c r="AL1004" s="2" t="n">
        <f aca="false">(AD1004+AG1004+I1004/Hypothèses!$J$19)*(1+G1004)</f>
        <v>8077.01855241366</v>
      </c>
      <c r="AM1004" s="2" t="n">
        <f aca="false">Entrées!$C$54*K1004/Hypothèses!$J$19</f>
        <v>36.4953501198985</v>
      </c>
      <c r="AN1004" s="2" t="n">
        <f aca="false">Y1004*1000/AC1004</f>
        <v>64.8497770334431</v>
      </c>
      <c r="AO1004" s="2" t="n">
        <f aca="false">(Entrées!$C$36*(1-S1004)+MAX(0,Entrées!$C$30-Entrées!$C$35-Entrées!$C$36)*U1004)*1000</f>
        <v>924.762951370863</v>
      </c>
      <c r="AP1004" s="2" t="n">
        <f aca="false">-AO1004/W1004</f>
        <v>-85.0594182499851</v>
      </c>
      <c r="AQ1004" s="2" t="n">
        <f aca="false">AL1004+AM1004+AN1004+AP1004</f>
        <v>8093.30426131701</v>
      </c>
      <c r="AR1004" s="2" t="n">
        <f aca="false">O1004*AQ1004-Hypothèses!$J$25/Hypothèses!$J$19</f>
        <v>1412.71527683107</v>
      </c>
      <c r="AS1004" s="2" t="n">
        <f aca="false">Entrées!$C$79*(1+Q1004)+Hypothèses!$J$20</f>
        <v>1470.81389520266</v>
      </c>
      <c r="AT1004" s="2" t="n">
        <f aca="false">AI1004-AR1004+AS1004+Y1004*1000-AO1004+Hypothèses!$J$23</f>
        <v>22406.374122451</v>
      </c>
      <c r="AU1004" s="2" t="n">
        <f aca="false">AT1004/AQ1004</f>
        <v>2.76850757107268</v>
      </c>
      <c r="AV1004" s="2" t="n">
        <f aca="false">Hypothèses!$J$26*AQ1004-AT1004</f>
        <v>1873.53866150008</v>
      </c>
      <c r="AW1004" s="2" t="n">
        <f aca="false">IF(AC1004&gt;Hypothèses!$J$26,MAX(0,AV1004)/(1-Hypothèses!$J$26/AC1004),0)</f>
        <v>2661.24958437803</v>
      </c>
      <c r="AX1004" s="2" t="n">
        <f aca="false">AQ1004-Entrées!$C$17*1000</f>
        <v>93.3042613170137</v>
      </c>
      <c r="AY1004" s="2" t="n">
        <f aca="false">AI1004+(Entrées!$C$244-Entrées!$C$13)</f>
        <v>28362.7613865476</v>
      </c>
      <c r="AZ1004" s="2" t="n">
        <f aca="false">AA1004*AH1004</f>
        <v>5353.41857824937</v>
      </c>
      <c r="BA1004" s="2" t="n">
        <f aca="false">AZ1004/AY1004</f>
        <v>0.188748144275842</v>
      </c>
      <c r="BB1004" s="2" t="n">
        <f aca="false">AZ1004/(Entrées!$C$151/100)-AY1004</f>
        <v>1378.45293705996</v>
      </c>
      <c r="BC1004" s="2" t="n">
        <f aca="false">AT1004+(Entrées!$C$244-Entrées!$C$13)</f>
        <v>28153.374122451</v>
      </c>
      <c r="BD1004" s="2" t="n">
        <f aca="false">AA1004*AQ1004</f>
        <v>5766.52393854016</v>
      </c>
      <c r="BE1004" s="2" t="n">
        <f aca="false">BD1004/BC1004</f>
        <v>0.20482532265792</v>
      </c>
      <c r="BF1004" s="2" t="n">
        <f aca="false">BD1004/(Entrées!$C$151/100)-BC1004</f>
        <v>3882.86998054991</v>
      </c>
      <c r="BG1004" s="2" t="n">
        <f aca="false">MIN(AV1004,BF1004)</f>
        <v>1873.53866150008</v>
      </c>
      <c r="BH1004" s="2" t="n">
        <f aca="false">IF(AC1004&gt;Hypothèses!$J$26,MAX(0,BG1004)/(1-Hypothèses!$J$26/AC1004),0)</f>
        <v>2661.24958437803</v>
      </c>
    </row>
    <row r="1005" customFormat="false" ht="15" hidden="false" customHeight="false" outlineLevel="0" collapsed="false">
      <c r="A1005" s="2" t="n">
        <v>990</v>
      </c>
      <c r="B1005" s="2" t="n">
        <v>0.374077915</v>
      </c>
      <c r="C1005" s="2"/>
      <c r="D1005" s="2" t="n">
        <v>0.84561432</v>
      </c>
      <c r="E1005" s="2" t="n">
        <f aca="false">IF(E$7=E$5,E$6,IF(NORMSDIST(E$9*SQRT($C$11)*NORMSINV($B1005)+SQRT(1-E$9^2*$C$11)*NORMSINV(D1005))&lt;E$8,E$5+SQRT(NORMSDIST(E$9*SQRT($C$11)*NORMSINV($B1005)+SQRT(1-E$9^2*$C$11)*NORMSINV(D1005))*(E$7-E$5)*(E$6-E$5)),E$7-SQRT((1-NORMSDIST(E$9*SQRT($C$11)*NORMSINV($B1005)+SQRT(1-E$9^2*$C$11)*NORMSINV(D1005)))*(E$7-E$5)*(E$7-E$6))))</f>
        <v>0.0562639249549345</v>
      </c>
      <c r="F1005" s="2" t="n">
        <v>0.675177817</v>
      </c>
      <c r="G1005" s="2" t="n">
        <f aca="false">IF(G$7=G$5,G$6,IF(NORMSDIST(G$9*SQRT($C$11)*NORMSINV($B1005)+SQRT(1-G$9^2*$C$11)*NORMSINV(F1005))&lt;G$8,G$5+SQRT(NORMSDIST(G$9*SQRT($C$11)*NORMSINV($B1005)+SQRT(1-G$9^2*$C$11)*NORMSINV(F1005))*(G$7-G$5)*(G$6-G$5)),G$7-SQRT((1-NORMSDIST(G$9*SQRT($C$11)*NORMSINV($B1005)+SQRT(1-G$9^2*$C$11)*NORMSINV(F1005)))*(G$7-G$5)*(G$7-G$6))))</f>
        <v>0.0559150867022323</v>
      </c>
      <c r="H1005" s="2" t="n">
        <v>0.63052577</v>
      </c>
      <c r="I1005" s="2" t="n">
        <f aca="false">IF(I$7=I$5,I$6,IF(NORMSDIST(I$9*SQRT($C$11)*NORMSINV($B1005)+SQRT(1-I$9^2*$C$11)*NORMSINV(H1005))&lt;I$8,I$5+SQRT(NORMSDIST(I$9*SQRT($C$11)*NORMSINV($B1005)+SQRT(1-I$9^2*$C$11)*NORMSINV(H1005))*(I$7-I$5)*(I$6-I$5)),I$7-SQRT((1-NORMSDIST(I$9*SQRT($C$11)*NORMSINV($B1005)+SQRT(1-I$9^2*$C$11)*NORMSINV(H1005)))*(I$7-I$5)*(I$7-I$6))))</f>
        <v>200.444084359323</v>
      </c>
      <c r="J1005" s="2" t="n">
        <v>0.585841089</v>
      </c>
      <c r="K1005" s="2" t="n">
        <f aca="false">IF(K$7=K$5,K$6,IF(NORMSDIST(K$9*SQRT($C$11)*NORMSINV($B1005)+SQRT(1-K$9^2*$C$11)*NORMSINV(J1005))&lt;K$8,K$5+SQRT(NORMSDIST(K$9*SQRT($C$11)*NORMSINV($B1005)+SQRT(1-K$9^2*$C$11)*NORMSINV(J1005))*(K$7-K$5)*(K$6-K$5)),K$7-SQRT((1-NORMSDIST(K$9*SQRT($C$11)*NORMSINV($B1005)+SQRT(1-K$9^2*$C$11)*NORMSINV(J1005)))*(K$7-K$5)*(K$7-K$6))))</f>
        <v>0.246476657805916</v>
      </c>
      <c r="L1005" s="2" t="n">
        <v>0.906515449</v>
      </c>
      <c r="M1005" s="2" t="n">
        <f aca="false">IF(M$7=M$5,M$6,IF(NORMSDIST(M$9*SQRT($C$11)*NORMSINV($B1005)+SQRT(1-M$9^2*$C$11)*NORMSINV(L1005))&lt;M$8,M$5+SQRT(NORMSDIST(M$9*SQRT($C$11)*NORMSINV($B1005)+SQRT(1-M$9^2*$C$11)*NORMSINV(L1005))*(M$7-M$5)*(M$6-M$5)),M$7-SQRT((1-NORMSDIST(M$9*SQRT($C$11)*NORMSINV($B1005)+SQRT(1-M$9^2*$C$11)*NORMSINV(L1005)))*(M$7-M$5)*(M$7-M$6))))</f>
        <v>1663.72552591432</v>
      </c>
      <c r="N1005" s="2" t="n">
        <v>0.839575673</v>
      </c>
      <c r="O1005" s="2" t="n">
        <f aca="false">IF(O$7=O$5,O$6,IF(NORMSDIST(O$9*SQRT($C$11)*NORMSINV($B1005)+SQRT(1-O$9^2*$C$11)*NORMSINV(N1005))&lt;O$8,O$5+SQRT(NORMSDIST(O$9*SQRT($C$11)*NORMSINV($B1005)+SQRT(1-O$9^2*$C$11)*NORMSINV(N1005))*(O$7-O$5)*(O$6-O$5)),O$7-SQRT((1-NORMSDIST(O$9*SQRT($C$11)*NORMSINV($B1005)+SQRT(1-O$9^2*$C$11)*NORMSINV(N1005)))*(O$7-O$5)*(O$7-O$6))))</f>
        <v>0.172554116866991</v>
      </c>
      <c r="P1005" s="2" t="n">
        <v>0.532806549</v>
      </c>
      <c r="Q1005" s="2" t="n">
        <f aca="false">IF(Q$7=Q$5,Q$6,IF(NORMSDIST(Q$9*SQRT($C$11)*NORMSINV($B1005)+SQRT(1-Q$9^2*$C$11)*NORMSINV(P1005))&lt;Q$8,Q$5+SQRT(NORMSDIST(Q$9*SQRT($C$11)*NORMSINV($B1005)+SQRT(1-Q$9^2*$C$11)*NORMSINV(P1005))*(Q$7-Q$5)*(Q$6-Q$5)),Q$7-SQRT((1-NORMSDIST(Q$9*SQRT($C$11)*NORMSINV($B1005)+SQRT(1-Q$9^2*$C$11)*NORMSINV(P1005)))*(Q$7-Q$5)*(Q$7-Q$6))))</f>
        <v>0.0813345238849953</v>
      </c>
      <c r="R1005" s="2" t="n">
        <v>0.414952295</v>
      </c>
      <c r="S1005" s="2" t="n">
        <f aca="false">IF(S$7=S$5,S$6,IF(NORMSDIST(S$9*SQRT($C$11)*NORMSINV($B1005)+SQRT(1-S$9^2*$C$11)*NORMSINV(R1005))&lt;S$8,S$5+SQRT(NORMSDIST(S$9*SQRT($C$11)*NORMSINV($B1005)+SQRT(1-S$9^2*$C$11)*NORMSINV(R1005))*(S$7-S$5)*(S$6-S$5)),S$7-SQRT((1-NORMSDIST(S$9*SQRT($C$11)*NORMSINV($B1005)+SQRT(1-S$9^2*$C$11)*NORMSINV(R1005)))*(S$7-S$5)*(S$7-S$6))))</f>
        <v>0.421835471309087</v>
      </c>
      <c r="T1005" s="2" t="n">
        <v>0.131103433</v>
      </c>
      <c r="U1005" s="2" t="n">
        <f aca="false">IF(U$7=U$5,U$6,IF(NORMSDIST(U$9*SQRT($C$11)*NORMSINV($B1005)+SQRT(1-U$9^2*$C$11)*NORMSINV(T1005))&lt;U$8,U$5+SQRT(NORMSDIST(U$9*SQRT($C$11)*NORMSINV($B1005)+SQRT(1-U$9^2*$C$11)*NORMSINV(T1005))*(U$7-U$5)*(U$6-U$5)),U$7-SQRT((1-NORMSDIST(U$9*SQRT($C$11)*NORMSINV($B1005)+SQRT(1-U$9^2*$C$11)*NORMSINV(T1005)))*(U$7-U$5)*(U$7-U$6))))</f>
        <v>0.26642511847749</v>
      </c>
      <c r="V1005" s="2" t="n">
        <v>0.811380299</v>
      </c>
      <c r="W1005" s="2" t="n">
        <f aca="false">IF(W$7=W$5,W$6,IF(NORMSDIST(W$9*SQRT($C$11)*NORMSINV($B1005)+SQRT(1-W$9^2*$C$11)*NORMSINV(V1005))&lt;W$8,W$5+SQRT(NORMSDIST(W$9*SQRT($C$11)*NORMSINV($B1005)+SQRT(1-W$9^2*$C$11)*NORMSINV(V1005))*(W$7-W$5)*(W$6-W$5)),W$7-SQRT((1-NORMSDIST(W$9*SQRT($C$11)*NORMSINV($B1005)+SQRT(1-W$9^2*$C$11)*NORMSINV(V1005)))*(W$7-W$5)*(W$7-W$6))))</f>
        <v>10.4118096592951</v>
      </c>
      <c r="X1005" s="2" t="n">
        <v>0.790190385</v>
      </c>
      <c r="Y1005" s="2" t="n">
        <f aca="false">IF(Y$7=Y$5,Y$6,IF(NORMSDIST(Y$9*SQRT($C$11)*NORMSINV($B1005)+SQRT(1-Y$9^2*$C$11)*NORMSINV(X1005))&lt;Y$8,Y$5+SQRT(NORMSDIST(Y$9*SQRT($C$11)*NORMSINV($B1005)+SQRT(1-Y$9^2*$C$11)*NORMSINV(X1005))*(Y$7-Y$5)*(Y$6-Y$5)),Y$7-SQRT((1-NORMSDIST(Y$9*SQRT($C$11)*NORMSINV($B1005)+SQRT(1-Y$9^2*$C$11)*NORMSINV(X1005)))*(Y$7-Y$5)*(Y$7-Y$6))))</f>
        <v>0.676109883602479</v>
      </c>
      <c r="Z1005" s="2" t="n">
        <v>0.195557048</v>
      </c>
      <c r="AA1005" s="2" t="n">
        <f aca="false">IF(AA$7=AA$5,AA$6,IF(NORMSDIST(AA$9*SQRT($C$11)*NORMSINV($B1005)+SQRT(1-AA$9^2*$C$11)*NORMSINV(Z1005))&lt;AA$8,AA$5+SQRT(NORMSDIST(AA$9*SQRT($C$11)*NORMSINV($B1005)+SQRT(1-AA$9^2*$C$11)*NORMSINV(Z1005))*(AA$7-AA$5)*(AA$6-AA$5)),AA$7-SQRT((1-NORMSDIST(AA$9*SQRT($C$11)*NORMSINV($B1005)+SQRT(1-AA$9^2*$C$11)*NORMSINV(Z1005)))*(AA$7-AA$5)*(AA$7-AA$6))))</f>
        <v>0.715648643802807</v>
      </c>
      <c r="AB1005" s="2" t="n">
        <v>0.896265776</v>
      </c>
      <c r="AC1005" s="2" t="n">
        <f aca="false">IF(AC$7=AC$5,AC$6,IF(NORMSDIST(AC$9*SQRT($C$11)*NORMSINV($B1005)+SQRT(1-AC$9^2*$C$11)*NORMSINV(AB1005))&lt;AC$8,AC$5+SQRT(NORMSDIST(AC$9*SQRT($C$11)*NORMSINV($B1005)+SQRT(1-AC$9^2*$C$11)*NORMSINV(AB1005))*(AC$7-AC$5)*(AC$6-AC$5)),AC$7-SQRT((1-NORMSDIST(AC$9*SQRT($C$11)*NORMSINV($B1005)+SQRT(1-AC$9^2*$C$11)*NORMSINV(AB1005)))*(AC$7-AC$5)*(AC$7-AC$6))))</f>
        <v>10.0258805429298</v>
      </c>
      <c r="AD1005" s="2" t="n">
        <f aca="false">Entrées!$C$8*(1+E1005)</f>
        <v>7446.66067093229</v>
      </c>
      <c r="AE1005" s="2" t="n">
        <f aca="false">I1005*Hypothèses!$J$24/12/Hypothèses!$J$19</f>
        <v>99.4396687044103</v>
      </c>
      <c r="AF1005" s="2" t="n">
        <f aca="false">Entrées!$C$36*S1005*1000</f>
        <v>210.917735654544</v>
      </c>
      <c r="AG1005" s="2" t="n">
        <f aca="false">-AF1005/W1005</f>
        <v>-20.2575481646697</v>
      </c>
      <c r="AH1005" s="2" t="n">
        <f aca="false">AD1005+AE1005+AG1005</f>
        <v>7525.84279147203</v>
      </c>
      <c r="AI1005" s="2" t="n">
        <f aca="false">Entrées!$C$16-M1005+Hypothèses!$J$22*1000-AF1005+Hypothèses!$J$23</f>
        <v>22673.3567384311</v>
      </c>
      <c r="AJ1005" s="2" t="n">
        <f aca="false">AI1005/AH1005</f>
        <v>3.01273324020582</v>
      </c>
      <c r="AK1005" s="2" t="n">
        <f aca="false">AI1005/(AH1005+I1005*(12-Hypothèses!$J$24)/12/Hypothèses!$J$19)</f>
        <v>2.98456514025278</v>
      </c>
      <c r="AL1005" s="2" t="n">
        <f aca="false">(AD1005+AG1005+I1005/Hypothèses!$J$19)*(1+G1005)</f>
        <v>8021.65083395146</v>
      </c>
      <c r="AM1005" s="2" t="n">
        <f aca="false">Entrées!$C$54*K1005/Hypothèses!$J$19</f>
        <v>25.1539778177038</v>
      </c>
      <c r="AN1005" s="2" t="n">
        <f aca="false">Y1005*1000/AC1005</f>
        <v>67.4364591426602</v>
      </c>
      <c r="AO1005" s="2" t="n">
        <f aca="false">(Entrées!$C$36*(1-S1005)+MAX(0,Entrées!$C$30-Entrées!$C$35-Entrées!$C$36)*U1005)*1000</f>
        <v>662.077430213942</v>
      </c>
      <c r="AP1005" s="2" t="n">
        <f aca="false">-AO1005/W1005</f>
        <v>-63.5890831545191</v>
      </c>
      <c r="AQ1005" s="2" t="n">
        <f aca="false">AL1005+AM1005+AN1005+AP1005</f>
        <v>8050.6521877573</v>
      </c>
      <c r="AR1005" s="2" t="n">
        <f aca="false">O1005*AQ1005-Hypothèses!$J$25/Hypothèses!$J$19</f>
        <v>1370.03801620014</v>
      </c>
      <c r="AS1005" s="2" t="n">
        <f aca="false">Entrées!$C$79*(1+Q1005)+Hypothèses!$J$20</f>
        <v>1483.38664174961</v>
      </c>
      <c r="AT1005" s="2" t="n">
        <f aca="false">AI1005-AR1005+AS1005+Y1005*1000-AO1005+Hypothèses!$J$23</f>
        <v>22800.7378173691</v>
      </c>
      <c r="AU1005" s="2" t="n">
        <f aca="false">AT1005/AQ1005</f>
        <v>2.83216033752426</v>
      </c>
      <c r="AV1005" s="2" t="n">
        <f aca="false">Hypothèses!$J$26*AQ1005-AT1005</f>
        <v>1351.21874590276</v>
      </c>
      <c r="AW1005" s="2" t="n">
        <f aca="false">IF(AC1005&gt;Hypothèses!$J$26,MAX(0,AV1005)/(1-Hypothèses!$J$26/AC1005),0)</f>
        <v>1928.17934364413</v>
      </c>
      <c r="AX1005" s="2" t="n">
        <f aca="false">AQ1005-Entrées!$C$17*1000</f>
        <v>50.6521877572995</v>
      </c>
      <c r="AY1005" s="2" t="n">
        <f aca="false">AI1005+(Entrées!$C$244-Entrées!$C$13)</f>
        <v>28420.3567384311</v>
      </c>
      <c r="AZ1005" s="2" t="n">
        <f aca="false">AA1005*AH1005</f>
        <v>5385.85918719008</v>
      </c>
      <c r="BA1005" s="2" t="n">
        <f aca="false">AZ1005/AY1005</f>
        <v>0.189507092988284</v>
      </c>
      <c r="BB1005" s="2" t="n">
        <f aca="false">AZ1005/(Entrées!$C$151/100)-AY1005</f>
        <v>1501.08319040267</v>
      </c>
      <c r="BC1005" s="2" t="n">
        <f aca="false">AT1005+(Entrées!$C$244-Entrées!$C$13)</f>
        <v>28547.7378173691</v>
      </c>
      <c r="BD1005" s="2" t="n">
        <f aca="false">AA1005*AQ1005</f>
        <v>5761.43831989661</v>
      </c>
      <c r="BE1005" s="2" t="n">
        <f aca="false">BD1005/BC1005</f>
        <v>0.201817683655172</v>
      </c>
      <c r="BF1005" s="2" t="n">
        <f aca="false">BD1005/(Entrées!$C$151/100)-BC1005</f>
        <v>3460.25284872313</v>
      </c>
      <c r="BG1005" s="2" t="n">
        <f aca="false">MIN(AV1005,BF1005)</f>
        <v>1351.21874590276</v>
      </c>
      <c r="BH1005" s="2" t="n">
        <f aca="false">IF(AC1005&gt;Hypothèses!$J$26,MAX(0,BG1005)/(1-Hypothèses!$J$26/AC1005),0)</f>
        <v>1928.17934364413</v>
      </c>
    </row>
    <row r="1006" customFormat="false" ht="15" hidden="false" customHeight="false" outlineLevel="0" collapsed="false">
      <c r="A1006" s="2" t="n">
        <v>991</v>
      </c>
      <c r="B1006" s="2" t="n">
        <v>0.924673025</v>
      </c>
      <c r="C1006" s="2"/>
      <c r="D1006" s="2" t="n">
        <v>0.160672317</v>
      </c>
      <c r="E1006" s="2" t="n">
        <f aca="false">IF(E$7=E$5,E$6,IF(NORMSDIST(E$9*SQRT($C$11)*NORMSINV($B1006)+SQRT(1-E$9^2*$C$11)*NORMSINV(D1006))&lt;E$8,E$5+SQRT(NORMSDIST(E$9*SQRT($C$11)*NORMSINV($B1006)+SQRT(1-E$9^2*$C$11)*NORMSINV(D1006))*(E$7-E$5)*(E$6-E$5)),E$7-SQRT((1-NORMSDIST(E$9*SQRT($C$11)*NORMSINV($B1006)+SQRT(1-E$9^2*$C$11)*NORMSINV(D1006)))*(E$7-E$5)*(E$7-E$6))))</f>
        <v>0.0552882693651162</v>
      </c>
      <c r="F1006" s="2" t="n">
        <v>0.908837315</v>
      </c>
      <c r="G1006" s="2" t="n">
        <f aca="false">IF(G$7=G$5,G$6,IF(NORMSDIST(G$9*SQRT($C$11)*NORMSINV($B1006)+SQRT(1-G$9^2*$C$11)*NORMSINV(F1006))&lt;G$8,G$5+SQRT(NORMSDIST(G$9*SQRT($C$11)*NORMSINV($B1006)+SQRT(1-G$9^2*$C$11)*NORMSINV(F1006))*(G$7-G$5)*(G$6-G$5)),G$7-SQRT((1-NORMSDIST(G$9*SQRT($C$11)*NORMSINV($B1006)+SQRT(1-G$9^2*$C$11)*NORMSINV(F1006)))*(G$7-G$5)*(G$7-G$6))))</f>
        <v>0.0665749913657224</v>
      </c>
      <c r="H1006" s="2" t="n">
        <v>0.786506786</v>
      </c>
      <c r="I1006" s="2" t="n">
        <f aca="false">IF(I$7=I$5,I$6,IF(NORMSDIST(I$9*SQRT($C$11)*NORMSINV($B1006)+SQRT(1-I$9^2*$C$11)*NORMSINV(H1006))&lt;I$8,I$5+SQRT(NORMSDIST(I$9*SQRT($C$11)*NORMSINV($B1006)+SQRT(1-I$9^2*$C$11)*NORMSINV(H1006))*(I$7-I$5)*(I$6-I$5)),I$7-SQRT((1-NORMSDIST(I$9*SQRT($C$11)*NORMSINV($B1006)+SQRT(1-I$9^2*$C$11)*NORMSINV(H1006)))*(I$7-I$5)*(I$7-I$6))))</f>
        <v>212.860349610415</v>
      </c>
      <c r="J1006" s="2" t="n">
        <v>0.550896685</v>
      </c>
      <c r="K1006" s="2" t="n">
        <f aca="false">IF(K$7=K$5,K$6,IF(NORMSDIST(K$9*SQRT($C$11)*NORMSINV($B1006)+SQRT(1-K$9^2*$C$11)*NORMSINV(J1006))&lt;K$8,K$5+SQRT(NORMSDIST(K$9*SQRT($C$11)*NORMSINV($B1006)+SQRT(1-K$9^2*$C$11)*NORMSINV(J1006))*(K$7-K$5)*(K$6-K$5)),K$7-SQRT((1-NORMSDIST(K$9*SQRT($C$11)*NORMSINV($B1006)+SQRT(1-K$9^2*$C$11)*NORMSINV(J1006)))*(K$7-K$5)*(K$7-K$6))))</f>
        <v>0.360040326213829</v>
      </c>
      <c r="L1006" s="2" t="n">
        <v>0.710306177</v>
      </c>
      <c r="M1006" s="2" t="n">
        <f aca="false">IF(M$7=M$5,M$6,IF(NORMSDIST(M$9*SQRT($C$11)*NORMSINV($B1006)+SQRT(1-M$9^2*$C$11)*NORMSINV(L1006))&lt;M$8,M$5+SQRT(NORMSDIST(M$9*SQRT($C$11)*NORMSINV($B1006)+SQRT(1-M$9^2*$C$11)*NORMSINV(L1006))*(M$7-M$5)*(M$6-M$5)),M$7-SQRT((1-NORMSDIST(M$9*SQRT($C$11)*NORMSINV($B1006)+SQRT(1-M$9^2*$C$11)*NORMSINV(L1006)))*(M$7-M$5)*(M$7-M$6))))</f>
        <v>1707.06894497223</v>
      </c>
      <c r="N1006" s="2" t="n">
        <v>0.355269579</v>
      </c>
      <c r="O1006" s="2" t="n">
        <f aca="false">IF(O$7=O$5,O$6,IF(NORMSDIST(O$9*SQRT($C$11)*NORMSINV($B1006)+SQRT(1-O$9^2*$C$11)*NORMSINV(N1006))&lt;O$8,O$5+SQRT(NORMSDIST(O$9*SQRT($C$11)*NORMSINV($B1006)+SQRT(1-O$9^2*$C$11)*NORMSINV(N1006))*(O$7-O$5)*(O$6-O$5)),O$7-SQRT((1-NORMSDIST(O$9*SQRT($C$11)*NORMSINV($B1006)+SQRT(1-O$9^2*$C$11)*NORMSINV(N1006)))*(O$7-O$5)*(O$7-O$6))))</f>
        <v>0.173131494497506</v>
      </c>
      <c r="P1006" s="2" t="n">
        <v>0.059993892</v>
      </c>
      <c r="Q1006" s="2" t="n">
        <f aca="false">IF(Q$7=Q$5,Q$6,IF(NORMSDIST(Q$9*SQRT($C$11)*NORMSINV($B1006)+SQRT(1-Q$9^2*$C$11)*NORMSINV(P1006))&lt;Q$8,Q$5+SQRT(NORMSDIST(Q$9*SQRT($C$11)*NORMSINV($B1006)+SQRT(1-Q$9^2*$C$11)*NORMSINV(P1006))*(Q$7-Q$5)*(Q$6-Q$5)),Q$7-SQRT((1-NORMSDIST(Q$9*SQRT($C$11)*NORMSINV($B1006)+SQRT(1-Q$9^2*$C$11)*NORMSINV(P1006)))*(Q$7-Q$5)*(Q$7-Q$6))))</f>
        <v>0.0538557011515116</v>
      </c>
      <c r="R1006" s="2" t="n">
        <v>0.634583819</v>
      </c>
      <c r="S1006" s="2" t="n">
        <f aca="false">IF(S$7=S$5,S$6,IF(NORMSDIST(S$9*SQRT($C$11)*NORMSINV($B1006)+SQRT(1-S$9^2*$C$11)*NORMSINV(R1006))&lt;S$8,S$5+SQRT(NORMSDIST(S$9*SQRT($C$11)*NORMSINV($B1006)+SQRT(1-S$9^2*$C$11)*NORMSINV(R1006))*(S$7-S$5)*(S$6-S$5)),S$7-SQRT((1-NORMSDIST(S$9*SQRT($C$11)*NORMSINV($B1006)+SQRT(1-S$9^2*$C$11)*NORMSINV(R1006)))*(S$7-S$5)*(S$7-S$6))))</f>
        <v>0.7551469710098</v>
      </c>
      <c r="T1006" s="2" t="n">
        <v>0.912249725</v>
      </c>
      <c r="U1006" s="2" t="n">
        <f aca="false">IF(U$7=U$5,U$6,IF(NORMSDIST(U$9*SQRT($C$11)*NORMSINV($B1006)+SQRT(1-U$9^2*$C$11)*NORMSINV(T1006))&lt;U$8,U$5+SQRT(NORMSDIST(U$9*SQRT($C$11)*NORMSINV($B1006)+SQRT(1-U$9^2*$C$11)*NORMSINV(T1006))*(U$7-U$5)*(U$6-U$5)),U$7-SQRT((1-NORMSDIST(U$9*SQRT($C$11)*NORMSINV($B1006)+SQRT(1-U$9^2*$C$11)*NORMSINV(T1006)))*(U$7-U$5)*(U$7-U$6))))</f>
        <v>0.887986575977984</v>
      </c>
      <c r="V1006" s="2" t="n">
        <v>0.659529599</v>
      </c>
      <c r="W1006" s="2" t="n">
        <f aca="false">IF(W$7=W$5,W$6,IF(NORMSDIST(W$9*SQRT($C$11)*NORMSINV($B1006)+SQRT(1-W$9^2*$C$11)*NORMSINV(V1006))&lt;W$8,W$5+SQRT(NORMSDIST(W$9*SQRT($C$11)*NORMSINV($B1006)+SQRT(1-W$9^2*$C$11)*NORMSINV(V1006))*(W$7-W$5)*(W$6-W$5)),W$7-SQRT((1-NORMSDIST(W$9*SQRT($C$11)*NORMSINV($B1006)+SQRT(1-W$9^2*$C$11)*NORMSINV(V1006)))*(W$7-W$5)*(W$7-W$6))))</f>
        <v>11.0626795706399</v>
      </c>
      <c r="X1006" s="2" t="n">
        <v>0.906855485</v>
      </c>
      <c r="Y1006" s="2" t="n">
        <f aca="false">IF(Y$7=Y$5,Y$6,IF(NORMSDIST(Y$9*SQRT($C$11)*NORMSINV($B1006)+SQRT(1-Y$9^2*$C$11)*NORMSINV(X1006))&lt;Y$8,Y$5+SQRT(NORMSDIST(Y$9*SQRT($C$11)*NORMSINV($B1006)+SQRT(1-Y$9^2*$C$11)*NORMSINV(X1006))*(Y$7-Y$5)*(Y$6-Y$5)),Y$7-SQRT((1-NORMSDIST(Y$9*SQRT($C$11)*NORMSINV($B1006)+SQRT(1-Y$9^2*$C$11)*NORMSINV(X1006)))*(Y$7-Y$5)*(Y$7-Y$6))))</f>
        <v>0.784193935442027</v>
      </c>
      <c r="Z1006" s="2" t="n">
        <v>0.061100674</v>
      </c>
      <c r="AA1006" s="2" t="n">
        <f aca="false">IF(AA$7=AA$5,AA$6,IF(NORMSDIST(AA$9*SQRT($C$11)*NORMSINV($B1006)+SQRT(1-AA$9^2*$C$11)*NORMSINV(Z1006))&lt;AA$8,AA$5+SQRT(NORMSDIST(AA$9*SQRT($C$11)*NORMSINV($B1006)+SQRT(1-AA$9^2*$C$11)*NORMSINV(Z1006))*(AA$7-AA$5)*(AA$6-AA$5)),AA$7-SQRT((1-NORMSDIST(AA$9*SQRT($C$11)*NORMSINV($B1006)+SQRT(1-AA$9^2*$C$11)*NORMSINV(Z1006)))*(AA$7-AA$5)*(AA$7-AA$6))))</f>
        <v>0.724100568086691</v>
      </c>
      <c r="AB1006" s="2" t="n">
        <v>0.710726281</v>
      </c>
      <c r="AC1006" s="2" t="n">
        <f aca="false">IF(AC$7=AC$5,AC$6,IF(NORMSDIST(AC$9*SQRT($C$11)*NORMSINV($B1006)+SQRT(1-AC$9^2*$C$11)*NORMSINV(AB1006))&lt;AC$8,AC$5+SQRT(NORMSDIST(AC$9*SQRT($C$11)*NORMSINV($B1006)+SQRT(1-AC$9^2*$C$11)*NORMSINV(AB1006))*(AC$7-AC$5)*(AC$6-AC$5)),AC$7-SQRT((1-NORMSDIST(AC$9*SQRT($C$11)*NORMSINV($B1006)+SQRT(1-AC$9^2*$C$11)*NORMSINV(AB1006)))*(AC$7-AC$5)*(AC$7-AC$6))))</f>
        <v>10.3756291992538</v>
      </c>
      <c r="AD1006" s="2" t="n">
        <f aca="false">Entrées!$C$8*(1+E1006)</f>
        <v>7439.78229902407</v>
      </c>
      <c r="AE1006" s="2" t="n">
        <f aca="false">I1006*Hypothèses!$J$24/12/Hypothèses!$J$19</f>
        <v>105.599338155674</v>
      </c>
      <c r="AF1006" s="2" t="n">
        <f aca="false">Entrées!$C$36*S1006*1000</f>
        <v>377.5734855049</v>
      </c>
      <c r="AG1006" s="2" t="n">
        <f aca="false">-AF1006/W1006</f>
        <v>-34.1303825256741</v>
      </c>
      <c r="AH1006" s="2" t="n">
        <f aca="false">AD1006+AE1006+AG1006</f>
        <v>7511.25125465407</v>
      </c>
      <c r="AI1006" s="2" t="n">
        <f aca="false">Entrées!$C$16-M1006+Hypothèses!$J$22*1000-AF1006+Hypothèses!$J$23</f>
        <v>22463.3575695229</v>
      </c>
      <c r="AJ1006" s="2" t="n">
        <f aca="false">AI1006/AH1006</f>
        <v>2.99062790045857</v>
      </c>
      <c r="AK1006" s="2" t="n">
        <f aca="false">AI1006/(AH1006+I1006*(12-Hypothèses!$J$24)/12/Hypothèses!$J$19)</f>
        <v>2.96089455258753</v>
      </c>
      <c r="AL1006" s="2" t="n">
        <f aca="false">(AD1006+AG1006+I1006/Hypothèses!$J$19)*(1+G1006)</f>
        <v>8091.76246577959</v>
      </c>
      <c r="AM1006" s="2" t="n">
        <f aca="false">Entrées!$C$54*K1006/Hypothèses!$J$19</f>
        <v>36.7436270017619</v>
      </c>
      <c r="AN1006" s="2" t="n">
        <f aca="false">Y1006*1000/AC1006</f>
        <v>75.5803740074314</v>
      </c>
      <c r="AO1006" s="2" t="n">
        <f aca="false">(Entrées!$C$36*(1-S1006)+MAX(0,Entrées!$C$30-Entrées!$C$35-Entrées!$C$36)*U1006)*1000</f>
        <v>1365.60772086428</v>
      </c>
      <c r="AP1006" s="2" t="n">
        <f aca="false">-AO1006/W1006</f>
        <v>-123.442761958736</v>
      </c>
      <c r="AQ1006" s="2" t="n">
        <f aca="false">AL1006+AM1006+AN1006+AP1006</f>
        <v>8080.64370483005</v>
      </c>
      <c r="AR1006" s="2" t="n">
        <f aca="false">O1006*AQ1006-Hypothèses!$J$25/Hypothèses!$J$19</f>
        <v>1379.87875885746</v>
      </c>
      <c r="AS1006" s="2" t="n">
        <f aca="false">Entrées!$C$79*(1+Q1006)+Hypothèses!$J$20</f>
        <v>1453.18741556551</v>
      </c>
      <c r="AT1006" s="2" t="n">
        <f aca="false">AI1006-AR1006+AS1006+Y1006*1000-AO1006+Hypothèses!$J$23</f>
        <v>21955.2524408087</v>
      </c>
      <c r="AU1006" s="2" t="n">
        <f aca="false">AT1006/AQ1006</f>
        <v>2.71701775784092</v>
      </c>
      <c r="AV1006" s="2" t="n">
        <f aca="false">Hypothèses!$J$26*AQ1006-AT1006</f>
        <v>2286.67867368148</v>
      </c>
      <c r="AW1006" s="2" t="n">
        <f aca="false">IF(AC1006&gt;Hypothèses!$J$26,MAX(0,AV1006)/(1-Hypothèses!$J$26/AC1006),0)</f>
        <v>3216.77369821694</v>
      </c>
      <c r="AX1006" s="2" t="n">
        <f aca="false">AQ1006-Entrées!$C$17*1000</f>
        <v>80.643704830045</v>
      </c>
      <c r="AY1006" s="2" t="n">
        <f aca="false">AI1006+(Entrées!$C$244-Entrées!$C$13)</f>
        <v>28210.3575695229</v>
      </c>
      <c r="AZ1006" s="2" t="n">
        <f aca="false">AA1006*AH1006</f>
        <v>5438.90130053688</v>
      </c>
      <c r="BA1006" s="2" t="n">
        <f aca="false">AZ1006/AY1006</f>
        <v>0.192798027714927</v>
      </c>
      <c r="BB1006" s="2" t="n">
        <f aca="false">AZ1006/(Entrées!$C$151/100)-AY1006</f>
        <v>2005.76076679315</v>
      </c>
      <c r="BC1006" s="2" t="n">
        <f aca="false">AT1006+(Entrées!$C$244-Entrées!$C$13)</f>
        <v>27702.2524408087</v>
      </c>
      <c r="BD1006" s="2" t="n">
        <f aca="false">AA1006*AQ1006</f>
        <v>5851.19869717358</v>
      </c>
      <c r="BE1006" s="2" t="n">
        <f aca="false">BD1006/BC1006</f>
        <v>0.211217434743829</v>
      </c>
      <c r="BF1006" s="2" t="n">
        <f aca="false">BD1006/(Entrées!$C$151/100)-BC1006</f>
        <v>4804.40698793345</v>
      </c>
      <c r="BG1006" s="2" t="n">
        <f aca="false">MIN(AV1006,BF1006)</f>
        <v>2286.67867368148</v>
      </c>
      <c r="BH1006" s="2" t="n">
        <f aca="false">IF(AC1006&gt;Hypothèses!$J$26,MAX(0,BG1006)/(1-Hypothèses!$J$26/AC1006),0)</f>
        <v>3216.77369821694</v>
      </c>
    </row>
    <row r="1007" customFormat="false" ht="15" hidden="false" customHeight="false" outlineLevel="0" collapsed="false">
      <c r="A1007" s="2" t="n">
        <v>992</v>
      </c>
      <c r="B1007" s="2" t="n">
        <v>0.172543154</v>
      </c>
      <c r="C1007" s="2"/>
      <c r="D1007" s="2" t="n">
        <v>0.003676769</v>
      </c>
      <c r="E1007" s="2" t="n">
        <f aca="false">IF(E$7=E$5,E$6,IF(NORMSDIST(E$9*SQRT($C$11)*NORMSINV($B1007)+SQRT(1-E$9^2*$C$11)*NORMSINV(D1007))&lt;E$8,E$5+SQRT(NORMSDIST(E$9*SQRT($C$11)*NORMSINV($B1007)+SQRT(1-E$9^2*$C$11)*NORMSINV(D1007))*(E$7-E$5)*(E$6-E$5)),E$7-SQRT((1-NORMSDIST(E$9*SQRT($C$11)*NORMSINV($B1007)+SQRT(1-E$9^2*$C$11)*NORMSINV(D1007)))*(E$7-E$5)*(E$7-E$6))))</f>
        <v>0.0504332847261539</v>
      </c>
      <c r="F1007" s="2" t="n">
        <v>0.540531949</v>
      </c>
      <c r="G1007" s="2" t="n">
        <f aca="false">IF(G$7=G$5,G$6,IF(NORMSDIST(G$9*SQRT($C$11)*NORMSINV($B1007)+SQRT(1-G$9^2*$C$11)*NORMSINV(F1007))&lt;G$8,G$5+SQRT(NORMSDIST(G$9*SQRT($C$11)*NORMSINV($B1007)+SQRT(1-G$9^2*$C$11)*NORMSINV(F1007))*(G$7-G$5)*(G$6-G$5)),G$7-SQRT((1-NORMSDIST(G$9*SQRT($C$11)*NORMSINV($B1007)+SQRT(1-G$9^2*$C$11)*NORMSINV(F1007)))*(G$7-G$5)*(G$7-G$6))))</f>
        <v>0.0516599680727876</v>
      </c>
      <c r="H1007" s="2" t="n">
        <v>0.942887975</v>
      </c>
      <c r="I1007" s="2" t="n">
        <f aca="false">IF(I$7=I$5,I$6,IF(NORMSDIST(I$9*SQRT($C$11)*NORMSINV($B1007)+SQRT(1-I$9^2*$C$11)*NORMSINV(H1007))&lt;I$8,I$5+SQRT(NORMSDIST(I$9*SQRT($C$11)*NORMSINV($B1007)+SQRT(1-I$9^2*$C$11)*NORMSINV(H1007))*(I$7-I$5)*(I$6-I$5)),I$7-SQRT((1-NORMSDIST(I$9*SQRT($C$11)*NORMSINV($B1007)+SQRT(1-I$9^2*$C$11)*NORMSINV(H1007)))*(I$7-I$5)*(I$7-I$6))))</f>
        <v>205.424657066915</v>
      </c>
      <c r="J1007" s="2" t="n">
        <v>0.899527996</v>
      </c>
      <c r="K1007" s="2" t="n">
        <f aca="false">IF(K$7=K$5,K$6,IF(NORMSDIST(K$9*SQRT($C$11)*NORMSINV($B1007)+SQRT(1-K$9^2*$C$11)*NORMSINV(J1007))&lt;K$8,K$5+SQRT(NORMSDIST(K$9*SQRT($C$11)*NORMSINV($B1007)+SQRT(1-K$9^2*$C$11)*NORMSINV(J1007))*(K$7-K$5)*(K$6-K$5)),K$7-SQRT((1-NORMSDIST(K$9*SQRT($C$11)*NORMSINV($B1007)+SQRT(1-K$9^2*$C$11)*NORMSINV(J1007)))*(K$7-K$5)*(K$7-K$6))))</f>
        <v>0.291736900858419</v>
      </c>
      <c r="L1007" s="2" t="n">
        <v>0.864856153</v>
      </c>
      <c r="M1007" s="2" t="n">
        <f aca="false">IF(M$7=M$5,M$6,IF(NORMSDIST(M$9*SQRT($C$11)*NORMSINV($B1007)+SQRT(1-M$9^2*$C$11)*NORMSINV(L1007))&lt;M$8,M$5+SQRT(NORMSDIST(M$9*SQRT($C$11)*NORMSINV($B1007)+SQRT(1-M$9^2*$C$11)*NORMSINV(L1007))*(M$7-M$5)*(M$6-M$5)),M$7-SQRT((1-NORMSDIST(M$9*SQRT($C$11)*NORMSINV($B1007)+SQRT(1-M$9^2*$C$11)*NORMSINV(L1007)))*(M$7-M$5)*(M$7-M$6))))</f>
        <v>1612.62173003664</v>
      </c>
      <c r="N1007" s="2" t="n">
        <v>0.210724925</v>
      </c>
      <c r="O1007" s="2" t="n">
        <f aca="false">IF(O$7=O$5,O$6,IF(NORMSDIST(O$9*SQRT($C$11)*NORMSINV($B1007)+SQRT(1-O$9^2*$C$11)*NORMSINV(N1007))&lt;O$8,O$5+SQRT(NORMSDIST(O$9*SQRT($C$11)*NORMSINV($B1007)+SQRT(1-O$9^2*$C$11)*NORMSINV(N1007))*(O$7-O$5)*(O$6-O$5)),O$7-SQRT((1-NORMSDIST(O$9*SQRT($C$11)*NORMSINV($B1007)+SQRT(1-O$9^2*$C$11)*NORMSINV(N1007)))*(O$7-O$5)*(O$7-O$6))))</f>
        <v>0.152634881026107</v>
      </c>
      <c r="P1007" s="2" t="n">
        <v>0.711376424</v>
      </c>
      <c r="Q1007" s="2" t="n">
        <f aca="false">IF(Q$7=Q$5,Q$6,IF(NORMSDIST(Q$9*SQRT($C$11)*NORMSINV($B1007)+SQRT(1-Q$9^2*$C$11)*NORMSINV(P1007))&lt;Q$8,Q$5+SQRT(NORMSDIST(Q$9*SQRT($C$11)*NORMSINV($B1007)+SQRT(1-Q$9^2*$C$11)*NORMSINV(P1007))*(Q$7-Q$5)*(Q$6-Q$5)),Q$7-SQRT((1-NORMSDIST(Q$9*SQRT($C$11)*NORMSINV($B1007)+SQRT(1-Q$9^2*$C$11)*NORMSINV(P1007)))*(Q$7-Q$5)*(Q$7-Q$6))))</f>
        <v>0.08960928689221</v>
      </c>
      <c r="R1007" s="2" t="n">
        <v>0.56338184</v>
      </c>
      <c r="S1007" s="2" t="n">
        <f aca="false">IF(S$7=S$5,S$6,IF(NORMSDIST(S$9*SQRT($C$11)*NORMSINV($B1007)+SQRT(1-S$9^2*$C$11)*NORMSINV(R1007))&lt;S$8,S$5+SQRT(NORMSDIST(S$9*SQRT($C$11)*NORMSINV($B1007)+SQRT(1-S$9^2*$C$11)*NORMSINV(R1007))*(S$7-S$5)*(S$6-S$5)),S$7-SQRT((1-NORMSDIST(S$9*SQRT($C$11)*NORMSINV($B1007)+SQRT(1-S$9^2*$C$11)*NORMSINV(R1007)))*(S$7-S$5)*(S$7-S$6))))</f>
        <v>0.398690750995782</v>
      </c>
      <c r="T1007" s="2" t="n">
        <v>0.377124395</v>
      </c>
      <c r="U1007" s="2" t="n">
        <f aca="false">IF(U$7=U$5,U$6,IF(NORMSDIST(U$9*SQRT($C$11)*NORMSINV($B1007)+SQRT(1-U$9^2*$C$11)*NORMSINV(T1007))&lt;U$8,U$5+SQRT(NORMSDIST(U$9*SQRT($C$11)*NORMSINV($B1007)+SQRT(1-U$9^2*$C$11)*NORMSINV(T1007))*(U$7-U$5)*(U$6-U$5)),U$7-SQRT((1-NORMSDIST(U$9*SQRT($C$11)*NORMSINV($B1007)+SQRT(1-U$9^2*$C$11)*NORMSINV(T1007)))*(U$7-U$5)*(U$7-U$6))))</f>
        <v>0.316670222531737</v>
      </c>
      <c r="V1007" s="2" t="n">
        <v>0.478410023</v>
      </c>
      <c r="W1007" s="2" t="n">
        <f aca="false">IF(W$7=W$5,W$6,IF(NORMSDIST(W$9*SQRT($C$11)*NORMSINV($B1007)+SQRT(1-W$9^2*$C$11)*NORMSINV(V1007))&lt;W$8,W$5+SQRT(NORMSDIST(W$9*SQRT($C$11)*NORMSINV($B1007)+SQRT(1-W$9^2*$C$11)*NORMSINV(V1007))*(W$7-W$5)*(W$6-W$5)),W$7-SQRT((1-NORMSDIST(W$9*SQRT($C$11)*NORMSINV($B1007)+SQRT(1-W$9^2*$C$11)*NORMSINV(V1007)))*(W$7-W$5)*(W$7-W$6))))</f>
        <v>9.44605675202793</v>
      </c>
      <c r="X1007" s="2" t="n">
        <v>0.042222649</v>
      </c>
      <c r="Y1007" s="2" t="n">
        <f aca="false">IF(Y$7=Y$5,Y$6,IF(NORMSDIST(Y$9*SQRT($C$11)*NORMSINV($B1007)+SQRT(1-Y$9^2*$C$11)*NORMSINV(X1007))&lt;Y$8,Y$5+SQRT(NORMSDIST(Y$9*SQRT($C$11)*NORMSINV($B1007)+SQRT(1-Y$9^2*$C$11)*NORMSINV(X1007))*(Y$7-Y$5)*(Y$6-Y$5)),Y$7-SQRT((1-NORMSDIST(Y$9*SQRT($C$11)*NORMSINV($B1007)+SQRT(1-Y$9^2*$C$11)*NORMSINV(X1007)))*(Y$7-Y$5)*(Y$7-Y$6))))</f>
        <v>0.145297365771028</v>
      </c>
      <c r="Z1007" s="2" t="n">
        <v>0.315844881</v>
      </c>
      <c r="AA1007" s="2" t="n">
        <f aca="false">IF(AA$7=AA$5,AA$6,IF(NORMSDIST(AA$9*SQRT($C$11)*NORMSINV($B1007)+SQRT(1-AA$9^2*$C$11)*NORMSINV(Z1007))&lt;AA$8,AA$5+SQRT(NORMSDIST(AA$9*SQRT($C$11)*NORMSINV($B1007)+SQRT(1-AA$9^2*$C$11)*NORMSINV(Z1007))*(AA$7-AA$5)*(AA$6-AA$5)),AA$7-SQRT((1-NORMSDIST(AA$9*SQRT($C$11)*NORMSINV($B1007)+SQRT(1-AA$9^2*$C$11)*NORMSINV(Z1007)))*(AA$7-AA$5)*(AA$7-AA$6))))</f>
        <v>0.71420262938984</v>
      </c>
      <c r="AB1007" s="2" t="n">
        <v>0.83542868</v>
      </c>
      <c r="AC1007" s="2" t="n">
        <f aca="false">IF(AC$7=AC$5,AC$6,IF(NORMSDIST(AC$9*SQRT($C$11)*NORMSINV($B1007)+SQRT(1-AC$9^2*$C$11)*NORMSINV(AB1007))&lt;AC$8,AC$5+SQRT(NORMSDIST(AC$9*SQRT($C$11)*NORMSINV($B1007)+SQRT(1-AC$9^2*$C$11)*NORMSINV(AB1007))*(AC$7-AC$5)*(AC$6-AC$5)),AC$7-SQRT((1-NORMSDIST(AC$9*SQRT($C$11)*NORMSINV($B1007)+SQRT(1-AC$9^2*$C$11)*NORMSINV(AB1007)))*(AC$7-AC$5)*(AC$7-AC$6))))</f>
        <v>9.60564631910505</v>
      </c>
      <c r="AD1007" s="2" t="n">
        <f aca="false">Entrées!$C$8*(1+E1007)</f>
        <v>7405.55465731939</v>
      </c>
      <c r="AE1007" s="2" t="n">
        <f aca="false">I1007*Hypothèses!$J$24/12/Hypothèses!$J$19</f>
        <v>101.910514883704</v>
      </c>
      <c r="AF1007" s="2" t="n">
        <f aca="false">Entrées!$C$36*S1007*1000</f>
        <v>199.345375497891</v>
      </c>
      <c r="AG1007" s="2" t="n">
        <f aca="false">-AF1007/W1007</f>
        <v>-21.1035547139916</v>
      </c>
      <c r="AH1007" s="2" t="n">
        <f aca="false">AD1007+AE1007+AG1007</f>
        <v>7486.3616174891</v>
      </c>
      <c r="AI1007" s="2" t="n">
        <f aca="false">Entrées!$C$16-M1007+Hypothèses!$J$22*1000-AF1007+Hypothèses!$J$23</f>
        <v>22736.0328944655</v>
      </c>
      <c r="AJ1007" s="2" t="n">
        <f aca="false">AI1007/AH1007</f>
        <v>3.03699367678836</v>
      </c>
      <c r="AK1007" s="2" t="n">
        <f aca="false">AI1007/(AH1007+I1007*(12-Hypothèses!$J$24)/12/Hypothèses!$J$19)</f>
        <v>3.00774800470005</v>
      </c>
      <c r="AL1007" s="2" t="n">
        <f aca="false">(AD1007+AG1007+I1007/Hypothèses!$J$19)*(1+G1007)</f>
        <v>7949.66054022198</v>
      </c>
      <c r="AM1007" s="2" t="n">
        <f aca="false">Entrées!$C$54*K1007/Hypothèses!$J$19</f>
        <v>29.7729756566919</v>
      </c>
      <c r="AN1007" s="2" t="n">
        <f aca="false">Y1007*1000/AC1007</f>
        <v>15.1262456417993</v>
      </c>
      <c r="AO1007" s="2" t="n">
        <f aca="false">(Entrées!$C$36*(1-S1007)+MAX(0,Entrées!$C$30-Entrées!$C$35-Entrées!$C$36)*U1007)*1000</f>
        <v>743.99293604654</v>
      </c>
      <c r="AP1007" s="2" t="n">
        <f aca="false">-AO1007/W1007</f>
        <v>-78.7622767444009</v>
      </c>
      <c r="AQ1007" s="2" t="n">
        <f aca="false">AL1007+AM1007+AN1007+AP1007</f>
        <v>7915.79748477607</v>
      </c>
      <c r="AR1007" s="2" t="n">
        <f aca="false">O1007*AQ1007-Hypothèses!$J$25/Hypothèses!$J$19</f>
        <v>1189.09164505393</v>
      </c>
      <c r="AS1007" s="2" t="n">
        <f aca="false">Entrées!$C$79*(1+Q1007)+Hypothèses!$J$20</f>
        <v>1492.48060629454</v>
      </c>
      <c r="AT1007" s="2" t="n">
        <f aca="false">AI1007-AR1007+AS1007+Y1007*1000-AO1007+Hypothèses!$J$23</f>
        <v>22440.7262854306</v>
      </c>
      <c r="AU1007" s="2" t="n">
        <f aca="false">AT1007/AQ1007</f>
        <v>2.8349293079553</v>
      </c>
      <c r="AV1007" s="2" t="n">
        <f aca="false">Hypothèses!$J$26*AQ1007-AT1007</f>
        <v>1306.66616889765</v>
      </c>
      <c r="AW1007" s="2" t="n">
        <f aca="false">IF(AC1007&gt;Hypothèses!$J$26,MAX(0,AV1007)/(1-Hypothèses!$J$26/AC1007),0)</f>
        <v>1900.09765422489</v>
      </c>
      <c r="AX1007" s="2" t="n">
        <f aca="false">AQ1007-Entrées!$C$17*1000</f>
        <v>-84.2025152239276</v>
      </c>
      <c r="AY1007" s="2" t="n">
        <f aca="false">AI1007+(Entrées!$C$244-Entrées!$C$13)</f>
        <v>28483.0328944655</v>
      </c>
      <c r="AZ1007" s="2" t="n">
        <f aca="false">AA1007*AH1007</f>
        <v>5346.77915177389</v>
      </c>
      <c r="BA1007" s="2" t="n">
        <f aca="false">AZ1007/AY1007</f>
        <v>0.187718041529658</v>
      </c>
      <c r="BB1007" s="2" t="n">
        <f aca="false">AZ1007/(Entrées!$C$151/100)-AY1007</f>
        <v>1221.29572650059</v>
      </c>
      <c r="BC1007" s="2" t="n">
        <f aca="false">AT1007+(Entrées!$C$244-Entrées!$C$13)</f>
        <v>28187.7262854306</v>
      </c>
      <c r="BD1007" s="2" t="n">
        <f aca="false">AA1007*AQ1007</f>
        <v>5653.48337734456</v>
      </c>
      <c r="BE1007" s="2" t="n">
        <f aca="false">BD1007/BC1007</f>
        <v>0.200565427665114</v>
      </c>
      <c r="BF1007" s="2" t="n">
        <f aca="false">BD1007/(Entrées!$C$151/100)-BC1007</f>
        <v>3220.51469981696</v>
      </c>
      <c r="BG1007" s="2" t="n">
        <f aca="false">MIN(AV1007,BF1007)</f>
        <v>1306.66616889765</v>
      </c>
      <c r="BH1007" s="2" t="n">
        <f aca="false">IF(AC1007&gt;Hypothèses!$J$26,MAX(0,BG1007)/(1-Hypothèses!$J$26/AC1007),0)</f>
        <v>1900.09765422489</v>
      </c>
    </row>
    <row r="1008" customFormat="false" ht="15" hidden="false" customHeight="false" outlineLevel="0" collapsed="false">
      <c r="A1008" s="2" t="n">
        <v>993</v>
      </c>
      <c r="B1008" s="2" t="n">
        <v>0.856839766</v>
      </c>
      <c r="C1008" s="2"/>
      <c r="D1008" s="2" t="n">
        <v>0.205152848</v>
      </c>
      <c r="E1008" s="2" t="n">
        <f aca="false">IF(E$7=E$5,E$6,IF(NORMSDIST(E$9*SQRT($C$11)*NORMSINV($B1008)+SQRT(1-E$9^2*$C$11)*NORMSINV(D1008))&lt;E$8,E$5+SQRT(NORMSDIST(E$9*SQRT($C$11)*NORMSINV($B1008)+SQRT(1-E$9^2*$C$11)*NORMSINV(D1008))*(E$7-E$5)*(E$6-E$5)),E$7-SQRT((1-NORMSDIST(E$9*SQRT($C$11)*NORMSINV($B1008)+SQRT(1-E$9^2*$C$11)*NORMSINV(D1008)))*(E$7-E$5)*(E$7-E$6))))</f>
        <v>0.0550734768260651</v>
      </c>
      <c r="F1008" s="2" t="n">
        <v>0.724033404</v>
      </c>
      <c r="G1008" s="2" t="n">
        <f aca="false">IF(G$7=G$5,G$6,IF(NORMSDIST(G$9*SQRT($C$11)*NORMSINV($B1008)+SQRT(1-G$9^2*$C$11)*NORMSINV(F1008))&lt;G$8,G$5+SQRT(NORMSDIST(G$9*SQRT($C$11)*NORMSINV($B1008)+SQRT(1-G$9^2*$C$11)*NORMSINV(F1008))*(G$7-G$5)*(G$6-G$5)),G$7-SQRT((1-NORMSDIST(G$9*SQRT($C$11)*NORMSINV($B1008)+SQRT(1-G$9^2*$C$11)*NORMSINV(F1008)))*(G$7-G$5)*(G$7-G$6))))</f>
        <v>0.0624057357046326</v>
      </c>
      <c r="H1008" s="2" t="n">
        <v>0.296333876</v>
      </c>
      <c r="I1008" s="2" t="n">
        <f aca="false">IF(I$7=I$5,I$6,IF(NORMSDIST(I$9*SQRT($C$11)*NORMSINV($B1008)+SQRT(1-I$9^2*$C$11)*NORMSINV(H1008))&lt;I$8,I$5+SQRT(NORMSDIST(I$9*SQRT($C$11)*NORMSINV($B1008)+SQRT(1-I$9^2*$C$11)*NORMSINV(H1008))*(I$7-I$5)*(I$6-I$5)),I$7-SQRT((1-NORMSDIST(I$9*SQRT($C$11)*NORMSINV($B1008)+SQRT(1-I$9^2*$C$11)*NORMSINV(H1008)))*(I$7-I$5)*(I$7-I$6))))</f>
        <v>202.168564962849</v>
      </c>
      <c r="J1008" s="2" t="n">
        <v>0.980970238</v>
      </c>
      <c r="K1008" s="2" t="n">
        <f aca="false">IF(K$7=K$5,K$6,IF(NORMSDIST(K$9*SQRT($C$11)*NORMSINV($B1008)+SQRT(1-K$9^2*$C$11)*NORMSINV(J1008))&lt;K$8,K$5+SQRT(NORMSDIST(K$9*SQRT($C$11)*NORMSINV($B1008)+SQRT(1-K$9^2*$C$11)*NORMSINV(J1008))*(K$7-K$5)*(K$6-K$5)),K$7-SQRT((1-NORMSDIST(K$9*SQRT($C$11)*NORMSINV($B1008)+SQRT(1-K$9^2*$C$11)*NORMSINV(J1008)))*(K$7-K$5)*(K$7-K$6))))</f>
        <v>0.462460660299546</v>
      </c>
      <c r="L1008" s="2" t="n">
        <v>0.519608359</v>
      </c>
      <c r="M1008" s="2" t="n">
        <f aca="false">IF(M$7=M$5,M$6,IF(NORMSDIST(M$9*SQRT($C$11)*NORMSINV($B1008)+SQRT(1-M$9^2*$C$11)*NORMSINV(L1008))&lt;M$8,M$5+SQRT(NORMSDIST(M$9*SQRT($C$11)*NORMSINV($B1008)+SQRT(1-M$9^2*$C$11)*NORMSINV(L1008))*(M$7-M$5)*(M$6-M$5)),M$7-SQRT((1-NORMSDIST(M$9*SQRT($C$11)*NORMSINV($B1008)+SQRT(1-M$9^2*$C$11)*NORMSINV(L1008)))*(M$7-M$5)*(M$7-M$6))))</f>
        <v>1654.22315237482</v>
      </c>
      <c r="N1008" s="2" t="n">
        <v>0.313743154</v>
      </c>
      <c r="O1008" s="2" t="n">
        <f aca="false">IF(O$7=O$5,O$6,IF(NORMSDIST(O$9*SQRT($C$11)*NORMSINV($B1008)+SQRT(1-O$9^2*$C$11)*NORMSINV(N1008))&lt;O$8,O$5+SQRT(NORMSDIST(O$9*SQRT($C$11)*NORMSINV($B1008)+SQRT(1-O$9^2*$C$11)*NORMSINV(N1008))*(O$7-O$5)*(O$6-O$5)),O$7-SQRT((1-NORMSDIST(O$9*SQRT($C$11)*NORMSINV($B1008)+SQRT(1-O$9^2*$C$11)*NORMSINV(N1008)))*(O$7-O$5)*(O$7-O$6))))</f>
        <v>0.16981035989918</v>
      </c>
      <c r="P1008" s="2" t="n">
        <v>0.724278004</v>
      </c>
      <c r="Q1008" s="2" t="n">
        <f aca="false">IF(Q$7=Q$5,Q$6,IF(NORMSDIST(Q$9*SQRT($C$11)*NORMSINV($B1008)+SQRT(1-Q$9^2*$C$11)*NORMSINV(P1008))&lt;Q$8,Q$5+SQRT(NORMSDIST(Q$9*SQRT($C$11)*NORMSINV($B1008)+SQRT(1-Q$9^2*$C$11)*NORMSINV(P1008))*(Q$7-Q$5)*(Q$6-Q$5)),Q$7-SQRT((1-NORMSDIST(Q$9*SQRT($C$11)*NORMSINV($B1008)+SQRT(1-Q$9^2*$C$11)*NORMSINV(P1008)))*(Q$7-Q$5)*(Q$7-Q$6))))</f>
        <v>0.0902962900094955</v>
      </c>
      <c r="R1008" s="2" t="n">
        <v>0.620922922</v>
      </c>
      <c r="S1008" s="2" t="n">
        <f aca="false">IF(S$7=S$5,S$6,IF(NORMSDIST(S$9*SQRT($C$11)*NORMSINV($B1008)+SQRT(1-S$9^2*$C$11)*NORMSINV(R1008))&lt;S$8,S$5+SQRT(NORMSDIST(S$9*SQRT($C$11)*NORMSINV($B1008)+SQRT(1-S$9^2*$C$11)*NORMSINV(R1008))*(S$7-S$5)*(S$6-S$5)),S$7-SQRT((1-NORMSDIST(S$9*SQRT($C$11)*NORMSINV($B1008)+SQRT(1-S$9^2*$C$11)*NORMSINV(R1008)))*(S$7-S$5)*(S$7-S$6))))</f>
        <v>0.699448729660898</v>
      </c>
      <c r="T1008" s="2" t="n">
        <v>0.403213719</v>
      </c>
      <c r="U1008" s="2" t="n">
        <f aca="false">IF(U$7=U$5,U$6,IF(NORMSDIST(U$9*SQRT($C$11)*NORMSINV($B1008)+SQRT(1-U$9^2*$C$11)*NORMSINV(T1008))&lt;U$8,U$5+SQRT(NORMSDIST(U$9*SQRT($C$11)*NORMSINV($B1008)+SQRT(1-U$9^2*$C$11)*NORMSINV(T1008))*(U$7-U$5)*(U$6-U$5)),U$7-SQRT((1-NORMSDIST(U$9*SQRT($C$11)*NORMSINV($B1008)+SQRT(1-U$9^2*$C$11)*NORMSINV(T1008)))*(U$7-U$5)*(U$7-U$6))))</f>
        <v>0.603766176577989</v>
      </c>
      <c r="V1008" s="2" t="n">
        <v>0.617565951</v>
      </c>
      <c r="W1008" s="2" t="n">
        <f aca="false">IF(W$7=W$5,W$6,IF(NORMSDIST(W$9*SQRT($C$11)*NORMSINV($B1008)+SQRT(1-W$9^2*$C$11)*NORMSINV(V1008))&lt;W$8,W$5+SQRT(NORMSDIST(W$9*SQRT($C$11)*NORMSINV($B1008)+SQRT(1-W$9^2*$C$11)*NORMSINV(V1008))*(W$7-W$5)*(W$6-W$5)),W$7-SQRT((1-NORMSDIST(W$9*SQRT($C$11)*NORMSINV($B1008)+SQRT(1-W$9^2*$C$11)*NORMSINV(V1008)))*(W$7-W$5)*(W$7-W$6))))</f>
        <v>10.7918185919132</v>
      </c>
      <c r="X1008" s="2" t="n">
        <v>0.930763825</v>
      </c>
      <c r="Y1008" s="2" t="n">
        <f aca="false">IF(Y$7=Y$5,Y$6,IF(NORMSDIST(Y$9*SQRT($C$11)*NORMSINV($B1008)+SQRT(1-Y$9^2*$C$11)*NORMSINV(X1008))&lt;Y$8,Y$5+SQRT(NORMSDIST(Y$9*SQRT($C$11)*NORMSINV($B1008)+SQRT(1-Y$9^2*$C$11)*NORMSINV(X1008))*(Y$7-Y$5)*(Y$6-Y$5)),Y$7-SQRT((1-NORMSDIST(Y$9*SQRT($C$11)*NORMSINV($B1008)+SQRT(1-Y$9^2*$C$11)*NORMSINV(X1008)))*(Y$7-Y$5)*(Y$7-Y$6))))</f>
        <v>0.813940634473833</v>
      </c>
      <c r="Z1008" s="2" t="n">
        <v>0.448226622</v>
      </c>
      <c r="AA1008" s="2" t="n">
        <f aca="false">IF(AA$7=AA$5,AA$6,IF(NORMSDIST(AA$9*SQRT($C$11)*NORMSINV($B1008)+SQRT(1-AA$9^2*$C$11)*NORMSINV(Z1008))&lt;AA$8,AA$5+SQRT(NORMSDIST(AA$9*SQRT($C$11)*NORMSINV($B1008)+SQRT(1-AA$9^2*$C$11)*NORMSINV(Z1008))*(AA$7-AA$5)*(AA$6-AA$5)),AA$7-SQRT((1-NORMSDIST(AA$9*SQRT($C$11)*NORMSINV($B1008)+SQRT(1-AA$9^2*$C$11)*NORMSINV(Z1008)))*(AA$7-AA$5)*(AA$7-AA$6))))</f>
        <v>0.734792789504855</v>
      </c>
      <c r="AB1008" s="2" t="n">
        <v>0.132066349</v>
      </c>
      <c r="AC1008" s="2" t="n">
        <f aca="false">IF(AC$7=AC$5,AC$6,IF(NORMSDIST(AC$9*SQRT($C$11)*NORMSINV($B1008)+SQRT(1-AC$9^2*$C$11)*NORMSINV(AB1008))&lt;AC$8,AC$5+SQRT(NORMSDIST(AC$9*SQRT($C$11)*NORMSINV($B1008)+SQRT(1-AC$9^2*$C$11)*NORMSINV(AB1008))*(AC$7-AC$5)*(AC$6-AC$5)),AC$7-SQRT((1-NORMSDIST(AC$9*SQRT($C$11)*NORMSINV($B1008)+SQRT(1-AC$9^2*$C$11)*NORMSINV(AB1008)))*(AC$7-AC$5)*(AC$7-AC$6))))</f>
        <v>9.31490901269328</v>
      </c>
      <c r="AD1008" s="2" t="n">
        <f aca="false">Entrées!$C$8*(1+E1008)</f>
        <v>7438.26801162376</v>
      </c>
      <c r="AE1008" s="2" t="n">
        <f aca="false">I1008*Hypothèses!$J$24/12/Hypothèses!$J$19</f>
        <v>100.295178012405</v>
      </c>
      <c r="AF1008" s="2" t="n">
        <f aca="false">Entrées!$C$36*S1008*1000</f>
        <v>349.724364830449</v>
      </c>
      <c r="AG1008" s="2" t="n">
        <f aca="false">-AF1008/W1008</f>
        <v>-32.4064347312614</v>
      </c>
      <c r="AH1008" s="2" t="n">
        <f aca="false">AD1008+AE1008+AG1008</f>
        <v>7506.1567549049</v>
      </c>
      <c r="AI1008" s="2" t="n">
        <f aca="false">Entrées!$C$16-M1008+Hypothèses!$J$22*1000-AF1008+Hypothèses!$J$23</f>
        <v>22544.0524827947</v>
      </c>
      <c r="AJ1008" s="2" t="n">
        <f aca="false">AI1008/AH1008</f>
        <v>3.00340816464608</v>
      </c>
      <c r="AK1008" s="2" t="n">
        <f aca="false">AI1008/(AH1008+I1008*(12-Hypothèses!$J$24)/12/Hypothèses!$J$19)</f>
        <v>2.97501436877872</v>
      </c>
      <c r="AL1008" s="2" t="n">
        <f aca="false">(AD1008+AG1008+I1008/Hypothèses!$J$19)*(1+G1008)</f>
        <v>8050.6941126404</v>
      </c>
      <c r="AM1008" s="2" t="n">
        <f aca="false">Entrées!$C$54*K1008/Hypothèses!$J$19</f>
        <v>47.1960521304026</v>
      </c>
      <c r="AN1008" s="2" t="n">
        <f aca="false">Y1008*1000/AC1008</f>
        <v>87.3804170673797</v>
      </c>
      <c r="AO1008" s="2" t="n">
        <f aca="false">(Entrées!$C$36*(1-S1008)+MAX(0,Entrées!$C$30-Entrées!$C$35-Entrées!$C$36)*U1008)*1000</f>
        <v>995.548282378736</v>
      </c>
      <c r="AP1008" s="2" t="n">
        <f aca="false">-AO1008/W1008</f>
        <v>-92.25027958909</v>
      </c>
      <c r="AQ1008" s="2" t="n">
        <f aca="false">AL1008+AM1008+AN1008+AP1008</f>
        <v>8093.02030224909</v>
      </c>
      <c r="AR1008" s="2" t="n">
        <f aca="false">O1008*AQ1008-Hypothèses!$J$25/Hypothèses!$J$19</f>
        <v>1355.14352793467</v>
      </c>
      <c r="AS1008" s="2" t="n">
        <f aca="false">Entrées!$C$79*(1+Q1008)+Hypothèses!$J$20</f>
        <v>1493.23562272044</v>
      </c>
      <c r="AT1008" s="2" t="n">
        <f aca="false">AI1008-AR1008+AS1008+Y1008*1000-AO1008+Hypothèses!$J$23</f>
        <v>22500.5369296756</v>
      </c>
      <c r="AU1008" s="2" t="n">
        <f aca="false">AT1008/AQ1008</f>
        <v>2.78023977320588</v>
      </c>
      <c r="AV1008" s="2" t="n">
        <f aca="false">Hypothèses!$J$26*AQ1008-AT1008</f>
        <v>1778.52397707166</v>
      </c>
      <c r="AW1008" s="2" t="n">
        <f aca="false">IF(AC1008&gt;Hypothèses!$J$26,MAX(0,AV1008)/(1-Hypothèses!$J$26/AC1008),0)</f>
        <v>2623.4406529082</v>
      </c>
      <c r="AX1008" s="2" t="n">
        <f aca="false">AQ1008-Entrées!$C$17*1000</f>
        <v>93.0203022490878</v>
      </c>
      <c r="AY1008" s="2" t="n">
        <f aca="false">AI1008+(Entrées!$C$244-Entrées!$C$13)</f>
        <v>28291.0524827947</v>
      </c>
      <c r="AZ1008" s="2" t="n">
        <f aca="false">AA1008*AH1008</f>
        <v>5515.46986039729</v>
      </c>
      <c r="BA1008" s="2" t="n">
        <f aca="false">AZ1008/AY1008</f>
        <v>0.194954566068248</v>
      </c>
      <c r="BB1008" s="2" t="n">
        <f aca="false">AZ1008/(Entrées!$C$151/100)-AY1008</f>
        <v>2350.44674163463</v>
      </c>
      <c r="BC1008" s="2" t="n">
        <f aca="false">AT1008+(Entrées!$C$244-Entrées!$C$13)</f>
        <v>28247.5369296756</v>
      </c>
      <c r="BD1008" s="2" t="n">
        <f aca="false">AA1008*AQ1008</f>
        <v>5946.69296340903</v>
      </c>
      <c r="BE1008" s="2" t="n">
        <f aca="false">BD1008/BC1008</f>
        <v>0.210520760737964</v>
      </c>
      <c r="BF1008" s="2" t="n">
        <f aca="false">BD1008/(Entrées!$C$151/100)-BC1008</f>
        <v>4789.64620037458</v>
      </c>
      <c r="BG1008" s="2" t="n">
        <f aca="false">MIN(AV1008,BF1008)</f>
        <v>1778.52397707166</v>
      </c>
      <c r="BH1008" s="2" t="n">
        <f aca="false">IF(AC1008&gt;Hypothèses!$J$26,MAX(0,BG1008)/(1-Hypothèses!$J$26/AC1008),0)</f>
        <v>2623.4406529082</v>
      </c>
    </row>
    <row r="1009" customFormat="false" ht="15" hidden="false" customHeight="false" outlineLevel="0" collapsed="false">
      <c r="A1009" s="2" t="n">
        <v>994</v>
      </c>
      <c r="B1009" s="2" t="n">
        <v>0.401510714</v>
      </c>
      <c r="C1009" s="2"/>
      <c r="D1009" s="2" t="n">
        <v>0.500676856</v>
      </c>
      <c r="E1009" s="2" t="n">
        <f aca="false">IF(E$7=E$5,E$6,IF(NORMSDIST(E$9*SQRT($C$11)*NORMSINV($B1009)+SQRT(1-E$9^2*$C$11)*NORMSINV(D1009))&lt;E$8,E$5+SQRT(NORMSDIST(E$9*SQRT($C$11)*NORMSINV($B1009)+SQRT(1-E$9^2*$C$11)*NORMSINV(D1009))*(E$7-E$5)*(E$6-E$5)),E$7-SQRT((1-NORMSDIST(E$9*SQRT($C$11)*NORMSINV($B1009)+SQRT(1-E$9^2*$C$11)*NORMSINV(D1009)))*(E$7-E$5)*(E$7-E$6))))</f>
        <v>0.054678895441631</v>
      </c>
      <c r="F1009" s="2" t="n">
        <v>0.867559959</v>
      </c>
      <c r="G1009" s="2" t="n">
        <f aca="false">IF(G$7=G$5,G$6,IF(NORMSDIST(G$9*SQRT($C$11)*NORMSINV($B1009)+SQRT(1-G$9^2*$C$11)*NORMSINV(F1009))&lt;G$8,G$5+SQRT(NORMSDIST(G$9*SQRT($C$11)*NORMSINV($B1009)+SQRT(1-G$9^2*$C$11)*NORMSINV(F1009))*(G$7-G$5)*(G$6-G$5)),G$7-SQRT((1-NORMSDIST(G$9*SQRT($C$11)*NORMSINV($B1009)+SQRT(1-G$9^2*$C$11)*NORMSINV(F1009)))*(G$7-G$5)*(G$7-G$6))))</f>
        <v>0.0596047350386628</v>
      </c>
      <c r="H1009" s="2" t="n">
        <v>0.024459143</v>
      </c>
      <c r="I1009" s="2" t="n">
        <f aca="false">IF(I$7=I$5,I$6,IF(NORMSDIST(I$9*SQRT($C$11)*NORMSINV($B1009)+SQRT(1-I$9^2*$C$11)*NORMSINV(H1009))&lt;I$8,I$5+SQRT(NORMSDIST(I$9*SQRT($C$11)*NORMSINV($B1009)+SQRT(1-I$9^2*$C$11)*NORMSINV(H1009))*(I$7-I$5)*(I$6-I$5)),I$7-SQRT((1-NORMSDIST(I$9*SQRT($C$11)*NORMSINV($B1009)+SQRT(1-I$9^2*$C$11)*NORMSINV(H1009)))*(I$7-I$5)*(I$7-I$6))))</f>
        <v>186.077542200475</v>
      </c>
      <c r="J1009" s="2" t="n">
        <v>0.030096966</v>
      </c>
      <c r="K1009" s="2" t="n">
        <f aca="false">IF(K$7=K$5,K$6,IF(NORMSDIST(K$9*SQRT($C$11)*NORMSINV($B1009)+SQRT(1-K$9^2*$C$11)*NORMSINV(J1009))&lt;K$8,K$5+SQRT(NORMSDIST(K$9*SQRT($C$11)*NORMSINV($B1009)+SQRT(1-K$9^2*$C$11)*NORMSINV(J1009))*(K$7-K$5)*(K$6-K$5)),K$7-SQRT((1-NORMSDIST(K$9*SQRT($C$11)*NORMSINV($B1009)+SQRT(1-K$9^2*$C$11)*NORMSINV(J1009)))*(K$7-K$5)*(K$7-K$6))))</f>
        <v>0.081636812514527</v>
      </c>
      <c r="L1009" s="2" t="n">
        <v>0.147922593</v>
      </c>
      <c r="M1009" s="2" t="n">
        <f aca="false">IF(M$7=M$5,M$6,IF(NORMSDIST(M$9*SQRT($C$11)*NORMSINV($B1009)+SQRT(1-M$9^2*$C$11)*NORMSINV(L1009))&lt;M$8,M$5+SQRT(NORMSDIST(M$9*SQRT($C$11)*NORMSINV($B1009)+SQRT(1-M$9^2*$C$11)*NORMSINV(L1009))*(M$7-M$5)*(M$6-M$5)),M$7-SQRT((1-NORMSDIST(M$9*SQRT($C$11)*NORMSINV($B1009)+SQRT(1-M$9^2*$C$11)*NORMSINV(L1009)))*(M$7-M$5)*(M$7-M$6))))</f>
        <v>1466.08914783502</v>
      </c>
      <c r="N1009" s="2" t="n">
        <v>0.423557431</v>
      </c>
      <c r="O1009" s="2" t="n">
        <f aca="false">IF(O$7=O$5,O$6,IF(NORMSDIST(O$9*SQRT($C$11)*NORMSINV($B1009)+SQRT(1-O$9^2*$C$11)*NORMSINV(N1009))&lt;O$8,O$5+SQRT(NORMSDIST(O$9*SQRT($C$11)*NORMSINV($B1009)+SQRT(1-O$9^2*$C$11)*NORMSINV(N1009))*(O$7-O$5)*(O$6-O$5)),O$7-SQRT((1-NORMSDIST(O$9*SQRT($C$11)*NORMSINV($B1009)+SQRT(1-O$9^2*$C$11)*NORMSINV(N1009)))*(O$7-O$5)*(O$7-O$6))))</f>
        <v>0.163331213412467</v>
      </c>
      <c r="P1009" s="2" t="n">
        <v>0.610031485</v>
      </c>
      <c r="Q1009" s="2" t="n">
        <f aca="false">IF(Q$7=Q$5,Q$6,IF(NORMSDIST(Q$9*SQRT($C$11)*NORMSINV($B1009)+SQRT(1-Q$9^2*$C$11)*NORMSINV(P1009))&lt;Q$8,Q$5+SQRT(NORMSDIST(Q$9*SQRT($C$11)*NORMSINV($B1009)+SQRT(1-Q$9^2*$C$11)*NORMSINV(P1009))*(Q$7-Q$5)*(Q$6-Q$5)),Q$7-SQRT((1-NORMSDIST(Q$9*SQRT($C$11)*NORMSINV($B1009)+SQRT(1-Q$9^2*$C$11)*NORMSINV(P1009)))*(Q$7-Q$5)*(Q$7-Q$6))))</f>
        <v>0.0846743825531669</v>
      </c>
      <c r="R1009" s="2" t="n">
        <v>0.92409734</v>
      </c>
      <c r="S1009" s="2" t="n">
        <f aca="false">IF(S$7=S$5,S$6,IF(NORMSDIST(S$9*SQRT($C$11)*NORMSINV($B1009)+SQRT(1-S$9^2*$C$11)*NORMSINV(R1009))&lt;S$8,S$5+SQRT(NORMSDIST(S$9*SQRT($C$11)*NORMSINV($B1009)+SQRT(1-S$9^2*$C$11)*NORMSINV(R1009))*(S$7-S$5)*(S$6-S$5)),S$7-SQRT((1-NORMSDIST(S$9*SQRT($C$11)*NORMSINV($B1009)+SQRT(1-S$9^2*$C$11)*NORMSINV(R1009)))*(S$7-S$5)*(S$7-S$6))))</f>
        <v>0.708065053457454</v>
      </c>
      <c r="T1009" s="2" t="n">
        <v>0.473833759</v>
      </c>
      <c r="U1009" s="2" t="n">
        <f aca="false">IF(U$7=U$5,U$6,IF(NORMSDIST(U$9*SQRT($C$11)*NORMSINV($B1009)+SQRT(1-U$9^2*$C$11)*NORMSINV(T1009))&lt;U$8,U$5+SQRT(NORMSDIST(U$9*SQRT($C$11)*NORMSINV($B1009)+SQRT(1-U$9^2*$C$11)*NORMSINV(T1009))*(U$7-U$5)*(U$6-U$5)),U$7-SQRT((1-NORMSDIST(U$9*SQRT($C$11)*NORMSINV($B1009)+SQRT(1-U$9^2*$C$11)*NORMSINV(T1009)))*(U$7-U$5)*(U$7-U$6))))</f>
        <v>0.45682605219454</v>
      </c>
      <c r="V1009" s="2" t="n">
        <v>0.83747629</v>
      </c>
      <c r="W1009" s="2" t="n">
        <f aca="false">IF(W$7=W$5,W$6,IF(NORMSDIST(W$9*SQRT($C$11)*NORMSINV($B1009)+SQRT(1-W$9^2*$C$11)*NORMSINV(V1009))&lt;W$8,W$5+SQRT(NORMSDIST(W$9*SQRT($C$11)*NORMSINV($B1009)+SQRT(1-W$9^2*$C$11)*NORMSINV(V1009))*(W$7-W$5)*(W$6-W$5)),W$7-SQRT((1-NORMSDIST(W$9*SQRT($C$11)*NORMSINV($B1009)+SQRT(1-W$9^2*$C$11)*NORMSINV(V1009)))*(W$7-W$5)*(W$7-W$6))))</f>
        <v>10.5228716476047</v>
      </c>
      <c r="X1009" s="2" t="n">
        <v>0.677368584</v>
      </c>
      <c r="Y1009" s="2" t="n">
        <f aca="false">IF(Y$7=Y$5,Y$6,IF(NORMSDIST(Y$9*SQRT($C$11)*NORMSINV($B1009)+SQRT(1-Y$9^2*$C$11)*NORMSINV(X1009))&lt;Y$8,Y$5+SQRT(NORMSDIST(Y$9*SQRT($C$11)*NORMSINV($B1009)+SQRT(1-Y$9^2*$C$11)*NORMSINV(X1009))*(Y$7-Y$5)*(Y$6-Y$5)),Y$7-SQRT((1-NORMSDIST(Y$9*SQRT($C$11)*NORMSINV($B1009)+SQRT(1-Y$9^2*$C$11)*NORMSINV(X1009)))*(Y$7-Y$5)*(Y$7-Y$6))))</f>
        <v>0.598358732199989</v>
      </c>
      <c r="Z1009" s="2" t="n">
        <v>0.175239688</v>
      </c>
      <c r="AA1009" s="2" t="n">
        <f aca="false">IF(AA$7=AA$5,AA$6,IF(NORMSDIST(AA$9*SQRT($C$11)*NORMSINV($B1009)+SQRT(1-AA$9^2*$C$11)*NORMSINV(Z1009))&lt;AA$8,AA$5+SQRT(NORMSDIST(AA$9*SQRT($C$11)*NORMSINV($B1009)+SQRT(1-AA$9^2*$C$11)*NORMSINV(Z1009))*(AA$7-AA$5)*(AA$6-AA$5)),AA$7-SQRT((1-NORMSDIST(AA$9*SQRT($C$11)*NORMSINV($B1009)+SQRT(1-AA$9^2*$C$11)*NORMSINV(Z1009)))*(AA$7-AA$5)*(AA$7-AA$6))))</f>
        <v>0.715452390195847</v>
      </c>
      <c r="AB1009" s="2" t="n">
        <v>0.250857297</v>
      </c>
      <c r="AC1009" s="2" t="n">
        <f aca="false">IF(AC$7=AC$5,AC$6,IF(NORMSDIST(AC$9*SQRT($C$11)*NORMSINV($B1009)+SQRT(1-AC$9^2*$C$11)*NORMSINV(AB1009))&lt;AC$8,AC$5+SQRT(NORMSDIST(AC$9*SQRT($C$11)*NORMSINV($B1009)+SQRT(1-AC$9^2*$C$11)*NORMSINV(AB1009))*(AC$7-AC$5)*(AC$6-AC$5)),AC$7-SQRT((1-NORMSDIST(AC$9*SQRT($C$11)*NORMSINV($B1009)+SQRT(1-AC$9^2*$C$11)*NORMSINV(AB1009)))*(AC$7-AC$5)*(AC$7-AC$6))))</f>
        <v>8.86629514574297</v>
      </c>
      <c r="AD1009" s="2" t="n">
        <f aca="false">Entrées!$C$8*(1+E1009)</f>
        <v>7435.4862128635</v>
      </c>
      <c r="AE1009" s="2" t="n">
        <f aca="false">I1009*Hypothèses!$J$24/12/Hypothèses!$J$19</f>
        <v>92.3124731213131</v>
      </c>
      <c r="AF1009" s="2" t="n">
        <f aca="false">Entrées!$C$36*S1009*1000</f>
        <v>354.032526728727</v>
      </c>
      <c r="AG1009" s="2" t="n">
        <f aca="false">-AF1009/W1009</f>
        <v>-33.6440981687079</v>
      </c>
      <c r="AH1009" s="2" t="n">
        <f aca="false">AD1009+AE1009+AG1009</f>
        <v>7494.1545878161</v>
      </c>
      <c r="AI1009" s="2" t="n">
        <f aca="false">Entrées!$C$16-M1009+Hypothèses!$J$22*1000-AF1009+Hypothèses!$J$23</f>
        <v>22727.8783254363</v>
      </c>
      <c r="AJ1009" s="2" t="n">
        <f aca="false">AI1009/AH1009</f>
        <v>3.03274746458886</v>
      </c>
      <c r="AK1009" s="2" t="n">
        <f aca="false">AI1009/(AH1009+I1009*(12-Hypothèses!$J$24)/12/Hypothèses!$J$19)</f>
        <v>3.00629649998348</v>
      </c>
      <c r="AL1009" s="2" t="n">
        <f aca="false">(AD1009+AG1009+I1009/Hypothèses!$J$19)*(1+G1009)</f>
        <v>8010.70935323486</v>
      </c>
      <c r="AM1009" s="2" t="n">
        <f aca="false">Entrées!$C$54*K1009/Hypothèses!$J$19</f>
        <v>8.33137948793286</v>
      </c>
      <c r="AN1009" s="2" t="n">
        <f aca="false">Y1009*1000/AC1009</f>
        <v>67.4868953000378</v>
      </c>
      <c r="AO1009" s="2" t="n">
        <f aca="false">(Entrées!$C$36*(1-S1009)+MAX(0,Entrées!$C$30-Entrées!$C$35-Entrées!$C$36)*U1009)*1000</f>
        <v>785.523946343629</v>
      </c>
      <c r="AP1009" s="2" t="n">
        <f aca="false">-AO1009/W1009</f>
        <v>-74.6491996338693</v>
      </c>
      <c r="AQ1009" s="2" t="n">
        <f aca="false">AL1009+AM1009+AN1009+AP1009</f>
        <v>8011.87842838896</v>
      </c>
      <c r="AR1009" s="2" t="n">
        <f aca="false">O1009*AQ1009-Hypothèses!$J$25/Hypothèses!$J$19</f>
        <v>1289.45466316031</v>
      </c>
      <c r="AS1009" s="2" t="n">
        <f aca="false">Entrées!$C$79*(1+Q1009)+Hypothèses!$J$20</f>
        <v>1487.05714642593</v>
      </c>
      <c r="AT1009" s="2" t="n">
        <f aca="false">AI1009-AR1009+AS1009+Y1009*1000-AO1009+Hypothèses!$J$23</f>
        <v>22738.3155945582</v>
      </c>
      <c r="AU1009" s="2" t="n">
        <f aca="false">AT1009/AQ1009</f>
        <v>2.8380754647984</v>
      </c>
      <c r="AV1009" s="2" t="n">
        <f aca="false">Hypothèses!$J$26*AQ1009-AT1009</f>
        <v>1297.31969060864</v>
      </c>
      <c r="AW1009" s="2" t="n">
        <f aca="false">IF(AC1009&gt;Hypothèses!$J$26,MAX(0,AV1009)/(1-Hypothèses!$J$26/AC1009),0)</f>
        <v>1960.76381933616</v>
      </c>
      <c r="AX1009" s="2" t="n">
        <f aca="false">AQ1009-Entrées!$C$17*1000</f>
        <v>11.8784283889581</v>
      </c>
      <c r="AY1009" s="2" t="n">
        <f aca="false">AI1009+(Entrées!$C$244-Entrées!$C$13)</f>
        <v>28474.8783254363</v>
      </c>
      <c r="AZ1009" s="2" t="n">
        <f aca="false">AA1009*AH1009</f>
        <v>5361.71081235021</v>
      </c>
      <c r="BA1009" s="2" t="n">
        <f aca="false">AZ1009/AY1009</f>
        <v>0.188296179919429</v>
      </c>
      <c r="BB1009" s="2" t="n">
        <f aca="false">AZ1009/(Entrées!$C$151/100)-AY1009</f>
        <v>1312.40396539823</v>
      </c>
      <c r="BC1009" s="2" t="n">
        <f aca="false">AT1009+(Entrées!$C$244-Entrées!$C$13)</f>
        <v>28485.3155945582</v>
      </c>
      <c r="BD1009" s="2" t="n">
        <f aca="false">AA1009*AQ1009</f>
        <v>5732.11757154943</v>
      </c>
      <c r="BE1009" s="2" t="n">
        <f aca="false">BD1009/BC1009</f>
        <v>0.201230614859134</v>
      </c>
      <c r="BF1009" s="2" t="n">
        <f aca="false">BD1009/(Entrées!$C$151/100)-BC1009</f>
        <v>3359.78202516082</v>
      </c>
      <c r="BG1009" s="2" t="n">
        <f aca="false">MIN(AV1009,BF1009)</f>
        <v>1297.31969060864</v>
      </c>
      <c r="BH1009" s="2" t="n">
        <f aca="false">IF(AC1009&gt;Hypothèses!$J$26,MAX(0,BG1009)/(1-Hypothèses!$J$26/AC1009),0)</f>
        <v>1960.76381933616</v>
      </c>
    </row>
    <row r="1010" customFormat="false" ht="15" hidden="false" customHeight="false" outlineLevel="0" collapsed="false">
      <c r="A1010" s="2" t="n">
        <v>995</v>
      </c>
      <c r="B1010" s="2" t="n">
        <v>0.064509019</v>
      </c>
      <c r="C1010" s="2"/>
      <c r="D1010" s="2" t="n">
        <v>0.974883513</v>
      </c>
      <c r="E1010" s="2" t="n">
        <f aca="false">IF(E$7=E$5,E$6,IF(NORMSDIST(E$9*SQRT($C$11)*NORMSINV($B1010)+SQRT(1-E$9^2*$C$11)*NORMSINV(D1010))&lt;E$8,E$5+SQRT(NORMSDIST(E$9*SQRT($C$11)*NORMSINV($B1010)+SQRT(1-E$9^2*$C$11)*NORMSINV(D1010))*(E$7-E$5)*(E$6-E$5)),E$7-SQRT((1-NORMSDIST(E$9*SQRT($C$11)*NORMSINV($B1010)+SQRT(1-E$9^2*$C$11)*NORMSINV(D1010)))*(E$7-E$5)*(E$7-E$6))))</f>
        <v>0.0561993000426585</v>
      </c>
      <c r="F1010" s="2" t="n">
        <v>0.74344105</v>
      </c>
      <c r="G1010" s="2" t="n">
        <f aca="false">IF(G$7=G$5,G$6,IF(NORMSDIST(G$9*SQRT($C$11)*NORMSINV($B1010)+SQRT(1-G$9^2*$C$11)*NORMSINV(F1010))&lt;G$8,G$5+SQRT(NORMSDIST(G$9*SQRT($C$11)*NORMSINV($B1010)+SQRT(1-G$9^2*$C$11)*NORMSINV(F1010))*(G$7-G$5)*(G$6-G$5)),G$7-SQRT((1-NORMSDIST(G$9*SQRT($C$11)*NORMSINV($B1010)+SQRT(1-G$9^2*$C$11)*NORMSINV(F1010)))*(G$7-G$5)*(G$7-G$6))))</f>
        <v>0.0520952797513727</v>
      </c>
      <c r="H1010" s="2" t="n">
        <v>0.251140344</v>
      </c>
      <c r="I1010" s="2" t="n">
        <f aca="false">IF(I$7=I$5,I$6,IF(NORMSDIST(I$9*SQRT($C$11)*NORMSINV($B1010)+SQRT(1-I$9^2*$C$11)*NORMSINV(H1010))&lt;I$8,I$5+SQRT(NORMSDIST(I$9*SQRT($C$11)*NORMSINV($B1010)+SQRT(1-I$9^2*$C$11)*NORMSINV(H1010))*(I$7-I$5)*(I$6-I$5)),I$7-SQRT((1-NORMSDIST(I$9*SQRT($C$11)*NORMSINV($B1010)+SQRT(1-I$9^2*$C$11)*NORMSINV(H1010)))*(I$7-I$5)*(I$7-I$6))))</f>
        <v>187.455005208473</v>
      </c>
      <c r="J1010" s="2" t="n">
        <v>0.899444824</v>
      </c>
      <c r="K1010" s="2" t="n">
        <f aca="false">IF(K$7=K$5,K$6,IF(NORMSDIST(K$9*SQRT($C$11)*NORMSINV($B1010)+SQRT(1-K$9^2*$C$11)*NORMSINV(J1010))&lt;K$8,K$5+SQRT(NORMSDIST(K$9*SQRT($C$11)*NORMSINV($B1010)+SQRT(1-K$9^2*$C$11)*NORMSINV(J1010))*(K$7-K$5)*(K$6-K$5)),K$7-SQRT((1-NORMSDIST(K$9*SQRT($C$11)*NORMSINV($B1010)+SQRT(1-K$9^2*$C$11)*NORMSINV(J1010)))*(K$7-K$5)*(K$7-K$6))))</f>
        <v>0.253028078305432</v>
      </c>
      <c r="L1010" s="2" t="n">
        <v>0.176463652</v>
      </c>
      <c r="M1010" s="2" t="n">
        <f aca="false">IF(M$7=M$5,M$6,IF(NORMSDIST(M$9*SQRT($C$11)*NORMSINV($B1010)+SQRT(1-M$9^2*$C$11)*NORMSINV(L1010))&lt;M$8,M$5+SQRT(NORMSDIST(M$9*SQRT($C$11)*NORMSINV($B1010)+SQRT(1-M$9^2*$C$11)*NORMSINV(L1010))*(M$7-M$5)*(M$6-M$5)),M$7-SQRT((1-NORMSDIST(M$9*SQRT($C$11)*NORMSINV($B1010)+SQRT(1-M$9^2*$C$11)*NORMSINV(L1010)))*(M$7-M$5)*(M$7-M$6))))</f>
        <v>1389.26064140483</v>
      </c>
      <c r="N1010" s="2" t="n">
        <v>0.087529192</v>
      </c>
      <c r="O1010" s="2" t="n">
        <f aca="false">IF(O$7=O$5,O$6,IF(NORMSDIST(O$9*SQRT($C$11)*NORMSINV($B1010)+SQRT(1-O$9^2*$C$11)*NORMSINV(N1010))&lt;O$8,O$5+SQRT(NORMSDIST(O$9*SQRT($C$11)*NORMSINV($B1010)+SQRT(1-O$9^2*$C$11)*NORMSINV(N1010))*(O$7-O$5)*(O$6-O$5)),O$7-SQRT((1-NORMSDIST(O$9*SQRT($C$11)*NORMSINV($B1010)+SQRT(1-O$9^2*$C$11)*NORMSINV(N1010)))*(O$7-O$5)*(O$7-O$6))))</f>
        <v>0.145642391225924</v>
      </c>
      <c r="P1010" s="2" t="n">
        <v>0.058102021</v>
      </c>
      <c r="Q1010" s="2" t="n">
        <f aca="false">IF(Q$7=Q$5,Q$6,IF(NORMSDIST(Q$9*SQRT($C$11)*NORMSINV($B1010)+SQRT(1-Q$9^2*$C$11)*NORMSINV(P1010))&lt;Q$8,Q$5+SQRT(NORMSDIST(Q$9*SQRT($C$11)*NORMSINV($B1010)+SQRT(1-Q$9^2*$C$11)*NORMSINV(P1010))*(Q$7-Q$5)*(Q$6-Q$5)),Q$7-SQRT((1-NORMSDIST(Q$9*SQRT($C$11)*NORMSINV($B1010)+SQRT(1-Q$9^2*$C$11)*NORMSINV(P1010)))*(Q$7-Q$5)*(Q$7-Q$6))))</f>
        <v>0.0536354855872462</v>
      </c>
      <c r="R1010" s="2" t="n">
        <v>0.458291533</v>
      </c>
      <c r="S1010" s="2" t="n">
        <f aca="false">IF(S$7=S$5,S$6,IF(NORMSDIST(S$9*SQRT($C$11)*NORMSINV($B1010)+SQRT(1-S$9^2*$C$11)*NORMSINV(R1010))&lt;S$8,S$5+SQRT(NORMSDIST(S$9*SQRT($C$11)*NORMSINV($B1010)+SQRT(1-S$9^2*$C$11)*NORMSINV(R1010))*(S$7-S$5)*(S$6-S$5)),S$7-SQRT((1-NORMSDIST(S$9*SQRT($C$11)*NORMSINV($B1010)+SQRT(1-S$9^2*$C$11)*NORMSINV(R1010)))*(S$7-S$5)*(S$7-S$6))))</f>
        <v>0.272849765930206</v>
      </c>
      <c r="T1010" s="2" t="n">
        <v>0.444917295</v>
      </c>
      <c r="U1010" s="2" t="n">
        <f aca="false">IF(U$7=U$5,U$6,IF(NORMSDIST(U$9*SQRT($C$11)*NORMSINV($B1010)+SQRT(1-U$9^2*$C$11)*NORMSINV(T1010))&lt;U$8,U$5+SQRT(NORMSDIST(U$9*SQRT($C$11)*NORMSINV($B1010)+SQRT(1-U$9^2*$C$11)*NORMSINV(T1010))*(U$7-U$5)*(U$6-U$5)),U$7-SQRT((1-NORMSDIST(U$9*SQRT($C$11)*NORMSINV($B1010)+SQRT(1-U$9^2*$C$11)*NORMSINV(T1010)))*(U$7-U$5)*(U$7-U$6))))</f>
        <v>0.267307689651822</v>
      </c>
      <c r="V1010" s="2" t="n">
        <v>0.2901486</v>
      </c>
      <c r="W1010" s="2" t="n">
        <f aca="false">IF(W$7=W$5,W$6,IF(NORMSDIST(W$9*SQRT($C$11)*NORMSINV($B1010)+SQRT(1-W$9^2*$C$11)*NORMSINV(V1010))&lt;W$8,W$5+SQRT(NORMSDIST(W$9*SQRT($C$11)*NORMSINV($B1010)+SQRT(1-W$9^2*$C$11)*NORMSINV(V1010))*(W$7-W$5)*(W$6-W$5)),W$7-SQRT((1-NORMSDIST(W$9*SQRT($C$11)*NORMSINV($B1010)+SQRT(1-W$9^2*$C$11)*NORMSINV(V1010)))*(W$7-W$5)*(W$7-W$6))))</f>
        <v>8.81246234799712</v>
      </c>
      <c r="X1010" s="2" t="n">
        <v>0.110890711</v>
      </c>
      <c r="Y1010" s="2" t="n">
        <f aca="false">IF(Y$7=Y$5,Y$6,IF(NORMSDIST(Y$9*SQRT($C$11)*NORMSINV($B1010)+SQRT(1-Y$9^2*$C$11)*NORMSINV(X1010))&lt;Y$8,Y$5+SQRT(NORMSDIST(Y$9*SQRT($C$11)*NORMSINV($B1010)+SQRT(1-Y$9^2*$C$11)*NORMSINV(X1010))*(Y$7-Y$5)*(Y$6-Y$5)),Y$7-SQRT((1-NORMSDIST(Y$9*SQRT($C$11)*NORMSINV($B1010)+SQRT(1-Y$9^2*$C$11)*NORMSINV(X1010)))*(Y$7-Y$5)*(Y$7-Y$6))))</f>
        <v>0.235468374734273</v>
      </c>
      <c r="Z1010" s="2" t="n">
        <v>0.864451579</v>
      </c>
      <c r="AA1010" s="2" t="n">
        <f aca="false">IF(AA$7=AA$5,AA$6,IF(NORMSDIST(AA$9*SQRT($C$11)*NORMSINV($B1010)+SQRT(1-AA$9^2*$C$11)*NORMSINV(Z1010))&lt;AA$8,AA$5+SQRT(NORMSDIST(AA$9*SQRT($C$11)*NORMSINV($B1010)+SQRT(1-AA$9^2*$C$11)*NORMSINV(Z1010))*(AA$7-AA$5)*(AA$6-AA$5)),AA$7-SQRT((1-NORMSDIST(AA$9*SQRT($C$11)*NORMSINV($B1010)+SQRT(1-AA$9^2*$C$11)*NORMSINV(Z1010)))*(AA$7-AA$5)*(AA$7-AA$6))))</f>
        <v>0.726617835583416</v>
      </c>
      <c r="AB1010" s="2" t="n">
        <v>0.36339092</v>
      </c>
      <c r="AC1010" s="2" t="n">
        <f aca="false">IF(AC$7=AC$5,AC$6,IF(NORMSDIST(AC$9*SQRT($C$11)*NORMSINV($B1010)+SQRT(1-AC$9^2*$C$11)*NORMSINV(AB1010))&lt;AC$8,AC$5+SQRT(NORMSDIST(AC$9*SQRT($C$11)*NORMSINV($B1010)+SQRT(1-AC$9^2*$C$11)*NORMSINV(AB1010))*(AC$7-AC$5)*(AC$6-AC$5)),AC$7-SQRT((1-NORMSDIST(AC$9*SQRT($C$11)*NORMSINV($B1010)+SQRT(1-AC$9^2*$C$11)*NORMSINV(AB1010)))*(AC$7-AC$5)*(AC$7-AC$6))))</f>
        <v>8.37140292014934</v>
      </c>
      <c r="AD1010" s="2" t="n">
        <f aca="false">Entrées!$C$8*(1+E1010)</f>
        <v>7446.20506530074</v>
      </c>
      <c r="AE1010" s="2" t="n">
        <f aca="false">I1010*Hypothèses!$J$24/12/Hypothèses!$J$19</f>
        <v>92.9958281108386</v>
      </c>
      <c r="AF1010" s="2" t="n">
        <f aca="false">Entrées!$C$36*S1010*1000</f>
        <v>136.424882965103</v>
      </c>
      <c r="AG1010" s="2" t="n">
        <f aca="false">-AF1010/W1010</f>
        <v>-15.4809039264842</v>
      </c>
      <c r="AH1010" s="2" t="n">
        <f aca="false">AD1010+AE1010+AG1010</f>
        <v>7523.7199894851</v>
      </c>
      <c r="AI1010" s="2" t="n">
        <f aca="false">Entrées!$C$16-M1010+Hypothèses!$J$22*1000-AF1010+Hypothèses!$J$23</f>
        <v>23022.3144756301</v>
      </c>
      <c r="AJ1010" s="2" t="n">
        <f aca="false">AI1010/AH1010</f>
        <v>3.05996428732134</v>
      </c>
      <c r="AK1010" s="2" t="n">
        <f aca="false">AI1010/(AH1010+I1010*(12-Hypothèses!$J$24)/12/Hypothèses!$J$19)</f>
        <v>3.0331848355165</v>
      </c>
      <c r="AL1010" s="2" t="n">
        <f aca="false">(AD1010+AG1010+I1010/Hypothèses!$J$19)*(1+G1010)</f>
        <v>7985.55633838831</v>
      </c>
      <c r="AM1010" s="2" t="n">
        <f aca="false">Entrées!$C$54*K1010/Hypothèses!$J$19</f>
        <v>25.8225777873165</v>
      </c>
      <c r="AN1010" s="2" t="n">
        <f aca="false">Y1010*1000/AC1010</f>
        <v>28.1277077426913</v>
      </c>
      <c r="AO1010" s="2" t="n">
        <f aca="false">(Entrées!$C$36*(1-S1010)+MAX(0,Entrées!$C$30-Entrées!$C$35-Entrées!$C$36)*U1010)*1000</f>
        <v>737.805882547448</v>
      </c>
      <c r="AP1010" s="2" t="n">
        <f aca="false">-AO1010/W1010</f>
        <v>-83.7230110509504</v>
      </c>
      <c r="AQ1010" s="2" t="n">
        <f aca="false">AL1010+AM1010+AN1010+AP1010</f>
        <v>7955.78361286736</v>
      </c>
      <c r="AR1010" s="2" t="n">
        <f aca="false">O1010*AQ1010-Hypothèses!$J$25/Hypothèses!$J$19</f>
        <v>1139.5641871924</v>
      </c>
      <c r="AS1010" s="2" t="n">
        <f aca="false">Entrées!$C$79*(1+Q1010)+Hypothèses!$J$20</f>
        <v>1452.94539866038</v>
      </c>
      <c r="AT1010" s="2" t="n">
        <f aca="false">AI1010-AR1010+AS1010+Y1010*1000-AO1010+Hypothèses!$J$23</f>
        <v>22833.3581792849</v>
      </c>
      <c r="AU1010" s="2" t="n">
        <f aca="false">AT1010/AQ1010</f>
        <v>2.87003258137327</v>
      </c>
      <c r="AV1010" s="2" t="n">
        <f aca="false">Hypothèses!$J$26*AQ1010-AT1010</f>
        <v>1033.99265931722</v>
      </c>
      <c r="AW1010" s="2" t="n">
        <f aca="false">IF(AC1010&gt;Hypothèses!$J$26,MAX(0,AV1010)/(1-Hypothèses!$J$26/AC1010),0)</f>
        <v>1611.49131731501</v>
      </c>
      <c r="AX1010" s="2" t="n">
        <f aca="false">AQ1010-Entrées!$C$17*1000</f>
        <v>-44.2163871326356</v>
      </c>
      <c r="AY1010" s="2" t="n">
        <f aca="false">AI1010+(Entrées!$C$244-Entrées!$C$13)</f>
        <v>28769.3144756301</v>
      </c>
      <c r="AZ1010" s="2" t="n">
        <f aca="false">AA1010*AH1010</f>
        <v>5466.86913429534</v>
      </c>
      <c r="BA1010" s="2" t="n">
        <f aca="false">AZ1010/AY1010</f>
        <v>0.19002431006572</v>
      </c>
      <c r="BB1010" s="2" t="n">
        <f aca="false">AZ1010/(Entrées!$C$151/100)-AY1010</f>
        <v>1602.18071489961</v>
      </c>
      <c r="BC1010" s="2" t="n">
        <f aca="false">AT1010+(Entrées!$C$244-Entrées!$C$13)</f>
        <v>28580.3581792849</v>
      </c>
      <c r="BD1010" s="2" t="n">
        <f aca="false">AA1010*AQ1010</f>
        <v>5780.81426915169</v>
      </c>
      <c r="BE1010" s="2" t="n">
        <f aca="false">BD1010/BC1010</f>
        <v>0.202265284181835</v>
      </c>
      <c r="BF1010" s="2" t="n">
        <f aca="false">BD1010/(Entrées!$C$151/100)-BC1010</f>
        <v>3535.27664933564</v>
      </c>
      <c r="BG1010" s="2" t="n">
        <f aca="false">MIN(AV1010,BF1010)</f>
        <v>1033.99265931722</v>
      </c>
      <c r="BH1010" s="2" t="n">
        <f aca="false">IF(AC1010&gt;Hypothèses!$J$26,MAX(0,BG1010)/(1-Hypothèses!$J$26/AC1010),0)</f>
        <v>1611.49131731501</v>
      </c>
    </row>
    <row r="1011" customFormat="false" ht="15" hidden="false" customHeight="false" outlineLevel="0" collapsed="false">
      <c r="A1011" s="2" t="n">
        <v>996</v>
      </c>
      <c r="B1011" s="2" t="n">
        <v>0.748241875</v>
      </c>
      <c r="C1011" s="2"/>
      <c r="D1011" s="2" t="n">
        <v>0.488000223</v>
      </c>
      <c r="E1011" s="2" t="n">
        <f aca="false">IF(E$7=E$5,E$6,IF(NORMSDIST(E$9*SQRT($C$11)*NORMSINV($B1011)+SQRT(1-E$9^2*$C$11)*NORMSINV(D1011))&lt;E$8,E$5+SQRT(NORMSDIST(E$9*SQRT($C$11)*NORMSINV($B1011)+SQRT(1-E$9^2*$C$11)*NORMSINV(D1011))*(E$7-E$5)*(E$6-E$5)),E$7-SQRT((1-NORMSDIST(E$9*SQRT($C$11)*NORMSINV($B1011)+SQRT(1-E$9^2*$C$11)*NORMSINV(D1011)))*(E$7-E$5)*(E$7-E$6))))</f>
        <v>0.0558487606734996</v>
      </c>
      <c r="F1011" s="2" t="n">
        <v>0.008523099</v>
      </c>
      <c r="G1011" s="2" t="n">
        <f aca="false">IF(G$7=G$5,G$6,IF(NORMSDIST(G$9*SQRT($C$11)*NORMSINV($B1011)+SQRT(1-G$9^2*$C$11)*NORMSINV(F1011))&lt;G$8,G$5+SQRT(NORMSDIST(G$9*SQRT($C$11)*NORMSINV($B1011)+SQRT(1-G$9^2*$C$11)*NORMSINV(F1011))*(G$7-G$5)*(G$6-G$5)),G$7-SQRT((1-NORMSDIST(G$9*SQRT($C$11)*NORMSINV($B1011)+SQRT(1-G$9^2*$C$11)*NORMSINV(F1011)))*(G$7-G$5)*(G$7-G$6))))</f>
        <v>0.0458901427754332</v>
      </c>
      <c r="H1011" s="2" t="n">
        <v>0.681491678</v>
      </c>
      <c r="I1011" s="2" t="n">
        <f aca="false">IF(I$7=I$5,I$6,IF(NORMSDIST(I$9*SQRT($C$11)*NORMSINV($B1011)+SQRT(1-I$9^2*$C$11)*NORMSINV(H1011))&lt;I$8,I$5+SQRT(NORMSDIST(I$9*SQRT($C$11)*NORMSINV($B1011)+SQRT(1-I$9^2*$C$11)*NORMSINV(H1011))*(I$7-I$5)*(I$6-I$5)),I$7-SQRT((1-NORMSDIST(I$9*SQRT($C$11)*NORMSINV($B1011)+SQRT(1-I$9^2*$C$11)*NORMSINV(H1011)))*(I$7-I$5)*(I$7-I$6))))</f>
        <v>206.879888243571</v>
      </c>
      <c r="J1011" s="2" t="n">
        <v>0.200784378</v>
      </c>
      <c r="K1011" s="2" t="n">
        <f aca="false">IF(K$7=K$5,K$6,IF(NORMSDIST(K$9*SQRT($C$11)*NORMSINV($B1011)+SQRT(1-K$9^2*$C$11)*NORMSINV(J1011))&lt;K$8,K$5+SQRT(NORMSDIST(K$9*SQRT($C$11)*NORMSINV($B1011)+SQRT(1-K$9^2*$C$11)*NORMSINV(J1011))*(K$7-K$5)*(K$6-K$5)),K$7-SQRT((1-NORMSDIST(K$9*SQRT($C$11)*NORMSINV($B1011)+SQRT(1-K$9^2*$C$11)*NORMSINV(J1011)))*(K$7-K$5)*(K$7-K$6))))</f>
        <v>0.226479899716629</v>
      </c>
      <c r="L1011" s="2" t="n">
        <v>0.316424384</v>
      </c>
      <c r="M1011" s="2" t="n">
        <f aca="false">IF(M$7=M$5,M$6,IF(NORMSDIST(M$9*SQRT($C$11)*NORMSINV($B1011)+SQRT(1-M$9^2*$C$11)*NORMSINV(L1011))&lt;M$8,M$5+SQRT(NORMSDIST(M$9*SQRT($C$11)*NORMSINV($B1011)+SQRT(1-M$9^2*$C$11)*NORMSINV(L1011))*(M$7-M$5)*(M$6-M$5)),M$7-SQRT((1-NORMSDIST(M$9*SQRT($C$11)*NORMSINV($B1011)+SQRT(1-M$9^2*$C$11)*NORMSINV(L1011)))*(M$7-M$5)*(M$7-M$6))))</f>
        <v>1591.25797535266</v>
      </c>
      <c r="N1011" s="2" t="n">
        <v>0.953132644</v>
      </c>
      <c r="O1011" s="2" t="n">
        <f aca="false">IF(O$7=O$5,O$6,IF(NORMSDIST(O$9*SQRT($C$11)*NORMSINV($B1011)+SQRT(1-O$9^2*$C$11)*NORMSINV(N1011))&lt;O$8,O$5+SQRT(NORMSDIST(O$9*SQRT($C$11)*NORMSINV($B1011)+SQRT(1-O$9^2*$C$11)*NORMSINV(N1011))*(O$7-O$5)*(O$6-O$5)),O$7-SQRT((1-NORMSDIST(O$9*SQRT($C$11)*NORMSINV($B1011)+SQRT(1-O$9^2*$C$11)*NORMSINV(N1011)))*(O$7-O$5)*(O$7-O$6))))</f>
        <v>0.183264130771706</v>
      </c>
      <c r="P1011" s="2" t="n">
        <v>0.128184019</v>
      </c>
      <c r="Q1011" s="2" t="n">
        <f aca="false">IF(Q$7=Q$5,Q$6,IF(NORMSDIST(Q$9*SQRT($C$11)*NORMSINV($B1011)+SQRT(1-Q$9^2*$C$11)*NORMSINV(P1011))&lt;Q$8,Q$5+SQRT(NORMSDIST(Q$9*SQRT($C$11)*NORMSINV($B1011)+SQRT(1-Q$9^2*$C$11)*NORMSINV(P1011))*(Q$7-Q$5)*(Q$6-Q$5)),Q$7-SQRT((1-NORMSDIST(Q$9*SQRT($C$11)*NORMSINV($B1011)+SQRT(1-Q$9^2*$C$11)*NORMSINV(P1011)))*(Q$7-Q$5)*(Q$7-Q$6))))</f>
        <v>0.0602531197794315</v>
      </c>
      <c r="R1011" s="2" t="n">
        <v>0.862054297</v>
      </c>
      <c r="S1011" s="2" t="n">
        <f aca="false">IF(S$7=S$5,S$6,IF(NORMSDIST(S$9*SQRT($C$11)*NORMSINV($B1011)+SQRT(1-S$9^2*$C$11)*NORMSINV(R1011))&lt;S$8,S$5+SQRT(NORMSDIST(S$9*SQRT($C$11)*NORMSINV($B1011)+SQRT(1-S$9^2*$C$11)*NORMSINV(R1011))*(S$7-S$5)*(S$6-S$5)),S$7-SQRT((1-NORMSDIST(S$9*SQRT($C$11)*NORMSINV($B1011)+SQRT(1-S$9^2*$C$11)*NORMSINV(R1011)))*(S$7-S$5)*(S$7-S$6))))</f>
        <v>0.77354723380799</v>
      </c>
      <c r="T1011" s="2" t="n">
        <v>0.70325907</v>
      </c>
      <c r="U1011" s="2" t="n">
        <f aca="false">IF(U$7=U$5,U$6,IF(NORMSDIST(U$9*SQRT($C$11)*NORMSINV($B1011)+SQRT(1-U$9^2*$C$11)*NORMSINV(T1011))&lt;U$8,U$5+SQRT(NORMSDIST(U$9*SQRT($C$11)*NORMSINV($B1011)+SQRT(1-U$9^2*$C$11)*NORMSINV(T1011))*(U$7-U$5)*(U$6-U$5)),U$7-SQRT((1-NORMSDIST(U$9*SQRT($C$11)*NORMSINV($B1011)+SQRT(1-U$9^2*$C$11)*NORMSINV(T1011)))*(U$7-U$5)*(U$7-U$6))))</f>
        <v>0.682653779556162</v>
      </c>
      <c r="V1011" s="2" t="n">
        <v>0.762451859</v>
      </c>
      <c r="W1011" s="2" t="n">
        <f aca="false">IF(W$7=W$5,W$6,IF(NORMSDIST(W$9*SQRT($C$11)*NORMSINV($B1011)+SQRT(1-W$9^2*$C$11)*NORMSINV(V1011))&lt;W$8,W$5+SQRT(NORMSDIST(W$9*SQRT($C$11)*NORMSINV($B1011)+SQRT(1-W$9^2*$C$11)*NORMSINV(V1011))*(W$7-W$5)*(W$6-W$5)),W$7-SQRT((1-NORMSDIST(W$9*SQRT($C$11)*NORMSINV($B1011)+SQRT(1-W$9^2*$C$11)*NORMSINV(V1011)))*(W$7-W$5)*(W$7-W$6))))</f>
        <v>10.852992027075</v>
      </c>
      <c r="X1011" s="2" t="n">
        <v>0.512588163</v>
      </c>
      <c r="Y1011" s="2" t="n">
        <f aca="false">IF(Y$7=Y$5,Y$6,IF(NORMSDIST(Y$9*SQRT($C$11)*NORMSINV($B1011)+SQRT(1-Y$9^2*$C$11)*NORMSINV(X1011))&lt;Y$8,Y$5+SQRT(NORMSDIST(Y$9*SQRT($C$11)*NORMSINV($B1011)+SQRT(1-Y$9^2*$C$11)*NORMSINV(X1011))*(Y$7-Y$5)*(Y$6-Y$5)),Y$7-SQRT((1-NORMSDIST(Y$9*SQRT($C$11)*NORMSINV($B1011)+SQRT(1-Y$9^2*$C$11)*NORMSINV(X1011)))*(Y$7-Y$5)*(Y$7-Y$6))))</f>
        <v>0.506334203635699</v>
      </c>
      <c r="Z1011" s="2" t="n">
        <v>0.644098464</v>
      </c>
      <c r="AA1011" s="2" t="n">
        <f aca="false">IF(AA$7=AA$5,AA$6,IF(NORMSDIST(AA$9*SQRT($C$11)*NORMSINV($B1011)+SQRT(1-AA$9^2*$C$11)*NORMSINV(Z1011))&lt;AA$8,AA$5+SQRT(NORMSDIST(AA$9*SQRT($C$11)*NORMSINV($B1011)+SQRT(1-AA$9^2*$C$11)*NORMSINV(Z1011))*(AA$7-AA$5)*(AA$6-AA$5)),AA$7-SQRT((1-NORMSDIST(AA$9*SQRT($C$11)*NORMSINV($B1011)+SQRT(1-AA$9^2*$C$11)*NORMSINV(Z1011)))*(AA$7-AA$5)*(AA$7-AA$6))))</f>
        <v>0.736339977219028</v>
      </c>
      <c r="AB1011" s="2" t="n">
        <v>0.084995253</v>
      </c>
      <c r="AC1011" s="2" t="n">
        <f aca="false">IF(AC$7=AC$5,AC$6,IF(NORMSDIST(AC$9*SQRT($C$11)*NORMSINV($B1011)+SQRT(1-AC$9^2*$C$11)*NORMSINV(AB1011))&lt;AC$8,AC$5+SQRT(NORMSDIST(AC$9*SQRT($C$11)*NORMSINV($B1011)+SQRT(1-AC$9^2*$C$11)*NORMSINV(AB1011))*(AC$7-AC$5)*(AC$6-AC$5)),AC$7-SQRT((1-NORMSDIST(AC$9*SQRT($C$11)*NORMSINV($B1011)+SQRT(1-AC$9^2*$C$11)*NORMSINV(AB1011)))*(AC$7-AC$5)*(AC$7-AC$6))))</f>
        <v>8.90208066600111</v>
      </c>
      <c r="AD1011" s="2" t="n">
        <f aca="false">Entrées!$C$8*(1+E1011)</f>
        <v>7443.73376274817</v>
      </c>
      <c r="AE1011" s="2" t="n">
        <f aca="false">I1011*Hypothèses!$J$24/12/Hypothèses!$J$19</f>
        <v>102.632450412794</v>
      </c>
      <c r="AF1011" s="2" t="n">
        <f aca="false">Entrées!$C$36*S1011*1000</f>
        <v>386.773616903995</v>
      </c>
      <c r="AG1011" s="2" t="n">
        <f aca="false">-AF1011/W1011</f>
        <v>-35.6375104615491</v>
      </c>
      <c r="AH1011" s="2" t="n">
        <f aca="false">AD1011+AE1011+AG1011</f>
        <v>7510.72870269942</v>
      </c>
      <c r="AI1011" s="2" t="n">
        <f aca="false">Entrées!$C$16-M1011+Hypothèses!$J$22*1000-AF1011+Hypothèses!$J$23</f>
        <v>22569.9684077434</v>
      </c>
      <c r="AJ1011" s="2" t="n">
        <f aca="false">AI1011/AH1011</f>
        <v>3.00503044393436</v>
      </c>
      <c r="AK1011" s="2" t="n">
        <f aca="false">AI1011/(AH1011+I1011*(12-Hypothèses!$J$24)/12/Hypothèses!$J$19)</f>
        <v>2.97598319133986</v>
      </c>
      <c r="AL1011" s="2" t="n">
        <f aca="false">(AD1011+AG1011+I1011/Hypothèses!$J$19)*(1+G1011)</f>
        <v>7932.07016393929</v>
      </c>
      <c r="AM1011" s="2" t="n">
        <f aca="false">Entrées!$C$54*K1011/Hypothèses!$J$19</f>
        <v>23.1132246937305</v>
      </c>
      <c r="AN1011" s="2" t="n">
        <f aca="false">Y1011*1000/AC1011</f>
        <v>56.8781864187654</v>
      </c>
      <c r="AO1011" s="2" t="n">
        <f aca="false">(Entrées!$C$36*(1-S1011)+MAX(0,Entrées!$C$30-Entrées!$C$35-Entrées!$C$36)*U1011)*1000</f>
        <v>1068.94167447463</v>
      </c>
      <c r="AP1011" s="2" t="n">
        <f aca="false">-AO1011/W1011</f>
        <v>-98.4928093384697</v>
      </c>
      <c r="AQ1011" s="2" t="n">
        <f aca="false">AL1011+AM1011+AN1011+AP1011</f>
        <v>7913.56876571332</v>
      </c>
      <c r="AR1011" s="2" t="n">
        <f aca="false">O1011*AQ1011-Hypothèses!$J$25/Hypothèses!$J$19</f>
        <v>1431.13813888894</v>
      </c>
      <c r="AS1011" s="2" t="n">
        <f aca="false">Entrées!$C$79*(1+Q1011)+Hypothèses!$J$20</f>
        <v>1460.2181786376</v>
      </c>
      <c r="AT1011" s="2" t="n">
        <f aca="false">AI1011-AR1011+AS1011+Y1011*1000-AO1011+Hypothèses!$J$23</f>
        <v>22036.4409766531</v>
      </c>
      <c r="AU1011" s="2" t="n">
        <f aca="false">AT1011/AQ1011</f>
        <v>2.78464010727109</v>
      </c>
      <c r="AV1011" s="2" t="n">
        <f aca="false">Hypothèses!$J$26*AQ1011-AT1011</f>
        <v>1704.26532048688</v>
      </c>
      <c r="AW1011" s="2" t="n">
        <f aca="false">IF(AC1011&gt;Hypothèses!$J$26,MAX(0,AV1011)/(1-Hypothèses!$J$26/AC1011),0)</f>
        <v>2570.53541247543</v>
      </c>
      <c r="AX1011" s="2" t="n">
        <f aca="false">AQ1011-Entrées!$C$17*1000</f>
        <v>-86.4312342866842</v>
      </c>
      <c r="AY1011" s="2" t="n">
        <f aca="false">AI1011+(Entrées!$C$244-Entrées!$C$13)</f>
        <v>28316.9684077434</v>
      </c>
      <c r="AZ1011" s="2" t="n">
        <f aca="false">AA1011*AH1011</f>
        <v>5530.44980184399</v>
      </c>
      <c r="BA1011" s="2" t="n">
        <f aca="false">AZ1011/AY1011</f>
        <v>0.195305151392254</v>
      </c>
      <c r="BB1011" s="2" t="n">
        <f aca="false">AZ1011/(Entrées!$C$151/100)-AY1011</f>
        <v>2407.75271361214</v>
      </c>
      <c r="BC1011" s="2" t="n">
        <f aca="false">AT1011+(Entrées!$C$244-Entrées!$C$13)</f>
        <v>27783.4409766531</v>
      </c>
      <c r="BD1011" s="2" t="n">
        <f aca="false">AA1011*AQ1011</f>
        <v>5827.07704466655</v>
      </c>
      <c r="BE1011" s="2" t="n">
        <f aca="false">BD1011/BC1011</f>
        <v>0.209732014460093</v>
      </c>
      <c r="BF1011" s="2" t="n">
        <f aca="false">BD1011/(Entrées!$C$151/100)-BC1011</f>
        <v>4589.20927149445</v>
      </c>
      <c r="BG1011" s="2" t="n">
        <f aca="false">MIN(AV1011,BF1011)</f>
        <v>1704.26532048688</v>
      </c>
      <c r="BH1011" s="2" t="n">
        <f aca="false">IF(AC1011&gt;Hypothèses!$J$26,MAX(0,BG1011)/(1-Hypothèses!$J$26/AC1011),0)</f>
        <v>2570.53541247543</v>
      </c>
    </row>
    <row r="1012" customFormat="false" ht="15" hidden="false" customHeight="false" outlineLevel="0" collapsed="false">
      <c r="A1012" s="2" t="n">
        <v>997</v>
      </c>
      <c r="B1012" s="2" t="n">
        <v>0.571369687</v>
      </c>
      <c r="C1012" s="2"/>
      <c r="D1012" s="2" t="n">
        <v>0.318299458</v>
      </c>
      <c r="E1012" s="2" t="n">
        <f aca="false">IF(E$7=E$5,E$6,IF(NORMSDIST(E$9*SQRT($C$11)*NORMSINV($B1012)+SQRT(1-E$9^2*$C$11)*NORMSINV(D1012))&lt;E$8,E$5+SQRT(NORMSDIST(E$9*SQRT($C$11)*NORMSINV($B1012)+SQRT(1-E$9^2*$C$11)*NORMSINV(D1012))*(E$7-E$5)*(E$6-E$5)),E$7-SQRT((1-NORMSDIST(E$9*SQRT($C$11)*NORMSINV($B1012)+SQRT(1-E$9^2*$C$11)*NORMSINV(D1012)))*(E$7-E$5)*(E$7-E$6))))</f>
        <v>0.0544745903108349</v>
      </c>
      <c r="F1012" s="2" t="n">
        <v>0.870988818</v>
      </c>
      <c r="G1012" s="2" t="n">
        <f aca="false">IF(G$7=G$5,G$6,IF(NORMSDIST(G$9*SQRT($C$11)*NORMSINV($B1012)+SQRT(1-G$9^2*$C$11)*NORMSINV(F1012))&lt;G$8,G$5+SQRT(NORMSDIST(G$9*SQRT($C$11)*NORMSINV($B1012)+SQRT(1-G$9^2*$C$11)*NORMSINV(F1012))*(G$7-G$5)*(G$6-G$5)),G$7-SQRT((1-NORMSDIST(G$9*SQRT($C$11)*NORMSINV($B1012)+SQRT(1-G$9^2*$C$11)*NORMSINV(F1012)))*(G$7-G$5)*(G$7-G$6))))</f>
        <v>0.0614851932732488</v>
      </c>
      <c r="H1012" s="2" t="n">
        <v>0.771183207</v>
      </c>
      <c r="I1012" s="2" t="n">
        <f aca="false">IF(I$7=I$5,I$6,IF(NORMSDIST(I$9*SQRT($C$11)*NORMSINV($B1012)+SQRT(1-I$9^2*$C$11)*NORMSINV(H1012))&lt;I$8,I$5+SQRT(NORMSDIST(I$9*SQRT($C$11)*NORMSINV($B1012)+SQRT(1-I$9^2*$C$11)*NORMSINV(H1012))*(I$7-I$5)*(I$6-I$5)),I$7-SQRT((1-NORMSDIST(I$9*SQRT($C$11)*NORMSINV($B1012)+SQRT(1-I$9^2*$C$11)*NORMSINV(H1012)))*(I$7-I$5)*(I$7-I$6))))</f>
        <v>205.989015893958</v>
      </c>
      <c r="J1012" s="2" t="n">
        <v>0.991147916</v>
      </c>
      <c r="K1012" s="2" t="n">
        <f aca="false">IF(K$7=K$5,K$6,IF(NORMSDIST(K$9*SQRT($C$11)*NORMSINV($B1012)+SQRT(1-K$9^2*$C$11)*NORMSINV(J1012))&lt;K$8,K$5+SQRT(NORMSDIST(K$9*SQRT($C$11)*NORMSINV($B1012)+SQRT(1-K$9^2*$C$11)*NORMSINV(J1012))*(K$7-K$5)*(K$6-K$5)),K$7-SQRT((1-NORMSDIST(K$9*SQRT($C$11)*NORMSINV($B1012)+SQRT(1-K$9^2*$C$11)*NORMSINV(J1012)))*(K$7-K$5)*(K$7-K$6))))</f>
        <v>0.443504096476574</v>
      </c>
      <c r="L1012" s="2" t="n">
        <v>0.18097859</v>
      </c>
      <c r="M1012" s="2" t="n">
        <f aca="false">IF(M$7=M$5,M$6,IF(NORMSDIST(M$9*SQRT($C$11)*NORMSINV($B1012)+SQRT(1-M$9^2*$C$11)*NORMSINV(L1012))&lt;M$8,M$5+SQRT(NORMSDIST(M$9*SQRT($C$11)*NORMSINV($B1012)+SQRT(1-M$9^2*$C$11)*NORMSINV(L1012))*(M$7-M$5)*(M$6-M$5)),M$7-SQRT((1-NORMSDIST(M$9*SQRT($C$11)*NORMSINV($B1012)+SQRT(1-M$9^2*$C$11)*NORMSINV(L1012)))*(M$7-M$5)*(M$7-M$6))))</f>
        <v>1513.12927488263</v>
      </c>
      <c r="N1012" s="2" t="n">
        <v>0.881573453</v>
      </c>
      <c r="O1012" s="2" t="n">
        <f aca="false">IF(O$7=O$5,O$6,IF(NORMSDIST(O$9*SQRT($C$11)*NORMSINV($B1012)+SQRT(1-O$9^2*$C$11)*NORMSINV(N1012))&lt;O$8,O$5+SQRT(NORMSDIST(O$9*SQRT($C$11)*NORMSINV($B1012)+SQRT(1-O$9^2*$C$11)*NORMSINV(N1012))*(O$7-O$5)*(O$6-O$5)),O$7-SQRT((1-NORMSDIST(O$9*SQRT($C$11)*NORMSINV($B1012)+SQRT(1-O$9^2*$C$11)*NORMSINV(N1012)))*(O$7-O$5)*(O$7-O$6))))</f>
        <v>0.177296609167941</v>
      </c>
      <c r="P1012" s="2" t="n">
        <v>0.823675136</v>
      </c>
      <c r="Q1012" s="2" t="n">
        <f aca="false">IF(Q$7=Q$5,Q$6,IF(NORMSDIST(Q$9*SQRT($C$11)*NORMSINV($B1012)+SQRT(1-Q$9^2*$C$11)*NORMSINV(P1012))&lt;Q$8,Q$5+SQRT(NORMSDIST(Q$9*SQRT($C$11)*NORMSINV($B1012)+SQRT(1-Q$9^2*$C$11)*NORMSINV(P1012))*(Q$7-Q$5)*(Q$6-Q$5)),Q$7-SQRT((1-NORMSDIST(Q$9*SQRT($C$11)*NORMSINV($B1012)+SQRT(1-Q$9^2*$C$11)*NORMSINV(P1012)))*(Q$7-Q$5)*(Q$7-Q$6))))</f>
        <v>0.096246272612493</v>
      </c>
      <c r="R1012" s="2" t="n">
        <v>0.417695532</v>
      </c>
      <c r="S1012" s="2" t="n">
        <f aca="false">IF(S$7=S$5,S$6,IF(NORMSDIST(S$9*SQRT($C$11)*NORMSINV($B1012)+SQRT(1-S$9^2*$C$11)*NORMSINV(R1012))&lt;S$8,S$5+SQRT(NORMSDIST(S$9*SQRT($C$11)*NORMSINV($B1012)+SQRT(1-S$9^2*$C$11)*NORMSINV(R1012))*(S$7-S$5)*(S$6-S$5)),S$7-SQRT((1-NORMSDIST(S$9*SQRT($C$11)*NORMSINV($B1012)+SQRT(1-S$9^2*$C$11)*NORMSINV(R1012)))*(S$7-S$5)*(S$7-S$6))))</f>
        <v>0.490498099097362</v>
      </c>
      <c r="T1012" s="2" t="n">
        <v>0.031816786</v>
      </c>
      <c r="U1012" s="2" t="n">
        <f aca="false">IF(U$7=U$5,U$6,IF(NORMSDIST(U$9*SQRT($C$11)*NORMSINV($B1012)+SQRT(1-U$9^2*$C$11)*NORMSINV(T1012))&lt;U$8,U$5+SQRT(NORMSDIST(U$9*SQRT($C$11)*NORMSINV($B1012)+SQRT(1-U$9^2*$C$11)*NORMSINV(T1012))*(U$7-U$5)*(U$6-U$5)),U$7-SQRT((1-NORMSDIST(U$9*SQRT($C$11)*NORMSINV($B1012)+SQRT(1-U$9^2*$C$11)*NORMSINV(T1012)))*(U$7-U$5)*(U$7-U$6))))</f>
        <v>0.215558691916864</v>
      </c>
      <c r="V1012" s="2" t="n">
        <v>0.957712658</v>
      </c>
      <c r="W1012" s="2" t="n">
        <f aca="false">IF(W$7=W$5,W$6,IF(NORMSDIST(W$9*SQRT($C$11)*NORMSINV($B1012)+SQRT(1-W$9^2*$C$11)*NORMSINV(V1012))&lt;W$8,W$5+SQRT(NORMSDIST(W$9*SQRT($C$11)*NORMSINV($B1012)+SQRT(1-W$9^2*$C$11)*NORMSINV(V1012))*(W$7-W$5)*(W$6-W$5)),W$7-SQRT((1-NORMSDIST(W$9*SQRT($C$11)*NORMSINV($B1012)+SQRT(1-W$9^2*$C$11)*NORMSINV(V1012)))*(W$7-W$5)*(W$7-W$6))))</f>
        <v>11.2328404132513</v>
      </c>
      <c r="X1012" s="2" t="n">
        <v>0.921977726</v>
      </c>
      <c r="Y1012" s="2" t="n">
        <f aca="false">IF(Y$7=Y$5,Y$6,IF(NORMSDIST(Y$9*SQRT($C$11)*NORMSINV($B1012)+SQRT(1-Y$9^2*$C$11)*NORMSINV(X1012))&lt;Y$8,Y$5+SQRT(NORMSDIST(Y$9*SQRT($C$11)*NORMSINV($B1012)+SQRT(1-Y$9^2*$C$11)*NORMSINV(X1012))*(Y$7-Y$5)*(Y$6-Y$5)),Y$7-SQRT((1-NORMSDIST(Y$9*SQRT($C$11)*NORMSINV($B1012)+SQRT(1-Y$9^2*$C$11)*NORMSINV(X1012)))*(Y$7-Y$5)*(Y$7-Y$6))))</f>
        <v>0.802487628235596</v>
      </c>
      <c r="Z1012" s="2" t="n">
        <v>0.049743968</v>
      </c>
      <c r="AA1012" s="2" t="n">
        <f aca="false">IF(AA$7=AA$5,AA$6,IF(NORMSDIST(AA$9*SQRT($C$11)*NORMSINV($B1012)+SQRT(1-AA$9^2*$C$11)*NORMSINV(Z1012))&lt;AA$8,AA$5+SQRT(NORMSDIST(AA$9*SQRT($C$11)*NORMSINV($B1012)+SQRT(1-AA$9^2*$C$11)*NORMSINV(Z1012))*(AA$7-AA$5)*(AA$6-AA$5)),AA$7-SQRT((1-NORMSDIST(AA$9*SQRT($C$11)*NORMSINV($B1012)+SQRT(1-AA$9^2*$C$11)*NORMSINV(Z1012)))*(AA$7-AA$5)*(AA$7-AA$6))))</f>
        <v>0.711524934290696</v>
      </c>
      <c r="AB1012" s="2" t="n">
        <v>0.370321724</v>
      </c>
      <c r="AC1012" s="2" t="n">
        <f aca="false">IF(AC$7=AC$5,AC$6,IF(NORMSDIST(AC$9*SQRT($C$11)*NORMSINV($B1012)+SQRT(1-AC$9^2*$C$11)*NORMSINV(AB1012))&lt;AC$8,AC$5+SQRT(NORMSDIST(AC$9*SQRT($C$11)*NORMSINV($B1012)+SQRT(1-AC$9^2*$C$11)*NORMSINV(AB1012))*(AC$7-AC$5)*(AC$6-AC$5)),AC$7-SQRT((1-NORMSDIST(AC$9*SQRT($C$11)*NORMSINV($B1012)+SQRT(1-AC$9^2*$C$11)*NORMSINV(AB1012)))*(AC$7-AC$5)*(AC$7-AC$6))))</f>
        <v>9.35704113183515</v>
      </c>
      <c r="AD1012" s="2" t="n">
        <f aca="false">Entrées!$C$8*(1+E1012)</f>
        <v>7434.04586169139</v>
      </c>
      <c r="AE1012" s="2" t="n">
        <f aca="false">I1012*Hypothèses!$J$24/12/Hypothèses!$J$19</f>
        <v>102.190491491499</v>
      </c>
      <c r="AF1012" s="2" t="n">
        <f aca="false">Entrées!$C$36*S1012*1000</f>
        <v>245.249049548681</v>
      </c>
      <c r="AG1012" s="2" t="n">
        <f aca="false">-AF1012/W1012</f>
        <v>-21.8332176480814</v>
      </c>
      <c r="AH1012" s="2" t="n">
        <f aca="false">AD1012+AE1012+AG1012</f>
        <v>7514.4031355348</v>
      </c>
      <c r="AI1012" s="2" t="n">
        <f aca="false">Entrées!$C$16-M1012+Hypothèses!$J$22*1000-AF1012+Hypothèses!$J$23</f>
        <v>22789.6216755687</v>
      </c>
      <c r="AJ1012" s="2" t="n">
        <f aca="false">AI1012/AH1012</f>
        <v>3.03279199485572</v>
      </c>
      <c r="AK1012" s="2" t="n">
        <f aca="false">AI1012/(AH1012+I1012*(12-Hypothèses!$J$24)/12/Hypothèses!$J$19)</f>
        <v>3.00361555441377</v>
      </c>
      <c r="AL1012" s="2" t="n">
        <f aca="false">(AD1012+AG1012+I1012/Hypothèses!$J$19)*(1+G1012)</f>
        <v>8053.9088743788</v>
      </c>
      <c r="AM1012" s="2" t="n">
        <f aca="false">Entrées!$C$54*K1012/Hypothèses!$J$19</f>
        <v>45.2614551988003</v>
      </c>
      <c r="AN1012" s="2" t="n">
        <f aca="false">Y1012*1000/AC1012</f>
        <v>85.7629689694661</v>
      </c>
      <c r="AO1012" s="2" t="n">
        <f aca="false">(Entrées!$C$36*(1-S1012)+MAX(0,Entrées!$C$30-Entrées!$C$35-Entrées!$C$36)*U1012)*1000</f>
        <v>556.533119134928</v>
      </c>
      <c r="AP1012" s="2" t="n">
        <f aca="false">-AO1012/W1012</f>
        <v>-49.545181686939</v>
      </c>
      <c r="AQ1012" s="2" t="n">
        <f aca="false">AL1012+AM1012+AN1012+AP1012</f>
        <v>8135.38811686012</v>
      </c>
      <c r="AR1012" s="2" t="n">
        <f aca="false">O1012*AQ1012-Hypothèses!$J$25/Hypothèses!$J$19</f>
        <v>1423.24156512283</v>
      </c>
      <c r="AS1012" s="2" t="n">
        <f aca="false">Entrées!$C$79*(1+Q1012)+Hypothèses!$J$20</f>
        <v>1499.77465360113</v>
      </c>
      <c r="AT1012" s="2" t="n">
        <f aca="false">AI1012-AR1012+AS1012+Y1012*1000-AO1012+Hypothèses!$J$23</f>
        <v>23112.1092731477</v>
      </c>
      <c r="AU1012" s="2" t="n">
        <f aca="false">AT1012/AQ1012</f>
        <v>2.84093505327043</v>
      </c>
      <c r="AV1012" s="2" t="n">
        <f aca="false">Hypothèses!$J$26*AQ1012-AT1012</f>
        <v>1294.05507743272</v>
      </c>
      <c r="AW1012" s="2" t="n">
        <f aca="false">IF(AC1012&gt;Hypothèses!$J$26,MAX(0,AV1012)/(1-Hypothèses!$J$26/AC1012),0)</f>
        <v>1904.74252648143</v>
      </c>
      <c r="AX1012" s="2" t="n">
        <f aca="false">AQ1012-Entrées!$C$17*1000</f>
        <v>135.388116860124</v>
      </c>
      <c r="AY1012" s="2" t="n">
        <f aca="false">AI1012+(Entrées!$C$244-Entrées!$C$13)</f>
        <v>28536.6216755687</v>
      </c>
      <c r="AZ1012" s="2" t="n">
        <f aca="false">AA1012*AH1012</f>
        <v>5346.6851972452</v>
      </c>
      <c r="BA1012" s="2" t="n">
        <f aca="false">AZ1012/AY1012</f>
        <v>0.187362234325821</v>
      </c>
      <c r="BB1012" s="2" t="n">
        <f aca="false">AZ1012/(Entrées!$C$151/100)-AY1012</f>
        <v>1167.18497579353</v>
      </c>
      <c r="BC1012" s="2" t="n">
        <f aca="false">AT1012+(Entrées!$C$244-Entrées!$C$13)</f>
        <v>28859.1092731477</v>
      </c>
      <c r="BD1012" s="2" t="n">
        <f aca="false">AA1012*AQ1012</f>
        <v>5788.53149527821</v>
      </c>
      <c r="BE1012" s="2" t="n">
        <f aca="false">BD1012/BC1012</f>
        <v>0.200579007497789</v>
      </c>
      <c r="BF1012" s="2" t="n">
        <f aca="false">BD1012/(Entrées!$C$151/100)-BC1012</f>
        <v>3299.39903395351</v>
      </c>
      <c r="BG1012" s="2" t="n">
        <f aca="false">MIN(AV1012,BF1012)</f>
        <v>1294.05507743272</v>
      </c>
      <c r="BH1012" s="2" t="n">
        <f aca="false">IF(AC1012&gt;Hypothèses!$J$26,MAX(0,BG1012)/(1-Hypothèses!$J$26/AC1012),0)</f>
        <v>1904.74252648143</v>
      </c>
    </row>
    <row r="1013" customFormat="false" ht="15" hidden="false" customHeight="false" outlineLevel="0" collapsed="false">
      <c r="A1013" s="2" t="n">
        <v>998</v>
      </c>
      <c r="B1013" s="2" t="n">
        <v>0.045350218</v>
      </c>
      <c r="C1013" s="2"/>
      <c r="D1013" s="2" t="n">
        <v>0.521039524</v>
      </c>
      <c r="E1013" s="2" t="n">
        <f aca="false">IF(E$7=E$5,E$6,IF(NORMSDIST(E$9*SQRT($C$11)*NORMSINV($B1013)+SQRT(1-E$9^2*$C$11)*NORMSINV(D1013))&lt;E$8,E$5+SQRT(NORMSDIST(E$9*SQRT($C$11)*NORMSINV($B1013)+SQRT(1-E$9^2*$C$11)*NORMSINV(D1013))*(E$7-E$5)*(E$6-E$5)),E$7-SQRT((1-NORMSDIST(E$9*SQRT($C$11)*NORMSINV($B1013)+SQRT(1-E$9^2*$C$11)*NORMSINV(D1013)))*(E$7-E$5)*(E$7-E$6))))</f>
        <v>0.0527543123295951</v>
      </c>
      <c r="F1013" s="2" t="n">
        <v>0.431985646</v>
      </c>
      <c r="G1013" s="2" t="n">
        <f aca="false">IF(G$7=G$5,G$6,IF(NORMSDIST(G$9*SQRT($C$11)*NORMSINV($B1013)+SQRT(1-G$9^2*$C$11)*NORMSINV(F1013))&lt;G$8,G$5+SQRT(NORMSDIST(G$9*SQRT($C$11)*NORMSINV($B1013)+SQRT(1-G$9^2*$C$11)*NORMSINV(F1013))*(G$7-G$5)*(G$6-G$5)),G$7-SQRT((1-NORMSDIST(G$9*SQRT($C$11)*NORMSINV($B1013)+SQRT(1-G$9^2*$C$11)*NORMSINV(F1013)))*(G$7-G$5)*(G$7-G$6))))</f>
        <v>0.0471799108359787</v>
      </c>
      <c r="H1013" s="2" t="n">
        <v>0.124863201</v>
      </c>
      <c r="I1013" s="2" t="n">
        <f aca="false">IF(I$7=I$5,I$6,IF(NORMSDIST(I$9*SQRT($C$11)*NORMSINV($B1013)+SQRT(1-I$9^2*$C$11)*NORMSINV(H1013))&lt;I$8,I$5+SQRT(NORMSDIST(I$9*SQRT($C$11)*NORMSINV($B1013)+SQRT(1-I$9^2*$C$11)*NORMSINV(H1013))*(I$7-I$5)*(I$6-I$5)),I$7-SQRT((1-NORMSDIST(I$9*SQRT($C$11)*NORMSINV($B1013)+SQRT(1-I$9^2*$C$11)*NORMSINV(H1013)))*(I$7-I$5)*(I$7-I$6))))</f>
        <v>184.464080534303</v>
      </c>
      <c r="J1013" s="2" t="n">
        <v>0.222654049</v>
      </c>
      <c r="K1013" s="2" t="n">
        <f aca="false">IF(K$7=K$5,K$6,IF(NORMSDIST(K$9*SQRT($C$11)*NORMSINV($B1013)+SQRT(1-K$9^2*$C$11)*NORMSINV(J1013))&lt;K$8,K$5+SQRT(NORMSDIST(K$9*SQRT($C$11)*NORMSINV($B1013)+SQRT(1-K$9^2*$C$11)*NORMSINV(J1013))*(K$7-K$5)*(K$6-K$5)),K$7-SQRT((1-NORMSDIST(K$9*SQRT($C$11)*NORMSINV($B1013)+SQRT(1-K$9^2*$C$11)*NORMSINV(J1013)))*(K$7-K$5)*(K$7-K$6))))</f>
        <v>0.077734602790904</v>
      </c>
      <c r="L1013" s="2" t="n">
        <v>0.172657924</v>
      </c>
      <c r="M1013" s="2" t="n">
        <f aca="false">IF(M$7=M$5,M$6,IF(NORMSDIST(M$9*SQRT($C$11)*NORMSINV($B1013)+SQRT(1-M$9^2*$C$11)*NORMSINV(L1013))&lt;M$8,M$5+SQRT(NORMSDIST(M$9*SQRT($C$11)*NORMSINV($B1013)+SQRT(1-M$9^2*$C$11)*NORMSINV(L1013))*(M$7-M$5)*(M$6-M$5)),M$7-SQRT((1-NORMSDIST(M$9*SQRT($C$11)*NORMSINV($B1013)+SQRT(1-M$9^2*$C$11)*NORMSINV(L1013)))*(M$7-M$5)*(M$7-M$6))))</f>
        <v>1378.75836526712</v>
      </c>
      <c r="N1013" s="2" t="n">
        <v>0.457552524</v>
      </c>
      <c r="O1013" s="2" t="n">
        <f aca="false">IF(O$7=O$5,O$6,IF(NORMSDIST(O$9*SQRT($C$11)*NORMSINV($B1013)+SQRT(1-O$9^2*$C$11)*NORMSINV(N1013))&lt;O$8,O$5+SQRT(NORMSDIST(O$9*SQRT($C$11)*NORMSINV($B1013)+SQRT(1-O$9^2*$C$11)*NORMSINV(N1013))*(O$7-O$5)*(O$6-O$5)),O$7-SQRT((1-NORMSDIST(O$9*SQRT($C$11)*NORMSINV($B1013)+SQRT(1-O$9^2*$C$11)*NORMSINV(N1013)))*(O$7-O$5)*(O$7-O$6))))</f>
        <v>0.153368458126449</v>
      </c>
      <c r="P1013" s="2" t="n">
        <v>0.013087054</v>
      </c>
      <c r="Q1013" s="2" t="n">
        <f aca="false">IF(Q$7=Q$5,Q$6,IF(NORMSDIST(Q$9*SQRT($C$11)*NORMSINV($B1013)+SQRT(1-Q$9^2*$C$11)*NORMSINV(P1013))&lt;Q$8,Q$5+SQRT(NORMSDIST(Q$9*SQRT($C$11)*NORMSINV($B1013)+SQRT(1-Q$9^2*$C$11)*NORMSINV(P1013))*(Q$7-Q$5)*(Q$6-Q$5)),Q$7-SQRT((1-NORMSDIST(Q$9*SQRT($C$11)*NORMSINV($B1013)+SQRT(1-Q$9^2*$C$11)*NORMSINV(P1013)))*(Q$7-Q$5)*(Q$7-Q$6))))</f>
        <v>0.0464713656054963</v>
      </c>
      <c r="R1013" s="2" t="n">
        <v>0.082730153</v>
      </c>
      <c r="S1013" s="2" t="n">
        <f aca="false">IF(S$7=S$5,S$6,IF(NORMSDIST(S$9*SQRT($C$11)*NORMSINV($B1013)+SQRT(1-S$9^2*$C$11)*NORMSINV(R1013))&lt;S$8,S$5+SQRT(NORMSDIST(S$9*SQRT($C$11)*NORMSINV($B1013)+SQRT(1-S$9^2*$C$11)*NORMSINV(R1013))*(S$7-S$5)*(S$6-S$5)),S$7-SQRT((1-NORMSDIST(S$9*SQRT($C$11)*NORMSINV($B1013)+SQRT(1-S$9^2*$C$11)*NORMSINV(R1013)))*(S$7-S$5)*(S$7-S$6))))</f>
        <v>0.0894603967816908</v>
      </c>
      <c r="T1013" s="2" t="n">
        <v>0.831850875</v>
      </c>
      <c r="U1013" s="2" t="n">
        <f aca="false">IF(U$7=U$5,U$6,IF(NORMSDIST(U$9*SQRT($C$11)*NORMSINV($B1013)+SQRT(1-U$9^2*$C$11)*NORMSINV(T1013))&lt;U$8,U$5+SQRT(NORMSDIST(U$9*SQRT($C$11)*NORMSINV($B1013)+SQRT(1-U$9^2*$C$11)*NORMSINV(T1013))*(U$7-U$5)*(U$6-U$5)),U$7-SQRT((1-NORMSDIST(U$9*SQRT($C$11)*NORMSINV($B1013)+SQRT(1-U$9^2*$C$11)*NORMSINV(T1013)))*(U$7-U$5)*(U$7-U$6))))</f>
        <v>0.431585275391823</v>
      </c>
      <c r="V1013" s="2" t="n">
        <v>0.104066337</v>
      </c>
      <c r="W1013" s="2" t="n">
        <f aca="false">IF(W$7=W$5,W$6,IF(NORMSDIST(W$9*SQRT($C$11)*NORMSINV($B1013)+SQRT(1-W$9^2*$C$11)*NORMSINV(V1013))&lt;W$8,W$5+SQRT(NORMSDIST(W$9*SQRT($C$11)*NORMSINV($B1013)+SQRT(1-W$9^2*$C$11)*NORMSINV(V1013))*(W$7-W$5)*(W$6-W$5)),W$7-SQRT((1-NORMSDIST(W$9*SQRT($C$11)*NORMSINV($B1013)+SQRT(1-W$9^2*$C$11)*NORMSINV(V1013)))*(W$7-W$5)*(W$7-W$6))))</f>
        <v>8.40428490215337</v>
      </c>
      <c r="X1013" s="2" t="n">
        <v>0.42989732</v>
      </c>
      <c r="Y1013" s="2" t="n">
        <f aca="false">IF(Y$7=Y$5,Y$6,IF(NORMSDIST(Y$9*SQRT($C$11)*NORMSINV($B1013)+SQRT(1-Y$9^2*$C$11)*NORMSINV(X1013))&lt;Y$8,Y$5+SQRT(NORMSDIST(Y$9*SQRT($C$11)*NORMSINV($B1013)+SQRT(1-Y$9^2*$C$11)*NORMSINV(X1013))*(Y$7-Y$5)*(Y$6-Y$5)),Y$7-SQRT((1-NORMSDIST(Y$9*SQRT($C$11)*NORMSINV($B1013)+SQRT(1-Y$9^2*$C$11)*NORMSINV(X1013)))*(Y$7-Y$5)*(Y$7-Y$6))))</f>
        <v>0.463625560123684</v>
      </c>
      <c r="Z1013" s="2" t="n">
        <v>0.787705176</v>
      </c>
      <c r="AA1013" s="2" t="n">
        <f aca="false">IF(AA$7=AA$5,AA$6,IF(NORMSDIST(AA$9*SQRT($C$11)*NORMSINV($B1013)+SQRT(1-AA$9^2*$C$11)*NORMSINV(Z1013))&lt;AA$8,AA$5+SQRT(NORMSDIST(AA$9*SQRT($C$11)*NORMSINV($B1013)+SQRT(1-AA$9^2*$C$11)*NORMSINV(Z1013))*(AA$7-AA$5)*(AA$6-AA$5)),AA$7-SQRT((1-NORMSDIST(AA$9*SQRT($C$11)*NORMSINV($B1013)+SQRT(1-AA$9^2*$C$11)*NORMSINV(Z1013)))*(AA$7-AA$5)*(AA$7-AA$6))))</f>
        <v>0.721742774783862</v>
      </c>
      <c r="AB1013" s="2" t="n">
        <v>0.398349943</v>
      </c>
      <c r="AC1013" s="2" t="n">
        <f aca="false">IF(AC$7=AC$5,AC$6,IF(NORMSDIST(AC$9*SQRT($C$11)*NORMSINV($B1013)+SQRT(1-AC$9^2*$C$11)*NORMSINV(AB1013))&lt;AC$8,AC$5+SQRT(NORMSDIST(AC$9*SQRT($C$11)*NORMSINV($B1013)+SQRT(1-AC$9^2*$C$11)*NORMSINV(AB1013))*(AC$7-AC$5)*(AC$6-AC$5)),AC$7-SQRT((1-NORMSDIST(AC$9*SQRT($C$11)*NORMSINV($B1013)+SQRT(1-AC$9^2*$C$11)*NORMSINV(AB1013)))*(AC$7-AC$5)*(AC$7-AC$6))))</f>
        <v>8.33938103775754</v>
      </c>
      <c r="AD1013" s="2" t="n">
        <f aca="false">Entrées!$C$8*(1+E1013)</f>
        <v>7421.91790192365</v>
      </c>
      <c r="AE1013" s="2" t="n">
        <f aca="false">I1013*Hypothèses!$J$24/12/Hypothèses!$J$19</f>
        <v>91.5120399528101</v>
      </c>
      <c r="AF1013" s="2" t="n">
        <f aca="false">Entrées!$C$36*S1013*1000</f>
        <v>44.7301983908454</v>
      </c>
      <c r="AG1013" s="2" t="n">
        <f aca="false">-AF1013/W1013</f>
        <v>-5.32230866892489</v>
      </c>
      <c r="AH1013" s="2" t="n">
        <f aca="false">AD1013+AE1013+AG1013</f>
        <v>7508.10763320753</v>
      </c>
      <c r="AI1013" s="2" t="n">
        <f aca="false">Entrées!$C$16-M1013+Hypothèses!$J$22*1000-AF1013+Hypothèses!$J$23</f>
        <v>23124.511436342</v>
      </c>
      <c r="AJ1013" s="2" t="n">
        <f aca="false">AI1013/AH1013</f>
        <v>3.07993872304985</v>
      </c>
      <c r="AK1013" s="2" t="n">
        <f aca="false">AI1013/(AH1013+I1013*(12-Hypothèses!$J$24)/12/Hypothèses!$J$19)</f>
        <v>3.0533561403316</v>
      </c>
      <c r="AL1013" s="2" t="n">
        <f aca="false">(AD1013+AG1013+I1013/Hypothèses!$J$19)*(1+G1013)</f>
        <v>7930.78917463077</v>
      </c>
      <c r="AM1013" s="2" t="n">
        <f aca="false">Entrées!$C$54*K1013/Hypothèses!$J$19</f>
        <v>7.93314260131728</v>
      </c>
      <c r="AN1013" s="2" t="n">
        <f aca="false">Y1013*1000/AC1013</f>
        <v>55.5947207621962</v>
      </c>
      <c r="AO1013" s="2" t="n">
        <f aca="false">(Entrées!$C$36*(1-S1013)+MAX(0,Entrées!$C$30-Entrées!$C$35-Entrées!$C$36)*U1013)*1000</f>
        <v>1059.48918715771</v>
      </c>
      <c r="AP1013" s="2" t="n">
        <f aca="false">-AO1013/W1013</f>
        <v>-126.065358265787</v>
      </c>
      <c r="AQ1013" s="2" t="n">
        <f aca="false">AL1013+AM1013+AN1013+AP1013</f>
        <v>7868.25167972849</v>
      </c>
      <c r="AR1013" s="2" t="n">
        <f aca="false">O1013*AQ1013-Hypothèses!$J$25/Hypothèses!$J$19</f>
        <v>1187.60646600918</v>
      </c>
      <c r="AS1013" s="2" t="n">
        <f aca="false">Entrées!$C$79*(1+Q1013)+Hypothèses!$J$20</f>
        <v>1445.07203080044</v>
      </c>
      <c r="AT1013" s="2" t="n">
        <f aca="false">AI1013-AR1013+AS1013+Y1013*1000-AO1013+Hypothèses!$J$23</f>
        <v>22786.1133740993</v>
      </c>
      <c r="AU1013" s="2" t="n">
        <f aca="false">AT1013/AQ1013</f>
        <v>2.89595634476267</v>
      </c>
      <c r="AV1013" s="2" t="n">
        <f aca="false">Hypothèses!$J$26*AQ1013-AT1013</f>
        <v>818.641665086198</v>
      </c>
      <c r="AW1013" s="2" t="n">
        <f aca="false">IF(AC1013&gt;Hypothèses!$J$26,MAX(0,AV1013)/(1-Hypothèses!$J$26/AC1013),0)</f>
        <v>1278.60602760153</v>
      </c>
      <c r="AX1013" s="2" t="n">
        <f aca="false">AQ1013-Entrées!$C$17*1000</f>
        <v>-131.748320271508</v>
      </c>
      <c r="AY1013" s="2" t="n">
        <f aca="false">AI1013+(Entrées!$C$244-Entrées!$C$13)</f>
        <v>28871.511436342</v>
      </c>
      <c r="AZ1013" s="2" t="n">
        <f aca="false">AA1013*AH1013</f>
        <v>5418.9224365671</v>
      </c>
      <c r="BA1013" s="2" t="n">
        <f aca="false">AZ1013/AY1013</f>
        <v>0.187690985576392</v>
      </c>
      <c r="BB1013" s="2" t="n">
        <f aca="false">AZ1013/(Entrées!$C$151/100)-AY1013</f>
        <v>1233.61321125295</v>
      </c>
      <c r="BC1013" s="2" t="n">
        <f aca="false">AT1013+(Entrées!$C$244-Entrées!$C$13)</f>
        <v>28533.1133740993</v>
      </c>
      <c r="BD1013" s="2" t="n">
        <f aca="false">AA1013*AQ1013</f>
        <v>5678.85380002502</v>
      </c>
      <c r="BE1013" s="2" t="n">
        <f aca="false">BD1013/BC1013</f>
        <v>0.199026784268833</v>
      </c>
      <c r="BF1013" s="2" t="n">
        <f aca="false">BD1013/(Entrées!$C$151/100)-BC1013</f>
        <v>3016.07440381752</v>
      </c>
      <c r="BG1013" s="2" t="n">
        <f aca="false">MIN(AV1013,BF1013)</f>
        <v>818.641665086198</v>
      </c>
      <c r="BH1013" s="2" t="n">
        <f aca="false">IF(AC1013&gt;Hypothèses!$J$26,MAX(0,BG1013)/(1-Hypothèses!$J$26/AC1013),0)</f>
        <v>1278.60602760153</v>
      </c>
    </row>
    <row r="1014" customFormat="false" ht="15" hidden="false" customHeight="false" outlineLevel="0" collapsed="false">
      <c r="A1014" s="2" t="n">
        <v>999</v>
      </c>
      <c r="B1014" s="2" t="n">
        <v>0.958495751</v>
      </c>
      <c r="C1014" s="2"/>
      <c r="D1014" s="2" t="n">
        <v>0.911624457</v>
      </c>
      <c r="E1014" s="2" t="n">
        <f aca="false">IF(E$7=E$5,E$6,IF(NORMSDIST(E$9*SQRT($C$11)*NORMSINV($B1014)+SQRT(1-E$9^2*$C$11)*NORMSINV(D1014))&lt;E$8,E$5+SQRT(NORMSDIST(E$9*SQRT($C$11)*NORMSINV($B1014)+SQRT(1-E$9^2*$C$11)*NORMSINV(D1014))*(E$7-E$5)*(E$6-E$5)),E$7-SQRT((1-NORMSDIST(E$9*SQRT($C$11)*NORMSINV($B1014)+SQRT(1-E$9^2*$C$11)*NORMSINV(D1014)))*(E$7-E$5)*(E$7-E$6))))</f>
        <v>0.0591036589438112</v>
      </c>
      <c r="F1014" s="2" t="n">
        <v>0.782108013</v>
      </c>
      <c r="G1014" s="2" t="n">
        <f aca="false">IF(G$7=G$5,G$6,IF(NORMSDIST(G$9*SQRT($C$11)*NORMSINV($B1014)+SQRT(1-G$9^2*$C$11)*NORMSINV(F1014))&lt;G$8,G$5+SQRT(NORMSDIST(G$9*SQRT($C$11)*NORMSINV($B1014)+SQRT(1-G$9^2*$C$11)*NORMSINV(F1014))*(G$7-G$5)*(G$6-G$5)),G$7-SQRT((1-NORMSDIST(G$9*SQRT($C$11)*NORMSINV($B1014)+SQRT(1-G$9^2*$C$11)*NORMSINV(F1014)))*(G$7-G$5)*(G$7-G$6))))</f>
        <v>0.0655218928760451</v>
      </c>
      <c r="H1014" s="2" t="n">
        <v>0.697276655</v>
      </c>
      <c r="I1014" s="2" t="n">
        <f aca="false">IF(I$7=I$5,I$6,IF(NORMSDIST(I$9*SQRT($C$11)*NORMSINV($B1014)+SQRT(1-I$9^2*$C$11)*NORMSINV(H1014))&lt;I$8,I$5+SQRT(NORMSDIST(I$9*SQRT($C$11)*NORMSINV($B1014)+SQRT(1-I$9^2*$C$11)*NORMSINV(H1014))*(I$7-I$5)*(I$6-I$5)),I$7-SQRT((1-NORMSDIST(I$9*SQRT($C$11)*NORMSINV($B1014)+SQRT(1-I$9^2*$C$11)*NORMSINV(H1014)))*(I$7-I$5)*(I$7-I$6))))</f>
        <v>212.664512601903</v>
      </c>
      <c r="J1014" s="2" t="n">
        <v>0.502694981</v>
      </c>
      <c r="K1014" s="2" t="n">
        <f aca="false">IF(K$7=K$5,K$6,IF(NORMSDIST(K$9*SQRT($C$11)*NORMSINV($B1014)+SQRT(1-K$9^2*$C$11)*NORMSINV(J1014))&lt;K$8,K$5+SQRT(NORMSDIST(K$9*SQRT($C$11)*NORMSINV($B1014)+SQRT(1-K$9^2*$C$11)*NORMSINV(J1014))*(K$7-K$5)*(K$6-K$5)),K$7-SQRT((1-NORMSDIST(K$9*SQRT($C$11)*NORMSINV($B1014)+SQRT(1-K$9^2*$C$11)*NORMSINV(J1014)))*(K$7-K$5)*(K$7-K$6))))</f>
        <v>0.36994216717812</v>
      </c>
      <c r="L1014" s="2" t="n">
        <v>0.54540359</v>
      </c>
      <c r="M1014" s="2" t="n">
        <f aca="false">IF(M$7=M$5,M$6,IF(NORMSDIST(M$9*SQRT($C$11)*NORMSINV($B1014)+SQRT(1-M$9^2*$C$11)*NORMSINV(L1014))&lt;M$8,M$5+SQRT(NORMSDIST(M$9*SQRT($C$11)*NORMSINV($B1014)+SQRT(1-M$9^2*$C$11)*NORMSINV(L1014))*(M$7-M$5)*(M$6-M$5)),M$7-SQRT((1-NORMSDIST(M$9*SQRT($C$11)*NORMSINV($B1014)+SQRT(1-M$9^2*$C$11)*NORMSINV(L1014)))*(M$7-M$5)*(M$7-M$6))))</f>
        <v>1694.95028451718</v>
      </c>
      <c r="N1014" s="2" t="n">
        <v>0.401588437</v>
      </c>
      <c r="O1014" s="2" t="n">
        <f aca="false">IF(O$7=O$5,O$6,IF(NORMSDIST(O$9*SQRT($C$11)*NORMSINV($B1014)+SQRT(1-O$9^2*$C$11)*NORMSINV(N1014))&lt;O$8,O$5+SQRT(NORMSDIST(O$9*SQRT($C$11)*NORMSINV($B1014)+SQRT(1-O$9^2*$C$11)*NORMSINV(N1014))*(O$7-O$5)*(O$6-O$5)),O$7-SQRT((1-NORMSDIST(O$9*SQRT($C$11)*NORMSINV($B1014)+SQRT(1-O$9^2*$C$11)*NORMSINV(N1014)))*(O$7-O$5)*(O$7-O$6))))</f>
        <v>0.1760313061366</v>
      </c>
      <c r="P1014" s="2" t="n">
        <v>0.680045507</v>
      </c>
      <c r="Q1014" s="2" t="n">
        <f aca="false">IF(Q$7=Q$5,Q$6,IF(NORMSDIST(Q$9*SQRT($C$11)*NORMSINV($B1014)+SQRT(1-Q$9^2*$C$11)*NORMSINV(P1014))&lt;Q$8,Q$5+SQRT(NORMSDIST(Q$9*SQRT($C$11)*NORMSINV($B1014)+SQRT(1-Q$9^2*$C$11)*NORMSINV(P1014))*(Q$7-Q$5)*(Q$6-Q$5)),Q$7-SQRT((1-NORMSDIST(Q$9*SQRT($C$11)*NORMSINV($B1014)+SQRT(1-Q$9^2*$C$11)*NORMSINV(P1014)))*(Q$7-Q$5)*(Q$7-Q$6))))</f>
        <v>0.0880022754308998</v>
      </c>
      <c r="R1014" s="2" t="n">
        <v>0.184155449</v>
      </c>
      <c r="S1014" s="2" t="n">
        <f aca="false">IF(S$7=S$5,S$6,IF(NORMSDIST(S$9*SQRT($C$11)*NORMSINV($B1014)+SQRT(1-S$9^2*$C$11)*NORMSINV(R1014))&lt;S$8,S$5+SQRT(NORMSDIST(S$9*SQRT($C$11)*NORMSINV($B1014)+SQRT(1-S$9^2*$C$11)*NORMSINV(R1014))*(S$7-S$5)*(S$6-S$5)),S$7-SQRT((1-NORMSDIST(S$9*SQRT($C$11)*NORMSINV($B1014)+SQRT(1-S$9^2*$C$11)*NORMSINV(R1014)))*(S$7-S$5)*(S$7-S$6))))</f>
        <v>0.584810999761664</v>
      </c>
      <c r="T1014" s="2" t="n">
        <v>0.226966762</v>
      </c>
      <c r="U1014" s="2" t="n">
        <f aca="false">IF(U$7=U$5,U$6,IF(NORMSDIST(U$9*SQRT($C$11)*NORMSINV($B1014)+SQRT(1-U$9^2*$C$11)*NORMSINV(T1014))&lt;U$8,U$5+SQRT(NORMSDIST(U$9*SQRT($C$11)*NORMSINV($B1014)+SQRT(1-U$9^2*$C$11)*NORMSINV(T1014))*(U$7-U$5)*(U$6-U$5)),U$7-SQRT((1-NORMSDIST(U$9*SQRT($C$11)*NORMSINV($B1014)+SQRT(1-U$9^2*$C$11)*NORMSINV(T1014)))*(U$7-U$5)*(U$7-U$6))))</f>
        <v>0.61087976837198</v>
      </c>
      <c r="V1014" s="2" t="n">
        <v>0.847175717</v>
      </c>
      <c r="W1014" s="2" t="n">
        <f aca="false">IF(W$7=W$5,W$6,IF(NORMSDIST(W$9*SQRT($C$11)*NORMSINV($B1014)+SQRT(1-W$9^2*$C$11)*NORMSINV(V1014))&lt;W$8,W$5+SQRT(NORMSDIST(W$9*SQRT($C$11)*NORMSINV($B1014)+SQRT(1-W$9^2*$C$11)*NORMSINV(V1014))*(W$7-W$5)*(W$6-W$5)),W$7-SQRT((1-NORMSDIST(W$9*SQRT($C$11)*NORMSINV($B1014)+SQRT(1-W$9^2*$C$11)*NORMSINV(V1014)))*(W$7-W$5)*(W$7-W$6))))</f>
        <v>11.5151158547518</v>
      </c>
      <c r="X1014" s="2" t="n">
        <v>0.571268815</v>
      </c>
      <c r="Y1014" s="2" t="n">
        <f aca="false">IF(Y$7=Y$5,Y$6,IF(NORMSDIST(Y$9*SQRT($C$11)*NORMSINV($B1014)+SQRT(1-Y$9^2*$C$11)*NORMSINV(X1014))&lt;Y$8,Y$5+SQRT(NORMSDIST(Y$9*SQRT($C$11)*NORMSINV($B1014)+SQRT(1-Y$9^2*$C$11)*NORMSINV(X1014))*(Y$7-Y$5)*(Y$6-Y$5)),Y$7-SQRT((1-NORMSDIST(Y$9*SQRT($C$11)*NORMSINV($B1014)+SQRT(1-Y$9^2*$C$11)*NORMSINV(X1014)))*(Y$7-Y$5)*(Y$7-Y$6))))</f>
        <v>0.537003679820239</v>
      </c>
      <c r="Z1014" s="2" t="n">
        <v>0.624909761</v>
      </c>
      <c r="AA1014" s="2" t="n">
        <f aca="false">IF(AA$7=AA$5,AA$6,IF(NORMSDIST(AA$9*SQRT($C$11)*NORMSINV($B1014)+SQRT(1-AA$9^2*$C$11)*NORMSINV(Z1014))&lt;AA$8,AA$5+SQRT(NORMSDIST(AA$9*SQRT($C$11)*NORMSINV($B1014)+SQRT(1-AA$9^2*$C$11)*NORMSINV(Z1014))*(AA$7-AA$5)*(AA$6-AA$5)),AA$7-SQRT((1-NORMSDIST(AA$9*SQRT($C$11)*NORMSINV($B1014)+SQRT(1-AA$9^2*$C$11)*NORMSINV(Z1014)))*(AA$7-AA$5)*(AA$7-AA$6))))</f>
        <v>0.743137095627471</v>
      </c>
      <c r="AB1014" s="2" t="n">
        <v>0.712434582</v>
      </c>
      <c r="AC1014" s="2" t="n">
        <f aca="false">IF(AC$7=AC$5,AC$6,IF(NORMSDIST(AC$9*SQRT($C$11)*NORMSINV($B1014)+SQRT(1-AC$9^2*$C$11)*NORMSINV(AB1014))&lt;AC$8,AC$5+SQRT(NORMSDIST(AC$9*SQRT($C$11)*NORMSINV($B1014)+SQRT(1-AC$9^2*$C$11)*NORMSINV(AB1014))*(AC$7-AC$5)*(AC$6-AC$5)),AC$7-SQRT((1-NORMSDIST(AC$9*SQRT($C$11)*NORMSINV($B1014)+SQRT(1-AC$9^2*$C$11)*NORMSINV(AB1014)))*(AC$7-AC$5)*(AC$7-AC$6))))</f>
        <v>10.4785451943739</v>
      </c>
      <c r="AD1014" s="2" t="n">
        <f aca="false">Entrées!$C$8*(1+E1014)</f>
        <v>7466.68079555387</v>
      </c>
      <c r="AE1014" s="2" t="n">
        <f aca="false">I1014*Hypothèses!$J$24/12/Hypothèses!$J$19</f>
        <v>105.502184042552</v>
      </c>
      <c r="AF1014" s="2" t="n">
        <f aca="false">Entrées!$C$36*S1014*1000</f>
        <v>292.405499880832</v>
      </c>
      <c r="AG1014" s="2" t="n">
        <f aca="false">-AF1014/W1014</f>
        <v>-25.3931878384158</v>
      </c>
      <c r="AH1014" s="2" t="n">
        <f aca="false">AD1014+AE1014+AG1014</f>
        <v>7546.78979175801</v>
      </c>
      <c r="AI1014" s="2" t="n">
        <f aca="false">Entrées!$C$16-M1014+Hypothèses!$J$22*1000-AF1014+Hypothèses!$J$23</f>
        <v>22560.644215602</v>
      </c>
      <c r="AJ1014" s="2" t="n">
        <f aca="false">AI1014/AH1014</f>
        <v>2.98943588441285</v>
      </c>
      <c r="AK1014" s="2" t="n">
        <f aca="false">AI1014/(AH1014+I1014*(12-Hypothèses!$J$24)/12/Hypothèses!$J$19)</f>
        <v>2.95987991200257</v>
      </c>
      <c r="AL1014" s="2" t="n">
        <f aca="false">(AD1014+AG1014+I1014/Hypothèses!$J$19)*(1+G1014)</f>
        <v>8121.56609179702</v>
      </c>
      <c r="AM1014" s="2" t="n">
        <f aca="false">Entrées!$C$54*K1014/Hypothèses!$J$19</f>
        <v>37.7541514473114</v>
      </c>
      <c r="AN1014" s="2" t="n">
        <f aca="false">Y1014*1000/AC1014</f>
        <v>51.2479232430626</v>
      </c>
      <c r="AO1014" s="2" t="n">
        <f aca="false">(Entrées!$C$36*(1-S1014)+MAX(0,Entrées!$C$30-Entrées!$C$35-Entrées!$C$36)*U1014)*1000</f>
        <v>1062.82617583994</v>
      </c>
      <c r="AP1014" s="2" t="n">
        <f aca="false">-AO1014/W1014</f>
        <v>-92.2983484704896</v>
      </c>
      <c r="AQ1014" s="2" t="n">
        <f aca="false">AL1014+AM1014+AN1014+AP1014</f>
        <v>8118.2698180169</v>
      </c>
      <c r="AR1014" s="2" t="n">
        <f aca="false">O1014*AQ1014-Hypothèses!$J$25/Hypothèses!$J$19</f>
        <v>1409.93447737322</v>
      </c>
      <c r="AS1014" s="2" t="n">
        <f aca="false">Entrées!$C$79*(1+Q1014)+Hypothèses!$J$20</f>
        <v>1490.71450069856</v>
      </c>
      <c r="AT1014" s="2" t="n">
        <f aca="false">AI1014-AR1014+AS1014+Y1014*1000-AO1014+Hypothèses!$J$23</f>
        <v>22115.6017429076</v>
      </c>
      <c r="AU1014" s="2" t="n">
        <f aca="false">AT1014/AQ1014</f>
        <v>2.72417673206998</v>
      </c>
      <c r="AV1014" s="2" t="n">
        <f aca="false">Hypothèses!$J$26*AQ1014-AT1014</f>
        <v>2239.20771114308</v>
      </c>
      <c r="AW1014" s="2" t="n">
        <f aca="false">IF(AC1014&gt;Hypothèses!$J$26,MAX(0,AV1014)/(1-Hypothèses!$J$26/AC1014),0)</f>
        <v>3137.46037377094</v>
      </c>
      <c r="AX1014" s="2" t="n">
        <f aca="false">AQ1014-Entrées!$C$17*1000</f>
        <v>118.2698180169</v>
      </c>
      <c r="AY1014" s="2" t="n">
        <f aca="false">AI1014+(Entrées!$C$244-Entrées!$C$13)</f>
        <v>28307.644215602</v>
      </c>
      <c r="AZ1014" s="2" t="n">
        <f aca="false">AA1014*AH1014</f>
        <v>5608.29944715809</v>
      </c>
      <c r="BA1014" s="2" t="n">
        <f aca="false">AZ1014/AY1014</f>
        <v>0.198119610534989</v>
      </c>
      <c r="BB1014" s="2" t="n">
        <f aca="false">AZ1014/(Entrées!$C$151/100)-AY1014</f>
        <v>2849.57493527629</v>
      </c>
      <c r="BC1014" s="2" t="n">
        <f aca="false">AT1014+(Entrées!$C$244-Entrées!$C$13)</f>
        <v>27862.6017429076</v>
      </c>
      <c r="BD1014" s="2" t="n">
        <f aca="false">AA1014*AQ1014</f>
        <v>6032.98745408124</v>
      </c>
      <c r="BE1014" s="2" t="n">
        <f aca="false">BD1014/BC1014</f>
        <v>0.216526349898998</v>
      </c>
      <c r="BF1014" s="2" t="n">
        <f aca="false">BD1014/(Entrées!$C$151/100)-BC1014</f>
        <v>5653.99522421036</v>
      </c>
      <c r="BG1014" s="2" t="n">
        <f aca="false">MIN(AV1014,BF1014)</f>
        <v>2239.20771114308</v>
      </c>
      <c r="BH1014" s="2" t="n">
        <f aca="false">IF(AC1014&gt;Hypothèses!$J$26,MAX(0,BG1014)/(1-Hypothèses!$J$26/AC1014),0)</f>
        <v>3137.46037377094</v>
      </c>
    </row>
    <row r="1015" customFormat="false" ht="15" hidden="false" customHeight="false" outlineLevel="0" collapsed="false">
      <c r="A1015" s="2" t="n">
        <v>1000</v>
      </c>
      <c r="B1015" s="2" t="n">
        <v>0.047327103</v>
      </c>
      <c r="C1015" s="2"/>
      <c r="D1015" s="2" t="n">
        <v>0.491549332</v>
      </c>
      <c r="E1015" s="2" t="n">
        <f aca="false">IF(E$7=E$5,E$6,IF(NORMSDIST(E$9*SQRT($C$11)*NORMSINV($B1015)+SQRT(1-E$9^2*$C$11)*NORMSINV(D1015))&lt;E$8,E$5+SQRT(NORMSDIST(E$9*SQRT($C$11)*NORMSINV($B1015)+SQRT(1-E$9^2*$C$11)*NORMSINV(D1015))*(E$7-E$5)*(E$6-E$5)),E$7-SQRT((1-NORMSDIST(E$9*SQRT($C$11)*NORMSINV($B1015)+SQRT(1-E$9^2*$C$11)*NORMSINV(D1015)))*(E$7-E$5)*(E$7-E$6))))</f>
        <v>0.0526601946425197</v>
      </c>
      <c r="F1015" s="2" t="n">
        <v>0.434256494</v>
      </c>
      <c r="G1015" s="2" t="n">
        <f aca="false">IF(G$7=G$5,G$6,IF(NORMSDIST(G$9*SQRT($C$11)*NORMSINV($B1015)+SQRT(1-G$9^2*$C$11)*NORMSINV(F1015))&lt;G$8,G$5+SQRT(NORMSDIST(G$9*SQRT($C$11)*NORMSINV($B1015)+SQRT(1-G$9^2*$C$11)*NORMSINV(F1015))*(G$7-G$5)*(G$6-G$5)),G$7-SQRT((1-NORMSDIST(G$9*SQRT($C$11)*NORMSINV($B1015)+SQRT(1-G$9^2*$C$11)*NORMSINV(F1015)))*(G$7-G$5)*(G$7-G$6))))</f>
        <v>0.0472855233261012</v>
      </c>
      <c r="H1015" s="2" t="n">
        <v>0.084999223</v>
      </c>
      <c r="I1015" s="2" t="n">
        <f aca="false">IF(I$7=I$5,I$6,IF(NORMSDIST(I$9*SQRT($C$11)*NORMSINV($B1015)+SQRT(1-I$9^2*$C$11)*NORMSINV(H1015))&lt;I$8,I$5+SQRT(NORMSDIST(I$9*SQRT($C$11)*NORMSINV($B1015)+SQRT(1-I$9^2*$C$11)*NORMSINV(H1015))*(I$7-I$5)*(I$6-I$5)),I$7-SQRT((1-NORMSDIST(I$9*SQRT($C$11)*NORMSINV($B1015)+SQRT(1-I$9^2*$C$11)*NORMSINV(H1015)))*(I$7-I$5)*(I$7-I$6))))</f>
        <v>183.688339222692</v>
      </c>
      <c r="J1015" s="2" t="n">
        <v>0.88440289</v>
      </c>
      <c r="K1015" s="2" t="n">
        <f aca="false">IF(K$7=K$5,K$6,IF(NORMSDIST(K$9*SQRT($C$11)*NORMSINV($B1015)+SQRT(1-K$9^2*$C$11)*NORMSINV(J1015))&lt;K$8,K$5+SQRT(NORMSDIST(K$9*SQRT($C$11)*NORMSINV($B1015)+SQRT(1-K$9^2*$C$11)*NORMSINV(J1015))*(K$7-K$5)*(K$6-K$5)),K$7-SQRT((1-NORMSDIST(K$9*SQRT($C$11)*NORMSINV($B1015)+SQRT(1-K$9^2*$C$11)*NORMSINV(J1015)))*(K$7-K$5)*(K$7-K$6))))</f>
        <v>0.236756224605501</v>
      </c>
      <c r="L1015" s="2" t="n">
        <v>0.201923354</v>
      </c>
      <c r="M1015" s="2" t="n">
        <f aca="false">IF(M$7=M$5,M$6,IF(NORMSDIST(M$9*SQRT($C$11)*NORMSINV($B1015)+SQRT(1-M$9^2*$C$11)*NORMSINV(L1015))&lt;M$8,M$5+SQRT(NORMSDIST(M$9*SQRT($C$11)*NORMSINV($B1015)+SQRT(1-M$9^2*$C$11)*NORMSINV(L1015))*(M$7-M$5)*(M$6-M$5)),M$7-SQRT((1-NORMSDIST(M$9*SQRT($C$11)*NORMSINV($B1015)+SQRT(1-M$9^2*$C$11)*NORMSINV(L1015)))*(M$7-M$5)*(M$7-M$6))))</f>
        <v>1387.11071172691</v>
      </c>
      <c r="N1015" s="2" t="n">
        <v>0.51169678</v>
      </c>
      <c r="O1015" s="2" t="n">
        <f aca="false">IF(O$7=O$5,O$6,IF(NORMSDIST(O$9*SQRT($C$11)*NORMSINV($B1015)+SQRT(1-O$9^2*$C$11)*NORMSINV(N1015))&lt;O$8,O$5+SQRT(NORMSDIST(O$9*SQRT($C$11)*NORMSINV($B1015)+SQRT(1-O$9^2*$C$11)*NORMSINV(N1015))*(O$7-O$5)*(O$6-O$5)),O$7-SQRT((1-NORMSDIST(O$9*SQRT($C$11)*NORMSINV($B1015)+SQRT(1-O$9^2*$C$11)*NORMSINV(N1015)))*(O$7-O$5)*(O$7-O$6))))</f>
        <v>0.154694400351764</v>
      </c>
      <c r="P1015" s="2" t="n">
        <v>0.859769177</v>
      </c>
      <c r="Q1015" s="2" t="n">
        <f aca="false">IF(Q$7=Q$5,Q$6,IF(NORMSDIST(Q$9*SQRT($C$11)*NORMSINV($B1015)+SQRT(1-Q$9^2*$C$11)*NORMSINV(P1015))&lt;Q$8,Q$5+SQRT(NORMSDIST(Q$9*SQRT($C$11)*NORMSINV($B1015)+SQRT(1-Q$9^2*$C$11)*NORMSINV(P1015))*(Q$7-Q$5)*(Q$6-Q$5)),Q$7-SQRT((1-NORMSDIST(Q$9*SQRT($C$11)*NORMSINV($B1015)+SQRT(1-Q$9^2*$C$11)*NORMSINV(P1015)))*(Q$7-Q$5)*(Q$7-Q$6))))</f>
        <v>0.0988165481188735</v>
      </c>
      <c r="R1015" s="2" t="n">
        <v>0.490779352</v>
      </c>
      <c r="S1015" s="2" t="n">
        <f aca="false">IF(S$7=S$5,S$6,IF(NORMSDIST(S$9*SQRT($C$11)*NORMSINV($B1015)+SQRT(1-S$9^2*$C$11)*NORMSINV(R1015))&lt;S$8,S$5+SQRT(NORMSDIST(S$9*SQRT($C$11)*NORMSINV($B1015)+SQRT(1-S$9^2*$C$11)*NORMSINV(R1015))*(S$7-S$5)*(S$6-S$5)),S$7-SQRT((1-NORMSDIST(S$9*SQRT($C$11)*NORMSINV($B1015)+SQRT(1-S$9^2*$C$11)*NORMSINV(R1015)))*(S$7-S$5)*(S$7-S$6))))</f>
        <v>0.265704417380313</v>
      </c>
      <c r="T1015" s="2" t="n">
        <v>0.292551728</v>
      </c>
      <c r="U1015" s="2" t="n">
        <f aca="false">IF(U$7=U$5,U$6,IF(NORMSDIST(U$9*SQRT($C$11)*NORMSINV($B1015)+SQRT(1-U$9^2*$C$11)*NORMSINV(T1015))&lt;U$8,U$5+SQRT(NORMSDIST(U$9*SQRT($C$11)*NORMSINV($B1015)+SQRT(1-U$9^2*$C$11)*NORMSINV(T1015))*(U$7-U$5)*(U$6-U$5)),U$7-SQRT((1-NORMSDIST(U$9*SQRT($C$11)*NORMSINV($B1015)+SQRT(1-U$9^2*$C$11)*NORMSINV(T1015)))*(U$7-U$5)*(U$7-U$6))))</f>
        <v>0.186339819373621</v>
      </c>
      <c r="V1015" s="2" t="n">
        <v>0.835796149</v>
      </c>
      <c r="W1015" s="2" t="n">
        <f aca="false">IF(W$7=W$5,W$6,IF(NORMSDIST(W$9*SQRT($C$11)*NORMSINV($B1015)+SQRT(1-W$9^2*$C$11)*NORMSINV(V1015))&lt;W$8,W$5+SQRT(NORMSDIST(W$9*SQRT($C$11)*NORMSINV($B1015)+SQRT(1-W$9^2*$C$11)*NORMSINV(V1015))*(W$7-W$5)*(W$6-W$5)),W$7-SQRT((1-NORMSDIST(W$9*SQRT($C$11)*NORMSINV($B1015)+SQRT(1-W$9^2*$C$11)*NORMSINV(V1015)))*(W$7-W$5)*(W$7-W$6))))</f>
        <v>9.74833083494683</v>
      </c>
      <c r="X1015" s="2" t="n">
        <v>0.040220089</v>
      </c>
      <c r="Y1015" s="2" t="n">
        <f aca="false">IF(Y$7=Y$5,Y$6,IF(NORMSDIST(Y$9*SQRT($C$11)*NORMSINV($B1015)+SQRT(1-Y$9^2*$C$11)*NORMSINV(X1015))&lt;Y$8,Y$5+SQRT(NORMSDIST(Y$9*SQRT($C$11)*NORMSINV($B1015)+SQRT(1-Y$9^2*$C$11)*NORMSINV(X1015))*(Y$7-Y$5)*(Y$6-Y$5)),Y$7-SQRT((1-NORMSDIST(Y$9*SQRT($C$11)*NORMSINV($B1015)+SQRT(1-Y$9^2*$C$11)*NORMSINV(X1015)))*(Y$7-Y$5)*(Y$7-Y$6))))</f>
        <v>0.141809888583272</v>
      </c>
      <c r="Z1015" s="2" t="n">
        <v>0.205838105</v>
      </c>
      <c r="AA1015" s="2" t="n">
        <f aca="false">IF(AA$7=AA$5,AA$6,IF(NORMSDIST(AA$9*SQRT($C$11)*NORMSINV($B1015)+SQRT(1-AA$9^2*$C$11)*NORMSINV(Z1015))&lt;AA$8,AA$5+SQRT(NORMSDIST(AA$9*SQRT($C$11)*NORMSINV($B1015)+SQRT(1-AA$9^2*$C$11)*NORMSINV(Z1015))*(AA$7-AA$5)*(AA$6-AA$5)),AA$7-SQRT((1-NORMSDIST(AA$9*SQRT($C$11)*NORMSINV($B1015)+SQRT(1-AA$9^2*$C$11)*NORMSINV(Z1015)))*(AA$7-AA$5)*(AA$7-AA$6))))</f>
        <v>0.70516412629253</v>
      </c>
      <c r="AB1015" s="2" t="n">
        <v>0.573692525</v>
      </c>
      <c r="AC1015" s="2" t="n">
        <f aca="false">IF(AC$7=AC$5,AC$6,IF(NORMSDIST(AC$9*SQRT($C$11)*NORMSINV($B1015)+SQRT(1-AC$9^2*$C$11)*NORMSINV(AB1015))&lt;AC$8,AC$5+SQRT(NORMSDIST(AC$9*SQRT($C$11)*NORMSINV($B1015)+SQRT(1-AC$9^2*$C$11)*NORMSINV(AB1015))*(AC$7-AC$5)*(AC$6-AC$5)),AC$7-SQRT((1-NORMSDIST(AC$9*SQRT($C$11)*NORMSINV($B1015)+SQRT(1-AC$9^2*$C$11)*NORMSINV(AB1015)))*(AC$7-AC$5)*(AC$7-AC$6))))</f>
        <v>8.64909736158743</v>
      </c>
      <c r="AD1015" s="2" t="n">
        <f aca="false">Entrées!$C$8*(1+E1015)</f>
        <v>7421.25437222977</v>
      </c>
      <c r="AE1015" s="2" t="n">
        <f aca="false">I1015*Hypothèses!$J$24/12/Hypothèses!$J$19</f>
        <v>91.1271971709766</v>
      </c>
      <c r="AF1015" s="2" t="n">
        <f aca="false">Entrées!$C$36*S1015*1000</f>
        <v>132.852208690157</v>
      </c>
      <c r="AG1015" s="2" t="n">
        <f aca="false">-AF1015/W1015</f>
        <v>-13.6282006570699</v>
      </c>
      <c r="AH1015" s="2" t="n">
        <f aca="false">AD1015+AE1015+AG1015</f>
        <v>7498.75336874367</v>
      </c>
      <c r="AI1015" s="2" t="n">
        <f aca="false">Entrées!$C$16-M1015+Hypothèses!$J$22*1000-AF1015+Hypothèses!$J$23</f>
        <v>23028.0370795829</v>
      </c>
      <c r="AJ1015" s="2" t="n">
        <f aca="false">AI1015/AH1015</f>
        <v>3.07091538382479</v>
      </c>
      <c r="AK1015" s="2" t="n">
        <f aca="false">AI1015/(AH1015+I1015*(12-Hypothèses!$J$24)/12/Hypothèses!$J$19)</f>
        <v>3.04448854286605</v>
      </c>
      <c r="AL1015" s="2" t="n">
        <f aca="false">(AD1015+AG1015+I1015/Hypothèses!$J$19)*(1+G1015)</f>
        <v>7921.5045563484</v>
      </c>
      <c r="AM1015" s="2" t="n">
        <f aca="false">Entrées!$C$54*K1015/Hypothèses!$J$19</f>
        <v>24.1619667961398</v>
      </c>
      <c r="AN1015" s="2" t="n">
        <f aca="false">Y1015*1000/AC1015</f>
        <v>16.3959177073299</v>
      </c>
      <c r="AO1015" s="2" t="n">
        <f aca="false">(Entrées!$C$36*(1-S1015)+MAX(0,Entrées!$C$30-Entrées!$C$35-Entrées!$C$36)*U1015)*1000</f>
        <v>628.023538432913</v>
      </c>
      <c r="AP1015" s="2" t="n">
        <f aca="false">-AO1015/W1015</f>
        <v>-64.4236997149818</v>
      </c>
      <c r="AQ1015" s="2" t="n">
        <f aca="false">AL1015+AM1015+AN1015+AP1015</f>
        <v>7897.63874113689</v>
      </c>
      <c r="AR1015" s="2" t="n">
        <f aca="false">O1015*AQ1015-Hypothèses!$J$25/Hypothèses!$J$19</f>
        <v>1202.5853269934</v>
      </c>
      <c r="AS1015" s="2" t="n">
        <f aca="false">Entrées!$C$79*(1+Q1015)+Hypothèses!$J$20</f>
        <v>1502.59938638264</v>
      </c>
      <c r="AT1015" s="2" t="n">
        <f aca="false">AI1015-AR1015+AS1015+Y1015*1000-AO1015+Hypothèses!$J$23</f>
        <v>22841.8374891225</v>
      </c>
      <c r="AU1015" s="2" t="n">
        <f aca="false">AT1015/AQ1015</f>
        <v>2.89223630477613</v>
      </c>
      <c r="AV1015" s="2" t="n">
        <f aca="false">Hypothèses!$J$26*AQ1015-AT1015</f>
        <v>851.078734288134</v>
      </c>
      <c r="AW1015" s="2" t="n">
        <f aca="false">IF(AC1015&gt;Hypothèses!$J$26,MAX(0,AV1015)/(1-Hypothèses!$J$26/AC1015),0)</f>
        <v>1303.05115385127</v>
      </c>
      <c r="AX1015" s="2" t="n">
        <f aca="false">AQ1015-Entrées!$C$17*1000</f>
        <v>-102.361258863112</v>
      </c>
      <c r="AY1015" s="2" t="n">
        <f aca="false">AI1015+(Entrées!$C$244-Entrées!$C$13)</f>
        <v>28775.0370795829</v>
      </c>
      <c r="AZ1015" s="2" t="n">
        <f aca="false">AA1015*AH1015</f>
        <v>5287.8518675533</v>
      </c>
      <c r="BA1015" s="2" t="n">
        <f aca="false">AZ1015/AY1015</f>
        <v>0.183765249474005</v>
      </c>
      <c r="BB1015" s="2" t="n">
        <f aca="false">AZ1015/(Entrées!$C$151/100)-AY1015</f>
        <v>601.91774015762</v>
      </c>
      <c r="BC1015" s="2" t="n">
        <f aca="false">AT1015+(Entrées!$C$244-Entrées!$C$13)</f>
        <v>28588.8374891225</v>
      </c>
      <c r="BD1015" s="2" t="n">
        <f aca="false">AA1015*AQ1015</f>
        <v>5569.13152266783</v>
      </c>
      <c r="BE1015" s="2" t="n">
        <f aca="false">BD1015/BC1015</f>
        <v>0.194800908738831</v>
      </c>
      <c r="BF1015" s="2" t="n">
        <f aca="false">BD1015/(Entrées!$C$151/100)-BC1015</f>
        <v>2350.78208125432</v>
      </c>
      <c r="BG1015" s="2" t="n">
        <f aca="false">MIN(AV1015,BF1015)</f>
        <v>851.078734288134</v>
      </c>
      <c r="BH1015" s="2" t="n">
        <f aca="false">IF(AC1015&gt;Hypothèses!$J$26,MAX(0,BG1015)/(1-Hypothèses!$J$26/AC1015),0)</f>
        <v>1303.05115385127</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LibreOffice/25.2.7.2$Linux_X86_64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2026-10-10T18:13:50Z</dcterms:created>
  <dc:creator>openpyxl</dc:creator>
  <dc:description/>
  <dc:language>en-US</dc:language>
  <cp:lastModifiedBy/>
  <dcterms:modified xsi:type="dcterms:W3CDTF">2026-10-10T20:14:32Z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